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
      </text>
    </comment>
    <comment authorId="0" ref="B2">
      <text>
        <t xml:space="preserve">Human Translator</t>
      </text>
    </comment>
    <comment authorId="0" ref="C2">
      <text>
        <t xml:space="preserve">Human Translation</t>
      </text>
    </comment>
    <comment authorId="0" ref="E10">
      <text>
        <t xml:space="preserve">Human
</t>
      </text>
    </comment>
    <comment authorId="0" ref="D15">
      <text>
        <t xml:space="preserve">human translation</t>
      </text>
    </comment>
    <comment authorId="0" ref="E19">
      <text>
        <t xml:space="preserve">Human
</t>
      </text>
    </comment>
    <comment authorId="0" ref="D79">
      <text>
        <t xml:space="preserve">human translation</t>
      </text>
    </comment>
    <comment authorId="0" ref="B96">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AK1">
      <text>
        <t xml:space="preserve">Human Translation</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AL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AL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AL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AL18">
      <text>
        <t xml:space="preserve">Human translation</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AL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
</t>
      </text>
    </comment>
    <comment authorId="0" ref="G32">
      <text>
        <t xml:space="preserve">Human Translator
</t>
      </text>
    </comment>
    <comment authorId="0" ref="H32">
      <text>
        <t xml:space="preserve">Human Translator
</t>
      </text>
    </comment>
    <comment authorId="0" ref="J32">
      <text>
        <t xml:space="preserve">Human Translator
</t>
      </text>
    </comment>
    <comment authorId="0" ref="K32">
      <text>
        <t xml:space="preserve">Human Translator
</t>
      </text>
    </comment>
    <comment authorId="0" ref="L32">
      <text>
        <t xml:space="preserve">Human Translator
</t>
      </text>
    </comment>
    <comment authorId="0" ref="J33">
      <text>
        <t xml:space="preserve">Human Translation</t>
      </text>
    </comment>
    <comment authorId="0" ref="AL33">
      <text>
        <t xml:space="preserve">Human Translation</t>
      </text>
    </comment>
    <comment authorId="0" ref="J34">
      <text>
        <t xml:space="preserve">Human Translation</t>
      </text>
    </comment>
    <comment authorId="0" ref="AL34">
      <text>
        <t xml:space="preserve">Human Translation</t>
      </text>
    </comment>
    <comment authorId="0" ref="J36">
      <text>
        <t xml:space="preserve">Human Translation</t>
      </text>
    </comment>
    <comment authorId="0" ref="V36">
      <text>
        <t xml:space="preserve">Human Translator
</t>
      </text>
    </comment>
    <comment authorId="0" ref="Z36">
      <text>
        <t xml:space="preserve">Human Translation
</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P37">
      <text>
        <t xml:space="preserve">Human Translation</t>
      </text>
    </comment>
    <comment authorId="0" ref="V37">
      <text>
        <t xml:space="preserve">Human Translator
</t>
      </text>
    </comment>
    <comment authorId="0" ref="W37">
      <text>
        <t xml:space="preserve">Human Translator</t>
      </text>
    </comment>
    <comment authorId="0" ref="X37">
      <text>
        <t xml:space="preserve">Human Translator
</t>
      </text>
    </comment>
    <comment authorId="0" ref="Z37">
      <text>
        <t xml:space="preserve">Human Translation</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Z38">
      <text>
        <t xml:space="preserve">Human Translation
</t>
      </text>
    </comment>
    <comment authorId="0" ref="AL38">
      <text>
        <t xml:space="preserve">Human translation</t>
      </text>
    </comment>
    <comment authorId="0" ref="F39">
      <text>
        <t xml:space="preserve">Human Translator
</t>
      </text>
    </comment>
    <comment authorId="0" ref="G39">
      <text>
        <t xml:space="preserve">Human Translator
</t>
      </text>
    </comment>
    <comment authorId="0" ref="H39">
      <text>
        <t xml:space="preserve">Human Translator
</t>
      </text>
    </comment>
    <comment authorId="0" ref="J39">
      <text>
        <t xml:space="preserve">Human translation</t>
      </text>
    </comment>
    <comment authorId="0" ref="R39">
      <text>
        <t xml:space="preserve">Human translation</t>
      </text>
    </comment>
    <comment authorId="0" ref="V39">
      <text>
        <t xml:space="preserve">Human Translator</t>
      </text>
    </comment>
    <comment authorId="0" ref="W39">
      <text>
        <t xml:space="preserve">Human Translator</t>
      </text>
    </comment>
    <comment authorId="0" ref="X39">
      <text>
        <t xml:space="preserve">Human Translator</t>
      </text>
    </comment>
    <comment authorId="0" ref="AL39">
      <text>
        <t xml:space="preserve">Human translation</t>
      </text>
    </comment>
    <comment authorId="0" ref="F40">
      <text>
        <t xml:space="preserve">Human Translator
</t>
      </text>
    </comment>
    <comment authorId="0" ref="G40">
      <text>
        <t xml:space="preserve">Human Translator
</t>
      </text>
    </comment>
    <comment authorId="0" ref="H40">
      <text>
        <t xml:space="preserve">Human Translator
</t>
      </text>
    </comment>
    <comment authorId="0" ref="J40">
      <text>
        <t xml:space="preserve">Human translation</t>
      </text>
    </comment>
    <comment authorId="0" ref="R40">
      <text>
        <t xml:space="preserve">Human translation</t>
      </text>
    </comment>
    <comment authorId="0" ref="V40">
      <text>
        <t xml:space="preserve">Human Translator</t>
      </text>
    </comment>
    <comment authorId="0" ref="W40">
      <text>
        <t xml:space="preserve">Human Translator</t>
      </text>
    </comment>
    <comment authorId="0" ref="X40">
      <text>
        <t xml:space="preserve">Human Translator</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W41">
      <text>
        <t xml:space="preserve">Human Translator</t>
      </text>
    </comment>
    <comment authorId="0" ref="X41">
      <text>
        <t xml:space="preserve">Human Translator</t>
      </text>
    </comment>
    <comment authorId="0" ref="Z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W42">
      <text>
        <t xml:space="preserve">Human Translator</t>
      </text>
    </comment>
    <comment authorId="0" ref="X42">
      <text>
        <t xml:space="preserve">Human Translator</t>
      </text>
    </comment>
    <comment authorId="0" ref="Z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V43">
      <text>
        <t xml:space="preserve">Human Translator</t>
      </text>
    </comment>
    <comment authorId="0" ref="W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X47">
      <text>
        <t xml:space="preserve">Human Translator</t>
      </text>
    </comment>
    <comment authorId="0" ref="AL47">
      <text>
        <t xml:space="preserve">Human translation</t>
      </text>
    </comment>
    <comment authorId="0" ref="F48">
      <text>
        <t xml:space="preserve">Human Translator
</t>
      </text>
    </comment>
    <comment authorId="0" ref="G48">
      <text>
        <t xml:space="preserve">Human Translator
</t>
      </text>
    </comment>
    <comment authorId="0" ref="H48">
      <text>
        <t xml:space="preserve">Human Translator
</t>
      </text>
    </comment>
    <comment authorId="0" ref="J48">
      <text>
        <t xml:space="preserve">Human translation</t>
      </text>
    </comment>
    <comment authorId="0" ref="R48">
      <text>
        <t xml:space="preserve">Human translation</t>
      </text>
    </comment>
    <comment authorId="0" ref="V48">
      <text>
        <t xml:space="preserve">Human Translator</t>
      </text>
    </comment>
    <comment authorId="0" ref="W48">
      <text>
        <t xml:space="preserve">Human Translator</t>
      </text>
    </comment>
    <comment authorId="0" ref="X48">
      <text>
        <t xml:space="preserve">Human Translator</t>
      </text>
    </comment>
    <comment authorId="0" ref="AL48">
      <text>
        <t xml:space="preserve">Human translation</t>
      </text>
    </comment>
    <comment authorId="0" ref="F49">
      <text>
        <t xml:space="preserve">Human Translator
</t>
      </text>
    </comment>
    <comment authorId="0" ref="G49">
      <text>
        <t xml:space="preserve">Human Translator
</t>
      </text>
    </comment>
    <comment authorId="0" ref="H49">
      <text>
        <t xml:space="preserve">Human Translator
</t>
      </text>
    </comment>
    <comment authorId="0" ref="J49">
      <text>
        <t xml:space="preserve">Human translation</t>
      </text>
    </comment>
    <comment authorId="0" ref="R49">
      <text>
        <t xml:space="preserve">Human translation</t>
      </text>
    </comment>
    <comment authorId="0" ref="V49">
      <text>
        <t xml:space="preserve">Human Translator</t>
      </text>
    </comment>
    <comment authorId="0" ref="W49">
      <text>
        <t xml:space="preserve">Human Translator</t>
      </text>
    </comment>
    <comment authorId="0" ref="AL49">
      <text>
        <t xml:space="preserve">Human translation</t>
      </text>
    </comment>
    <comment authorId="0" ref="J51">
      <text>
        <t xml:space="preserve">Human translation</t>
      </text>
    </comment>
    <comment authorId="0" ref="V51">
      <text>
        <t xml:space="preserve">Human Translator
</t>
      </text>
    </comment>
    <comment authorId="0" ref="Z51">
      <text>
        <t xml:space="preserve">Human Translation
</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Z52">
      <text>
        <t xml:space="preserve">Human Translation</t>
      </text>
    </comment>
    <comment authorId="0" ref="AL52">
      <text>
        <t xml:space="preserve">Human Translation</t>
      </text>
    </comment>
    <comment authorId="0" ref="F53">
      <text>
        <t xml:space="preserve">Human Translator
</t>
      </text>
    </comment>
    <comment authorId="0" ref="G53">
      <text>
        <t xml:space="preserve">Human Translator
</t>
      </text>
    </comment>
    <comment authorId="0" ref="H53">
      <text>
        <t xml:space="preserve">Human Translator
</t>
      </text>
    </comment>
    <comment authorId="0" ref="J53">
      <text>
        <t xml:space="preserve">Human translation</t>
      </text>
    </comment>
    <comment authorId="0" ref="R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Traducción humana
</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R55">
      <text>
        <t xml:space="preserve">Traducción humana
</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R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R61">
      <text>
        <t xml:space="preserve">Human translation</t>
      </text>
    </comment>
    <comment authorId="0" ref="AL61">
      <text>
        <t xml:space="preserve">Human translation</t>
      </text>
    </comment>
    <comment authorId="0" ref="F62">
      <text>
        <t xml:space="preserve">Human Translator
</t>
      </text>
    </comment>
    <comment authorId="0" ref="J62">
      <text>
        <t xml:space="preserve">Human translation</t>
      </text>
    </comment>
    <comment authorId="0" ref="R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W64">
      <text>
        <t xml:space="preserve">Human Translator</t>
      </text>
    </comment>
    <comment authorId="0" ref="X64">
      <text>
        <t xml:space="preserve">Human Translator
</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R65">
      <text>
        <t xml:space="preserve">Traducción humana</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R66">
      <text>
        <t xml:space="preserve">Traducción humana</t>
      </text>
    </comment>
    <comment authorId="0" ref="Z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Z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Traducción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R70">
      <text>
        <t xml:space="preserve">Traducción humana
</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Traduccion humana
</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O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R73">
      <text>
        <t xml:space="preserve">Traducción humana
</t>
      </text>
    </comment>
    <comment authorId="0" ref="Z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
</t>
      </text>
    </comment>
    <comment authorId="0" ref="G77">
      <text>
        <t xml:space="preserve">Human Translator
</t>
      </text>
    </comment>
    <comment authorId="0" ref="H77">
      <text>
        <t xml:space="preserve">Human Translator
</t>
      </text>
    </comment>
    <comment authorId="0" ref="J77">
      <text>
        <t xml:space="preserve">Human translation</t>
      </text>
    </comment>
    <comment authorId="0" ref="AL77">
      <text>
        <t xml:space="preserve">Human translation</t>
      </text>
    </comment>
    <comment authorId="0" ref="F78">
      <text>
        <t xml:space="preserve">Human Translator
</t>
      </text>
    </comment>
    <comment authorId="0" ref="G78">
      <text>
        <t xml:space="preserve">Human Translator
</t>
      </text>
    </comment>
    <comment authorId="0" ref="H78">
      <text>
        <t xml:space="preserve">Human Translator
</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
</t>
      </text>
    </comment>
    <comment authorId="0" ref="G81">
      <text>
        <t xml:space="preserve">Human Translator
</t>
      </text>
    </comment>
    <comment authorId="0" ref="H81">
      <text>
        <t xml:space="preserve">Human Translator
</t>
      </text>
    </comment>
    <comment authorId="0" ref="J81">
      <text>
        <t xml:space="preserve">Human Translator
</t>
      </text>
    </comment>
    <comment authorId="0" ref="K81">
      <text>
        <t xml:space="preserve">Human Translator
</t>
      </text>
    </comment>
    <comment authorId="0" ref="L81">
      <text>
        <t xml:space="preserve">Human Translator
</t>
      </text>
    </comment>
    <comment authorId="0" ref="J83">
      <text>
        <t xml:space="preserve">Human translation</t>
      </text>
    </comment>
    <comment authorId="0" ref="V83">
      <text>
        <t xml:space="preserve">Human Translator</t>
      </text>
    </comment>
    <comment authorId="0" ref="Z83">
      <text>
        <t xml:space="preserve">Human Translation
</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t>
      </text>
    </comment>
    <comment authorId="0" ref="W84">
      <text>
        <t xml:space="preserve">Human Translator</t>
      </text>
    </comment>
    <comment authorId="0" ref="X84">
      <text>
        <t xml:space="preserve">Human Translator</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P85">
      <text>
        <t xml:space="preserve">Human Translation</t>
      </text>
    </comment>
    <comment authorId="0" ref="V85">
      <text>
        <t xml:space="preserve">Human Translator
</t>
      </text>
    </comment>
    <comment authorId="0" ref="W85">
      <text>
        <t xml:space="preserve">Human Translator</t>
      </text>
    </comment>
    <comment authorId="0" ref="X85">
      <text>
        <t xml:space="preserve">Human Translator</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V86">
      <text>
        <t xml:space="preserve">Human Translator
</t>
      </text>
    </comment>
    <comment authorId="0" ref="W86">
      <text>
        <t xml:space="preserve">Human Translator
</t>
      </text>
    </comment>
    <comment authorId="0" ref="X86">
      <text>
        <t xml:space="preserve">Human Translator
</t>
      </text>
    </comment>
    <comment authorId="0" ref="Z86">
      <text>
        <t xml:space="preserve">Human Translation</t>
      </text>
    </comment>
    <comment authorId="0" ref="AL86">
      <text>
        <t xml:space="preserve">Human Translation</t>
      </text>
    </comment>
    <comment authorId="0" ref="F87">
      <text>
        <t xml:space="preserve">Human Translator</t>
      </text>
    </comment>
    <comment authorId="0" ref="G87">
      <text>
        <t xml:space="preserve">Human Translator</t>
      </text>
    </comment>
    <comment authorId="0" ref="H87">
      <text>
        <t xml:space="preserve">Human Translator</t>
      </text>
    </comment>
    <comment authorId="0" ref="J87">
      <text>
        <t xml:space="preserve">Human Translation</t>
      </text>
    </comment>
    <comment authorId="0" ref="V87">
      <text>
        <t xml:space="preserve">Human Translator
</t>
      </text>
    </comment>
    <comment authorId="0" ref="W87">
      <text>
        <t xml:space="preserve">Human Translator
</t>
      </text>
    </comment>
    <comment authorId="0" ref="Z87">
      <text>
        <t xml:space="preserve">Human Translation</t>
      </text>
    </comment>
    <comment authorId="0" ref="AL87">
      <text>
        <t xml:space="preserve">Human Translation</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AL88">
      <text>
        <t xml:space="preserve">Human Translation</t>
      </text>
    </comment>
    <comment authorId="0" ref="J90">
      <text>
        <t xml:space="preserve">Human translation</t>
      </text>
    </comment>
    <comment authorId="0" ref="V90">
      <text>
        <t xml:space="preserve">Human Translator
</t>
      </text>
    </comment>
    <comment authorId="0" ref="Z90">
      <text>
        <t xml:space="preserve">Human Translation
</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G92">
      <text>
        <t xml:space="preserve">Human Translator</t>
      </text>
    </comment>
    <comment authorId="0" ref="H92">
      <text>
        <t xml:space="preserve">Human Translator</t>
      </text>
    </comment>
    <comment authorId="0" ref="J92">
      <text>
        <t xml:space="preserve">Human Translation</t>
      </text>
    </comment>
    <comment authorId="0" ref="Z92">
      <text>
        <t xml:space="preserve">Human Translation
</t>
      </text>
    </comment>
    <comment authorId="0" ref="AL92">
      <text>
        <t xml:space="preserve">Human Translation</t>
      </text>
    </comment>
    <comment authorId="0" ref="G93">
      <text>
        <t xml:space="preserve">Human Translator</t>
      </text>
    </comment>
    <comment authorId="0" ref="H93">
      <text>
        <t xml:space="preserve">Human Translator</t>
      </text>
    </comment>
    <comment authorId="0" ref="J93">
      <text>
        <t xml:space="preserve">Human Translation</t>
      </text>
    </comment>
    <comment authorId="0" ref="Z93">
      <text>
        <t xml:space="preserve">Human Translation
</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F97">
      <text>
        <t xml:space="preserve">Human Translator</t>
      </text>
    </comment>
    <comment authorId="0" ref="G97">
      <text>
        <t xml:space="preserve">Human Translator</t>
      </text>
    </comment>
    <comment authorId="0" ref="H97">
      <text>
        <t xml:space="preserve">Human Translator</t>
      </text>
    </comment>
    <comment authorId="0" ref="J97">
      <text>
        <t xml:space="preserve">Human Translation</t>
      </text>
    </comment>
    <comment authorId="0" ref="AL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 authorId="0" ref="AL98">
      <text>
        <t xml:space="preserve">Human Translation</t>
      </text>
    </comment>
    <comment authorId="0" ref="J100">
      <text>
        <t xml:space="preserve">Human translation</t>
      </text>
    </comment>
    <comment authorId="0" ref="V100">
      <text>
        <t xml:space="preserve">Human Translator
</t>
      </text>
    </comment>
    <comment authorId="0" ref="Z100">
      <text>
        <t xml:space="preserve">Human Translation
</t>
      </text>
    </comment>
    <comment authorId="0" ref="AL100">
      <text>
        <t xml:space="preserve">Human translation</t>
      </text>
    </comment>
    <comment authorId="0" ref="F101">
      <text>
        <t xml:space="preserve">Human Translator</t>
      </text>
    </comment>
    <comment authorId="0" ref="G101">
      <text>
        <t xml:space="preserve">Human Translator</t>
      </text>
    </comment>
    <comment authorId="0" ref="H101">
      <text>
        <t xml:space="preserve">Human Translator</t>
      </text>
    </comment>
    <comment authorId="0" ref="J101">
      <text>
        <t xml:space="preserve">Human translation</t>
      </text>
    </comment>
    <comment authorId="0" ref="AL101">
      <text>
        <t xml:space="preserve">Human Translation</t>
      </text>
    </comment>
    <comment authorId="0" ref="F102">
      <text>
        <t xml:space="preserve">Human Translator</t>
      </text>
    </comment>
    <comment authorId="0" ref="G102">
      <text>
        <t xml:space="preserve">Human Translator
</t>
      </text>
    </comment>
    <comment authorId="0" ref="H102">
      <text>
        <t xml:space="preserve">Human Translator</t>
      </text>
    </comment>
    <comment authorId="0" ref="J102">
      <text>
        <t xml:space="preserve">Human Translation</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Translation</t>
      </text>
    </comment>
    <comment authorId="0" ref="F106">
      <text>
        <t xml:space="preserve">Human Translator</t>
      </text>
    </comment>
    <comment authorId="0" ref="G106">
      <text>
        <t xml:space="preserve">Human Translator</t>
      </text>
    </comment>
    <comment authorId="0" ref="H106">
      <text>
        <t xml:space="preserve">Human Translator</t>
      </text>
    </comment>
    <comment authorId="0" ref="J106">
      <text>
        <t xml:space="preserve">Human Translation</t>
      </text>
    </comment>
    <comment authorId="0" ref="F107">
      <text>
        <t xml:space="preserve">Human Translator</t>
      </text>
    </comment>
    <comment authorId="0" ref="G107">
      <text>
        <t xml:space="preserve">Human Translator</t>
      </text>
    </comment>
    <comment authorId="0" ref="H107">
      <text>
        <t xml:space="preserve">Human Translator</t>
      </text>
    </comment>
    <comment authorId="0" ref="J107">
      <text>
        <t xml:space="preserve">Human Translation</t>
      </text>
    </comment>
    <comment authorId="0" ref="R107">
      <text>
        <t xml:space="preserve">Human
</t>
      </text>
    </comment>
    <comment authorId="0" ref="F108">
      <text>
        <t xml:space="preserve">Human Translator
</t>
      </text>
    </comment>
    <comment authorId="0" ref="G108">
      <text>
        <t xml:space="preserve">Human Translator
</t>
      </text>
    </comment>
    <comment authorId="0" ref="H108">
      <text>
        <t xml:space="preserve">Human Translator
</t>
      </text>
    </comment>
    <comment authorId="0" ref="J108">
      <text>
        <t xml:space="preserve">Human translation</t>
      </text>
    </comment>
    <comment authorId="0" ref="J110">
      <text>
        <t xml:space="preserve">Human translation</t>
      </text>
    </comment>
    <comment authorId="0" ref="V110">
      <text>
        <t xml:space="preserve">Human Translator</t>
      </text>
    </comment>
    <comment authorId="0" ref="Z110">
      <text>
        <t xml:space="preserve">Human Translation
</t>
      </text>
    </comment>
    <comment authorId="0" ref="AL110">
      <text>
        <t xml:space="preserve">Human translation</t>
      </text>
    </comment>
    <comment authorId="0" ref="F111">
      <text>
        <t xml:space="preserve">Human Translator</t>
      </text>
    </comment>
    <comment authorId="0" ref="G111">
      <text>
        <t xml:space="preserve">Human Translator</t>
      </text>
    </comment>
    <comment authorId="0" ref="H111">
      <text>
        <t xml:space="preserve">Human Translator</t>
      </text>
    </comment>
    <comment authorId="0" ref="J111">
      <text>
        <t xml:space="preserve">Human Translation</t>
      </text>
    </comment>
    <comment authorId="0" ref="AL111">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O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AL6">
      <text>
        <t xml:space="preserve">Human Translation</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J8">
      <text>
        <t xml:space="preserve">Human Translation</t>
      </text>
    </comment>
    <comment authorId="0" ref="O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Human Translator</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「遺跡の森-4」右下の森に隠しアイテムがある</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O24">
      <text>
        <t xml:space="preserve">human translation</t>
      </text>
    </comment>
    <comment authorId="0" ref="AL24">
      <text>
        <t xml:space="preserve">Human Translation</t>
      </text>
    </comment>
    <comment authorId="0" ref="F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G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AL35">
      <text>
        <t xml:space="preserve">Human Translation</t>
      </text>
    </comment>
    <comment authorId="0" ref="F36">
      <text>
        <t xml:space="preserve">Human Translator</t>
      </text>
    </comment>
    <comment authorId="0" ref="H36">
      <text>
        <t xml:space="preserve">Human Translator</t>
      </text>
    </comment>
    <comment authorId="0" ref="J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O38">
      <text>
        <t xml:space="preserve">human translation</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J40">
      <text>
        <t xml:space="preserve">Human Translation</t>
      </text>
    </comment>
    <comment authorId="0" ref="AL40">
      <text>
        <t xml:space="preserve">Human Translation</t>
      </text>
    </comment>
    <comment authorId="0" ref="F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P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AL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AL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AL84">
      <text>
        <t xml:space="preserve">Human Translation</t>
      </text>
    </comment>
    <comment authorId="0" ref="F85">
      <text>
        <t xml:space="preserve">Human Translator</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J91">
      <text>
        <t xml:space="preserve">Human Translation</t>
      </text>
    </comment>
    <comment authorId="0" ref="AL91">
      <text>
        <t xml:space="preserve">Human Translation</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J97">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J1">
      <text>
        <t xml:space="preserve">Human Translation</t>
      </text>
    </comment>
    <comment authorId="0" ref="C3">
      <text>
        <t xml:space="preserve">Human Translation</t>
      </text>
    </comment>
    <comment authorId="0" ref="D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C9">
      <text>
        <t xml:space="preserve">Human Translation</t>
      </text>
    </comment>
    <comment authorId="0" ref="J9">
      <text>
        <t xml:space="preserve">Human Translation</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B12">
      <text>
        <t xml:space="preserve">Human Translator</t>
      </text>
    </comment>
    <comment authorId="0" ref="C12">
      <text>
        <t xml:space="preserve">Human Translation</t>
      </text>
    </comment>
    <comment authorId="0" ref="J12">
      <text>
        <t xml:space="preserve">Human Translation</t>
      </text>
    </comment>
    <comment authorId="0" ref="B13">
      <text>
        <t xml:space="preserve">Human Translator</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C15">
      <text>
        <t xml:space="preserve">Human Translation</t>
      </text>
    </comment>
    <comment authorId="0" ref="J15">
      <text>
        <t xml:space="preserve">Human Translation</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B21">
      <text>
        <t xml:space="preserve">Human Translator</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B25">
      <text>
        <t xml:space="preserve">Human Translator</t>
      </text>
    </comment>
    <comment authorId="0" ref="C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J26">
      <text>
        <t xml:space="preserve">Human Translation</t>
      </text>
    </comment>
    <comment authorId="0" ref="C27">
      <text>
        <t xml:space="preserve">Human Translation</t>
      </text>
    </comment>
    <comment authorId="0" ref="D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D28">
      <text>
        <t xml:space="preserve">human translation</t>
      </text>
    </comment>
    <comment authorId="0" ref="J28">
      <text>
        <t xml:space="preserve">Human Translation</t>
      </text>
    </comment>
    <comment authorId="0" ref="B29">
      <text>
        <t xml:space="preserve">Human Translator</t>
      </text>
    </comment>
    <comment authorId="0" ref="C29">
      <text>
        <t xml:space="preserve">Human Translation</t>
      </text>
    </comment>
    <comment authorId="0" ref="J29">
      <text>
        <t xml:space="preserve">Human Translation</t>
      </text>
    </comment>
    <comment authorId="0" ref="B30">
      <text>
        <t xml:space="preserve">Human Translator</t>
      </text>
    </comment>
    <comment authorId="0" ref="C30">
      <text>
        <t xml:space="preserve">Human Translation</t>
      </text>
    </comment>
    <comment authorId="0" ref="J30">
      <text>
        <t xml:space="preserve">Human Translation</t>
      </text>
    </comment>
    <comment authorId="0" ref="C31">
      <text>
        <t xml:space="preserve">Human Translation</t>
      </text>
    </comment>
    <comment authorId="0" ref="J31">
      <text>
        <t xml:space="preserve">Human Translation</t>
      </text>
    </comment>
    <comment authorId="0" ref="C32">
      <text>
        <t xml:space="preserve">Human Translation</t>
      </text>
    </comment>
    <comment authorId="0" ref="J32">
      <text>
        <t xml:space="preserve">Human Translation</t>
      </text>
    </comment>
    <comment authorId="0" ref="B33">
      <text>
        <t xml:space="preserve">Human Translator</t>
      </text>
    </comment>
    <comment authorId="0" ref="C33">
      <text>
        <t xml:space="preserve">Human Translation</t>
      </text>
    </comment>
    <comment authorId="0" ref="J33">
      <text>
        <t xml:space="preserve">Human Translation</t>
      </text>
    </comment>
    <comment authorId="0" ref="B34">
      <text>
        <t xml:space="preserve">Human Translator</t>
      </text>
    </comment>
    <comment authorId="0" ref="C34">
      <text>
        <t xml:space="preserve">Human Translation</t>
      </text>
    </comment>
    <comment authorId="0" ref="J34">
      <text>
        <t xml:space="preserve">Human Translation</t>
      </text>
    </comment>
    <comment authorId="0" ref="C35">
      <text>
        <t xml:space="preserve">Human Translation</t>
      </text>
    </comment>
    <comment authorId="0" ref="D35">
      <text>
        <t xml:space="preserve">human translation</t>
      </text>
    </comment>
    <comment authorId="0" ref="J35">
      <text>
        <t xml:space="preserve">Human Translation</t>
      </text>
    </comment>
    <comment authorId="0" ref="C36">
      <text>
        <t xml:space="preserve">Human Translation</t>
      </text>
    </comment>
    <comment authorId="0" ref="J36">
      <text>
        <t xml:space="preserve">Human Translation</t>
      </text>
    </comment>
    <comment authorId="0" ref="C37">
      <text>
        <t xml:space="preserve">Human Translation</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B39">
      <text>
        <t xml:space="preserve">Human Translator</t>
      </text>
    </comment>
    <comment authorId="0" ref="C39">
      <text>
        <t xml:space="preserve">Human Translation</t>
      </text>
    </comment>
    <comment authorId="0" ref="D39">
      <text>
        <t xml:space="preserve">Human Translator</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J48">
      <text>
        <t xml:space="preserve">Human Translation</t>
      </text>
    </comment>
    <comment authorId="0" ref="B49">
      <text>
        <t xml:space="preserve">Human Translator</t>
      </text>
    </comment>
    <comment authorId="0" ref="C49">
      <text>
        <t xml:space="preserve">Human Translation</t>
      </text>
    </comment>
    <comment authorId="0" ref="J49">
      <text>
        <t xml:space="preserve">Human Translation</t>
      </text>
    </comment>
    <comment authorId="0" ref="B50">
      <text>
        <t xml:space="preserve">Human Translator</t>
      </text>
    </comment>
    <comment authorId="0" ref="C50">
      <text>
        <t xml:space="preserve">Human Translation</t>
      </text>
    </comment>
    <comment authorId="0" ref="D50">
      <text>
        <t xml:space="preserve">Human Translator</t>
      </text>
    </comment>
    <comment authorId="0" ref="J50">
      <text>
        <t xml:space="preserve">Human Translation</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J53">
      <text>
        <t xml:space="preserve">Human Translation</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B64">
      <text>
        <t xml:space="preserve">Human Translator</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C66">
      <text>
        <t xml:space="preserve">Human Translation</t>
      </text>
    </comment>
    <comment authorId="0" ref="J66">
      <text>
        <t xml:space="preserve">Human Translation</t>
      </text>
    </comment>
    <comment authorId="0" ref="B67">
      <text>
        <t xml:space="preserve">Human Translator</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B73">
      <text>
        <t xml:space="preserve">Human Translator</t>
      </text>
    </comment>
    <comment authorId="0" ref="C73">
      <text>
        <t xml:space="preserve">Human Translation</t>
      </text>
    </comment>
    <comment authorId="0" ref="J73">
      <text>
        <t xml:space="preserve">Human Translation</t>
      </text>
    </comment>
    <comment authorId="0" ref="B74">
      <text>
        <t xml:space="preserve">Human Translator</t>
      </text>
    </comment>
    <comment authorId="0" ref="C74">
      <text>
        <t xml:space="preserve">Human Translation</t>
      </text>
    </comment>
    <comment authorId="0" ref="J74">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B81">
      <text>
        <t xml:space="preserve">Human Translator</t>
      </text>
    </comment>
    <comment authorId="0" ref="C81">
      <text>
        <t xml:space="preserve">Human Translation</t>
      </text>
    </comment>
    <comment authorId="0" ref="J81">
      <text>
        <t xml:space="preserve">Human Translation</t>
      </text>
    </comment>
    <comment authorId="0" ref="C82">
      <text>
        <t xml:space="preserve">Human Translation</t>
      </text>
    </comment>
    <comment authorId="0" ref="J82">
      <text>
        <t xml:space="preserve">Human Translation</t>
      </text>
    </comment>
    <comment authorId="0" ref="C83">
      <text>
        <t xml:space="preserve">Human Translation</t>
      </text>
    </comment>
    <comment authorId="0" ref="J83">
      <text>
        <t xml:space="preserve">Human Translation</t>
      </text>
    </comment>
    <comment authorId="0" ref="B84">
      <text>
        <t xml:space="preserve">Human Translator</t>
      </text>
    </comment>
    <comment authorId="0" ref="C84">
      <text>
        <t xml:space="preserve">Human Translation</t>
      </text>
    </comment>
    <comment authorId="0" ref="J84">
      <text>
        <t xml:space="preserve">Human Translation</t>
      </text>
    </comment>
    <comment authorId="0" ref="B85">
      <text>
        <t xml:space="preserve">Human Translator</t>
      </text>
    </comment>
    <comment authorId="0" ref="J85">
      <text>
        <t xml:space="preserve">Human Translation</t>
      </text>
    </comment>
    <comment authorId="0" ref="B86">
      <text>
        <t xml:space="preserve">Human Translator</t>
      </text>
    </comment>
    <comment authorId="0" ref="J86">
      <text>
        <t xml:space="preserve">Human Translation</t>
      </text>
    </comment>
    <comment authorId="0" ref="B87">
      <text>
        <t xml:space="preserve">Human Translator</t>
      </text>
    </comment>
    <comment authorId="0" ref="C87">
      <text>
        <t xml:space="preserve">Human Translation</t>
      </text>
    </comment>
    <comment authorId="0" ref="J87">
      <text>
        <t xml:space="preserve">Human Translation</t>
      </text>
    </comment>
    <comment authorId="0" ref="C88">
      <text>
        <t xml:space="preserve">Human Translation</t>
      </text>
    </comment>
    <comment authorId="0" ref="J88">
      <text>
        <t xml:space="preserve">Human Translation</t>
      </text>
    </comment>
    <comment authorId="0" ref="B89">
      <text>
        <t xml:space="preserve">Human Translator</t>
      </text>
    </comment>
    <comment authorId="0" ref="J89">
      <text>
        <t xml:space="preserve">Human Translation</t>
      </text>
    </comment>
    <comment authorId="0" ref="B90">
      <text>
        <t xml:space="preserve">Human Translator</t>
      </text>
    </comment>
    <comment authorId="0" ref="B91">
      <text>
        <t xml:space="preserve">Human Translator</t>
      </text>
    </comment>
    <comment authorId="0" ref="C91">
      <text>
        <t xml:space="preserve">Human Translation</t>
      </text>
    </comment>
    <comment authorId="0" ref="J91">
      <text>
        <t xml:space="preserve">Human Translation</t>
      </text>
    </comment>
    <comment authorId="0" ref="B92">
      <text>
        <t xml:space="preserve">Human Translator</t>
      </text>
    </comment>
    <comment authorId="0" ref="J92">
      <text>
        <t xml:space="preserve">Human Translation</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B110">
      <text>
        <t xml:space="preserve">Human Translator</t>
      </text>
    </comment>
    <comment authorId="0" ref="C110">
      <text>
        <t xml:space="preserve">Human Translation</t>
      </text>
    </comment>
    <comment authorId="0" ref="J110">
      <text>
        <t xml:space="preserve">Human Translation</t>
      </text>
    </comment>
    <comment authorId="0" ref="B111">
      <text>
        <t xml:space="preserve">Human Translator</t>
      </text>
    </comment>
    <comment authorId="0" ref="C111">
      <text>
        <t xml:space="preserve">Human Translation</t>
      </text>
    </comment>
    <comment authorId="0" ref="J111">
      <text>
        <t xml:space="preserve">Human Translation</t>
      </text>
    </comment>
    <comment authorId="0" ref="J112">
      <text>
        <t xml:space="preserve">Human Translation</t>
      </text>
    </comment>
    <comment authorId="0" ref="E113">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G6">
      <text>
        <t xml:space="preserve">Human Translation</t>
      </text>
    </comment>
    <comment authorId="0" ref="I6">
      <text>
        <t xml:space="preserve">Human Translation</t>
      </text>
    </comment>
    <comment authorId="0" ref="P6">
      <text>
        <t xml:space="preserve">Human Translator
</t>
      </text>
    </comment>
    <comment authorId="0" ref="Q6">
      <text>
        <t xml:space="preserve">Human Translator</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E7">
      <text>
        <t xml:space="preserve">Human Translator</t>
      </text>
    </comment>
    <comment authorId="0" ref="G7">
      <text>
        <t xml:space="preserve">Human Translation</t>
      </text>
    </comment>
    <comment authorId="0" ref="I7">
      <text>
        <t xml:space="preserve">Human Translation</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G10">
      <text>
        <t xml:space="preserve">Human Translation</t>
      </text>
    </comment>
    <comment authorId="0" ref="I10">
      <text>
        <t xml:space="preserve">Human Translation</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F11">
      <text>
        <t xml:space="preserve">Human Translator</t>
      </text>
    </comment>
    <comment authorId="0" ref="G11">
      <text>
        <t xml:space="preserve">Human Translation</t>
      </text>
    </comment>
    <comment authorId="0" ref="I11">
      <text>
        <t xml:space="preserve">Human Translation</t>
      </text>
    </comment>
    <comment authorId="0" ref="P11">
      <text>
        <t xml:space="preserve">Human Translator
</t>
      </text>
    </comment>
    <comment authorId="0" ref="Q11">
      <text>
        <t xml:space="preserve">Human Translator
</t>
      </text>
    </comment>
    <comment authorId="0" ref="Y11">
      <text>
        <t xml:space="preserve">Human Translation</t>
      </text>
    </comment>
    <comment authorId="0" ref="AB11">
      <text>
        <t xml:space="preserve">Human Translation</t>
      </text>
    </comment>
    <comment authorId="0" ref="AC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Translation</t>
      </text>
    </comment>
    <comment authorId="0" ref="I12">
      <text>
        <t xml:space="preserve">Human Translation</t>
      </text>
    </comment>
    <comment authorId="0" ref="P12">
      <text>
        <t xml:space="preserve">Human Translator</t>
      </text>
    </comment>
    <comment authorId="0" ref="Q12">
      <text>
        <t xml:space="preserve">Human Translator
</t>
      </text>
    </comment>
    <comment authorId="0" ref="Y12">
      <text>
        <t xml:space="preserve">Human Translation</t>
      </text>
    </comment>
    <comment authorId="0" ref="AB12">
      <text>
        <t xml:space="preserve">Human Translation</t>
      </text>
    </comment>
    <comment authorId="0" ref="AC12">
      <text>
        <t xml:space="preserve">Human Translation</t>
      </text>
    </comment>
    <comment authorId="0" ref="AK12">
      <text>
        <t xml:space="preserve">Human Translation</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
</t>
      </text>
    </comment>
    <comment authorId="0" ref="AB13">
      <text>
        <t xml:space="preserve">Human Translation</t>
      </text>
    </comment>
    <comment authorId="0" ref="AK13">
      <text>
        <t xml:space="preserve">Human Translation</t>
      </text>
    </comment>
    <comment authorId="0" ref="D14">
      <text>
        <t xml:space="preserve">Human Translator</t>
      </text>
    </comment>
    <comment authorId="0" ref="E14">
      <text>
        <t xml:space="preserve">Human Translator</t>
      </text>
    </comment>
    <comment authorId="0" ref="G14">
      <text>
        <t xml:space="preserve">Human Translation</t>
      </text>
    </comment>
    <comment authorId="0" ref="P14">
      <text>
        <t xml:space="preserve">Human Translator</t>
      </text>
    </comment>
    <comment authorId="0" ref="Q14">
      <text>
        <t xml:space="preserve">Human Translator</t>
      </text>
    </comment>
    <comment authorId="0" ref="AB14">
      <text>
        <t xml:space="preserve">Human Translation</t>
      </text>
    </comment>
    <comment authorId="0" ref="AK14">
      <text>
        <t xml:space="preserve">Human Translation</t>
      </text>
    </comment>
    <comment authorId="0" ref="E15">
      <text>
        <t xml:space="preserve">Human Translator</t>
      </text>
    </comment>
    <comment authorId="0" ref="D16">
      <text>
        <t xml:space="preserve">Human Translator</t>
      </text>
    </comment>
    <comment authorId="0" ref="E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
</t>
      </text>
    </comment>
    <comment authorId="0" ref="Q16">
      <text>
        <t xml:space="preserve">Human Translator
</t>
      </text>
    </comment>
    <comment authorId="0" ref="AB16">
      <text>
        <t xml:space="preserve">Human Translation</t>
      </text>
    </comment>
    <comment authorId="0" ref="AK16">
      <text>
        <t xml:space="preserve">Human Translation</t>
      </text>
    </comment>
    <comment authorId="0" ref="D17">
      <text>
        <t xml:space="preserve">Human Translator</t>
      </text>
    </comment>
    <comment authorId="0" ref="E17">
      <text>
        <t xml:space="preserve">Human Translator</t>
      </text>
    </comment>
    <comment authorId="0" ref="G17">
      <text>
        <t xml:space="preserve">Human Translation</t>
      </text>
    </comment>
    <comment authorId="0" ref="H17">
      <text>
        <t xml:space="preserve">Human Translator</t>
      </text>
    </comment>
    <comment authorId="0" ref="I17">
      <text>
        <t xml:space="preserve">Human Translation</t>
      </text>
    </comment>
    <comment authorId="0" ref="P17">
      <text>
        <t xml:space="preserve">Human Translator
</t>
      </text>
    </comment>
    <comment authorId="0" ref="Q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AB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D20">
      <text>
        <t xml:space="preserve">Human Translator</t>
      </text>
    </comment>
    <comment authorId="0" ref="F20">
      <text>
        <t xml:space="preserve">Human Translator</t>
      </text>
    </comment>
    <comment authorId="0" ref="G20">
      <text>
        <t xml:space="preserve">Human Translation</t>
      </text>
    </comment>
    <comment authorId="0" ref="I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
</t>
      </text>
    </comment>
    <comment authorId="0" ref="AB20">
      <text>
        <t xml:space="preserve">Human Translation</t>
      </text>
    </comment>
    <comment authorId="0" ref="AK20">
      <text>
        <t xml:space="preserve">Human Translation</t>
      </text>
    </comment>
    <comment authorId="0" ref="D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Q22">
      <text>
        <t xml:space="preserve">Human Translator</t>
      </text>
    </comment>
    <comment authorId="0" ref="D23">
      <text>
        <t xml:space="preserve">Human Translator</t>
      </text>
    </comment>
    <comment authorId="0" ref="E23">
      <text>
        <t xml:space="preserve">Human Translator</t>
      </text>
    </comment>
    <comment authorId="0" ref="F23">
      <text>
        <t xml:space="preserve">Human Translator</t>
      </text>
    </comment>
    <comment authorId="0" ref="G23">
      <text>
        <t xml:space="preserve">Human Translation</t>
      </text>
    </comment>
    <comment authorId="0" ref="I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AB23">
      <text>
        <t xml:space="preserve">Human Translation</t>
      </text>
    </comment>
    <comment authorId="0" ref="AK23">
      <text>
        <t xml:space="preserve">Human Translation</t>
      </text>
    </comment>
    <comment authorId="0" ref="D24">
      <text>
        <t xml:space="preserve">Human Translator</t>
      </text>
    </comment>
    <comment authorId="0" ref="F24">
      <text>
        <t xml:space="preserve">Human Translator</t>
      </text>
    </comment>
    <comment authorId="0" ref="G24">
      <text>
        <t xml:space="preserve">Human Translation</t>
      </text>
    </comment>
    <comment authorId="0" ref="I24">
      <text>
        <t xml:space="preserve">Human Translation</t>
      </text>
    </comment>
    <comment authorId="0" ref="P24">
      <text>
        <t xml:space="preserve">Human Translator</t>
      </text>
    </comment>
    <comment authorId="0" ref="Q24">
      <text>
        <t xml:space="preserve">Human Translator</t>
      </text>
    </comment>
    <comment authorId="0" ref="R24">
      <text>
        <t xml:space="preserve">Human Translator</t>
      </text>
    </comment>
    <comment authorId="0" ref="AB24">
      <text>
        <t xml:space="preserve">Human Translation</t>
      </text>
    </comment>
    <comment authorId="0" ref="AK24">
      <text>
        <t xml:space="preserve">Human Translation</t>
      </text>
    </comment>
    <comment authorId="0" ref="G25">
      <text>
        <t xml:space="preserve">Human Translation</t>
      </text>
    </comment>
    <comment authorId="0" ref="I25">
      <text>
        <t xml:space="preserve">Human Translation</t>
      </text>
    </comment>
    <comment authorId="0" ref="AB25">
      <text>
        <t xml:space="preserve">Human Translation</t>
      </text>
    </comment>
    <comment authorId="0" ref="AK25">
      <text>
        <t xml:space="preserve">Human Translation</t>
      </text>
    </comment>
    <comment authorId="0" ref="D27">
      <text>
        <t xml:space="preserve">Human Translator</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P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Q29">
      <text>
        <t xml:space="preserve">Human Translator</t>
      </text>
    </comment>
    <comment authorId="0" ref="AB29">
      <text>
        <t xml:space="preserve">Human Translation</t>
      </text>
    </comment>
    <comment authorId="0" ref="AK29">
      <text>
        <t xml:space="preserve">Human Translation</t>
      </text>
    </comment>
    <comment authorId="0" ref="D30">
      <text>
        <t xml:space="preserve">Human Translator</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G31">
      <text>
        <t xml:space="preserve">Human Translation</t>
      </text>
    </comment>
    <comment authorId="0" ref="I31">
      <text>
        <t xml:space="preserve">Human Translation</t>
      </text>
    </comment>
    <comment authorId="0" ref="P31">
      <text>
        <t xml:space="preserve">Human Translator</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P32">
      <text>
        <t xml:space="preserve">Human Translator</t>
      </text>
    </comment>
    <comment authorId="0" ref="Q32">
      <text>
        <t xml:space="preserve">Human Translator</t>
      </text>
    </comment>
    <comment authorId="0" ref="AB32">
      <text>
        <t xml:space="preserve">Human Translation</t>
      </text>
    </comment>
    <comment authorId="0" ref="AK32">
      <text>
        <t xml:space="preserve">Human Translation</t>
      </text>
    </comment>
    <comment authorId="0" ref="E33">
      <text>
        <t xml:space="preserve">Human Translator</t>
      </text>
    </comment>
    <comment authorId="0" ref="G33">
      <text>
        <t xml:space="preserve">Human Translation</t>
      </text>
    </comment>
    <comment authorId="0" ref="I33">
      <text>
        <t xml:space="preserve">Human Translation</t>
      </text>
    </comment>
    <comment authorId="0" ref="Q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G34">
      <text>
        <t xml:space="preserve">Human Translation</t>
      </text>
    </comment>
    <comment authorId="0" ref="I34">
      <text>
        <t xml:space="preserve">Human Translation</t>
      </text>
    </comment>
    <comment authorId="0" ref="Q34">
      <text>
        <t xml:space="preserve">Human Translator</t>
      </text>
    </comment>
    <comment authorId="0" ref="R34">
      <text>
        <t xml:space="preserve">Human Translator</t>
      </text>
    </comment>
    <comment authorId="0" ref="AB34">
      <text>
        <t xml:space="preserve">Human Translation</t>
      </text>
    </comment>
    <comment authorId="0" ref="AK34">
      <text>
        <t xml:space="preserve">Human Translation</t>
      </text>
    </comment>
    <comment authorId="0" ref="G35">
      <text>
        <t xml:space="preserve">Human Translation</t>
      </text>
    </comment>
    <comment authorId="0" ref="I35">
      <text>
        <t xml:space="preserve">Human Translation</t>
      </text>
    </comment>
    <comment authorId="0" ref="P35">
      <text>
        <t xml:space="preserve">Human Translator</t>
      </text>
    </comment>
    <comment authorId="0" ref="AB35">
      <text>
        <t xml:space="preserve">Human Translation</t>
      </text>
    </comment>
    <comment authorId="0" ref="AK35">
      <text>
        <t xml:space="preserve">Human Translation</t>
      </text>
    </comment>
    <comment authorId="0" ref="E36">
      <text>
        <t xml:space="preserve">Human Translator</t>
      </text>
    </comment>
    <comment authorId="0" ref="G36">
      <text>
        <t xml:space="preserve">Human Translation</t>
      </text>
    </comment>
    <comment authorId="0" ref="H36">
      <text>
        <t xml:space="preserve">Human Translator</t>
      </text>
    </comment>
    <comment authorId="0" ref="I36">
      <text>
        <t xml:space="preserve">Human Translator</t>
      </text>
    </comment>
    <comment authorId="0" ref="P36">
      <text>
        <t xml:space="preserve">Human Translator</t>
      </text>
    </comment>
    <comment authorId="0" ref="AB36">
      <text>
        <t xml:space="preserve">Human Translation</t>
      </text>
    </comment>
    <comment authorId="0" ref="AC36">
      <text>
        <t xml:space="preserve">Human Translator</t>
      </text>
    </comment>
    <comment authorId="0" ref="AK36">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G39">
      <text>
        <t xml:space="preserve">Human Translation</t>
      </text>
    </comment>
    <comment authorId="0" ref="I39">
      <text>
        <t xml:space="preserve">Human Translation</t>
      </text>
    </comment>
    <comment authorId="0" ref="Q39">
      <text>
        <t xml:space="preserve">Human Translator</t>
      </text>
    </comment>
    <comment authorId="0" ref="AB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Translation</t>
      </text>
    </comment>
    <comment authorId="0" ref="H40">
      <text>
        <t xml:space="preserve">Human Translator</t>
      </text>
    </comment>
    <comment authorId="0" ref="I40">
      <text>
        <t xml:space="preserve">Human Translation</t>
      </text>
    </comment>
    <comment authorId="0" ref="Q40">
      <text>
        <t xml:space="preserve">Human Translator</t>
      </text>
    </comment>
    <comment authorId="0" ref="R40">
      <text>
        <t xml:space="preserve">Human Translator</t>
      </text>
    </comment>
    <comment authorId="0" ref="V40">
      <text>
        <t xml:space="preserve">Human Translator</t>
      </text>
    </comment>
    <comment authorId="0" ref="X40">
      <text>
        <t xml:space="preserve">Human Translator</t>
      </text>
    </comment>
    <comment authorId="0" ref="AB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Translation</t>
      </text>
    </comment>
    <comment authorId="0" ref="I41">
      <text>
        <t xml:space="preserve">Human Translator</t>
      </text>
    </comment>
    <comment authorId="0" ref="Q41">
      <text>
        <t xml:space="preserve">Human Translator</t>
      </text>
    </comment>
    <comment authorId="0" ref="R41">
      <text>
        <t xml:space="preserve">Human Translator</t>
      </text>
    </comment>
    <comment authorId="0" ref="AB41">
      <text>
        <t xml:space="preserve">Human Translation</t>
      </text>
    </comment>
    <comment authorId="0" ref="AK41">
      <text>
        <t xml:space="preserve">Human Translator</t>
      </text>
    </comment>
    <comment authorId="0" ref="F42">
      <text>
        <t xml:space="preserve">Human Translator</t>
      </text>
    </comment>
    <comment authorId="0" ref="G42">
      <text>
        <t xml:space="preserve">Human Translation</t>
      </text>
    </comment>
    <comment authorId="0" ref="Q42">
      <text>
        <t xml:space="preserve">Human Translator
</t>
      </text>
    </comment>
    <comment authorId="0" ref="AB42">
      <text>
        <t xml:space="preserve">Human Translation</t>
      </text>
    </comment>
    <comment authorId="0" ref="F43">
      <text>
        <t xml:space="preserve">Human Translator</t>
      </text>
    </comment>
    <comment authorId="0" ref="G43">
      <text>
        <t xml:space="preserve">Human Translation</t>
      </text>
    </comment>
    <comment authorId="0" ref="I43">
      <text>
        <t xml:space="preserve">Human Translation</t>
      </text>
    </comment>
    <comment authorId="0" ref="Q43">
      <text>
        <t xml:space="preserve">Human Translator</t>
      </text>
    </comment>
    <comment authorId="0" ref="V43">
      <text>
        <t xml:space="preserve">Human Translator</t>
      </text>
    </comment>
    <comment authorId="0" ref="X43">
      <text>
        <t xml:space="preserve">Human Translator</t>
      </text>
    </comment>
    <comment authorId="0" ref="AB43">
      <text>
        <t xml:space="preserve">Human Translation</t>
      </text>
    </comment>
    <comment authorId="0" ref="AK43">
      <text>
        <t xml:space="preserve">Human Translation</t>
      </text>
    </comment>
    <comment authorId="0" ref="G44">
      <text>
        <t xml:space="preserve">Human Translation</t>
      </text>
    </comment>
    <comment authorId="0" ref="I44">
      <text>
        <t xml:space="preserve">Human Translation</t>
      </text>
    </comment>
    <comment authorId="0" ref="AB44">
      <text>
        <t xml:space="preserve">Human Translation</t>
      </text>
    </comment>
    <comment authorId="0" ref="AK44">
      <text>
        <t xml:space="preserve">Human Translation</t>
      </text>
    </comment>
    <comment authorId="0" ref="D46">
      <text>
        <t xml:space="preserve">Human Translator</t>
      </text>
    </comment>
    <comment authorId="0" ref="E46">
      <text>
        <t xml:space="preserve">Human Translator</t>
      </text>
    </comment>
    <comment authorId="0" ref="G46">
      <text>
        <t xml:space="preserve">Human Translator</t>
      </text>
    </comment>
    <comment authorId="0" ref="AB46">
      <text>
        <t xml:space="preserve">Human Translator</t>
      </text>
    </comment>
    <comment authorId="0" ref="E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AK47">
      <text>
        <t xml:space="preserve">Human Translation</t>
      </text>
    </comment>
    <comment authorId="0" ref="D48">
      <text>
        <t xml:space="preserve">Human Translator</t>
      </text>
    </comment>
    <comment authorId="0" ref="E48">
      <text>
        <t xml:space="preserve">Human Translator</t>
      </text>
    </comment>
    <comment authorId="0" ref="G48">
      <text>
        <t xml:space="preserve">Human Translation</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E49">
      <text>
        <t xml:space="preserve">Human Translator</t>
      </text>
    </comment>
    <comment authorId="0" ref="G49">
      <text>
        <t xml:space="preserve">Human Translation</t>
      </text>
    </comment>
    <comment authorId="0" ref="H49">
      <text>
        <t xml:space="preserve">Human Translator</t>
      </text>
    </comment>
    <comment authorId="0" ref="I49">
      <text>
        <t xml:space="preserve">Human Translation</t>
      </text>
    </comment>
    <comment authorId="0" ref="U49">
      <text>
        <t xml:space="preserve">Human Translator</t>
      </text>
    </comment>
    <comment authorId="0" ref="V49">
      <text>
        <t xml:space="preserve">Human Translator</t>
      </text>
    </comment>
    <comment authorId="0" ref="X49">
      <text>
        <t xml:space="preserve">Human Translator</t>
      </text>
    </comment>
    <comment authorId="0" ref="AB49">
      <text>
        <t xml:space="preserve">Human Translation</t>
      </text>
    </comment>
    <comment authorId="0" ref="AK49">
      <text>
        <t xml:space="preserve">Human Translation</t>
      </text>
    </comment>
    <comment authorId="0" ref="E50">
      <text>
        <t xml:space="preserve">Human Translator</t>
      </text>
    </comment>
    <comment authorId="0" ref="G50">
      <text>
        <t xml:space="preserve">Human Translation</t>
      </text>
    </comment>
    <comment authorId="0" ref="H50">
      <text>
        <t xml:space="preserve">Human Translator</t>
      </text>
    </comment>
    <comment authorId="0" ref="I50">
      <text>
        <t xml:space="preserve">Human Translation</t>
      </text>
    </comment>
    <comment authorId="0" ref="U50">
      <text>
        <t xml:space="preserve">Human Translator</t>
      </text>
    </comment>
    <comment authorId="0" ref="V50">
      <text>
        <t xml:space="preserve">Human Translator</t>
      </text>
    </comment>
    <comment authorId="0" ref="X50">
      <text>
        <t xml:space="preserve">Human Translator</t>
      </text>
    </comment>
    <comment authorId="0" ref="AB50">
      <text>
        <t xml:space="preserve">Human Translation</t>
      </text>
    </comment>
    <comment authorId="0" ref="AK50">
      <text>
        <t xml:space="preserve">Human Translation</t>
      </text>
    </comment>
    <comment authorId="0" ref="G51">
      <text>
        <t xml:space="preserve">Human Translation</t>
      </text>
    </comment>
    <comment authorId="0" ref="I51">
      <text>
        <t xml:space="preserve">Human Translation</t>
      </text>
    </comment>
    <comment authorId="0" ref="AB51">
      <text>
        <t xml:space="preserve">Human Translation</t>
      </text>
    </comment>
    <comment authorId="0" ref="G52">
      <text>
        <t xml:space="preserve">Human Translation</t>
      </text>
    </comment>
    <comment authorId="0" ref="I52">
      <text>
        <t xml:space="preserve">Human Translation</t>
      </text>
    </comment>
    <comment authorId="0" ref="AB52">
      <text>
        <t xml:space="preserve">Human Translation</t>
      </text>
    </comment>
    <comment authorId="0" ref="AK52">
      <text>
        <t xml:space="preserve">Human Translation</t>
      </text>
    </comment>
    <comment authorId="0" ref="I53">
      <text>
        <t xml:space="preserve">Human Translation</t>
      </text>
    </comment>
    <comment authorId="0" ref="I54">
      <text>
        <t xml:space="preserve">Human Translation</t>
      </text>
    </comment>
    <comment authorId="0" ref="I55">
      <text>
        <t xml:space="preserve">Human Translation</t>
      </text>
    </comment>
    <comment authorId="0" ref="I56">
      <text>
        <t xml:space="preserve">Human Translation</t>
      </text>
    </comment>
    <comment authorId="0" ref="I58">
      <text>
        <t xml:space="preserve">Human Translation</t>
      </text>
    </comment>
    <comment authorId="0" ref="U58">
      <text>
        <t xml:space="preserve">Human Translator</t>
      </text>
    </comment>
    <comment authorId="0" ref="I59">
      <text>
        <t xml:space="preserve">Human Translation</t>
      </text>
    </comment>
    <comment authorId="0" ref="U59">
      <text>
        <t xml:space="preserve">Human Translator</t>
      </text>
    </comment>
    <comment authorId="0" ref="I60">
      <text>
        <t xml:space="preserve">Human Translation</t>
      </text>
    </comment>
    <comment authorId="0" ref="I61">
      <text>
        <t xml:space="preserve">Human Translation</t>
      </text>
    </comment>
    <comment authorId="0" ref="I63">
      <text>
        <t xml:space="preserve">Human Translation</t>
      </text>
    </comment>
    <comment authorId="0" ref="V63">
      <text>
        <t xml:space="preserve">Human Translator
</t>
      </text>
    </comment>
    <comment authorId="0" ref="AK63">
      <text>
        <t xml:space="preserve">Human Translation</t>
      </text>
    </comment>
    <comment authorId="0" ref="I64">
      <text>
        <t xml:space="preserve">Human Translation</t>
      </text>
    </comment>
    <comment authorId="0" ref="V64">
      <text>
        <t xml:space="preserve">Human Translator</t>
      </text>
    </comment>
    <comment authorId="0" ref="AK64">
      <text>
        <t xml:space="preserve">Human Translation</t>
      </text>
    </comment>
    <comment authorId="0" ref="I65">
      <text>
        <t xml:space="preserve">Human Translation</t>
      </text>
    </comment>
    <comment authorId="0" ref="AK65">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3">
      <text>
        <t xml:space="preserve">Human Translation</t>
      </text>
    </comment>
    <comment authorId="0" ref="S3">
      <text>
        <t xml:space="preserve">Human Translation</t>
      </text>
    </comment>
    <comment authorId="0" ref="E4">
      <text>
        <t xml:space="preserve">Human Translation</t>
      </text>
    </comment>
    <comment authorId="0" ref="I4">
      <text>
        <t xml:space="preserve">Human</t>
      </text>
    </comment>
    <comment authorId="0" ref="J4">
      <text>
        <t xml:space="preserve">Human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C6">
      <text>
        <t xml:space="preserve">Human Translator</t>
      </text>
    </comment>
    <comment authorId="0" ref="E6">
      <text>
        <t xml:space="preserve">Human Translation</t>
      </text>
    </comment>
    <comment authorId="0" ref="I6">
      <text>
        <t xml:space="preserve">Human</t>
      </text>
    </comment>
    <comment authorId="0" ref="S6">
      <text>
        <t xml:space="preserve">Human Translation</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Human</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I10">
      <text>
        <t xml:space="preserve">Human</t>
      </text>
    </comment>
    <comment authorId="0" ref="C11">
      <text>
        <t xml:space="preserve">Human Translator</t>
      </text>
    </comment>
    <comment authorId="0" ref="E11">
      <text>
        <t xml:space="preserve">Human Translation</t>
      </text>
    </comment>
    <comment authorId="0" ref="I11">
      <text>
        <t xml:space="preserve">Human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L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K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K14">
      <text>
        <t xml:space="preserve">Human Translator</t>
      </text>
    </comment>
    <comment authorId="0" ref="S14">
      <text>
        <t xml:space="preserve">Human Translation</t>
      </text>
    </comment>
    <comment authorId="0" ref="E15">
      <text>
        <t xml:space="preserve">Human Translation</t>
      </text>
    </comment>
    <comment authorId="0" ref="I15">
      <text>
        <t xml:space="preserve">Human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Translation</t>
      </text>
    </comment>
    <comment authorId="0" ref="I22">
      <text>
        <t xml:space="preserve">Human</t>
      </text>
    </comment>
    <comment authorId="0" ref="S22">
      <text>
        <t xml:space="preserve">Human Translation</t>
      </text>
    </comment>
    <comment authorId="0" ref="C23">
      <text>
        <t xml:space="preserve">Human Translator</t>
      </text>
    </comment>
    <comment authorId="0" ref="E23">
      <text>
        <t xml:space="preserve">Human Translation</t>
      </text>
    </comment>
    <comment authorId="0" ref="I23">
      <text>
        <t xml:space="preserve">Human</t>
      </text>
    </comment>
    <comment authorId="0" ref="S23">
      <text>
        <t xml:space="preserve">Human Translation</t>
      </text>
    </comment>
    <comment authorId="0" ref="C24">
      <text>
        <t xml:space="preserve">Human Translator</t>
      </text>
    </comment>
    <comment authorId="0" ref="E24">
      <text>
        <t xml:space="preserve">Human Translator</t>
      </text>
    </comment>
    <comment authorId="0" ref="I24">
      <text>
        <t xml:space="preserve">Human</t>
      </text>
    </comment>
    <comment authorId="0" ref="O24">
      <text>
        <t xml:space="preserve">Human Translator</t>
      </text>
    </comment>
    <comment authorId="0" ref="S24">
      <text>
        <t xml:space="preserve">Human Translator</t>
      </text>
    </comment>
    <comment authorId="0" ref="E25">
      <text>
        <t xml:space="preserve">Human Translator</t>
      </text>
    </comment>
    <comment authorId="0" ref="I25">
      <text>
        <t xml:space="preserve">Human</t>
      </text>
    </comment>
    <comment authorId="0" ref="O25">
      <text>
        <t xml:space="preserve">Human Translator</t>
      </text>
    </comment>
    <comment authorId="0" ref="S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S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I27">
      <text>
        <t xml:space="preserve">Human</t>
      </text>
    </comment>
    <comment authorId="0" ref="S27">
      <text>
        <t xml:space="preserve">Human Translation</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Translation</t>
      </text>
    </comment>
    <comment authorId="0" ref="I29">
      <text>
        <t xml:space="preserve">Human</t>
      </text>
    </comment>
    <comment authorId="0" ref="S29">
      <text>
        <t xml:space="preserve">Human Translation</t>
      </text>
    </comment>
    <comment authorId="0" ref="C30">
      <text>
        <t xml:space="preserve">Human Translator</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Translator
</t>
      </text>
    </comment>
    <comment authorId="0" ref="I31">
      <text>
        <t xml:space="preserve">Human</t>
      </text>
    </comment>
    <comment authorId="0" ref="S31">
      <text>
        <t xml:space="preserve">Human Translator
</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 
</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C35">
      <text>
        <t xml:space="preserve">Human Translator</t>
      </text>
    </comment>
    <comment authorId="0" ref="E35">
      <text>
        <t xml:space="preserve">Human Translation</t>
      </text>
    </comment>
    <comment authorId="0" ref="I35">
      <text>
        <t xml:space="preserve">Human</t>
      </text>
    </comment>
    <comment authorId="0" ref="S35">
      <text>
        <t xml:space="preserve">Human Translation</t>
      </text>
    </comment>
    <comment authorId="0" ref="E36">
      <text>
        <t xml:space="preserve">Human Translation</t>
      </text>
    </comment>
    <comment authorId="0" ref="I36">
      <text>
        <t xml:space="preserve">Human</t>
      </text>
    </comment>
    <comment authorId="0" ref="S36">
      <text>
        <t xml:space="preserve">Human Translation</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I41">
      <text>
        <t xml:space="preserve">Human</t>
      </text>
    </comment>
    <comment authorId="0" ref="S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I42">
      <text>
        <t xml:space="preserve">Human</t>
      </text>
    </comment>
    <comment authorId="0" ref="S42">
      <text>
        <t xml:space="preserve">Human Translation</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S48">
      <text>
        <t xml:space="preserve">Human Translation</t>
      </text>
    </comment>
    <comment authorId="0" ref="E49">
      <text>
        <t xml:space="preserve">Human Translation</t>
      </text>
    </comment>
    <comment authorId="0" ref="I49">
      <text>
        <t xml:space="preserve">Human</t>
      </text>
    </comment>
    <comment authorId="0" ref="S49">
      <text>
        <t xml:space="preserve">Human Translation</t>
      </text>
    </comment>
    <comment authorId="0" ref="C50">
      <text>
        <t xml:space="preserve">Human Translator</t>
      </text>
    </comment>
    <comment authorId="0" ref="D50">
      <text>
        <t xml:space="preserve">Human Translator</t>
      </text>
    </comment>
    <comment authorId="0" ref="E50">
      <text>
        <t xml:space="preserve">Human Translation</t>
      </text>
    </comment>
    <comment authorId="0" ref="I50">
      <text>
        <t xml:space="preserve">Human</t>
      </text>
    </comment>
    <comment authorId="0" ref="E51">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L5">
      <text>
        <t xml:space="preserve">Human Translator</t>
      </text>
    </comment>
    <comment authorId="0" ref="S5">
      <text>
        <t xml:space="preserve">Human Translation</t>
      </text>
    </comment>
    <comment authorId="0" ref="E6">
      <text>
        <t xml:space="preserve">Human Translation</t>
      </text>
    </comment>
    <comment authorId="0" ref="S6">
      <text>
        <t xml:space="preserve">Human Translation</t>
      </text>
    </comment>
    <comment authorId="0" ref="E7">
      <text>
        <t xml:space="preserve">Human Translation</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S13">
      <text>
        <t xml:space="preserve">Human Translation</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S17">
      <text>
        <t xml:space="preserve">Human Translation</t>
      </text>
    </comment>
    <comment authorId="0" ref="C18">
      <text>
        <t xml:space="preserve">Human Translator</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S21">
      <text>
        <t xml:space="preserve">Human Translation</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C42">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S42">
      <text>
        <t xml:space="preserve">Human Translation</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E44">
      <text>
        <t xml:space="preserve">Human Translation</t>
      </text>
    </comment>
    <comment authorId="0" ref="K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S49">
      <text>
        <t xml:space="preserve">Human Translation</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S50">
      <text>
        <t xml:space="preserve">Human Translation</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S53">
      <text>
        <t xml:space="preserve">Human Translation</t>
      </text>
    </comment>
    <comment authorId="0" ref="C54">
      <text>
        <t xml:space="preserve">Human Translator</t>
      </text>
    </comment>
    <comment authorId="0" ref="E54">
      <text>
        <t xml:space="preserve">Human Translation</t>
      </text>
    </comment>
    <comment authorId="0" ref="L54">
      <text>
        <t xml:space="preserve">Human Translator</t>
      </text>
    </comment>
    <comment authorId="0" ref="S54">
      <text>
        <t xml:space="preserve">Human Translation</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S55">
      <text>
        <t xml:space="preserve">Human Translation</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S56">
      <text>
        <t xml:space="preserve">Human Translation</t>
      </text>
    </comment>
    <comment authorId="0" ref="C57">
      <text>
        <t xml:space="preserve">Human Translator</t>
      </text>
    </comment>
    <comment authorId="0" ref="E57">
      <text>
        <t xml:space="preserve">Human Translation</t>
      </text>
    </comment>
    <comment authorId="0" ref="I57">
      <text>
        <t xml:space="preserve">humano
</t>
      </text>
    </comment>
    <comment authorId="0" ref="S57">
      <text>
        <t xml:space="preserve">Human Translation</t>
      </text>
    </comment>
    <comment authorId="0" ref="C58">
      <text>
        <t xml:space="preserve">Human Translator</t>
      </text>
    </comment>
    <comment authorId="0" ref="E58">
      <text>
        <t xml:space="preserve">Human Translator</t>
      </text>
    </comment>
    <comment authorId="0" ref="S58">
      <text>
        <t xml:space="preserve">Human Translator</t>
      </text>
    </comment>
    <comment authorId="0" ref="C59">
      <text>
        <t xml:space="preserve">Human Translator</t>
      </text>
    </comment>
    <comment authorId="0" ref="E59">
      <text>
        <t xml:space="preserve">Human Translator</t>
      </text>
    </comment>
    <comment authorId="0" ref="S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S60">
      <text>
        <t xml:space="preserve">Human Translator</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C67">
      <text>
        <t xml:space="preserve">Human Translator</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 authorId="0" ref="C80">
      <text>
        <t xml:space="preserve">Human Translator</t>
      </text>
    </comment>
    <comment authorId="0" ref="E80">
      <text>
        <t xml:space="preserve">Human Translation</t>
      </text>
    </comment>
    <comment authorId="0" ref="S80">
      <text>
        <t xml:space="preserve">Human Translation</t>
      </text>
    </comment>
    <comment authorId="0" ref="C81">
      <text>
        <t xml:space="preserve">Human Translator</t>
      </text>
    </comment>
    <comment authorId="0" ref="E81">
      <text>
        <t xml:space="preserve">Human Translation</t>
      </text>
    </comment>
    <comment authorId="0" ref="S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D4">
      <text>
        <t xml:space="preserve">Human Translator</t>
      </text>
    </comment>
    <comment authorId="0" ref="E4">
      <text>
        <t xml:space="preserve">Human Translation</t>
      </text>
    </comment>
    <comment authorId="0" ref="J4">
      <text>
        <t xml:space="preserve">human
</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I6">
      <text>
        <t xml:space="preserve">human
</t>
      </text>
    </comment>
    <comment authorId="0" ref="J6">
      <text>
        <t xml:space="preserve">human
</t>
      </text>
    </comment>
    <comment authorId="0" ref="K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L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E8">
      <text>
        <t xml:space="preserve">Human Translation</t>
      </text>
    </comment>
    <comment authorId="0" ref="J8">
      <text>
        <t xml:space="preserve">human
</t>
      </text>
    </comment>
    <comment authorId="0" ref="K8">
      <text>
        <t xml:space="preserve">Human Translator</t>
      </text>
    </comment>
    <comment authorId="0" ref="S8">
      <text>
        <t xml:space="preserve">Human Translation</t>
      </text>
    </comment>
    <comment authorId="0" ref="E9">
      <text>
        <t xml:space="preserve">Human Translation</t>
      </text>
    </comment>
    <comment authorId="0" ref="I9">
      <text>
        <t xml:space="preserve">Traducción humana</t>
      </text>
    </comment>
    <comment authorId="0" ref="J9">
      <text>
        <t xml:space="preserve">human
</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J12">
      <text>
        <t xml:space="preserve">human
</t>
      </text>
    </comment>
    <comment authorId="0" ref="K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I13">
      <text>
        <t xml:space="preserve">human
</t>
      </text>
    </comment>
    <comment authorId="0" ref="J13">
      <text>
        <t xml:space="preserve">human</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J16">
      <text>
        <t xml:space="preserve">human
</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D17">
      <text>
        <t xml:space="preserve">Human Translator</t>
      </text>
    </comment>
    <comment authorId="0" ref="E17">
      <text>
        <t xml:space="preserve">Human Translation</t>
      </text>
    </comment>
    <comment authorId="0" ref="S17">
      <text>
        <t xml:space="preserve">Human Translation</t>
      </text>
    </comment>
    <comment authorId="0" ref="C18">
      <text>
        <t xml:space="preserve">human translation</t>
      </text>
    </comment>
    <comment authorId="0" ref="D18">
      <text>
        <t xml:space="preserve">Human Translator</t>
      </text>
    </comment>
    <comment authorId="0" ref="E18">
      <text>
        <t xml:space="preserve">Human Translation</t>
      </text>
    </comment>
    <comment authorId="0" ref="J18">
      <text>
        <t xml:space="preserve">human
</t>
      </text>
    </comment>
    <comment authorId="0" ref="K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J19">
      <text>
        <t xml:space="preserve">human
</t>
      </text>
    </comment>
    <comment authorId="0" ref="L19">
      <text>
        <t xml:space="preserve">Human Translator</t>
      </text>
    </comment>
    <comment authorId="0" ref="S19">
      <text>
        <t xml:space="preserve">Human Translation</t>
      </text>
    </comment>
    <comment authorId="0" ref="C20">
      <text>
        <t xml:space="preserve">Human Translator</t>
      </text>
    </comment>
    <comment authorId="0" ref="D20">
      <text>
        <t xml:space="preserve">Human Translator</t>
      </text>
    </comment>
    <comment authorId="0" ref="E20">
      <text>
        <t xml:space="preserve">Human Translation</t>
      </text>
    </comment>
    <comment authorId="0" ref="J20">
      <text>
        <t xml:space="preserve">human
</t>
      </text>
    </comment>
    <comment authorId="0" ref="L20">
      <text>
        <t xml:space="preserve">Human Translator</t>
      </text>
    </comment>
    <comment authorId="0" ref="S20">
      <text>
        <t xml:space="preserve">Human Translation</t>
      </text>
    </comment>
    <comment authorId="0" ref="C21">
      <text>
        <t xml:space="preserve">human translation</t>
      </text>
    </comment>
    <comment authorId="0" ref="D21">
      <text>
        <t xml:space="preserve">Human Translator</t>
      </text>
    </comment>
    <comment authorId="0" ref="E21">
      <text>
        <t xml:space="preserve">Human Translation</t>
      </text>
    </comment>
    <comment authorId="0" ref="J21">
      <text>
        <t xml:space="preserve">human</t>
      </text>
    </comment>
    <comment authorId="0" ref="L21">
      <text>
        <t xml:space="preserve">Human Translator</t>
      </text>
    </comment>
    <comment authorId="0" ref="S21">
      <text>
        <t xml:space="preserve">Human Translation</t>
      </text>
    </comment>
    <comment authorId="0" ref="D22">
      <text>
        <t xml:space="preserve">Human Translator</t>
      </text>
    </comment>
    <comment authorId="0" ref="E22">
      <text>
        <t xml:space="preserve">Human Translation</t>
      </text>
    </comment>
    <comment authorId="0" ref="J22">
      <text>
        <t xml:space="preserve">human</t>
      </text>
    </comment>
    <comment authorId="0" ref="L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J23">
      <text>
        <t xml:space="preserve">human
</t>
      </text>
    </comment>
    <comment authorId="0" ref="K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J24">
      <text>
        <t xml:space="preserve">human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J25">
      <text>
        <t xml:space="preserve">human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J26">
      <text>
        <t xml:space="preserve">human</t>
      </text>
    </comment>
    <comment authorId="0" ref="L26">
      <text>
        <t xml:space="preserve">Human Translator</t>
      </text>
    </comment>
    <comment authorId="0" ref="S26">
      <text>
        <t xml:space="preserve">Human Translation</t>
      </text>
    </comment>
    <comment authorId="0" ref="C27">
      <text>
        <t xml:space="preserve">Human Translator</t>
      </text>
    </comment>
    <comment authorId="0" ref="D27">
      <text>
        <t xml:space="preserve">Human Translator</t>
      </text>
    </comment>
    <comment authorId="0" ref="E27">
      <text>
        <t xml:space="preserve">Human Translation</t>
      </text>
    </comment>
    <comment authorId="0" ref="J27">
      <text>
        <t xml:space="preserve">human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Translator</t>
      </text>
    </comment>
    <comment authorId="0" ref="J28">
      <text>
        <t xml:space="preserve">human</t>
      </text>
    </comment>
    <comment authorId="0" ref="S28">
      <text>
        <t xml:space="preserve">Human Translator</t>
      </text>
    </comment>
    <comment authorId="0" ref="D29">
      <text>
        <t xml:space="preserve">Human Translator</t>
      </text>
    </comment>
    <comment authorId="0" ref="E29">
      <text>
        <t xml:space="preserve">Human Translation</t>
      </text>
    </comment>
    <comment authorId="0" ref="J29">
      <text>
        <t xml:space="preserve">human</t>
      </text>
    </comment>
    <comment authorId="0" ref="K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J30">
      <text>
        <t xml:space="preserve">human</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J31">
      <text>
        <t xml:space="preserve">human
</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J32">
      <text>
        <t xml:space="preserve">human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J33">
      <text>
        <t xml:space="preserve">human</t>
      </text>
    </comment>
    <comment authorId="0" ref="S33">
      <text>
        <t xml:space="preserve">Human Translation</t>
      </text>
    </comment>
    <comment authorId="0" ref="C34">
      <text>
        <t xml:space="preserve">Human Translator</t>
      </text>
    </comment>
    <comment authorId="0" ref="D34">
      <text>
        <t xml:space="preserve">Human Translator</t>
      </text>
    </comment>
    <comment authorId="0" ref="E34">
      <text>
        <t xml:space="preserve">Human Translation</t>
      </text>
    </comment>
    <comment authorId="0" ref="J34">
      <text>
        <t xml:space="preserve">human</t>
      </text>
    </comment>
    <comment authorId="0" ref="S34">
      <text>
        <t xml:space="preserve">Human Translation</t>
      </text>
    </comment>
    <comment authorId="0" ref="C35">
      <text>
        <t xml:space="preserve">Human Translator
</t>
      </text>
    </comment>
    <comment authorId="0" ref="E35">
      <text>
        <t xml:space="preserve">Human Translation</t>
      </text>
    </comment>
    <comment authorId="0" ref="I35">
      <text>
        <t xml:space="preserve">human</t>
      </text>
    </comment>
    <comment authorId="0" ref="J35">
      <text>
        <t xml:space="preserve">human</t>
      </text>
    </comment>
    <comment authorId="0" ref="S35">
      <text>
        <t xml:space="preserve">Human Translation</t>
      </text>
    </comment>
    <comment authorId="0" ref="C36">
      <text>
        <t xml:space="preserve">Human Translator</t>
      </text>
    </comment>
    <comment authorId="0" ref="D36">
      <text>
        <t xml:space="preserve">Human Translator</t>
      </text>
    </comment>
    <comment authorId="0" ref="E36">
      <text>
        <t xml:space="preserve">Human Translation</t>
      </text>
    </comment>
    <comment authorId="0" ref="I36">
      <text>
        <t xml:space="preserve">human</t>
      </text>
    </comment>
    <comment authorId="0" ref="J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J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J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J39">
      <text>
        <t xml:space="preserve">human</t>
      </text>
    </comment>
    <comment authorId="0" ref="S39">
      <text>
        <t xml:space="preserve">Human translation</t>
      </text>
    </comment>
    <comment authorId="0" ref="C40">
      <text>
        <t xml:space="preserve">Human Translator</t>
      </text>
    </comment>
    <comment authorId="0" ref="E40">
      <text>
        <t xml:space="preserve">Human Translator</t>
      </text>
    </comment>
    <comment authorId="0" ref="I40">
      <text>
        <t xml:space="preserve">human</t>
      </text>
    </comment>
    <comment authorId="0" ref="J40">
      <text>
        <t xml:space="preserve">human</t>
      </text>
    </comment>
    <comment authorId="0" ref="S40">
      <text>
        <t xml:space="preserve">Human Translator</t>
      </text>
    </comment>
    <comment authorId="0" ref="E41">
      <text>
        <t xml:space="preserve">Human Translator</t>
      </text>
    </comment>
    <comment authorId="0" ref="I41">
      <text>
        <t xml:space="preserve">human</t>
      </text>
    </comment>
    <comment authorId="0" ref="J41">
      <text>
        <t xml:space="preserve">human</t>
      </text>
    </comment>
    <comment authorId="0" ref="S41">
      <text>
        <t xml:space="preserve">Human Translator</t>
      </text>
    </comment>
    <comment authorId="0" ref="C42">
      <text>
        <t xml:space="preserve">Human Translator
</t>
      </text>
    </comment>
    <comment authorId="0" ref="E42">
      <text>
        <t xml:space="preserve">Human Translation</t>
      </text>
    </comment>
    <comment authorId="0" ref="I42">
      <text>
        <t xml:space="preserve">human</t>
      </text>
    </comment>
    <comment authorId="0" ref="J42">
      <text>
        <t xml:space="preserve">human</t>
      </text>
    </comment>
    <comment authorId="0" ref="S42">
      <text>
        <t xml:space="preserve">Human Translation</t>
      </text>
    </comment>
    <comment authorId="0" ref="C43">
      <text>
        <t xml:space="preserve">Human Translator
</t>
      </text>
    </comment>
    <comment authorId="0" ref="E43">
      <text>
        <t xml:space="preserve">Human Translation</t>
      </text>
    </comment>
    <comment authorId="0" ref="I43">
      <text>
        <t xml:space="preserve">human</t>
      </text>
    </comment>
    <comment authorId="0" ref="J43">
      <text>
        <t xml:space="preserve">human</t>
      </text>
    </comment>
    <comment authorId="0" ref="S43">
      <text>
        <t xml:space="preserve">Human Translation</t>
      </text>
    </comment>
    <comment authorId="0" ref="C44">
      <text>
        <t xml:space="preserve">Human Translator
</t>
      </text>
    </comment>
    <comment authorId="0" ref="E44">
      <text>
        <t xml:space="preserve">Human Translation</t>
      </text>
    </comment>
    <comment authorId="0" ref="I44">
      <text>
        <t xml:space="preserve">human</t>
      </text>
    </comment>
    <comment authorId="0" ref="J44">
      <text>
        <t xml:space="preserve">human
</t>
      </text>
    </comment>
    <comment authorId="0" ref="S44">
      <text>
        <t xml:space="preserve">Human Translation</t>
      </text>
    </comment>
    <comment authorId="0" ref="E45">
      <text>
        <t xml:space="preserve">Human Translation</t>
      </text>
    </comment>
    <comment authorId="0" ref="I45">
      <text>
        <t xml:space="preserve">human</t>
      </text>
    </comment>
    <comment authorId="0" ref="J45">
      <text>
        <t xml:space="preserve">human
</t>
      </text>
    </comment>
    <comment authorId="0" ref="S45">
      <text>
        <t xml:space="preserve">Human Translation</t>
      </text>
    </comment>
    <comment authorId="0" ref="E46">
      <text>
        <t xml:space="preserve">Human Translation</t>
      </text>
    </comment>
    <comment authorId="0" ref="J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J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J48">
      <text>
        <t xml:space="preserve">human</t>
      </text>
    </comment>
    <comment authorId="0" ref="S48">
      <text>
        <t xml:space="preserve">Human Translation</t>
      </text>
    </comment>
    <comment authorId="0" ref="C49">
      <text>
        <t xml:space="preserve">Human Translator</t>
      </text>
    </comment>
    <comment authorId="0" ref="J49">
      <text>
        <t xml:space="preserve">human</t>
      </text>
    </comment>
    <comment authorId="0" ref="J50">
      <text>
        <t xml:space="preserve">human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AK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AK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AK24">
      <text>
        <t xml:space="preserve">Human Translation</t>
      </text>
    </comment>
    <comment authorId="0" ref="I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AK27">
      <text>
        <t xml:space="preserve">Human Translation</t>
      </text>
    </comment>
    <comment authorId="0" ref="I28">
      <text>
        <t xml:space="preserve">Human Translation</t>
      </text>
    </comment>
    <comment authorId="0" ref="AK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I35">
      <text>
        <t xml:space="preserve">Human Translation</t>
      </text>
    </comment>
    <comment authorId="0" ref="AK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AK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AK37">
      <text>
        <t xml:space="preserve">Human Translation</t>
      </text>
    </comment>
    <comment authorId="0" ref="I38">
      <text>
        <t xml:space="preserve">Human Translation</t>
      </text>
    </comment>
    <comment authorId="0" ref="AK38">
      <text>
        <t xml:space="preserve">Human Translation</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AK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I46">
      <text>
        <t xml:space="preserve">Human Translation</t>
      </text>
    </comment>
    <comment authorId="0" ref="AK46">
      <text>
        <t xml:space="preserve">Human Translation</t>
      </text>
    </comment>
    <comment authorId="0" ref="I47">
      <text>
        <t xml:space="preserve">Human Translation</t>
      </text>
    </comment>
    <comment authorId="0" ref="AK47">
      <text>
        <t xml:space="preserve">Human Translation</t>
      </text>
    </comment>
    <comment authorId="0" ref="E48">
      <text>
        <t xml:space="preserve">Human Translator</t>
      </text>
    </comment>
    <comment authorId="0" ref="H48">
      <text>
        <t xml:space="preserve">Human Translator</t>
      </text>
    </comment>
    <comment authorId="0" ref="I48">
      <text>
        <t xml:space="preserve">Human Translation</t>
      </text>
    </comment>
  </commentList>
</comments>
</file>

<file path=xl/sharedStrings.xml><?xml version="1.0" encoding="utf-8"?>
<sst xmlns="http://schemas.openxmlformats.org/spreadsheetml/2006/main" count="11385" uniqueCount="9034">
  <si>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</si>
  <si>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</si>
  <si>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</si>
  <si>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</si>
  <si>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sz val="11.0"/>
      </rPr>
      <t xml:space="preserve">Porfavor apoya el juego agregandolo a tu lista de deseados en Steam!  </t>
    </r>
    <r>
      <rPr>
        <rFont val="Microsoft JhengHei"/>
        <b/>
        <color rgb="FF1155CC"/>
        <sz val="11.0"/>
        <u/>
      </rPr>
      <t>STEAM</t>
    </r>
  </si>
  <si>
    <r>
      <rPr>
        <rFont val="Microsoft JhengHei"/>
        <b/>
        <color rgb="FF1155CC"/>
        <sz val="11.0"/>
        <u/>
      </rPr>
      <t xml:space="preserve">Steam Store
</t>
    </r>
    <r>
      <rPr>
        <rFont val="Microsoft JhengHei"/>
        <b/>
        <sz val="11.0"/>
      </rPr>
      <t>Если у вас есть желание, добавьте игру в желаемое в стимме,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</si>
  <si>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</si>
  <si>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</si>
  <si>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Por favor, seja gentil e adicione o jogo à sua lista de desejos da Steam para apoiá-lo.</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</si>
  <si>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</si>
  <si>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</si>
  <si>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</si>
  <si>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</si>
  <si>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</si>
  <si>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t xml:space="preserve">***
1. Hình ảnh bạn thấy trong các hình ảnh quảng cáo, trailer, dev blog, các mục đã được triển khai, v.v. </t>
    </r>
    <r>
      <rPr>
        <rFont val="Microsoft JhengHei"/>
        <b/>
        <color theme="1"/>
        <sz val="10.0"/>
        <u/>
      </rPr>
      <t>không đảm bảo rằng chúng sẽ được triển khai đầy đủ trong trò chơi</t>
    </r>
    <r>
      <rPr>
        <rFont val="Microsoft JhengHei"/>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Microsoft JhengHei"/>
        <b/>
        <color rgb="FFFF0000"/>
        <sz val="10.0"/>
        <u/>
      </rPr>
      <t>một số kẻ vi phạm bản quyền đã tải xuống và gộp tất cả các tài liệu trong bản hướng dẫn này và rao bán</t>
    </r>
    <r>
      <rPr>
        <rFont val="Microsoft JhengHei"/>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Microsoft JhengHei"/>
        <b/>
        <color rgb="FFFF0000"/>
        <sz val="10.0"/>
      </rPr>
      <t>Xin lưu ý rằng tài liệu hướng dẫn này được xem miễn phí và nếu bạn được yêu cầu trả tiền cho việc này, thì bạn đã bị lừa đảo.</t>
    </r>
    <r>
      <rPr>
        <rFont val="Microsoft JhengHei"/>
        <b/>
        <color theme="1"/>
        <sz val="10.0"/>
      </rPr>
      <t xml:space="preserve">
3. Với </t>
    </r>
    <r>
      <rPr>
        <rFont val="Microsoft JhengHei"/>
        <b/>
        <color theme="1"/>
        <sz val="10.0"/>
        <u/>
      </rPr>
      <t>mỗi bản cập nhật chính</t>
    </r>
    <r>
      <rPr>
        <rFont val="Microsoft JhengHei"/>
        <b/>
        <color theme="1"/>
        <sz val="10.0"/>
      </rPr>
      <t xml:space="preserve"> (ví dụ: 0.81, 0.82, v.v.), bạn nên </t>
    </r>
    <r>
      <rPr>
        <rFont val="Microsoft JhengHei"/>
        <b/>
        <color theme="1"/>
        <sz val="10.0"/>
        <u/>
      </rPr>
      <t>tải lại trò chơi từ trang web nơi bạn đã mua</t>
    </r>
    <r>
      <rPr>
        <rFont val="Microsoft JhengHei"/>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</si>
  <si>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</si>
  <si>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t>由於太多新玩家加入被問到煩了，所以整理了0.9版本懶人包：
1.打爆或者購買飲料機(解鎖喝點什麼)
2.使用戰車塔羅牌(在遺跡第一層中左方的紅寶箱，雨天刷新)，購買恐怖影片
3.打死深淵的紅獸BOSS取得碎片，使用傳送門回家(解鎖紅髓液)
4.使用喝點什麼、紅髓液，治癒妹妹
5.至少3顆紫色愛心
6.晚上10點後觀看電視
---
1.使用戰車塔羅牌購買本子
2.在25秒內打死深淵的紅獸BOSS(召喚教堂)
3.把你的"聖少女的憐憫"拔掉(使用本子提升性慾至51%以上)，與修女對話</t>
  </si>
  <si>
    <r>
      <rPr>
        <rFont val="Microsoft JhengHei"/>
        <b/>
        <color theme="1"/>
        <sz val="11.0"/>
      </rPr>
      <t>Devido ao grande número de novos jogadores com dúvidas, compilei um guia simplificado para a versão 0.9:
1. Destrua ou compre algo da máquina de venda automática (desbloqueia "Beber algo")
2. Use as cartas de Tarô Carro(</t>
    </r>
    <r>
      <rPr>
        <rFont val="Microsoft JhengHei"/>
        <b/>
        <i/>
        <color theme="1"/>
        <sz val="11.0"/>
      </rPr>
      <t>Chariot</t>
    </r>
    <r>
      <rPr>
        <rFont val="Microsoft JhengHei"/>
        <b/>
        <color theme="1"/>
        <sz val="11.0"/>
      </rPr>
      <t xml:space="preserve"> - Carruagem) (encontradas no baú vermelho à esquerda do primeiro nível das ruínas, reaparece em dias de chuva) para comprar uma fita de filme de terror
3. Derrote o CHEFE Besta Carmesin em Frenesi no Abismo para obter um Fragmento de Pedra do Filósofo e, em seguida, use o portal para voltar para casa (desbloqueia o Elixir Rubrum)
4. Use "Beber algo" e o Elixir Rubrum para curar sua irmã
5. Obtenha pelo menos 3 corações roxos 💜💜💜
6. Assista TV depois das 22h para poder ver a Fita de Vídeo de Terror
--- 1. Use as cartas de Tarô da Carro(</t>
    </r>
    <r>
      <rPr>
        <rFont val="Microsoft JhengHei"/>
        <b/>
        <i/>
        <color theme="1"/>
        <sz val="11.0"/>
      </rPr>
      <t>Chariot</t>
    </r>
    <r>
      <rPr>
        <rFont val="Microsoft JhengHei"/>
        <b/>
        <color theme="1"/>
        <sz val="11.0"/>
      </rPr>
      <t xml:space="preserve"> - Carruagem) para comprar um doujinshi
2. Derrote o CHEFE Besta Vermelha no Abismo em 25 segundos (invoca a igreja)
3. Remova sua "Misericórdia da Santa Donzela" (use o doujinshi) Para aumentar a libido para mais de 51%, fale com a "Freira".</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</si>
  <si>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</si>
  <si>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"Về vật phẩm hướng dẫn trong trò chơi "Sổ Tay Mạo Hiểm Giả", vì nó không thể mở các liên kết ngoài như liên kết trang web/bản đồ, người chơi nên sử dụng trang web thông thường để truy cập bản hướng dẫn này nhằm sử dụng đúng các chức năng liên kết khác nhau của nó.
(Ở một số khu vực, vẫn có thể cần VPN để truy cập chính xác)."</t>
  </si>
  <si>
    <t>地圖MAP，因目前該分頁的製作人員忙碌中，許多語言內容尚未製作，請見諒。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</si>
  <si>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</si>
  <si>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</si>
  <si>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</si>
  <si>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</si>
  <si>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</si>
  <si>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</si>
  <si>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</si>
  <si>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</si>
  <si>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</si>
  <si>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</si>
  <si>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</si>
  <si>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</si>
  <si>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</si>
  <si>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Microsoft JhengHei"/>
        <sz val="11.0"/>
      </rPr>
      <t xml:space="preserve">*Khuyến khích nên mua phiên bản này (     )*
Đường link mua phiên bản lâu dài của phiên bản itch của trò chơi: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</si>
  <si>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</si>
  <si>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</si>
  <si>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</si>
  <si>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</si>
  <si>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</si>
  <si>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</si>
  <si>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</si>
  <si>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</si>
  <si>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</si>
  <si>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</si>
  <si>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</si>
  <si>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Microsoft JhengHei"/>
        <sz val="11.0"/>
      </rPr>
      <t xml:space="preserve">Đường link đã mã hóa-fanbox cho phiên bản lâu dài của trò chơi: 
</t>
    </r>
    <r>
      <rPr>
        <rFont val="Microsoft JhengHei"/>
        <color rgb="FF1155CC"/>
        <sz val="11.0"/>
        <u/>
      </rPr>
      <t>https://nlch.fanbox.cc/posts/9317203</t>
    </r>
    <r>
      <rPr>
        <rFont val="Microsoft JhengHei"/>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</si>
  <si>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</si>
  <si>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</si>
  <si>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</si>
  <si>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</si>
  <si>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</si>
  <si>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</si>
  <si>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</si>
  <si>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</si>
  <si>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Microsoft JhengHei"/>
        <sz val="11.0"/>
      </rPr>
      <t xml:space="preserve">Đường link đã mã hóa-cien cho phiên bản lâu dài của trò chơi:
</t>
    </r>
    <r>
      <rPr>
        <rFont val="Microsoft JhengHei"/>
        <color rgb="FF1155CC"/>
        <sz val="11.0"/>
        <u/>
      </rPr>
      <t>https://ci-en.dlsite.com/creator/24375/plan</t>
    </r>
    <r>
      <rPr>
        <rFont val="Microsoft JhengHei"/>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</si>
  <si>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</si>
  <si>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</si>
  <si>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</si>
  <si>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</si>
  <si>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</si>
  <si>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</si>
  <si>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</si>
  <si>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</si>
  <si>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</si>
  <si>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俄語翻譯人員：Libeti
韓文翻譯人員：maltesey
越文翻譯人員：IntenseLag、Nian Sprout
巴西葡語翻譯人員：Hyphot
協助資料彙整人員：南山、落染
</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</si>
  <si>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Người dịch tiếng Nga: Discord: Libeti
Người dịch tiếng Hàn: Discord: maltesey
Người dịch tiếng Việt: IntenseLag, Nian Sprout
Người phiên dịch tiếng Bồ Đào Nha Brazil：Hyphot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</si>
  <si>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</si>
  <si>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</si>
  <si>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</si>
  <si>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</si>
  <si>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</si>
  <si>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</si>
  <si>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Historial de cambios</t>
  </si>
  <si>
    <t>Báo cáo chỉnh sửa</t>
  </si>
  <si>
    <t>2025/12/5 新增Dish +3</t>
  </si>
  <si>
    <t>2025/12/2 新增0.9版本內容SLG-A24~26/SLG-F1~8/R34、R90~93/Tips+2/Status+1/Weap+2/Gears+1/Items+2</t>
  </si>
  <si>
    <t>2025/12/1 重製Drops頁面，並且新增掉落機率</t>
  </si>
  <si>
    <t>2025/11/26 新增葡萄巴西語</t>
  </si>
  <si>
    <t>2025/11/15 新增小版本更新內容</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</si>
  <si>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</si>
  <si>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</si>
  <si>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</si>
  <si>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</si>
  <si>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</si>
  <si>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</si>
  <si>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</si>
  <si>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</si>
  <si>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</si>
  <si>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</si>
  <si>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</si>
  <si>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</si>
  <si>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</si>
  <si>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</si>
  <si>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</si>
  <si>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</si>
  <si>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</si>
  <si>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</si>
  <si>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</si>
  <si>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</si>
  <si>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</si>
  <si>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</si>
  <si>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</si>
  <si>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</si>
  <si>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</si>
  <si>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</si>
  <si>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</si>
  <si>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</si>
  <si>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</si>
  <si>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</si>
  <si>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</si>
  <si>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</si>
  <si>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</si>
  <si>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</si>
  <si>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</si>
  <si>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</si>
  <si>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</si>
  <si>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</si>
  <si>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</si>
  <si>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</si>
  <si>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</si>
  <si>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</si>
  <si>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</si>
  <si>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</si>
  <si>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</si>
  <si>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</si>
  <si>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</si>
  <si>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</si>
  <si>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</si>
  <si>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</si>
  <si>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</si>
  <si>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</si>
  <si>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</si>
  <si>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</si>
  <si>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</si>
  <si>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</si>
  <si>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</si>
  <si>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</si>
  <si>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</si>
  <si>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</si>
  <si>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</si>
  <si>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</si>
  <si>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</si>
  <si>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</si>
  <si>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</si>
  <si>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</si>
  <si>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</si>
  <si>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</si>
  <si>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</si>
  <si>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</si>
  <si>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</si>
  <si>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</si>
  <si>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</si>
  <si>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</si>
  <si>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</si>
  <si>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</si>
  <si>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</si>
  <si>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</si>
  <si>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</si>
  <si>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</si>
  <si>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</si>
  <si>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</si>
  <si>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</si>
  <si>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</si>
  <si>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</si>
  <si>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</si>
  <si>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</si>
  <si>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</si>
  <si>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</si>
  <si>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</si>
  <si>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</si>
  <si>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</si>
  <si>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</si>
  <si>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</si>
  <si>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</si>
  <si>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</si>
  <si>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</si>
  <si>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</si>
  <si>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</si>
  <si>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</si>
  <si>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</si>
  <si>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</si>
  <si>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</si>
  <si>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</si>
  <si>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</si>
  <si>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</si>
  <si>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</si>
  <si>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</si>
  <si>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</si>
  <si>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</si>
  <si>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</si>
  <si>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</si>
  <si>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</si>
  <si>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</si>
  <si>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</si>
  <si>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</si>
  <si>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</si>
  <si>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</si>
  <si>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</si>
  <si>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</si>
  <si>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</si>
  <si>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</si>
  <si>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</si>
  <si>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</si>
  <si>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</si>
  <si>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</si>
  <si>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</si>
  <si>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</si>
  <si>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</si>
  <si>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</si>
  <si>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</si>
  <si>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</si>
  <si>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</si>
  <si>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</si>
  <si>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</si>
  <si>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</si>
  <si>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</si>
  <si>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</si>
  <si>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</si>
  <si>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</si>
  <si>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</si>
  <si>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</si>
  <si>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</si>
  <si>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</si>
  <si>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</si>
  <si>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</si>
  <si>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</si>
  <si>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</si>
  <si>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</si>
  <si>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</si>
  <si>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</si>
  <si>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</si>
  <si>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</si>
  <si>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，協助者-MIO、南山、落染，翻譯者-눈_눈、Ruika、zNagato、Libeti、Gabriel B、maltesey、AndyJango、IntenseLag、Nian Sprout、Hyphot
如未經過許可，請勿私自轉載</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</si>
  <si>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</si>
  <si>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Пожалуйста поддержите оффициальную игру от 逆流茶会(NLCH) - A Simple Life with My Unobtrusive Sister
Гайд от: Official Discord-RORO, Facilitator-MIO, 南山、落染,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</si>
  <si>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Sprout、Hyphot
Xin không sao chép mà không có sự đồng ý</t>
  </si>
  <si>
    <t>Por favor dê suporte ao jogo oficial de 逆流茶会(NLCH) - Uma vida simples com a minha discreta irmãzinha
Guia: Discord Oficial-RORO, Facilitador-MIO, 落染, tradutores-눈_눈、Ruika、zNagato、Libeti、Gabriel B、maltesey、AndyJango、IntenseLag、Nian Sprout、Hyphot
Por favor, não copie sem autorização</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</si>
  <si>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</si>
  <si>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</si>
  <si>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</si>
  <si>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</si>
  <si>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</si>
  <si>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</si>
  <si>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</si>
  <si>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</si>
  <si>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</si>
  <si>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</si>
  <si>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</si>
  <si>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</si>
  <si>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</si>
  <si>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</si>
  <si>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</si>
  <si>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</si>
  <si>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</si>
  <si>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</si>
  <si>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</si>
  <si>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</si>
  <si>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</si>
  <si>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</si>
  <si>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A</t>
  </si>
  <si>
    <t>平時相關</t>
  </si>
  <si>
    <t>一般的なイベント</t>
  </si>
  <si>
    <t>General Events</t>
  </si>
  <si>
    <t>Eventos Generales</t>
  </si>
  <si>
    <t>일상 이벤트</t>
  </si>
  <si>
    <t>Основные события</t>
  </si>
  <si>
    <t>Übliche, relevante Events</t>
  </si>
  <si>
    <t>Sự kiện chung</t>
  </si>
  <si>
    <t>Evento geral</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</si>
  <si>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</si>
  <si>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</si>
  <si>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</si>
  <si>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</si>
  <si>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</si>
  <si>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</si>
  <si>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</si>
  <si>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</si>
  <si>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</si>
  <si>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</si>
  <si>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</si>
  <si>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</si>
  <si>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</si>
  <si>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</si>
  <si>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</si>
  <si>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</si>
  <si>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</si>
  <si>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</si>
  <si>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</si>
  <si>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</si>
  <si>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</si>
  <si>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</si>
  <si>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</si>
  <si>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</si>
  <si>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</si>
  <si>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</si>
  <si>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</si>
  <si>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</si>
  <si>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</si>
  <si>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</si>
  <si>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</si>
  <si>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</si>
  <si>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</si>
  <si>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</si>
  <si>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</si>
  <si>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</si>
  <si>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</si>
  <si>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</si>
  <si>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</si>
  <si>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</si>
  <si>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</si>
  <si>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</si>
  <si>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</si>
  <si>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</si>
  <si>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</si>
  <si>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</si>
  <si>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</si>
  <si>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</si>
  <si>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</si>
  <si>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</si>
  <si>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</si>
  <si>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</si>
  <si>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</si>
  <si>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</si>
  <si>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</si>
  <si>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</si>
  <si>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</si>
  <si>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</si>
  <si>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</si>
  <si>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</si>
  <si>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</si>
  <si>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</si>
  <si>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</si>
  <si>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</si>
  <si>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</si>
  <si>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</si>
  <si>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</si>
  <si>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</si>
  <si>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</si>
  <si>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</si>
  <si>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</si>
  <si>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</si>
  <si>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</si>
  <si>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</si>
  <si>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</si>
  <si>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</si>
  <si>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</si>
  <si>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</si>
  <si>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</si>
  <si>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</si>
  <si>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</si>
  <si>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</si>
  <si>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</si>
  <si>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</si>
  <si>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</si>
  <si>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</si>
  <si>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</si>
  <si>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</si>
  <si>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</si>
  <si>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</si>
  <si>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</si>
  <si>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</si>
  <si>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</si>
  <si>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</si>
  <si>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</si>
  <si>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</si>
  <si>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</si>
  <si>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</si>
  <si>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</si>
  <si>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</si>
  <si>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</si>
  <si>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</si>
  <si>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</si>
  <si>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</si>
  <si>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</si>
  <si>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</si>
  <si>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</si>
  <si>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</si>
  <si>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</si>
  <si>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</si>
  <si>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</si>
  <si>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</si>
  <si>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</si>
  <si>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</si>
  <si>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</si>
  <si>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</si>
  <si>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</si>
  <si>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</si>
  <si>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</si>
  <si>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</si>
  <si>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</si>
  <si>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</si>
  <si>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</si>
  <si>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</si>
  <si>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</si>
  <si>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"Sorriso da Menina"</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</si>
  <si>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</si>
  <si>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</si>
  <si>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</si>
  <si>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</si>
  <si>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</si>
  <si>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</si>
  <si>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</si>
  <si>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</si>
  <si>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</si>
  <si>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</si>
  <si>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</si>
  <si>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</si>
  <si>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</si>
  <si>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</si>
  <si>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</si>
  <si>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</si>
  <si>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</si>
  <si>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</si>
  <si>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</si>
  <si>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</si>
  <si>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</si>
  <si>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</si>
  <si>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</si>
  <si>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</si>
  <si>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</si>
  <si>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</si>
  <si>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</si>
  <si>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</si>
  <si>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</si>
  <si>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</si>
  <si>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</si>
  <si>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</si>
  <si>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</si>
  <si>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</si>
  <si>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</si>
  <si>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</si>
  <si>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</si>
  <si>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</si>
  <si>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</si>
  <si>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</si>
  <si>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</si>
  <si>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</si>
  <si>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</si>
  <si>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</si>
  <si>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</si>
  <si>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</si>
  <si>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</si>
  <si>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</si>
  <si>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</si>
  <si>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</si>
  <si>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</si>
  <si>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</si>
  <si>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</si>
  <si>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</si>
  <si>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</si>
  <si>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</si>
  <si>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</si>
  <si>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</si>
  <si>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</si>
  <si>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</si>
  <si>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</si>
  <si>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</si>
  <si>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</si>
  <si>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</si>
  <si>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</si>
  <si>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</si>
  <si>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</si>
  <si>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</si>
  <si>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</si>
  <si>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</si>
  <si>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</si>
  <si>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</si>
  <si>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</si>
  <si>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</si>
  <si>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</si>
  <si>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</si>
  <si>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</si>
  <si>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</si>
  <si>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</si>
  <si>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</si>
  <si>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</si>
  <si>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</si>
  <si>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</si>
  <si>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</si>
  <si>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</si>
  <si>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</si>
  <si>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</si>
  <si>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</si>
  <si>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</si>
  <si>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</si>
  <si>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</si>
  <si>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</si>
  <si>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</si>
  <si>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</si>
  <si>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</si>
  <si>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</si>
  <si>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</si>
  <si>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</si>
  <si>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</si>
  <si>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</si>
  <si>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</si>
  <si>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</si>
  <si>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</si>
  <si>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</si>
  <si>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</si>
  <si>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</si>
  <si>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</si>
  <si>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</si>
  <si>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</si>
  <si>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</si>
  <si>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</si>
  <si>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</si>
  <si>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</si>
  <si>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</si>
  <si>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</si>
  <si>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</si>
  <si>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</si>
  <si>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</si>
  <si>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</si>
  <si>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</si>
  <si>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</si>
  <si>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</si>
  <si>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</si>
  <si>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</si>
  <si>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</si>
  <si>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</si>
  <si>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</si>
  <si>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</si>
  <si>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</si>
  <si>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</si>
  <si>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</si>
  <si>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</si>
  <si>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</si>
  <si>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</si>
  <si>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</si>
  <si>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</si>
  <si>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</si>
  <si>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</si>
  <si>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</si>
  <si>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</si>
  <si>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</si>
  <si>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</si>
  <si>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</si>
  <si>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</si>
  <si>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</si>
  <si>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</si>
  <si>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</si>
  <si>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</si>
  <si>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</si>
  <si>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</si>
  <si>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</si>
  <si>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</si>
  <si>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</si>
  <si>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</si>
  <si>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</si>
  <si>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</si>
  <si>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</si>
  <si>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</si>
  <si>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</si>
  <si>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</si>
  <si>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</si>
  <si>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</si>
  <si>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</si>
  <si>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</si>
  <si>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</si>
  <si>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</si>
  <si>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</si>
  <si>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</si>
  <si>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</si>
  <si>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</si>
  <si>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</si>
  <si>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</si>
  <si>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</si>
  <si>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</si>
  <si>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</si>
  <si>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</si>
  <si>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</si>
  <si>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</si>
  <si>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</si>
  <si>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</si>
  <si>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</si>
  <si>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</si>
  <si>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</si>
  <si>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</si>
  <si>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</si>
  <si>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</si>
  <si>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</si>
  <si>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</si>
  <si>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</si>
  <si>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</si>
  <si>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</si>
  <si>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</si>
  <si>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</si>
  <si>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</si>
  <si>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</si>
  <si>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</si>
  <si>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</si>
  <si>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</si>
  <si>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</si>
  <si>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</si>
  <si>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</si>
  <si>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</si>
  <si>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</si>
  <si>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</si>
  <si>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</si>
  <si>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</si>
  <si>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</si>
  <si>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</si>
  <si>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</si>
  <si>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</si>
  <si>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</si>
  <si>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</si>
  <si>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</si>
  <si>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</si>
  <si>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</si>
  <si>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</si>
  <si>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</si>
  <si>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</si>
  <si>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</si>
  <si>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</si>
  <si>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</si>
  <si>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</si>
  <si>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</si>
  <si>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</si>
  <si>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</si>
  <si>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</si>
  <si>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</si>
  <si>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</si>
  <si>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</si>
  <si>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</si>
  <si>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</si>
  <si>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</si>
  <si>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</si>
  <si>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</si>
  <si>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</si>
  <si>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</si>
  <si>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</si>
  <si>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</si>
  <si>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</si>
  <si>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</si>
  <si>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</si>
  <si>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</si>
  <si>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</si>
  <si>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</si>
  <si>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</si>
  <si>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</si>
  <si>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</si>
  <si>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</si>
  <si>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</si>
  <si>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</si>
  <si>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</si>
  <si>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</si>
  <si>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</si>
  <si>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</si>
  <si>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</si>
  <si>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</si>
  <si>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</si>
  <si>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</si>
  <si>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</si>
  <si>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</si>
  <si>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</si>
  <si>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</si>
  <si>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</si>
  <si>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</si>
  <si>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</si>
  <si>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</si>
  <si>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</si>
  <si>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</si>
  <si>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</si>
  <si>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</si>
  <si>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</si>
  <si>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</si>
  <si>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</si>
  <si>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</si>
  <si>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</si>
  <si>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</si>
  <si>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</si>
  <si>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</si>
  <si>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</si>
  <si>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</si>
  <si>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</si>
  <si>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</si>
  <si>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</si>
  <si>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</si>
  <si>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</si>
  <si>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</si>
  <si>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</si>
  <si>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</si>
  <si>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</si>
  <si>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</si>
  <si>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</si>
  <si>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</si>
  <si>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</si>
  <si>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</si>
  <si>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</si>
  <si>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</si>
  <si>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</si>
  <si>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</si>
  <si>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</si>
  <si>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</si>
  <si>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</si>
  <si>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</si>
  <si>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</si>
  <si>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</si>
  <si>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</si>
  <si>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</si>
  <si>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</si>
  <si>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</si>
  <si>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</si>
  <si>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</si>
  <si>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</si>
  <si>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</si>
  <si>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</si>
  <si>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</si>
  <si>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</si>
  <si>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</si>
  <si>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</si>
  <si>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</si>
  <si>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</si>
  <si>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</si>
  <si>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</si>
  <si>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</si>
  <si>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</si>
  <si>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</si>
  <si>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</si>
  <si>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</si>
  <si>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</si>
  <si>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</si>
  <si>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</si>
  <si>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</si>
  <si>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</si>
  <si>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</si>
  <si>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</si>
  <si>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</si>
  <si>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</si>
  <si>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</si>
  <si>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</si>
  <si>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</si>
  <si>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</si>
  <si>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</si>
  <si>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</si>
  <si>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</si>
  <si>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</si>
  <si>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</si>
  <si>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</si>
  <si>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</si>
  <si>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</si>
  <si>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</si>
  <si>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</si>
  <si>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</si>
  <si>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</si>
  <si>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</si>
  <si>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</si>
  <si>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</si>
  <si>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</si>
  <si>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</si>
  <si>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</si>
  <si>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</si>
  <si>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</si>
  <si>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</si>
  <si>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</si>
  <si>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</si>
  <si>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</si>
  <si>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</si>
  <si>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</si>
  <si>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</si>
  <si>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</si>
  <si>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</si>
  <si>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</si>
  <si>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</si>
  <si>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</si>
  <si>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</si>
  <si>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</si>
  <si>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</si>
  <si>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</si>
  <si>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</si>
  <si>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</si>
  <si>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</si>
  <si>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</si>
  <si>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</si>
  <si>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</si>
  <si>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</si>
  <si>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</si>
  <si>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</si>
  <si>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</si>
  <si>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</si>
  <si>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</si>
  <si>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</si>
  <si>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</si>
  <si>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</si>
  <si>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</si>
  <si>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</si>
  <si>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</si>
  <si>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</si>
  <si>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</si>
  <si>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</si>
  <si>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</si>
  <si>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</si>
  <si>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</si>
  <si>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</si>
  <si>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</si>
  <si>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</si>
  <si>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</si>
  <si>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</si>
  <si>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</si>
  <si>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</si>
  <si>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</si>
  <si>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</si>
  <si>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</si>
  <si>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</si>
  <si>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</si>
  <si>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</si>
  <si>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</si>
  <si>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</si>
  <si>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Primeira cura</t>
  </si>
  <si>
    <t>Ao fazer"Beber alguma coisa",
você pode deixar a sua imouto beber o líquido vermelho.
Nota: Só pode ser feito uma vez. consultar os eventos do jogo.</t>
  </si>
  <si>
    <t>Acordar forçosamnete sua imouto não irá mais ocorrer.
Depois de ser curada, existe uma chance de sucesso para acordar ela de manhã ativando algumas cenas. Entretanto, ainda existe uma chance de falha ao acordá-la.</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</si>
  <si>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</si>
  <si>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</si>
  <si>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</si>
  <si>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</si>
  <si>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</si>
  <si>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</si>
  <si>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</si>
  <si>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</si>
  <si>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</si>
  <si>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</si>
  <si>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</si>
  <si>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</si>
  <si>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</si>
  <si>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</si>
  <si>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</si>
  <si>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</si>
  <si>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</si>
  <si>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</si>
  <si>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</si>
  <si>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</si>
  <si>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</si>
  <si>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</si>
  <si>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</si>
  <si>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</si>
  <si>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</si>
  <si>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</si>
  <si>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</si>
  <si>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</si>
  <si>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</si>
  <si>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</si>
  <si>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</si>
  <si>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</si>
  <si>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</si>
  <si>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</si>
  <si>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</si>
  <si>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</si>
  <si>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</si>
  <si>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</si>
  <si>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</si>
  <si>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</si>
  <si>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</si>
  <si>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</si>
  <si>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</si>
  <si>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</si>
  <si>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</si>
  <si>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</si>
  <si>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</si>
  <si>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</si>
  <si>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</si>
  <si>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</si>
  <si>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</si>
  <si>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</si>
  <si>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</si>
  <si>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</si>
  <si>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</si>
  <si>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</si>
  <si>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</si>
  <si>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</si>
  <si>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</si>
  <si>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</si>
  <si>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</si>
  <si>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</si>
  <si>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</si>
  <si>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</si>
  <si>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</si>
  <si>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</si>
  <si>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</si>
  <si>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</si>
  <si>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</si>
  <si>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</si>
  <si>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</si>
  <si>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</si>
  <si>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</si>
  <si>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</si>
  <si>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</si>
  <si>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</si>
  <si>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</si>
  <si>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</si>
  <si>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</si>
  <si>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</si>
  <si>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</si>
  <si>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</si>
  <si>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</si>
  <si>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</si>
  <si>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</si>
  <si>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</si>
  <si>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</si>
  <si>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</si>
  <si>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</si>
  <si>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</si>
  <si>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</si>
  <si>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</si>
  <si>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</si>
  <si>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</si>
  <si>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</si>
  <si>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</si>
  <si>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</si>
  <si>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</si>
  <si>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</si>
  <si>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</si>
  <si>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</si>
  <si>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</si>
  <si>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</si>
  <si>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</si>
  <si>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</si>
  <si>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</si>
  <si>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</si>
  <si>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</si>
  <si>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</si>
  <si>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</si>
  <si>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</si>
  <si>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</si>
  <si>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</si>
  <si>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</si>
  <si>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</si>
  <si>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</si>
  <si>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</si>
  <si>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</si>
  <si>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</si>
  <si>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</si>
  <si>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</si>
  <si>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</si>
  <si>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</si>
  <si>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</si>
  <si>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</si>
  <si>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</si>
  <si>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</si>
  <si>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</si>
  <si>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</si>
  <si>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</si>
  <si>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</si>
  <si>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</si>
  <si>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</si>
  <si>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</si>
  <si>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</si>
  <si>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</si>
  <si>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</si>
  <si>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</si>
  <si>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</si>
  <si>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</si>
  <si>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</si>
  <si>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</si>
  <si>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</si>
  <si>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</si>
  <si>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</si>
  <si>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</si>
  <si>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</si>
  <si>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</si>
  <si>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</si>
  <si>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</si>
  <si>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</si>
  <si>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</si>
  <si>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</si>
  <si>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</si>
  <si>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</si>
  <si>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</si>
  <si>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</si>
  <si>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</si>
  <si>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</si>
  <si>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</si>
  <si>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</si>
  <si>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</si>
  <si>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</si>
  <si>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</si>
  <si>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</si>
  <si>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</si>
  <si>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</si>
  <si>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</si>
  <si>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</si>
  <si>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</si>
  <si>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</si>
  <si>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</si>
  <si>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</si>
  <si>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</si>
  <si>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</si>
  <si>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</si>
  <si>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</si>
  <si>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</si>
  <si>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</si>
  <si>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</si>
  <si>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</si>
  <si>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</si>
  <si>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</si>
  <si>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</si>
  <si>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</si>
  <si>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</si>
  <si>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</si>
  <si>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</si>
  <si>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</si>
  <si>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</si>
  <si>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</si>
  <si>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</si>
  <si>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</si>
  <si>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</si>
  <si>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</si>
  <si>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</si>
  <si>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</si>
  <si>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</si>
  <si>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</si>
  <si>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</si>
  <si>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</si>
  <si>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</si>
  <si>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</si>
  <si>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</si>
  <si>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</si>
  <si>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</si>
  <si>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</si>
  <si>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</si>
  <si>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</si>
  <si>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</si>
  <si>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</si>
  <si>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</si>
  <si>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</si>
  <si>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</si>
  <si>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</si>
  <si>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</si>
  <si>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</si>
  <si>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</si>
  <si>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</si>
  <si>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</si>
  <si>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</si>
  <si>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</si>
  <si>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</si>
  <si>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</si>
  <si>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</si>
  <si>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</si>
  <si>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</si>
  <si>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</si>
  <si>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</si>
  <si>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</si>
  <si>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</si>
  <si>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</si>
  <si>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</si>
  <si>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</si>
  <si>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</si>
  <si>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</si>
  <si>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</si>
  <si>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</si>
  <si>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</si>
  <si>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</si>
  <si>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</si>
  <si>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</si>
  <si>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</si>
  <si>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</si>
  <si>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</si>
  <si>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</si>
  <si>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</si>
  <si>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</si>
  <si>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</si>
  <si>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</si>
  <si>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</si>
  <si>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</si>
  <si>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</si>
  <si>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</si>
  <si>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</si>
  <si>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</si>
  <si>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</si>
  <si>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</si>
  <si>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</si>
  <si>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</si>
  <si>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</si>
  <si>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</si>
  <si>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</si>
  <si>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</si>
  <si>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</si>
  <si>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</si>
  <si>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</si>
  <si>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</si>
  <si>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</si>
  <si>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</si>
  <si>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</si>
  <si>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</si>
  <si>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</si>
  <si>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</si>
  <si>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</si>
  <si>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</si>
  <si>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</si>
  <si>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</si>
  <si>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</si>
  <si>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</si>
  <si>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</si>
  <si>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</si>
  <si>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</si>
  <si>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</si>
  <si>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</si>
  <si>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</si>
  <si>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</si>
  <si>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</si>
  <si>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</si>
  <si>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</si>
  <si>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</si>
  <si>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</si>
  <si>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</si>
  <si>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</si>
  <si>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</si>
  <si>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</si>
  <si>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</si>
  <si>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</si>
  <si>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</si>
  <si>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</si>
  <si>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</si>
  <si>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</si>
  <si>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</si>
  <si>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</si>
  <si>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</si>
  <si>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</si>
  <si>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</si>
  <si>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</si>
  <si>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</si>
  <si>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</si>
  <si>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</si>
  <si>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</si>
  <si>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</si>
  <si>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Eu preciso ir ao banheiro... - 1</t>
  </si>
  <si>
    <t>Uma vez que você chegue de uma aventura, seleciona a opção "Ir ao banheiro" -&gt;Procure até achar uma criatura chamada "B".
Mais tarde, quando você chamar a sua imouto no quarto dela, existe uma chance do Evento do Lavabo ocorrer.</t>
  </si>
  <si>
    <t>Corações roxos💜 e desejo irá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</si>
  <si>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</si>
  <si>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</si>
  <si>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</si>
  <si>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</si>
  <si>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</si>
  <si>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</si>
  <si>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</si>
  <si>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</si>
  <si>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</si>
  <si>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</si>
  <si>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</si>
  <si>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</si>
  <si>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</si>
  <si>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</si>
  <si>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</si>
  <si>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</si>
  <si>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</si>
  <si>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</si>
  <si>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</si>
  <si>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</si>
  <si>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</si>
  <si>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</si>
  <si>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</si>
  <si>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</si>
  <si>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</si>
  <si>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</si>
  <si>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</si>
  <si>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</si>
  <si>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</si>
  <si>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</si>
  <si>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</si>
  <si>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</si>
  <si>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</si>
  <si>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</si>
  <si>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</si>
  <si>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</si>
  <si>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</si>
  <si>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</si>
  <si>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</si>
  <si>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</si>
  <si>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</si>
  <si>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</si>
  <si>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</si>
  <si>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</si>
  <si>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</si>
  <si>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</si>
  <si>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</si>
  <si>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</si>
  <si>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</si>
  <si>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</si>
  <si>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</si>
  <si>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</si>
  <si>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</si>
  <si>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</si>
  <si>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</si>
  <si>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</si>
  <si>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</si>
  <si>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</si>
  <si>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</si>
  <si>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</si>
  <si>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</si>
  <si>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</si>
  <si>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</si>
  <si>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</si>
  <si>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</si>
  <si>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</si>
  <si>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</si>
  <si>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</si>
  <si>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</si>
  <si>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</si>
  <si>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</si>
  <si>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</si>
  <si>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</si>
  <si>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</si>
  <si>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</si>
  <si>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</si>
  <si>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</si>
  <si>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</si>
  <si>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</si>
  <si>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</si>
  <si>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</si>
  <si>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</si>
  <si>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</si>
  <si>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</si>
  <si>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</si>
  <si>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</si>
  <si>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</si>
  <si>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</si>
  <si>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</si>
  <si>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</si>
  <si>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</si>
  <si>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</si>
  <si>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</si>
  <si>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</si>
  <si>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</si>
  <si>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</si>
  <si>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</si>
  <si>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</si>
  <si>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</si>
  <si>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</si>
  <si>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</si>
  <si>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</si>
  <si>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</si>
  <si>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</si>
  <si>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</si>
  <si>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</si>
  <si>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</si>
  <si>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</si>
  <si>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</si>
  <si>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</si>
  <si>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</si>
  <si>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</si>
  <si>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</si>
  <si>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</si>
  <si>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</si>
  <si>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</si>
  <si>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</si>
  <si>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</si>
  <si>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</si>
  <si>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</si>
  <si>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</si>
  <si>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</si>
  <si>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</si>
  <si>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</si>
  <si>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</si>
  <si>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</si>
  <si>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</si>
  <si>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</si>
  <si>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</si>
  <si>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</si>
  <si>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</si>
  <si>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</si>
  <si>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</si>
  <si>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</si>
  <si>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</si>
  <si>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</si>
  <si>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</si>
  <si>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</si>
  <si>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</si>
  <si>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</si>
  <si>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</si>
  <si>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</si>
  <si>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</si>
  <si>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</si>
  <si>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</si>
  <si>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</si>
  <si>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</si>
  <si>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</si>
  <si>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</si>
  <si>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</si>
  <si>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</si>
  <si>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</si>
  <si>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</si>
  <si>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</si>
  <si>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</si>
  <si>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</si>
  <si>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</si>
  <si>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</si>
  <si>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</si>
  <si>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</si>
  <si>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</si>
  <si>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</si>
  <si>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</si>
  <si>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</si>
  <si>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</si>
  <si>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</si>
  <si>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</si>
  <si>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</si>
  <si>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</si>
  <si>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</si>
  <si>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</si>
  <si>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</si>
  <si>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</si>
  <si>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</si>
  <si>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</si>
  <si>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</si>
  <si>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</si>
  <si>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</si>
  <si>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</si>
  <si>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</si>
  <si>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</si>
  <si>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</si>
  <si>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</si>
  <si>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</si>
  <si>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</si>
  <si>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</si>
  <si>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</si>
  <si>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</si>
  <si>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</si>
  <si>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</si>
  <si>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</si>
  <si>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</si>
  <si>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</si>
  <si>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</si>
  <si>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</si>
  <si>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</si>
  <si>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</si>
  <si>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</si>
  <si>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</si>
  <si>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</si>
  <si>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</si>
  <si>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</si>
  <si>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</si>
  <si>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</si>
  <si>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</si>
  <si>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</si>
  <si>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</si>
  <si>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</si>
  <si>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</si>
  <si>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</si>
  <si>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</si>
  <si>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</si>
  <si>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</si>
  <si>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</si>
  <si>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</si>
  <si>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</si>
  <si>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</si>
  <si>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</si>
  <si>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</si>
  <si>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</si>
  <si>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</si>
  <si>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</si>
  <si>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</si>
  <si>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</si>
  <si>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</si>
  <si>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</si>
  <si>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</si>
  <si>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</si>
  <si>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</si>
  <si>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</si>
  <si>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</si>
  <si>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</si>
  <si>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</si>
  <si>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</si>
  <si>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</si>
  <si>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</si>
  <si>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</si>
  <si>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</si>
  <si>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</si>
  <si>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</si>
  <si>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</si>
  <si>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</si>
  <si>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</si>
  <si>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</si>
  <si>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</si>
  <si>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</si>
  <si>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</si>
  <si>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</si>
  <si>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</si>
  <si>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</si>
  <si>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</si>
  <si>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</si>
  <si>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</si>
  <si>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</si>
  <si>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</si>
  <si>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</si>
  <si>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</si>
  <si>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</si>
  <si>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</si>
  <si>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</si>
  <si>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</si>
  <si>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</si>
  <si>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</si>
  <si>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</si>
  <si>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</si>
  <si>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</si>
  <si>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</si>
  <si>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</si>
  <si>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</si>
  <si>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</si>
  <si>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</si>
  <si>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</si>
  <si>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</si>
  <si>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</si>
  <si>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</si>
  <si>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</si>
  <si>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</si>
  <si>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</si>
  <si>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</si>
  <si>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</si>
  <si>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</si>
  <si>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</si>
  <si>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</si>
  <si>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</si>
  <si>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</si>
  <si>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</si>
  <si>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</si>
  <si>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</si>
  <si>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</si>
  <si>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</si>
  <si>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</si>
  <si>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</si>
  <si>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</si>
  <si>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</si>
  <si>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</si>
  <si>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</si>
  <si>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</si>
  <si>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</si>
  <si>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</si>
  <si>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</si>
  <si>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</si>
  <si>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</si>
  <si>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</si>
  <si>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</si>
  <si>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</si>
  <si>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</si>
  <si>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</si>
  <si>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</si>
  <si>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</si>
  <si>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</si>
  <si>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</si>
  <si>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</si>
  <si>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</si>
  <si>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</si>
  <si>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</si>
  <si>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</si>
  <si>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</si>
  <si>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</si>
  <si>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</si>
  <si>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</si>
  <si>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</si>
  <si>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</si>
  <si>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</si>
  <si>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</si>
  <si>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</si>
  <si>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</si>
  <si>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</si>
  <si>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</si>
  <si>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</si>
  <si>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</si>
  <si>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</si>
  <si>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</si>
  <si>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</si>
  <si>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</si>
  <si>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</si>
  <si>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</si>
  <si>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</si>
  <si>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</si>
  <si>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</si>
  <si>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</si>
  <si>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</si>
  <si>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</si>
  <si>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</si>
  <si>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</si>
  <si>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</si>
  <si>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</si>
  <si>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</si>
  <si>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</si>
  <si>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Microsoft JhengHei"/>
        <b/>
        <color theme="1"/>
      </rPr>
      <t>hoàn toàn</t>
    </r>
    <r>
      <rPr>
        <rFont val="Microsoft JhengHei"/>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</si>
  <si>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</si>
  <si>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</si>
  <si>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</si>
  <si>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</si>
  <si>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</si>
  <si>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</si>
  <si>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</si>
  <si>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</si>
  <si>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</si>
  <si>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</si>
  <si>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</si>
  <si>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</si>
  <si>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</si>
  <si>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</si>
  <si>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</si>
  <si>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</si>
  <si>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</si>
  <si>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</si>
  <si>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</si>
  <si>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</si>
  <si>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</si>
  <si>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</si>
  <si>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</si>
  <si>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</si>
  <si>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</si>
  <si>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</si>
  <si>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</si>
  <si>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</si>
  <si>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</si>
  <si>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</si>
  <si>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</si>
  <si>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</si>
  <si>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</si>
  <si>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</si>
  <si>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</si>
  <si>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</si>
  <si>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</si>
  <si>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</si>
  <si>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</si>
  <si>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</si>
  <si>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</si>
  <si>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</si>
  <si>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</si>
  <si>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</si>
  <si>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</si>
  <si>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</si>
  <si>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</si>
  <si>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</si>
  <si>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</si>
  <si>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</si>
  <si>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</si>
  <si>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</si>
  <si>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</si>
  <si>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</si>
  <si>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</si>
  <si>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</si>
  <si>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</si>
  <si>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</si>
  <si>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</si>
  <si>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</si>
  <si>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</si>
  <si>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</si>
  <si>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</si>
  <si>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</si>
  <si>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</si>
  <si>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</si>
  <si>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</si>
  <si>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</si>
  <si>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</si>
  <si>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</si>
  <si>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</si>
  <si>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</si>
  <si>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</si>
  <si>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</si>
  <si>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</si>
  <si>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</si>
  <si>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</si>
  <si>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</si>
  <si>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</si>
  <si>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</si>
  <si>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</si>
  <si>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</si>
  <si>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</si>
  <si>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</si>
  <si>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</si>
  <si>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</si>
  <si>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</si>
  <si>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</si>
  <si>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</si>
  <si>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</si>
  <si>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</si>
  <si>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</si>
  <si>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</si>
  <si>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</si>
  <si>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</si>
  <si>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</si>
  <si>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</si>
  <si>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</si>
  <si>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</si>
  <si>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</si>
  <si>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</si>
  <si>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</si>
  <si>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</si>
  <si>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</si>
  <si>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</si>
  <si>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</si>
  <si>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</si>
  <si>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</si>
  <si>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</si>
  <si>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</si>
  <si>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</si>
  <si>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</si>
  <si>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</si>
  <si>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</si>
  <si>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</si>
  <si>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</si>
  <si>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</si>
  <si>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</si>
  <si>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</si>
  <si>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</si>
  <si>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</si>
  <si>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</si>
  <si>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</si>
  <si>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</si>
  <si>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</si>
  <si>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</si>
  <si>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</si>
  <si>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</si>
  <si>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</si>
  <si>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</si>
  <si>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</si>
  <si>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</si>
  <si>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</si>
  <si>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</si>
  <si>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</si>
  <si>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</si>
  <si>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</si>
  <si>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</si>
  <si>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</si>
  <si>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</si>
  <si>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</si>
  <si>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</si>
  <si>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</si>
  <si>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</si>
  <si>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</si>
  <si>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</si>
  <si>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</si>
  <si>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</si>
  <si>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</si>
  <si>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</si>
  <si>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</si>
  <si>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</si>
  <si>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</si>
  <si>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</si>
  <si>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</si>
  <si>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</si>
  <si>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</si>
  <si>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</si>
  <si>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</si>
  <si>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</si>
  <si>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</si>
  <si>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</si>
  <si>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</si>
  <si>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</si>
  <si>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</si>
  <si>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</si>
  <si>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</si>
  <si>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</si>
  <si>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</si>
  <si>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</si>
  <si>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</si>
  <si>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</si>
  <si>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</si>
  <si>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</si>
  <si>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</si>
  <si>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</si>
  <si>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</si>
  <si>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</si>
  <si>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</si>
  <si>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</si>
  <si>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</si>
  <si>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</si>
  <si>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</si>
  <si>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</si>
  <si>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</si>
  <si>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</si>
  <si>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</si>
  <si>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</si>
  <si>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</si>
  <si>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</si>
  <si>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</si>
  <si>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</si>
  <si>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</si>
  <si>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</si>
  <si>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</si>
  <si>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</si>
  <si>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</si>
  <si>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</si>
  <si>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</si>
  <si>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</si>
  <si>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</si>
  <si>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</si>
  <si>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</si>
  <si>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</si>
  <si>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</si>
  <si>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</si>
  <si>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</si>
  <si>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</si>
  <si>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</si>
  <si>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</si>
  <si>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</si>
  <si>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</si>
  <si>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</si>
  <si>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</si>
  <si>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</si>
  <si>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</si>
  <si>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</si>
  <si>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</si>
  <si>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</si>
  <si>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</si>
  <si>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</si>
  <si>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</si>
  <si>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</si>
  <si>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</si>
  <si>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</si>
  <si>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</si>
  <si>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</si>
  <si>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</si>
  <si>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</si>
  <si>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</si>
  <si>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</si>
  <si>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</si>
  <si>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</si>
  <si>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</si>
  <si>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</si>
  <si>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</si>
  <si>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</si>
  <si>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</si>
  <si>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</si>
  <si>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</si>
  <si>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</si>
  <si>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</si>
  <si>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</si>
  <si>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</si>
  <si>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</si>
  <si>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</si>
  <si>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</si>
  <si>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</si>
  <si>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</si>
  <si>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</si>
  <si>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</si>
  <si>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</si>
  <si>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</si>
  <si>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</si>
  <si>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</si>
  <si>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</si>
  <si>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</si>
  <si>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</si>
  <si>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</si>
  <si>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</si>
  <si>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</si>
  <si>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</si>
  <si>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</si>
  <si>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</si>
  <si>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</si>
  <si>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</si>
  <si>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</si>
  <si>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</si>
  <si>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</si>
  <si>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</si>
  <si>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</si>
  <si>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</si>
  <si>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</si>
  <si>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</si>
  <si>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</si>
  <si>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</si>
  <si>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</si>
  <si>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</si>
  <si>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</si>
  <si>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</si>
  <si>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</si>
  <si>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</si>
  <si>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</si>
  <si>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</si>
  <si>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</si>
  <si>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</si>
  <si>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</si>
  <si>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</si>
  <si>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</si>
  <si>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</si>
  <si>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</si>
  <si>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</si>
  <si>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</si>
  <si>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</si>
  <si>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</si>
  <si>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</si>
  <si>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</si>
  <si>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</si>
  <si>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</si>
  <si>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</si>
  <si>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</si>
  <si>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</si>
  <si>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</si>
  <si>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</si>
  <si>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</si>
  <si>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</si>
  <si>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</si>
  <si>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</si>
  <si>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</si>
  <si>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</si>
  <si>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</si>
  <si>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</si>
  <si>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</si>
  <si>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</si>
  <si>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</si>
  <si>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</si>
  <si>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</si>
  <si>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</si>
  <si>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</si>
  <si>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</si>
  <si>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</si>
  <si>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</si>
  <si>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</si>
  <si>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</si>
  <si>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</si>
  <si>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</si>
  <si>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</si>
  <si>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</si>
  <si>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</si>
  <si>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</si>
  <si>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</si>
  <si>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</si>
  <si>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</si>
  <si>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</si>
  <si>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</si>
  <si>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</si>
  <si>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</si>
  <si>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</si>
  <si>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</si>
  <si>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</si>
  <si>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</si>
  <si>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</si>
  <si>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</si>
  <si>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</si>
  <si>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</si>
  <si>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</si>
  <si>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</si>
  <si>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</si>
  <si>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</si>
  <si>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</si>
  <si>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</si>
  <si>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</si>
  <si>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</si>
  <si>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</si>
  <si>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</si>
  <si>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</si>
  <si>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</si>
  <si>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</si>
  <si>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</si>
  <si>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</si>
  <si>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</si>
  <si>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</si>
  <si>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</si>
  <si>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</si>
  <si>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</si>
  <si>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</si>
  <si>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</si>
  <si>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</si>
  <si>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</si>
  <si>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</si>
  <si>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</si>
  <si>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</si>
  <si>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</si>
  <si>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</si>
  <si>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</si>
  <si>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</si>
  <si>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</si>
  <si>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</si>
  <si>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</si>
  <si>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</si>
  <si>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</si>
  <si>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</si>
  <si>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</si>
  <si>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</si>
  <si>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</si>
  <si>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</si>
  <si>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</si>
  <si>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</si>
  <si>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</si>
  <si>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</si>
  <si>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</si>
  <si>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</si>
  <si>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</si>
  <si>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</si>
  <si>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</si>
  <si>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</si>
  <si>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</si>
  <si>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</si>
  <si>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</si>
  <si>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</si>
  <si>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</si>
  <si>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</si>
  <si>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</si>
  <si>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</si>
  <si>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</si>
  <si>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</si>
  <si>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</si>
  <si>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</si>
  <si>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</si>
  <si>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</si>
  <si>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</si>
  <si>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</si>
  <si>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</si>
  <si>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</si>
  <si>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</si>
  <si>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</si>
  <si>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</si>
  <si>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</si>
  <si>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</si>
  <si>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</si>
  <si>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</si>
  <si>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</si>
  <si>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</si>
  <si>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</si>
  <si>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</si>
  <si>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</si>
  <si>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</si>
  <si>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</si>
  <si>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</si>
  <si>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</si>
  <si>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</si>
  <si>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</si>
  <si>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</si>
  <si>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</si>
  <si>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</si>
  <si>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</si>
  <si>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</si>
  <si>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</si>
  <si>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</si>
  <si>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</si>
  <si>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</si>
  <si>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</si>
  <si>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</si>
  <si>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</si>
  <si>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</si>
  <si>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</si>
  <si>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</si>
  <si>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</si>
  <si>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</si>
  <si>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</si>
  <si>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</si>
  <si>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</si>
  <si>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</si>
  <si>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</si>
  <si>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</si>
  <si>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</si>
  <si>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</si>
  <si>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</si>
  <si>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</si>
  <si>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</si>
  <si>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</si>
  <si>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</si>
  <si>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</si>
  <si>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</si>
  <si>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</si>
  <si>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</si>
  <si>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</si>
  <si>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</si>
  <si>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</si>
  <si>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</si>
  <si>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</si>
  <si>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</si>
  <si>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</si>
  <si>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</si>
  <si>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</si>
  <si>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</si>
  <si>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</si>
  <si>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</si>
  <si>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</si>
  <si>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</si>
  <si>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</si>
  <si>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</si>
  <si>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</si>
  <si>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</si>
  <si>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</si>
  <si>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</si>
  <si>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</si>
  <si>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</si>
  <si>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</si>
  <si>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</si>
  <si>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</si>
  <si>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</si>
  <si>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</si>
  <si>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</si>
  <si>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</si>
  <si>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Microsoft JhengHei"/>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</si>
  <si>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</si>
  <si>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</si>
  <si>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</si>
  <si>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</si>
  <si>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</si>
  <si>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</si>
  <si>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</si>
  <si>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</si>
  <si>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</si>
  <si>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</si>
  <si>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</si>
  <si>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</si>
  <si>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</si>
  <si>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</si>
  <si>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</si>
  <si>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</si>
  <si>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</si>
  <si>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</si>
  <si>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</si>
  <si>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</si>
  <si>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</si>
  <si>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</si>
  <si>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</si>
  <si>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</si>
  <si>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</si>
  <si>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</si>
  <si>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</si>
  <si>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</si>
  <si>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</si>
  <si>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</si>
  <si>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</si>
  <si>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</si>
  <si>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</si>
  <si>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</si>
  <si>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</si>
  <si>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</si>
  <si>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</si>
  <si>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</si>
  <si>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</si>
  <si>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</si>
  <si>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</si>
  <si>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</si>
  <si>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</si>
  <si>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</si>
  <si>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</si>
  <si>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</si>
  <si>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</si>
  <si>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</si>
  <si>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</si>
  <si>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</si>
  <si>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</si>
  <si>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</si>
  <si>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</si>
  <si>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</si>
  <si>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</si>
  <si>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</si>
  <si>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</si>
  <si>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</si>
  <si>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</si>
  <si>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</si>
  <si>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</si>
  <si>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</si>
  <si>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</si>
  <si>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</si>
  <si>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</si>
  <si>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</si>
  <si>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</si>
  <si>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</si>
  <si>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</si>
  <si>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</si>
  <si>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</si>
  <si>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</si>
  <si>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</si>
  <si>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</si>
  <si>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</si>
  <si>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</si>
  <si>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</si>
  <si>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</si>
  <si>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</si>
  <si>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</si>
  <si>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</si>
  <si>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</si>
  <si>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</si>
  <si>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</si>
  <si>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</si>
  <si>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</si>
  <si>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</si>
  <si>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</si>
  <si>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</si>
  <si>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</si>
  <si>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</si>
  <si>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</si>
  <si>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</si>
  <si>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</si>
  <si>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</si>
  <si>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</si>
  <si>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</si>
  <si>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</si>
  <si>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</si>
  <si>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</si>
  <si>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</si>
  <si>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</si>
  <si>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</si>
  <si>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</si>
  <si>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</si>
  <si>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</si>
  <si>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</si>
  <si>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</si>
  <si>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</si>
  <si>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</si>
  <si>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</si>
  <si>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</si>
  <si>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</si>
  <si>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</si>
  <si>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</si>
  <si>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</si>
  <si>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</si>
  <si>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</si>
  <si>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</si>
  <si>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</si>
  <si>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</si>
  <si>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</si>
  <si>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</si>
  <si>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</si>
  <si>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</si>
  <si>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</si>
  <si>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</si>
  <si>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</si>
  <si>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</si>
  <si>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</si>
  <si>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</si>
  <si>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</si>
  <si>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</si>
  <si>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</si>
  <si>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</si>
  <si>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</si>
  <si>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</si>
  <si>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</si>
  <si>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</si>
  <si>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</si>
  <si>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</si>
  <si>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</si>
  <si>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</si>
  <si>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</si>
  <si>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</si>
  <si>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</si>
  <si>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</si>
  <si>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</si>
  <si>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</si>
  <si>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</si>
  <si>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</si>
  <si>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</si>
  <si>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</si>
  <si>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</si>
  <si>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</si>
  <si>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</si>
  <si>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</si>
  <si>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</si>
  <si>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</si>
  <si>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</si>
  <si>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</si>
  <si>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</si>
  <si>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</si>
  <si>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</si>
  <si>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</si>
  <si>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</si>
  <si>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</si>
  <si>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</si>
  <si>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</si>
  <si>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</si>
  <si>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</si>
  <si>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</si>
  <si>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</si>
  <si>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</si>
  <si>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</si>
  <si>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</si>
  <si>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</si>
  <si>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</si>
  <si>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</si>
  <si>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</si>
  <si>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</si>
  <si>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</si>
  <si>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</si>
  <si>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</si>
  <si>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</si>
  <si>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</si>
  <si>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</si>
  <si>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</si>
  <si>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</si>
  <si>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</si>
  <si>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</si>
  <si>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</si>
  <si>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</si>
  <si>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</si>
  <si>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</si>
  <si>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</si>
  <si>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</si>
  <si>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</si>
  <si>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</si>
  <si>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</si>
  <si>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</si>
  <si>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</si>
  <si>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</si>
  <si>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 liên quan</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</si>
  <si>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</si>
  <si>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</si>
  <si>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</si>
  <si>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</si>
  <si>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</si>
  <si>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</si>
  <si>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</si>
  <si>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</si>
  <si>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</si>
  <si>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</si>
  <si>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</si>
  <si>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</si>
  <si>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</si>
  <si>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</si>
  <si>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</si>
  <si>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</si>
  <si>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</si>
  <si>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</si>
  <si>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</si>
  <si>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</si>
  <si>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</si>
  <si>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</si>
  <si>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</si>
  <si>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</si>
  <si>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</si>
  <si>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</si>
  <si>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</si>
  <si>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</si>
  <si>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</si>
  <si>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</si>
  <si>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</si>
  <si>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</si>
  <si>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</si>
  <si>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</si>
  <si>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</si>
  <si>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</si>
  <si>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</si>
  <si>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</si>
  <si>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</si>
  <si>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</si>
  <si>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</si>
  <si>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</si>
  <si>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</si>
  <si>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</si>
  <si>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</si>
  <si>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</si>
  <si>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</si>
  <si>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</si>
  <si>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</si>
  <si>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</si>
  <si>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</si>
  <si>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</si>
  <si>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</si>
  <si>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</si>
  <si>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</si>
  <si>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</si>
  <si>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</si>
  <si>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</si>
  <si>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</si>
  <si>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</si>
  <si>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</si>
  <si>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</si>
  <si>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</si>
  <si>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</si>
  <si>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</si>
  <si>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</si>
  <si>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</si>
  <si>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</si>
  <si>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</si>
  <si>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</si>
  <si>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</si>
  <si>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</si>
  <si>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</si>
  <si>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</si>
  <si>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</si>
  <si>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</si>
  <si>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</si>
  <si>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</si>
  <si>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</si>
  <si>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</si>
  <si>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</si>
  <si>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</si>
  <si>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</si>
  <si>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</si>
  <si>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</si>
  <si>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</si>
  <si>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</si>
  <si>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</si>
  <si>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</si>
  <si>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</si>
  <si>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</si>
  <si>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</si>
  <si>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</si>
  <si>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</si>
  <si>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</si>
  <si>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</si>
  <si>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</si>
  <si>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</si>
  <si>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</si>
  <si>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</si>
  <si>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</si>
  <si>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t>
  </si>
  <si>
    <t>恐ろしい！ -1</t>
  </si>
  <si>
    <t xml:space="preserve">
深夜に「恐怖のビデオテープ」を使用する
💜が3以上である場合…
</t>
  </si>
  <si>
    <t xml:space="preserve">
選択肢によって
妹との本番イベントを発生させる
</t>
  </si>
  <si>
    <t>That's scary! - 1</t>
  </si>
  <si>
    <t>Similar to above, watch the "horror video tape" late at night with more than 3 purple hearts</t>
  </si>
  <si>
    <t xml:space="preserve">The sex event in the living room will occur and the follow-up sequence is guaranteed
The first time is forced to ejaculate outside
The second time is by choice
The third time is optional
</t>
  </si>
  <si>
    <t>在深夜时段使用"恐怖录像带"
并且紫心度大于3</t>
  </si>
  <si>
    <t>依照选项
触发和妹妹的本番剧情
第一次是强制在外面
第二次是主动在外面
第三次能自行选择</t>
  </si>
  <si>
    <t>Das ist gruselig! -1</t>
  </si>
  <si>
    <t>Wie oben, benutze die "Horrorvideokassette" spät in der Nacht, und die lila Herzen höher als 3 sind.</t>
  </si>
  <si>
    <t>Ein Haupthandlungs Event wird basierend auf deiner Wahl ausgelöst.</t>
  </si>
  <si>
    <t>Thật đáng sợ! - 1</t>
  </si>
  <si>
    <t>Tương tự như trên, sử dụng "băng video kinh dị" vào đêm khuya  và tim tím cao hơn 3</t>
  </si>
  <si>
    <t xml:space="preserve">Sự kiện sex trong phòng khách sẽ xảy ra và trình tự sau chắc chắn xảy ra
Lần đầu tiến sẽ bị bắt bắn ra ngoài
Lần thứ hai là lựa chọn
Lần thứ ba là tùy </t>
  </si>
  <si>
    <t>Isso é Tão Assustador！-1</t>
  </si>
  <si>
    <t xml:space="preserve">Mesmo que acima, use a "Fita de Vídeo de Terror" tarde da noite e tenha 3 ou mais corações roxos💜💜💜. </t>
  </si>
  <si>
    <t xml:space="preserve">Um evento sexual ocorrerá na sala de estar e terá as conseguências garantidas a seguir
A primeira vez terminará fora obrigatoriamente.
A segunda vez terminará voluntariamente fora.
A terceira vez será opcional.
</t>
  </si>
  <si>
    <t>好害羞哦！</t>
  </si>
  <si>
    <t>於深夜時段使用"成人錄影帶"
並且好感/紫心未達於標準</t>
  </si>
  <si>
    <t>恥ずかしい！</t>
  </si>
  <si>
    <t xml:space="preserve">
深夜に「アダルトビデオ」を使用する！
しかし💖/💜が基準を満たしてない場合…
</t>
  </si>
  <si>
    <t>That's embarrassing!</t>
  </si>
  <si>
    <t>Use the "adult video tape" late at night with low amount of red/purple hearts.</t>
  </si>
  <si>
    <t>在深夜时段使用"成人录像带"
并且好感/紫心未达标准</t>
  </si>
  <si>
    <t>¡Que verguenza!</t>
  </si>
  <si>
    <t>Das ist peinlich!</t>
  </si>
  <si>
    <t>Benutze die "Erwachsenenvideokassette" spät in der Nacht, wenn nur wenige rote/lila Herzen vorhanden sind.</t>
  </si>
  <si>
    <t>Thật đáng xấu hổ!</t>
  </si>
  <si>
    <t>Sử dụng "băng video người lớn" vào đêm khuya với lượng tim đỏ/tím thấp.</t>
  </si>
  <si>
    <t>Isso é Tão Vergonhoso！</t>
  </si>
  <si>
    <t>Use a "Fita de Vídeo Adulta" tarde da noite
com poucos Corações Vermelhos❤️/Roxos💜.</t>
  </si>
  <si>
    <t>好害羞哦！-1</t>
  </si>
  <si>
    <t>於深夜時段使用"成人錄影帶"
並且好感度大於?，紫心度大於?</t>
  </si>
  <si>
    <t>恥ずかしい！-1</t>
  </si>
  <si>
    <t xml:space="preserve">
深夜に「成人ビデオ」を使用する
かつ💖が?以上/💜が?以上である場合！
</t>
  </si>
  <si>
    <t>That's embarrassing! - 1</t>
  </si>
  <si>
    <t>Same as above, use the "adult video tape" late at night with red hearts higher than ? and purple hearts higher than ?.</t>
  </si>
  <si>
    <t>在深夜时段使用"成人录像带"
并且好感度大于?，紫心度大于?</t>
  </si>
  <si>
    <t>¡Que verguenza! -1</t>
  </si>
  <si>
    <t>Das ist peinlich! -1</t>
  </si>
  <si>
    <t>Wie oben, benutze die "Erwachsenenvideokassette" spät in der Nacht, wenn die roten Herzen über ? und die lila Herzen über ? liegen.</t>
  </si>
  <si>
    <t>Thật đáng xấu hổ! - 1</t>
  </si>
  <si>
    <t>Tương tự như trên, sử dụng "băng video người lớn" vào đêm khuya với số tim đỏ cao hơn ? và tim tím cao hơn ?</t>
  </si>
  <si>
    <t>Isso é Tão Vergonhoso！-1</t>
  </si>
  <si>
    <t>Mesmo que acima, use a "Fita de Vídeo Adulta" tarde da noite, tenha uma quantidade de Corações Vermelhos ❤️ maior que ? e uma quantidade de Corações Roxos  💜 maior que ?</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</si>
  <si>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</si>
  <si>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</si>
  <si>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</si>
  <si>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</si>
  <si>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</si>
  <si>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</si>
  <si>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</si>
  <si>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</si>
  <si>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</si>
  <si>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</si>
  <si>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</si>
  <si>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</si>
  <si>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</si>
  <si>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</si>
  <si>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</si>
  <si>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</si>
  <si>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</si>
  <si>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</si>
  <si>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</si>
  <si>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</si>
  <si>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</si>
  <si>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</si>
  <si>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</si>
  <si>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</si>
  <si>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</si>
  <si>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</si>
  <si>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cuộc chọc ghẹo ban đêm được làm lại</t>
  </si>
  <si>
    <t>Ocultar a Respiração- 3</t>
  </si>
  <si>
    <t>Uma nova opção ser disponível durante a "incursão noturna".</t>
  </si>
  <si>
    <t>*Ainda não implementada. Por favor, espere para que a "incursão noturna" seja retrabalhada.</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</si>
  <si>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</si>
  <si>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</si>
  <si>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</si>
  <si>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</si>
  <si>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</si>
  <si>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</si>
  <si>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</si>
  <si>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</si>
  <si>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</si>
  <si>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</si>
  <si>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</si>
  <si>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</si>
  <si>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</si>
  <si>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</si>
  <si>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</si>
  <si>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</si>
  <si>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</si>
  <si>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</si>
  <si>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</si>
  <si>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</si>
  <si>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</si>
  <si>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</si>
  <si>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</si>
  <si>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</si>
  <si>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</si>
  <si>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</si>
  <si>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</si>
  <si>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</si>
  <si>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</si>
  <si>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</si>
  <si>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</si>
  <si>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</si>
  <si>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</si>
  <si>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</si>
  <si>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</si>
  <si>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</si>
  <si>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</si>
  <si>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</si>
  <si>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</si>
  <si>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</si>
  <si>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</si>
  <si>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</si>
  <si>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</si>
  <si>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</si>
  <si>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</si>
  <si>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</si>
  <si>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</si>
  <si>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</si>
  <si>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</si>
  <si>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</si>
  <si>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</si>
  <si>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</si>
  <si>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</si>
  <si>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</si>
  <si>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</si>
  <si>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</si>
  <si>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</si>
  <si>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</si>
  <si>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</si>
  <si>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</si>
  <si>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</si>
  <si>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</si>
  <si>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</si>
  <si>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</si>
  <si>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</si>
  <si>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</si>
  <si>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</si>
  <si>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</si>
  <si>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</si>
  <si>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</si>
  <si>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</si>
  <si>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</si>
  <si>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</si>
  <si>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</si>
  <si>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</si>
  <si>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</si>
  <si>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</si>
  <si>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</si>
  <si>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</si>
  <si>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</si>
  <si>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</si>
  <si>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</si>
  <si>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</si>
  <si>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</si>
  <si>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</si>
  <si>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</si>
  <si>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</si>
  <si>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</si>
  <si>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</si>
  <si>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</si>
  <si>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</si>
  <si>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</si>
  <si>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</si>
  <si>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</si>
  <si>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</si>
  <si>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</si>
  <si>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</si>
  <si>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</si>
  <si>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</si>
  <si>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</si>
  <si>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</si>
  <si>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</si>
  <si>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</si>
  <si>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</si>
  <si>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</si>
  <si>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</si>
  <si>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</si>
  <si>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</si>
  <si>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</si>
  <si>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</si>
  <si>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</si>
  <si>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</si>
  <si>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</si>
  <si>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</si>
  <si>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</si>
  <si>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</si>
  <si>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</si>
  <si>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</si>
  <si>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</si>
  <si>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</si>
  <si>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</si>
  <si>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</si>
  <si>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</si>
  <si>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</si>
  <si>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</si>
  <si>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</si>
  <si>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</si>
  <si>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</si>
  <si>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</si>
  <si>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</si>
  <si>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</si>
  <si>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</si>
  <si>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</si>
  <si>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</si>
  <si>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</si>
  <si>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</si>
  <si>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</si>
  <si>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</si>
  <si>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</si>
  <si>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</si>
  <si>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</si>
  <si>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</si>
  <si>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</si>
  <si>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</si>
  <si>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</si>
  <si>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</si>
  <si>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</si>
  <si>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</si>
  <si>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</si>
  <si>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</si>
  <si>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</si>
  <si>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</si>
  <si>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</si>
  <si>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</si>
  <si>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</si>
  <si>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</si>
  <si>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</si>
  <si>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</si>
  <si>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</si>
  <si>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</si>
  <si>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</si>
  <si>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</si>
  <si>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</si>
  <si>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</si>
  <si>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</si>
  <si>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</si>
  <si>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</si>
  <si>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</si>
  <si>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</si>
  <si>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</si>
  <si>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</si>
  <si>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</si>
  <si>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</si>
  <si>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</si>
  <si>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</si>
  <si>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</si>
  <si>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</si>
  <si>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</si>
  <si>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</si>
  <si>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</si>
  <si>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</si>
  <si>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</si>
  <si>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</si>
  <si>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</si>
  <si>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</si>
  <si>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</si>
  <si>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</si>
  <si>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</si>
  <si>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</si>
  <si>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</si>
  <si>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</si>
  <si>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</si>
  <si>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</si>
  <si>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</si>
  <si>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</si>
  <si>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</si>
  <si>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</si>
  <si>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</si>
  <si>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</si>
  <si>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</si>
  <si>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</si>
  <si>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</si>
  <si>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</si>
  <si>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</si>
  <si>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</si>
  <si>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</si>
  <si>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</si>
  <si>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</si>
  <si>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</si>
  <si>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</si>
  <si>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</si>
  <si>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</si>
  <si>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</si>
  <si>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</si>
  <si>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</si>
  <si>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</si>
  <si>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</si>
  <si>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</si>
  <si>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</si>
  <si>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</si>
  <si>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</si>
  <si>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</si>
  <si>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</si>
  <si>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</si>
  <si>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</si>
  <si>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</si>
  <si>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</si>
  <si>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</si>
  <si>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</si>
  <si>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</si>
  <si>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</si>
  <si>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</si>
  <si>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</si>
  <si>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</si>
  <si>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</si>
  <si>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</si>
  <si>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</si>
  <si>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</si>
  <si>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</si>
  <si>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</si>
  <si>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</si>
  <si>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</si>
  <si>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</si>
  <si>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</si>
  <si>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</si>
  <si>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</si>
  <si>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</si>
  <si>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</si>
  <si>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</si>
  <si>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</si>
  <si>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</si>
  <si>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</si>
  <si>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</si>
  <si>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</si>
  <si>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</si>
  <si>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</si>
  <si>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</si>
  <si>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</si>
  <si>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</si>
  <si>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</si>
  <si>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</si>
  <si>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</si>
  <si>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</si>
  <si>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</si>
  <si>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</si>
  <si>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</si>
  <si>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</si>
  <si>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</si>
  <si>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</si>
  <si>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</si>
  <si>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</si>
  <si>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</si>
  <si>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</si>
  <si>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</si>
  <si>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</si>
  <si>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</si>
  <si>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</si>
  <si>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</si>
  <si>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</si>
  <si>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</si>
  <si>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</si>
  <si>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</si>
  <si>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</si>
  <si>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</si>
  <si>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</si>
  <si>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</si>
  <si>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</si>
  <si>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</si>
  <si>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</si>
  <si>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</si>
  <si>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</si>
  <si>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</si>
  <si>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</si>
  <si>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</si>
  <si>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</si>
  <si>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</si>
  <si>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</si>
  <si>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</si>
  <si>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</si>
  <si>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</si>
  <si>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</si>
  <si>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</si>
  <si>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</si>
  <si>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</si>
  <si>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</si>
  <si>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</si>
  <si>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</si>
  <si>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</si>
  <si>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</si>
  <si>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</si>
  <si>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</si>
  <si>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</si>
  <si>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</si>
  <si>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</si>
  <si>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</si>
  <si>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</si>
  <si>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</si>
  <si>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</si>
  <si>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</si>
  <si>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</si>
  <si>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</si>
  <si>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</si>
  <si>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</si>
  <si>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</si>
  <si>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</si>
  <si>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</si>
  <si>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</si>
  <si>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</si>
  <si>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</si>
  <si>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</si>
  <si>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</si>
  <si>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</si>
  <si>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</si>
  <si>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</si>
  <si>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</si>
  <si>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</si>
  <si>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</si>
  <si>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</si>
  <si>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</si>
  <si>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</si>
  <si>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</si>
  <si>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</si>
  <si>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</si>
  <si>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</si>
  <si>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</si>
  <si>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</si>
  <si>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</si>
  <si>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</si>
  <si>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</si>
  <si>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</si>
  <si>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</si>
  <si>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</si>
  <si>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</si>
  <si>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</si>
  <si>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</si>
  <si>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</si>
  <si>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</si>
  <si>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</si>
  <si>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</si>
  <si>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</si>
  <si>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</si>
  <si>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</si>
  <si>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</si>
  <si>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</si>
  <si>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</si>
  <si>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</si>
  <si>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</si>
  <si>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</si>
  <si>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</si>
  <si>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</si>
  <si>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</si>
  <si>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</si>
  <si>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</si>
  <si>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</si>
  <si>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</si>
  <si>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</si>
  <si>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</si>
  <si>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</si>
  <si>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</si>
  <si>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</si>
  <si>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</si>
  <si>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</si>
  <si>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</si>
  <si>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</si>
  <si>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</si>
  <si>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</si>
  <si>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</si>
  <si>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</si>
  <si>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</si>
  <si>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</si>
  <si>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</si>
  <si>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</si>
  <si>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</si>
  <si>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</si>
  <si>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</si>
  <si>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</si>
  <si>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</si>
  <si>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</si>
  <si>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</si>
  <si>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</si>
  <si>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</si>
  <si>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</si>
  <si>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</si>
  <si>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</si>
  <si>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</si>
  <si>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</si>
  <si>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</si>
  <si>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</si>
  <si>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</si>
  <si>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</si>
  <si>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</si>
  <si>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</si>
  <si>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</si>
  <si>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</si>
  <si>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</si>
  <si>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</si>
  <si>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</si>
  <si>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</si>
  <si>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</si>
  <si>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</si>
  <si>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</si>
  <si>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</si>
  <si>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</si>
  <si>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</si>
  <si>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</si>
  <si>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</si>
  <si>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</si>
  <si>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</si>
  <si>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</si>
  <si>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</si>
  <si>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</si>
  <si>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</si>
  <si>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</si>
  <si>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</si>
  <si>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</si>
  <si>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</si>
  <si>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</si>
  <si>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</si>
  <si>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</si>
  <si>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</si>
  <si>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</si>
  <si>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</si>
  <si>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</si>
  <si>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</si>
  <si>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</si>
  <si>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</si>
  <si>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</si>
  <si>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</si>
  <si>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</si>
  <si>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</si>
  <si>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</si>
  <si>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</si>
  <si>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</si>
  <si>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</si>
  <si>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</si>
  <si>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</si>
  <si>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</si>
  <si>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</si>
  <si>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</si>
  <si>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</si>
  <si>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</si>
  <si>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</si>
  <si>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</si>
  <si>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</si>
  <si>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</si>
  <si>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</si>
  <si>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</si>
  <si>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</si>
  <si>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</si>
  <si>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</si>
  <si>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</si>
  <si>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</si>
  <si>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</si>
  <si>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</si>
  <si>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</si>
  <si>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</si>
  <si>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</si>
  <si>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</si>
  <si>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</si>
  <si>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</si>
  <si>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</si>
  <si>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</si>
  <si>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</si>
  <si>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</si>
  <si>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</si>
  <si>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</si>
  <si>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</si>
  <si>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</si>
  <si>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</si>
  <si>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</si>
  <si>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</si>
  <si>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</si>
  <si>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</si>
  <si>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</si>
  <si>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</si>
  <si>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</si>
  <si>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</si>
  <si>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</si>
  <si>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</si>
  <si>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</si>
  <si>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</si>
  <si>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</si>
  <si>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</si>
  <si>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</si>
  <si>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</si>
  <si>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</si>
  <si>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</si>
  <si>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</si>
  <si>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</si>
  <si>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</si>
  <si>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</si>
  <si>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</si>
  <si>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</si>
  <si>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</si>
  <si>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</si>
  <si>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</si>
  <si>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</si>
  <si>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</si>
  <si>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</si>
  <si>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</si>
  <si>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</si>
  <si>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</si>
  <si>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</si>
  <si>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</si>
  <si>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</si>
  <si>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</si>
  <si>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</si>
  <si>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</si>
  <si>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</si>
  <si>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</si>
  <si>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</si>
  <si>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</si>
  <si>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</si>
  <si>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</si>
  <si>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</si>
  <si>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</si>
  <si>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</si>
  <si>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</si>
  <si>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</si>
  <si>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</si>
  <si>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</si>
  <si>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</si>
  <si>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</si>
  <si>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</si>
  <si>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</si>
  <si>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</si>
  <si>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</si>
  <si>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</si>
  <si>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</si>
  <si>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</si>
  <si>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</si>
  <si>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</si>
  <si>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</si>
  <si>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</si>
  <si>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</si>
  <si>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</si>
  <si>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</si>
  <si>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</si>
  <si>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</si>
  <si>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</si>
  <si>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</si>
  <si>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</si>
  <si>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</si>
  <si>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</si>
  <si>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</si>
  <si>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</si>
  <si>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</si>
  <si>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</si>
  <si>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</si>
  <si>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</si>
  <si>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</si>
  <si>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</si>
  <si>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</si>
  <si>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</si>
  <si>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</si>
  <si>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</si>
  <si>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</si>
  <si>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</si>
  <si>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</si>
  <si>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</si>
  <si>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</si>
  <si>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</si>
  <si>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</si>
  <si>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</si>
  <si>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</si>
  <si>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</si>
  <si>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</si>
  <si>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</si>
  <si>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</si>
  <si>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</si>
  <si>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</si>
  <si>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</si>
  <si>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</si>
  <si>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</si>
  <si>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</si>
  <si>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</si>
  <si>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</si>
  <si>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</si>
  <si>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</si>
  <si>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</si>
  <si>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</si>
  <si>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</si>
  <si>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</si>
  <si>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</si>
  <si>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</si>
  <si>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</si>
  <si>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</si>
  <si>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</si>
  <si>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</si>
  <si>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</si>
  <si>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</si>
  <si>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</si>
  <si>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</si>
  <si>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</si>
  <si>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</si>
  <si>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</si>
  <si>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</si>
  <si>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</si>
  <si>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</si>
  <si>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</si>
  <si>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</si>
  <si>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</si>
  <si>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</si>
  <si>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</si>
  <si>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</si>
  <si>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</si>
  <si>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</si>
  <si>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</si>
  <si>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</si>
  <si>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</si>
  <si>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</si>
  <si>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</si>
  <si>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</si>
  <si>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</si>
  <si>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</si>
  <si>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</si>
  <si>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</si>
  <si>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</si>
  <si>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</si>
  <si>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</si>
  <si>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</si>
  <si>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</si>
  <si>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</si>
  <si>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</si>
  <si>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</si>
  <si>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</si>
  <si>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</si>
  <si>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</si>
  <si>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</si>
  <si>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</si>
  <si>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</si>
  <si>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</si>
  <si>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</si>
  <si>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</si>
  <si>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</si>
  <si>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</si>
  <si>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</si>
  <si>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</si>
  <si>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</si>
  <si>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</si>
  <si>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</si>
  <si>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</si>
  <si>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</si>
  <si>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</si>
  <si>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</si>
  <si>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</si>
  <si>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</si>
  <si>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</si>
  <si>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</si>
  <si>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</si>
  <si>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</si>
  <si>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</si>
  <si>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</si>
  <si>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</si>
  <si>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</si>
  <si>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</si>
  <si>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</si>
  <si>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</si>
  <si>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</si>
  <si>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</si>
  <si>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</si>
  <si>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</si>
  <si>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</si>
  <si>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</si>
  <si>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</si>
  <si>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</si>
  <si>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
Você pode digitar o código ao pressionar F12 -&gt; Console (2ª coluna)
QJ.SE.spawnRegionNum(1,94,[118],1,true)
E então aperte ENTER 
(CUIDADO: Isso pode causar bugs indesejados!)</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</si>
  <si>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</si>
  <si>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</si>
  <si>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</si>
  <si>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</si>
  <si>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</si>
  <si>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</si>
  <si>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</si>
  <si>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</si>
  <si>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</si>
  <si>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</si>
  <si>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</si>
  <si>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</si>
  <si>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</si>
  <si>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</si>
  <si>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</si>
  <si>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</si>
  <si>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</si>
  <si>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</si>
  <si>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</si>
  <si>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</si>
  <si>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</si>
  <si>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</si>
  <si>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</si>
  <si>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</si>
  <si>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</si>
  <si>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</si>
  <si>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</si>
  <si>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</si>
  <si>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</si>
  <si>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</si>
  <si>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</si>
  <si>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</si>
  <si>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</si>
  <si>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</si>
  <si>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</si>
  <si>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</si>
  <si>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</si>
  <si>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</si>
  <si>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</si>
  <si>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</si>
  <si>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</si>
  <si>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</si>
  <si>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</si>
  <si>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</si>
  <si>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</si>
  <si>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</si>
  <si>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</si>
  <si>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</si>
  <si>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</si>
  <si>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</si>
  <si>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</si>
  <si>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</si>
  <si>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</si>
  <si>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</si>
  <si>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</si>
  <si>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</si>
  <si>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</si>
  <si>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</si>
  <si>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</si>
  <si>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</si>
  <si>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</si>
  <si>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</si>
  <si>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</si>
  <si>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</si>
  <si>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</si>
  <si>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</si>
  <si>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</si>
  <si>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</si>
  <si>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</si>
  <si>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</si>
  <si>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</si>
  <si>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</si>
  <si>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</si>
  <si>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</si>
  <si>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</si>
  <si>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</si>
  <si>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</si>
  <si>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</si>
  <si>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</si>
  <si>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</si>
  <si>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</si>
  <si>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</si>
  <si>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</si>
  <si>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</si>
  <si>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</si>
  <si>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</si>
  <si>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</si>
  <si>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</si>
  <si>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</si>
  <si>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</si>
  <si>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</si>
  <si>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</si>
  <si>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</si>
  <si>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</si>
  <si>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</si>
  <si>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</si>
  <si>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</si>
  <si>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</si>
  <si>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</si>
  <si>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</si>
  <si>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</si>
  <si>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</si>
  <si>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</si>
  <si>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</si>
  <si>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</si>
  <si>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</si>
  <si>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</si>
  <si>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</si>
  <si>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</si>
  <si>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</si>
  <si>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</si>
  <si>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</si>
  <si>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</si>
  <si>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</si>
  <si>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</si>
  <si>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</si>
  <si>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</si>
  <si>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</si>
  <si>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</si>
  <si>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</si>
  <si>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</si>
  <si>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</si>
  <si>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</si>
  <si>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</si>
  <si>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</si>
  <si>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</si>
  <si>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</si>
  <si>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</si>
  <si>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</si>
  <si>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</si>
  <si>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</si>
  <si>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</si>
  <si>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</si>
  <si>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</si>
  <si>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</si>
  <si>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</si>
  <si>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</si>
  <si>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</si>
  <si>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</si>
  <si>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</si>
  <si>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</si>
  <si>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</si>
  <si>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</si>
  <si>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</si>
  <si>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</si>
  <si>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</si>
  <si>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</si>
  <si>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</si>
  <si>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</si>
  <si>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</si>
  <si>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</si>
  <si>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</si>
  <si>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</si>
  <si>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</si>
  <si>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</si>
  <si>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</si>
  <si>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</si>
  <si>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</si>
  <si>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</si>
  <si>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</si>
  <si>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</si>
  <si>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</si>
  <si>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</si>
  <si>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</si>
  <si>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</si>
  <si>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</si>
  <si>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</si>
  <si>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</si>
  <si>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</si>
  <si>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</si>
  <si>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</si>
  <si>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</si>
  <si>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</si>
  <si>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</si>
  <si>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</si>
  <si>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</si>
  <si>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</si>
  <si>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</si>
  <si>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</si>
  <si>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</si>
  <si>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</si>
  <si>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</si>
  <si>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</si>
  <si>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</si>
  <si>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</si>
  <si>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</si>
  <si>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</si>
  <si>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</si>
  <si>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</si>
  <si>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</si>
  <si>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</si>
  <si>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25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</si>
  <si>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</si>
  <si>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</si>
  <si>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</si>
  <si>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</si>
  <si>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</si>
  <si>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</si>
  <si>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</si>
  <si>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</si>
  <si>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</si>
  <si>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</si>
  <si>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</si>
  <si>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</si>
  <si>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</si>
  <si>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</si>
  <si>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</si>
  <si>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</si>
  <si>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</si>
  <si>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</si>
  <si>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</si>
  <si>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</si>
  <si>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</si>
  <si>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</si>
  <si>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</si>
  <si>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使用"戰車"塔羅牌進行召喚
*同一天只能招換一次</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</si>
  <si>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</si>
  <si>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</si>
  <si>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</si>
  <si>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</si>
  <si>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</si>
  <si>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</si>
  <si>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</si>
  <si>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</si>
  <si>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</si>
  <si>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</si>
  <si>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</si>
  <si>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</si>
  <si>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</si>
  <si>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</si>
  <si>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Comprando na Van - 1</t>
  </si>
  <si>
    <t>Pode ser invocado usando a carta de tarô "Chariot".
*Só pode ser invocado uma vez por dia.</t>
  </si>
  <si>
    <t>Invoca a van que pertence a garota gato dona da loja.
Não pegue os itens imediatamente porque isso é considerado roubo!!</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</si>
  <si>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</si>
  <si>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</si>
  <si>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</si>
  <si>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</si>
  <si>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</si>
  <si>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</si>
  <si>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</si>
  <si>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</si>
  <si>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</si>
  <si>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</si>
  <si>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</si>
  <si>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</si>
  <si>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</si>
  <si>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</si>
  <si>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</si>
  <si>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</si>
  <si>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Comprando na Van - 2</t>
  </si>
  <si>
    <t>Roube itens da dona da loja</t>
  </si>
  <si>
    <t>A dona da loja irá te atacar.
CUIDADO:Ela é extremamente forte e irá com quase toda certaza te destruir. Por favor, considere salvar antes de começar a roubar
PS: Mesmo se você pare o tempo, ela continuará te atacando.</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</si>
  <si>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</si>
  <si>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</si>
  <si>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</si>
  <si>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</si>
  <si>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</si>
  <si>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</si>
  <si>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</si>
  <si>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</si>
  <si>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</si>
  <si>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</si>
  <si>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</si>
  <si>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</si>
  <si>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</si>
  <si>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</si>
  <si>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</si>
  <si>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</si>
  <si>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</si>
  <si>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</si>
  <si>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</si>
  <si>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</si>
  <si>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</si>
  <si>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</si>
  <si>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</si>
  <si>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</si>
  <si>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</si>
  <si>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</si>
  <si>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</si>
  <si>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</si>
  <si>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</si>
  <si>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</si>
  <si>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</si>
  <si>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</si>
  <si>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</si>
  <si>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</si>
  <si>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</si>
  <si>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</si>
  <si>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</si>
  <si>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</si>
  <si>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</si>
  <si>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</si>
  <si>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</si>
  <si>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</si>
  <si>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</si>
  <si>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</si>
  <si>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</si>
  <si>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</si>
  <si>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</si>
  <si>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</si>
  <si>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</si>
  <si>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</si>
  <si>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</si>
  <si>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</si>
  <si>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</si>
  <si>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</si>
  <si>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</si>
  <si>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</si>
  <si>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</si>
  <si>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</si>
  <si>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</si>
  <si>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</si>
  <si>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</si>
  <si>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</si>
  <si>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</si>
  <si>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</si>
  <si>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</si>
  <si>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</si>
  <si>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</si>
  <si>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</si>
  <si>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</si>
  <si>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</si>
  <si>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</si>
  <si>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</si>
  <si>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</si>
  <si>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</si>
  <si>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</si>
  <si>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</si>
  <si>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</si>
  <si>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</si>
  <si>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</si>
  <si>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</si>
  <si>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</si>
  <si>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</si>
  <si>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</si>
  <si>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</si>
  <si>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</si>
  <si>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</si>
  <si>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</si>
  <si>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</si>
  <si>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</si>
  <si>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</si>
  <si>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</si>
  <si>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</si>
  <si>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</si>
  <si>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</si>
  <si>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</si>
  <si>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</si>
  <si>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</si>
  <si>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</si>
  <si>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</si>
  <si>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</si>
  <si>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</si>
  <si>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</si>
  <si>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</si>
  <si>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</si>
  <si>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</si>
  <si>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</si>
  <si>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</si>
  <si>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</si>
  <si>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</si>
  <si>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</si>
  <si>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</si>
  <si>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</si>
  <si>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</si>
  <si>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</si>
  <si>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</si>
  <si>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</si>
  <si>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</si>
  <si>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</si>
  <si>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</si>
  <si>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</si>
  <si>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</si>
  <si>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</si>
  <si>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</si>
  <si>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</si>
  <si>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</si>
  <si>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</si>
  <si>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</si>
  <si>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</si>
  <si>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</si>
  <si>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</si>
  <si>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</si>
  <si>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</si>
  <si>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</si>
  <si>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</si>
  <si>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</si>
  <si>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</si>
  <si>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</si>
  <si>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</si>
  <si>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</si>
  <si>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</si>
  <si>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</si>
  <si>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</si>
  <si>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</si>
  <si>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</si>
  <si>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</si>
  <si>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</si>
  <si>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</si>
  <si>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</si>
  <si>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</si>
  <si>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</si>
  <si>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</si>
  <si>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</si>
  <si>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</si>
  <si>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</si>
  <si>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</si>
  <si>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</si>
  <si>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</si>
  <si>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</si>
  <si>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</si>
  <si>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</si>
  <si>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</si>
  <si>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</si>
  <si>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</si>
  <si>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</si>
  <si>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</si>
  <si>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</si>
  <si>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</si>
  <si>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</si>
  <si>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</si>
  <si>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</si>
  <si>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</si>
  <si>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</si>
  <si>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</si>
  <si>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</si>
  <si>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</si>
  <si>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</si>
  <si>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</si>
  <si>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</si>
  <si>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</si>
  <si>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</si>
  <si>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</si>
  <si>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</si>
  <si>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</si>
  <si>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</si>
  <si>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</si>
  <si>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</si>
  <si>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</si>
  <si>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</si>
  <si>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</si>
  <si>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</si>
  <si>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</si>
  <si>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</si>
  <si>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</si>
  <si>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</si>
  <si>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</si>
  <si>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</si>
  <si>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</si>
  <si>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</si>
  <si>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</si>
  <si>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</si>
  <si>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</si>
  <si>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</si>
  <si>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</si>
  <si>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</si>
  <si>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</si>
  <si>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</si>
  <si>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</si>
  <si>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</si>
  <si>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</si>
  <si>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</si>
  <si>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</si>
  <si>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</si>
  <si>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</si>
  <si>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</si>
  <si>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</si>
  <si>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</si>
  <si>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</si>
  <si>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</si>
  <si>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</si>
  <si>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</si>
  <si>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</si>
  <si>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</si>
  <si>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</si>
  <si>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</si>
  <si>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</si>
  <si>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</si>
  <si>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</si>
  <si>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</si>
  <si>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</si>
  <si>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</si>
  <si>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</si>
  <si>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</si>
  <si>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</si>
  <si>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</si>
  <si>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</si>
  <si>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</si>
  <si>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</si>
  <si>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</si>
  <si>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</si>
  <si>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</si>
  <si>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</si>
  <si>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</si>
  <si>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</si>
  <si>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</si>
  <si>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</si>
  <si>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</si>
  <si>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</si>
  <si>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</si>
  <si>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</si>
  <si>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</si>
  <si>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</si>
  <si>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</si>
  <si>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</si>
  <si>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</si>
  <si>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</si>
  <si>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</si>
  <si>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</si>
  <si>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</si>
  <si>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</si>
  <si>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</si>
  <si>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</si>
  <si>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</si>
  <si>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</si>
  <si>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</si>
  <si>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</si>
  <si>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</si>
  <si>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</si>
  <si>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</si>
  <si>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</si>
  <si>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</si>
  <si>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</si>
  <si>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</si>
  <si>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</si>
  <si>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</si>
  <si>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</si>
  <si>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</si>
  <si>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</si>
  <si>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</si>
  <si>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</si>
  <si>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</si>
  <si>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</si>
  <si>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</si>
  <si>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</si>
  <si>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</si>
  <si>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</si>
  <si>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</si>
  <si>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</si>
  <si>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</si>
  <si>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</si>
  <si>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</si>
  <si>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</si>
  <si>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</si>
  <si>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</si>
  <si>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</si>
  <si>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</si>
  <si>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</si>
  <si>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</si>
  <si>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</si>
  <si>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</si>
  <si>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</si>
  <si>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</si>
  <si>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</si>
  <si>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</si>
  <si>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</si>
  <si>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</si>
  <si>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</si>
  <si>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</si>
  <si>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</si>
  <si>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</si>
  <si>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</si>
  <si>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</si>
  <si>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</si>
  <si>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</si>
  <si>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</si>
  <si>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</si>
  <si>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</si>
  <si>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</si>
  <si>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</si>
  <si>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</si>
  <si>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</si>
  <si>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</si>
  <si>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</si>
  <si>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</si>
  <si>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</si>
  <si>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</si>
  <si>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</si>
  <si>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</si>
  <si>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</si>
  <si>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</si>
  <si>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</si>
  <si>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</si>
  <si>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</si>
  <si>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</si>
  <si>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</si>
  <si>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</si>
  <si>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</si>
  <si>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</si>
  <si>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</si>
  <si>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</si>
  <si>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</si>
  <si>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</si>
  <si>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</si>
  <si>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</si>
  <si>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</si>
  <si>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</si>
  <si>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</si>
  <si>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</si>
  <si>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</si>
  <si>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</si>
  <si>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</si>
  <si>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</si>
  <si>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</si>
  <si>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</si>
  <si>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</si>
  <si>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</si>
  <si>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</si>
  <si>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</si>
  <si>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</si>
  <si>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</si>
  <si>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</si>
  <si>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</si>
  <si>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</si>
  <si>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</si>
  <si>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</si>
  <si>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</si>
  <si>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</si>
  <si>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</si>
  <si>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</si>
  <si>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</si>
  <si>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</si>
  <si>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</si>
  <si>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</si>
  <si>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</si>
  <si>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</si>
  <si>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</si>
  <si>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</si>
  <si>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</si>
  <si>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</si>
  <si>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</si>
  <si>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</si>
  <si>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</si>
  <si>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</si>
  <si>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</si>
  <si>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</si>
  <si>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</si>
  <si>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</si>
  <si>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</si>
  <si>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</si>
  <si>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</si>
  <si>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</si>
  <si>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</si>
  <si>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</si>
  <si>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</si>
  <si>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</si>
  <si>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</si>
  <si>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</si>
  <si>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</si>
  <si>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</si>
  <si>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</si>
  <si>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</si>
  <si>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</si>
  <si>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</si>
  <si>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</si>
  <si>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</si>
  <si>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</si>
  <si>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</si>
  <si>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</si>
  <si>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</si>
  <si>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</si>
  <si>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</si>
  <si>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</si>
  <si>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</si>
  <si>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</si>
  <si>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</si>
  <si>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</si>
  <si>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</si>
  <si>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</si>
  <si>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</si>
  <si>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</si>
  <si>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</si>
  <si>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</si>
  <si>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</si>
  <si>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</si>
  <si>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</si>
  <si>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</si>
  <si>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</si>
  <si>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</si>
  <si>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</si>
  <si>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</si>
  <si>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</si>
  <si>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</si>
  <si>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</si>
  <si>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</si>
  <si>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</si>
  <si>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</si>
  <si>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</si>
  <si>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</si>
  <si>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</si>
  <si>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</si>
  <si>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</si>
  <si>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</si>
  <si>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</si>
  <si>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</si>
  <si>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</si>
  <si>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</si>
  <si>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</si>
  <si>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</si>
  <si>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</si>
  <si>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</si>
  <si>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</si>
  <si>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</si>
  <si>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</si>
  <si>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</si>
  <si>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</si>
  <si>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</si>
  <si>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</si>
  <si>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</si>
  <si>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</si>
  <si>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</si>
  <si>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</si>
  <si>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</si>
  <si>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</si>
  <si>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</si>
  <si>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</si>
  <si>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</si>
  <si>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</si>
  <si>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</si>
  <si>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</si>
  <si>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</si>
  <si>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</si>
  <si>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</si>
  <si>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</si>
  <si>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</si>
  <si>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</si>
  <si>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</si>
  <si>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</si>
  <si>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</si>
  <si>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</si>
  <si>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</si>
  <si>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</si>
  <si>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</si>
  <si>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</si>
  <si>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</si>
  <si>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</si>
  <si>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</si>
  <si>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</si>
  <si>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</si>
  <si>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</si>
  <si>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</si>
  <si>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</si>
  <si>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</si>
  <si>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</si>
  <si>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</si>
  <si>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</si>
  <si>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</si>
  <si>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</si>
  <si>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</si>
  <si>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</si>
  <si>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</si>
  <si>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</si>
  <si>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</si>
  <si>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</si>
  <si>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</si>
  <si>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</si>
  <si>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</si>
  <si>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</si>
  <si>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</si>
  <si>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</si>
  <si>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</si>
  <si>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</si>
  <si>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</si>
  <si>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</si>
  <si>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</si>
  <si>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</si>
  <si>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</si>
  <si>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</si>
  <si>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</si>
  <si>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</si>
  <si>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</si>
  <si>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</si>
  <si>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</si>
  <si>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</si>
  <si>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</si>
  <si>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</si>
  <si>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</si>
  <si>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</si>
  <si>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</si>
  <si>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</si>
  <si>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</si>
  <si>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</si>
  <si>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</si>
  <si>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</si>
  <si>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</si>
  <si>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</si>
  <si>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</si>
  <si>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</si>
  <si>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</si>
  <si>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</si>
  <si>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</si>
  <si>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</si>
  <si>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</si>
  <si>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</si>
  <si>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</si>
  <si>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</si>
  <si>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</si>
  <si>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</si>
  <si>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</si>
  <si>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</si>
  <si>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</si>
  <si>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</si>
  <si>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</si>
  <si>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</si>
  <si>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</si>
  <si>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</si>
  <si>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</si>
  <si>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</si>
  <si>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</si>
  <si>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</si>
  <si>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</si>
  <si>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</si>
  <si>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</si>
  <si>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</si>
  <si>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</si>
  <si>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</si>
  <si>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</si>
  <si>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</si>
  <si>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</si>
  <si>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</si>
  <si>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</si>
  <si>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</si>
  <si>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</si>
  <si>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</si>
  <si>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</si>
  <si>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</si>
  <si>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</si>
  <si>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</si>
  <si>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</si>
  <si>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</si>
  <si>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</si>
  <si>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</si>
  <si>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</si>
  <si>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</si>
  <si>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</si>
  <si>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</si>
  <si>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</si>
  <si>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</si>
  <si>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</si>
  <si>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</si>
  <si>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</si>
  <si>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</si>
  <si>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</si>
  <si>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</si>
  <si>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</si>
  <si>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</si>
  <si>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</si>
  <si>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</si>
  <si>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</si>
  <si>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</si>
  <si>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</si>
  <si>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</si>
  <si>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</si>
  <si>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</si>
  <si>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</si>
  <si>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</si>
  <si>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</si>
  <si>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</si>
  <si>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</si>
  <si>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</si>
  <si>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</si>
  <si>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</si>
  <si>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</si>
  <si>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</si>
  <si>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</si>
  <si>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</si>
  <si>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</si>
  <si>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</si>
  <si>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</si>
  <si>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</si>
  <si>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</si>
  <si>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</si>
  <si>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</si>
  <si>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</si>
  <si>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</si>
  <si>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</si>
  <si>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</si>
  <si>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</si>
  <si>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</si>
  <si>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</si>
  <si>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</si>
  <si>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</si>
  <si>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</si>
  <si>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</si>
  <si>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</si>
  <si>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</si>
  <si>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</si>
  <si>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</si>
  <si>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</si>
  <si>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</si>
  <si>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</si>
  <si>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</si>
  <si>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</si>
  <si>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</si>
  <si>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</si>
  <si>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</si>
  <si>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</si>
  <si>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</si>
  <si>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</si>
  <si>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</si>
  <si>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</si>
  <si>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</si>
  <si>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</si>
  <si>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</si>
  <si>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</si>
  <si>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</si>
  <si>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</si>
  <si>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</si>
  <si>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</si>
  <si>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</si>
  <si>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</si>
  <si>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</si>
  <si>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</si>
  <si>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</si>
  <si>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</si>
  <si>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</si>
  <si>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</si>
  <si>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</si>
  <si>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</si>
  <si>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</si>
  <si>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</si>
  <si>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</si>
  <si>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</si>
  <si>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</si>
  <si>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</si>
  <si>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</si>
  <si>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</si>
  <si>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Nhận được vật phẩm "Băng Video Kinh Dị"</t>
  </si>
  <si>
    <t>Excelente opção para tarde da noite.</t>
  </si>
  <si>
    <t>Após desbloquear "Tarde da Noite", você poderá comprar a "Fita de Vídeo de Terror" do Cavaleiro ou da 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</si>
  <si>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</si>
  <si>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</si>
  <si>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</si>
  <si>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</si>
  <si>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</si>
  <si>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</si>
  <si>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</si>
  <si>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Obtain "Adult Video Tape" item
(Not yet implemented)</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</si>
  <si>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</si>
  <si>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</si>
  <si>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</si>
  <si>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"Băng Video Người Lớn"
(Chưa được triển khai)</t>
  </si>
  <si>
    <t>Após desbloquear "Tarde da Noite", você poderá comprar a "Fita de Vídeo Adulta" na Aki ou na Garota Gato da Van.</t>
  </si>
  <si>
    <t>Obtém o item "Fita de Vídeo Adulta"
(Ainda não implementado)</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</si>
  <si>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</si>
  <si>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</si>
  <si>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</si>
  <si>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</si>
  <si>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</si>
  <si>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</si>
  <si>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</si>
  <si>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</si>
  <si>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</si>
  <si>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</si>
  <si>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</si>
  <si>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</si>
  <si>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</si>
  <si>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</si>
  <si>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</si>
  <si>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</si>
  <si>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</si>
  <si>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</si>
  <si>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</si>
  <si>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</si>
  <si>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</si>
  <si>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</si>
  <si>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</si>
  <si>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</si>
  <si>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</si>
  <si>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</si>
  <si>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</si>
  <si>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</si>
  <si>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</si>
  <si>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</si>
  <si>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</si>
  <si>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</si>
  <si>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</si>
  <si>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</si>
  <si>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</si>
  <si>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</si>
  <si>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</si>
  <si>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</si>
  <si>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R94</t>
  </si>
  <si>
    <t>冒險者小道:林間-2，中間隱藏通道的採集點</t>
  </si>
  <si>
    <t>獲得道具：塔羅牌-節制
(雨天刷新)</t>
  </si>
  <si>
    <t>Hidden item</t>
  </si>
  <si>
    <t>In Adventurer's Path: Grove - 2, there is a small hidden path that leads to a chest with a glowing spot that you can loot</t>
  </si>
  <si>
    <t xml:space="preserve">Obtain "Temperance" tarot card item
(Refreshes on rainy days)
</t>
  </si>
  <si>
    <t>忏悔吧-2</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</si>
  <si>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</si>
  <si>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</si>
  <si>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</si>
  <si>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</si>
  <si>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</si>
  <si>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</si>
  <si>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請支持正版遊戲：逆流茶会-存在感薄い妹との簡単生活
攻略彙整：官方Discord-RORO ，協助者-MIO、南山、落染，翻譯者-눈_눈、Ruika、zNagato、Libeti、Gabriel B、maltesey、AndyJango、IntenseLag、Nian Sprout
如未經過許可，請勿私自轉載</t>
  </si>
  <si>
    <t>Please support the official game by 逆流茶会(NLCH) - A Simple Life with My Unobtrusive Sister
Guide: Official Discord-RORO, Facilitator-MIO, 南山、落染,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</si>
  <si>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
Xin không sao chép mà không có sự đồng ý</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</si>
  <si>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</si>
  <si>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</si>
  <si>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</si>
  <si>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</si>
  <si>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</si>
  <si>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</si>
  <si>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</si>
  <si>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</si>
  <si>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</si>
  <si>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gedrückt halten beschleunigt die Animationswiedergabe</t>
  </si>
  <si>
    <t>Giữ phím ALT để tăng tốc độ hiển thị animation và cả nhạc nền</t>
  </si>
  <si>
    <t>Ficar pressionando o ALT acelera a renderização das animações e até a música de fundo</t>
  </si>
  <si>
    <t>CTRL可加速對話</t>
  </si>
  <si>
    <t>Holding CTRL speeds up dialog</t>
  </si>
  <si>
    <t>STRG gedrückt halten beschleunigt Dialoge.</t>
  </si>
  <si>
    <t>Giữ phím CTRL để tăng tốc độ nói chuyện</t>
  </si>
  <si>
    <t>Ficar pressionando o CTRL acelera o diálogo</t>
  </si>
  <si>
    <t>Z鍵可以推進對話</t>
  </si>
  <si>
    <t>Pressing the Z key also lets you move to the next dialog</t>
  </si>
  <si>
    <t>Z drücken lässt dich ebenfalls den nächsten Dialogabschnitt anzeigen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</si>
  <si>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</si>
  <si>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</si>
  <si>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</si>
  <si>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</si>
  <si>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</si>
  <si>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</si>
  <si>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</si>
  <si>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</si>
  <si>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</si>
  <si>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</si>
  <si>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</si>
  <si>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</si>
  <si>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</si>
  <si>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</si>
  <si>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</si>
  <si>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</si>
  <si>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</si>
  <si>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</si>
  <si>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</si>
  <si>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</si>
  <si>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</si>
  <si>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</si>
  <si>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</si>
  <si>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</si>
  <si>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</si>
  <si>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</si>
  <si>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</si>
  <si>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</si>
  <si>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</si>
  <si>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</si>
  <si>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</si>
  <si>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</si>
  <si>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</si>
  <si>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</si>
  <si>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</si>
  <si>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</si>
  <si>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</si>
  <si>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</si>
  <si>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</si>
  <si>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</si>
  <si>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</si>
  <si>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</si>
  <si>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</si>
  <si>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</si>
  <si>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</si>
  <si>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</si>
  <si>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</si>
  <si>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</si>
  <si>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</si>
  <si>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</si>
  <si>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</si>
  <si>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</si>
  <si>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</si>
  <si>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</si>
  <si>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</si>
  <si>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</si>
  <si>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</si>
  <si>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</si>
  <si>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</si>
  <si>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</si>
  <si>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</si>
  <si>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</si>
  <si>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</si>
  <si>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</si>
  <si>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</si>
  <si>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</si>
  <si>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</si>
  <si>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</si>
  <si>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</si>
  <si>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</si>
  <si>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</si>
  <si>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</si>
  <si>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</si>
  <si>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</si>
  <si>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</si>
  <si>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</si>
  <si>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</si>
  <si>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</si>
  <si>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</si>
  <si>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</si>
  <si>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</si>
  <si>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</si>
  <si>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</si>
  <si>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</si>
  <si>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</si>
  <si>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</si>
  <si>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</si>
  <si>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</si>
  <si>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</si>
  <si>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</si>
  <si>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</si>
  <si>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</si>
  <si>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</si>
  <si>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</si>
  <si>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</si>
  <si>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</si>
  <si>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</si>
  <si>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</si>
  <si>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</si>
  <si>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</si>
  <si>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</si>
  <si>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</si>
  <si>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</si>
  <si>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</si>
  <si>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</si>
  <si>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</si>
  <si>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</si>
  <si>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</si>
  <si>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</si>
  <si>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</si>
  <si>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</si>
  <si>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</si>
  <si>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</si>
  <si>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</si>
  <si>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</si>
  <si>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</si>
  <si>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</si>
  <si>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</si>
  <si>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</si>
  <si>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</si>
  <si>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</si>
  <si>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</si>
  <si>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</si>
  <si>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</si>
  <si>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</si>
  <si>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</si>
  <si>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</si>
  <si>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</si>
  <si>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</si>
  <si>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</si>
  <si>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</si>
  <si>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</si>
  <si>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</si>
  <si>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</si>
  <si>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</si>
  <si>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</si>
  <si>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</si>
  <si>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</si>
  <si>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</si>
  <si>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</si>
  <si>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</si>
  <si>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</si>
  <si>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</si>
  <si>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</si>
  <si>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</si>
  <si>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</si>
  <si>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</si>
  <si>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</si>
  <si>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</si>
  <si>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</si>
  <si>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</si>
  <si>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</si>
  <si>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</si>
  <si>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</si>
  <si>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</si>
  <si>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</si>
  <si>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</si>
  <si>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</si>
  <si>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</si>
  <si>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</si>
  <si>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</si>
  <si>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</si>
  <si>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</si>
  <si>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</si>
  <si>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</si>
  <si>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</si>
  <si>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</si>
  <si>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</si>
  <si>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</si>
  <si>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</si>
  <si>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</si>
  <si>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</si>
  <si>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</si>
  <si>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</si>
  <si>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</si>
  <si>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</si>
  <si>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</si>
  <si>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</si>
  <si>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</si>
  <si>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</si>
  <si>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</si>
  <si>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</si>
  <si>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</si>
  <si>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</si>
  <si>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</si>
  <si>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</si>
  <si>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</si>
  <si>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</si>
  <si>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</si>
  <si>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</si>
  <si>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</si>
  <si>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</si>
  <si>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</si>
  <si>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</si>
  <si>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</si>
  <si>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</si>
  <si>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</si>
  <si>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</si>
  <si>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</si>
  <si>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</si>
  <si>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</si>
  <si>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</si>
  <si>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</si>
  <si>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</si>
  <si>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</si>
  <si>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</si>
  <si>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</si>
  <si>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</si>
  <si>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</si>
  <si>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</si>
  <si>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</si>
  <si>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</si>
  <si>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</si>
  <si>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</si>
  <si>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</si>
  <si>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</si>
  <si>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</si>
  <si>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</si>
  <si>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</si>
  <si>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</si>
  <si>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</si>
  <si>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</si>
  <si>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</si>
  <si>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</si>
  <si>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</si>
  <si>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</si>
  <si>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</si>
  <si>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</si>
  <si>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</si>
  <si>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</si>
  <si>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</si>
  <si>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</si>
  <si>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</si>
  <si>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</si>
  <si>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</si>
  <si>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</si>
  <si>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</si>
  <si>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</si>
  <si>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</si>
  <si>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</si>
  <si>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</si>
  <si>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</si>
  <si>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</si>
  <si>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</si>
  <si>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</si>
  <si>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</si>
  <si>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</si>
  <si>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</si>
  <si>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</si>
  <si>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</si>
  <si>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</si>
  <si>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</si>
  <si>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</si>
  <si>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</si>
  <si>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</si>
  <si>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</si>
  <si>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</si>
  <si>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</si>
  <si>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</si>
  <si>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</si>
  <si>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</si>
  <si>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</si>
  <si>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</si>
  <si>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</si>
  <si>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</si>
  <si>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</si>
  <si>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</si>
  <si>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</si>
  <si>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</si>
  <si>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</si>
  <si>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</si>
  <si>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</si>
  <si>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</si>
  <si>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</si>
  <si>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</si>
  <si>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</si>
  <si>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</si>
  <si>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</si>
  <si>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</si>
  <si>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</si>
  <si>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</si>
  <si>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</si>
  <si>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</si>
  <si>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</si>
  <si>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</si>
  <si>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</si>
  <si>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</si>
  <si>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</si>
  <si>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</si>
  <si>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</si>
  <si>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</si>
  <si>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</si>
  <si>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</si>
  <si>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</si>
  <si>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</si>
  <si>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</si>
  <si>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</si>
  <si>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</si>
  <si>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</si>
  <si>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</si>
  <si>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</si>
  <si>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</si>
  <si>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</si>
  <si>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</si>
  <si>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</si>
  <si>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</si>
  <si>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</si>
  <si>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</si>
  <si>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</si>
  <si>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</si>
  <si>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</si>
  <si>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</si>
  <si>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</si>
  <si>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</si>
  <si>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</si>
  <si>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</si>
  <si>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</si>
  <si>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</si>
  <si>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</si>
  <si>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</si>
  <si>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</si>
  <si>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</si>
  <si>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</si>
  <si>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</si>
  <si>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</si>
  <si>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</si>
  <si>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</si>
  <si>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</si>
  <si>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</si>
  <si>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</si>
  <si>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</si>
  <si>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</si>
  <si>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</si>
  <si>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</si>
  <si>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</si>
  <si>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</si>
  <si>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</si>
  <si>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</si>
  <si>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</si>
  <si>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</si>
  <si>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</si>
  <si>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</si>
  <si>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</si>
  <si>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</si>
  <si>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</si>
  <si>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</si>
  <si>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</si>
  <si>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</si>
  <si>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</si>
  <si>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</si>
  <si>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</si>
  <si>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</si>
  <si>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</si>
  <si>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</si>
  <si>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</si>
  <si>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</si>
  <si>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</si>
  <si>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</si>
  <si>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</si>
  <si>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</si>
  <si>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</si>
  <si>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</si>
  <si>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</si>
  <si>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</si>
  <si>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</si>
  <si>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</si>
  <si>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</si>
  <si>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</si>
  <si>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</si>
  <si>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</si>
  <si>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</si>
  <si>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</si>
  <si>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</si>
  <si>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</si>
  <si>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</si>
  <si>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</si>
  <si>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</si>
  <si>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</si>
  <si>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</si>
  <si>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</si>
  <si>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</si>
  <si>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</si>
  <si>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</si>
  <si>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</si>
  <si>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</si>
  <si>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</si>
  <si>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</si>
  <si>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</si>
  <si>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</si>
  <si>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</si>
  <si>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</si>
  <si>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</si>
  <si>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</si>
  <si>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</si>
  <si>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</si>
  <si>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</si>
  <si>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</si>
  <si>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</si>
  <si>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</si>
  <si>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</si>
  <si>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</si>
  <si>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</si>
  <si>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</si>
  <si>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</si>
  <si>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</si>
  <si>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</si>
  <si>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</si>
  <si>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</si>
  <si>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</si>
  <si>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</si>
  <si>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</si>
  <si>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</si>
  <si>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</si>
  <si>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</si>
  <si>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</si>
  <si>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</si>
  <si>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</si>
  <si>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</si>
  <si>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</si>
  <si>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</si>
  <si>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</si>
  <si>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</si>
  <si>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</si>
  <si>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</si>
  <si>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</si>
  <si>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</si>
  <si>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</si>
  <si>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</si>
  <si>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</si>
  <si>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</si>
  <si>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</si>
  <si>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</si>
  <si>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</si>
  <si>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</si>
  <si>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</si>
  <si>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</si>
  <si>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</si>
  <si>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</si>
  <si>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</si>
  <si>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</si>
  <si>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</si>
  <si>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</si>
  <si>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</si>
  <si>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</si>
  <si>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</si>
  <si>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</si>
  <si>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</si>
  <si>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</si>
  <si>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</si>
  <si>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</si>
  <si>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</si>
  <si>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</si>
  <si>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</si>
  <si>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</si>
  <si>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</si>
  <si>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</si>
  <si>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</si>
  <si>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</si>
  <si>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</si>
  <si>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</si>
  <si>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</si>
  <si>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</si>
  <si>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</si>
  <si>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</si>
  <si>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</si>
  <si>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</si>
  <si>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</si>
  <si>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</si>
  <si>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</si>
  <si>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</si>
  <si>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</si>
  <si>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</si>
  <si>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</si>
  <si>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</si>
  <si>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</si>
  <si>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</si>
  <si>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</si>
  <si>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</si>
  <si>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</si>
  <si>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</si>
  <si>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</si>
  <si>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</si>
  <si>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</si>
  <si>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</si>
  <si>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</si>
  <si>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</si>
  <si>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</si>
  <si>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</si>
  <si>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</si>
  <si>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</si>
  <si>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</si>
  <si>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</si>
  <si>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</si>
  <si>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</si>
  <si>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</si>
  <si>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</si>
  <si>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</si>
  <si>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</si>
  <si>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</si>
  <si>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</si>
  <si>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</si>
  <si>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</si>
  <si>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</si>
  <si>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</si>
  <si>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</si>
  <si>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</si>
  <si>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</si>
  <si>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</si>
  <si>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</si>
  <si>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</si>
  <si>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</si>
  <si>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</si>
  <si>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</si>
  <si>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</si>
  <si>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</si>
  <si>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</si>
  <si>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</si>
  <si>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</si>
  <si>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</si>
  <si>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</si>
  <si>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</si>
  <si>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</si>
  <si>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</si>
  <si>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</si>
  <si>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</si>
  <si>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</si>
  <si>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</si>
  <si>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</si>
  <si>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</si>
  <si>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</si>
  <si>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</si>
  <si>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</si>
  <si>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</si>
  <si>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</si>
  <si>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</si>
  <si>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</si>
  <si>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</si>
  <si>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</si>
  <si>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</si>
  <si>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</si>
  <si>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</si>
  <si>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</si>
  <si>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</si>
  <si>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</si>
  <si>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</si>
  <si>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</si>
  <si>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</si>
  <si>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 xml:space="preserve">Unidade 1: Nexus pode consumir outras partes da serie Unidade para se melhorar em 1 nível até o máximo do nível 7.
Unidade 2: Permite detectar inimigos e reliquias próximos (pode ser comprado na loja van)
Unidade 3: -
Unidade 4: -
Unidade 5: -
Unidade 6: -
Unidade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</si>
  <si>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</si>
  <si>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</si>
  <si>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</si>
  <si>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</si>
  <si>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</si>
  <si>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</si>
  <si>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</si>
  <si>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</si>
  <si>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</si>
  <si>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</si>
  <si>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</si>
  <si>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</si>
  <si>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</si>
  <si>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</si>
  <si>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</si>
  <si>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</si>
  <si>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</si>
  <si>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</si>
  <si>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</si>
  <si>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</si>
  <si>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</si>
  <si>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</si>
  <si>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</si>
  <si>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</si>
  <si>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</si>
  <si>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</si>
  <si>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</si>
  <si>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</si>
  <si>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</si>
  <si>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</si>
  <si>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</si>
  <si>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</si>
  <si>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</si>
  <si>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</si>
  <si>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</si>
  <si>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</si>
  <si>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</si>
  <si>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</si>
  <si>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</si>
  <si>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</si>
  <si>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</si>
  <si>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</si>
  <si>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</si>
  <si>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</si>
  <si>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</si>
  <si>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</si>
  <si>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độ hối lộ của bạn với imouto, nhận được khi hối lộ.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</si>
  <si>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</si>
  <si>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</si>
  <si>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</si>
  <si>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</si>
  <si>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</si>
  <si>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</si>
  <si>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</si>
  <si>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</si>
  <si>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</si>
  <si>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</si>
  <si>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</si>
  <si>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</si>
  <si>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</si>
  <si>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</si>
  <si>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</si>
  <si>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</si>
  <si>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</si>
  <si>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</si>
  <si>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</si>
  <si>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</si>
  <si>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</si>
  <si>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</si>
  <si>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</si>
  <si>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</si>
  <si>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</si>
  <si>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</si>
  <si>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</si>
  <si>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</si>
  <si>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</si>
  <si>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</si>
  <si>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</si>
  <si>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</si>
  <si>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</si>
  <si>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</si>
  <si>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</si>
  <si>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</si>
  <si>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</si>
  <si>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</si>
  <si>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</si>
  <si>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</si>
  <si>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</si>
  <si>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</si>
  <si>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</si>
  <si>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</si>
  <si>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</si>
  <si>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</si>
  <si>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</si>
  <si>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</si>
  <si>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</si>
  <si>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</si>
  <si>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</si>
  <si>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</si>
  <si>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</si>
  <si>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</si>
  <si>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</si>
  <si>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</si>
  <si>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</si>
  <si>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</si>
  <si>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</si>
  <si>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</si>
  <si>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</si>
  <si>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</si>
  <si>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</si>
  <si>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</si>
  <si>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</si>
  <si>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</si>
  <si>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</si>
  <si>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</si>
  <si>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</si>
  <si>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</si>
  <si>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</si>
  <si>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</si>
  <si>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</si>
  <si>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</si>
  <si>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</si>
  <si>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</si>
  <si>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</si>
  <si>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</si>
  <si>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</si>
  <si>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</si>
  <si>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</si>
  <si>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</si>
  <si>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</si>
  <si>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</si>
  <si>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</si>
  <si>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</si>
  <si>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</si>
  <si>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</si>
  <si>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</si>
  <si>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</si>
  <si>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</si>
  <si>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</si>
  <si>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</si>
  <si>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</si>
  <si>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</si>
  <si>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</si>
  <si>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</si>
  <si>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</si>
  <si>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</si>
  <si>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</si>
  <si>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</si>
  <si>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</si>
  <si>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</si>
  <si>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</si>
  <si>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</si>
  <si>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</si>
  <si>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</si>
  <si>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</si>
  <si>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</si>
  <si>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</si>
  <si>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Microsoft JhengHei"/>
        <color rgb="FF1155CC"/>
        <u/>
      </rPr>
      <t xml:space="preserve">淺層遺跡迷宮 </t>
    </r>
    <r>
      <rPr>
        <rFont val="Microsoft JhengHei"/>
        <color rgb="FF000000"/>
      </rPr>
      <t xml:space="preserve"> 
R24
▼</t>
    </r>
  </si>
  <si>
    <r>
      <rPr>
        <rFont val="Microsoft JhengHei"/>
        <color rgb="FF1155CC"/>
        <sz val="10.0"/>
        <u/>
      </rPr>
      <t xml:space="preserve">Shallow Ruins Labyrinth 
</t>
    </r>
    <r>
      <rPr>
        <rFont val="Microsoft JhengHei"/>
        <color rgb="FF000000"/>
        <sz val="10.0"/>
      </rPr>
      <t>R24 
▼</t>
    </r>
  </si>
  <si>
    <r>
      <rPr>
        <rFont val="Microsoft JhengHei"/>
        <color rgb="FF1155CC"/>
        <sz val="10.0"/>
        <u/>
      </rPr>
      <t xml:space="preserve">浅层遗迹迷宫 
</t>
    </r>
    <r>
      <rPr>
        <rFont val="Microsoft JhengHei"/>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</si>
  <si>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</si>
  <si>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</si>
  <si>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</si>
  <si>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</si>
  <si>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</si>
  <si>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</si>
  <si>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</si>
  <si>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</si>
  <si>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</si>
  <si>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</si>
  <si>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</si>
  <si>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Microsoft JhengHei"/>
        <color rgb="FF000000"/>
      </rPr>
      <t xml:space="preserve">▲
</t>
    </r>
    <r>
      <rPr>
        <rFont val="Microsoft JhengHei"/>
        <color rgb="FF1155CC"/>
        <u/>
      </rPr>
      <t>Forgotten Catacombs- 1
Upper Level</t>
    </r>
    <r>
      <rPr>
        <rFont val="Microsoft JhengHei"/>
        <color rgb="FF000000"/>
      </rPr>
      <t xml:space="preserve"> 
R26
▼</t>
    </r>
  </si>
  <si>
    <r>
      <rPr>
        <rFont val="Microsoft JhengHei"/>
        <color rgb="FF000000"/>
      </rPr>
      <t xml:space="preserve">▲
</t>
    </r>
    <r>
      <rPr>
        <rFont val="Microsoft JhengHei"/>
        <color rgb="FF1155CC"/>
        <u/>
      </rPr>
      <t xml:space="preserve">被遗忘的墓穴-1 </t>
    </r>
    <r>
      <rPr>
        <rFont val="Microsoft JhengHei"/>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</si>
  <si>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</si>
  <si>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</si>
  <si>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</si>
  <si>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</si>
  <si>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</si>
  <si>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</si>
  <si>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</si>
  <si>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</si>
  <si>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</si>
  <si>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</si>
  <si>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</si>
  <si>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</si>
  <si>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</si>
  <si>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</si>
  <si>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</si>
  <si>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</si>
  <si>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</si>
  <si>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</si>
  <si>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</si>
  <si>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</si>
  <si>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</si>
  <si>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</si>
  <si>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</si>
  <si>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Источник</t>
  </si>
  <si>
    <t xml:space="preserve">Особый лут
</t>
  </si>
  <si>
    <t>Шанс 
выпадения
(%)</t>
  </si>
  <si>
    <t>Примечания</t>
  </si>
  <si>
    <t>Spielinhalte die Loot geben</t>
  </si>
  <si>
    <t>Einzigartige Beute</t>
  </si>
  <si>
    <t>Bemerkung</t>
  </si>
  <si>
    <t>Nguồn</t>
  </si>
  <si>
    <t>Vật phẩm rơi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</si>
  <si>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</si>
  <si>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</si>
  <si>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</si>
  <si>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</si>
  <si>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</si>
  <si>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</si>
  <si>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</si>
  <si>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</si>
  <si>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</si>
  <si>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</si>
  <si>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</si>
  <si>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</si>
  <si>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</si>
  <si>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</si>
  <si>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</si>
  <si>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</si>
  <si>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</si>
  <si>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</si>
  <si>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</si>
  <si>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</si>
  <si>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</si>
  <si>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</si>
  <si>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</si>
  <si>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</si>
  <si>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</si>
  <si>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</si>
  <si>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</si>
  <si>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</si>
  <si>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</si>
  <si>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</si>
  <si>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</si>
  <si>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</si>
  <si>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</si>
  <si>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</si>
  <si>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</si>
  <si>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</si>
  <si>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</si>
  <si>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</si>
  <si>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</si>
  <si>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</si>
  <si>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</si>
  <si>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</si>
  <si>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</si>
  <si>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</si>
  <si>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</si>
  <si>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</si>
  <si>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</si>
  <si>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</si>
  <si>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</si>
  <si>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</si>
  <si>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</si>
  <si>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</si>
  <si>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</si>
  <si>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</si>
  <si>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</si>
  <si>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</si>
  <si>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</si>
  <si>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</si>
  <si>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</si>
  <si>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</si>
  <si>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</si>
  <si>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</si>
  <si>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</si>
  <si>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</si>
  <si>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</si>
  <si>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</si>
  <si>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</si>
  <si>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</si>
  <si>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</si>
  <si>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</si>
  <si>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</si>
  <si>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</si>
  <si>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</si>
  <si>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</si>
  <si>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</si>
  <si>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</si>
  <si>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</si>
  <si>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</si>
  <si>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</si>
  <si>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</si>
  <si>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</si>
  <si>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</si>
  <si>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</si>
  <si>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</si>
  <si>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</si>
  <si>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</si>
  <si>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</si>
  <si>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</si>
  <si>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</si>
  <si>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</si>
  <si>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</si>
  <si>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</si>
  <si>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</si>
  <si>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</si>
  <si>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</si>
  <si>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</si>
  <si>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</si>
  <si>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</si>
  <si>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</si>
  <si>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</si>
  <si>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</si>
  <si>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</si>
  <si>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</si>
  <si>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</si>
  <si>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</si>
  <si>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</si>
  <si>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</si>
  <si>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</si>
  <si>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</si>
  <si>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</si>
  <si>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</si>
  <si>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</si>
  <si>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</si>
  <si>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</si>
  <si>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</si>
  <si>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</si>
  <si>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</si>
  <si>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</si>
  <si>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</si>
  <si>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</si>
  <si>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</si>
  <si>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36
14</t>
  </si>
  <si>
    <t>"G"
(ゴキブリ)</t>
  </si>
  <si>
    <t xml:space="preserve">
ゴミ
陰鬱な爬行者の贈り物
</t>
  </si>
  <si>
    <t xml:space="preserve">
36
14</t>
  </si>
  <si>
    <t>The Unnameable "C"</t>
  </si>
  <si>
    <t>Junk
Shadowcrawler Gift</t>
  </si>
  <si>
    <t xml:space="preserve">Vô danh
"C" </t>
  </si>
  <si>
    <t xml:space="preserve">Rác
</t>
  </si>
  <si>
    <t>"B"
(Barata)</t>
  </si>
  <si>
    <t>Sucata
Presente do Rastejador Sombrio</t>
  </si>
  <si>
    <t>水中相關</t>
  </si>
  <si>
    <t>Water-related</t>
  </si>
  <si>
    <t>Liên quan đến nước</t>
  </si>
  <si>
    <t>Relativos à água</t>
  </si>
  <si>
    <t>●●●
(水面)</t>
  </si>
  <si>
    <t>金槍魚
條石鯛
秋刀魚
石斑魚
鯛魚
章魚觸手
甜蝦
大龍蝦
毛蟹
鮭魚
帝王鮭
巨大蟹鉗
綠龜殼
◉▽◉(藍色)</t>
  </si>
  <si>
    <t>7 (2)
7 (2)
7 (2)
7 (2)
12 (2)
12 (2)
5 (2)
5 (2)
2 (2)
17 (2)
2 (2)
7 (2)
7 (2)
1 (2)</t>
  </si>
  <si>
    <t>使用炸彈炸水面
(最多三組掉落物)
(有機率出現敵方生物、河之主BOSS)</t>
  </si>
  <si>
    <t xml:space="preserve">
爆弾で水面を爆破する
（最大3つのドロップアイテム）
（敵の生物やリバー・ロードのボスがランダムで出現する可能性がある）
</t>
  </si>
  <si>
    <t>●●●
(Speech bubble)
(Surface of water)</t>
  </si>
  <si>
    <t xml:space="preserve">
Tuna
Striped Beakfish
Pacific Saury
Grouper
Sea Bream
Octopus Tentacle
Sweet Shrimp
Spiny Lobster
Hairy Crab
Salmon
King Salmon
Giant Crab Claw
Green Turtle Shell
◉▽◉(Blue)</t>
  </si>
  <si>
    <t xml:space="preserve">Throw bombs to water.
Can be bombed up to 3 times for loot
May potentially spawn monsters or the River Lord Boss
</t>
  </si>
  <si>
    <t>●●●
(Wasseroberfläche)</t>
  </si>
  <si>
    <t>Thunfisch
Streifen-Steinbrasse
Herbstmakrele
Zackenbarsch
Brasse
Oktopustentakel
Süßgarnele
Großer Hummer
Wollkrabbe
Lachs
Königslachs
Riesige Krabbenzange
Grüner Schildkrötenpanzer
◉▽◉(Blau)</t>
  </si>
  <si>
    <t>Benutze eine Bombe, um die Wasseroberfläche zu sprengen
(Maximal drei Drop-Gruppen)
(Es besteht eine Chance, feindliche Kreaturen oder den Flussherr(BOSS)erscheinen zu lassen)</t>
  </si>
  <si>
    <t>●●●
(Bong bóng thoại)</t>
  </si>
  <si>
    <t>Cá Ngừ
Cá Mỏ Vằn
Cá Thu Đao
Cá Mú
Cá Tráp
Râu Bach Tuộc
Tôm Ngọt
Tôm Hùm Gai
Cua Lông
Cá Hồi
Cá Hồi Vua
Càng Cua Khổng Lồ
Mai Rùa Xanh
◉▽◉(Xanh)</t>
  </si>
  <si>
    <t>Ném bom vào nước
Có thể ném bom nhiều nhất 3 lần cho vật phẩm
Có khả năng xuất hiện quái hay Chúa Tể Dòng Sông</t>
  </si>
  <si>
    <t>●●●
(Bolha de fala)
(superfície da água)</t>
  </si>
  <si>
    <t xml:space="preserve">
Atum
Peixe-bico-listrado
Salmão-do-pacífico
Garoupa
Dourada
Tentáculo de Polvo
Camarão-doce
Lagosta-espinhosa
Caranguejo-peludo
Salmão
Salmão-rei
Garra de caranguejo-gigante
Casco de tartaruga-verdel
◉▽◉(Azul)</t>
  </si>
  <si>
    <t xml:space="preserve">Arremesse uma bomba na água
Pode ser bobardeado até 3 vezes pra saque
Possivelmente pode surgir monstros ou o chefe Lord do Rio
</t>
  </si>
  <si>
    <t>神秘的氣泡
(水面)</t>
  </si>
  <si>
    <t>隨機魚類
垃圾
隨機符文
綠龜殼
巨大蟹鉗
◉▽◉(藍色)</t>
  </si>
  <si>
    <t>25
10
9
17
17
4</t>
  </si>
  <si>
    <t>使用炸彈炸水面
(最多一組掉落物)
(目前無敵方生物、無BOSS)</t>
  </si>
  <si>
    <t>水面</t>
  </si>
  <si>
    <t>ランダムな魚 
ジャンク
 ランダムなルーン
アオウミガメの甲羅
巨大カニの爪
◉▽◉(青)</t>
  </si>
  <si>
    <t>爆弾を使って水面を爆破する
ガシャポンマシンにゴミを与えて、一度に大量の爆弾をばら撒いて乱獲できる</t>
  </si>
  <si>
    <t>Dynamite Fishing
(Bubbles)</t>
  </si>
  <si>
    <t>Random Fish
Junk
Random Rune
Giant Crab Claw
Green Turtle Shell
◉▽◉(Blue)</t>
  </si>
  <si>
    <t xml:space="preserve">Throw bombs to water.
Can be bombed up to 1 time for loot
No monsters or boss will be spawned
</t>
  </si>
  <si>
    <t>Mysteriöse Blase
(Wasseroberfläche)</t>
  </si>
  <si>
    <t>Zufälliger Fisch
Müll
Zufällige Rune
Grüne Schildkrötenpanzer
Riesige Krabbenzange
◉▽◉(Blau)</t>
  </si>
  <si>
    <t>Benutze eine Bombe, um die Wasseroberfläche zu sprengen
(Maximal eine Drop-Gruppe)
(Derzeit keine feindlichen Kreaturen, kein BOSS)</t>
  </si>
  <si>
    <t>Bắt cá bằng bom
(Bong bóng)</t>
  </si>
  <si>
    <t>Cá Ngẫu Nhiên
Rác
Phù văn Ngẫu Nhiên
Càng Cua Khổng Lồ
Mai Rùa Xanh 
◉▽◉ (Xanh)</t>
  </si>
  <si>
    <t>Ném bom vào trong nước
Có thể ném nhiều nhất 1 lần cho vật phẩm
Không quái hay boss nào xuất hiện</t>
  </si>
  <si>
    <t>Pescando com dinamite
(Bolhas)</t>
  </si>
  <si>
    <t xml:space="preserve">
Peixe Aleatório
Sucata
Runa Aleatória
Garra de caranguejo-gigante
Casco de tartaruga-verdel
◉▽◉(Azul)</t>
  </si>
  <si>
    <t xml:space="preserve">Arremesse uma bomba na água.
Pode ser bombardeado até 1 vez pra saque
Monstros e chefes não aparecerão
</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</si>
  <si>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</si>
  <si>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</si>
  <si>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</si>
  <si>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</si>
  <si>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</si>
  <si>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</si>
  <si>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</si>
  <si>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</si>
  <si>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</si>
  <si>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</si>
  <si>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</si>
  <si>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</si>
  <si>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</si>
  <si>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</si>
  <si>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</si>
  <si>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</si>
  <si>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</si>
  <si>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</si>
  <si>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</si>
  <si>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</si>
  <si>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</si>
  <si>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</si>
  <si>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Tidewyrm's Song</t>
  </si>
  <si>
    <t>Wassergeist</t>
  </si>
  <si>
    <t>Wässriges Schleimsekret/Manakristallbündel/Fokusreif</t>
  </si>
  <si>
    <t>Loot beim Töten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</si>
  <si>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</si>
  <si>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</si>
  <si>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</si>
  <si>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</si>
  <si>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</si>
  <si>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</si>
  <si>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</si>
  <si>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</si>
  <si>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</si>
  <si>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</si>
  <si>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</si>
  <si>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</si>
  <si>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</si>
  <si>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</si>
  <si>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</si>
  <si>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</si>
  <si>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</si>
  <si>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</si>
  <si>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</si>
  <si>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</si>
  <si>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</si>
  <si>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</si>
  <si>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</si>
  <si>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</si>
  <si>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</si>
  <si>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</si>
  <si>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</si>
  <si>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</si>
  <si>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</si>
  <si>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</si>
  <si>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</si>
  <si>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</si>
  <si>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</si>
  <si>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</si>
  <si>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</si>
  <si>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</si>
  <si>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</si>
  <si>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</si>
  <si>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</si>
  <si>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</si>
  <si>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</si>
  <si>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</si>
  <si>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</si>
  <si>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</si>
  <si>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</si>
  <si>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</si>
  <si>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</si>
  <si>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</si>
  <si>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</si>
  <si>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</si>
  <si>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</si>
  <si>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</si>
  <si>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</si>
  <si>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</si>
  <si>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</si>
  <si>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</si>
  <si>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</si>
  <si>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</si>
  <si>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</si>
  <si>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</si>
  <si>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</si>
  <si>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</si>
  <si>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</si>
  <si>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</si>
  <si>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</si>
  <si>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</si>
  <si>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</si>
  <si>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</si>
  <si>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</si>
  <si>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</si>
  <si>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</si>
  <si>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</si>
  <si>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</si>
  <si>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</si>
  <si>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</si>
  <si>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</si>
  <si>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</si>
  <si>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</si>
  <si>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</si>
  <si>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</si>
  <si>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</si>
  <si>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</si>
  <si>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</si>
  <si>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</si>
  <si>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</si>
  <si>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</si>
  <si>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</si>
  <si>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</si>
  <si>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</si>
  <si>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</si>
  <si>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</si>
  <si>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</si>
  <si>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Strange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</si>
  <si>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</si>
  <si>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</si>
  <si>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</si>
  <si>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</si>
  <si>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</si>
  <si>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</si>
  <si>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</si>
  <si>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</si>
  <si>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</si>
  <si>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</si>
  <si>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</si>
  <si>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</si>
  <si>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</si>
  <si>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</si>
  <si>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</si>
  <si>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</si>
  <si>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</si>
  <si>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</si>
  <si>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</si>
  <si>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</si>
  <si>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</si>
  <si>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</si>
  <si>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</si>
  <si>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</si>
  <si>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</si>
  <si>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</si>
  <si>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</si>
  <si>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</si>
  <si>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</si>
  <si>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</si>
  <si>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</si>
  <si>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</si>
  <si>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</si>
  <si>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</si>
  <si>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</si>
  <si>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</si>
  <si>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</si>
  <si>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</si>
  <si>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Besiege sie für Loot</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</si>
  <si>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</si>
  <si>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</si>
  <si>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</si>
  <si>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</si>
  <si>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</si>
  <si>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</si>
  <si>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</si>
  <si>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</si>
  <si>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</si>
  <si>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</si>
  <si>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</si>
  <si>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</si>
  <si>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</si>
  <si>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</si>
  <si>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</si>
  <si>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</si>
  <si>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</si>
  <si>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</si>
  <si>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</si>
  <si>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</si>
  <si>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</si>
  <si>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</si>
  <si>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</si>
  <si>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</si>
  <si>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</si>
  <si>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</si>
  <si>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</si>
  <si>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</si>
  <si>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</si>
  <si>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</si>
  <si>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</si>
  <si>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</si>
  <si>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</si>
  <si>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</si>
  <si>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</si>
  <si>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</si>
  <si>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</si>
  <si>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</si>
  <si>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</si>
  <si>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</si>
  <si>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</si>
  <si>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</si>
  <si>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</si>
  <si>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</si>
  <si>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</si>
  <si>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</si>
  <si>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</si>
  <si>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</si>
  <si>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</si>
  <si>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</si>
  <si>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</si>
  <si>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</si>
  <si>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</si>
  <si>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</si>
  <si>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</si>
  <si>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</si>
  <si>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</si>
  <si>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</si>
  <si>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</si>
  <si>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</si>
  <si>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</si>
  <si>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</si>
  <si>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</si>
  <si>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</si>
  <si>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</si>
  <si>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</si>
  <si>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</si>
  <si>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</si>
  <si>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</si>
  <si>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</si>
  <si>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</si>
  <si>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</si>
  <si>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</si>
  <si>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</si>
  <si>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</si>
  <si>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</si>
  <si>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</si>
  <si>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</si>
  <si>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</si>
  <si>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</si>
  <si>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</si>
  <si>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</si>
  <si>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</si>
  <si>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</si>
  <si>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</si>
  <si>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</si>
  <si>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</si>
  <si>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</si>
  <si>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</si>
  <si>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</si>
  <si>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</si>
  <si>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</si>
  <si>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</si>
  <si>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</si>
  <si>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</si>
  <si>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</si>
  <si>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</si>
  <si>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</si>
  <si>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</si>
  <si>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</si>
  <si>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</si>
  <si>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</si>
  <si>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</si>
  <si>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</si>
  <si>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</si>
  <si>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</si>
  <si>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</si>
  <si>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</si>
  <si>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</si>
  <si>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</si>
  <si>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</si>
  <si>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</si>
  <si>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</si>
  <si>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</si>
  <si>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</si>
  <si>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</si>
  <si>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</si>
  <si>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</si>
  <si>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</si>
  <si>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</si>
  <si>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</si>
  <si>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</si>
  <si>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</si>
  <si>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</si>
  <si>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</si>
  <si>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</si>
  <si>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</si>
  <si>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</si>
  <si>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</si>
  <si>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</si>
  <si>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</si>
  <si>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</si>
  <si>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</si>
  <si>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</si>
  <si>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</si>
  <si>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</si>
  <si>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</si>
  <si>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</si>
  <si>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</si>
  <si>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</si>
  <si>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</si>
  <si>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</si>
  <si>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</si>
  <si>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</si>
  <si>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</si>
  <si>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</si>
  <si>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</si>
  <si>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</si>
  <si>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</si>
  <si>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</si>
  <si>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</si>
  <si>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</si>
  <si>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</si>
  <si>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</si>
  <si>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</si>
  <si>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</si>
  <si>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</si>
  <si>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</si>
  <si>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</si>
  <si>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</si>
  <si>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</si>
  <si>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</si>
  <si>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</si>
  <si>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</si>
  <si>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</si>
  <si>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</si>
  <si>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</si>
  <si>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</si>
  <si>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</si>
  <si>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</si>
  <si>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</si>
  <si>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</si>
  <si>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</si>
  <si>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</si>
  <si>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</si>
  <si>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</si>
  <si>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</si>
  <si>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</si>
  <si>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</si>
  <si>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</si>
  <si>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</si>
  <si>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</si>
  <si>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</si>
  <si>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</si>
  <si>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</si>
  <si>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</si>
  <si>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</si>
  <si>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</si>
  <si>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</si>
  <si>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</si>
  <si>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</si>
  <si>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</si>
  <si>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</si>
  <si>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</si>
  <si>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</si>
  <si>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</si>
  <si>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</si>
  <si>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Loot beim zerstören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</si>
  <si>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</si>
  <si>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</si>
  <si>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</si>
  <si>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</si>
  <si>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</si>
  <si>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</si>
  <si>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</si>
  <si>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</si>
  <si>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</si>
  <si>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</si>
  <si>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</si>
  <si>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</si>
  <si>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</si>
  <si>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</si>
  <si>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</si>
  <si>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</si>
  <si>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</si>
  <si>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</si>
  <si>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</si>
  <si>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</si>
  <si>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</si>
  <si>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</si>
  <si>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</si>
  <si>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</si>
  <si>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</si>
  <si>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</si>
  <si>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</si>
  <si>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</si>
  <si>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</si>
  <si>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</si>
  <si>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</si>
  <si>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</si>
  <si>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</si>
  <si>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</si>
  <si>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</si>
  <si>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</si>
  <si>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</si>
  <si>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</si>
  <si>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</si>
  <si>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</si>
  <si>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</si>
  <si>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</si>
  <si>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</si>
  <si>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</si>
  <si>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</si>
  <si>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</si>
  <si>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</si>
  <si>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</si>
  <si>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</si>
  <si>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</si>
  <si>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</si>
  <si>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</si>
  <si>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</si>
  <si>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</si>
  <si>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</si>
  <si>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</si>
  <si>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</si>
  <si>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</si>
  <si>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</si>
  <si>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</si>
  <si>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</si>
  <si>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</si>
  <si>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</si>
  <si>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</si>
  <si>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</si>
  <si>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</si>
  <si>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隨機塔羅牌(「節制」除外)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</si>
  <si>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</si>
  <si>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</si>
  <si>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</si>
  <si>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</si>
  <si>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(excluding Temperance)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</si>
  <si>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</si>
  <si>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</si>
  <si>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</si>
  <si>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</si>
  <si>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</si>
  <si>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</si>
  <si>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</si>
  <si>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</si>
  <si>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</si>
  <si>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</si>
  <si>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</si>
  <si>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</si>
  <si>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</si>
  <si>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</si>
  <si>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</si>
  <si>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</si>
  <si>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</si>
  <si>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</si>
  <si>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</si>
  <si>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</si>
  <si>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</si>
  <si>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</si>
  <si>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</si>
  <si>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</si>
  <si>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</si>
  <si>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</si>
  <si>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</si>
  <si>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</si>
  <si>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</si>
  <si>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</si>
  <si>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</si>
  <si>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</si>
  <si>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</si>
  <si>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</si>
  <si>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</si>
  <si>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</si>
  <si>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</si>
  <si>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</si>
  <si>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</si>
  <si>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</si>
  <si>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</si>
  <si>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</si>
  <si>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</si>
  <si>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</si>
  <si>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</si>
  <si>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</si>
  <si>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</si>
  <si>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</si>
  <si>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</si>
  <si>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</si>
  <si>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</si>
  <si>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</si>
  <si>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</si>
  <si>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</si>
  <si>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</si>
  <si>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</si>
  <si>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</si>
  <si>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</si>
  <si>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</si>
  <si>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</si>
  <si>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</si>
  <si>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</si>
  <si>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</si>
  <si>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</si>
  <si>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</si>
  <si>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</si>
  <si>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</si>
  <si>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</si>
  <si>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</si>
  <si>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</si>
  <si>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</si>
  <si>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</si>
  <si>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</si>
  <si>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</si>
  <si>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</si>
  <si>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</si>
  <si>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</si>
  <si>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</si>
  <si>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</si>
  <si>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</si>
  <si>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</si>
  <si>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</si>
  <si>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</si>
  <si>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</si>
  <si>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</si>
  <si>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</si>
  <si>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</si>
  <si>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</si>
  <si>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</si>
  <si>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</si>
  <si>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</si>
  <si>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</si>
  <si>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</si>
  <si>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</si>
  <si>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</si>
  <si>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</si>
  <si>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</si>
  <si>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</si>
  <si>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</si>
  <si>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</si>
  <si>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</si>
  <si>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</si>
  <si>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</si>
  <si>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</si>
  <si>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</si>
  <si>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</si>
  <si>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</si>
  <si>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</si>
  <si>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</si>
  <si>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</si>
  <si>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</si>
  <si>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</si>
  <si>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</si>
  <si>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</si>
  <si>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</si>
  <si>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</si>
  <si>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</si>
  <si>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</si>
  <si>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</si>
  <si>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</si>
  <si>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</si>
  <si>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</si>
  <si>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</si>
  <si>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</si>
  <si>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</si>
  <si>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</si>
  <si>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</si>
  <si>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</si>
  <si>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</si>
  <si>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</si>
  <si>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</si>
  <si>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</si>
  <si>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</si>
  <si>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</si>
  <si>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</si>
  <si>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</si>
  <si>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</si>
  <si>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</si>
  <si>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</si>
  <si>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</si>
  <si>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</si>
  <si>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</si>
  <si>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</si>
  <si>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</si>
  <si>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</si>
  <si>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</si>
  <si>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</si>
  <si>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</si>
  <si>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</si>
  <si>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</si>
  <si>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</si>
  <si>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</si>
  <si>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</si>
  <si>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</si>
  <si>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</si>
  <si>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</si>
  <si>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</si>
  <si>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</si>
  <si>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</si>
  <si>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</si>
  <si>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</si>
  <si>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</si>
  <si>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</si>
  <si>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</si>
  <si>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</si>
  <si>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</si>
  <si>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</si>
  <si>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</si>
  <si>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</si>
  <si>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</si>
  <si>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</si>
  <si>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</si>
  <si>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</si>
  <si>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</si>
  <si>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</si>
  <si>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</si>
  <si>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</si>
  <si>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</si>
  <si>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</si>
  <si>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</si>
  <si>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</si>
  <si>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</si>
  <si>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</si>
  <si>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</si>
  <si>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</si>
  <si>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</si>
  <si>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</si>
  <si>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</si>
  <si>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</si>
  <si>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</si>
  <si>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</si>
  <si>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</si>
  <si>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</si>
  <si>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</si>
  <si>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</si>
  <si>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</si>
  <si>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</si>
  <si>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</si>
  <si>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</si>
  <si>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</si>
  <si>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</si>
  <si>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</si>
  <si>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</si>
  <si>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</si>
  <si>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</si>
  <si>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</si>
  <si>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</si>
  <si>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</si>
  <si>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</si>
  <si>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</si>
  <si>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</si>
  <si>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</si>
  <si>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</si>
  <si>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</si>
  <si>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</si>
  <si>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</si>
  <si>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</si>
  <si>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</si>
  <si>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</si>
  <si>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</si>
  <si>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</si>
  <si>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</si>
  <si>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</si>
  <si>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</si>
  <si>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</si>
  <si>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</si>
  <si>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</si>
  <si>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</si>
  <si>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</si>
  <si>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</si>
  <si>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</si>
  <si>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</si>
  <si>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</si>
  <si>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</si>
  <si>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</si>
  <si>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</si>
  <si>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</si>
  <si>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</si>
  <si>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</si>
  <si>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</si>
  <si>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</si>
  <si>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</si>
  <si>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</si>
  <si>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</si>
  <si>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</si>
  <si>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</si>
  <si>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</si>
  <si>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</si>
  <si>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</si>
  <si>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</si>
  <si>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</si>
  <si>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</si>
  <si>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</si>
  <si>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</si>
  <si>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</si>
  <si>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</si>
  <si>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</si>
  <si>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</si>
  <si>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</si>
  <si>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</si>
  <si>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</si>
  <si>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</si>
  <si>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</si>
  <si>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</si>
  <si>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</si>
  <si>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</si>
  <si>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</si>
  <si>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</si>
  <si>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</si>
  <si>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</si>
  <si>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</si>
  <si>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</si>
  <si>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</si>
  <si>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</si>
  <si>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</si>
  <si>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</si>
  <si>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</si>
  <si>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</si>
  <si>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</si>
  <si>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</si>
  <si>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</si>
  <si>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</si>
  <si>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서리한</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</si>
  <si>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</si>
  <si>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</si>
  <si>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</si>
  <si>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</si>
  <si>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</si>
  <si>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</si>
  <si>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</si>
  <si>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</si>
  <si>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</si>
  <si>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</si>
  <si>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</si>
  <si>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</si>
  <si>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</si>
  <si>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</si>
  <si>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</si>
  <si>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</si>
  <si>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</si>
  <si>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</si>
  <si>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</si>
  <si>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</si>
  <si>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</si>
  <si>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</si>
  <si>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</si>
  <si>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</si>
  <si>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</si>
  <si>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</si>
  <si>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</si>
  <si>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</si>
  <si>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</si>
  <si>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</si>
  <si>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</si>
  <si>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</si>
  <si>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</si>
  <si>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</si>
  <si>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</si>
  <si>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</si>
  <si>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</si>
  <si>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</si>
  <si>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</si>
  <si>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</si>
  <si>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</si>
  <si>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</si>
  <si>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</si>
  <si>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</si>
  <si>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</si>
  <si>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</si>
  <si>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</si>
  <si>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</si>
  <si>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</si>
  <si>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</si>
  <si>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</si>
  <si>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</si>
  <si>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</si>
  <si>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</si>
  <si>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</si>
  <si>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</si>
  <si>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</si>
  <si>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</si>
  <si>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</si>
  <si>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</si>
  <si>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</si>
  <si>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</si>
  <si>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</si>
  <si>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</si>
  <si>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</si>
  <si>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</si>
  <si>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</si>
  <si>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</si>
  <si>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</si>
  <si>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</si>
  <si>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</si>
  <si>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</si>
  <si>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</si>
  <si>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</si>
  <si>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</si>
  <si>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</si>
  <si>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</si>
  <si>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</si>
  <si>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</si>
  <si>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</si>
  <si>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</si>
  <si>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</si>
  <si>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</si>
  <si>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</si>
  <si>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</si>
  <si>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</si>
  <si>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</si>
  <si>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</si>
  <si>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</si>
  <si>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</si>
  <si>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</si>
  <si>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</si>
  <si>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</si>
  <si>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</si>
  <si>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</si>
  <si>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</si>
  <si>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</si>
  <si>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</si>
  <si>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</si>
  <si>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</si>
  <si>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</si>
  <si>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</si>
  <si>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</si>
  <si>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</si>
  <si>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</si>
  <si>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</si>
  <si>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</si>
  <si>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</si>
  <si>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</si>
  <si>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</si>
  <si>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</si>
  <si>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</si>
  <si>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</si>
  <si>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</si>
  <si>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</si>
  <si>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</si>
  <si>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</si>
  <si>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</si>
  <si>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</si>
  <si>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</si>
  <si>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</si>
  <si>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</si>
  <si>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</si>
  <si>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</si>
  <si>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</si>
  <si>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</si>
  <si>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</si>
  <si>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</si>
  <si>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</si>
  <si>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</si>
  <si>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</si>
  <si>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</si>
  <si>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</si>
  <si>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</si>
  <si>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</si>
  <si>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</si>
  <si>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</si>
  <si>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</si>
  <si>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</si>
  <si>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</si>
  <si>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</si>
  <si>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</si>
  <si>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</si>
  <si>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</si>
  <si>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</si>
  <si>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</si>
  <si>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</si>
  <si>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</si>
  <si>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</si>
  <si>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</si>
  <si>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</si>
  <si>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</si>
  <si>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</si>
  <si>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</si>
  <si>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</si>
  <si>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</si>
  <si>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</si>
  <si>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</si>
  <si>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</si>
  <si>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</si>
  <si>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</si>
  <si>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</si>
  <si>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</si>
  <si>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</si>
  <si>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</si>
  <si>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</si>
  <si>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</si>
  <si>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</si>
  <si>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</si>
  <si>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</si>
  <si>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</si>
  <si>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</si>
  <si>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</si>
  <si>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</si>
  <si>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</si>
  <si>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</si>
  <si>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</si>
  <si>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</si>
  <si>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</si>
  <si>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</si>
  <si>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</si>
  <si>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</si>
  <si>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</si>
  <si>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</si>
  <si>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</si>
  <si>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</si>
  <si>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</si>
  <si>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</si>
  <si>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</si>
  <si>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</si>
  <si>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</si>
  <si>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</si>
  <si>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</si>
  <si>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</si>
  <si>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</si>
  <si>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</si>
  <si>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</si>
  <si>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</si>
  <si>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</si>
  <si>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</si>
  <si>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</si>
  <si>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</si>
  <si>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</si>
  <si>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</si>
  <si>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</si>
  <si>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</si>
  <si>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</si>
  <si>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</si>
  <si>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</si>
  <si>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</si>
  <si>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</si>
  <si>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</si>
  <si>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</si>
  <si>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</si>
  <si>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</si>
  <si>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</si>
  <si>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</si>
  <si>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</si>
  <si>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</si>
  <si>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</si>
  <si>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</si>
  <si>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</si>
  <si>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</si>
  <si>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</si>
  <si>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</si>
  <si>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</si>
  <si>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</si>
  <si>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</si>
  <si>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</si>
  <si>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</si>
  <si>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</si>
  <si>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</si>
  <si>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</si>
  <si>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</si>
  <si>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</si>
  <si>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</si>
  <si>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</si>
  <si>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</si>
  <si>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</si>
  <si>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</si>
  <si>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</si>
  <si>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</si>
  <si>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</si>
  <si>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</si>
  <si>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</si>
  <si>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</si>
  <si>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</si>
  <si>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</si>
  <si>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</si>
  <si>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</si>
  <si>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</si>
  <si>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</si>
  <si>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</si>
  <si>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</si>
  <si>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</si>
  <si>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</si>
  <si>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</si>
  <si>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</si>
  <si>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</si>
  <si>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</si>
  <si>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</si>
  <si>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</si>
  <si>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</si>
  <si>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</si>
  <si>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</si>
  <si>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</si>
  <si>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</si>
  <si>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</si>
  <si>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</si>
  <si>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</si>
  <si>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</si>
  <si>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</si>
  <si>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</si>
  <si>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</si>
  <si>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</si>
  <si>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</si>
  <si>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</si>
  <si>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</si>
  <si>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</si>
  <si>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</si>
  <si>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</si>
  <si>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</si>
  <si>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</si>
  <si>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</si>
  <si>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</si>
  <si>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</si>
  <si>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</si>
  <si>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</si>
  <si>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</si>
  <si>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</si>
  <si>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</si>
  <si>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</si>
  <si>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</si>
  <si>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</si>
  <si>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</si>
  <si>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</si>
  <si>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</si>
  <si>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</si>
  <si>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</si>
  <si>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</si>
  <si>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</si>
  <si>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</si>
  <si>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</si>
  <si>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</si>
  <si>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</si>
  <si>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</si>
  <si>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</si>
  <si>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</si>
  <si>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</si>
  <si>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</si>
  <si>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</si>
  <si>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</si>
  <si>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</si>
  <si>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</si>
  <si>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</si>
  <si>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</si>
  <si>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</si>
  <si>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</si>
  <si>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</si>
  <si>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</si>
  <si>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</si>
  <si>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</si>
  <si>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</si>
  <si>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</si>
  <si>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</si>
  <si>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</si>
  <si>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</si>
  <si>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</si>
  <si>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</si>
  <si>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</si>
  <si>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</si>
  <si>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</si>
  <si>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</si>
  <si>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</si>
  <si>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</si>
  <si>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</si>
  <si>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</si>
  <si>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</si>
  <si>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</si>
  <si>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</si>
  <si>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</si>
  <si>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</si>
  <si>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</si>
  <si>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</si>
  <si>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</si>
  <si>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</si>
  <si>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</si>
  <si>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</si>
  <si>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</si>
  <si>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</si>
  <si>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</si>
  <si>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</si>
  <si>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</si>
  <si>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</si>
  <si>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</si>
  <si>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</si>
  <si>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</si>
  <si>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</si>
  <si>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</si>
  <si>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</si>
  <si>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</si>
  <si>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</si>
  <si>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</si>
  <si>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</si>
  <si>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</si>
  <si>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</si>
  <si>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</si>
  <si>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</si>
  <si>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</si>
  <si>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</si>
  <si>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</si>
  <si>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</si>
  <si>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</si>
  <si>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</si>
  <si>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</si>
  <si>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</si>
  <si>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</si>
  <si>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</si>
  <si>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</si>
  <si>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</si>
  <si>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</si>
  <si>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</si>
  <si>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</si>
  <si>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</si>
  <si>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</si>
  <si>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</si>
  <si>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</si>
  <si>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</si>
  <si>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</si>
  <si>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</si>
  <si>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</si>
  <si>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</si>
  <si>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</si>
  <si>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</si>
  <si>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</si>
  <si>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</si>
  <si>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</si>
  <si>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</si>
  <si>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</si>
  <si>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</si>
  <si>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</si>
  <si>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</si>
  <si>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</si>
  <si>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</si>
  <si>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</si>
  <si>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</si>
  <si>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</si>
  <si>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</si>
  <si>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</si>
  <si>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</si>
  <si>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</si>
  <si>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</si>
  <si>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</si>
  <si>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</si>
  <si>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</si>
  <si>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</si>
  <si>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</si>
  <si>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</si>
  <si>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</si>
  <si>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</si>
  <si>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</si>
  <si>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 xml:space="preserve">
Schädlingsverfluchungsstab</t>
  </si>
  <si>
    <t>Magischer Angriff: 4
Erlaubt die Nutzung von Insektenvernichtungszaubern</t>
  </si>
  <si>
    <t>Sát thương ma thuật: 4
Cho phép sử dụng Phép Diệt Côn Trùng</t>
  </si>
  <si>
    <t>Cajado Exterminador de Insetos</t>
  </si>
  <si>
    <t>Ataque mágico：4
Permite o uso da magia Controle de Pragas</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</si>
  <si>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</si>
  <si>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</si>
  <si>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</si>
  <si>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</si>
  <si>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</si>
  <si>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</si>
  <si>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</si>
  <si>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</si>
  <si>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</si>
  <si>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</si>
  <si>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</si>
  <si>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</si>
  <si>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</si>
  <si>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</si>
  <si>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</si>
  <si>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</si>
  <si>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</si>
  <si>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</si>
  <si>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</si>
  <si>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</si>
  <si>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</si>
  <si>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</si>
  <si>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</si>
  <si>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</si>
  <si>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</si>
  <si>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</si>
  <si>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</si>
  <si>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</si>
  <si>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</si>
  <si>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</si>
  <si>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</si>
  <si>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</si>
  <si>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</si>
  <si>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</si>
  <si>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</si>
  <si>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</si>
  <si>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</si>
  <si>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</si>
  <si>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</si>
  <si>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</si>
  <si>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</si>
  <si>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</si>
  <si>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</si>
  <si>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</si>
  <si>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</si>
  <si>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</si>
  <si>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</si>
  <si>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</si>
  <si>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</si>
  <si>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</si>
  <si>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</si>
  <si>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</si>
  <si>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</si>
  <si>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</si>
  <si>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</si>
  <si>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</si>
  <si>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</si>
  <si>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</si>
  <si>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</si>
  <si>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</si>
  <si>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</si>
  <si>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</si>
  <si>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</si>
  <si>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</si>
  <si>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</si>
  <si>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</si>
  <si>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</si>
  <si>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</si>
  <si>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</si>
  <si>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</si>
  <si>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</si>
  <si>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</si>
  <si>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</si>
  <si>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</si>
  <si>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</si>
  <si>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</si>
  <si>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</si>
  <si>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</si>
  <si>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</si>
  <si>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</si>
  <si>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</si>
  <si>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</si>
  <si>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</si>
  <si>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</si>
  <si>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</si>
  <si>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</si>
  <si>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</si>
  <si>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</si>
  <si>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</si>
  <si>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</si>
  <si>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</si>
  <si>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</si>
  <si>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</si>
  <si>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</si>
  <si>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</si>
  <si>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</si>
  <si>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</si>
  <si>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</si>
  <si>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</si>
  <si>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</si>
  <si>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</si>
  <si>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</si>
  <si>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</si>
  <si>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</si>
  <si>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</si>
  <si>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</si>
  <si>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</si>
  <si>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</si>
  <si>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</si>
  <si>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</si>
  <si>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</si>
  <si>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</si>
  <si>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</si>
  <si>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</si>
  <si>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</si>
  <si>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</si>
  <si>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</si>
  <si>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</si>
  <si>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</si>
  <si>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</si>
  <si>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</si>
  <si>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</si>
  <si>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</si>
  <si>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</si>
  <si>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</si>
  <si>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</si>
  <si>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</si>
  <si>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</si>
  <si>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</si>
  <si>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</si>
  <si>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</si>
  <si>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</si>
  <si>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</si>
  <si>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</si>
  <si>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</si>
  <si>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</si>
  <si>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</si>
  <si>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</si>
  <si>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</si>
  <si>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</si>
  <si>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</si>
  <si>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</si>
  <si>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</si>
  <si>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</si>
  <si>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</si>
  <si>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</si>
  <si>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</si>
  <si>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</si>
  <si>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</si>
  <si>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</si>
  <si>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</si>
  <si>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</si>
  <si>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</si>
  <si>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</si>
  <si>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</si>
  <si>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</si>
  <si>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</si>
  <si>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</si>
  <si>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</si>
  <si>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</si>
  <si>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</si>
  <si>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</si>
  <si>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</si>
  <si>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</si>
  <si>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</si>
  <si>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</si>
  <si>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</si>
  <si>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</si>
  <si>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</si>
  <si>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</si>
  <si>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</si>
  <si>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</si>
  <si>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</si>
  <si>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</si>
  <si>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</si>
  <si>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</si>
  <si>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</si>
  <si>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</si>
  <si>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</si>
  <si>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</si>
  <si>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</si>
  <si>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</si>
  <si>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</si>
  <si>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</si>
  <si>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</si>
  <si>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</si>
  <si>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</si>
  <si>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</si>
  <si>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</si>
  <si>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</si>
  <si>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</si>
  <si>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</si>
  <si>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</si>
  <si>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</si>
  <si>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</si>
  <si>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</si>
  <si>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</si>
  <si>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</si>
  <si>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</si>
  <si>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</si>
  <si>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</si>
  <si>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</si>
  <si>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</si>
  <si>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</si>
  <si>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</si>
  <si>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</si>
  <si>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</si>
  <si>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</si>
  <si>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</si>
  <si>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</si>
  <si>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</si>
  <si>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</si>
  <si>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</si>
  <si>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</si>
  <si>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</si>
  <si>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</si>
  <si>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</si>
  <si>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</si>
  <si>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</si>
  <si>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</si>
  <si>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</si>
  <si>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</si>
  <si>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</si>
  <si>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</si>
  <si>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</si>
  <si>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</si>
  <si>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</si>
  <si>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</si>
  <si>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</si>
  <si>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</si>
  <si>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</si>
  <si>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</si>
  <si>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</si>
  <si>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</si>
  <si>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</si>
  <si>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</si>
  <si>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</si>
  <si>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</si>
  <si>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</si>
  <si>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</si>
  <si>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</si>
  <si>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</si>
  <si>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</si>
  <si>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</si>
  <si>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</si>
  <si>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</si>
  <si>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</si>
  <si>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</si>
  <si>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</si>
  <si>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</si>
  <si>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</si>
  <si>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</si>
  <si>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</si>
  <si>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</si>
  <si>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</si>
  <si>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</si>
  <si>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</si>
  <si>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</si>
  <si>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</si>
  <si>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</si>
  <si>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</si>
  <si>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</si>
  <si>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</si>
  <si>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</si>
  <si>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</si>
  <si>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</si>
  <si>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</si>
  <si>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</si>
  <si>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</si>
  <si>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</si>
  <si>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</si>
  <si>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</si>
  <si>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</si>
  <si>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</si>
  <si>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</si>
  <si>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</si>
  <si>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</si>
  <si>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</si>
  <si>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</si>
  <si>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</si>
  <si>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</si>
  <si>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</si>
  <si>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</si>
  <si>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</si>
  <si>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</si>
  <si>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</si>
  <si>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</si>
  <si>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</si>
  <si>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</si>
  <si>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</si>
  <si>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</si>
  <si>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</si>
  <si>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</si>
  <si>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</si>
  <si>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</si>
  <si>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</si>
  <si>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</si>
  <si>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</si>
  <si>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</si>
  <si>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</si>
  <si>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</si>
  <si>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</si>
  <si>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</si>
  <si>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</si>
  <si>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</si>
  <si>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</si>
  <si>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</si>
  <si>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</si>
  <si>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</si>
  <si>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</si>
  <si>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</si>
  <si>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</si>
  <si>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</si>
  <si>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</si>
  <si>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</si>
  <si>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</si>
  <si>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</si>
  <si>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</si>
  <si>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</si>
  <si>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</si>
  <si>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</si>
  <si>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</si>
  <si>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</si>
  <si>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</si>
  <si>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</si>
  <si>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</si>
  <si>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</si>
  <si>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</si>
  <si>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</si>
  <si>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</si>
  <si>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</si>
  <si>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</si>
  <si>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</si>
  <si>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</si>
  <si>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</si>
  <si>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</si>
  <si>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</si>
  <si>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</si>
  <si>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</si>
  <si>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</si>
  <si>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</si>
  <si>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</si>
  <si>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</si>
  <si>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</si>
  <si>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</si>
  <si>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</si>
  <si>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</si>
  <si>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</si>
  <si>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</si>
  <si>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</si>
  <si>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</si>
  <si>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</si>
  <si>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</si>
  <si>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</si>
  <si>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</si>
  <si>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</si>
  <si>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</si>
  <si>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</si>
  <si>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</si>
  <si>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</si>
  <si>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</si>
  <si>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</si>
  <si>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</si>
  <si>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</si>
  <si>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</si>
  <si>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</si>
  <si>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</si>
  <si>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</si>
  <si>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</si>
  <si>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</si>
  <si>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</si>
  <si>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</si>
  <si>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</si>
  <si>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</si>
  <si>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</si>
  <si>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</si>
  <si>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</si>
  <si>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</si>
  <si>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</si>
  <si>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</si>
  <si>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</si>
  <si>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</si>
  <si>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</si>
  <si>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</si>
  <si>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</si>
  <si>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</si>
  <si>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</si>
  <si>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</si>
  <si>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</si>
  <si>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</si>
  <si>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</si>
  <si>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</si>
  <si>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</si>
  <si>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</si>
  <si>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</si>
  <si>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</si>
  <si>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</si>
  <si>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</si>
  <si>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</si>
  <si>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</si>
  <si>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</si>
  <si>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</si>
  <si>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</si>
  <si>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</si>
  <si>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</si>
  <si>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</si>
  <si>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</si>
  <si>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</si>
  <si>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</si>
  <si>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</si>
  <si>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</si>
  <si>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</si>
  <si>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</si>
  <si>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</si>
  <si>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</si>
  <si>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</si>
  <si>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</si>
  <si>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</si>
  <si>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</si>
  <si>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</si>
  <si>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</si>
  <si>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</si>
  <si>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</si>
  <si>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</si>
  <si>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</si>
  <si>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</si>
  <si>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</si>
  <si>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</si>
  <si>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</si>
  <si>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</si>
  <si>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</si>
  <si>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</si>
  <si>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</si>
  <si>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</si>
  <si>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</si>
  <si>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</si>
  <si>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</si>
  <si>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</si>
  <si>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</si>
  <si>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</si>
  <si>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</si>
  <si>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</si>
  <si>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</si>
  <si>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</si>
  <si>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</si>
  <si>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</si>
  <si>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</si>
  <si>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</si>
  <si>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</si>
  <si>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</si>
  <si>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</si>
  <si>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</si>
  <si>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</si>
  <si>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</si>
  <si>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</si>
  <si>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</si>
  <si>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</si>
  <si>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</si>
  <si>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</si>
  <si>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</si>
  <si>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</si>
  <si>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</si>
  <si>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</si>
  <si>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</si>
  <si>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</si>
  <si>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</si>
  <si>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</si>
  <si>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</si>
  <si>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</si>
  <si>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</si>
  <si>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</si>
  <si>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</si>
  <si>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</si>
  <si>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</si>
  <si>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</si>
  <si>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</si>
  <si>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</si>
  <si>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</si>
  <si>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</si>
  <si>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</si>
  <si>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</si>
  <si>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</si>
  <si>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</si>
  <si>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</si>
  <si>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</si>
  <si>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</si>
  <si>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</si>
  <si>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</si>
  <si>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</si>
  <si>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</si>
  <si>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</si>
  <si>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</si>
  <si>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</si>
  <si>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</si>
  <si>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</si>
  <si>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</si>
  <si>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</si>
  <si>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</si>
  <si>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</si>
  <si>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</si>
  <si>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</si>
  <si>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</si>
  <si>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</si>
  <si>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</si>
  <si>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</si>
  <si>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</si>
  <si>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</si>
  <si>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</si>
  <si>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</si>
  <si>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</si>
  <si>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</si>
  <si>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</si>
  <si>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</si>
  <si>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</si>
  <si>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</si>
  <si>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</si>
  <si>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</si>
  <si>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</si>
  <si>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</si>
  <si>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</si>
  <si>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</si>
  <si>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</si>
  <si>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</si>
  <si>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</si>
  <si>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</si>
  <si>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</si>
  <si>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</si>
  <si>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</si>
  <si>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</si>
  <si>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</si>
  <si>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</si>
  <si>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</si>
  <si>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</si>
  <si>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</si>
  <si>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</si>
  <si>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</si>
  <si>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</si>
  <si>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</si>
  <si>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</si>
  <si>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</si>
  <si>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</si>
  <si>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</si>
  <si>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</si>
  <si>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</si>
  <si>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</si>
  <si>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</si>
  <si>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</si>
  <si>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</si>
  <si>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</si>
  <si>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</si>
  <si>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</si>
  <si>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</si>
  <si>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</si>
  <si>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</si>
  <si>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</si>
  <si>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</si>
  <si>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</si>
  <si>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</si>
  <si>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</si>
  <si>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</si>
  <si>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</si>
  <si>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</si>
  <si>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</si>
  <si>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</si>
  <si>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</si>
  <si>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</si>
  <si>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</si>
  <si>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</si>
  <si>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</si>
  <si>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</si>
  <si>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</si>
  <si>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</si>
  <si>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</si>
  <si>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</si>
  <si>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</si>
  <si>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</si>
  <si>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</si>
  <si>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</si>
  <si>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</si>
  <si>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</si>
  <si>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</si>
  <si>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</si>
  <si>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</si>
  <si>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</si>
  <si>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</si>
  <si>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</si>
  <si>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</si>
  <si>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</si>
  <si>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</si>
  <si>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</si>
  <si>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</si>
  <si>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</si>
  <si>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</si>
  <si>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</si>
  <si>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</si>
  <si>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</si>
  <si>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</si>
  <si>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</si>
  <si>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</si>
  <si>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</si>
  <si>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Greedy Piggy Bank</t>
  </si>
  <si>
    <t xml:space="preserve">행운 : 100
돈 자동 습득, 마몬 아우라, 파괴 불가(부서지지 않음), 이동속도 증가
</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</si>
  <si>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</si>
  <si>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</si>
  <si>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</si>
  <si>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</si>
  <si>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</si>
  <si>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</si>
  <si>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</si>
  <si>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</si>
  <si>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</si>
  <si>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</si>
  <si>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</si>
  <si>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</si>
  <si>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</si>
  <si>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</si>
  <si>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</si>
  <si>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</si>
  <si>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</si>
  <si>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</si>
  <si>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</si>
  <si>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</si>
  <si>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</si>
  <si>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</si>
  <si>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</si>
  <si>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</si>
  <si>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</si>
  <si>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</si>
  <si>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</si>
  <si>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</si>
  <si>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</si>
  <si>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</si>
  <si>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</si>
  <si>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</si>
  <si>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</si>
  <si>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</si>
  <si>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</si>
  <si>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</si>
  <si>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</si>
  <si>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</si>
  <si>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</si>
  <si>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</si>
  <si>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</si>
  <si>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</si>
  <si>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</si>
  <si>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</si>
  <si>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</si>
  <si>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</si>
  <si>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</si>
  <si>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</si>
  <si>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</si>
  <si>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</si>
  <si>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</si>
  <si>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</si>
  <si>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</si>
  <si>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</si>
  <si>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</si>
  <si>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</si>
  <si>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</si>
  <si>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</si>
  <si>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</si>
  <si>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</si>
  <si>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</si>
  <si>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</si>
  <si>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</si>
  <si>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</si>
  <si>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</si>
  <si>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</si>
  <si>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</si>
  <si>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</si>
  <si>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</si>
  <si>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</si>
  <si>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</si>
  <si>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</si>
  <si>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</si>
  <si>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</si>
  <si>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</si>
  <si>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</si>
  <si>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</si>
  <si>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</si>
  <si>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</si>
  <si>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</si>
  <si>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</si>
  <si>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</si>
  <si>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</si>
  <si>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</si>
  <si>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</si>
  <si>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</si>
  <si>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</si>
  <si>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</si>
  <si>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</si>
  <si>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</si>
  <si>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</si>
  <si>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</si>
  <si>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</si>
  <si>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</si>
  <si>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</si>
  <si>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</si>
  <si>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</si>
  <si>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</si>
  <si>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</si>
  <si>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</si>
  <si>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</si>
  <si>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</si>
  <si>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</si>
  <si>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</si>
  <si>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</si>
  <si>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</si>
  <si>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</si>
  <si>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</si>
  <si>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</si>
  <si>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</si>
  <si>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</si>
  <si>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*Vật phẩm này là vật phẩm gian lận. 
Vui lòng tham khảo TIPS để biết cách nhận được.</t>
  </si>
  <si>
    <t>Território Absoluto</t>
  </si>
  <si>
    <r>
      <rPr>
        <rFont val="Microsoft JhengHei"/>
        <color theme="1"/>
      </rPr>
      <t xml:space="preserve">Defesa Mágica: 169
Sorte: 69
Espaços para arma/equipamento + 99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</si>
  <si>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</si>
  <si>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</si>
  <si>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</si>
  <si>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</si>
  <si>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</si>
  <si>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</si>
  <si>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</si>
  <si>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</si>
  <si>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</si>
  <si>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</si>
  <si>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</si>
  <si>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</si>
  <si>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</si>
  <si>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</si>
  <si>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</si>
  <si>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</si>
  <si>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</si>
  <si>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</si>
  <si>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</si>
  <si>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</si>
  <si>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</si>
  <si>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</si>
  <si>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</si>
  <si>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</si>
  <si>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</si>
  <si>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</si>
  <si>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</si>
  <si>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</si>
  <si>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</si>
  <si>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</si>
  <si>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</si>
  <si>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</si>
  <si>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</si>
  <si>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</si>
  <si>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</si>
  <si>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</si>
  <si>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</si>
  <si>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</si>
  <si>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</si>
  <si>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</si>
  <si>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</si>
  <si>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</si>
  <si>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</si>
  <si>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</si>
  <si>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</si>
  <si>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</si>
  <si>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</si>
  <si>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</si>
  <si>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</si>
  <si>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</si>
  <si>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</si>
  <si>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</si>
  <si>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</si>
  <si>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</si>
  <si>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</si>
  <si>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</si>
  <si>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</si>
  <si>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</si>
  <si>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</si>
  <si>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</si>
  <si>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</si>
  <si>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</si>
  <si>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</si>
  <si>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</si>
  <si>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</si>
  <si>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</si>
  <si>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</si>
  <si>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</si>
  <si>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</si>
  <si>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</si>
  <si>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</si>
  <si>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</si>
  <si>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</si>
  <si>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</si>
  <si>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</si>
  <si>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</si>
  <si>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</si>
  <si>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</si>
  <si>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</si>
  <si>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</si>
  <si>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</si>
  <si>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</si>
  <si>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</si>
  <si>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</si>
  <si>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</si>
  <si>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</si>
  <si>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</si>
  <si>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</si>
  <si>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</si>
  <si>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</si>
  <si>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</si>
  <si>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</si>
  <si>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</si>
  <si>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</si>
  <si>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</si>
  <si>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</si>
  <si>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</si>
  <si>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</si>
  <si>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</si>
  <si>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</si>
  <si>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</si>
  <si>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</si>
  <si>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</si>
  <si>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</si>
  <si>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</si>
  <si>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</si>
  <si>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</si>
  <si>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</si>
  <si>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</si>
  <si>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</si>
  <si>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</si>
  <si>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</si>
  <si>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</si>
  <si>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</si>
  <si>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</si>
  <si>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</si>
  <si>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</si>
  <si>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</si>
  <si>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</si>
  <si>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</si>
  <si>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</si>
  <si>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</si>
  <si>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</si>
  <si>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</si>
  <si>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</si>
  <si>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</si>
  <si>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</si>
  <si>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</si>
  <si>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</si>
  <si>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</si>
  <si>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</si>
  <si>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</si>
  <si>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</si>
  <si>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</si>
  <si>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</si>
  <si>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</si>
  <si>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</si>
  <si>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</si>
  <si>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</si>
  <si>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</si>
  <si>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</si>
  <si>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</si>
  <si>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</si>
  <si>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</si>
  <si>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</si>
  <si>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</si>
  <si>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</si>
  <si>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</si>
  <si>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</si>
  <si>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</si>
  <si>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</si>
  <si>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</si>
  <si>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</si>
  <si>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</si>
  <si>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增加掉落率(作弊道具)</t>
  </si>
  <si>
    <t>ルイカのラッキーハンマー</t>
  </si>
  <si>
    <t xml:space="preserve">
幸運：777
ドロップ率上昇（チートアイテム）</t>
  </si>
  <si>
    <t>Ruika's Lucky Hammer</t>
  </si>
  <si>
    <t>Attack: 777
Increases drop rate (Cheat item)</t>
  </si>
  <si>
    <t>Búa Phép Thuật Của Ruika</t>
  </si>
  <si>
    <t>May mắn: 777
Tăng tỉ lệ rơi đồ (vật phẩm gian lận)</t>
  </si>
  <si>
    <t>Martelo da sorte da Ruika</t>
  </si>
  <si>
    <t>Attack: 777
Aumenta a chance de cair itens (Item roubado)</t>
  </si>
  <si>
    <t>Mio的急救箱</t>
  </si>
  <si>
    <t>每秒回復血(作弊道具)</t>
  </si>
  <si>
    <t>ミオの救急箱</t>
  </si>
  <si>
    <t>毎秒HP回復（チートアイテム）</t>
  </si>
  <si>
    <t>Mio's First Aid Kit</t>
  </si>
  <si>
    <t>Massively restores health per second (Cheat item)</t>
  </si>
  <si>
    <t>Bộ Sơ Cứu Của Mio</t>
  </si>
  <si>
    <t>Hồi máu mỗi giây (vật phẩm gian lận)</t>
  </si>
  <si>
    <t>Kit de primeiros socorros da Mio</t>
  </si>
  <si>
    <t>Recupera massivamente os PV por segundo(Item roubado)</t>
  </si>
  <si>
    <t>白湮的金手指</t>
  </si>
  <si>
    <t>武器無消耗(作弊道具)</t>
  </si>
  <si>
    <t>シロインの黄金指</t>
  </si>
  <si>
    <t>武器の耐久消耗なし(チートアイテム)</t>
  </si>
  <si>
    <t>Shiroin's Golden Finger</t>
  </si>
  <si>
    <t>Weapons no longer break (Cheat item)</t>
  </si>
  <si>
    <t>Kim Thủ Chỉ của Shiroin</t>
  </si>
  <si>
    <t>Vũ khí không thể bị phá hủy (vũ khí gian lận)</t>
  </si>
  <si>
    <t>Dedo dourado de Shiroin</t>
  </si>
  <si>
    <t>Armas não perdem durabiilidade (item roubado)</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</si>
  <si>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</si>
  <si>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</si>
  <si>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</si>
  <si>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</si>
  <si>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</si>
  <si>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</si>
  <si>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</si>
  <si>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</si>
  <si>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Cho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</si>
  <si>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</si>
  <si>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</si>
  <si>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</si>
  <si>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</si>
  <si>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</si>
  <si>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</si>
  <si>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</si>
  <si>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</si>
  <si>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</si>
  <si>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</si>
  <si>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</si>
  <si>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SIÊU tốc độ</t>
  </si>
  <si>
    <t>Chifre Vermelho</t>
  </si>
  <si>
    <t>Ataque físico：4
Defesa física：2
Defesa mágica：25
Têm 3 cargas. Recarregam vagarozamente quando exauridas
Quando completamente carregada, Senpo não tem tempo de recarga e fornece uma velocidade EXTREMA</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</si>
  <si>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</si>
  <si>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</si>
  <si>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</si>
  <si>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</si>
  <si>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</si>
  <si>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</si>
  <si>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</si>
  <si>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</si>
  <si>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</si>
  <si>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</si>
  <si>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</si>
  <si>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</si>
  <si>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</si>
  <si>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</si>
  <si>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</si>
  <si>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</si>
  <si>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</si>
  <si>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</si>
  <si>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</si>
  <si>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</si>
  <si>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</si>
  <si>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</si>
  <si>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</si>
  <si>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</si>
  <si>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</si>
  <si>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</si>
  <si>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</si>
  <si>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</si>
  <si>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</si>
  <si>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</si>
  <si>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</si>
  <si>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</si>
  <si>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</si>
  <si>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</si>
  <si>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</si>
  <si>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</si>
  <si>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</si>
  <si>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</si>
  <si>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</si>
  <si>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</si>
  <si>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</si>
  <si>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</si>
  <si>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</si>
  <si>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</si>
  <si>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</si>
  <si>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</si>
  <si>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</si>
  <si>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</si>
  <si>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</si>
  <si>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</si>
  <si>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</si>
  <si>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</si>
  <si>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</si>
  <si>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</si>
  <si>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</si>
  <si>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</si>
  <si>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</si>
  <si>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</si>
  <si>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</si>
  <si>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</si>
  <si>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</si>
  <si>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</si>
  <si>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</si>
  <si>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</si>
  <si>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</si>
  <si>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</si>
  <si>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</si>
  <si>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</si>
  <si>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</si>
  <si>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</si>
  <si>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</si>
  <si>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</si>
  <si>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</si>
  <si>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</si>
  <si>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</si>
  <si>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</si>
  <si>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</si>
  <si>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</si>
  <si>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</si>
  <si>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</si>
  <si>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</si>
  <si>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</si>
  <si>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</si>
  <si>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</si>
  <si>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</si>
  <si>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</si>
  <si>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</si>
  <si>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</si>
  <si>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</si>
  <si>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</si>
  <si>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</si>
  <si>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</si>
  <si>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</si>
  <si>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</si>
  <si>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</si>
  <si>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</si>
  <si>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</si>
  <si>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</si>
  <si>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</si>
  <si>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</si>
  <si>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</si>
  <si>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</si>
  <si>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</si>
  <si>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</si>
  <si>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</si>
  <si>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</si>
  <si>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</si>
  <si>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</si>
  <si>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</si>
  <si>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</si>
  <si>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</si>
  <si>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</si>
  <si>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</si>
  <si>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</si>
  <si>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</si>
  <si>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</si>
  <si>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</si>
  <si>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</si>
  <si>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</si>
  <si>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</si>
  <si>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</si>
  <si>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</si>
  <si>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</si>
  <si>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</si>
  <si>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</si>
  <si>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</si>
  <si>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</si>
  <si>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</si>
  <si>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</si>
  <si>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</si>
  <si>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</si>
  <si>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</si>
  <si>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</si>
  <si>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</si>
  <si>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</si>
  <si>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</si>
  <si>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</si>
  <si>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</si>
  <si>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</si>
  <si>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</si>
  <si>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</si>
  <si>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</si>
  <si>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</si>
  <si>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</si>
  <si>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</si>
  <si>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</si>
  <si>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</si>
  <si>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</si>
  <si>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</si>
  <si>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</si>
  <si>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</si>
  <si>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</si>
  <si>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</si>
  <si>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</si>
  <si>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</si>
  <si>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</si>
  <si>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</si>
  <si>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</si>
  <si>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</si>
  <si>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</si>
  <si>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</si>
  <si>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</si>
  <si>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</si>
  <si>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</si>
  <si>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</si>
  <si>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</si>
  <si>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</si>
  <si>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</si>
  <si>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</si>
  <si>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</si>
  <si>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</si>
  <si>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</si>
  <si>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</si>
  <si>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</si>
  <si>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</si>
  <si>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</si>
  <si>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</si>
  <si>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</si>
  <si>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</si>
  <si>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</si>
  <si>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</si>
  <si>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</si>
  <si>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</si>
  <si>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</si>
  <si>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</si>
  <si>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</si>
  <si>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</si>
  <si>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</si>
  <si>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</si>
  <si>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</si>
  <si>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</si>
  <si>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</si>
  <si>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</si>
  <si>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</si>
  <si>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</si>
  <si>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</si>
  <si>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</si>
  <si>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</si>
  <si>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</si>
  <si>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</si>
  <si>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</si>
  <si>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</si>
  <si>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</si>
  <si>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</si>
  <si>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</si>
  <si>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</si>
  <si>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</si>
  <si>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</si>
  <si>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</si>
  <si>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</si>
  <si>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</si>
  <si>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</si>
  <si>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</si>
  <si>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</si>
  <si>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</si>
  <si>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</si>
  <si>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</si>
  <si>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</si>
  <si>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塔羅牌-節制</t>
  </si>
  <si>
    <t>召喚扭蛋機</t>
  </si>
  <si>
    <t>テンパランス</t>
  </si>
  <si>
    <t>ガチャポンを召喚する</t>
  </si>
  <si>
    <t>Temperance</t>
  </si>
  <si>
    <t>Summons a Gacha Machine</t>
  </si>
  <si>
    <t>Invoca una maquina Gacha</t>
  </si>
  <si>
    <t>절제</t>
  </si>
  <si>
    <t>Mäßigkeit</t>
  </si>
  <si>
    <t>Beschwört einen Gacha-Automaten</t>
  </si>
  <si>
    <t>Triệu hồi máy Gacha</t>
  </si>
  <si>
    <t>A Temperança</t>
  </si>
  <si>
    <t>Invoca a máquina Gacha</t>
  </si>
  <si>
    <t>塔羅牌-正義</t>
  </si>
  <si>
    <t>消除狀態</t>
  </si>
  <si>
    <t>ジャスティス</t>
  </si>
  <si>
    <t>全てのバフ、デバフを取り除く</t>
  </si>
  <si>
    <t>Justice</t>
  </si>
  <si>
    <t>Removes status ailments</t>
  </si>
  <si>
    <t>Elimina estados negativos</t>
  </si>
  <si>
    <t>정의</t>
  </si>
  <si>
    <t>상태이상 제거</t>
  </si>
  <si>
    <t>Gerechtigkeit</t>
  </si>
  <si>
    <t>Entfernt alle Statuseffekte</t>
  </si>
  <si>
    <t>Loại bỏ tất cả trạng thái bất lợi</t>
  </si>
  <si>
    <t>A Justiça</t>
  </si>
  <si>
    <t>Remove efeitos negativos</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</si>
  <si>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</si>
  <si>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</si>
  <si>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</si>
  <si>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</si>
  <si>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</si>
  <si>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</si>
  <si>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</si>
  <si>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</si>
  <si>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Stärke</t>
  </si>
  <si>
    <t>Vergrößert die Waffe und erhöht den Schaden</t>
  </si>
  <si>
    <t>Phóng to vũ khí và tăng sát thương</t>
  </si>
  <si>
    <t>A Força</t>
  </si>
  <si>
    <t>Aumenta o tamanho da arma e o dano</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</si>
  <si>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</si>
  <si>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</si>
  <si>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</si>
  <si>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</si>
  <si>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</si>
  <si>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</si>
  <si>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</si>
  <si>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</si>
  <si>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</si>
  <si>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</si>
  <si>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</si>
  <si>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</si>
  <si>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</si>
  <si>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</si>
  <si>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</si>
  <si>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</si>
  <si>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</si>
  <si>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</si>
  <si>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</si>
  <si>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</si>
  <si>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</si>
  <si>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</si>
  <si>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</si>
  <si>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</si>
  <si>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</si>
  <si>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塔羅牌-戰車</t>
  </si>
  <si>
    <t>召喚貓娘商店車</t>
  </si>
  <si>
    <t>ザ・チャリオット</t>
  </si>
  <si>
    <t>茶会の宅配車を手配する</t>
  </si>
  <si>
    <t>The Chariot</t>
  </si>
  <si>
    <t>Summons the cat girl shopping van</t>
  </si>
  <si>
    <t>Invoca a la chica gato que vende en la van</t>
  </si>
  <si>
    <t>전차</t>
  </si>
  <si>
    <t>Der Wagen</t>
  </si>
  <si>
    <t>Beschwört den Einkaufswagen der Katzenmädchen</t>
  </si>
  <si>
    <t>Triệu hồi xe chở hàng của cô gái mèo</t>
  </si>
  <si>
    <t>O Carro(Deveria ser carruagem)</t>
  </si>
  <si>
    <t>Invoca a loja van da garota gato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</si>
  <si>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</si>
  <si>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</si>
  <si>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</si>
  <si>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</si>
  <si>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</si>
  <si>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</si>
  <si>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</si>
  <si>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</si>
  <si>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</si>
  <si>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Die Hohepriesterin</t>
  </si>
  <si>
    <t>Beschwört ein Tor zur „Gefallenen Kathedrale“</t>
  </si>
  <si>
    <t>Triệu hồi một cánh cổng đến "Nhà Thờ Sa Ngã"</t>
  </si>
  <si>
    <t>A Sacerdotisa</t>
  </si>
  <si>
    <t>Invoca um portão para "A Igreja Caída"</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</si>
  <si>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</si>
  <si>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</si>
  <si>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</si>
  <si>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</si>
  <si>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</si>
  <si>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</si>
  <si>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</si>
  <si>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</si>
  <si>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</si>
  <si>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Das Rad des Schicksals</t>
  </si>
  <si>
    <t>Verleiht einen zufälligen Buff Effekt</t>
  </si>
  <si>
    <t>Nhận được hiệu ứng tăng sức mạnh ngẫu nhiên</t>
  </si>
  <si>
    <t>A Roda da Fortuna</t>
  </si>
  <si>
    <t>Ganha efeitos de buff aleatórios</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</si>
  <si>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</si>
  <si>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</si>
  <si>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</si>
  <si>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</si>
  <si>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</si>
  <si>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</si>
  <si>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</si>
  <si>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</si>
  <si>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</si>
  <si>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</si>
  <si>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</si>
  <si>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</si>
  <si>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</si>
  <si>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</si>
  <si>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</si>
  <si>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</si>
  <si>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</si>
  <si>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</si>
  <si>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</si>
  <si>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</si>
  <si>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</si>
  <si>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</si>
  <si>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</si>
  <si>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</si>
  <si>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</si>
  <si>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</si>
  <si>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</si>
  <si>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</si>
  <si>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</si>
  <si>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</si>
  <si>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</si>
  <si>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</si>
  <si>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</si>
  <si>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</si>
  <si>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</si>
  <si>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</si>
  <si>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</si>
  <si>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</si>
  <si>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杰克爆彈</t>
  </si>
  <si>
    <t>炸彈(無視防禦)</t>
  </si>
  <si>
    <t>爆発する</t>
  </si>
  <si>
    <t>Jack Bomb</t>
  </si>
  <si>
    <t>Explosive Bomb (Ignores defense)</t>
  </si>
  <si>
    <t>Una Bomba (Ignora la defensa)</t>
  </si>
  <si>
    <t>잭 폭탄</t>
  </si>
  <si>
    <t>Jacks Bombe</t>
  </si>
  <si>
    <t>Explosionsbombe (Ignoriert Verteidigung)</t>
  </si>
  <si>
    <t>Bom nổ (Bỏ qua phòng thủ)</t>
  </si>
  <si>
    <t>Bomba Jack</t>
  </si>
  <si>
    <t>Bomba explosiva(ignora defesa)</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</si>
  <si>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</si>
  <si>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</si>
  <si>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</si>
  <si>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</si>
  <si>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</si>
  <si>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</si>
  <si>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</si>
  <si>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</si>
  <si>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Jacks Frostbombe</t>
  </si>
  <si>
    <t>Eisbombe (Friert Gegner ein)</t>
  </si>
  <si>
    <t>Bom Băng
Đóng băng kẻ địch</t>
  </si>
  <si>
    <t>Bomba Jack Gélida</t>
  </si>
  <si>
    <t>Bomba gélida
Congela inimigos</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</si>
  <si>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</si>
  <si>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</si>
  <si>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</si>
  <si>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</si>
  <si>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</si>
  <si>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</si>
  <si>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</si>
  <si>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</si>
  <si>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</si>
  <si>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Jacks Giftbombe</t>
  </si>
  <si>
    <t>Giftbombe (Vergiftet Gegner)</t>
  </si>
  <si>
    <t>Bom độc
Đầu độc mục tiêu</t>
  </si>
  <si>
    <t>Bomba Jack Venenosa</t>
  </si>
  <si>
    <t>Bomba venenosa
Envenena inimigos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</si>
  <si>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</si>
  <si>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</si>
  <si>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</si>
  <si>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</si>
  <si>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</si>
  <si>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</si>
  <si>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</si>
  <si>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</si>
  <si>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</si>
  <si>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</si>
  <si>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</si>
  <si>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</si>
  <si>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</si>
  <si>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</si>
  <si>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Relógio Selado</t>
  </si>
  <si>
    <t>Arremesse para congelar o tempo na área</t>
  </si>
  <si>
    <t>壽司布丁</t>
  </si>
  <si>
    <t>飛向惡魔商店的位置</t>
  </si>
  <si>
    <t>アキの菓子店に向かって飛んでく</t>
  </si>
  <si>
    <t>Sushi Pudding</t>
  </si>
  <si>
    <t>Flies to mysterious shop's location</t>
  </si>
  <si>
    <t>Vuelves a la ubicacion de la tienda misteriosa</t>
  </si>
  <si>
    <t>Fliegt zum Ort des geheimnisvollen Ladens</t>
  </si>
  <si>
    <t>Bay đến địa điểm cửa hàng bí ẩn</t>
  </si>
  <si>
    <t>Pudim de Sushi</t>
  </si>
  <si>
    <t>Voa para o local da loja misteriosa</t>
  </si>
  <si>
    <t>拍立得1~35</t>
  </si>
  <si>
    <t>查看優質照片</t>
  </si>
  <si>
    <t>エッチな写真を見る事が出来る</t>
  </si>
  <si>
    <t>Polaroid 1~35</t>
  </si>
  <si>
    <t>Lets you view quality illustrations</t>
  </si>
  <si>
    <t>Te permite ver ilustraciones de calidad</t>
  </si>
  <si>
    <t>Polaroid-Fotos 1–35</t>
  </si>
  <si>
    <t>Erlaubt das Anschauen hochwertiger Illustrationen</t>
  </si>
  <si>
    <t>Cho phép bạn xem hình ảnh minh họa chất lượng</t>
  </si>
  <si>
    <t>Deixa você ver ilustrações de qualidade</t>
  </si>
  <si>
    <t>茶會拍立得收藏集</t>
  </si>
  <si>
    <t>完成後提升幸運值</t>
  </si>
  <si>
    <t>ポラロイドコレクション</t>
  </si>
  <si>
    <t>完成すると、幸運値が上昇する！</t>
  </si>
  <si>
    <t>NLCH Polaroid Album</t>
  </si>
  <si>
    <t>Luck increases after completing it</t>
  </si>
  <si>
    <t>Aumenta la suerte al completarlo</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</si>
  <si>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</si>
  <si>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</si>
  <si>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</si>
  <si>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</si>
  <si>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</si>
  <si>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</si>
  <si>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</si>
  <si>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</si>
  <si>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</si>
  <si>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</si>
  <si>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</si>
  <si>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</si>
  <si>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</si>
  <si>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</si>
  <si>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</si>
  <si>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</si>
  <si>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</si>
  <si>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</si>
  <si>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</si>
  <si>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</si>
  <si>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</si>
  <si>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</si>
  <si>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</si>
  <si>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</si>
  <si>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</si>
  <si>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</si>
  <si>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</si>
  <si>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</si>
  <si>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</si>
  <si>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Blauer Strahlender Stein</t>
  </si>
  <si>
    <t>Aktuell ohne Funktion</t>
  </si>
  <si>
    <t>Doujinshi Yuri</t>
  </si>
  <si>
    <t>Tăng ham muốn sau khi đọc
(Có thể mua tại xe tải mua sắm)</t>
  </si>
  <si>
    <t>Aumenta do desejo depois de ler
(Pode ser comprado na loja van)</t>
  </si>
  <si>
    <t>萌萌同人本</t>
  </si>
  <si>
    <t>萌え萌え同人誌</t>
  </si>
  <si>
    <t>性欲が高まる！(宅配車で購入できる)
「萌え萌えキュン～♡」</t>
  </si>
  <si>
    <t>Moe Doujinshi</t>
  </si>
  <si>
    <t>Moe Doujin</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</si>
  <si>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</si>
  <si>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</si>
  <si>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</si>
  <si>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</si>
  <si>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</si>
  <si>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</si>
  <si>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</si>
  <si>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</si>
  <si>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</si>
  <si>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Quạt điện</t>
  </si>
  <si>
    <t>Một vật phẩm được yêu cầu cho sự kiện Trời Nóng
(Có thể được mua từ xe van bán đồ)</t>
  </si>
  <si>
    <t>Ventilador Elétrico</t>
  </si>
  <si>
    <t>Um item necessário para o evento Tempo Quente
(Pode ser comprado na loja van )</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</si>
  <si>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</si>
  <si>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</si>
  <si>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</si>
  <si>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</si>
  <si>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</si>
  <si>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</si>
  <si>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</si>
  <si>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</si>
  <si>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</si>
  <si>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</si>
  <si>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</si>
  <si>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</si>
  <si>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</si>
  <si>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</si>
  <si>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</si>
  <si>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</si>
  <si>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</si>
  <si>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</si>
  <si>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</si>
  <si>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</si>
  <si>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</si>
  <si>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</si>
  <si>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</si>
  <si>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</si>
  <si>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</si>
  <si>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</si>
  <si>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</si>
  <si>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</si>
  <si>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藍輝石</t>
  </si>
  <si>
    <t>目前沒有兌換方式
(寶石)</t>
  </si>
  <si>
    <t>青輝石</t>
  </si>
  <si>
    <t>Blue Pyroxene</t>
  </si>
  <si>
    <t>This item currently has no way of being exchanged (gem)</t>
  </si>
  <si>
    <t>Piroxeno Azul</t>
  </si>
  <si>
    <t>Este item todavia no se puede conseguir (Gema)</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</si>
  <si>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</si>
  <si>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</si>
  <si>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</si>
  <si>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</si>
  <si>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</si>
  <si>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</si>
  <si>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</si>
  <si>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</si>
  <si>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</si>
  <si>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Piedra Roja Romboica</t>
  </si>
  <si>
    <t>Todavia no implementado</t>
  </si>
  <si>
    <t>Feuerdiamant</t>
  </si>
  <si>
    <t>Derzeit keine Einlöseoption
(Juwel)</t>
  </si>
  <si>
    <t>Đá Hình Thoi Đỏ</t>
  </si>
  <si>
    <t>AInda não implementado</t>
  </si>
  <si>
    <t>銀坷拉</t>
  </si>
  <si>
    <t>誘餌/粉塵爆炸</t>
  </si>
  <si>
    <t>ギンケラ</t>
  </si>
  <si>
    <t>肥料/魔物をおびき寄せる</t>
  </si>
  <si>
    <t>Ginkela</t>
  </si>
  <si>
    <t>Fertilizer/Lures monsters</t>
  </si>
  <si>
    <t>Señuelo/Fertilizante de mounstros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</si>
  <si>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</si>
  <si>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</si>
  <si>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</si>
  <si>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</si>
  <si>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</si>
  <si>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</si>
  <si>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</si>
  <si>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</si>
  <si>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</si>
  <si>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</si>
  <si>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</si>
  <si>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</si>
  <si>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</si>
  <si>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</si>
  <si>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</si>
  <si>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</si>
  <si>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</si>
  <si>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</si>
  <si>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</si>
  <si>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</si>
  <si>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</si>
  <si>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</si>
  <si>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</si>
  <si>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</si>
  <si>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</si>
  <si>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</si>
  <si>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</si>
  <si>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</si>
  <si>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</si>
  <si>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</si>
  <si>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</si>
  <si>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</si>
  <si>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</si>
  <si>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</si>
  <si>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</si>
  <si>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</si>
  <si>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Liquido de la Piedra Filosofal</t>
  </si>
  <si>
    <t>Usado para curar a Imouto (Hermana)</t>
  </si>
  <si>
    <t>Flüssigkeit des Steins der Weisen</t>
  </si>
  <si>
    <t>Benutze es um deine Schwester zu heilen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</si>
  <si>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</si>
  <si>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</si>
  <si>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</si>
  <si>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</si>
  <si>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</si>
  <si>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</si>
  <si>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</si>
  <si>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</si>
  <si>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</si>
  <si>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</si>
  <si>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Cupon de regalo de Imouto</t>
  </si>
  <si>
    <t>Puede ser usado en eventos relacionados en SLG</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</si>
  <si>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</si>
  <si>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</si>
  <si>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</si>
  <si>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</si>
  <si>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</si>
  <si>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</si>
  <si>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</si>
  <si>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</si>
  <si>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</si>
  <si>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</si>
  <si>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</si>
  <si>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</si>
  <si>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</si>
  <si>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</si>
  <si>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</si>
  <si>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Horror Video band</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</si>
  <si>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</si>
  <si>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</si>
  <si>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</si>
  <si>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</si>
  <si>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</si>
  <si>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</si>
  <si>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</si>
  <si>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</si>
  <si>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</si>
  <si>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Cinta de vídeo para adultos</t>
  </si>
  <si>
    <t>Adult Video Band</t>
  </si>
  <si>
    <t>Băng Video Người Lớn</t>
  </si>
  <si>
    <t>Fita de Vídeo Adulta</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</si>
  <si>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</si>
  <si>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</si>
  <si>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</si>
  <si>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</si>
  <si>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</si>
  <si>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</si>
  <si>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</si>
  <si>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</si>
  <si>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</si>
  <si>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</si>
  <si>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</si>
  <si>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</si>
  <si>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</si>
  <si>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</si>
  <si>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</si>
  <si>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</si>
  <si>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</si>
  <si>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</si>
  <si>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</si>
  <si>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</si>
  <si>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</si>
  <si>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</si>
  <si>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</si>
  <si>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</si>
  <si>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</si>
  <si>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</si>
  <si>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</si>
  <si>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</si>
  <si>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</si>
  <si>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</si>
  <si>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</si>
  <si>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</si>
  <si>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</si>
  <si>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</si>
  <si>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</si>
  <si>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</si>
  <si>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</si>
  <si>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</si>
  <si>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</si>
  <si>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</si>
  <si>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</si>
  <si>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</si>
  <si>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</si>
  <si>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</si>
  <si>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</si>
  <si>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</si>
  <si>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</si>
  <si>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</si>
  <si>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</si>
  <si>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</si>
  <si>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</si>
  <si>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</si>
  <si>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</si>
  <si>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</si>
  <si>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</si>
  <si>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</si>
  <si>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</si>
  <si>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</si>
  <si>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</si>
  <si>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</si>
  <si>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</si>
  <si>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</si>
  <si>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</si>
  <si>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</si>
  <si>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</si>
  <si>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</si>
  <si>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</si>
  <si>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</si>
  <si>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</si>
  <si>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</si>
  <si>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</si>
  <si>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</si>
  <si>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</si>
  <si>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</si>
  <si>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</si>
  <si>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</si>
  <si>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</si>
  <si>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</si>
  <si>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</si>
  <si>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</si>
  <si>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</si>
  <si>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</si>
  <si>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</si>
  <si>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</si>
  <si>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</si>
  <si>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</si>
  <si>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</si>
  <si>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</si>
  <si>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</si>
  <si>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</si>
  <si>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</si>
  <si>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</si>
  <si>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</si>
  <si>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</si>
  <si>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</si>
  <si>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</si>
  <si>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</si>
  <si>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</si>
  <si>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</si>
  <si>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</si>
  <si>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</si>
  <si>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</si>
  <si>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</si>
  <si>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</si>
  <si>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</si>
  <si>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</si>
  <si>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</si>
  <si>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</si>
  <si>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</si>
  <si>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</si>
  <si>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</si>
  <si>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</si>
  <si>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</si>
  <si>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</si>
  <si>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</si>
  <si>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</si>
  <si>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</si>
  <si>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</si>
  <si>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</si>
  <si>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</si>
  <si>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</si>
  <si>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</si>
  <si>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</si>
  <si>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</si>
  <si>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</si>
  <si>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</si>
  <si>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</si>
  <si>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</si>
  <si>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</si>
  <si>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</si>
  <si>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</si>
  <si>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</si>
  <si>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</si>
  <si>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</si>
  <si>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</si>
  <si>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</si>
  <si>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</si>
  <si>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</si>
  <si>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</si>
  <si>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</si>
  <si>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</si>
  <si>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</si>
  <si>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</si>
  <si>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</si>
  <si>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</si>
  <si>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</si>
  <si>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</si>
  <si>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</si>
  <si>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</si>
  <si>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</si>
  <si>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</si>
  <si>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</si>
  <si>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</si>
  <si>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</si>
  <si>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</si>
  <si>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</si>
  <si>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</si>
  <si>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</si>
  <si>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</si>
  <si>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</si>
  <si>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</si>
  <si>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</si>
  <si>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</si>
  <si>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</si>
  <si>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</si>
  <si>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</si>
  <si>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</si>
  <si>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</si>
  <si>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</si>
  <si>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</si>
  <si>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</si>
  <si>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</si>
  <si>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</si>
  <si>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</si>
  <si>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</si>
  <si>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</si>
  <si>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</si>
  <si>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</si>
  <si>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</si>
  <si>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</si>
  <si>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</si>
  <si>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</si>
  <si>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</si>
  <si>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</si>
  <si>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</si>
  <si>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</si>
  <si>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</si>
  <si>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</si>
  <si>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</si>
  <si>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</si>
  <si>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</si>
  <si>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</si>
  <si>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</si>
  <si>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</si>
  <si>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</si>
  <si>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</si>
  <si>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</si>
  <si>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</si>
  <si>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</si>
  <si>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</si>
  <si>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</si>
  <si>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</si>
  <si>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</si>
  <si>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</si>
  <si>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</si>
  <si>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</si>
  <si>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</si>
  <si>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</si>
  <si>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</si>
  <si>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</si>
  <si>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</si>
  <si>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</si>
  <si>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</si>
  <si>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</si>
  <si>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</si>
  <si>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</si>
  <si>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</si>
  <si>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</si>
  <si>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</si>
  <si>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</si>
  <si>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</si>
  <si>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</si>
  <si>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</si>
  <si>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</si>
  <si>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</si>
  <si>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</si>
  <si>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</si>
  <si>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</si>
  <si>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</si>
  <si>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</si>
  <si>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</si>
  <si>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</si>
  <si>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</si>
  <si>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</si>
  <si>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</si>
  <si>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</si>
  <si>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</si>
  <si>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</si>
  <si>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</si>
  <si>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</si>
  <si>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</si>
  <si>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</si>
  <si>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</si>
  <si>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</si>
  <si>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</si>
  <si>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</si>
  <si>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</si>
  <si>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</si>
  <si>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</si>
  <si>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</si>
  <si>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</si>
  <si>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</si>
  <si>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</si>
  <si>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</si>
  <si>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</si>
  <si>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</si>
  <si>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</si>
  <si>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</si>
  <si>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</si>
  <si>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</si>
  <si>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</si>
  <si>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</si>
  <si>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</si>
  <si>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</si>
  <si>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</si>
  <si>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</si>
  <si>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</si>
  <si>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</si>
  <si>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</si>
  <si>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</si>
  <si>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</si>
  <si>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</si>
  <si>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</si>
  <si>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</si>
  <si>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</si>
  <si>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</si>
  <si>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</si>
  <si>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</si>
  <si>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</si>
  <si>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</si>
  <si>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</si>
  <si>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</si>
  <si>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</si>
  <si>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</si>
  <si>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</si>
  <si>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</si>
  <si>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</si>
  <si>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</si>
  <si>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</si>
  <si>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</si>
  <si>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</si>
  <si>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</si>
  <si>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</si>
  <si>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</si>
  <si>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</si>
  <si>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</si>
  <si>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</si>
  <si>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</si>
  <si>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</si>
  <si>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</si>
  <si>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</si>
  <si>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</si>
  <si>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</si>
  <si>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</si>
  <si>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</si>
  <si>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</si>
  <si>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</si>
  <si>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</si>
  <si>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</si>
  <si>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</si>
  <si>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</si>
  <si>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</si>
  <si>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</si>
  <si>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</si>
  <si>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</si>
  <si>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</si>
  <si>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</si>
  <si>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</si>
  <si>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</si>
  <si>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</si>
  <si>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</si>
  <si>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</si>
  <si>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</si>
  <si>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</si>
  <si>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</si>
  <si>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</si>
  <si>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</si>
  <si>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</si>
  <si>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</si>
  <si>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</si>
  <si>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</si>
  <si>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</si>
  <si>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</si>
  <si>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</si>
  <si>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</si>
  <si>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</si>
  <si>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</si>
  <si>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</si>
  <si>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</si>
  <si>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</si>
  <si>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</si>
  <si>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</si>
  <si>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</si>
  <si>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</si>
  <si>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</si>
  <si>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</si>
  <si>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</si>
  <si>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</si>
  <si>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</si>
  <si>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</si>
  <si>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</si>
  <si>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</si>
  <si>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</si>
  <si>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</si>
  <si>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</si>
  <si>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</si>
  <si>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</si>
  <si>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</si>
  <si>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</si>
  <si>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</si>
  <si>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</si>
  <si>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</si>
  <si>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</si>
  <si>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</si>
  <si>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</si>
  <si>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</si>
  <si>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</si>
  <si>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</si>
  <si>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</si>
  <si>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</si>
  <si>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</si>
  <si>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</si>
  <si>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</si>
  <si>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</si>
  <si>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</si>
  <si>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</si>
  <si>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</si>
  <si>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</si>
  <si>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</si>
  <si>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</si>
  <si>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</si>
  <si>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</si>
  <si>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</si>
  <si>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</si>
  <si>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</si>
  <si>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</si>
  <si>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</si>
  <si>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</si>
  <si>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</si>
  <si>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</si>
  <si>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</si>
  <si>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</si>
  <si>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</si>
  <si>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</si>
  <si>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</si>
  <si>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</si>
  <si>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</si>
  <si>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</si>
  <si>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</si>
  <si>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</si>
  <si>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</si>
  <si>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</si>
  <si>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</si>
  <si>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</si>
  <si>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</si>
  <si>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</si>
  <si>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</si>
  <si>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</si>
  <si>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</si>
  <si>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</si>
  <si>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</si>
  <si>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</si>
  <si>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</si>
  <si>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</si>
  <si>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</si>
  <si>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</si>
  <si>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</si>
  <si>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</si>
  <si>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</si>
  <si>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</si>
  <si>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</si>
  <si>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</si>
  <si>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</si>
  <si>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</si>
  <si>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</si>
  <si>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</si>
  <si>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</si>
  <si>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</si>
  <si>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</si>
  <si>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</si>
  <si>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</si>
  <si>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</si>
  <si>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</si>
  <si>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</si>
  <si>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</si>
  <si>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</si>
  <si>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</si>
  <si>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</si>
  <si>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</si>
  <si>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</si>
  <si>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</si>
  <si>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</si>
  <si>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</si>
  <si>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</si>
  <si>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</si>
  <si>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</si>
  <si>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</si>
  <si>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</si>
  <si>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</si>
  <si>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</si>
  <si>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</si>
  <si>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</si>
  <si>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</si>
  <si>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</si>
  <si>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</si>
  <si>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</si>
  <si>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</si>
  <si>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</si>
  <si>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</si>
  <si>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</si>
  <si>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</si>
  <si>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</si>
  <si>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</si>
  <si>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</si>
  <si>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</si>
  <si>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</si>
  <si>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</si>
  <si>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</si>
  <si>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</si>
  <si>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</si>
  <si>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</si>
  <si>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</si>
  <si>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</si>
  <si>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</si>
  <si>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</si>
  <si>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</si>
  <si>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</si>
  <si>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</si>
  <si>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</si>
  <si>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</si>
  <si>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</si>
  <si>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</si>
  <si>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</si>
  <si>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</si>
  <si>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</si>
  <si>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</si>
  <si>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</si>
  <si>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</si>
  <si>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</si>
  <si>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</si>
  <si>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</si>
  <si>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</si>
  <si>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</si>
  <si>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</si>
  <si>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</si>
  <si>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</si>
  <si>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</si>
  <si>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</si>
  <si>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</si>
  <si>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</si>
  <si>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</si>
  <si>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</si>
  <si>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</si>
  <si>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</si>
  <si>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</si>
  <si>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</si>
  <si>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</si>
  <si>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</si>
  <si>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</si>
  <si>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</si>
  <si>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</si>
  <si>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</si>
  <si>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</si>
  <si>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</si>
  <si>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</si>
  <si>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</si>
  <si>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煙燻雞飯糰</t>
  </si>
  <si>
    <t>雞腿肉/白飯</t>
  </si>
  <si>
    <t>白飯</t>
  </si>
  <si>
    <t>Smoked Chicken Rice Balls</t>
  </si>
  <si>
    <t>Bird Leg Meat / White Rice</t>
  </si>
  <si>
    <t>Cơm Gà Nắm Hun Khói</t>
  </si>
  <si>
    <t>Đùi Chim / Cơm Trắng</t>
  </si>
  <si>
    <t>Bolinhos de Arroz com Frango Defumado</t>
  </si>
  <si>
    <t>Coxa de Ave/ Arroz Branco</t>
  </si>
  <si>
    <t>雞肉咖哩飯</t>
  </si>
  <si>
    <t>咖哩塊</t>
  </si>
  <si>
    <t>Chicken Curry Rice</t>
  </si>
  <si>
    <t>Cà Ri Gà</t>
  </si>
  <si>
    <t>Arroz com Frango ao Curry</t>
  </si>
  <si>
    <t>烤胡蘿蔔串</t>
  </si>
  <si>
    <t>Grilled Carrot Skewers</t>
  </si>
  <si>
    <t>Cà Rốt Xiên Nướng</t>
  </si>
  <si>
    <t>Espetinhos de cenoura grelhados</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</si>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</sst>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79">
    <font>
      <sz val="10.0"/>
      <color rgb="FF000000"/>
      <name val="Arial"/>
      <scheme val="minor"/>
    </font>
    <font>
      <b/>
      <u/>
      <sz val="12.0"/>
      <color rgb="FF0000FF"/>
      <name val="Microsoft JhengHei"/>
    </font>
    <font>
      <b/>
      <u/>
      <sz val="11.0"/>
      <color rgb="FF0000FF"/>
      <name val="Microsoft JhengHei"/>
    </font>
    <font>
      <sz val="12.0"/>
      <color theme="1"/>
      <name val="Microsoft JhengHei"/>
    </font>
    <font>
      <b/>
      <sz val="12.0"/>
      <color theme="1"/>
      <name val="Microsoft JhengHei"/>
    </font>
    <font>
      <b/>
      <sz val="13.0"/>
      <color theme="1"/>
      <name val="Microsoft JhengHei"/>
    </font>
    <font>
      <b/>
      <sz val="10.0"/>
      <color theme="1"/>
      <name val="Microsoft JhengHei"/>
    </font>
    <font>
      <b/>
      <sz val="13.0"/>
      <color rgb="FF000000"/>
      <name val="Microsoft JhengHei"/>
    </font>
    <font>
      <b/>
      <sz val="11.0"/>
      <color theme="1"/>
      <name val="Microsoft JhengHei"/>
    </font>
    <font>
      <sz val="10.0"/>
      <color theme="1"/>
      <name val="Microsoft JhengHei"/>
    </font>
    <font>
      <color theme="1"/>
      <name val="Microsoft JhengHei"/>
    </font>
    <font>
      <sz val="11.0"/>
      <color theme="1"/>
      <name val="Microsoft JhengHei"/>
    </font>
    <font>
      <u/>
      <sz val="11.0"/>
      <color rgb="FF0000FF"/>
      <name val="Microsoft JhengHei"/>
    </font>
    <font>
      <u/>
      <sz val="12.0"/>
      <color rgb="FF0000FF"/>
      <name val="Microsoft JhengHei"/>
    </font>
    <font>
      <b/>
      <sz val="10.0"/>
      <color rgb="FF0000FF"/>
      <name val="Microsoft JhengHei"/>
    </font>
    <font>
      <sz val="10.0"/>
      <color rgb="FF0000FF"/>
      <name val="Microsoft JhengHei"/>
    </font>
    <font>
      <u/>
      <sz val="11.0"/>
      <color rgb="FF0000FF"/>
      <name val="Microsoft JhengHei"/>
    </font>
    <font>
      <b/>
      <u/>
      <sz val="12.0"/>
      <color rgb="FF0000FF"/>
      <name val="Microsoft JhengHei"/>
    </font>
    <font>
      <b/>
      <sz val="12.0"/>
      <color rgb="FF0000FF"/>
      <name val="Microsoft JhengHei"/>
    </font>
    <font>
      <b/>
      <sz val="12.0"/>
      <color rgb="FFCC0000"/>
      <name val="Microsoft JhengHei"/>
    </font>
    <font>
      <b/>
      <sz val="12.0"/>
      <color rgb="FFFF0000"/>
      <name val="Microsoft JhengHei"/>
    </font>
    <font>
      <b/>
      <sz val="14.0"/>
      <color theme="1"/>
      <name val="Microsoft JhengHei"/>
    </font>
    <font>
      <sz val="12.0"/>
      <color rgb="FF000000"/>
      <name val="Microsoft JhengHei"/>
    </font>
    <font>
      <b/>
      <sz val="8.0"/>
      <color theme="1"/>
      <name val="Microsoft JhengHei"/>
    </font>
    <font>
      <b/>
      <color theme="1"/>
      <name val="Microsoft JhengHei"/>
    </font>
    <font>
      <sz val="11.0"/>
      <color theme="1"/>
      <name val="Arial"/>
    </font>
    <font>
      <color theme="1"/>
      <name val="Arial"/>
    </font>
    <font>
      <i/>
      <color theme="1"/>
      <name val="Microsoft JhengHei"/>
    </font>
    <font>
      <sz val="11.0"/>
      <color theme="1"/>
      <name val="Arial"/>
      <scheme val="minor"/>
    </font>
    <font>
      <b/>
      <sz val="9.0"/>
      <color theme="1"/>
      <name val="Microsoft JhengHei"/>
    </font>
    <font>
      <sz val="9.0"/>
      <color theme="1"/>
      <name val="Microsoft JhengHei"/>
    </font>
    <font>
      <color rgb="FF000000"/>
      <name val="Microsoft JhengHei"/>
    </font>
    <font>
      <sz val="8.0"/>
      <color theme="1"/>
      <name val="Microsoft JhengHei"/>
    </font>
    <font>
      <b/>
      <u/>
      <sz val="14.0"/>
      <color rgb="FF0000FF"/>
      <name val="Microsoft JhengHei"/>
    </font>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sz val="10.0"/>
      <color rgb="FF000000"/>
      <name val="Microsoft JhengHei"/>
    </font>
    <font>
      <u/>
      <color rgb="FF000000"/>
      <name val="Microsoft JhengHei"/>
    </font>
    <font>
      <u/>
      <sz val="10.0"/>
      <color rgb="FF000000"/>
      <name val="Microsoft JhengHei"/>
    </font>
    <font>
      <u/>
      <sz val="10.0"/>
      <color rgb="FF000000"/>
      <name val="Microsoft JhengHei"/>
    </font>
    <font>
      <u/>
      <color rgb="FF1155CC"/>
      <name val="Microsoft JhengHei"/>
    </font>
    <font>
      <u/>
      <sz val="8.0"/>
      <color rgb="FF0000FF"/>
      <name val="Microsoft JhengHei"/>
    </font>
    <font>
      <u/>
      <color rgb="FF0000FF"/>
      <name val="Microsoft JhengHei"/>
    </font>
    <font>
      <u/>
      <color rgb="FF0000FF"/>
      <name val="Microsoft JhengHei"/>
    </font>
    <font>
      <color rgb="FF0000FF"/>
      <name val="Microsoft JhengHei"/>
    </font>
    <font>
      <sz val="14.0"/>
      <color theme="1"/>
      <name val="Microsoft JhengHei"/>
    </font>
    <font>
      <color theme="1"/>
      <name val="Arial"/>
      <scheme val="minor"/>
    </font>
    <font>
      <b/>
      <sz val="14.0"/>
      <color theme="1"/>
      <name val="Arial"/>
      <scheme val="minor"/>
    </font>
    <font>
      <b/>
      <color theme="1"/>
      <name val="Arial"/>
      <scheme val="minor"/>
    </font>
    <font>
      <strike/>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EA9999"/>
        <bgColor rgb="FFEA9999"/>
      </patternFill>
    </fill>
    <fill>
      <patternFill patternType="solid">
        <fgColor rgb="FFEAD1DC"/>
        <bgColor rgb="FFEAD1DC"/>
      </patternFill>
    </fill>
    <fill>
      <patternFill patternType="solid">
        <fgColor rgb="FFFFF2CC"/>
        <bgColor rgb="FFFFF2CC"/>
      </patternFill>
    </fill>
    <fill>
      <patternFill patternType="solid">
        <fgColor rgb="FFF6B26B"/>
        <bgColor rgb="FFF6B26B"/>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6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0" fontId="4" numFmtId="0" xfId="0" applyAlignment="1" applyFont="1">
      <alignment horizontal="left" shrinkToFit="0" vertical="center" wrapText="1"/>
    </xf>
    <xf borderId="0" fillId="4" fontId="5" numFmtId="0" xfId="0" applyAlignment="1" applyFill="1" applyFont="1">
      <alignment horizontal="left" readingOrder="0" shrinkToFit="0" vertical="center" wrapText="1"/>
    </xf>
    <xf borderId="0" fillId="4" fontId="6" numFmtId="0" xfId="0" applyAlignment="1" applyFont="1">
      <alignment horizontal="left" readingOrder="0" shrinkToFit="0" vertical="center" wrapText="1"/>
    </xf>
    <xf borderId="0" fillId="4" fontId="7" numFmtId="0" xfId="0" applyAlignment="1" applyFont="1">
      <alignment horizontal="left" readingOrder="0" shrinkToFit="0" vertical="center" wrapText="1"/>
    </xf>
    <xf borderId="0" fillId="4" fontId="6" numFmtId="0" xfId="0" applyAlignment="1" applyFont="1">
      <alignment horizontal="left" readingOrder="0" shrinkToFit="0" vertical="center" wrapText="1"/>
    </xf>
    <xf borderId="0" fillId="5" fontId="4" numFmtId="0" xfId="0" applyAlignment="1" applyFill="1" applyFont="1">
      <alignment horizontal="left" readingOrder="0" shrinkToFit="0" vertical="center" wrapText="1"/>
    </xf>
    <xf borderId="0" fillId="5" fontId="4" numFmtId="0" xfId="0" applyAlignment="1" applyFont="1">
      <alignment horizontal="left" readingOrder="0" shrinkToFit="0" vertical="center" wrapText="1"/>
    </xf>
    <xf borderId="0" fillId="5" fontId="4" numFmtId="0" xfId="0" applyAlignment="1" applyFont="1">
      <alignment horizontal="left" shrinkToFit="0" vertical="center" wrapText="1"/>
    </xf>
    <xf borderId="0" fillId="5" fontId="4"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9"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horizontal="left" shrinkToFit="0" vertical="center" wrapText="1"/>
    </xf>
    <xf borderId="0" fillId="3" fontId="4" numFmtId="0" xfId="0" applyAlignment="1" applyFont="1">
      <alignment horizontal="left" readingOrder="0" shrinkToFit="0" vertical="center" wrapText="1"/>
    </xf>
    <xf borderId="0" fillId="3" fontId="8" numFmtId="0" xfId="0" applyAlignment="1" applyFont="1">
      <alignment horizontal="left" readingOrder="0" shrinkToFit="0" vertical="center" wrapText="1"/>
    </xf>
    <xf borderId="0" fillId="6" fontId="4" numFmtId="0" xfId="0" applyAlignment="1" applyFill="1" applyFont="1">
      <alignment horizontal="left"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6" fontId="4" numFmtId="0" xfId="0" applyAlignment="1" applyFont="1">
      <alignment horizontal="left" shrinkToFit="0" vertical="center" wrapText="1"/>
    </xf>
    <xf borderId="0" fillId="6" fontId="8" numFmtId="0" xfId="0" applyAlignment="1" applyFont="1">
      <alignment horizontal="left" readingOrder="0" shrinkToFit="0" vertical="center" wrapText="1"/>
    </xf>
    <xf borderId="0" fillId="7" fontId="4" numFmtId="0" xfId="0" applyAlignment="1" applyFill="1" applyFont="1">
      <alignment horizontal="center" readingOrder="0" shrinkToFit="0" vertical="center" wrapText="1"/>
    </xf>
    <xf borderId="0" fillId="7" fontId="6" numFmtId="0" xfId="0" applyAlignment="1" applyFont="1">
      <alignment horizontal="left" readingOrder="0" shrinkToFit="0" vertical="center" wrapText="1"/>
    </xf>
    <xf borderId="0" fillId="7" fontId="9" numFmtId="0" xfId="0" applyAlignment="1" applyFont="1">
      <alignment horizontal="left" readingOrder="0" shrinkToFit="0" vertical="center" wrapText="1"/>
    </xf>
    <xf borderId="0" fillId="7" fontId="10" numFmtId="0" xfId="0" applyAlignment="1" applyFont="1">
      <alignment vertical="center"/>
    </xf>
    <xf borderId="0" fillId="7" fontId="11" numFmtId="0" xfId="0" applyAlignment="1" applyFont="1">
      <alignment horizontal="left" readingOrder="0" shrinkToFit="0" vertical="center" wrapText="1"/>
    </xf>
    <xf borderId="0" fillId="0" fontId="10" numFmtId="0" xfId="0" applyAlignment="1" applyFont="1">
      <alignment horizontal="center" shrinkToFit="0" vertical="center" wrapText="1"/>
    </xf>
    <xf borderId="0" fillId="2" fontId="4" numFmtId="0" xfId="0" applyAlignment="1" applyFont="1">
      <alignment horizontal="left" readingOrder="0" shrinkToFit="0" vertical="center" wrapText="1"/>
    </xf>
    <xf borderId="0" fillId="2" fontId="4"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2" numFmtId="0" xfId="0" applyAlignment="1" applyFont="1">
      <alignment shrinkToFit="0" vertical="center" wrapText="1"/>
    </xf>
    <xf borderId="0" fillId="2" fontId="11"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2" fontId="14" numFmtId="0" xfId="0" applyAlignment="1" applyFont="1">
      <alignment horizontal="left" readingOrder="0"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left" shrinkToFit="0" vertical="center" wrapText="1"/>
    </xf>
    <xf borderId="0" fillId="8" fontId="17" numFmtId="0" xfId="0" applyAlignment="1" applyFill="1" applyFont="1">
      <alignment horizontal="left" readingOrder="0" shrinkToFit="0" vertical="center" wrapText="1"/>
    </xf>
    <xf borderId="0" fillId="2" fontId="18"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7" fontId="4" numFmtId="0" xfId="0" applyAlignment="1" applyFont="1">
      <alignment horizontal="left" readingOrder="0" shrinkToFit="0" vertical="center" wrapText="1"/>
    </xf>
    <xf borderId="0" fillId="7" fontId="4" numFmtId="0" xfId="0" applyAlignment="1" applyFont="1">
      <alignment horizontal="left" shrinkToFit="0" vertical="center" wrapText="1"/>
    </xf>
    <xf borderId="0" fillId="7" fontId="3" numFmtId="0" xfId="0" applyAlignment="1" applyFont="1">
      <alignment horizontal="left" readingOrder="0" shrinkToFit="0" vertical="center" wrapText="1"/>
    </xf>
    <xf borderId="0" fillId="7" fontId="3" numFmtId="0" xfId="0" applyAlignment="1" applyFont="1">
      <alignment readingOrder="0" shrinkToFit="0" vertical="center" wrapText="1"/>
    </xf>
    <xf borderId="0" fillId="7" fontId="4" numFmtId="0" xfId="0" applyAlignment="1" applyFont="1">
      <alignment horizontal="left" readingOrder="0" shrinkToFit="0" vertical="center" wrapText="1"/>
    </xf>
    <xf borderId="0" fillId="7" fontId="4" numFmtId="0" xfId="0" applyAlignment="1" applyFont="1">
      <alignment horizontal="left" shrinkToFit="0" vertical="center" wrapText="1"/>
    </xf>
    <xf borderId="0" fillId="7" fontId="19" numFmtId="0" xfId="0" applyAlignment="1" applyFont="1">
      <alignment horizontal="left" readingOrder="0" shrinkToFit="0" vertical="center" wrapText="1"/>
    </xf>
    <xf borderId="0" fillId="7" fontId="10" numFmtId="0" xfId="0" applyAlignment="1" applyFont="1">
      <alignment horizontal="center" shrinkToFit="0" vertical="center" wrapText="1"/>
    </xf>
    <xf borderId="0" fillId="7" fontId="18" numFmtId="0" xfId="0" applyAlignment="1" applyFont="1">
      <alignment horizontal="center" readingOrder="0" shrinkToFit="0" vertical="center" wrapText="1"/>
    </xf>
    <xf borderId="0" fillId="7" fontId="4" numFmtId="0" xfId="0" applyAlignment="1" applyFont="1">
      <alignment horizontal="center" shrinkToFit="0" vertical="center" wrapText="1"/>
    </xf>
    <xf borderId="0" fillId="7" fontId="18" numFmtId="0" xfId="0" applyAlignment="1" applyFont="1">
      <alignment horizontal="left" readingOrder="0" shrinkToFit="0" vertical="center" wrapText="1"/>
    </xf>
    <xf borderId="0" fillId="7" fontId="10" numFmtId="0" xfId="0" applyAlignment="1" applyFont="1">
      <alignment vertical="center"/>
    </xf>
    <xf borderId="0" fillId="7" fontId="4" numFmtId="0" xfId="0" applyAlignment="1" applyFont="1">
      <alignment horizontal="left" readingOrder="0" shrinkToFit="0" vertical="center" wrapText="1"/>
    </xf>
    <xf borderId="0" fillId="7" fontId="20" numFmtId="0" xfId="0" applyAlignment="1" applyFont="1">
      <alignment horizontal="left" readingOrder="0" shrinkToFit="0" vertical="center" wrapText="1"/>
    </xf>
    <xf borderId="0" fillId="9" fontId="4" numFmtId="0" xfId="0" applyAlignment="1" applyFill="1" applyFont="1">
      <alignment horizontal="center" readingOrder="0" shrinkToFit="0" vertical="center" wrapText="1"/>
    </xf>
    <xf borderId="0" fillId="9" fontId="4" numFmtId="0" xfId="0" applyAlignment="1" applyFont="1">
      <alignment horizontal="center" shrinkToFit="0" vertical="center" wrapText="1"/>
    </xf>
    <xf borderId="0" fillId="9" fontId="21" numFmtId="0" xfId="0" applyAlignment="1" applyFont="1">
      <alignment horizontal="center" readingOrder="0" shrinkToFit="0" vertical="center" wrapText="1"/>
    </xf>
    <xf borderId="0" fillId="9" fontId="4" numFmtId="0" xfId="0" applyAlignment="1" applyFont="1">
      <alignment horizontal="center" shrinkToFit="0" vertical="center" wrapText="1"/>
    </xf>
    <xf borderId="0" fillId="9" fontId="4" numFmtId="0" xfId="0" applyAlignment="1" applyFont="1">
      <alignment horizontal="left" readingOrder="0" shrinkToFit="0" vertical="center" wrapText="1"/>
    </xf>
    <xf borderId="0" fillId="7" fontId="3" numFmtId="0" xfId="0" applyAlignment="1" applyFont="1">
      <alignment horizontal="left" readingOrder="0" shrinkToFit="0" vertical="center" wrapText="1"/>
    </xf>
    <xf borderId="0" fillId="7" fontId="3" numFmtId="0" xfId="0" applyAlignment="1" applyFont="1">
      <alignment horizontal="left" shrinkToFit="0" vertical="center" wrapText="1"/>
    </xf>
    <xf borderId="0" fillId="0" fontId="10" numFmtId="0" xfId="0" applyAlignment="1" applyFont="1">
      <alignment horizontal="left" shrinkToFit="0" vertical="center" wrapText="1"/>
    </xf>
    <xf borderId="0" fillId="7" fontId="10" numFmtId="0" xfId="0" applyAlignment="1" applyFont="1">
      <alignment readingOrder="0" shrinkToFit="0" vertical="center" wrapText="1"/>
    </xf>
    <xf borderId="0" fillId="7" fontId="10" numFmtId="0" xfId="0" applyAlignment="1" applyFont="1">
      <alignment shrinkToFit="0" vertical="center" wrapText="1"/>
    </xf>
    <xf borderId="0" fillId="7" fontId="22" numFmtId="0" xfId="0" applyAlignment="1" applyFont="1">
      <alignment horizontal="left" readingOrder="0" shrinkToFit="0" vertical="center" wrapText="1"/>
    </xf>
    <xf borderId="0" fillId="7" fontId="10" numFmtId="0" xfId="0" applyAlignment="1" applyFont="1">
      <alignment horizontal="left" readingOrder="0" shrinkToFit="0" vertical="center" wrapText="1"/>
    </xf>
    <xf borderId="0" fillId="7" fontId="22" numFmtId="0" xfId="0" applyAlignment="1" applyFont="1">
      <alignment horizontal="left" readingOrder="0" shrinkToFit="0" vertical="center" wrapText="1"/>
    </xf>
    <xf borderId="0" fillId="7" fontId="10" numFmtId="0" xfId="0" applyAlignment="1" applyFont="1">
      <alignment horizontal="left" shrinkToFit="0" vertical="center" wrapText="1"/>
    </xf>
    <xf borderId="0" fillId="10" fontId="23" numFmtId="0" xfId="0" applyAlignment="1" applyFill="1" applyFont="1">
      <alignment horizontal="center" readingOrder="0" shrinkToFit="0" vertical="center" wrapText="1"/>
    </xf>
    <xf borderId="0" fillId="10" fontId="23" numFmtId="0" xfId="0" applyAlignment="1" applyFont="1">
      <alignment horizontal="center" shrinkToFit="0" vertical="center" wrapText="1"/>
    </xf>
    <xf borderId="0" fillId="10" fontId="10" numFmtId="0" xfId="0" applyAlignment="1" applyFont="1">
      <alignment horizontal="center" shrinkToFit="0" vertical="center" wrapText="1"/>
    </xf>
    <xf borderId="0" fillId="10" fontId="10" numFmtId="0" xfId="0" applyAlignment="1" applyFont="1">
      <alignment horizontal="center" readingOrder="0" shrinkToFit="0" vertical="center" wrapText="1"/>
    </xf>
    <xf borderId="0" fillId="10" fontId="6" numFmtId="0" xfId="0" applyAlignment="1" applyFont="1">
      <alignment horizontal="center" readingOrder="0" shrinkToFit="0" vertical="center" wrapText="1"/>
    </xf>
    <xf borderId="0" fillId="6"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1" fontId="21" numFmtId="0" xfId="0" applyAlignment="1" applyFill="1" applyFont="1">
      <alignment horizontal="center" shrinkToFit="0" vertical="center" wrapText="1"/>
    </xf>
    <xf borderId="0" fillId="7" fontId="21" numFmtId="0" xfId="0" applyAlignment="1" applyFont="1">
      <alignment horizontal="center" shrinkToFit="0" vertical="center" wrapText="1"/>
    </xf>
    <xf borderId="0" fillId="6"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1" fontId="21" numFmtId="0" xfId="0" applyAlignment="1" applyFont="1">
      <alignment horizontal="center" shrinkToFit="0" vertical="center" wrapText="1"/>
    </xf>
    <xf borderId="0" fillId="7" fontId="21" numFmtId="0" xfId="0" applyAlignment="1" applyFont="1">
      <alignment horizontal="center" shrinkToFit="0" vertical="center" wrapText="1"/>
    </xf>
    <xf borderId="0" fillId="3" fontId="21" numFmtId="0" xfId="0" applyAlignment="1" applyFont="1">
      <alignment horizontal="center" readingOrder="0" shrinkToFit="0" vertical="center" wrapText="1"/>
    </xf>
    <xf borderId="0" fillId="11" fontId="21" numFmtId="0" xfId="0" applyAlignment="1" applyFont="1">
      <alignment horizontal="center" readingOrder="0" shrinkToFit="0" vertical="center" wrapText="1"/>
    </xf>
    <xf borderId="0" fillId="7" fontId="21" numFmtId="0" xfId="0" applyAlignment="1" applyFont="1">
      <alignment horizontal="center" readingOrder="0" shrinkToFit="0" vertical="center" wrapText="1"/>
    </xf>
    <xf borderId="0" fillId="6" fontId="3" numFmtId="0" xfId="0" applyAlignment="1" applyFont="1">
      <alignment horizontal="center" shrinkToFit="0" vertical="center" wrapText="1"/>
    </xf>
    <xf borderId="0" fillId="3" fontId="24" numFmtId="0" xfId="0" applyAlignment="1" applyFont="1">
      <alignment horizontal="center" shrinkToFit="0" vertical="center" wrapText="1"/>
    </xf>
    <xf borderId="0" fillId="11" fontId="24" numFmtId="0" xfId="0" applyAlignment="1" applyFont="1">
      <alignment horizontal="center" shrinkToFit="0" vertical="center" wrapText="1"/>
    </xf>
    <xf borderId="0" fillId="7" fontId="24"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shrinkToFit="0" vertical="center" wrapText="1"/>
    </xf>
    <xf borderId="0" fillId="8" fontId="4" numFmtId="0" xfId="0" applyAlignment="1" applyFont="1">
      <alignment horizontal="center" readingOrder="0" shrinkToFit="0" vertical="center" wrapText="1"/>
    </xf>
    <xf borderId="0" fillId="8" fontId="4" numFmtId="0" xfId="0" applyAlignment="1" applyFont="1">
      <alignment horizontal="center" shrinkToFit="0" vertical="center" wrapText="1"/>
    </xf>
    <xf borderId="0" fillId="8" fontId="10" numFmtId="0" xfId="0" applyAlignment="1" applyFont="1">
      <alignment horizontal="center" shrinkToFit="0" vertical="center" wrapText="1"/>
    </xf>
    <xf borderId="0" fillId="6" fontId="24" numFmtId="0" xfId="0" applyAlignment="1" applyFont="1">
      <alignment horizontal="center" shrinkToFit="0" vertical="center" wrapText="1"/>
    </xf>
    <xf borderId="0" fillId="3" fontId="10" numFmtId="0" xfId="0" applyAlignment="1" applyFont="1">
      <alignment horizontal="left" shrinkToFit="0" vertical="center" wrapText="1"/>
    </xf>
    <xf borderId="0" fillId="11" fontId="10" numFmtId="0" xfId="0" applyAlignment="1" applyFont="1">
      <alignment horizontal="left" shrinkToFit="0" vertical="center" wrapText="1"/>
    </xf>
    <xf borderId="0" fillId="7" fontId="10" numFmtId="0" xfId="0" applyAlignment="1" applyFont="1">
      <alignment horizontal="left" shrinkToFit="0" vertical="center" wrapText="1"/>
    </xf>
    <xf borderId="0" fillId="3" fontId="10" numFmtId="0" xfId="0" applyAlignment="1" applyFont="1">
      <alignment horizontal="left" shrinkToFit="0" vertical="center" wrapText="1"/>
    </xf>
    <xf borderId="0" fillId="11" fontId="10" numFmtId="0" xfId="0" applyAlignment="1" applyFont="1">
      <alignment horizontal="left" shrinkToFit="0" vertical="center" wrapText="1"/>
    </xf>
    <xf borderId="0" fillId="3" fontId="3" numFmtId="0" xfId="0" applyAlignment="1" applyFont="1">
      <alignment horizontal="left" shrinkToFit="0" vertical="center" wrapText="1"/>
    </xf>
    <xf borderId="0" fillId="11" fontId="3" numFmtId="0" xfId="0" applyAlignment="1" applyFont="1">
      <alignment horizontal="left" readingOrder="0" shrinkToFit="0" vertical="center" wrapText="1"/>
    </xf>
    <xf borderId="0" fillId="3" fontId="10" numFmtId="0" xfId="0" applyAlignment="1" applyFont="1">
      <alignment horizontal="center" shrinkToFit="0" vertical="center" wrapText="1"/>
    </xf>
    <xf borderId="0" fillId="3" fontId="10" numFmtId="0" xfId="0" applyAlignment="1" applyFont="1">
      <alignment shrinkToFit="0" vertical="center" wrapText="1"/>
    </xf>
    <xf borderId="0" fillId="11" fontId="10" numFmtId="0" xfId="0" applyAlignment="1" applyFont="1">
      <alignment shrinkToFit="0" vertical="center" wrapText="1"/>
    </xf>
    <xf borderId="0" fillId="11" fontId="10" numFmtId="0" xfId="0" applyAlignment="1" applyFont="1">
      <alignment horizontal="left" readingOrder="0" shrinkToFit="0" vertical="center" wrapText="1"/>
    </xf>
    <xf quotePrefix="1" borderId="0" fillId="7" fontId="10" numFmtId="0" xfId="0" applyAlignment="1" applyFont="1">
      <alignment horizontal="left" readingOrder="0" shrinkToFit="0" vertical="center" wrapText="1"/>
    </xf>
    <xf borderId="0" fillId="7" fontId="3" numFmtId="0" xfId="0" applyAlignment="1" applyFont="1">
      <alignment horizontal="left" shrinkToFit="0" vertical="center" wrapText="1"/>
    </xf>
    <xf borderId="0" fillId="3" fontId="10"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11" fontId="3" numFmtId="0" xfId="0" applyAlignment="1" applyFont="1">
      <alignment horizontal="left" shrinkToFit="0" vertical="center" wrapText="1"/>
    </xf>
    <xf borderId="0" fillId="11" fontId="10" numFmtId="0" xfId="0" applyAlignment="1" applyFont="1">
      <alignment readingOrder="0" shrinkToFit="0" vertical="center" wrapText="1"/>
    </xf>
    <xf borderId="0" fillId="3" fontId="3" numFmtId="0" xfId="0" applyAlignment="1" applyFont="1">
      <alignment horizontal="left" shrinkToFit="0" vertical="center" wrapText="1"/>
    </xf>
    <xf borderId="0" fillId="11" fontId="3" numFmtId="0" xfId="0" applyAlignment="1" applyFont="1">
      <alignment horizontal="left" shrinkToFit="0" vertical="center" wrapText="1"/>
    </xf>
    <xf borderId="0" fillId="3" fontId="10" numFmtId="0" xfId="0" applyAlignment="1" applyFont="1">
      <alignment horizontal="center" readingOrder="0" shrinkToFit="0" vertical="center" wrapText="1"/>
    </xf>
    <xf borderId="0" fillId="7" fontId="9"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6" fontId="24" numFmtId="0" xfId="0" applyAlignment="1" applyFont="1">
      <alignment horizontal="center" readingOrder="0" shrinkToFit="0" vertical="center" wrapText="1"/>
    </xf>
    <xf borderId="0" fillId="11" fontId="10" numFmtId="0" xfId="0" applyAlignment="1" applyFont="1">
      <alignment horizontal="center" shrinkToFit="0" vertical="center" wrapText="1"/>
    </xf>
    <xf borderId="0" fillId="11" fontId="10" numFmtId="0" xfId="0" applyAlignment="1" applyFont="1">
      <alignment shrinkToFit="0" vertical="center" wrapText="1"/>
    </xf>
    <xf borderId="0" fillId="7" fontId="10" numFmtId="0" xfId="0" applyAlignment="1" applyFont="1">
      <alignment shrinkToFit="0" vertical="center" wrapText="1"/>
    </xf>
    <xf borderId="0" fillId="3" fontId="10" numFmtId="0" xfId="0" applyAlignment="1" applyFont="1">
      <alignment shrinkToFit="0" vertical="center" wrapText="1"/>
    </xf>
    <xf borderId="0" fillId="3" fontId="3" numFmtId="0" xfId="0" applyAlignment="1" applyFont="1">
      <alignment shrinkToFit="0" vertical="center" wrapText="1"/>
    </xf>
    <xf borderId="0" fillId="11" fontId="3" numFmtId="0" xfId="0" applyAlignment="1" applyFont="1">
      <alignment shrinkToFit="0" vertical="center" wrapText="1"/>
    </xf>
    <xf borderId="0" fillId="7" fontId="3" numFmtId="0" xfId="0" applyAlignment="1" applyFont="1">
      <alignment shrinkToFit="0" vertical="center" wrapText="1"/>
    </xf>
    <xf borderId="0" fillId="3" fontId="11" numFmtId="0" xfId="0" applyAlignment="1" applyFont="1">
      <alignment horizontal="center" shrinkToFit="0" vertical="center" wrapText="1"/>
    </xf>
    <xf borderId="0" fillId="11" fontId="11" numFmtId="0" xfId="0" applyAlignment="1" applyFont="1">
      <alignment horizontal="center" shrinkToFit="0" vertical="center" wrapText="1"/>
    </xf>
    <xf borderId="0" fillId="7" fontId="11" numFmtId="0" xfId="0" applyAlignment="1" applyFont="1">
      <alignment horizontal="center" shrinkToFit="0" vertical="center" wrapText="1"/>
    </xf>
    <xf borderId="0" fillId="3" fontId="10" numFmtId="0" xfId="0" applyAlignment="1" applyFont="1">
      <alignment readingOrder="0" shrinkToFit="0" vertical="center" wrapText="1"/>
    </xf>
    <xf borderId="0" fillId="3" fontId="3" numFmtId="0" xfId="0" applyAlignment="1" applyFont="1">
      <alignment readingOrder="0" shrinkToFit="0" vertical="center" wrapText="1"/>
    </xf>
    <xf borderId="0" fillId="11" fontId="3" numFmtId="0" xfId="0" applyAlignment="1" applyFont="1">
      <alignment readingOrder="0" shrinkToFit="0" vertical="center" wrapText="1"/>
    </xf>
    <xf borderId="0" fillId="11" fontId="10" numFmtId="0" xfId="0" applyAlignment="1" applyFont="1">
      <alignment horizontal="center" readingOrder="0" shrinkToFit="0" vertical="center" wrapText="1"/>
    </xf>
    <xf borderId="0" fillId="7" fontId="10" numFmtId="0" xfId="0" applyAlignment="1" applyFont="1">
      <alignment horizontal="center" readingOrder="0" shrinkToFit="0" vertical="center" wrapText="1"/>
    </xf>
    <xf borderId="0" fillId="6" fontId="24" numFmtId="0" xfId="0" applyAlignment="1" applyFont="1">
      <alignment horizontal="center" shrinkToFit="0" vertical="center" wrapText="1"/>
    </xf>
    <xf borderId="0" fillId="3" fontId="10" numFmtId="0" xfId="0" applyAlignment="1" applyFont="1">
      <alignment horizontal="center" shrinkToFit="0" vertical="center" wrapText="1"/>
    </xf>
    <xf borderId="0" fillId="8" fontId="4" numFmtId="0" xfId="0" applyAlignment="1" applyFont="1">
      <alignment horizontal="center" shrinkToFit="0" vertical="center" wrapText="1"/>
    </xf>
    <xf borderId="0" fillId="8" fontId="10" numFmtId="0" xfId="0" applyAlignment="1" applyFont="1">
      <alignment shrinkToFit="0" vertical="center" wrapText="1"/>
    </xf>
    <xf borderId="0" fillId="11" fontId="10" numFmtId="0" xfId="0" applyAlignment="1" applyFont="1">
      <alignment horizontal="center" shrinkToFit="0" vertical="center" wrapText="1"/>
    </xf>
    <xf borderId="0" fillId="7" fontId="10" numFmtId="0" xfId="0" applyAlignment="1" applyFont="1">
      <alignment horizontal="center" shrinkToFit="0" vertical="center" wrapText="1"/>
    </xf>
    <xf borderId="0" fillId="3" fontId="11" numFmtId="0" xfId="0" applyAlignment="1" applyFont="1">
      <alignment horizontal="center" shrinkToFit="0" vertical="center" wrapText="1"/>
    </xf>
    <xf borderId="0" fillId="7" fontId="11" numFmtId="0" xfId="0" applyAlignment="1" applyFont="1">
      <alignment horizontal="center" shrinkToFit="0" vertical="center" wrapText="1"/>
    </xf>
    <xf borderId="0" fillId="7" fontId="11" numFmtId="0" xfId="0" applyAlignment="1" applyFont="1">
      <alignment horizontal="center" readingOrder="0" shrinkToFit="0" vertical="center" wrapText="1"/>
    </xf>
    <xf borderId="0" fillId="11" fontId="11" numFmtId="0" xfId="0" applyAlignment="1" applyFont="1">
      <alignment horizontal="center" readingOrder="0" shrinkToFit="0" vertical="center" wrapText="1"/>
    </xf>
    <xf borderId="0" fillId="12" fontId="10" numFmtId="0" xfId="0" applyAlignment="1" applyFill="1" applyFont="1">
      <alignment horizontal="left" shrinkToFit="0" vertical="center" wrapText="1"/>
    </xf>
    <xf borderId="0" fillId="13" fontId="10" numFmtId="0" xfId="0" applyAlignment="1" applyFill="1" applyFont="1">
      <alignment horizontal="center" shrinkToFit="0" vertical="center" wrapText="1"/>
    </xf>
    <xf borderId="0" fillId="14" fontId="10" numFmtId="0" xfId="0" applyAlignment="1" applyFill="1" applyFont="1">
      <alignment horizontal="left" shrinkToFit="0" vertical="center" wrapText="1"/>
    </xf>
    <xf borderId="0" fillId="13" fontId="10" numFmtId="0" xfId="0" applyAlignment="1" applyFont="1">
      <alignment horizontal="left" shrinkToFit="0" vertical="center" wrapText="1"/>
    </xf>
    <xf borderId="0" fillId="0" fontId="24" numFmtId="0" xfId="0" applyAlignment="1" applyFont="1">
      <alignment horizontal="left" shrinkToFit="0" vertical="center" wrapText="1"/>
    </xf>
    <xf borderId="0" fillId="0" fontId="9" numFmtId="0" xfId="0" applyAlignment="1" applyFont="1">
      <alignment horizontal="left" shrinkToFit="0" vertical="center" wrapText="1"/>
    </xf>
    <xf borderId="0" fillId="6" fontId="21" numFmtId="0" xfId="0" applyAlignment="1" applyFont="1">
      <alignment horizontal="center" readingOrder="0" shrinkToFit="0" vertical="center" wrapText="1"/>
    </xf>
    <xf borderId="0" fillId="7" fontId="21" numFmtId="0" xfId="0" applyAlignment="1" applyFont="1">
      <alignment horizontal="left" shrinkToFit="0" vertical="center" wrapText="1"/>
    </xf>
    <xf borderId="0" fillId="11" fontId="4" numFmtId="0" xfId="0" applyAlignment="1" applyFont="1">
      <alignment horizontal="center" shrinkToFit="0" vertical="center" wrapText="1"/>
    </xf>
    <xf borderId="0" fillId="11" fontId="4" numFmtId="0" xfId="0" applyAlignment="1" applyFont="1">
      <alignment horizontal="center" readingOrder="0" shrinkToFit="0" vertical="center" wrapText="1"/>
    </xf>
    <xf borderId="0" fillId="6" fontId="4" numFmtId="0" xfId="0" applyAlignment="1" applyFont="1">
      <alignment horizontal="center" shrinkToFit="0" vertical="center" wrapText="1"/>
    </xf>
    <xf borderId="0" fillId="3" fontId="4" numFmtId="0" xfId="0" applyAlignment="1" applyFont="1">
      <alignment horizontal="center" shrinkToFit="0" vertical="center" wrapText="1"/>
    </xf>
    <xf borderId="0" fillId="15" fontId="4" numFmtId="0" xfId="0" applyAlignment="1" applyFill="1" applyFont="1">
      <alignment horizontal="center" shrinkToFit="0" vertical="center" wrapText="1"/>
    </xf>
    <xf borderId="0" fillId="7" fontId="4" numFmtId="0" xfId="0" applyAlignment="1" applyFont="1">
      <alignment horizontal="center" shrinkToFit="0" vertical="center" wrapText="1"/>
    </xf>
    <xf borderId="0" fillId="6" fontId="10" numFmtId="0" xfId="0" applyAlignment="1" applyFont="1">
      <alignment horizontal="center" shrinkToFit="0" vertical="center" wrapText="1"/>
    </xf>
    <xf borderId="0" fillId="11" fontId="9" numFmtId="0" xfId="0" applyAlignment="1" applyFont="1">
      <alignment horizontal="left" shrinkToFit="0" vertical="center" wrapText="1"/>
    </xf>
    <xf borderId="0" fillId="6" fontId="9" numFmtId="0" xfId="0" applyAlignment="1" applyFont="1">
      <alignment horizontal="left" shrinkToFit="0" vertical="center" wrapText="1"/>
    </xf>
    <xf borderId="0" fillId="11" fontId="9" numFmtId="0" xfId="0" applyAlignment="1" applyFont="1">
      <alignment horizontal="left" readingOrder="0" shrinkToFit="0" vertical="center" wrapText="1"/>
    </xf>
    <xf borderId="0" fillId="15" fontId="10" numFmtId="0" xfId="0" applyAlignment="1" applyFont="1">
      <alignment shrinkToFit="0" vertical="center" wrapText="1"/>
    </xf>
    <xf borderId="0" fillId="15" fontId="10" numFmtId="0" xfId="0" applyAlignment="1" applyFont="1">
      <alignment horizontal="center" readingOrder="0" shrinkToFit="0" vertical="center" wrapText="1"/>
    </xf>
    <xf borderId="0" fillId="7" fontId="3" numFmtId="0" xfId="0" applyAlignment="1" applyFont="1">
      <alignment horizontal="center" shrinkToFit="0" vertical="center" wrapText="1"/>
    </xf>
    <xf borderId="0" fillId="15" fontId="10" numFmtId="0" xfId="0" applyAlignment="1" applyFont="1">
      <alignment readingOrder="0" shrinkToFit="0" vertical="center" wrapText="1"/>
    </xf>
    <xf borderId="0" fillId="3" fontId="25" numFmtId="0" xfId="0" applyAlignment="1" applyFont="1">
      <alignment horizontal="center" shrinkToFit="0" vertical="center" wrapText="1"/>
    </xf>
    <xf borderId="0" fillId="15" fontId="25" numFmtId="0" xfId="0" applyAlignment="1" applyFont="1">
      <alignment horizontal="center" shrinkToFit="0" vertical="center" wrapText="1"/>
    </xf>
    <xf borderId="0" fillId="7" fontId="25" numFmtId="0" xfId="0" applyAlignment="1" applyFont="1">
      <alignment horizontal="center" shrinkToFit="0" vertical="center" wrapText="1"/>
    </xf>
    <xf borderId="0" fillId="7" fontId="26" numFmtId="0" xfId="0" applyAlignment="1" applyFont="1">
      <alignment vertical="center"/>
    </xf>
    <xf borderId="0" fillId="6" fontId="10"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15" fontId="10" numFmtId="0" xfId="0" applyAlignment="1" applyFont="1">
      <alignment horizontal="center" shrinkToFit="0" vertical="center" wrapText="1"/>
    </xf>
    <xf borderId="0" fillId="15" fontId="10" numFmtId="0" xfId="0" applyAlignment="1" applyFont="1">
      <alignment horizontal="center" shrinkToFit="0" vertical="center" wrapText="1"/>
    </xf>
    <xf borderId="0" fillId="3" fontId="27" numFmtId="0" xfId="0" applyAlignment="1" applyFont="1">
      <alignment horizontal="center" shrinkToFit="0" vertical="center" wrapText="1"/>
    </xf>
    <xf borderId="0" fillId="7" fontId="25" numFmtId="0" xfId="0" applyAlignment="1" applyFont="1">
      <alignment horizontal="center" readingOrder="0" shrinkToFit="0" vertical="center" wrapText="1"/>
    </xf>
    <xf borderId="0" fillId="3" fontId="24" numFmtId="0" xfId="0" applyAlignment="1" applyFont="1">
      <alignment horizontal="center" shrinkToFit="0" vertical="center" wrapText="1"/>
    </xf>
    <xf borderId="0" fillId="11" fontId="6" numFmtId="0" xfId="0" applyAlignment="1" applyFont="1">
      <alignment horizontal="left" shrinkToFit="0" vertical="center" wrapText="1"/>
    </xf>
    <xf borderId="0" fillId="7" fontId="4" numFmtId="0" xfId="0" applyAlignment="1" applyFont="1">
      <alignment shrinkToFit="0" vertical="center" wrapText="1"/>
    </xf>
    <xf borderId="0" fillId="7" fontId="9" numFmtId="0" xfId="0" applyAlignment="1" applyFont="1">
      <alignment horizontal="left" shrinkToFit="0" vertical="center" wrapText="1"/>
    </xf>
    <xf borderId="0" fillId="3" fontId="28" numFmtId="0" xfId="0" applyAlignment="1" applyFont="1">
      <alignment horizontal="center" readingOrder="0" vertical="center"/>
    </xf>
    <xf borderId="0" fillId="15" fontId="28" numFmtId="0" xfId="0" applyAlignment="1" applyFont="1">
      <alignment horizontal="center" readingOrder="0" shrinkToFit="0" vertical="center" wrapText="1"/>
    </xf>
    <xf borderId="0" fillId="7" fontId="28" numFmtId="0" xfId="0" applyAlignment="1" applyFont="1">
      <alignment horizontal="center" readingOrder="0" shrinkToFit="0" vertical="center" wrapText="1"/>
    </xf>
    <xf borderId="0" fillId="6" fontId="10" numFmtId="0" xfId="0" applyAlignment="1" applyFont="1">
      <alignment horizontal="center" readingOrder="0" vertical="center"/>
    </xf>
    <xf borderId="0" fillId="3" fontId="10" numFmtId="0" xfId="0" applyAlignment="1" applyFont="1">
      <alignment horizontal="center" readingOrder="0" vertical="center"/>
    </xf>
    <xf borderId="0" fillId="6" fontId="10" numFmtId="0" xfId="0" applyAlignment="1" applyFont="1">
      <alignment shrinkToFit="0" vertical="center" wrapText="1"/>
    </xf>
    <xf borderId="0" fillId="6" fontId="10" numFmtId="0" xfId="0" applyAlignment="1" applyFont="1">
      <alignment vertical="center"/>
    </xf>
    <xf borderId="0" fillId="3" fontId="28" numFmtId="0" xfId="0" applyAlignment="1" applyFont="1">
      <alignment horizontal="center" vertical="center"/>
    </xf>
    <xf borderId="0" fillId="15" fontId="28" numFmtId="0" xfId="0" applyAlignment="1" applyFont="1">
      <alignment horizontal="center" vertical="center"/>
    </xf>
    <xf borderId="0" fillId="3" fontId="10" numFmtId="0" xfId="0" applyAlignment="1" applyFont="1">
      <alignment vertical="center"/>
    </xf>
    <xf borderId="0" fillId="15" fontId="10" numFmtId="0" xfId="0" applyAlignment="1" applyFont="1">
      <alignment vertical="center"/>
    </xf>
    <xf borderId="0" fillId="0" fontId="10" numFmtId="0" xfId="0" applyAlignment="1" applyFont="1">
      <alignment vertical="center"/>
    </xf>
    <xf borderId="0" fillId="0" fontId="24" numFmtId="0" xfId="0" applyAlignment="1" applyFont="1">
      <alignment horizontal="center" shrinkToFit="0" vertical="center" wrapText="1"/>
    </xf>
    <xf borderId="0" fillId="0" fontId="6" numFmtId="0" xfId="0" applyAlignment="1" applyFont="1">
      <alignment horizontal="left"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shrinkToFit="0" vertical="center" wrapText="1"/>
    </xf>
    <xf borderId="0" fillId="7" fontId="29" numFmtId="0" xfId="0" applyAlignment="1" applyFont="1">
      <alignment horizontal="center" readingOrder="0" shrinkToFit="0" vertical="center" wrapText="1"/>
    </xf>
    <xf borderId="0" fillId="16" fontId="29" numFmtId="0" xfId="0" applyAlignment="1" applyFill="1" applyFont="1">
      <alignment horizontal="left" readingOrder="0" shrinkToFit="0" vertical="center" wrapText="1"/>
    </xf>
    <xf borderId="0" fillId="7" fontId="23" numFmtId="0" xfId="0" applyAlignment="1" applyFont="1">
      <alignment horizontal="left" readingOrder="0" shrinkToFit="0" vertical="center" wrapText="1"/>
    </xf>
    <xf borderId="0" fillId="7" fontId="29" numFmtId="0" xfId="0" applyAlignment="1" applyFont="1">
      <alignment horizontal="left" shrinkToFit="0" vertical="center" wrapText="1"/>
    </xf>
    <xf borderId="0" fillId="16" fontId="23" numFmtId="0" xfId="0" applyAlignment="1" applyFont="1">
      <alignment horizontal="left" shrinkToFit="0" vertical="center" wrapText="1"/>
    </xf>
    <xf borderId="0" fillId="10" fontId="29" numFmtId="0" xfId="0" applyAlignment="1" applyFont="1">
      <alignment horizontal="center" shrinkToFit="0" vertical="center" wrapText="1"/>
    </xf>
    <xf borderId="0" fillId="0" fontId="30" numFmtId="0" xfId="0" applyAlignment="1" applyFont="1">
      <alignment horizontal="left" shrinkToFit="0" vertical="center" wrapText="1"/>
    </xf>
    <xf borderId="0" fillId="16" fontId="10" numFmtId="0" xfId="0" applyAlignment="1" applyFont="1">
      <alignment horizontal="left" readingOrder="0" shrinkToFit="0" vertical="center" wrapText="1"/>
    </xf>
    <xf borderId="0" fillId="16" fontId="10" numFmtId="0" xfId="0" applyAlignment="1" applyFont="1">
      <alignment horizontal="left" shrinkToFit="0" vertical="center" wrapText="1"/>
    </xf>
    <xf borderId="0" fillId="16" fontId="9" numFmtId="0" xfId="0" applyAlignment="1" applyFont="1">
      <alignment horizontal="left" readingOrder="0" shrinkToFit="0" vertical="center" wrapText="1"/>
    </xf>
    <xf borderId="0" fillId="7" fontId="31" numFmtId="0" xfId="0" applyAlignment="1" applyFont="1">
      <alignment horizontal="left" readingOrder="0" shrinkToFit="0" vertical="center" wrapText="1"/>
    </xf>
    <xf borderId="0" fillId="16" fontId="32" numFmtId="0" xfId="0" applyAlignment="1" applyFont="1">
      <alignment horizontal="left" readingOrder="0" shrinkToFit="0" vertical="center" wrapText="1"/>
    </xf>
    <xf borderId="0" fillId="16" fontId="10" numFmtId="0" xfId="0" applyAlignment="1" applyFont="1">
      <alignment horizontal="center" readingOrder="0" shrinkToFit="0" vertical="center" wrapText="1"/>
    </xf>
    <xf borderId="0" fillId="16" fontId="9"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2" fontId="33" numFmtId="0" xfId="0" applyAlignment="1" applyFont="1">
      <alignment horizontal="center" readingOrder="0" shrinkToFit="0" vertical="center" wrapText="1"/>
    </xf>
    <xf borderId="1" fillId="0" fontId="34" numFmtId="0" xfId="0" applyBorder="1" applyFont="1"/>
    <xf borderId="2" fillId="7" fontId="8" numFmtId="0" xfId="0" applyAlignment="1" applyBorder="1" applyFont="1">
      <alignment horizontal="center" shrinkToFit="0" vertical="center" wrapText="1"/>
    </xf>
    <xf borderId="3" fillId="0" fontId="34" numFmtId="0" xfId="0" applyBorder="1" applyFont="1"/>
    <xf borderId="4" fillId="0" fontId="34" numFmtId="0" xfId="0" applyBorder="1" applyFont="1"/>
    <xf borderId="5" fillId="0" fontId="34" numFmtId="0" xfId="0" applyBorder="1" applyFont="1"/>
    <xf borderId="6" fillId="0" fontId="34" numFmtId="0" xfId="0" applyBorder="1" applyFont="1"/>
    <xf borderId="7" fillId="0" fontId="34" numFmtId="0" xfId="0" applyBorder="1" applyFont="1"/>
    <xf borderId="2" fillId="10" fontId="4" numFmtId="0" xfId="0" applyAlignment="1" applyBorder="1" applyFont="1">
      <alignment horizontal="center" readingOrder="0" shrinkToFit="0" vertical="center" wrapText="1"/>
    </xf>
    <xf borderId="2" fillId="10" fontId="8" numFmtId="0" xfId="0" applyAlignment="1" applyBorder="1" applyFont="1">
      <alignment horizontal="center" shrinkToFit="0" vertical="center" wrapText="1"/>
    </xf>
    <xf borderId="0" fillId="10" fontId="4" numFmtId="0" xfId="0" applyAlignment="1" applyFont="1">
      <alignment horizontal="center" readingOrder="0" shrinkToFit="0" vertical="center" wrapText="1"/>
    </xf>
    <xf borderId="8" fillId="2" fontId="24"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23"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23" numFmtId="0" xfId="0" applyAlignment="1" applyFont="1">
      <alignment horizontal="center" readingOrder="0" shrinkToFit="0" vertical="center" wrapText="1"/>
    </xf>
    <xf borderId="11" fillId="10" fontId="10" numFmtId="0" xfId="0" applyAlignment="1" applyBorder="1" applyFont="1">
      <alignment horizontal="center" readingOrder="0" shrinkToFit="0" vertical="center" wrapText="1"/>
    </xf>
    <xf borderId="11" fillId="10" fontId="35" numFmtId="0" xfId="0" applyAlignment="1" applyBorder="1" applyFont="1">
      <alignment horizontal="center" readingOrder="0" shrinkToFit="0" vertical="center" wrapText="1"/>
    </xf>
    <xf borderId="11" fillId="7" fontId="10" numFmtId="0" xfId="0" applyAlignment="1" applyBorder="1" applyFont="1">
      <alignment horizontal="center" readingOrder="0" shrinkToFit="0" vertical="center" wrapText="1"/>
    </xf>
    <xf borderId="11" fillId="7" fontId="10" numFmtId="0" xfId="0" applyAlignment="1" applyBorder="1" applyFont="1">
      <alignment horizontal="center" readingOrder="0" shrinkToFit="0" vertical="center" wrapText="1"/>
    </xf>
    <xf borderId="11" fillId="7" fontId="36" numFmtId="0" xfId="0" applyAlignment="1" applyBorder="1" applyFont="1">
      <alignment horizontal="center" readingOrder="0" shrinkToFit="0" vertical="center" wrapText="1"/>
    </xf>
    <xf borderId="11" fillId="16" fontId="9" numFmtId="0" xfId="0" applyAlignment="1" applyBorder="1" applyFont="1">
      <alignment horizontal="center" readingOrder="0" shrinkToFit="0" vertical="center" wrapText="1"/>
    </xf>
    <xf borderId="11" fillId="16" fontId="9" numFmtId="0" xfId="0" applyAlignment="1" applyBorder="1" applyFont="1">
      <alignment horizontal="center" readingOrder="0" shrinkToFit="0" vertical="center" wrapText="1"/>
    </xf>
    <xf borderId="11" fillId="16" fontId="37" numFmtId="0" xfId="0" applyAlignment="1" applyBorder="1" applyFont="1">
      <alignment horizontal="center" readingOrder="0" shrinkToFit="0" vertical="center" wrapText="1"/>
    </xf>
    <xf borderId="11" fillId="17" fontId="9" numFmtId="0" xfId="0" applyAlignment="1" applyBorder="1" applyFill="1" applyFont="1">
      <alignment horizontal="center" readingOrder="0" shrinkToFit="0" vertical="center" wrapText="1"/>
    </xf>
    <xf borderId="11" fillId="17" fontId="9" numFmtId="0" xfId="0" applyAlignment="1" applyBorder="1" applyFont="1">
      <alignment horizontal="center" readingOrder="0" shrinkToFit="0" vertical="center" wrapText="1"/>
    </xf>
    <xf borderId="11" fillId="17" fontId="38" numFmtId="0" xfId="0" applyAlignment="1" applyBorder="1" applyFont="1">
      <alignment horizontal="center" readingOrder="0" shrinkToFit="0" vertical="center" wrapText="1"/>
    </xf>
    <xf borderId="12" fillId="16" fontId="10" numFmtId="0" xfId="0" applyAlignment="1" applyBorder="1" applyFont="1">
      <alignment horizontal="center" shrinkToFit="0" vertical="center" wrapText="1"/>
    </xf>
    <xf borderId="6" fillId="16" fontId="10" numFmtId="0" xfId="0" applyAlignment="1" applyBorder="1" applyFont="1">
      <alignment horizontal="center" shrinkToFit="0" vertical="center" wrapText="1"/>
    </xf>
    <xf borderId="6" fillId="16" fontId="39" numFmtId="0" xfId="0" applyAlignment="1" applyBorder="1" applyFont="1">
      <alignment horizontal="center" shrinkToFit="0" vertical="center" wrapText="1"/>
    </xf>
    <xf borderId="0" fillId="17" fontId="9" numFmtId="0" xfId="0" applyAlignment="1" applyFont="1">
      <alignment horizontal="center" readingOrder="0" shrinkToFit="0" vertical="center" wrapText="1"/>
    </xf>
    <xf borderId="0" fillId="0" fontId="10" numFmtId="0" xfId="0" applyFont="1"/>
    <xf borderId="11" fillId="10" fontId="10" numFmtId="0" xfId="0" applyAlignment="1" applyBorder="1" applyFont="1">
      <alignment horizontal="center" readingOrder="0" shrinkToFit="0" vertical="center" wrapText="1"/>
    </xf>
    <xf borderId="11" fillId="10" fontId="40" numFmtId="0" xfId="0" applyAlignment="1" applyBorder="1" applyFont="1">
      <alignment horizontal="center" readingOrder="0" vertical="center"/>
    </xf>
    <xf borderId="11" fillId="7" fontId="41" numFmtId="0" xfId="0" applyAlignment="1" applyBorder="1" applyFont="1">
      <alignment horizontal="center" readingOrder="0" vertical="center"/>
    </xf>
    <xf borderId="11" fillId="16" fontId="42" numFmtId="0" xfId="0" applyAlignment="1" applyBorder="1" applyFont="1">
      <alignment horizontal="center" readingOrder="0" vertical="center"/>
    </xf>
    <xf borderId="11" fillId="17" fontId="9" numFmtId="0" xfId="0" applyAlignment="1" applyBorder="1" applyFont="1">
      <alignment horizontal="center" readingOrder="0" vertical="center"/>
    </xf>
    <xf borderId="11" fillId="17" fontId="43" numFmtId="0" xfId="0" applyAlignment="1" applyBorder="1" applyFont="1">
      <alignment horizontal="center" readingOrder="0" vertical="center"/>
    </xf>
    <xf borderId="6" fillId="16" fontId="10" numFmtId="0" xfId="0" applyAlignment="1" applyBorder="1" applyFont="1">
      <alignment horizontal="center" vertical="center"/>
    </xf>
    <xf borderId="12" fillId="16" fontId="44" numFmtId="0" xfId="0" applyAlignment="1" applyBorder="1" applyFont="1">
      <alignment horizontal="center" shrinkToFit="0" vertical="center" wrapText="1"/>
    </xf>
    <xf borderId="8" fillId="10" fontId="45" numFmtId="0" xfId="0" applyAlignment="1" applyBorder="1" applyFont="1">
      <alignment horizontal="center" readingOrder="0" shrinkToFit="0" vertical="center" wrapText="1"/>
    </xf>
    <xf borderId="13" fillId="10" fontId="31" numFmtId="0" xfId="0" applyAlignment="1" applyBorder="1" applyFont="1">
      <alignment horizontal="center" readingOrder="0" shrinkToFit="0" vertical="center" wrapText="1"/>
    </xf>
    <xf borderId="13" fillId="7" fontId="46" numFmtId="0" xfId="0" applyAlignment="1" applyBorder="1" applyFont="1">
      <alignment horizontal="center" readingOrder="0" shrinkToFit="0" vertical="center" wrapText="1"/>
    </xf>
    <xf borderId="13" fillId="16" fontId="47" numFmtId="0" xfId="0" applyAlignment="1" applyBorder="1" applyFont="1">
      <alignment horizontal="center" readingOrder="0" shrinkToFit="0" vertical="center" wrapText="1"/>
    </xf>
    <xf borderId="11" fillId="17" fontId="15" numFmtId="0" xfId="0" applyAlignment="1" applyBorder="1" applyFont="1">
      <alignment horizontal="center" readingOrder="0" shrinkToFit="0" vertical="center" wrapText="1"/>
    </xf>
    <xf borderId="13" fillId="17" fontId="48" numFmtId="0" xfId="0" applyAlignment="1" applyBorder="1" applyFont="1">
      <alignment horizontal="center" readingOrder="0" shrinkToFit="0" vertical="center" wrapText="1"/>
    </xf>
    <xf borderId="11" fillId="17" fontId="49" numFmtId="0" xfId="0" applyAlignment="1" applyBorder="1" applyFont="1">
      <alignment horizontal="center" readingOrder="0" shrinkToFit="0" vertical="center" wrapText="1"/>
    </xf>
    <xf borderId="0" fillId="17" fontId="49" numFmtId="0" xfId="0" applyAlignment="1" applyFont="1">
      <alignment horizontal="center" readingOrder="0" shrinkToFit="0" vertical="center" wrapText="1"/>
    </xf>
    <xf borderId="12" fillId="0" fontId="34" numFmtId="0" xfId="0" applyBorder="1" applyFont="1"/>
    <xf borderId="0" fillId="17" fontId="9" numFmtId="0" xfId="0" applyAlignment="1" applyFont="1">
      <alignment horizontal="center" readingOrder="0" shrinkToFit="0" vertical="center" wrapText="1"/>
    </xf>
    <xf borderId="6" fillId="16" fontId="10" numFmtId="0" xfId="0" applyAlignment="1" applyBorder="1" applyFont="1">
      <alignment vertical="center"/>
    </xf>
    <xf borderId="12" fillId="16" fontId="10" numFmtId="0" xfId="0" applyAlignment="1" applyBorder="1" applyFont="1">
      <alignment horizontal="center" readingOrder="0" shrinkToFit="0" vertical="center" wrapText="1"/>
    </xf>
    <xf borderId="7" fillId="2" fontId="24" numFmtId="0" xfId="0" applyAlignment="1" applyBorder="1" applyFont="1">
      <alignment horizontal="center" vertical="center"/>
    </xf>
    <xf borderId="0" fillId="2" fontId="24" numFmtId="0" xfId="0" applyAlignment="1" applyFont="1">
      <alignment horizontal="center" readingOrder="0" vertical="center"/>
    </xf>
    <xf borderId="11" fillId="7" fontId="50" numFmtId="0" xfId="0" applyAlignment="1" applyBorder="1" applyFont="1">
      <alignment horizontal="center" readingOrder="0"/>
    </xf>
    <xf borderId="11" fillId="7" fontId="10" numFmtId="0" xfId="0" applyAlignment="1" applyBorder="1" applyFont="1">
      <alignment horizontal="center" shrinkToFit="0" vertical="center" wrapText="1"/>
    </xf>
    <xf borderId="11" fillId="16" fontId="32" numFmtId="0" xfId="0" applyAlignment="1" applyBorder="1" applyFont="1">
      <alignment horizontal="center" readingOrder="0" shrinkToFit="0" vertical="center" wrapText="1"/>
    </xf>
    <xf borderId="11" fillId="16" fontId="51" numFmtId="0" xfId="0" applyAlignment="1" applyBorder="1" applyFont="1">
      <alignment horizontal="center" readingOrder="0"/>
    </xf>
    <xf borderId="11" fillId="17" fontId="10" numFmtId="0" xfId="0" applyAlignment="1" applyBorder="1" applyFont="1">
      <alignment horizontal="center" readingOrder="0" shrinkToFit="0" vertical="center" wrapText="1"/>
    </xf>
    <xf borderId="11" fillId="17" fontId="52" numFmtId="0" xfId="0" applyAlignment="1" applyBorder="1" applyFont="1">
      <alignment horizontal="center" readingOrder="0"/>
    </xf>
    <xf borderId="12" fillId="16" fontId="10" numFmtId="0" xfId="0" applyAlignment="1" applyBorder="1" applyFont="1">
      <alignment vertical="center"/>
    </xf>
    <xf borderId="6" fillId="16" fontId="53" numFmtId="0" xfId="0" applyAlignment="1" applyBorder="1" applyFont="1">
      <alignment horizontal="center" vertical="center"/>
    </xf>
    <xf borderId="0" fillId="17" fontId="10" numFmtId="0" xfId="0" applyAlignment="1" applyFont="1">
      <alignment horizontal="center" readingOrder="0" shrinkToFit="0" vertical="center" wrapText="1"/>
    </xf>
    <xf borderId="11" fillId="16" fontId="54" numFmtId="0" xfId="0" applyAlignment="1" applyBorder="1" applyFont="1">
      <alignment horizontal="center" readingOrder="0" shrinkToFit="0" vertical="center" wrapText="1"/>
    </xf>
    <xf borderId="11" fillId="16" fontId="55" numFmtId="0" xfId="0" applyAlignment="1" applyBorder="1" applyFont="1">
      <alignment horizontal="center" readingOrder="0" shrinkToFit="0" vertical="center" wrapText="1"/>
    </xf>
    <xf borderId="11" fillId="17" fontId="56" numFmtId="0" xfId="0" applyAlignment="1" applyBorder="1" applyFont="1">
      <alignment horizontal="center" readingOrder="0" shrinkToFit="0" vertical="center" wrapText="1"/>
    </xf>
    <xf borderId="11" fillId="10" fontId="57" numFmtId="0" xfId="0" applyAlignment="1" applyBorder="1" applyFont="1">
      <alignment horizontal="center" readingOrder="0" shrinkToFit="0" vertical="center" wrapText="1"/>
    </xf>
    <xf borderId="11" fillId="7" fontId="57" numFmtId="0" xfId="0" applyAlignment="1" applyBorder="1" applyFont="1">
      <alignment horizontal="center" readingOrder="0" shrinkToFit="0" vertical="center" wrapText="1"/>
    </xf>
    <xf borderId="11" fillId="16" fontId="31" numFmtId="0" xfId="0" applyAlignment="1" applyBorder="1" applyFont="1">
      <alignment horizontal="center" readingOrder="0"/>
    </xf>
    <xf borderId="11" fillId="17" fontId="31" numFmtId="0" xfId="0" applyAlignment="1" applyBorder="1" applyFont="1">
      <alignment horizontal="center" readingOrder="0"/>
    </xf>
    <xf borderId="11" fillId="16" fontId="57" numFmtId="0" xfId="0" applyAlignment="1" applyBorder="1" applyFont="1">
      <alignment horizontal="center" readingOrder="0" shrinkToFit="0" vertical="center" wrapText="1"/>
    </xf>
    <xf borderId="11" fillId="17" fontId="57" numFmtId="0" xfId="0" applyAlignment="1" applyBorder="1" applyFont="1">
      <alignment horizontal="center" readingOrder="0" shrinkToFit="0" vertical="center" wrapText="1"/>
    </xf>
    <xf borderId="13" fillId="10"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vertical="center"/>
    </xf>
    <xf borderId="0" fillId="0" fontId="10" numFmtId="0" xfId="0" applyAlignment="1" applyFont="1">
      <alignment horizontal="center" vertical="center"/>
    </xf>
    <xf borderId="12" fillId="0" fontId="10" numFmtId="0" xfId="0" applyAlignment="1" applyBorder="1" applyFont="1">
      <alignment horizontal="center" shrinkToFit="0" vertical="center" wrapText="1"/>
    </xf>
    <xf borderId="11" fillId="0" fontId="10"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shrinkToFit="0" vertical="center" wrapText="1"/>
    </xf>
    <xf borderId="0" fillId="2" fontId="9" numFmtId="0" xfId="0" applyAlignment="1" applyFont="1">
      <alignment horizontal="center" shrinkToFit="0" vertical="center" wrapText="1"/>
    </xf>
    <xf borderId="0" fillId="16" fontId="21" numFmtId="0" xfId="0" applyAlignment="1" applyFont="1">
      <alignment horizontal="center" shrinkToFit="0" vertical="center" wrapText="1"/>
    </xf>
    <xf borderId="0" fillId="16" fontId="21" numFmtId="0" xfId="0" applyAlignment="1" applyFont="1">
      <alignment horizontal="center" shrinkToFit="0" vertical="center" wrapText="1"/>
    </xf>
    <xf borderId="0" fillId="3" fontId="58" numFmtId="0" xfId="0" applyAlignment="1" applyFont="1">
      <alignment horizontal="center" shrinkToFit="0" vertical="center" wrapText="1"/>
    </xf>
    <xf borderId="0" fillId="7" fontId="58" numFmtId="0" xfId="0" applyAlignment="1" applyFont="1">
      <alignment horizontal="center" shrinkToFit="0" vertical="center" wrapText="1"/>
    </xf>
    <xf borderId="0" fillId="8" fontId="10" numFmtId="0" xfId="0" applyAlignment="1" applyFont="1">
      <alignment horizontal="center" shrinkToFit="0" vertical="center" wrapText="1"/>
    </xf>
    <xf borderId="0" fillId="16" fontId="10" numFmtId="0" xfId="0" applyAlignment="1" applyFont="1">
      <alignment horizontal="center" shrinkToFit="0" vertical="center" wrapText="1"/>
    </xf>
    <xf borderId="0" fillId="16" fontId="10" numFmtId="0" xfId="0" applyAlignment="1" applyFont="1">
      <alignment horizontal="center" shrinkToFit="0" vertical="center" wrapText="1"/>
    </xf>
    <xf borderId="0" fillId="10" fontId="59" numFmtId="0" xfId="0" applyAlignment="1" applyFont="1">
      <alignment horizontal="center" readingOrder="0" shrinkToFit="0" vertical="center" wrapText="1"/>
    </xf>
    <xf borderId="0" fillId="10" fontId="29" numFmtId="0" xfId="0" applyAlignment="1" applyFont="1">
      <alignment horizontal="center" readingOrder="0" shrinkToFit="0" vertical="center" wrapText="1"/>
    </xf>
    <xf borderId="0" fillId="7" fontId="23" numFmtId="0" xfId="0" applyAlignment="1" applyFont="1">
      <alignment horizontal="center" shrinkToFit="0" vertical="center" wrapText="1"/>
    </xf>
    <xf borderId="0" fillId="18" fontId="21" numFmtId="0" xfId="0" applyAlignment="1" applyFill="1" applyFont="1">
      <alignment horizontal="center" readingOrder="0" shrinkToFit="0" vertical="center" wrapText="1"/>
    </xf>
    <xf borderId="0" fillId="18" fontId="4" numFmtId="0" xfId="0" applyAlignment="1" applyFont="1">
      <alignment horizontal="center" shrinkToFit="0" vertical="center" wrapText="1"/>
    </xf>
    <xf borderId="0" fillId="18" fontId="21" numFmtId="0" xfId="0" applyAlignment="1" applyFont="1">
      <alignment horizontal="center" shrinkToFit="0" vertical="center" wrapText="1"/>
    </xf>
    <xf borderId="0" fillId="3" fontId="60" numFmtId="0" xfId="0" applyAlignment="1" applyFont="1">
      <alignment horizontal="center" vertical="center"/>
    </xf>
    <xf borderId="0" fillId="7" fontId="60" numFmtId="0" xfId="0" applyAlignment="1" applyFont="1">
      <alignment horizontal="center" vertical="center"/>
    </xf>
    <xf borderId="0" fillId="18" fontId="10" numFmtId="0" xfId="0" applyAlignment="1" applyFont="1">
      <alignment horizontal="center" readingOrder="0" shrinkToFit="0" vertical="center" wrapText="1"/>
    </xf>
    <xf borderId="0" fillId="18" fontId="9"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18" fontId="9" numFmtId="0" xfId="0" applyAlignment="1" applyFont="1">
      <alignment horizontal="center" shrinkToFit="0" vertical="center" wrapText="1"/>
    </xf>
    <xf borderId="0" fillId="7" fontId="9" numFmtId="0" xfId="0" applyAlignment="1" applyFont="1">
      <alignment horizontal="center" shrinkToFit="0" vertical="center" wrapText="1"/>
    </xf>
    <xf borderId="0" fillId="3" fontId="59" numFmtId="0" xfId="0" applyAlignment="1" applyFont="1">
      <alignment horizontal="center" vertical="center"/>
    </xf>
    <xf borderId="0" fillId="7" fontId="59" numFmtId="0" xfId="0" applyAlignment="1" applyFont="1">
      <alignment horizontal="center" vertical="center"/>
    </xf>
    <xf borderId="0" fillId="18" fontId="10" numFmtId="0" xfId="0" applyAlignment="1" applyFont="1">
      <alignment horizontal="center" shrinkToFit="0" vertical="center" wrapText="1"/>
    </xf>
    <xf borderId="0" fillId="18" fontId="10" numFmtId="0" xfId="0" applyAlignment="1" applyFont="1">
      <alignment horizontal="center" shrinkToFit="0" vertical="center" wrapText="1"/>
    </xf>
    <xf borderId="0" fillId="7" fontId="59" numFmtId="0" xfId="0" applyAlignment="1" applyFont="1">
      <alignment horizontal="center" readingOrder="0" vertical="center"/>
    </xf>
    <xf borderId="0" fillId="3" fontId="59" numFmtId="0" xfId="0" applyAlignment="1" applyFont="1">
      <alignment horizontal="center" readingOrder="0" vertical="center"/>
    </xf>
    <xf borderId="0" fillId="3" fontId="59" numFmtId="0" xfId="0" applyAlignment="1" applyFont="1">
      <alignment horizontal="center" shrinkToFit="0" vertical="center" wrapText="1"/>
    </xf>
    <xf borderId="0" fillId="7" fontId="59" numFmtId="0" xfId="0" applyAlignment="1" applyFont="1">
      <alignment horizontal="center" shrinkToFit="0" vertical="center" wrapText="1"/>
    </xf>
    <xf borderId="0" fillId="3" fontId="59" numFmtId="0" xfId="0" applyAlignment="1" applyFont="1">
      <alignment horizontal="center" readingOrder="0" shrinkToFit="0" vertical="center" wrapText="1"/>
    </xf>
    <xf borderId="0" fillId="7" fontId="59" numFmtId="0" xfId="0" applyAlignment="1" applyFont="1">
      <alignment horizontal="center" shrinkToFit="0" vertical="center" wrapText="1"/>
    </xf>
    <xf borderId="0" fillId="3" fontId="26" numFmtId="0" xfId="0" applyAlignment="1" applyFont="1">
      <alignment vertical="center"/>
    </xf>
    <xf borderId="0" fillId="18" fontId="10" numFmtId="0" xfId="0" applyAlignment="1" applyFont="1">
      <alignment shrinkToFit="0" vertical="center" wrapText="1"/>
    </xf>
    <xf borderId="0" fillId="10" fontId="61" numFmtId="0" xfId="0" applyAlignment="1" applyFont="1">
      <alignment horizontal="center" readingOrder="0" shrinkToFit="0" vertical="center" wrapText="1"/>
    </xf>
    <xf borderId="0" fillId="0" fontId="32" numFmtId="0" xfId="0" applyAlignment="1" applyFont="1">
      <alignment horizontal="center" shrinkToFit="0" vertical="center" wrapText="1"/>
    </xf>
    <xf borderId="0" fillId="18" fontId="4" numFmtId="0" xfId="0" applyAlignment="1" applyFont="1">
      <alignment horizontal="center" readingOrder="0" shrinkToFit="0" vertical="center" wrapText="1"/>
    </xf>
    <xf borderId="0" fillId="18" fontId="60" numFmtId="0" xfId="0" applyAlignment="1" applyFont="1">
      <alignment horizontal="center" vertical="center"/>
    </xf>
    <xf borderId="0" fillId="18" fontId="59" numFmtId="0" xfId="0" applyAlignment="1" applyFont="1">
      <alignment horizontal="center" vertical="center"/>
    </xf>
    <xf borderId="0" fillId="7" fontId="59" numFmtId="0" xfId="0" applyAlignment="1" applyFont="1">
      <alignment horizontal="center" readingOrder="0" shrinkToFit="0" vertical="center" wrapText="1"/>
    </xf>
    <xf borderId="0" fillId="18" fontId="27" numFmtId="0" xfId="0" applyAlignment="1" applyFont="1">
      <alignment horizontal="center" shrinkToFit="0" vertical="center" wrapText="1"/>
    </xf>
    <xf borderId="0" fillId="7" fontId="59" numFmtId="0" xfId="0" applyAlignment="1" applyFont="1">
      <alignment horizontal="center" vertical="center"/>
    </xf>
    <xf borderId="0" fillId="18" fontId="59" numFmtId="0" xfId="0" applyAlignment="1" applyFont="1">
      <alignment horizontal="center" readingOrder="0" vertical="center"/>
    </xf>
    <xf borderId="0" fillId="18" fontId="59" numFmtId="0" xfId="0" applyAlignment="1" applyFont="1">
      <alignment horizontal="center" vertical="center"/>
    </xf>
    <xf borderId="0" fillId="7" fontId="59" numFmtId="0" xfId="0" applyAlignment="1" applyFont="1">
      <alignment horizontal="center" readingOrder="0" shrinkToFit="0" vertical="center" wrapText="0"/>
    </xf>
    <xf borderId="0" fillId="18" fontId="59" numFmtId="0" xfId="0" applyAlignment="1" applyFont="1">
      <alignment horizontal="center" readingOrder="0" shrinkToFit="0" vertical="center" wrapText="1"/>
    </xf>
    <xf borderId="0" fillId="18" fontId="26" numFmtId="0" xfId="0" applyAlignment="1" applyFont="1">
      <alignment vertical="center"/>
    </xf>
    <xf borderId="0" fillId="7" fontId="25" numFmtId="0" xfId="0" applyAlignment="1" applyFont="1">
      <alignment horizontal="center" shrinkToFit="0" vertical="center" wrapText="1"/>
    </xf>
    <xf borderId="0" fillId="18" fontId="25" numFmtId="0" xfId="0" applyAlignment="1" applyFont="1">
      <alignment horizontal="center" shrinkToFit="0" vertical="center" wrapText="1"/>
    </xf>
    <xf borderId="0" fillId="18" fontId="10" numFmtId="0" xfId="0" applyAlignment="1" applyFont="1">
      <alignment horizontal="center" vertical="center"/>
    </xf>
    <xf borderId="0" fillId="7" fontId="10" numFmtId="0" xfId="0" applyAlignment="1" applyFont="1">
      <alignment horizontal="center" vertical="center"/>
    </xf>
    <xf borderId="0" fillId="7" fontId="62" numFmtId="0" xfId="0" applyAlignment="1" applyFont="1">
      <alignment horizontal="center" shrinkToFit="0" vertical="center" wrapText="1"/>
    </xf>
    <xf borderId="0" fillId="18" fontId="10" numFmtId="0" xfId="0" applyAlignment="1" applyFont="1">
      <alignment vertical="center"/>
    </xf>
    <xf borderId="0" fillId="10" fontId="32" numFmtId="0" xfId="0" applyAlignment="1" applyFont="1">
      <alignment horizontal="center" shrinkToFit="0" vertical="center" wrapText="1"/>
    </xf>
    <xf borderId="0" fillId="10" fontId="30" numFmtId="0" xfId="0" applyAlignment="1" applyFont="1">
      <alignment horizontal="center" readingOrder="0" shrinkToFit="0" vertical="center" wrapText="1"/>
    </xf>
    <xf borderId="0" fillId="18" fontId="21" numFmtId="0" xfId="0" applyAlignment="1" applyFont="1">
      <alignment horizontal="center" shrinkToFit="0" vertical="center" wrapText="1"/>
    </xf>
    <xf borderId="0" fillId="0" fontId="21" numFmtId="0" xfId="0" applyAlignment="1" applyFont="1">
      <alignment horizontal="center" shrinkToFit="0" vertical="center" wrapText="1"/>
    </xf>
    <xf borderId="0" fillId="18" fontId="30" numFmtId="0" xfId="0" applyAlignment="1" applyFont="1">
      <alignment horizontal="center" readingOrder="0" shrinkToFit="0" vertical="center" wrapText="1"/>
    </xf>
    <xf borderId="0" fillId="18" fontId="10" numFmtId="0" xfId="0" applyAlignment="1" applyFont="1">
      <alignment horizontal="center" shrinkToFit="0" wrapText="1"/>
    </xf>
    <xf borderId="0" fillId="7" fontId="10" numFmtId="0" xfId="0" applyAlignment="1" applyFont="1">
      <alignment horizontal="center" shrinkToFit="0" wrapText="1"/>
    </xf>
    <xf borderId="0" fillId="18" fontId="25" numFmtId="0" xfId="0" applyAlignment="1" applyFont="1">
      <alignment horizontal="center" shrinkToFit="0" wrapText="1"/>
    </xf>
    <xf borderId="0" fillId="7" fontId="25" numFmtId="0" xfId="0" applyAlignment="1" applyFont="1">
      <alignment horizontal="center" shrinkToFit="0" wrapText="1"/>
    </xf>
    <xf borderId="0" fillId="18" fontId="10" numFmtId="0" xfId="0" applyAlignment="1" applyFont="1">
      <alignment horizontal="center" shrinkToFit="0" vertical="bottom" wrapText="1"/>
    </xf>
    <xf borderId="0" fillId="7" fontId="10" numFmtId="0" xfId="0" applyAlignment="1" applyFont="1">
      <alignment horizontal="center" shrinkToFit="0" vertical="bottom" wrapText="1"/>
    </xf>
    <xf borderId="0" fillId="0" fontId="10" numFmtId="0" xfId="0" applyAlignment="1" applyFont="1">
      <alignment shrinkToFit="0" vertical="center" wrapText="1"/>
    </xf>
    <xf borderId="0" fillId="11" fontId="3" numFmtId="0" xfId="0" applyAlignment="1" applyFont="1">
      <alignment horizontal="center" shrinkToFit="0" vertical="center" wrapText="1"/>
    </xf>
    <xf borderId="0" fillId="6" fontId="3" numFmtId="0" xfId="0" applyAlignment="1" applyFont="1">
      <alignment horizontal="center" shrinkToFit="0" vertical="center" wrapText="1"/>
    </xf>
    <xf borderId="0" fillId="7" fontId="30" numFmtId="0" xfId="0" applyAlignment="1" applyFont="1">
      <alignment readingOrder="0" shrinkToFit="0" vertical="center" wrapText="1"/>
    </xf>
    <xf borderId="0" fillId="7" fontId="30" numFmtId="0" xfId="0" applyAlignment="1" applyFont="1">
      <alignment horizontal="left" shrinkToFit="0" vertical="center" wrapText="1"/>
    </xf>
    <xf borderId="0" fillId="7" fontId="30" numFmtId="0" xfId="0" applyAlignment="1" applyFont="1">
      <alignment shrinkToFit="0" vertical="center" wrapText="1"/>
    </xf>
    <xf borderId="0" fillId="11" fontId="3" numFmtId="0" xfId="0" applyAlignment="1" applyFont="1">
      <alignment horizontal="center" readingOrder="0" shrinkToFit="0" vertical="center" wrapText="1"/>
    </xf>
    <xf borderId="0" fillId="15" fontId="9" numFmtId="0" xfId="0" applyAlignment="1" applyFont="1">
      <alignment horizontal="center" shrinkToFit="0" vertical="center" wrapText="1"/>
    </xf>
    <xf borderId="0" fillId="6" fontId="11" numFmtId="0" xfId="0" applyAlignment="1" applyFont="1">
      <alignment horizontal="center" shrinkToFit="0" vertical="center" wrapText="1"/>
    </xf>
    <xf borderId="0" fillId="3" fontId="63" numFmtId="0" xfId="0" applyAlignment="1" applyFont="1">
      <alignment horizontal="center" shrinkToFit="0" vertical="center" wrapText="1"/>
    </xf>
    <xf borderId="0" fillId="6" fontId="63" numFmtId="0" xfId="0" applyAlignment="1" applyFont="1">
      <alignment horizontal="center" shrinkToFit="0" vertical="center" wrapText="1"/>
    </xf>
    <xf borderId="0" fillId="6" fontId="64" numFmtId="0" xfId="0" applyAlignment="1" applyFont="1">
      <alignment horizontal="center" shrinkToFit="0" vertical="center" wrapText="1"/>
    </xf>
    <xf borderId="0" fillId="6" fontId="64" numFmtId="0" xfId="0" applyAlignment="1" applyFont="1">
      <alignment horizontal="center" readingOrder="0" shrinkToFit="0" vertical="center" wrapText="1"/>
    </xf>
    <xf borderId="0" fillId="3" fontId="6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7" fontId="30" numFmtId="0" xfId="0" applyAlignment="1" applyFont="1">
      <alignment horizontal="center" readingOrder="0" shrinkToFit="0" vertical="center" wrapText="1"/>
    </xf>
    <xf borderId="0" fillId="6" fontId="3" numFmtId="0" xfId="0" applyAlignment="1" applyFont="1">
      <alignment shrinkToFit="0" vertical="center" wrapText="1"/>
    </xf>
    <xf borderId="0" fillId="6" fontId="3"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7" fontId="10" numFmtId="0" xfId="0" applyAlignment="1" applyFont="1">
      <alignment readingOrder="0" vertical="center"/>
    </xf>
    <xf borderId="0" fillId="0" fontId="23"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16" fontId="4"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16" fontId="4" numFmtId="0" xfId="0" applyAlignment="1" applyFont="1">
      <alignment horizontal="center" shrinkToFit="0" vertical="center" wrapText="1"/>
    </xf>
    <xf borderId="0" fillId="3" fontId="8" numFmtId="0" xfId="0" applyAlignment="1" applyFont="1">
      <alignment horizontal="center" shrinkToFit="0" vertical="center" wrapText="1"/>
    </xf>
    <xf borderId="0" fillId="7" fontId="8" numFmtId="0" xfId="0" applyAlignment="1" applyFont="1">
      <alignment horizontal="center" shrinkToFit="0" vertical="center" wrapText="1"/>
    </xf>
    <xf borderId="0" fillId="16" fontId="8" numFmtId="0" xfId="0" applyAlignment="1" applyFont="1">
      <alignment horizontal="center" shrinkToFit="0" vertical="center" wrapText="1"/>
    </xf>
    <xf borderId="0" fillId="11" fontId="8" numFmtId="0" xfId="0" applyAlignment="1" applyFont="1">
      <alignment horizontal="center" shrinkToFit="0" vertical="center" wrapText="1"/>
    </xf>
    <xf borderId="0" fillId="16" fontId="4" numFmtId="0" xfId="0" applyAlignment="1" applyFont="1">
      <alignment horizontal="center" shrinkToFit="0" vertical="center" wrapText="1"/>
    </xf>
    <xf borderId="0" fillId="11"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11" fontId="9" numFmtId="0" xfId="0" applyAlignment="1" applyFont="1">
      <alignment horizontal="center" readingOrder="0" shrinkToFit="0" vertical="center" wrapText="1"/>
    </xf>
    <xf borderId="0" fillId="16" fontId="9" numFmtId="0" xfId="0" applyAlignment="1" applyFont="1">
      <alignment horizontal="center" shrinkToFit="0" vertical="center" wrapText="1"/>
    </xf>
    <xf borderId="0" fillId="3" fontId="9" numFmtId="0" xfId="0" applyAlignment="1" applyFont="1">
      <alignment horizontal="center" shrinkToFit="0" vertical="center" wrapText="1"/>
    </xf>
    <xf borderId="0" fillId="11"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11" fontId="27" numFmtId="0" xfId="0" applyAlignment="1" applyFont="1">
      <alignment horizontal="center" shrinkToFit="0" vertical="center" wrapText="1"/>
    </xf>
    <xf borderId="0" fillId="11" fontId="10" numFmtId="0" xfId="0" applyAlignment="1" applyFont="1">
      <alignment horizontal="center" vertical="center"/>
    </xf>
    <xf borderId="0" fillId="16" fontId="10" numFmtId="0" xfId="0" applyAlignment="1" applyFont="1">
      <alignment horizontal="center" vertical="center"/>
    </xf>
    <xf borderId="0" fillId="11" fontId="10" numFmtId="0" xfId="0" applyAlignment="1" applyFont="1">
      <alignment horizontal="center" vertical="center"/>
    </xf>
    <xf borderId="0" fillId="16" fontId="11" numFmtId="0" xfId="0" applyAlignment="1" applyFont="1">
      <alignment horizontal="center" shrinkToFit="0" vertical="center" wrapText="1"/>
    </xf>
    <xf borderId="0" fillId="3" fontId="10" numFmtId="0" xfId="0" applyAlignment="1" applyFont="1">
      <alignment horizontal="center" vertical="center"/>
    </xf>
    <xf borderId="0" fillId="7" fontId="10" numFmtId="0" xfId="0" applyAlignment="1" applyFont="1">
      <alignment horizontal="center" vertical="center"/>
    </xf>
    <xf borderId="0" fillId="16" fontId="10" numFmtId="0" xfId="0" applyAlignment="1" applyFont="1">
      <alignment horizontal="center" vertical="center"/>
    </xf>
    <xf borderId="0" fillId="3" fontId="9" numFmtId="0" xfId="0" applyAlignment="1" applyFont="1">
      <alignment horizontal="center" vertical="center"/>
    </xf>
    <xf borderId="0" fillId="7" fontId="9" numFmtId="0" xfId="0" applyAlignment="1" applyFont="1">
      <alignment horizontal="center" vertical="center"/>
    </xf>
    <xf borderId="0" fillId="16" fontId="9" numFmtId="0" xfId="0" applyAlignment="1" applyFont="1">
      <alignment horizontal="center" vertical="center"/>
    </xf>
    <xf borderId="0" fillId="11" fontId="9" numFmtId="0" xfId="0" applyAlignment="1" applyFont="1">
      <alignment horizontal="center" vertical="center"/>
    </xf>
    <xf borderId="0" fillId="7" fontId="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17" fontId="6" numFmtId="0" xfId="0" applyAlignment="1" applyFont="1">
      <alignment horizontal="center" shrinkToFit="0" vertical="center" wrapText="1"/>
    </xf>
    <xf borderId="0" fillId="15" fontId="6" numFmtId="0" xfId="0" applyAlignment="1" applyFont="1">
      <alignment horizontal="center" readingOrder="0" shrinkToFit="0" vertical="center" wrapText="1"/>
    </xf>
    <xf borderId="0" fillId="9" fontId="26" numFmtId="0" xfId="0" applyAlignment="1" applyFont="1">
      <alignment horizontal="center" shrinkToFit="0" wrapText="1"/>
    </xf>
    <xf borderId="0" fillId="0" fontId="8" numFmtId="0" xfId="0" applyAlignment="1" applyFont="1">
      <alignment horizontal="center" shrinkToFit="0" vertical="center" wrapText="1"/>
    </xf>
    <xf borderId="0" fillId="10" fontId="9" numFmtId="0" xfId="0" applyAlignment="1" applyFont="1">
      <alignment horizontal="left" readingOrder="0" shrinkToFit="0" vertical="center" wrapText="1"/>
    </xf>
    <xf borderId="0" fillId="17" fontId="9" numFmtId="0" xfId="0" applyAlignment="1" applyFont="1">
      <alignment horizontal="left" shrinkToFit="0" vertical="center" wrapText="1"/>
    </xf>
    <xf borderId="0" fillId="15" fontId="9" numFmtId="0" xfId="0" applyAlignment="1" applyFont="1">
      <alignment horizontal="left" readingOrder="0" shrinkToFit="0" vertical="center" wrapText="1"/>
    </xf>
    <xf borderId="0" fillId="9" fontId="10" numFmtId="0" xfId="0" applyAlignment="1" applyFont="1">
      <alignment horizontal="center" shrinkToFit="0" wrapText="1"/>
    </xf>
    <xf borderId="0" fillId="9" fontId="10" numFmtId="0" xfId="0" applyAlignment="1" applyFont="1">
      <alignment horizontal="center" readingOrder="0" shrinkToFit="0" wrapText="1"/>
    </xf>
    <xf borderId="0" fillId="10" fontId="65" numFmtId="0" xfId="0" applyAlignment="1" applyFont="1">
      <alignment readingOrder="0" shrinkToFit="0" wrapText="1"/>
    </xf>
    <xf borderId="0" fillId="7" fontId="66" numFmtId="0" xfId="0" applyAlignment="1" applyFont="1">
      <alignment readingOrder="0" shrinkToFit="0" wrapText="1"/>
    </xf>
    <xf borderId="0" fillId="16" fontId="67" numFmtId="0" xfId="0" applyAlignment="1" applyFont="1">
      <alignment readingOrder="0" shrinkToFit="0" wrapText="1"/>
    </xf>
    <xf borderId="0" fillId="17" fontId="68" numFmtId="0" xfId="0" applyAlignment="1" applyFont="1">
      <alignment readingOrder="0" shrinkToFit="0" wrapText="1"/>
    </xf>
    <xf borderId="0" fillId="15" fontId="69" numFmtId="0" xfId="0" applyAlignment="1" applyFont="1">
      <alignment readingOrder="0" shrinkToFit="0" wrapText="1"/>
    </xf>
    <xf borderId="0" fillId="6" fontId="70" numFmtId="0" xfId="0" applyAlignment="1" applyFont="1">
      <alignment shrinkToFit="0" vertical="center" wrapText="1"/>
    </xf>
    <xf borderId="0" fillId="9" fontId="71" numFmtId="0" xfId="0" applyAlignment="1" applyFont="1">
      <alignment horizontal="left" shrinkToFit="0" wrapText="1"/>
    </xf>
    <xf borderId="0" fillId="0" fontId="9" numFmtId="0" xfId="0" applyAlignment="1" applyFont="1">
      <alignment horizontal="left" readingOrder="0" shrinkToFit="0" vertical="center" wrapText="1"/>
    </xf>
    <xf borderId="0" fillId="3" fontId="24" numFmtId="0" xfId="0" applyAlignment="1" applyFont="1">
      <alignment horizontal="left" readingOrder="0" shrinkToFit="0" vertical="center" wrapText="1"/>
    </xf>
    <xf borderId="0" fillId="7" fontId="24" numFmtId="0" xfId="0" applyAlignment="1" applyFont="1">
      <alignment horizontal="left" shrinkToFit="0" vertical="center" wrapText="1"/>
    </xf>
    <xf borderId="0" fillId="16" fontId="24" numFmtId="0" xfId="0" applyAlignment="1" applyFont="1">
      <alignment horizontal="left" shrinkToFit="0" vertical="center" wrapText="1"/>
    </xf>
    <xf borderId="0" fillId="11" fontId="26" numFmtId="0" xfId="0" applyAlignment="1" applyFont="1">
      <alignment horizontal="center" vertical="center"/>
    </xf>
    <xf borderId="0" fillId="0" fontId="26" numFmtId="0" xfId="0" applyAlignment="1" applyFont="1">
      <alignment horizontal="left" vertical="center"/>
    </xf>
    <xf borderId="0" fillId="3" fontId="72" numFmtId="0" xfId="0" applyAlignment="1" applyFont="1">
      <alignment horizontal="left" shrinkToFit="0" vertical="center" wrapText="1"/>
    </xf>
    <xf borderId="0" fillId="16" fontId="4" numFmtId="0" xfId="0" applyAlignment="1" applyFont="1">
      <alignment horizontal="left" shrinkToFit="0" vertical="center" wrapText="1"/>
    </xf>
    <xf borderId="0" fillId="3" fontId="4" numFmtId="0" xfId="0" applyAlignment="1" applyFont="1">
      <alignment horizontal="left" shrinkToFit="0" vertical="center" wrapText="1"/>
    </xf>
    <xf borderId="0" fillId="2" fontId="26" numFmtId="0" xfId="0" applyAlignment="1" applyFont="1">
      <alignment horizontal="left" vertical="center"/>
    </xf>
    <xf borderId="0" fillId="3" fontId="4" numFmtId="0" xfId="0" applyAlignment="1" applyFont="1">
      <alignment horizontal="left" vertical="center"/>
    </xf>
    <xf borderId="0" fillId="19" fontId="4" numFmtId="0" xfId="0" applyAlignment="1" applyFill="1" applyFont="1">
      <alignment horizontal="center" shrinkToFit="0" vertical="center" wrapText="1"/>
    </xf>
    <xf borderId="0" fillId="3" fontId="26" numFmtId="0" xfId="0" applyAlignment="1" applyFont="1">
      <alignment horizontal="left" vertical="center"/>
    </xf>
    <xf borderId="0" fillId="7" fontId="26" numFmtId="0" xfId="0" applyAlignment="1" applyFont="1">
      <alignment horizontal="left" vertical="center"/>
    </xf>
    <xf borderId="0" fillId="16" fontId="26" numFmtId="0" xfId="0" applyAlignment="1" applyFont="1">
      <alignment horizontal="left" vertical="center"/>
    </xf>
    <xf borderId="0" fillId="19" fontId="26" numFmtId="0" xfId="0" applyAlignment="1" applyFont="1">
      <alignment horizontal="center" vertical="center"/>
    </xf>
    <xf borderId="0" fillId="16" fontId="24" numFmtId="0" xfId="0" applyAlignment="1" applyFont="1">
      <alignment horizontal="center" readingOrder="0" shrinkToFit="0" vertical="center" wrapText="1"/>
    </xf>
    <xf borderId="0" fillId="17" fontId="6" numFmtId="0" xfId="0" applyAlignment="1" applyFont="1">
      <alignment horizontal="center" readingOrder="0" shrinkToFit="0" vertical="center" wrapText="1"/>
    </xf>
    <xf borderId="0" fillId="9" fontId="24" numFmtId="0" xfId="0" applyAlignment="1" applyFont="1">
      <alignment horizontal="center" shrinkToFit="0" vertical="bottom" wrapText="1"/>
    </xf>
    <xf borderId="0" fillId="16" fontId="10" numFmtId="0" xfId="0" applyAlignment="1" applyFont="1">
      <alignment readingOrder="0" shrinkToFit="0" vertical="center" wrapText="1"/>
    </xf>
    <xf borderId="0" fillId="17" fontId="9" numFmtId="0" xfId="0" applyAlignment="1" applyFont="1">
      <alignment horizontal="left" readingOrder="0" shrinkToFit="0" vertical="center" wrapText="1"/>
    </xf>
    <xf borderId="0" fillId="9" fontId="10" numFmtId="0" xfId="0" applyAlignment="1" applyFont="1">
      <alignment shrinkToFit="0" vertical="bottom" wrapText="1"/>
    </xf>
    <xf borderId="0" fillId="10" fontId="73" numFmtId="0" xfId="0" applyAlignment="1" applyFont="1">
      <alignment horizontal="left" readingOrder="0" shrinkToFit="0" vertical="center" wrapText="1"/>
    </xf>
    <xf borderId="0" fillId="7" fontId="74" numFmtId="0" xfId="0" applyAlignment="1" applyFont="1">
      <alignment horizontal="left" readingOrder="0" shrinkToFit="0" vertical="center" wrapText="1"/>
    </xf>
    <xf borderId="0" fillId="16" fontId="9" numFmtId="0" xfId="0" applyAlignment="1" applyFont="1">
      <alignment horizontal="left" shrinkToFit="0" vertical="center" wrapText="1"/>
    </xf>
    <xf borderId="0" fillId="16" fontId="75" numFmtId="0" xfId="0" applyAlignment="1" applyFont="1">
      <alignment horizontal="left" readingOrder="0" shrinkToFit="0" vertical="center" wrapText="1"/>
    </xf>
    <xf borderId="0" fillId="17" fontId="76" numFmtId="0" xfId="0" applyAlignment="1" applyFont="1">
      <alignment horizontal="left" readingOrder="0" shrinkToFit="0" vertical="center" wrapText="1"/>
    </xf>
    <xf borderId="0" fillId="15" fontId="9" numFmtId="0" xfId="0" applyAlignment="1" applyFont="1">
      <alignment horizontal="left" shrinkToFit="0" vertical="center" wrapText="1"/>
    </xf>
    <xf borderId="0" fillId="15" fontId="77" numFmtId="0" xfId="0" applyAlignment="1" applyFont="1">
      <alignment horizontal="left" readingOrder="0" shrinkToFit="0" vertical="center" wrapText="1"/>
    </xf>
    <xf borderId="0" fillId="9" fontId="26" numFmtId="0" xfId="0" applyAlignment="1" applyFont="1">
      <alignment vertical="bottom"/>
    </xf>
    <xf borderId="0" fillId="9" fontId="78" numFmtId="0" xfId="0" applyAlignment="1" applyFont="1">
      <alignment horizontal="left" readingOrder="0" shrinkToFit="0" vertical="center" wrapText="1"/>
    </xf>
    <xf borderId="0" fillId="0" fontId="49"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2476500</xdr:colOff>
      <xdr:row>33</xdr:row>
      <xdr:rowOff>628650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lch.fanbox.cc/posts/9317203" TargetMode="External"/><Relationship Id="rId42" Type="http://schemas.openxmlformats.org/officeDocument/2006/relationships/hyperlink" Target="https://nlch.fanbox.cc/posts/9317203" TargetMode="External"/><Relationship Id="rId41" Type="http://schemas.openxmlformats.org/officeDocument/2006/relationships/hyperlink" Target="https://nlch.fanbox.cc/posts/9317203" TargetMode="External"/><Relationship Id="rId44" Type="http://schemas.openxmlformats.org/officeDocument/2006/relationships/hyperlink" Target="https://ci-en.dlsite.com/creator/24375/plan" TargetMode="External"/><Relationship Id="rId43" Type="http://schemas.openxmlformats.org/officeDocument/2006/relationships/hyperlink" Target="https://nlch.fanbox.cc/posts/9317203" TargetMode="External"/><Relationship Id="rId46" Type="http://schemas.openxmlformats.org/officeDocument/2006/relationships/hyperlink" Target="https://ci-en.dlsite.com/creator/24375/plan" TargetMode="External"/><Relationship Id="rId45"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perohub.com/posts/6773ed3e7e0707642a5c7882" TargetMode="External"/><Relationship Id="rId4" Type="http://schemas.openxmlformats.org/officeDocument/2006/relationships/hyperlink" Target="https://store.steampowered.com/app/3238940/_/" TargetMode="External"/><Relationship Id="rId9" Type="http://schemas.openxmlformats.org/officeDocument/2006/relationships/hyperlink" Target="https://store.steampowered.com/app/3238940/_/" TargetMode="External"/><Relationship Id="rId48" Type="http://schemas.openxmlformats.org/officeDocument/2006/relationships/hyperlink" Target="https://ci-en.dlsite.com/creator/24375/plan" TargetMode="External"/><Relationship Id="rId47" Type="http://schemas.openxmlformats.org/officeDocument/2006/relationships/hyperlink" Target="https://ci-en.dlsite.com/creator/24375/plan" TargetMode="External"/><Relationship Id="rId49" Type="http://schemas.openxmlformats.org/officeDocument/2006/relationships/hyperlink" Target="https://ci-en.dlsite.com/creator/24375/plan" TargetMode="External"/><Relationship Id="rId5" Type="http://schemas.openxmlformats.org/officeDocument/2006/relationships/hyperlink" Target="https://perohub.com/posts/6773ed3e7e0707642a5c7882"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nlch.itch.io/sister/devlog/879085/demo-v065a-release" TargetMode="External"/><Relationship Id="rId30" Type="http://schemas.openxmlformats.org/officeDocument/2006/relationships/hyperlink" Target="https://nlch.itch.io/sister/devlog/879085/demo-v065a-release" TargetMode="External"/><Relationship Id="rId33" Type="http://schemas.openxmlformats.org/officeDocument/2006/relationships/hyperlink" Target="https://perohub.com/posts/6773ed3e7e0707642a5c7882" TargetMode="External"/><Relationship Id="rId32" Type="http://schemas.openxmlformats.org/officeDocument/2006/relationships/hyperlink" Target="https://perohub.com/posts/6773ed3e7e0707642a5c7882" TargetMode="External"/><Relationship Id="rId35" Type="http://schemas.openxmlformats.org/officeDocument/2006/relationships/hyperlink" Target="https://nlch.fanbox.cc/posts/9317203" TargetMode="External"/><Relationship Id="rId34" Type="http://schemas.openxmlformats.org/officeDocument/2006/relationships/hyperlink" Target="https://perohub.com/posts/6773ed3e7e0707642a5c7882"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nlch.fanbox.cc/posts/9317203" TargetMode="External"/><Relationship Id="rId38" Type="http://schemas.openxmlformats.org/officeDocument/2006/relationships/hyperlink" Target="https://ci-en.dlsite.com/creator/24375/plan" TargetMode="External"/><Relationship Id="rId62" Type="http://schemas.openxmlformats.org/officeDocument/2006/relationships/hyperlink" Target="https://home.gamer.com.tw/artwork.php?sn=6032493" TargetMode="External"/><Relationship Id="rId61" Type="http://schemas.openxmlformats.org/officeDocument/2006/relationships/hyperlink" Target="https://maidbunnycorp.github.io/UsadventureMap/" TargetMode="External"/><Relationship Id="rId20" Type="http://schemas.openxmlformats.org/officeDocument/2006/relationships/hyperlink" Target="https://store.steampowered.com/app/3238940/_/" TargetMode="External"/><Relationship Id="rId64" Type="http://schemas.openxmlformats.org/officeDocument/2006/relationships/vmlDrawing" Target="../drawings/vmlDrawing1.vml"/><Relationship Id="rId63" Type="http://schemas.openxmlformats.org/officeDocument/2006/relationships/drawing" Target="../drawings/drawing1.xml"/><Relationship Id="rId22" Type="http://schemas.openxmlformats.org/officeDocument/2006/relationships/hyperlink" Target="https://store.steampowered.com/app/3238940/_/" TargetMode="External"/><Relationship Id="rId21" Type="http://schemas.openxmlformats.org/officeDocument/2006/relationships/hyperlink" Target="https://store.steampowered.com/app/3238940/_/" TargetMode="External"/><Relationship Id="rId24" Type="http://schemas.openxmlformats.org/officeDocument/2006/relationships/hyperlink" Target="https://nlch.itch.io/sister/devlog/879085/demo-v065a-release" TargetMode="External"/><Relationship Id="rId23" Type="http://schemas.openxmlformats.org/officeDocument/2006/relationships/hyperlink" Target="https://nlch.itch.io/sister/devlog/879085/demo-v065a-release" TargetMode="External"/><Relationship Id="rId60" Type="http://schemas.openxmlformats.org/officeDocument/2006/relationships/hyperlink" Target="https://maidbunnycorp.github.io/UsadventureMap/" TargetMode="External"/><Relationship Id="rId26" Type="http://schemas.openxmlformats.org/officeDocument/2006/relationships/hyperlink" Target="https://nlch.itch.io/sister/devlog/879085/demo-v065a-release" TargetMode="External"/><Relationship Id="rId25" Type="http://schemas.openxmlformats.org/officeDocument/2006/relationships/hyperlink" Target="https://nlch.itch.io/sister/devlog/879085/demo-v065a-release" TargetMode="External"/><Relationship Id="rId28" Type="http://schemas.openxmlformats.org/officeDocument/2006/relationships/hyperlink" Target="https://nlch.itch.io/sister/devlog/879085/demo-v065a-release" TargetMode="External"/><Relationship Id="rId27" Type="http://schemas.openxmlformats.org/officeDocument/2006/relationships/hyperlink" Target="https://nlch.itch.io/sister/devlog/879085/demo-v065a-release" TargetMode="External"/><Relationship Id="rId29" Type="http://schemas.openxmlformats.org/officeDocument/2006/relationships/hyperlink" Target="https://nlch.itch.io/sister/devlog/879085/demo-v065a-release" TargetMode="External"/><Relationship Id="rId51" Type="http://schemas.openxmlformats.org/officeDocument/2006/relationships/hyperlink" Target="https://ci-en.dlsite.com/creator/24375/plan" TargetMode="External"/><Relationship Id="rId50" Type="http://schemas.openxmlformats.org/officeDocument/2006/relationships/hyperlink" Target="https://ci-en.dlsite.com/creator/24375/plan" TargetMode="External"/><Relationship Id="rId53" Type="http://schemas.openxmlformats.org/officeDocument/2006/relationships/hyperlink" Target="https://maidbunnycorp.github.io/UsadventureMap/" TargetMode="External"/><Relationship Id="rId52" Type="http://schemas.openxmlformats.org/officeDocument/2006/relationships/hyperlink" Target="https://ci-en.dlsite.com/creator/24375/plan" TargetMode="External"/><Relationship Id="rId11" Type="http://schemas.openxmlformats.org/officeDocument/2006/relationships/hyperlink" Target="https://discord.gg/2Bt7RWknyH" TargetMode="External"/><Relationship Id="rId55" Type="http://schemas.openxmlformats.org/officeDocument/2006/relationships/hyperlink" Target="https://maidbunnycorp.github.io/UsadventureMap/" TargetMode="External"/><Relationship Id="rId10" Type="http://schemas.openxmlformats.org/officeDocument/2006/relationships/hyperlink" Target="https://store.steampowered.com/app/3238940/_/" TargetMode="External"/><Relationship Id="rId54" Type="http://schemas.openxmlformats.org/officeDocument/2006/relationships/hyperlink" Target="https://maidbunnycorp.github.io/UsadventureMap/" TargetMode="External"/><Relationship Id="rId13" Type="http://schemas.openxmlformats.org/officeDocument/2006/relationships/hyperlink" Target="https://store.steampowered.com/app/3238940/_/" TargetMode="External"/><Relationship Id="rId57" Type="http://schemas.openxmlformats.org/officeDocument/2006/relationships/hyperlink" Target="https://maidbunnycorp.github.io/UsadventureMap/" TargetMode="External"/><Relationship Id="rId12" Type="http://schemas.openxmlformats.org/officeDocument/2006/relationships/hyperlink" Target="https://nlch.itch.io/sister/devlog/879085/demo-v065a-release" TargetMode="External"/><Relationship Id="rId56" Type="http://schemas.openxmlformats.org/officeDocument/2006/relationships/hyperlink" Target="https://maidbunnycorp.github.io/UsadventureMap/" TargetMode="External"/><Relationship Id="rId15" Type="http://schemas.openxmlformats.org/officeDocument/2006/relationships/hyperlink" Target="https://store.steampowered.com/app/3238940/_/" TargetMode="External"/><Relationship Id="rId59" Type="http://schemas.openxmlformats.org/officeDocument/2006/relationships/hyperlink" Target="https://maidbunnycorp.github.io/UsadventureMap/" TargetMode="External"/><Relationship Id="rId14" Type="http://schemas.openxmlformats.org/officeDocument/2006/relationships/hyperlink" Target="https://store.steampowered.com/app/3238940/_/" TargetMode="External"/><Relationship Id="rId58" Type="http://schemas.openxmlformats.org/officeDocument/2006/relationships/hyperlink" Target="https://maidbunnycorp.github.io/UsadventureMap/" TargetMode="External"/><Relationship Id="rId17" Type="http://schemas.openxmlformats.org/officeDocument/2006/relationships/hyperlink" Target="https://store.steampowered.com/app/3238940/_/" TargetMode="External"/><Relationship Id="rId16" Type="http://schemas.openxmlformats.org/officeDocument/2006/relationships/hyperlink" Target="https://store.steampowered.com/app/3238940/_/" TargetMode="External"/><Relationship Id="rId19" Type="http://schemas.openxmlformats.org/officeDocument/2006/relationships/hyperlink" Target="https://store.steampowered.com/app/3238940/_/" TargetMode="External"/><Relationship Id="rId1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0" width="47.63"/>
    <col customWidth="1" min="11" max="24" width="44.38"/>
  </cols>
  <sheetData>
    <row r="1" ht="72.0" customHeight="1">
      <c r="A1" s="1" t="s">
        <v>0</v>
      </c>
      <c r="B1" s="1" t="s">
        <v>1</v>
      </c>
      <c r="C1" s="2" t="s">
        <v>2</v>
      </c>
      <c r="D1" s="1" t="s">
        <v>3</v>
      </c>
      <c r="E1" s="2" t="s">
        <v>4</v>
      </c>
      <c r="F1" s="3"/>
      <c r="G1" s="2" t="s">
        <v>5</v>
      </c>
      <c r="H1" s="2" t="s">
        <v>6</v>
      </c>
      <c r="I1" s="2" t="s">
        <v>7</v>
      </c>
      <c r="J1" s="2" t="s">
        <v>8</v>
      </c>
      <c r="K1" s="4"/>
      <c r="L1" s="4"/>
      <c r="M1" s="4"/>
      <c r="N1" s="4"/>
      <c r="O1" s="4"/>
      <c r="P1" s="4"/>
      <c r="Q1" s="4"/>
      <c r="R1" s="4"/>
      <c r="S1" s="4"/>
      <c r="T1" s="4"/>
      <c r="U1" s="4"/>
      <c r="V1" s="4"/>
      <c r="W1" s="4"/>
      <c r="X1" s="4"/>
    </row>
    <row r="2" ht="528.0" customHeight="1">
      <c r="A2" s="5" t="s">
        <v>9</v>
      </c>
      <c r="B2" s="6" t="s">
        <v>10</v>
      </c>
      <c r="C2" s="6" t="s">
        <v>11</v>
      </c>
      <c r="D2" s="7" t="s">
        <v>12</v>
      </c>
      <c r="E2" s="8" t="str">
        <f>IFERROR(__xludf.DUMMYFUNCTION("GOOGLETRANSLATE(A2,""zh-tw"",""es-MX"")"),"※※※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Piratas, por favor, respeten esto. Los desarrolladores de juegos también tienen derecho a emprender acciones legales contra los juegos pirateados; por favor, no "&amp;"infrinjan la ley.
3. Para cada actualización importante, se recomienda descargar manualmente la última versión del sitio web oficial y utilizar las actualizaciones automáticas a la última versión (en algunas regiones, se requiere una VPN para acceder a o"&amp;"tras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Piratas, por favor, respeten esto. Los desarrolladores de juegos también tienen derecho a emprender acciones legales contra los juegos pirateados; por favor, no infrinjan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2" s="8" t="str">
        <f>IFERROR(__xludf.DUMMYFUNCTION("GOOGLETRANSLATE(A2,""zh-tw"",""KO"")"),"※※※
1. 공식 홍보 자료나 예고편에 포함된 이미지와 이미 구현된 일부 항목은 완전한 구현을 보장하지 않습니다. 따라서 불가능한 작업을 어떻게 해야 하는지 묻지 마십시오. 항상 ""아직 구현되지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허"&amp;"가가 필요한 경우, 재인쇄 권한을 얻기 위해 저희에게 연락해 주십시오. 불법 복제자는 이를 존중해 주십시오.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팀에"&amp;"서 검토 중이 아닙니다.
5. 이 문서는 허가가 필요하지 않습니다. 누구나 하단의 탭을 통해 직접 볼 수 있습니다.")</f>
        <v>※※※
1. 공식 홍보 자료나 예고편에 포함된 이미지와 이미 구현된 일부 항목은 완전한 구현을 보장하지 않습니다. 따라서 불가능한 작업을 어떻게 해야 하는지 묻지 마십시오. 항상 "아직 구현되지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허가가 필요한 경우, 재인쇄 권한을 얻기 위해 저희에게 연락해 주십시오. 불법 복제자는 이를 존중해 주십시오.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팀에서 검토 중이 아닙니다.
5. 이 문서는 허가가 필요하지 않습니다. 누구나 하단의 탭을 통해 직접 볼 수 있습니다.</v>
      </c>
      <c r="G2" s="8" t="str">
        <f>IFERROR(__xludf.DUMMYFUNCTION("GOOGLETRANSLATE(A2,""zh-tw"",""RU"")"),"※※※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т"&amp;"о,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пожалуйс"&amp;"та, свяжитесь с нами для получения прав на перепечатку. Пираты, пожалуйста, уважайте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скачат"&amp;"ь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"&amp;"просмотра этого документа не требуется разрешение; любой желающий может просмотреть его с помощью вкладок внизу.")</f>
        <v>※※※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пожалуйста, свяжитесь с нами для получения прав на перепечатку. Пираты, пожалуйста, уважайте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просмотра этого документа не требуется разрешение; любой желающий может просмотреть его с помощью вкладок внизу.</v>
      </c>
      <c r="H2" s="6" t="s">
        <v>13</v>
      </c>
      <c r="I2" s="6" t="s">
        <v>14</v>
      </c>
      <c r="J2" s="6" t="s">
        <v>15</v>
      </c>
      <c r="K2" s="4"/>
      <c r="L2" s="4"/>
      <c r="M2" s="4"/>
      <c r="N2" s="4"/>
      <c r="O2" s="4"/>
      <c r="P2" s="4"/>
      <c r="Q2" s="4"/>
      <c r="R2" s="4"/>
      <c r="S2" s="4"/>
      <c r="T2" s="4"/>
      <c r="U2" s="4"/>
      <c r="V2" s="4"/>
      <c r="W2" s="4"/>
      <c r="X2" s="4"/>
    </row>
    <row r="3" ht="474.75" customHeight="1">
      <c r="A3" s="9" t="s">
        <v>16</v>
      </c>
      <c r="B3" s="10" t="str">
        <f>IFERROR(__xludf.DUMMYFUNCTION("GOOGLETRANSLATE(A3,""zh-tw"",""ja"")"),"新規プレイヤーからの質問が非常に多かったため、バージョン0.9向けの簡易ガイドを作成しました。
1. 自動販売機を破壊するか購入する（「飲み物」がアンロックされます）
2. チャリオット・タロットカード（遺跡1階左側の赤い宝箱の中にあります。雨の日に更新されます）を使ってホラー映画を購入する
3. アビスにいるレッドビーストのボスを倒してフラグメントを入手し、ポータルを使って家に帰る（レッドエリクサーがアンロックされます）
4. 「飲み物」とレッドエリクサーを使って妹を回復する
5. パープルハ"&amp;"ートを3つ以上入手する
6. 午後10時以降にテレビを見る
--- 1. チャリオット・タロットカードを使って同人誌を購入する
2. アビスにいるレッドビーストのボスを25秒以内に倒す（教会を召喚する）
3. 「聖女の慈悲」を解除する（性欲を51％以上に高めるには、尼僧に話しかけてください。")</f>
        <v>新規プレイヤーからの質問が非常に多かったため、バージョン0.9向けの簡易ガイドを作成しました。
1. 自動販売機を破壊するか購入する（「飲み物」がアンロックされます）
2. チャリオット・タロットカード（遺跡1階左側の赤い宝箱の中にあります。雨の日に更新されます）を使ってホラー映画を購入する
3. アビスにいるレッドビーストのボスを倒してフラグメントを入手し、ポータルを使って家に帰る（レッドエリクサーがアンロックされます）
4. 「飲み物」とレッドエリクサーを使って妹を回復する
5. パープルハートを3つ以上入手する
6. 午後10時以降にテレビを見る
--- 1. チャリオット・タロットカードを使って同人誌を購入する
2. アビスにいるレッドビーストのボスを25秒以内に倒す（教会を召喚する）
3. 「聖女の慈悲」を解除する（性欲を51％以上に高めるには、尼僧に話しかけてください。</v>
      </c>
      <c r="C3" s="11" t="str">
        <f>IFERROR(__xludf.DUMMYFUNCTION("GOOGLETRANSLATE(A3,""zh-tw"",""en"")"),"Due to the overwhelming number of new players asking questions, I've compiled a simplified guide for version 0.9:
1. Destroy or buy a vending machine (unlocks ""What to Drink"")
2. Use the Chariot Tarot cards (found in the red chest on the left side of "&amp;"the first level of the ruins, refreshes on rainy days) to buy a horror movie
3. Defeat the Red Beast BOSS in the Abyss to obtain a fragment, then use the portal to return home (unlocks Red Elixir)
4. Use ""What to Drink"" and Red Elixir to heal your sis"&amp;"ter
5. Obtain at least 3 purple hearts
6. Watch TV after 10 PM
--- 1. Use the Chariot Tarot cards to buy a doujinshi
2. Defeat the Red Beast BOSS in the Abyss within 25 seconds (summons the church)
3. Remove your ""Saint Maiden's Mercy"" (use the dou"&amp;"jinshi to increase libido to over 51%), then talk to the nun.")</f>
        <v>Due to the overwhelming number of new players asking questions, I've compiled a simplified guide for version 0.9:
1. Destroy or buy a vending machine (unlocks "What to Drink")
2. Use the Chariot Tarot cards (found in the red chest on the left side of the first level of the ruins, refreshes on rainy days) to buy a horror movie
3. Defeat the Red Beast BOSS in the Abyss to obtain a fragment, then use the portal to return home (unlocks Red Elixir)
4. Use "What to Drink" and Red Elixir to heal your sister
5. Obtain at least 3 purple hearts
6. Watch TV after 10 PM
--- 1. Use the Chariot Tarot cards to buy a doujinshi
2. Defeat the Red Beast BOSS in the Abyss within 25 seconds (summons the church)
3. Remove your "Saint Maiden's Mercy" (use the doujinshi to increase libido to over 51%), then talk to the nun.</v>
      </c>
      <c r="D3" s="12" t="str">
        <f>IFERROR(__xludf.DUMMYFUNCTION("GOOGLETRANSLATE(A3,""zh-tw"",""zh"")"),"由于太多新玩家加入被问到烦了，所以整理了0.9版本懒人包：
1.打爆或者购买饮料机(解锁喝点什么)
2.使用战车塔罗牌(在遗迹第一层中左方的红宝箱，雨天刷新)，购买恐怖影片
3.打死深渊的红兽BOSS取得碎片，使用传送门回家(解锁红髓液)
4.使用喝点什么、红髓液，治愈妹妹
5.至少3颗紫色爱心
6.晚上10点后观看电视
---
1.使用战车塔罗牌购买本子
2.在25秒内打死深渊的红兽BOSS(召唤教堂)
3.把你的""圣少女的怜悯""拔掉(使用本子提升性欲至51%以上)，与修女对话")</f>
        <v>由于太多新玩家加入被问到烦了，所以整理了0.9版本懒人包：
1.打爆或者购买饮料机(解锁喝点什么)
2.使用战车塔罗牌(在遗迹第一层中左方的红宝箱，雨天刷新)，购买恐怖影片
3.打死深渊的红兽BOSS取得碎片，使用传送门回家(解锁红髓液)
4.使用喝点什么、红髓液，治愈妹妹
5.至少3颗紫色爱心
6.晚上10点后观看电视
---
1.使用战车塔罗牌购买本子
2.在25秒内打死深渊的红兽BOSS(召唤教堂)
3.把你的"圣少女的怜悯"拔掉(使用本子提升性欲至51%以上)，与修女对话</v>
      </c>
      <c r="E3" s="13" t="str">
        <f>IFERROR(__xludf.DUMMYFUNCTION("GOOGLETRANSLATE(A3,""zh-tw"",""es-MX"")"),"Debido a la gran cantidad de nuevos jugadores que hacen preguntas, he compilado una guía simplificada para la versión 0.9:
1. Destruye o compra una máquina expendedora (desbloquea ""Qué beber"")
2. Usa las cartas del Tarot del Carro (se encuentran en el"&amp;" cofre rojo a la izquierda del primer nivel de las ruinas; se recargan en días lluviosos) para comprar una película de terror
3. Derrota al jefe Bestia Roja en el Abismo para obtener un fragmento y luego usa el portal para volver a casa (desbloquea el El"&amp;"ixir Rojo)
4. Usa ""Qué beber"" y el Elixir Rojo para curar a tu hermana
5. Obtén al menos 3 corazones morados
6. Ve la televisión después de las 22:00
--- 1. Usa las cartas del Tarot del Carro para comprar un doujinshi
2. Derrota al jefe Bestia Roja"&amp;" en el Abismo en 25 segundos (invoca la iglesia)
3. Retira tu ""Misericordia de la Doncella Santa"" (usa el doujinshi para aumentar la libido a más del 51%), luego habla con la monja.")</f>
        <v>Debido a la gran cantidad de nuevos jugadores que hacen preguntas, he compilado una guía simplificada para la versión 0.9:
1. Destruye o compra una máquina expendedora (desbloquea "Qué beber")
2. Usa las cartas del Tarot del Carro (se encuentran en el cofre rojo a la izquierda del primer nivel de las ruinas; se recargan en días lluviosos) para comprar una película de terror
3. Derrota al jefe Bestia Roja en el Abismo para obtener un fragmento y luego usa el portal para volver a casa (desbloquea el Elixir Rojo)
4. Usa "Qué beber" y el Elixir Rojo para curar a tu hermana
5. Obtén al menos 3 corazones morados
6. Ve la televisión después de las 22:00
--- 1. Usa las cartas del Tarot del Carro para comprar un doujinshi
2. Derrota al jefe Bestia Roja en el Abismo en 25 segundos (invoca la iglesia)
3. Retira tu "Misericordia de la Doncella Santa" (usa el doujinshi para aumentar la libido a más del 51%), luego habla con la monja.</v>
      </c>
      <c r="F3" s="10" t="str">
        <f>IFERROR(__xludf.DUMMYFUNCTION("GOOGLETRANSLATE(A3,""zh-tw"",""KO"")"),"신규 플레이어 여러분의 많은 질문 덕분에 버전 0.9에 대한 간단한 가이드를 준비했습니다.
1. 자판기를 파괴하거나 구매하세요(""What to Drink"" 잠금 해제).
2. 전차 타로 카드(폐허 1층 왼쪽의 빨간색 상자에서 찾을 수 있으며, 비오는 날에는 초기화됨)를 사용하여 공포 영화를 구매하세요.
3. 심연의 붉은 짐승 보스를 처치하여 조각을 획득한 후, 차원문을 통해 집으로 돌아가세요(붉은 엘릭서 잠금 해제).
4. ""What to "&amp;"Drink""와 붉은 엘릭서를 사용하여 여동생을 치료하세요.
5. 퍼플 하트를 최소 3개 획득하세요.
6. 오후 10시 이후에 TV를 시청하세요.
--- 1. 전차 타로 카드를 사용하여 동인지를 구매하세요.
2. 심연의 붉은 짐승 보스를 25초 이내에 처치하세요(교회 소환).
3. ""성녀의 자비""를 제거하세요( 동인지를 통해 리비도를 51% 이상 증가시키고, 수녀와 상담하세요.")</f>
        <v>신규 플레이어 여러분의 많은 질문 덕분에 버전 0.9에 대한 간단한 가이드를 준비했습니다.
1. 자판기를 파괴하거나 구매하세요("What to Drink" 잠금 해제).
2. 전차 타로 카드(폐허 1층 왼쪽의 빨간색 상자에서 찾을 수 있으며, 비오는 날에는 초기화됨)를 사용하여 공포 영화를 구매하세요.
3. 심연의 붉은 짐승 보스를 처치하여 조각을 획득한 후, 차원문을 통해 집으로 돌아가세요(붉은 엘릭서 잠금 해제).
4. "What to Drink"와 붉은 엘릭서를 사용하여 여동생을 치료하세요.
5. 퍼플 하트를 최소 3개 획득하세요.
6. 오후 10시 이후에 TV를 시청하세요.
--- 1. 전차 타로 카드를 사용하여 동인지를 구매하세요.
2. 심연의 붉은 짐승 보스를 25초 이내에 처치하세요(교회 소환).
3. "성녀의 자비"를 제거하세요( 동인지를 통해 리비도를 51% 이상 증가시키고, 수녀와 상담하세요.</v>
      </c>
      <c r="G3" s="13" t="str">
        <f>IFERROR(__xludf.DUMMYFUNCTION("GOOGLETRANSLATE(A3,""zh-tw"",""RU"")"),"В связи с огромным количеством вопросов от новых игроков, я составил упрощённое руководство для версии 0.9:
1. Уничтожьте или купите торговый автомат (открывается квест «Что пить»)
2. Используйте карты Таро Колесницы (находятся в красном сундуке слева н"&amp;"а первом уровне руин, обновляется в дождливые дни), чтобы купить фильм ужасов
3. Победите БОССА Красного Зверя в Бездне, чтобы получить фрагмент, затем воспользуйтесь порталом, чтобы вернуться домой (открывается Красный Эликсир)
4. Используйте «Что пить"&amp;"» и Красный Эликсир, чтобы исцелить сестру
5. Получите как минимум 3 фиолетовых сердца
6. Смотрите телевизор после 22:00
--- 1. Используйте карты Таро Колесницы, чтобы купить додзинси
2. Победите БОССА Красного Зверя в Бездне в течение 25 секунд (приз"&amp;"ывает церковь)
3. Снимите с себя «Святого» «Милосердие Девы» (используйте додзинси, чтобы повысить либидо до более чем 51%), затем поговорите с монахиней.")</f>
        <v>В связи с огромным количеством вопросов от новых игроков, я составил упрощённое руководство для версии 0.9:
1. Уничтожьте или купите торговый автомат (открывается квест «Что пить»)
2. Используйте карты Таро Колесницы (находятся в красном сундуке слева на первом уровне руин, обновляется в дождливые дни), чтобы купить фильм ужасов
3. Победите БОССА Красного Зверя в Бездне, чтобы получить фрагмент, затем воспользуйтесь порталом, чтобы вернуться домой (открывается Красный Эликсир)
4. Используйте «Что пить» и Красный Эликсир, чтобы исцелить сестру
5. Получите как минимум 3 фиолетовых сердца
6. Смотрите телевизор после 22:00
--- 1. Используйте карты Таро Колесницы, чтобы купить додзинси
2. Победите БОССА Красного Зверя в Бездне в течение 25 секунд (призывает церковь)
3. Снимите с себя «Святого» «Милосердие Девы» (используйте додзинси, чтобы повысить либидо до более чем 51%), затем поговорите с монахиней.</v>
      </c>
      <c r="H3" s="13" t="str">
        <f>IFERROR(__xludf.DUMMYFUNCTION("GOOGLETRANSLATE(A3,""zh-tw"",""DE"")"),"Aufgrund der vielen Fragen neuer Spieler habe ich eine vereinfachte Anleitung für Version 0.9 zusammengestellt:
1. Zerstöre oder kaufe einen Verkaufsautomaten (schaltet „Was trinken?“ frei).
2. Benutze die Wagen-Tarotkarten (in der roten Truhe links im "&amp;"ersten Ruinenlevel, wird an Regentagen aktualisiert), um einen Horrorfilm zu kaufen.
3. Besiege den Boss „Rotes Biest“ im Abgrund, um ein Fragment zu erhalten, und benutze dann das Portal, um nach Hause zurückzukehren (schaltet Rotes Elixier frei).
4. B"&amp;"enutze „Was trinken?“ und Rotes Elixier, um deine Schwester zu heilen.
5. Erhalte mindestens 3 violette Herzen.
6. Sieh nach 22 Uhr fern.
--- 1. Benutze die Wagen-Tarotkarten, um einen Doujinshi zu kaufen.
2. Besiege den Boss „Rotes Biest“ im Abgrund "&amp;"innerhalb von 25 Sekunden (beschwört die Kirche).
3. Entferne deine „Gnade der Heiligen Jungfrau“ (benutze die Um die Libido auf über 51 % zu steigern, lies Doujinshi und sprich dann mit der Nonne.")</f>
        <v>Aufgrund der vielen Fragen neuer Spieler habe ich eine vereinfachte Anleitung für Version 0.9 zusammengestellt:
1. Zerstöre oder kaufe einen Verkaufsautomaten (schaltet „Was trinken?“ frei).
2. Benutze die Wagen-Tarotkarten (in der roten Truhe links im ersten Ruinenlevel, wird an Regentagen aktualisiert), um einen Horrorfilm zu kaufen.
3. Besiege den Boss „Rotes Biest“ im Abgrund, um ein Fragment zu erhalten, und benutze dann das Portal, um nach Hause zurückzukehren (schaltet Rotes Elixier frei).
4. Benutze „Was trinken?“ und Rotes Elixier, um deine Schwester zu heilen.
5. Erhalte mindestens 3 violette Herzen.
6. Sieh nach 22 Uhr fern.
--- 1. Benutze die Wagen-Tarotkarten, um einen Doujinshi zu kaufen.
2. Besiege den Boss „Rotes Biest“ im Abgrund innerhalb von 25 Sekunden (beschwört die Kirche).
3. Entferne deine „Gnade der Heiligen Jungfrau“ (benutze die Um die Libido auf über 51 % zu steigern, lies Doujinshi und sprich dann mit der Nonne.</v>
      </c>
      <c r="I3" s="14" t="str">
        <f>IFERROR(__xludf.DUMMYFUNCTION("GOOGLETRANSLATE(A3,""zh-tw"",""vi"")"),"Do số lượng người chơi mới đặt câu hỏi quá nhiều, tôi đã biên soạn một hướng dẫn đơn giản cho phiên bản 0.9:
1. Phá hủy hoặc mua máy bán hàng tự động (mở khóa ""Đồ Uống"")
2. Sử dụng bộ bài Tarot Chariot (tìm thấy trong rương đỏ bên trái tầng đầu tiên c"&amp;"ủa khu tàn tích, sẽ được làm mới vào những ngày mưa) để mua một bộ phim kinh dị
3. Đánh bại BOSS Quái Thú Đỏ ở Vực Thẳm để lấy một mảnh, sau đó sử dụng cổng dịch chuyển để trở về nhà (mở khóa Dược Thảo Đỏ)
4. Sử dụng ""Đồ Uống"" và Dược Thảo Đỏ để chữa "&amp;"lành cho em gái của bạn
5. Thu thập ít nhất 3 Trái Tim Tím
6. Xem TV sau 10 giờ tối
--- 1. Sử dụng bộ bài Tarot Chariot để mua doujinshi
2. Đánh bại BOSS Quái Thú Đỏ ở Vực Thẳm trong vòng 25 giây (triệu hồi nhà thờ)
3. Loại bỏ ""Thánh Maiden's Mercy"&amp;""" (sử dụng doujinshi để tăng ham muốn tình dục lên hơn 51%), sau đó nói chuyện với nữ tu.")</f>
        <v>Do số lượng người chơi mới đặt câu hỏi quá nhiều, tôi đã biên soạn một hướng dẫn đơn giản cho phiên bản 0.9:
1. Phá hủy hoặc mua máy bán hàng tự động (mở khóa "Đồ Uống")
2. Sử dụng bộ bài Tarot Chariot (tìm thấy trong rương đỏ bên trái tầng đầu tiên của khu tàn tích, sẽ được làm mới vào những ngày mưa) để mua một bộ phim kinh dị
3. Đánh bại BOSS Quái Thú Đỏ ở Vực Thẳm để lấy một mảnh, sau đó sử dụng cổng dịch chuyển để trở về nhà (mở khóa Dược Thảo Đỏ)
4. Sử dụng "Đồ Uống" và Dược Thảo Đỏ để chữa lành cho em gái của bạn
5. Thu thập ít nhất 3 Trái Tim Tím
6. Xem TV sau 10 giờ tối
--- 1. Sử dụng bộ bài Tarot Chariot để mua doujinshi
2. Đánh bại BOSS Quái Thú Đỏ ở Vực Thẳm trong vòng 25 giây (triệu hồi nhà thờ)
3. Loại bỏ "Thánh Maiden's Mercy" (sử dụng doujinshi để tăng ham muốn tình dục lên hơn 51%), sau đó nói chuyện với nữ tu.</v>
      </c>
      <c r="J3" s="13" t="s">
        <v>17</v>
      </c>
      <c r="K3" s="4"/>
      <c r="L3" s="4"/>
      <c r="M3" s="4"/>
      <c r="N3" s="4"/>
      <c r="O3" s="4"/>
      <c r="P3" s="4"/>
      <c r="Q3" s="4"/>
      <c r="R3" s="4"/>
      <c r="S3" s="4"/>
      <c r="T3" s="4"/>
      <c r="U3" s="4"/>
      <c r="V3" s="4"/>
      <c r="W3" s="4"/>
      <c r="X3" s="4"/>
    </row>
    <row r="4" ht="156.75" customHeight="1">
      <c r="A4" s="15" t="s">
        <v>18</v>
      </c>
      <c r="B4" s="16" t="str">
        <f>IFERROR(__xludf.DUMMYFUNCTION("GOOGLETRANSLATE(A4,""zh-tw"",""ja"")"),"ゲーム内攻略アイテム「冒険のヒント」については、ウェブサイトやマップなどの外部リンクを開くことができないため、必要なプレイヤーは、すべてのリンク機能を正しくご利用いただくために、通常のウェブサイトからこのガイドにアクセスすることをお勧めします。
（一部の地域では、サイトへのアクセスにVPNが必要になる場合があります。）")</f>
        <v>ゲーム内攻略アイテム「冒険のヒント」については、ウェブサイトやマップなどの外部リンクを開くことができないため、必要なプレイヤーは、すべてのリンク機能を正しくご利用いただくために、通常のウェブサイトからこのガイドにアクセスすることをお勧めします。
（一部の地域では、サイトへのアクセスにVPNが必要になる場合があります。）</v>
      </c>
      <c r="C4" s="17" t="str">
        <f>IFERROR(__xludf.DUMMYFUNCTION("GOOGLETRANSLATE(A4,""zh-tw"",""en"")"),"Regarding the in-game strategy item ""Adventurer's Tips,"" since it cannot open external links such as website links/maps, it is recommended that players who need it use a regular website to access this guide to use all link functions properly.
(In some "&amp;"regions, a VPN may still be required to access the site.)")</f>
        <v>Regarding the in-game strategy item "Adventurer's Tips," since it cannot open external links such as website links/maps, it is recommended that players who need it use a regular website to access this guide to use all link functions properly.
(In some regions, a VPN may still be required to access the site.)</v>
      </c>
      <c r="D4" s="18" t="str">
        <f>IFERROR(__xludf.DUMMYFUNCTION("GOOGLETRANSLATE(A4,""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4" s="19" t="str">
        <f>IFERROR(__xludf.DUMMYFUNCTION("GOOGLETRANSLATE(A4,""zh-tw"",""es-MX"")"),"En cuanto al elemento de estrategia del juego ""Consejos del Aventurero"", dado que no permite abrir enlaces externos como sitios web o mapas, se recomienda que quienes lo necesiten utilicen un sitio web normal para acceder a esta guía y así aprovechar al"&amp;" máximo todas las funciones del enlace.
(En algunas regiones, es posible que se requiera una VPN para acceder al sitio).")</f>
        <v>En cuanto al elemento de estrategia del juego "Consejos del Aventurero", dado que no permite abrir enlaces externos como sitios web o mapas, se recomienda que quienes lo necesiten utilicen un sitio web normal para acceder a esta guía y así aprovechar al máximo todas las funciones del enlace.
(En algunas regiones, es posible que se requiera una VPN para acceder al sitio).</v>
      </c>
      <c r="F4" s="16" t="str">
        <f>IFERROR(__xludf.DUMMYFUNCTION("GOOGLETRANSLATE(A4,""zh-tw"",""KO"")"),"게임 내 전략 아이템 ""모험가의 팁""은 웹사이트 링크/지도 등 외부 링크를 열 수 없으므로, 해당 아이템이 필요한 플레이어는 모든 링크 기능을 제대로 사용하기 위해 일반 웹사이트를 통해 이 가이드에 접속하는 것을 권장합니다.
(일부 지역에서는 사이트 접속에 VPN이 필요할 수 있습니다.)")</f>
        <v>게임 내 전략 아이템 "모험가의 팁"은 웹사이트 링크/지도 등 외부 링크를 열 수 없으므로, 해당 아이템이 필요한 플레이어는 모든 링크 기능을 제대로 사용하기 위해 일반 웹사이트를 통해 이 가이드에 접속하는 것을 권장합니다.
(일부 지역에서는 사이트 접속에 VPN이 필요할 수 있습니다.)</v>
      </c>
      <c r="G4" s="19" t="str">
        <f>IFERROR(__xludf.DUMMYFUNCTION("GOOGLETRANSLATE(A4,""zh-tw"",""RU"")"),"Что касается внутриигрового стратегического элемента «Советы искателя приключений», то, поскольку он не может открывать внешние ссылки, такие как ссылки на веб-сайты/карты, игрокам, которым он нужен, рекомендуется использовать обычный веб-сайт для доступа"&amp;" к этому руководству, чтобы использовать все функции ссылок.
(В некоторых регионах для доступа к сайту по-прежнему может потребоваться VPN.)")</f>
        <v>Что касается внутриигрового стратегического элемента «Советы искателя приключений», то, поскольку он не может открывать внешние ссылки, такие как ссылки на веб-сайты/карты, игрокам, которым он нужен, рекомендуется использовать обычный веб-сайт для доступа к этому руководству, чтобы использовать все функции ссылок.
(В некоторых регионах для доступа к сайту по-прежнему может потребоваться VPN.)</v>
      </c>
      <c r="H4" s="19" t="str">
        <f>IFERROR(__xludf.DUMMYFUNCTION("GOOGLETRANSLATE(A4,""zh-tw"",""DE"")"),"Da der Strategiegegenstand „Abenteurertipps“ im Spiel keine externen Links wie Webseiten oder Karten öffnen kann, wird Spielern, die ihn benötigen, empfohlen, für den Zugriff auf diesen Leitfaden eine reguläre Webseite zu verwenden, um alle Linkfunktionen"&amp;" nutzen zu können.
(In einigen Regionen ist möglicherweise weiterhin ein VPN erforderlich, um auf die Webseite zuzugreifen.)")</f>
        <v>Da der Strategiegegenstand „Abenteurertipps“ im Spiel keine externen Links wie Webseiten oder Karten öffnen kann, wird Spielern, die ihn benötigen, empfohlen, für den Zugriff auf diesen Leitfaden eine reguläre Webseite zu verwenden, um alle Linkfunktionen nutzen zu können.
(In einigen Regionen ist möglicherweise weiterhin ein VPN erforderlich, um auf die Webseite zuzugreifen.)</v>
      </c>
      <c r="I4" s="19" t="s">
        <v>19</v>
      </c>
      <c r="J4" s="19" t="str">
        <f>IFERROR(__xludf.DUMMYFUNCTION("GOOGLETRANSLATE(A4,""zh-tw"",""pt-BR"")"),"Com relação ao item de estratégia do jogo ""Dicas do Aventureiro"", como ele não abre links externos, como links de sites/mapas, recomenda-se que os jogadores que precisarem dele acessem este guia por meio de um site comum para utilizar todas as funções d"&amp;"o link corretamente.
(Em algumas regiões, pode ser necessário usar uma VPN para acessar o site.)")</f>
        <v>Com relação ao item de estratégia do jogo "Dicas do Aventureiro", como ele não abre links externos, como links de sites/mapas, recomenda-se que os jogadores que precisarem dele acessem este guia por meio de um site comum para utilizar todas as funções do link corretamente.
(Em algumas regiões, pode ser necessário usar uma VPN para acessar o site.)</v>
      </c>
      <c r="K4" s="4"/>
      <c r="L4" s="4"/>
      <c r="M4" s="4"/>
      <c r="N4" s="4"/>
      <c r="O4" s="4"/>
      <c r="P4" s="4"/>
      <c r="Q4" s="4"/>
      <c r="R4" s="4"/>
      <c r="S4" s="4"/>
      <c r="T4" s="4"/>
      <c r="U4" s="4"/>
      <c r="V4" s="4"/>
      <c r="W4" s="4"/>
      <c r="X4" s="4"/>
    </row>
    <row r="5" ht="113.25" customHeight="1">
      <c r="A5" s="20" t="s">
        <v>20</v>
      </c>
      <c r="B5" s="21" t="str">
        <f>IFERROR(__xludf.DUMMYFUNCTION("GOOGLETRANSLATE(A5,""zh-tw"",""ja"")"),"マップセクションは現在開発中であり、言語コンテンツの大部分が未完成です。ご不便をおかけして申し訳ございません。
繁体字中国語版との比較もご参照ください。")</f>
        <v>マップセクションは現在開発中であり、言語コンテンツの大部分が未完成です。ご不便をおかけして申し訳ございません。
繁体字中国語版との比較もご参照ください。</v>
      </c>
      <c r="C5" s="22" t="str">
        <f>IFERROR(__xludf.DUMMYFUNCTION("GOOGLETRANSLATE(A5,""zh-tw"",""en"")"),"The map section is currently under development, and much of the language content is still incomplete. We apologize for the inconvenience.
You can refer to the Traditional Chinese version for comparison.")</f>
        <v>The map section is currently under development, and much of the language content is still incomplete. We apologize for the inconvenience.
You can refer to the Traditional Chinese version for comparison.</v>
      </c>
      <c r="D5" s="20" t="str">
        <f>IFERROR(__xludf.DUMMYFUNCTION("GOOGLETRANSLATE(A5,""zh-tw"",""zh"")"),"地图MAP，因目前该分页的制作人员忙碌中，许多语言内容尚未制作，请见谅。
可以先参考繁体中文版进行对照。")</f>
        <v>地图MAP，因目前该分页的制作人员忙碌中，许多语言内容尚未制作，请见谅。
可以先参考繁体中文版进行对照。</v>
      </c>
      <c r="E5" s="21" t="str">
        <f>IFERROR(__xludf.DUMMYFUNCTION("GOOGLETRANSLATE(A5,""zh-tw"",""es-MX"")"),"La sección de mapas está en desarrollo y gran parte del contenido del idioma aún está incompleto. Disculpen las molestias.
Pueden consultar la versión en chino tradicional para comparar.")</f>
        <v>La sección de mapas está en desarrollo y gran parte del contenido del idioma aún está incompleto. Disculpen las molestias.
Pueden consultar la versión en chino tradicional para comparar.</v>
      </c>
      <c r="F5" s="21" t="str">
        <f>IFERROR(__xludf.DUMMYFUNCTION("GOOGLETRANSLATE(A5,""zh-tw"",""KO"")"),"지도 섹션은 현재 개발 중이며, 언어 콘텐츠의 상당 부분이 아직 완성되지 않았습니다. 불편을 드려 죄송합니다.
비교를 위해 중국어 번체 버전을 참조하실 수 있습니다.")</f>
        <v>지도 섹션은 현재 개발 중이며, 언어 콘텐츠의 상당 부분이 아직 완성되지 않았습니다. 불편을 드려 죄송합니다.
비교를 위해 중국어 번체 버전을 참조하실 수 있습니다.</v>
      </c>
      <c r="G5" s="21" t="str">
        <f>IFERROR(__xludf.DUMMYFUNCTION("GOOGLETRANSLATE(A5,""zh-tw"",""RU"")"),"Раздел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f>
        <v>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v>
      </c>
      <c r="H5" s="21" t="str">
        <f>IFERROR(__xludf.DUMMYFUNCTION("GOOGLETRANSLATE(A5,""zh-tw"",""DE"")"),"Der Kartenbereich befindet sich derzeit im Aufbau, und viele der sprachlichen Inhalte sind noch unvollständig. Wir bitten die Unannehmlichkeiten zu entschuldigen.
Zum Vergleich können Sie die Version in traditionellem Chinesisch heranziehen.")</f>
        <v>Der Kartenbereich befindet sich derzeit im Aufbau, und viele der sprachlichen Inhalte sind noch unvollständig. Wir bitten die Unannehmlichkeiten zu entschuldigen.
Zum Vergleich können Sie die Version in traditionellem Chinesisch heranziehen.</v>
      </c>
      <c r="I5" s="23" t="s">
        <v>21</v>
      </c>
      <c r="J5" s="24" t="str">
        <f>IFERROR(__xludf.DUMMYFUNCTION("GOOGLETRANSLATE(A5,""zh-tw"",""pt-BR"")"),"A seção de mapas está em desenvolvimento e grande parte do conteúdo linguístico ainda está incompleto. Pedimos desculpas pelo inconveniente.
Você pode consultar a versão em chinês tradicional para comparação.")</f>
        <v>A seção de mapas está em desenvolvimento e grande parte do conteúdo linguístico ainda está incompleto. Pedimos desculpas pelo inconveniente.
Você pode consultar a versão em chinês tradicional para comparação.</v>
      </c>
      <c r="K5" s="4"/>
      <c r="L5" s="4"/>
      <c r="M5" s="4"/>
      <c r="N5" s="4"/>
      <c r="O5" s="4"/>
      <c r="P5" s="4"/>
      <c r="Q5" s="4"/>
      <c r="R5" s="4"/>
      <c r="S5" s="4"/>
      <c r="T5" s="4"/>
      <c r="U5" s="4"/>
      <c r="V5" s="4"/>
      <c r="W5" s="4"/>
      <c r="X5" s="4"/>
    </row>
    <row r="6">
      <c r="A6" s="25"/>
      <c r="B6" s="25"/>
      <c r="C6" s="25"/>
      <c r="D6" s="25"/>
      <c r="E6" s="26"/>
      <c r="F6" s="27"/>
      <c r="G6" s="26"/>
      <c r="H6" s="26"/>
      <c r="I6" s="28"/>
      <c r="J6" s="29"/>
      <c r="K6" s="30"/>
      <c r="L6" s="30"/>
      <c r="M6" s="30"/>
      <c r="N6" s="30"/>
      <c r="O6" s="30"/>
      <c r="P6" s="30"/>
      <c r="Q6" s="30"/>
      <c r="R6" s="30"/>
      <c r="S6" s="30"/>
      <c r="T6" s="30"/>
      <c r="U6" s="30"/>
      <c r="V6" s="30"/>
      <c r="W6" s="30"/>
      <c r="X6" s="30"/>
    </row>
    <row r="7">
      <c r="A7" s="1" t="s">
        <v>22</v>
      </c>
      <c r="B7" s="31" t="str">
        <f>IFERROR(__xludf.DUMMYFUNCTION("GOOGLETRANSLATE(A7,""zh-tw"",""ja"")"),"公式Discordグループ:
https://discord.gg/2Bt7RWknyH")</f>
        <v>公式Discordグループ:
https://discord.gg/2Bt7RWknyH</v>
      </c>
      <c r="C7" s="32" t="str">
        <f>IFERROR(__xludf.DUMMYFUNCTION("GOOGLETRANSLATE(A7,""zh-tw"",""en"")"),"Official Discord group:
https://discord.gg/2Bt7RWknyH")</f>
        <v>Official Discord group:
https://discord.gg/2Bt7RWknyH</v>
      </c>
      <c r="D7" s="31" t="str">
        <f>IFERROR(__xludf.DUMMYFUNCTION("GOOGLETRANSLATE(C7,""zh-tw"",""zh"")"),"Official Discord group:
https://discord.gg/2Bt7RWknyH")</f>
        <v>Official Discord group:
https://discord.gg/2Bt7RWknyH</v>
      </c>
      <c r="E7" s="32" t="str">
        <f>IFERROR(__xludf.DUMMYFUNCTION("GOOGLETRANSLATE(C7,""zh-tw"",""en"")"),"Official Discord group:
https://discord.gg/2Bt7RWknyH")</f>
        <v>Official Discord group:
https://discord.gg/2Bt7RWknyH</v>
      </c>
      <c r="F7" s="33" t="str">
        <f>IFERROR(__xludf.DUMMYFUNCTION("GOOGLETRANSLATE(A7,""zh-tw"",""KO"")"),"공식 디스코드 그룹:
https://discord.gg/2Bt7RWknyH")</f>
        <v>공식 디스코드 그룹:
https://discord.gg/2Bt7RWknyH</v>
      </c>
      <c r="G7" s="34" t="str">
        <f>IFERROR(__xludf.DUMMYFUNCTION("GOOGLETRANSLATE(A7,""zh-tw"",""RU"")"),"Официальная группа Discord:
https://discord.gg/2Bt7RWknyH")</f>
        <v>Официальная группа Discord:
https://discord.gg/2Bt7RWknyH</v>
      </c>
      <c r="H7" s="34" t="str">
        <f>IFERROR(__xludf.DUMMYFUNCTION("GOOGLETRANSLATE(A7,""zh-tw"",""DE"")"),"Offizielle Discord-Gruppe:
https://discord.gg/2Bt7RWknyH")</f>
        <v>Offizielle Discord-Gruppe:
https://discord.gg/2Bt7RWknyH</v>
      </c>
      <c r="I7" s="35" t="s">
        <v>23</v>
      </c>
      <c r="J7" s="36" t="str">
        <f>IFERROR(__xludf.DUMMYFUNCTION("GOOGLETRANSLATE(A7,""zh-tw"",""pt-BR"")"),"Grupo oficial do Discord:
https://discord.gg/2Bt7RWknyH")</f>
        <v>Grupo oficial do Discord:
https://discord.gg/2Bt7RWknyH</v>
      </c>
      <c r="K7" s="30"/>
      <c r="L7" s="30"/>
      <c r="M7" s="30"/>
      <c r="N7" s="30"/>
      <c r="O7" s="30"/>
      <c r="P7" s="30"/>
      <c r="Q7" s="30"/>
      <c r="R7" s="30"/>
      <c r="S7" s="30"/>
      <c r="T7" s="30"/>
      <c r="U7" s="30"/>
      <c r="V7" s="30"/>
      <c r="W7" s="30"/>
      <c r="X7" s="30"/>
    </row>
    <row r="8">
      <c r="A8" s="1" t="s">
        <v>24</v>
      </c>
      <c r="B8" s="1" t="s">
        <v>25</v>
      </c>
      <c r="C8" s="1" t="s">
        <v>25</v>
      </c>
      <c r="D8" s="1" t="s">
        <v>25</v>
      </c>
      <c r="E8" s="1" t="s">
        <v>25</v>
      </c>
      <c r="F8" s="37" t="s">
        <v>25</v>
      </c>
      <c r="G8" s="1" t="s">
        <v>25</v>
      </c>
      <c r="H8" s="1" t="s">
        <v>25</v>
      </c>
      <c r="I8" s="37" t="s">
        <v>25</v>
      </c>
      <c r="J8" s="37" t="s">
        <v>25</v>
      </c>
      <c r="K8" s="30"/>
      <c r="L8" s="30"/>
      <c r="M8" s="30"/>
      <c r="N8" s="30"/>
      <c r="O8" s="30"/>
      <c r="P8" s="30"/>
      <c r="Q8" s="30"/>
      <c r="R8" s="30"/>
      <c r="S8" s="30"/>
      <c r="T8" s="30"/>
      <c r="U8" s="30"/>
      <c r="V8" s="30"/>
      <c r="W8" s="30"/>
      <c r="X8" s="30"/>
    </row>
    <row r="9">
      <c r="A9" s="1" t="s">
        <v>26</v>
      </c>
      <c r="B9" s="1" t="s">
        <v>27</v>
      </c>
      <c r="C9" s="1" t="s">
        <v>28</v>
      </c>
      <c r="D9" s="1" t="s">
        <v>29</v>
      </c>
      <c r="E9" s="38" t="s">
        <v>30</v>
      </c>
      <c r="F9" s="39" t="s">
        <v>31</v>
      </c>
      <c r="G9" s="38" t="s">
        <v>32</v>
      </c>
      <c r="H9" s="38" t="s">
        <v>33</v>
      </c>
      <c r="I9" s="40" t="s">
        <v>34</v>
      </c>
      <c r="J9" s="36" t="str">
        <f>IFERROR(__xludf.DUMMYFUNCTION("GOOGLETRANSLATE(A9,""zh-tw"",""pt-BR"")"),"※Esta versão (versão HD) é recomendada.※ Link permanente para compra do jogo oficial no Itch:
https://nlch.itch.io/sister/devlog/879085/demo-v065a-release")</f>
        <v>※Esta versão (versão HD) é recomendada.※ Link permanente para compra do jogo oficial no Itch:
https://nlch.itch.io/sister/devlog/879085/demo-v065a-release</v>
      </c>
      <c r="K9" s="30"/>
      <c r="L9" s="30"/>
      <c r="M9" s="30"/>
      <c r="N9" s="30"/>
      <c r="O9" s="30"/>
      <c r="P9" s="30"/>
      <c r="Q9" s="30"/>
      <c r="R9" s="30"/>
      <c r="S9" s="30"/>
      <c r="T9" s="30"/>
      <c r="U9" s="30"/>
      <c r="V9" s="30"/>
      <c r="W9" s="30"/>
      <c r="X9" s="30"/>
    </row>
    <row r="10">
      <c r="A10" s="1" t="s">
        <v>35</v>
      </c>
      <c r="B10" s="31" t="str">
        <f>IFERROR(__xludf.DUMMYFUNCTION("GOOGLETRANSLATE(A10,""zh-tw"",""ja"")"),"公式Perohubゲームへのリンク（Alipay対応）: https://perohub.com/posts/6773ed3e7e0707642a5c7882")</f>
        <v>公式Perohubゲームへのリンク（Alipay対応）: https://perohub.com/posts/6773ed3e7e0707642a5c7882</v>
      </c>
      <c r="C10" s="32" t="str">
        <f>IFERROR(__xludf.DUMMYFUNCTION("GOOGLETRANSLATE(A10,""zh-tw"",""en"")"),"Link to official Perohub games (Alipay supported): https://perohub.com/posts/6773ed3e7e0707642a5c7882")</f>
        <v>Link to official Perohub games (Alipay supported): https://perohub.com/posts/6773ed3e7e0707642a5c7882</v>
      </c>
      <c r="D10" s="41" t="s">
        <v>36</v>
      </c>
      <c r="E10" s="42" t="s">
        <v>37</v>
      </c>
      <c r="F10" s="43" t="str">
        <f>IFERROR(__xludf.DUMMYFUNCTION("GOOGLETRANSLATE(D10,""zh-tw"",""en"")"),"Perohub (Supports Alipay)
https://perohub.com/posts/6773ed3e7e0707642a5c7882")</f>
        <v>Perohub (Supports Alipay)
https://perohub.com/posts/6773ed3e7e0707642a5c7882</v>
      </c>
      <c r="G10" s="32" t="str">
        <f>IFERROR(__xludf.DUMMYFUNCTION("GOOGLETRANSLATE(E10,""zh-tw"",""en"")"),"Perohub Link: Simple Life with My Subtle Sister (V0.85) by NLCH | Perohub")</f>
        <v>Perohub Link: Simple Life with My Subtle Sister (V0.85) by NLCH | Perohub</v>
      </c>
      <c r="H10" s="32" t="str">
        <f>IFERROR(__xludf.DUMMYFUNCTION("GOOGLETRANSLATE(F10,""zh-tw"",""en"")"),"Perohub (Supports Alipay)
https://perohub.com/posts/6773ed3e7e0707642a5c7882")</f>
        <v>Perohub (Supports Alipay)
https://perohub.com/posts/6773ed3e7e0707642a5c7882</v>
      </c>
      <c r="I10" s="43" t="str">
        <f>IFERROR(__xludf.DUMMYFUNCTION("GOOGLETRANSLATE(G10,""zh-tw"",""en"")"),"Perohub Link: Simple Life with My Subtle Sister (V0.85) by NLCH | Perohub")</f>
        <v>Perohub Link: Simple Life with My Subtle Sister (V0.85) by NLCH | Perohub</v>
      </c>
      <c r="J10" s="36" t="str">
        <f>IFERROR(__xludf.DUMMYFUNCTION("GOOGLETRANSLATE(A10,""zh-tw"",""pt-BR"")"),"Link para os jogos oficiais da Perohub (compatíveis com Alipay): https://perohub.com/posts/6773ed3e7e0707642a5c7882")</f>
        <v>Link para os jogos oficiais da Perohub (compatíveis com Alipay): https://perohub.com/posts/6773ed3e7e0707642a5c7882</v>
      </c>
      <c r="K10" s="30"/>
      <c r="L10" s="30"/>
      <c r="M10" s="30"/>
      <c r="N10" s="30"/>
      <c r="O10" s="30"/>
      <c r="P10" s="30"/>
      <c r="Q10" s="30"/>
      <c r="R10" s="30"/>
      <c r="S10" s="30"/>
      <c r="T10" s="30"/>
      <c r="U10" s="30"/>
      <c r="V10" s="30"/>
      <c r="W10" s="30"/>
      <c r="X10" s="30"/>
    </row>
    <row r="11">
      <c r="A11" s="1" t="s">
        <v>38</v>
      </c>
      <c r="B11" s="42" t="s">
        <v>39</v>
      </c>
      <c r="C11" s="42" t="s">
        <v>40</v>
      </c>
      <c r="D11" s="42" t="s">
        <v>41</v>
      </c>
      <c r="E11" s="38" t="s">
        <v>42</v>
      </c>
      <c r="F11" s="39" t="s">
        <v>43</v>
      </c>
      <c r="G11" s="38" t="s">
        <v>44</v>
      </c>
      <c r="H11" s="38" t="s">
        <v>45</v>
      </c>
      <c r="I11" s="35" t="s">
        <v>46</v>
      </c>
      <c r="J11" s="36" t="str">
        <f>IFERROR(__xludf.DUMMYFUNCTION("GOOGLETRANSLATE(A11,""zh-tw"",""pt-BR"")"),"Link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1" s="30"/>
      <c r="L11" s="30"/>
      <c r="M11" s="30"/>
      <c r="N11" s="30"/>
      <c r="O11" s="30"/>
      <c r="P11" s="30"/>
      <c r="Q11" s="30"/>
      <c r="R11" s="30"/>
      <c r="S11" s="30"/>
      <c r="T11" s="30"/>
      <c r="U11" s="30"/>
      <c r="V11" s="30"/>
      <c r="W11" s="30"/>
      <c r="X11" s="30"/>
    </row>
    <row r="12">
      <c r="A12" s="42" t="s">
        <v>47</v>
      </c>
      <c r="B12" s="42" t="s">
        <v>48</v>
      </c>
      <c r="C12" s="42" t="s">
        <v>49</v>
      </c>
      <c r="D12" s="42" t="s">
        <v>50</v>
      </c>
      <c r="E12" s="38" t="s">
        <v>51</v>
      </c>
      <c r="F12" s="39" t="s">
        <v>52</v>
      </c>
      <c r="G12" s="38" t="s">
        <v>53</v>
      </c>
      <c r="H12" s="38" t="s">
        <v>54</v>
      </c>
      <c r="I12" s="35" t="s">
        <v>55</v>
      </c>
      <c r="J12" s="36" t="str">
        <f>IFERROR(__xludf.DUMMYFUNCTION("GOOGLETRANSLATE(A12,""zh-tw"",""pt-BR"")"),"Link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2" s="30"/>
      <c r="L12" s="30"/>
      <c r="M12" s="30"/>
      <c r="N12" s="30"/>
      <c r="O12" s="30"/>
      <c r="P12" s="30"/>
      <c r="Q12" s="30"/>
      <c r="R12" s="30"/>
      <c r="S12" s="30"/>
      <c r="T12" s="30"/>
      <c r="U12" s="30"/>
      <c r="V12" s="30"/>
      <c r="W12" s="30"/>
      <c r="X12" s="30"/>
    </row>
    <row r="13">
      <c r="A13" s="1" t="s">
        <v>56</v>
      </c>
      <c r="B13" s="1" t="s">
        <v>57</v>
      </c>
      <c r="C13" s="1" t="s">
        <v>58</v>
      </c>
      <c r="D13" s="1" t="s">
        <v>59</v>
      </c>
      <c r="E13" s="1" t="s">
        <v>60</v>
      </c>
      <c r="F13" s="37" t="s">
        <v>61</v>
      </c>
      <c r="G13" s="1" t="s">
        <v>62</v>
      </c>
      <c r="H13" s="1" t="s">
        <v>63</v>
      </c>
      <c r="I13" s="37" t="s">
        <v>64</v>
      </c>
      <c r="J13" s="36" t="str">
        <f>IFERROR(__xludf.DUMMYFUNCTION("GOOGLETRANSLATE(A13,""zh-tw"",""pt-BR"")"),"Link para mapa interativo (permite visualização/interação com o mapa)
Criador do site de mapas: Ruika")</f>
        <v>Link para mapa interativo (permite visualização/interação com o mapa)
Criador do site de mapas: Ruika</v>
      </c>
      <c r="K13" s="30"/>
      <c r="L13" s="30"/>
      <c r="M13" s="30"/>
      <c r="N13" s="30"/>
      <c r="O13" s="30"/>
      <c r="P13" s="30"/>
      <c r="Q13" s="30"/>
      <c r="R13" s="30"/>
      <c r="S13" s="30"/>
      <c r="T13" s="30"/>
      <c r="U13" s="30"/>
      <c r="V13" s="30"/>
      <c r="W13" s="30"/>
      <c r="X13" s="30"/>
    </row>
    <row r="14">
      <c r="A14" s="44" t="s">
        <v>65</v>
      </c>
      <c r="B14" s="44" t="str">
        <f>IFERROR(__xludf.DUMMYFUNCTION("GOOGLETRANSLATE(A14,""zh-tw"",""ja"")"),"このドキュメントはプレイヤーの疑問解決を支援することを目的としており、商業目的または広告目的ではありません。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見つけ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中国語（簡体字）翻"&amp;"訳：ShigeLuna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見つけ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v>
      </c>
      <c r="C14" s="45" t="str">
        <f>IFERROR(__xludf.DUMMYFUNCTION("GOOGLETRANSLATE(A14,""zh-tw"",""en"")"),"This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Map creation: Discord: mioakatukaze
Simplified Chinese translator: ShigeLuna
Japane"&amp;"se translator: 눈_눈
English translator: Ruika
Spanish translator: zNagato, AndyJango
German translator: Gabriel
Russian translator: Libeti
Korean translator: maltesey
Vietnamese translator: IntenseLag, Nian Sprout
Brazilian Portuguese translator: Hyphot
Da"&amp;"ta compilation assistance: Nanshan, Luoran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Map creation: Discord: mioakatukaze
Simplified Chinese translator: ShigeLuna
Japanese translator: 눈_눈
English translator: Ruika
Spanish translator: zNagato, AndyJango
German translator: Gabriel
Russian translator: Libeti
Korean translator: maltesey
Vietnamese translator: IntenseLag, Nian Sprout
Brazilian Portuguese translator: Hyphot
Data compilation assistance: Nanshan, Luoran
</v>
      </c>
      <c r="D14" s="45" t="str">
        <f>IFERROR(__xludf.DUMMYFUNCTION("GOOGLETRANSLATE(A14,""zh-tw"",""zh"")"),"本文件旨在协助玩家解决疑惑，不用于商业或广告用途！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v>
      </c>
      <c r="E14" s="44" t="str">
        <f>IFERROR(__xludf.DUMMYFUNCTION("GOOGLETRANSLATE(A14,""zh-tw"",""es-MX"")"),"Este documento está pensado para ayudar a los jugadores a resolver sus dudas y no tiene fines comerciales ni publicitarios.
Si necesitas pagar o usar una versión pirata del juego para verlo, ¡te han estafado!
Esta guía fue creada por un jugador taiwanés"&amp;", por lo que está principalmente en chino tradicional. Disculpen las traducciones incorrectas en otros idiomas.
El editor es un jugador, y la mayor parte de la información no publicada se obtuvo consultando fuentes oficiales. Por lo tanto, es posible que"&amp;" falten mecanismos ocultos. Si encuentras algún mecanismo oculto, omisión o anomalía en el documento, no dudes en contactar con el editor principal.
Puedes reimprimir contenido de otros sitios web (gratis) o añadir otro contenido a este formulario. No du"&amp;"des en contactarnos.
Discord del editor principal: RORO#3330
O contáctame en gameconlch@gmail.com. Gracias por tu cooperación.
Creación de mapas: Discord: mioakatukaze
Traductor de chino simplificado: ShigeLuna
Traductor de japonés: 눈_눈
Traductor de in"&amp;"glés: Ruika
Traductor de español: zNagato, AndyJango
Traductor de alemán: Gabriel
Traductor de ruso: Libeti
Traductor de coreano: maltesey
Traductor de vietnamita: IntenseLag, Nian Sprout
Traductor de portugués brasileño: Hyphot
Asistencia en la compilaci"&amp;"ón de datos: Nanshan, Luoran
")</f>
        <v>Este documento está pensado para ayudar a los jugadores a resolver sus dudas y no tiene fines comerciales ni publicitarios.
Si necesitas pagar o usar una versión pirata del juego para verlo,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ocultos. Si encuentras algún mecanismo oculto,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Creación de mapas: Discord: mioakatukaze
Traductor de chino simplificado: ShigeLuna
Traductor de japonés: 눈_눈
Traductor de inglés: Ruika
Traductor de español: zNagato, AndyJango
Traductor de alemán: Gabriel
Traductor de ruso: Libeti
Traductor de coreano: maltesey
Traductor de vietnamita: IntenseLag, Nian Sprout
Traductor de portugués brasileño: Hyphot
Asistencia en la compilación de datos: Nanshan, Luoran
</v>
      </c>
      <c r="F14" s="46" t="str">
        <f>IFERROR(__xludf.DUMMYFUNCTION("GOOGLETRANSLATE(A14,""zh-tw"",""KO"")"),"이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"&amp;"수집했습니다.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mioak"&amp;"atukaze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f>
        <v>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v>
      </c>
      <c r="G14" s="44" t="str">
        <f>IFERROR(__xludf.DUMMYFUNCTION("GOOGLETRANSLATE(A14,""zh-tw"",""RU"")"),"Этот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Эт"&amp;"о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получен"&amp;"а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перепечатыва"&amp;"ть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Dis"&amp;"cord: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корейский:"&amp;" maltesey
Переводчик на вьетнамский: IntenseLag, Nian Sprout
Переводчик на бразильский португальский: Hyphot
Помощь в компиляции данных: Nanshan, Luoran
")</f>
        <v>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 maltesey
Переводчик на вьетнамский: IntenseLag, Nian Sprout
Переводчик на бразильский португальский: Hyphot
Помощь в компиляции данных: Nanshan, Luoran
</v>
      </c>
      <c r="H14" s="44" t="str">
        <f>IFERROR(__xludf.DUMMYFUNCTION("GOOGLETRANSLATE(A14,""zh-tw"",""DE"")"),"Dieses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 Kartenerstellung: Discord: mioakatukaze
Übersetzer (Vereinfachtes Chinesisch): ShigeLuna
Übersetzer (Japanisch): 눈_눈
Übersetzer (Englisch): Ruika
Übersetzer (Spanis"&amp;"ch): zNagato, AndyJango
Übersetzer (Deutsch): Gabriel
Übersetzer (Russisch): Libeti
Übersetzer (Koreanisch): maltesey
Übersetzer (Vietnamesisch): IntenseLag, Nian Sprout
Übersetzer (Brasilianisches Portugiesisch): Hyphot
Unterstützung bei der Datenerfassu"&amp;"ng: Nanshan, Luoran
")</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 Kartenerstellung: Discord: mioakatukaze
Übersetzer (Vereinfachtes Chinesisch): ShigeLuna
Übersetzer (Japanisch): 눈_눈
Übersetzer (Englisch): Ruika
Übersetzer (Spanisch): zNagato, AndyJango
Übersetzer (Deutsch): Gabriel
Übersetzer (Russisch): Libeti
Übersetzer (Koreanisch): maltesey
Übersetzer (Vietnamesisch): IntenseLag, Nian Sprout
Übersetzer (Brasilianisches Portugiesisch): Hyphot
Unterstützung bei der Datenerfassung: Nanshan, Luoran
</v>
      </c>
      <c r="I14" s="47" t="s">
        <v>66</v>
      </c>
      <c r="J14" s="29" t="str">
        <f>IFERROR(__xludf.DUMMYFUNCTION("GOOGLETRANSLATE(A14,""zh-tw"",""pt-BR"")"),"Este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Criação do mapa: Discord: mioakatukaze
Tradutor de chinês simplificado: ShigeLuna
Tradutor de japonês: 눈_눈
Tradutor de inglês: Ruika
Tradutor de espanhol: zNagato, AndyJango
Tradutor de alemão: Gabriel
Tradutor de russo: Libeti
Tradutor d"&amp;"e coreano: maltesey
Tradutor de vietnamita: IntenseLag, Nian Sprout
Tradutor de português brasileiro: Hyphot
Assistência na compilação de dados: Nanshan, Luoran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Criação do mapa: Discord: mioakatukaze
Tradutor de chinês simplificado: ShigeLuna
Tradutor de japonês: 눈_눈
Tradutor de inglês: Ruika
Tradutor de espanhol: zNagato, AndyJango
Tradutor de alemão: Gabriel
Tradutor de russo: Libeti
Tradutor de coreano: maltesey
Tradutor de vietnamita: IntenseLag, Nian Sprout
Tradutor de português brasileiro: Hyphot
Assistência na compilação de dados: Nanshan, Luoran
</v>
      </c>
      <c r="K14" s="30"/>
      <c r="L14" s="30"/>
      <c r="M14" s="30"/>
      <c r="N14" s="30"/>
      <c r="O14" s="30"/>
      <c r="P14" s="30"/>
      <c r="Q14" s="30"/>
      <c r="R14" s="30"/>
      <c r="S14" s="30"/>
      <c r="T14" s="30"/>
      <c r="U14" s="30"/>
      <c r="V14" s="30"/>
      <c r="W14" s="30"/>
      <c r="X14" s="30"/>
    </row>
    <row r="15">
      <c r="A15" s="48" t="s">
        <v>67</v>
      </c>
      <c r="B15" s="48" t="str">
        <f>IFERROR(__xludf.DUMMYFUNCTION("GOOGLETRANSLATE(A15,""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5" s="49" t="str">
        <f>IFERROR(__xludf.DUMMYFUNCTION("GOOGLETRANSLATE(A15,""zh-tw"",""en"")"),"The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5" s="50" t="s">
        <v>68</v>
      </c>
      <c r="E15" s="26" t="str">
        <f>IFERROR(__xludf.DUMMYFUNCTION("GOOGLETRANSLATE(A15,""zh-tw"",""es-MX"")"),"El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5" s="27" t="str">
        <f>IFERROR(__xludf.DUMMYFUNCTION("GOOGLETRANSLATE(A15,""zh-tw"",""KO"")"),"이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G15" s="26" t="str">
        <f>IFERROR(__xludf.DUMMYFUNCTION("GOOGLETRANSLATE(A15,""zh-tw"",""RU"")"),"Игра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по"&amp;"жалуйста,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пожалуйста, обсудите их с другими игроками на официальном форуме Discord. Благодарим за сотрудничество!</v>
      </c>
      <c r="H15" s="26"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bearbeitet. Bitte sendet keine Anfragen per E-Mail.
Bei ähnlichen Problemen wendet euch bitte a"&amp;"n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bearbeitet. Bitte sendet keine Anfragen per E-Mail.
Bei ähnlichen Problemen wendet euch bitte an andere Spieler im offiziellen Discord-Forum. Vielen Dank für eure Mitarbeit!</v>
      </c>
      <c r="I15" s="51" t="s">
        <v>69</v>
      </c>
      <c r="J15" s="29" t="str">
        <f>IFERROR(__xludf.DUMMYFUNCTION("GOOGLETRANSLATE(A15,""zh-tw"",""pt-BR"")"),"O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5" s="30"/>
      <c r="L15" s="30"/>
      <c r="M15" s="30"/>
      <c r="N15" s="30"/>
      <c r="O15" s="30"/>
      <c r="P15" s="30"/>
      <c r="Q15" s="30"/>
      <c r="R15" s="30"/>
      <c r="S15" s="30"/>
      <c r="T15" s="30"/>
      <c r="U15" s="30"/>
      <c r="V15" s="30"/>
      <c r="W15" s="30"/>
      <c r="X15" s="30"/>
    </row>
    <row r="16">
      <c r="A16" s="52" t="s">
        <v>70</v>
      </c>
      <c r="B16" s="25"/>
      <c r="C16" s="53"/>
      <c r="D16" s="54" t="s">
        <v>71</v>
      </c>
      <c r="E16" s="26"/>
      <c r="F16" s="27"/>
      <c r="G16" s="26"/>
      <c r="H16" s="26"/>
      <c r="I16" s="55"/>
      <c r="J16" s="55"/>
      <c r="K16" s="30"/>
      <c r="L16" s="30"/>
      <c r="M16" s="30"/>
      <c r="N16" s="30"/>
      <c r="O16" s="30"/>
      <c r="P16" s="30"/>
      <c r="Q16" s="30"/>
      <c r="R16" s="30"/>
      <c r="S16" s="30"/>
      <c r="T16" s="30"/>
      <c r="U16" s="30"/>
      <c r="V16" s="30"/>
      <c r="W16" s="30"/>
      <c r="X16" s="30"/>
    </row>
    <row r="17">
      <c r="A17" s="56"/>
      <c r="B17" s="56"/>
      <c r="C17" s="56"/>
      <c r="D17" s="57"/>
      <c r="E17" s="26"/>
      <c r="F17" s="27"/>
      <c r="G17" s="26"/>
      <c r="H17" s="26"/>
      <c r="I17" s="55"/>
      <c r="J17" s="55"/>
      <c r="K17" s="30"/>
      <c r="L17" s="30"/>
      <c r="M17" s="30"/>
      <c r="N17" s="30"/>
      <c r="O17" s="30"/>
      <c r="P17" s="30"/>
      <c r="Q17" s="30"/>
      <c r="R17" s="30"/>
      <c r="S17" s="30"/>
      <c r="T17" s="30"/>
      <c r="U17" s="30"/>
      <c r="V17" s="30"/>
      <c r="W17" s="30"/>
      <c r="X17" s="30"/>
    </row>
    <row r="18">
      <c r="A18" s="25"/>
      <c r="B18" s="25"/>
      <c r="C18" s="25"/>
      <c r="D18" s="25"/>
      <c r="E18" s="26"/>
      <c r="F18" s="27"/>
      <c r="G18" s="26"/>
      <c r="H18" s="26"/>
      <c r="I18" s="55"/>
      <c r="J18" s="55"/>
      <c r="K18" s="30"/>
      <c r="L18" s="30"/>
      <c r="M18" s="30"/>
      <c r="N18" s="30"/>
      <c r="O18" s="30"/>
      <c r="P18" s="30"/>
      <c r="Q18" s="30"/>
      <c r="R18" s="30"/>
      <c r="S18" s="30"/>
      <c r="T18" s="30"/>
      <c r="U18" s="30"/>
      <c r="V18" s="30"/>
      <c r="W18" s="30"/>
      <c r="X18" s="30"/>
    </row>
    <row r="19">
      <c r="A19" s="58" t="s">
        <v>72</v>
      </c>
      <c r="B19" s="58" t="str">
        <f>IFERROR(__xludf.DUMMYFUNCTION("GOOGLETRANSLATE(A19,""zh-tw"",""ja"")"),"作業ログを編集する")</f>
        <v>作業ログを編集する</v>
      </c>
      <c r="C19" s="59" t="str">
        <f>IFERROR(__xludf.DUMMYFUNCTION("GOOGLETRANSLATE(A19,""zh-tw"",""en"")"),"Edit work log")</f>
        <v>Edit work log</v>
      </c>
      <c r="D19" s="58" t="str">
        <f>IFERROR(__xludf.DUMMYFUNCTION("GOOGLETRANSLATE(A19,""zh-tw"",""zh"")"),"编辑工作日志")</f>
        <v>编辑工作日志</v>
      </c>
      <c r="E19" s="60" t="s">
        <v>73</v>
      </c>
      <c r="F19" s="60" t="str">
        <f>IFERROR(__xludf.DUMMYFUNCTION("GOOGLETRANSLATE(A19,""zh-tw"",""KO"")"),"작업 로그 편집")</f>
        <v>작업 로그 편집</v>
      </c>
      <c r="G19" s="60" t="str">
        <f>IFERROR(__xludf.DUMMYFUNCTION("GOOGLETRANSLATE(A19,""zh-tw"",""RU"")"),"Редактировать рабочий журнал")</f>
        <v>Редактировать рабочий журнал</v>
      </c>
      <c r="H19" s="60" t="str">
        <f>IFERROR(__xludf.DUMMYFUNCTION("GOOGLETRANSLATE(A19,""zh-tw"",""DE"")"),"Arbeitszeitprotokoll bearbeiten")</f>
        <v>Arbeitszeitprotokoll bearbeiten</v>
      </c>
      <c r="I19" s="61" t="s">
        <v>74</v>
      </c>
      <c r="J19" s="62" t="str">
        <f>IFERROR(__xludf.DUMMYFUNCTION("GOOGLETRANSLATE(A19,""zh-tw"",""pt-BR"")"),"Editar registro de trabalho")</f>
        <v>Editar registro de trabalho</v>
      </c>
      <c r="K19" s="30"/>
      <c r="L19" s="30"/>
      <c r="M19" s="30"/>
      <c r="N19" s="30"/>
      <c r="O19" s="30"/>
      <c r="P19" s="30"/>
      <c r="Q19" s="30"/>
      <c r="R19" s="30"/>
      <c r="S19" s="30"/>
      <c r="T19" s="30"/>
      <c r="U19" s="30"/>
      <c r="V19" s="30"/>
      <c r="W19" s="30"/>
      <c r="X19" s="30"/>
    </row>
    <row r="20">
      <c r="A20" s="63" t="s">
        <v>75</v>
      </c>
      <c r="B20" s="63" t="str">
        <f>IFERROR(__xludf.DUMMYFUNCTION("GOOGLETRANSLATE(A20,""zh-tw"",""ja"")"),"2025/12/5に料理+3を追加しました")</f>
        <v>2025/12/5に料理+3を追加しました</v>
      </c>
      <c r="C20" s="64" t="str">
        <f>IFERROR(__xludf.DUMMYFUNCTION("GOOGLETRANSLATE(A20,""zh-tw"",""en"")"),"Added Dish +3 on 2025/12/5")</f>
        <v>Added Dish +3 on 2025/12/5</v>
      </c>
      <c r="D20" s="63" t="str">
        <f>IFERROR(__xludf.DUMMYFUNCTION("GOOGLETRANSLATE(A20,""zh-tw"",""zh"")"),"2025/12/5 新增Dish +3")</f>
        <v>2025/12/5 新增Dish +3</v>
      </c>
      <c r="E20" s="27" t="str">
        <f>IFERROR(__xludf.DUMMYFUNCTION("GOOGLETRANSLATE(A20,""zh-tw"",""es-MX"")"),"Se agregó Dish +3 el 5/12/2025")</f>
        <v>Se agregó Dish +3 el 5/12/2025</v>
      </c>
      <c r="F20" s="27" t="str">
        <f>IFERROR(__xludf.DUMMYFUNCTION("GOOGLETRANSLATE(A20,""zh-tw"",""KO"")"),"2025/12/5에 요리 +3 추가됨")</f>
        <v>2025/12/5에 요리 +3 추가됨</v>
      </c>
      <c r="G20" s="27" t="str">
        <f>IFERROR(__xludf.DUMMYFUNCTION("GOOGLETRANSLATE(A20,""zh-tw"",""RU"")"),"Добавлено блюдо +3 05.12.2025")</f>
        <v>Добавлено блюдо +3 05.12.2025</v>
      </c>
      <c r="H20" s="27" t="str">
        <f>IFERROR(__xludf.DUMMYFUNCTION("GOOGLETRANSLATE(A20,""zh-tw"",""DE"")"),"Gericht +3 hinzugefügt am 05.12.2025")</f>
        <v>Gericht +3 hinzugefügt am 05.12.2025</v>
      </c>
      <c r="I20" s="27" t="str">
        <f>IFERROR(__xludf.DUMMYFUNCTION("GOOGLETRANSLATE(A20,""zh-tw"",""vi"")"),"Đã thêm Dish +3 vào ngày 2025/12/5")</f>
        <v>Đã thêm Dish +3 vào ngày 2025/12/5</v>
      </c>
      <c r="J20" s="29" t="str">
        <f>IFERROR(__xludf.DUMMYFUNCTION("GOOGLETRANSLATE(A20,""zh-tw"",""pt-BR"")"),"Adicionado Prato +3 em 05/12/2025")</f>
        <v>Adicionado Prato +3 em 05/12/2025</v>
      </c>
      <c r="K20" s="65"/>
      <c r="L20" s="65"/>
      <c r="M20" s="65"/>
      <c r="N20" s="65"/>
      <c r="O20" s="65"/>
      <c r="P20" s="65"/>
      <c r="Q20" s="65"/>
      <c r="R20" s="65"/>
      <c r="S20" s="65"/>
      <c r="T20" s="65"/>
      <c r="U20" s="65"/>
      <c r="V20" s="65"/>
      <c r="W20" s="65"/>
      <c r="X20" s="65"/>
    </row>
    <row r="21">
      <c r="A21" s="63" t="s">
        <v>76</v>
      </c>
      <c r="B21" s="63" t="str">
        <f>IFERROR(__xludf.DUMMYFUNCTION("GOOGLETRANSLATE(A21,""zh-tw"",""ja"")"),"2025年12月2日：バージョン0.9コンテンツを追加：SLG-A24〜26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1" s="64" t="str">
        <f>IFERROR(__xludf.DUMMYFUNCTION("GOOGLETRANSLATE(A21,""zh-tw"",""en"")"),"December 2, 2025: Added version 0.9 content: SLG-A24~26/SLG-F1~8/R34, R90~93/Tips+2/Status+1/Weap+2/Gears+1/Items+2")</f>
        <v>December 2, 2025: Added version 0.9 content: SLG-A24~26/SLG-F1~8/R34, R90~93/Tips+2/Status+1/Weap+2/Gears+1/Items+2</v>
      </c>
      <c r="D21" s="63" t="str">
        <f>IFERROR(__xludf.DUMMYFUNCTION("GOOGLETRANSLATE(A21,""zh-tw"",""zh"")"),"2025/12/2 新增0.9版本内容SLG-A24~26/SLG-F1~8/R34、R90~93/Tips+2/Status+1/Weap+2/Gears+1/Items+2")</f>
        <v>2025/12/2 新增0.9版本内容SLG-A24~26/SLG-F1~8/R34、R90~93/Tips+2/Status+1/Weap+2/Gears+1/Items+2</v>
      </c>
      <c r="E21" s="27" t="str">
        <f>IFERROR(__xludf.DUMMYFUNCTION("GOOGLETRANSLATE(A21,""zh-tw"",""es-MX"")"),"2 de diciembre de 2025: Se agregó el contenido de la versión 0.9: SLG-A24~26/SLG-F1~8/R34, R90~93/Consejos+2/Estado+1/Arma+2/Equipo+1/Objetos+2")</f>
        <v>2 de diciembre de 2025: Se agregó el contenido de la versión 0.9: SLG-A24~26/SLG-F1~8/R34, R90~93/Consejos+2/Estado+1/Arma+2/Equipo+1/Objetos+2</v>
      </c>
      <c r="F21" s="27" t="str">
        <f>IFERROR(__xludf.DUMMYFUNCTION("GOOGLETRANSLATE(A21,""zh-tw"",""KO"")"),"2025년 12월 2일: 버전 0.9 콘텐츠 추가: SLG-A24~26/SLG-F1~8/R34, R90~93/팁+2/상태+1/무기+2/장비+1/아이템+2")</f>
        <v>2025년 12월 2일: 버전 0.9 콘텐츠 추가: SLG-A24~26/SLG-F1~8/R34, R90~93/팁+2/상태+1/무기+2/장비+1/아이템+2</v>
      </c>
      <c r="G21" s="27" t="str">
        <f>IFERROR(__xludf.DUMMYFUNCTION("GOOGLETRANSLATE(A21,""zh-tw"",""RU"")"),"2 декабря 2025 г.: добавлен контент версии 0.9: SLG-A24~26/SLG-F1~8/R34, R90~93/Tips+2/Status+1/Weap+2/Gears+1/Items+2")</f>
        <v>2 декабря 2025 г.: добавлен контент версии 0.9: SLG-A24~26/SLG-F1~8/R34, R90~93/Tips+2/Status+1/Weap+2/Gears+1/Items+2</v>
      </c>
      <c r="H21" s="27" t="str">
        <f>IFERROR(__xludf.DUMMYFUNCTION("GOOGLETRANSLATE(A21,""zh-tw"",""DE"")"),"2. Dezember 2025: Inhalt der Version 0.9 hinzugefügt: SLG-A24–26/SLG-F1–8/R34, R90–93/Tipps+2/Status+1/Waffe+2/Ausrüstung+1/Gegenstände+2")</f>
        <v>2. Dezember 2025: Inhalt der Version 0.9 hinzugefügt: SLG-A24–26/SLG-F1–8/R34, R90–93/Tipps+2/Status+1/Waffe+2/Ausrüstung+1/Gegenstände+2</v>
      </c>
      <c r="I21" s="27" t="str">
        <f>IFERROR(__xludf.DUMMYFUNCTION("GOOGLETRANSLATE(A21,""zh-tw"",""vi"")"),"Ngày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21" s="29" t="str">
        <f>IFERROR(__xludf.DUMMYFUNCTION("GOOGLETRANSLATE(A21,""zh-tw"",""pt-BR"")"),"2 de dezembro de 2025: Adicionado conteúdo da versão 0.9: SLG-A24~26/SLG-F1~8/R34, R90~93/Dicas+2/Status+1/Arma+2/Equipamentos+1/Itens+2")</f>
        <v>2 de dezembro de 2025: Adicionado conteúdo da versão 0.9: SLG-A24~26/SLG-F1~8/R34, R90~93/Dicas+2/Status+1/Arma+2/Equipamentos+1/Itens+2</v>
      </c>
      <c r="K21" s="65"/>
      <c r="L21" s="65"/>
      <c r="M21" s="65"/>
      <c r="N21" s="65"/>
      <c r="O21" s="65"/>
      <c r="P21" s="65"/>
      <c r="Q21" s="65"/>
      <c r="R21" s="65"/>
      <c r="S21" s="65"/>
      <c r="T21" s="65"/>
      <c r="U21" s="65"/>
      <c r="V21" s="65"/>
      <c r="W21" s="65"/>
      <c r="X21" s="65"/>
    </row>
    <row r="22">
      <c r="A22" s="63" t="s">
        <v>77</v>
      </c>
      <c r="B22" s="63" t="str">
        <f>IFERROR(__xludf.DUMMYFUNCTION("GOOGLETRANSLATE(A22,""zh-tw"",""ja"")"),"2025 年 12 月 1 日: ドロップ ページが再設計され、ドロップ レートが追加されました。")</f>
        <v>2025 年 12 月 1 日: ドロップ ページが再設計され、ドロップ レートが追加されました。</v>
      </c>
      <c r="C22" s="64" t="str">
        <f>IFERROR(__xludf.DUMMYFUNCTION("GOOGLETRANSLATE(A22,""zh-tw"",""en"")"),"December 1, 2025: The Drops page was redesigned, and drop rates were added.")</f>
        <v>December 1, 2025: The Drops page was redesigned, and drop rates were added.</v>
      </c>
      <c r="D22" s="63" t="str">
        <f>IFERROR(__xludf.DUMMYFUNCTION("GOOGLETRANSLATE(A22,""zh-tw"",""zh"")"),"2025/12/1 重制Drops页面，并且新增掉落机率")</f>
        <v>2025/12/1 重制Drops页面，并且新增掉落机率</v>
      </c>
      <c r="E22" s="27" t="str">
        <f>IFERROR(__xludf.DUMMYFUNCTION("GOOGLETRANSLATE(A22,""zh-tw"",""es-MX"")"),"1 de diciembre de 2025: se rediseñó la página de Drops y se agregaron las tasas de caída.")</f>
        <v>1 de diciembre de 2025: se rediseñó la página de Drops y se agregaron las tasas de caída.</v>
      </c>
      <c r="F22" s="27" t="str">
        <f>IFERROR(__xludf.DUMMYFUNCTION("GOOGLETRANSLATE(A22,""zh-tw"",""KO"")"),"2025년 12월 1일: 드롭 페이지가 재설계되었고, 드롭 확률이 추가되었습니다.")</f>
        <v>2025년 12월 1일: 드롭 페이지가 재설계되었고, 드롭 확률이 추가되었습니다.</v>
      </c>
      <c r="G22" s="27" t="str">
        <f>IFERROR(__xludf.DUMMYFUNCTION("GOOGLETRANSLATE(A22,""zh-tw"",""RU"")"),"1 декабря 2025 г.: страница «Выпадения» была переработана, и были добавлены показатели вероятности выпадения.")</f>
        <v>1 декабря 2025 г.: страница «Выпадения» была переработана, и были добавлены показатели вероятности выпадения.</v>
      </c>
      <c r="H22" s="27" t="str">
        <f>IFERROR(__xludf.DUMMYFUNCTION("GOOGLETRANSLATE(A22,""zh-tw"",""DE"")"),"1. Dezember 2025: Die Drops-Seite wurde neu gestaltet und die Drop-Raten wurden hinzugefügt.")</f>
        <v>1. Dezember 2025: Die Drops-Seite wurde neu gestaltet und die Drop-Raten wurden hinzugefügt.</v>
      </c>
      <c r="I22" s="27" t="str">
        <f>IFERROR(__xludf.DUMMYFUNCTION("GOOGLETRANSLATE(A22,""zh-tw"",""vi"")"),"Ngày 1 tháng 12 năm 2025: Trang Drops được thiết kế lại và thêm tỷ lệ drop.")</f>
        <v>Ngày 1 tháng 12 năm 2025: Trang Drops được thiết kế lại và thêm tỷ lệ drop.</v>
      </c>
      <c r="J22" s="29" t="str">
        <f>IFERROR(__xludf.DUMMYFUNCTION("GOOGLETRANSLATE(A22,""zh-tw"",""pt-BR"")"),"1º de dezembro de 2025: A página de Drops foi reformulada e as taxas de drop foram adicionadas.")</f>
        <v>1º de dezembro de 2025: A página de Drops foi reformulada e as taxas de drop foram adicionadas.</v>
      </c>
      <c r="K22" s="65"/>
      <c r="L22" s="65"/>
      <c r="M22" s="65"/>
      <c r="N22" s="65"/>
      <c r="O22" s="65"/>
      <c r="P22" s="65"/>
      <c r="Q22" s="65"/>
      <c r="R22" s="65"/>
      <c r="S22" s="65"/>
      <c r="T22" s="65"/>
      <c r="U22" s="65"/>
      <c r="V22" s="65"/>
      <c r="W22" s="65"/>
      <c r="X22" s="65"/>
    </row>
    <row r="23">
      <c r="A23" s="63" t="s">
        <v>78</v>
      </c>
      <c r="B23" s="63" t="str">
        <f>IFERROR(__xludf.DUMMYFUNCTION("GOOGLETRANSLATE(A23,""zh-tw"",""ja"")"),"2025年11月26日にポルトガル語を追加しました")</f>
        <v>2025年11月26日にポルトガル語を追加しました</v>
      </c>
      <c r="C23" s="64" t="str">
        <f>IFERROR(__xludf.DUMMYFUNCTION("GOOGLETRANSLATE(A23,""zh-tw"",""en"")"),"Added Portuguese-speaking language on 2025/11/26")</f>
        <v>Added Portuguese-speaking language on 2025/11/26</v>
      </c>
      <c r="D23" s="63" t="str">
        <f>IFERROR(__xludf.DUMMYFUNCTION("GOOGLETRANSLATE(A23,""zh-tw"",""zh"")"),"2025/11/26 新增葡萄巴西语")</f>
        <v>2025/11/26 新增葡萄巴西语</v>
      </c>
      <c r="E23" s="27" t="str">
        <f>IFERROR(__xludf.DUMMYFUNCTION("GOOGLETRANSLATE(A23,""zh-tw"",""es-MX"")"),"Se agregó el idioma portugués el 26/11/2025")</f>
        <v>Se agregó el idioma portugués el 26/11/2025</v>
      </c>
      <c r="F23" s="27" t="str">
        <f>IFERROR(__xludf.DUMMYFUNCTION("GOOGLETRANSLATE(A23,""zh-tw"",""KO"")"),"2025/11/26에 포르투갈어 언어 추가됨")</f>
        <v>2025/11/26에 포르투갈어 언어 추가됨</v>
      </c>
      <c r="G23" s="27" t="str">
        <f>IFERROR(__xludf.DUMMYFUNCTION("GOOGLETRANSLATE(A23,""zh-tw"",""RU"")"),"Добавлен португалоязычный язык 26.11.2025")</f>
        <v>Добавлен португалоязычный язык 26.11.2025</v>
      </c>
      <c r="H23" s="27" t="str">
        <f>IFERROR(__xludf.DUMMYFUNCTION("GOOGLETRANSLATE(A23,""zh-tw"",""DE"")"),"Portugiesischsprachige Sprache hinzugefügt am 26.11.2025")</f>
        <v>Portugiesischsprachige Sprache hinzugefügt am 26.11.2025</v>
      </c>
      <c r="I23" s="27" t="str">
        <f>IFERROR(__xludf.DUMMYFUNCTION("GOOGLETRANSLATE(A23,""zh-tw"",""vi"")"),"Đã thêm ngôn ngữ tiếng Bồ Đào Nha vào ngày 26/11/2025")</f>
        <v>Đã thêm ngôn ngữ tiếng Bồ Đào Nha vào ngày 26/11/2025</v>
      </c>
      <c r="J23" s="29" t="str">
        <f>IFERROR(__xludf.DUMMYFUNCTION("GOOGLETRANSLATE(A23,""zh-tw"",""pt-BR"")"),"Adicionada a língua portuguesa em 26/11/2025.")</f>
        <v>Adicionada a língua portuguesa em 26/11/2025.</v>
      </c>
      <c r="K23" s="65"/>
      <c r="L23" s="65"/>
      <c r="M23" s="65"/>
      <c r="N23" s="65"/>
      <c r="O23" s="65"/>
      <c r="P23" s="65"/>
      <c r="Q23" s="65"/>
      <c r="R23" s="65"/>
      <c r="S23" s="65"/>
      <c r="T23" s="65"/>
      <c r="U23" s="65"/>
      <c r="V23" s="65"/>
      <c r="W23" s="65"/>
      <c r="X23" s="65"/>
    </row>
    <row r="24">
      <c r="A24" s="63" t="s">
        <v>79</v>
      </c>
      <c r="B24" s="63" t="str">
        <f>IFERROR(__xludf.DUMMYFUNCTION("GOOGLETRANSLATE(A24,""zh-tw"",""ja"")"),"2025/11/15にマイナーバージョンアップ内容を追加しました")</f>
        <v>2025/11/15にマイナーバージョンアップ内容を追加しました</v>
      </c>
      <c r="C24" s="64" t="str">
        <f>IFERROR(__xludf.DUMMYFUNCTION("GOOGLETRANSLATE(A24,""zh-tw"",""en"")"),"Added minor version update content on 2025/11/15")</f>
        <v>Added minor version update content on 2025/11/15</v>
      </c>
      <c r="D24" s="63" t="str">
        <f>IFERROR(__xludf.DUMMYFUNCTION("GOOGLETRANSLATE(A24,""zh-tw"",""zh"")"),"2025/11/15 新增小版本更新内容")</f>
        <v>2025/11/15 新增小版本更新内容</v>
      </c>
      <c r="E24" s="27" t="str">
        <f>IFERROR(__xludf.DUMMYFUNCTION("GOOGLETRANSLATE(A24,""zh-tw"",""es-MX"")"),"Se agregó contenido de actualización de versión menor el 15/11/2025")</f>
        <v>Se agregó contenido de actualización de versión menor el 15/11/2025</v>
      </c>
      <c r="F24" s="27" t="str">
        <f>IFERROR(__xludf.DUMMYFUNCTION("GOOGLETRANSLATE(A24,""zh-tw"",""KO"")"),"2025/11/15에 마이너 버전 업데이트 내용이 추가되었습니다.")</f>
        <v>2025/11/15에 마이너 버전 업데이트 내용이 추가되었습니다.</v>
      </c>
      <c r="G24" s="27" t="str">
        <f>IFERROR(__xludf.DUMMYFUNCTION("GOOGLETRANSLATE(A24,""zh-tw"",""RU"")"),"Добавлен контент обновления второстепенной версии от 15.11.2025")</f>
        <v>Добавлен контент обновления второстепенной версии от 15.11.2025</v>
      </c>
      <c r="H24" s="27" t="str">
        <f>IFERROR(__xludf.DUMMYFUNCTION("GOOGLETRANSLATE(A24,""zh-tw"",""DE"")"),"Kleinere Versionsaktualisierung am 15.11.2025 hinzugefügt.")</f>
        <v>Kleinere Versionsaktualisierung am 15.11.2025 hinzugefügt.</v>
      </c>
      <c r="I24" s="27" t="str">
        <f>IFERROR(__xludf.DUMMYFUNCTION("GOOGLETRANSLATE(A24,""zh-tw"",""vi"")"),"Đã thêm nội dung cập nhật phiên bản nhỏ vào ngày 15/11/2025")</f>
        <v>Đã thêm nội dung cập nhật phiên bản nhỏ vào ngày 15/11/2025</v>
      </c>
      <c r="J24" s="29" t="str">
        <f>IFERROR(__xludf.DUMMYFUNCTION("GOOGLETRANSLATE(A24,""zh-tw"",""pt-BR"")"),"Adicionado conteúdo de atualização de versão secundária em 15/11/2025.")</f>
        <v>Adicionado conteúdo de atualização de versão secundária em 15/11/2025.</v>
      </c>
      <c r="K24" s="65"/>
      <c r="L24" s="65"/>
      <c r="M24" s="65"/>
      <c r="N24" s="65"/>
      <c r="O24" s="65"/>
      <c r="P24" s="65"/>
      <c r="Q24" s="65"/>
      <c r="R24" s="65"/>
      <c r="S24" s="65"/>
      <c r="T24" s="65"/>
      <c r="U24" s="65"/>
      <c r="V24" s="65"/>
      <c r="W24" s="65"/>
      <c r="X24" s="65"/>
    </row>
    <row r="25">
      <c r="A25" s="63" t="s">
        <v>80</v>
      </c>
      <c r="B25" s="63" t="str">
        <f>IFERROR(__xludf.DUMMYFUNCTION("GOOGLETRANSLATE(A25,""zh-tw"",""ja"")"),"2025年11月8日：バージョン0.85Cのコンテンツを追加し、いくつかの修正と追加が含まれました。")</f>
        <v>2025年11月8日：バージョン0.85Cのコンテンツを追加し、いくつかの修正と追加が含まれました。</v>
      </c>
      <c r="C25" s="64" t="str">
        <f>IFERROR(__xludf.DUMMYFUNCTION("GOOGLETRANSLATE(A25,""zh-tw"",""en"")"),"November 8, 2025: Added version 0.85C content, and included some corrections and additions.")</f>
        <v>November 8, 2025: Added version 0.85C content, and included some corrections and additions.</v>
      </c>
      <c r="D25" s="63" t="str">
        <f>IFERROR(__xludf.DUMMYFUNCTION("GOOGLETRANSLATE(A25,""zh-tw"",""zh"")"),"2025/11/8 新增0.85C版本内容、部分内容修正与新增")</f>
        <v>2025/11/8 新增0.85C版本内容、部分内容修正与新增</v>
      </c>
      <c r="E25" s="27" t="str">
        <f>IFERROR(__xludf.DUMMYFUNCTION("GOOGLETRANSLATE(A25,""zh-tw"",""es-MX"")"),"8 de noviembre de 2025: se agregó contenido de la versión 0.85C y se incluyeron algunas correcciones y adiciones.")</f>
        <v>8 de noviembre de 2025: se agregó contenido de la versión 0.85C y se incluyeron algunas correcciones y adiciones.</v>
      </c>
      <c r="F25" s="27" t="str">
        <f>IFERROR(__xludf.DUMMYFUNCTION("GOOGLETRANSLATE(A25,""zh-tw"",""KO"")"),"2025년 11월 8일: 버전 0.85C 콘텐츠를 추가하고, 몇 가지 수정 사항과 추가 사항을 포함했습니다.")</f>
        <v>2025년 11월 8일: 버전 0.85C 콘텐츠를 추가하고, 몇 가지 수정 사항과 추가 사항을 포함했습니다.</v>
      </c>
      <c r="G25" s="27" t="str">
        <f>IFERROR(__xludf.DUMMYFUNCTION("GOOGLETRANSLATE(A25,""zh-tw"",""RU"")"),"8 ноября 2025 г.: добавлен контент версии 0.85C, а также некоторые исправления и дополнения.")</f>
        <v>8 ноября 2025 г.: добавлен контент версии 0.85C, а также некоторые исправления и дополнения.</v>
      </c>
      <c r="H25" s="27" t="str">
        <f>IFERROR(__xludf.DUMMYFUNCTION("GOOGLETRANSLATE(A25,""zh-tw"",""DE"")"),"8. November 2025: Inhalt der Version 0.85C hinzugefügt sowie einige Korrekturen und Ergänzungen vorgenommen.")</f>
        <v>8. November 2025: Inhalt der Version 0.85C hinzugefügt sowie einige Korrekturen und Ergänzungen vorgenommen.</v>
      </c>
      <c r="I25" s="27" t="str">
        <f>IFERROR(__xludf.DUMMYFUNCTION("GOOGLETRANSLATE(A25,""zh-tw"",""vi"")"),"Ngày 8 tháng 11 năm 2025: Thêm nội dung phiên bản 0.85C và bao gồm một số chỉnh sửa và bổ sung.")</f>
        <v>Ngày 8 tháng 11 năm 2025: Thêm nội dung phiên bản 0.85C và bao gồm một số chỉnh sửa và bổ sung.</v>
      </c>
      <c r="J25" s="29" t="str">
        <f>IFERROR(__xludf.DUMMYFUNCTION("GOOGLETRANSLATE(A25,""zh-tw"",""pt-BR"")"),"8 de novembro de 2025: Adicionado conteúdo da versão 0.85C, além de algumas correções e adições.")</f>
        <v>8 de novembro de 2025: Adicionado conteúdo da versão 0.85C, além de algumas correções e adições.</v>
      </c>
      <c r="K25" s="65"/>
      <c r="L25" s="65"/>
      <c r="M25" s="65"/>
      <c r="N25" s="65"/>
      <c r="O25" s="65"/>
      <c r="P25" s="65"/>
      <c r="Q25" s="65"/>
      <c r="R25" s="65"/>
      <c r="S25" s="65"/>
      <c r="T25" s="65"/>
      <c r="U25" s="65"/>
      <c r="V25" s="65"/>
      <c r="W25" s="65"/>
      <c r="X25" s="65"/>
    </row>
    <row r="26">
      <c r="A26" s="63" t="s">
        <v>81</v>
      </c>
      <c r="B26" s="63" t="str">
        <f>IFERROR(__xludf.DUMMYFUNCTION("GOOGLETRANSLATE(A26,""zh-tw"",""ja"")"),"2025年11月3日：バージョン0.85を追加：SLG-C-23～SLG-C-29、SLG-A-24")</f>
        <v>2025年11月3日：バージョン0.85を追加：SLG-C-23～SLG-C-29、SLG-A-24</v>
      </c>
      <c r="C26" s="64" t="str">
        <f>IFERROR(__xludf.DUMMYFUNCTION("GOOGLETRANSLATE(A26,""zh-tw"",""en"")"),"November 3, 2025: Added version 0.85: SLG-C-23~SLG-C-29, SLG-A-24")</f>
        <v>November 3, 2025: Added version 0.85: SLG-C-23~SLG-C-29, SLG-A-24</v>
      </c>
      <c r="D26" s="63" t="str">
        <f>IFERROR(__xludf.DUMMYFUNCTION("GOOGLETRANSLATE(A26,""zh-tw"",""zh"")"),"2025/11/3 新增0.85版本：SLG-C-23~SLG-C-29、SLG-A-24")</f>
        <v>2025/11/3 新增0.85版本：SLG-C-23~SLG-C-29、SLG-A-24</v>
      </c>
      <c r="E26" s="27" t="str">
        <f>IFERROR(__xludf.DUMMYFUNCTION("GOOGLETRANSLATE(A26,""zh-tw"",""es-MX"")"),"3 de noviembre de 2025: Se agregó la versión 0.85: SLG-C-23~SLG-C-29, SLG-A-24")</f>
        <v>3 de noviembre de 2025: Se agregó la versión 0.85: SLG-C-23~SLG-C-29, SLG-A-24</v>
      </c>
      <c r="F26" s="27" t="str">
        <f>IFERROR(__xludf.DUMMYFUNCTION("GOOGLETRANSLATE(A26,""zh-tw"",""KO"")"),"2025년 11월 3일: 버전 0.85 추가: SLG-C-23~SLG-C-29, SLG-A-24")</f>
        <v>2025년 11월 3일: 버전 0.85 추가: SLG-C-23~SLG-C-29, SLG-A-24</v>
      </c>
      <c r="G26" s="27" t="str">
        <f>IFERROR(__xludf.DUMMYFUNCTION("GOOGLETRANSLATE(A26,""zh-tw"",""RU"")"),"3 ноября 2025 г.: добавлена ​​версия 0.85: SLG-C-23~SLG-C-29, SLG-A-24")</f>
        <v>3 ноября 2025 г.: добавлена ​​версия 0.85: SLG-C-23~SLG-C-29, SLG-A-24</v>
      </c>
      <c r="H26" s="27" t="str">
        <f>IFERROR(__xludf.DUMMYFUNCTION("GOOGLETRANSLATE(A26,""zh-tw"",""DE"")"),"3. November 2025: Version 0.85 hinzugefügt: SLG-C-23 bis SLG-C-29, SLG-A-24")</f>
        <v>3. November 2025: Version 0.85 hinzugefügt: SLG-C-23 bis SLG-C-29, SLG-A-24</v>
      </c>
      <c r="I26" s="27" t="str">
        <f>IFERROR(__xludf.DUMMYFUNCTION("GOOGLETRANSLATE(A26,""zh-tw"",""vi"")"),"Ngày 3 tháng 11 năm 2025: Đã thêm phiên bản 0.85: SLG-C-23~SLG-C-29, SLG-A-24")</f>
        <v>Ngày 3 tháng 11 năm 2025: Đã thêm phiên bản 0.85: SLG-C-23~SLG-C-29, SLG-A-24</v>
      </c>
      <c r="J26" s="29" t="str">
        <f>IFERROR(__xludf.DUMMYFUNCTION("GOOGLETRANSLATE(A26,""zh-tw"",""pt-BR"")"),"3 de novembro de 2025: Adicionada a versão 0.85: SLG-C-23~SLG-C-29, SLG-A-24")</f>
        <v>3 de novembro de 2025: Adicionada a versão 0.85: SLG-C-23~SLG-C-29, SLG-A-24</v>
      </c>
      <c r="K26" s="65"/>
      <c r="L26" s="65"/>
      <c r="M26" s="65"/>
      <c r="N26" s="65"/>
      <c r="O26" s="65"/>
      <c r="P26" s="65"/>
      <c r="Q26" s="65"/>
      <c r="R26" s="65"/>
      <c r="S26" s="65"/>
      <c r="T26" s="65"/>
      <c r="U26" s="65"/>
      <c r="V26" s="65"/>
      <c r="W26" s="65"/>
      <c r="X26" s="65"/>
    </row>
    <row r="27">
      <c r="A27" s="63" t="s">
        <v>82</v>
      </c>
      <c r="B27" s="63" t="str">
        <f>IFERROR(__xludf.DUMMYFUNCTION("GOOGLETRANSLATE(A27,""zh-tw"",""ja"")"),"2025年10月14日: 0.82Dを追加: R4、R68、アイテム+3")</f>
        <v>2025年10月14日: 0.82Dを追加: R4、R68、アイテム+3</v>
      </c>
      <c r="C27" s="64" t="str">
        <f>IFERROR(__xludf.DUMMYFUNCTION("GOOGLETRANSLATE(A27,""zh-tw"",""en"")"),"October 14, 2025: Added 0.82D: R4, R68, Items +3")</f>
        <v>October 14, 2025: Added 0.82D: R4, R68, Items +3</v>
      </c>
      <c r="D27" s="63" t="str">
        <f>IFERROR(__xludf.DUMMYFUNCTION("GOOGLETRANSLATE(A27,""zh-tw"",""zh"")"),"2025/10/14 新增0.82D：R4、R68、Items +3")</f>
        <v>2025/10/14 新增0.82D：R4、R68、Items +3</v>
      </c>
      <c r="E27" s="27" t="str">
        <f>IFERROR(__xludf.DUMMYFUNCTION("GOOGLETRANSLATE(A27,""zh-tw"",""es-MX"")"),"14 de octubre de 2025: Se agregaron 0.82D: R4, R68, Artículos +3")</f>
        <v>14 de octubre de 2025: Se agregaron 0.82D: R4, R68, Artículos +3</v>
      </c>
      <c r="F27" s="27" t="str">
        <f>IFERROR(__xludf.DUMMYFUNCTION("GOOGLETRANSLATE(A27,""zh-tw"",""KO"")"),"2025년 10월 14일: 0.82D 추가: R4, R68, 아이템 +3")</f>
        <v>2025년 10월 14일: 0.82D 추가: R4, R68, 아이템 +3</v>
      </c>
      <c r="G27" s="27" t="str">
        <f>IFERROR(__xludf.DUMMYFUNCTION("GOOGLETRANSLATE(A27,""zh-tw"",""RU"")"),"14 октября 2025 г.: добавлено 0.82D: R4, R68, предметы +3")</f>
        <v>14 октября 2025 г.: добавлено 0.82D: R4, R68, предметы +3</v>
      </c>
      <c r="H27" s="27" t="str">
        <f>IFERROR(__xludf.DUMMYFUNCTION("GOOGLETRANSLATE(A27,""zh-tw"",""DE"")"),"14. Oktober 2025: Hinzugefügt 0.82D: R4, R68, Gegenstände +3")</f>
        <v>14. Oktober 2025: Hinzugefügt 0.82D: R4, R68, Gegenstände +3</v>
      </c>
      <c r="I27" s="27" t="str">
        <f>IFERROR(__xludf.DUMMYFUNCTION("GOOGLETRANSLATE(A27,""zh-tw"",""vi"")"),"Ngày 14 tháng 10 năm 2025: Thêm 0.82D: R4, R68, Vật phẩm +3")</f>
        <v>Ngày 14 tháng 10 năm 2025: Thêm 0.82D: R4, R68, Vật phẩm +3</v>
      </c>
      <c r="J27" s="29" t="str">
        <f>IFERROR(__xludf.DUMMYFUNCTION("GOOGLETRANSLATE(A27,""zh-tw"",""pt-BR"")"),"14 de outubro de 2025: Adicionado 0.82D: R4, R68, Itens +3")</f>
        <v>14 de outubro de 2025: Adicionado 0.82D: R4, R68, Itens +3</v>
      </c>
      <c r="K27" s="65"/>
      <c r="L27" s="65"/>
      <c r="M27" s="65"/>
      <c r="N27" s="65"/>
      <c r="O27" s="65"/>
      <c r="P27" s="65"/>
      <c r="Q27" s="65"/>
      <c r="R27" s="65"/>
      <c r="S27" s="65"/>
      <c r="T27" s="65"/>
      <c r="U27" s="65"/>
      <c r="V27" s="65"/>
      <c r="W27" s="65"/>
      <c r="X27" s="65"/>
    </row>
    <row r="28">
      <c r="A28" s="63" t="s">
        <v>83</v>
      </c>
      <c r="B28" s="63" t="str">
        <f>IFERROR(__xludf.DUMMYFUNCTION("GOOGLETRANSLATE(A28,""zh-tw"",""ja"")"),"2025年10月6日にベトナム語翻訳を追加しました。")</f>
        <v>2025年10月6日にベトナム語翻訳を追加しました。</v>
      </c>
      <c r="C28" s="64" t="str">
        <f>IFERROR(__xludf.DUMMYFUNCTION("GOOGLETRANSLATE(A28,""zh-tw"",""en"")"),"Added Vietnamese translation on October 6, 2025.")</f>
        <v>Added Vietnamese translation on October 6, 2025.</v>
      </c>
      <c r="D28" s="63" t="str">
        <f>IFERROR(__xludf.DUMMYFUNCTION("GOOGLETRANSLATE(A28,""zh-tw"",""zh"")"),"2025/10/6 新增越南文的翻译")</f>
        <v>2025/10/6 新增越南文的翻译</v>
      </c>
      <c r="E28" s="27" t="str">
        <f>IFERROR(__xludf.DUMMYFUNCTION("GOOGLETRANSLATE(A28,""zh-tw"",""es-MX"")"),"Se agregó la traducción al vietnamita el 6 de octubre de 2025.")</f>
        <v>Se agregó la traducción al vietnamita el 6 de octubre de 2025.</v>
      </c>
      <c r="F28" s="27" t="str">
        <f>IFERROR(__xludf.DUMMYFUNCTION("GOOGLETRANSLATE(A28,""zh-tw"",""KO"")"),"2025년 10월 6일에 베트남어 번역이 추가되었습니다.")</f>
        <v>2025년 10월 6일에 베트남어 번역이 추가되었습니다.</v>
      </c>
      <c r="G28" s="27" t="str">
        <f>IFERROR(__xludf.DUMMYFUNCTION("GOOGLETRANSLATE(A28,""zh-tw"",""RU"")"),"Добавлен перевод на вьетнамский язык 6 октября 2025 г.")</f>
        <v>Добавлен перевод на вьетнамский язык 6 октября 2025 г.</v>
      </c>
      <c r="H28" s="27" t="str">
        <f>IFERROR(__xludf.DUMMYFUNCTION("GOOGLETRANSLATE(A28,""zh-tw"",""DE"")"),"Vietnamesische Übersetzung hinzugefügt am 6. Oktober 2025.")</f>
        <v>Vietnamesische Übersetzung hinzugefügt am 6. Oktober 2025.</v>
      </c>
      <c r="I28" s="27" t="s">
        <v>84</v>
      </c>
      <c r="J28" s="29" t="str">
        <f>IFERROR(__xludf.DUMMYFUNCTION("GOOGLETRANSLATE(A28,""zh-tw"",""pt-BR"")"),"Adicionada tradução para vietnamita em 6 de outubro de 2025.")</f>
        <v>Adicionada tradução para vietnamita em 6 de outubro de 2025.</v>
      </c>
      <c r="K28" s="65"/>
      <c r="L28" s="65"/>
      <c r="M28" s="65"/>
      <c r="N28" s="65"/>
      <c r="O28" s="65"/>
      <c r="P28" s="65"/>
      <c r="Q28" s="65"/>
      <c r="R28" s="65"/>
      <c r="S28" s="65"/>
      <c r="T28" s="65"/>
      <c r="U28" s="65"/>
      <c r="V28" s="65"/>
      <c r="W28" s="65"/>
      <c r="X28" s="65"/>
    </row>
    <row r="29">
      <c r="A29" s="63" t="s">
        <v>85</v>
      </c>
      <c r="B29" s="63" t="str">
        <f>IFERROR(__xludf.DUMMYFUNCTION("GOOGLETRANSLATE(A29,""zh-tw"",""ja"")"),"2025/10/1
0.82 アップデート:
R21、R66～R68、R83～89、武器-45～49、ドロップ-15、47～49、ギア-75～78、ヒント-106～112")</f>
        <v>2025/10/1
0.82 アップデート:
R21、R66～R68、R83～89、武器-45～49、ドロップ-15、47～49、ギア-75～78、ヒント-106～112</v>
      </c>
      <c r="C29" s="64" t="str">
        <f>IFERROR(__xludf.DUMMYFUNCTION("GOOGLETRANSLATE(A29,""zh-tw"",""en"")"),"2025/10/1
0.82 update:
R21, R66~R68, R83~89, Weap-45~49, Drops-15, 47~49, Gears-75~78, TIPS-106~112")</f>
        <v>2025/10/1
0.82 update:
R21, R66~R68, R83~89, Weap-45~49, Drops-15, 47~49, Gears-75~78, TIPS-106~112</v>
      </c>
      <c r="D29" s="63" t="str">
        <f>IFERROR(__xludf.DUMMYFUNCTION("GOOGLETRANSLATE(A29,""zh-tw"",""zh"")"),"2025/10/1
0.82 update：
R21、R66~R68、R83~89、Weap-45~49、Drops-15、47~49、Gears-75~78、TIPS-106~112")</f>
        <v>2025/10/1
0.82 update：
R21、R66~R68、R83~89、Weap-45~49、Drops-15、47~49、Gears-75~78、TIPS-106~112</v>
      </c>
      <c r="E29" s="27" t="str">
        <f>IFERROR(__xludf.DUMMYFUNCTION("GOOGLETRANSLATE(A29,""zh-tw"",""es-MX"")"),"1/10/2025
Actualización 0.82:
R21, R66~R68, R83~89, Armas: 45~49, Objetos: 15, 47~49, Equipamiento: 75~78, Consejos: 106~112")</f>
        <v>1/10/2025
Actualización 0.82:
R21, R66~R68, R83~89, Armas: 45~49, Objetos: 15, 47~49, Equipamiento: 75~78, Consejos: 106~112</v>
      </c>
      <c r="F29" s="27" t="str">
        <f>IFERROR(__xludf.DUMMYFUNCTION("GOOGLETRANSLATE(A29,""zh-tw"",""KO"")"),"2025년 10월 1일
0.82 업데이트:
R21, R66~R68, R83~89, 무기-45~49, 드랍-15, 47~49, 장비-75~78, 팁-106~112")</f>
        <v>2025년 10월 1일
0.82 업데이트:
R21, R66~R68, R83~89, 무기-45~49, 드랍-15, 47~49, 장비-75~78, 팁-106~112</v>
      </c>
      <c r="G29" s="27" t="str">
        <f>IFERROR(__xludf.DUMMYFUNCTION("GOOGLETRANSLATE(A29,""zh-tw"",""RU"")"),"1 октября 2025 г.
Обновление 0.82:
R21, R66~R68, R83~89, Оружие 45~49, Дропы 15, 47~49, Штурм 75~78, Советы 106~112")</f>
        <v>1 октября 2025 г.
Обновление 0.82:
R21, R66~R68, R83~89, Оружие 45~49, Дропы 15, 47~49, Штурм 75~78, Советы 106~112</v>
      </c>
      <c r="H29" s="27" t="str">
        <f>IFERROR(__xludf.DUMMYFUNCTION("GOOGLETRANSLATE(A29,""zh-tw"",""DE"")"),"01.10.2025
Update 0.82:
R21, R66–R68, R83–89, Waffen 45–49, Beute 15, 47–49, Ausrüstung 75–78, Spitzen 106–112")</f>
        <v>01.10.2025
Update 0.82:
R21, R66–R68, R83–89, Waffen 45–49, Beute 15, 47–49, Ausrüstung 75–78, Spitzen 106–112</v>
      </c>
      <c r="I29" s="66" t="s">
        <v>86</v>
      </c>
      <c r="J29" s="29" t="str">
        <f>IFERROR(__xludf.DUMMYFUNCTION("GOOGLETRANSLATE(A29,""zh-tw"",""pt-BR"")"),"01/10/2025
Atualização 0.82:
R21, R66~R68, R83~89, Armas-45~49, Itens-15, 47~49, Equipamentos-75~78, Dicas-106~112")</f>
        <v>01/10/2025
Atualização 0.82:
R21, R66~R68, R83~89, Armas-45~49, Itens-15, 47~49, Equipamentos-75~78, Dicas-106~112</v>
      </c>
      <c r="K29" s="65"/>
      <c r="L29" s="65"/>
      <c r="M29" s="65"/>
      <c r="N29" s="65"/>
      <c r="O29" s="65"/>
      <c r="P29" s="65"/>
      <c r="Q29" s="65"/>
      <c r="R29" s="65"/>
      <c r="S29" s="65"/>
      <c r="T29" s="65"/>
      <c r="U29" s="65"/>
      <c r="V29" s="65"/>
      <c r="W29" s="65"/>
      <c r="X29" s="65"/>
    </row>
    <row r="30">
      <c r="A30" s="63" t="s">
        <v>87</v>
      </c>
      <c r="B30" s="63" t="str">
        <f>IFERROR(__xludf.DUMMYFUNCTION("GOOGLETRANSLATE(A30,""zh-tw"",""ja"")"),"2025/9/14 0.81アップデート:
R69~R82, R24/TIPS 105~106/ドロップ 46/武器 45.46/ギア 64~74/アイテム 42")</f>
        <v>2025/9/14 0.81アップデート:
R69~R82, R24/TIPS 105~106/ドロップ 46/武器 45.46/ギア 64~74/アイテム 42</v>
      </c>
      <c r="C30" s="64" t="str">
        <f>IFERROR(__xludf.DUMMYFUNCTION("GOOGLETRANSLATE(A30,""zh-tw"",""en"")"),"2025/9/14 0.81update:
R69~R82, R24/TIPS 105~106/Drops 46/Weap 45.46/Gears 64~74/Items 42")</f>
        <v>2025/9/14 0.81update:
R69~R82, R24/TIPS 105~106/Drops 46/Weap 45.46/Gears 64~74/Items 42</v>
      </c>
      <c r="D30" s="63" t="str">
        <f>IFERROR(__xludf.DUMMYFUNCTION("GOOGLETRANSLATE(A30,""zh-tw"",""zh"")"),"2025/9/14 0.81update：
R69~R82、R24/TIPS 105~106/Drops 46/Weap 45.46/Gears 64~74/Items 42")</f>
        <v>2025/9/14 0.81update：
R69~R82、R24/TIPS 105~106/Drops 46/Weap 45.46/Gears 64~74/Items 42</v>
      </c>
      <c r="E30" s="27" t="str">
        <f>IFERROR(__xludf.DUMMYFUNCTION("GOOGLETRANSLATE(A30,""zh-tw"",""es-MX"")"),"Actualización 0.81 del 14/9/2025:
R69~R82, R24 / CONSEJOS 105~106 / Objetos 46 / Armas 45.46 / Equipos 64~74 / Objetos 42")</f>
        <v>Actualización 0.81 del 14/9/2025:
R69~R82, R24 / CONSEJOS 105~106 / Objetos 46 / Armas 45.46 / Equipos 64~74 / Objetos 42</v>
      </c>
      <c r="F30" s="27" t="str">
        <f>IFERROR(__xludf.DUMMYFUNCTION("GOOGLETRANSLATE(A30,""zh-tw"",""KO"")"),"2025년 9월 14일 0.81 업데이트:
R69~R82, R24/팁 105~106/드랍 46/무기 45.46/장비 64~74/아이템 42")</f>
        <v>2025년 9월 14일 0.81 업데이트:
R69~R82, R24/팁 105~106/드랍 46/무기 45.46/장비 64~74/아이템 42</v>
      </c>
      <c r="G30" s="27" t="str">
        <f>IFERROR(__xludf.DUMMYFUNCTION("GOOGLETRANSLATE(A30,""zh-tw"",""RU"")"),"Обновление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H30" s="27" t="str">
        <f>IFERROR(__xludf.DUMMYFUNCTION("GOOGLETRANSLATE(A30,""zh-tw"",""DE"")"),"Update 0.81 vom 14.09.2025:
R69–R82, R24/Tipps 105–106/Beute 46/Waffen 45,46/Ausrüstung 64–74/Gegenstände 42")</f>
        <v>Update 0.81 vom 14.09.2025:
R69–R82, R24/Tipps 105–106/Beute 46/Waffen 45,46/Ausrüstung 64–74/Gegenstände 42</v>
      </c>
      <c r="I30" s="67" t="s">
        <v>88</v>
      </c>
      <c r="J30" s="29" t="str">
        <f>IFERROR(__xludf.DUMMYFUNCTION("GOOGLETRANSLATE(A30,""zh-tw"",""pt-BR"")"),"Atualização 0.81 de 14/09/2025:
R69~R82, R24/DICAS 105~106/Drops 46/Arma 45,46/Equipamentos 64~74/Itens 42")</f>
        <v>Atualização 0.81 de 14/09/2025:
R69~R82, R24/DICAS 105~106/Drops 46/Arma 45,46/Equipamentos 64~74/Itens 42</v>
      </c>
      <c r="K30" s="65"/>
      <c r="L30" s="65"/>
      <c r="M30" s="65"/>
      <c r="N30" s="65"/>
      <c r="O30" s="65"/>
      <c r="P30" s="65"/>
      <c r="Q30" s="65"/>
      <c r="R30" s="65"/>
      <c r="S30" s="65"/>
      <c r="T30" s="65"/>
      <c r="U30" s="65"/>
      <c r="V30" s="65"/>
      <c r="W30" s="65"/>
      <c r="X30" s="65"/>
    </row>
    <row r="31">
      <c r="A31" s="63" t="s">
        <v>89</v>
      </c>
      <c r="B31" s="63" t="str">
        <f>IFERROR(__xludf.DUMMYFUNCTION("GOOGLETRANSLATE(A31,""zh-tw"",""ja"")"),"2025 年 9 月 4 日にビデオ/オーディオのページネーションを追加しました。")</f>
        <v>2025 年 9 月 4 日にビデオ/オーディオのページネーションを追加しました。</v>
      </c>
      <c r="C31" s="64" t="str">
        <f>IFERROR(__xludf.DUMMYFUNCTION("GOOGLETRANSLATE(A31,""zh-tw"",""en"")"),"Added video/audio pagination on September 4, 2025.")</f>
        <v>Added video/audio pagination on September 4, 2025.</v>
      </c>
      <c r="D31" s="63" t="str">
        <f>IFERROR(__xludf.DUMMYFUNCTION("GOOGLETRANSLATE(A31,""zh-tw"",""zh"")"),"2025/9/4 新增影音分页")</f>
        <v>2025/9/4 新增影音分页</v>
      </c>
      <c r="E31" s="27" t="str">
        <f>IFERROR(__xludf.DUMMYFUNCTION("GOOGLETRANSLATE(A31,""zh-tw"",""es-MX"")"),"Se agregó paginación de video/audio el 4 de septiembre de 2025.")</f>
        <v>Se agregó paginación de video/audio el 4 de septiembre de 2025.</v>
      </c>
      <c r="F31" s="27" t="str">
        <f>IFERROR(__xludf.DUMMYFUNCTION("GOOGLETRANSLATE(A31,""zh-tw"",""KO"")"),"2025년 9월 4일에 비디오/오디오 페이지 매김 기능이 추가되었습니다.")</f>
        <v>2025년 9월 4일에 비디오/오디오 페이지 매김 기능이 추가되었습니다.</v>
      </c>
      <c r="G31" s="27" t="str">
        <f>IFERROR(__xludf.DUMMYFUNCTION("GOOGLETRANSLATE(A31,""zh-tw"",""RU"")"),"Добавлена ​​пагинация видео/аудио 4 сентября 2025 г.")</f>
        <v>Добавлена ​​пагинация видео/аудио 4 сентября 2025 г.</v>
      </c>
      <c r="H31" s="27" t="str">
        <f>IFERROR(__xludf.DUMMYFUNCTION("GOOGLETRANSLATE(A31,""zh-tw"",""DE"")"),"Video-/Audio-Seitennummerierung hinzugefügt am 4. September 2025.")</f>
        <v>Video-/Audio-Seitennummerierung hinzugefügt am 4. September 2025.</v>
      </c>
      <c r="I31" s="67" t="s">
        <v>90</v>
      </c>
      <c r="J31" s="29" t="str">
        <f>IFERROR(__xludf.DUMMYFUNCTION("GOOGLETRANSLATE(A31,""zh-tw"",""pt-BR"")"),"Adicionada paginação de vídeo/áudio em 4 de setembro de 2025.")</f>
        <v>Adicionada paginação de vídeo/áudio em 4 de setembro de 2025.</v>
      </c>
      <c r="K31" s="65"/>
      <c r="L31" s="65"/>
      <c r="M31" s="65"/>
      <c r="N31" s="65"/>
      <c r="O31" s="65"/>
      <c r="P31" s="65"/>
      <c r="Q31" s="65"/>
      <c r="R31" s="65"/>
      <c r="S31" s="65"/>
      <c r="T31" s="65"/>
      <c r="U31" s="65"/>
      <c r="V31" s="65"/>
      <c r="W31" s="65"/>
      <c r="X31" s="65"/>
    </row>
    <row r="32">
      <c r="A32" s="63" t="s">
        <v>91</v>
      </c>
      <c r="B32" s="63" t="str">
        <f>IFERROR(__xludf.DUMMYFUNCTION("GOOGLETRANSLATE(A32,""zh-tw"",""ja"")"),"2025年8月31日に、地図セクションの地図ファイルのウェブサイトがimgseからpostimageに変更されました。")</f>
        <v>2025年8月31日に、地図セクションの地図ファイルのウェブサイトがimgseからpostimageに変更されました。</v>
      </c>
      <c r="C32" s="64" t="str">
        <f>IFERROR(__xludf.DUMMYFUNCTION("GOOGLETRANSLATE(A32,""zh-tw"",""en"")"),"On August 31, 2025, the website for map files on the map section was changed from imgse to postimage.")</f>
        <v>On August 31, 2025, the website for map files on the map section was changed from imgse to postimage.</v>
      </c>
      <c r="D32" s="63" t="str">
        <f>IFERROR(__xludf.DUMMYFUNCTION("GOOGLETRANSLATE(A32,""zh-tw"",""zh"")"),"2025/8/31 Map板块图档网站由imgse网站更换为postimage")</f>
        <v>2025/8/31 Map板块图档网站由imgse网站更换为postimage</v>
      </c>
      <c r="E32" s="27" t="str">
        <f>IFERROR(__xludf.DUMMYFUNCTION("GOOGLETRANSLATE(A32,""zh-tw"",""es-MX"")"),"El 31 de agosto de 2025, el sitio web para archivos de mapas en la sección de mapas se cambió de imgse a postimage.")</f>
        <v>El 31 de agosto de 2025, el sitio web para archivos de mapas en la sección de mapas se cambió de imgse a postimage.</v>
      </c>
      <c r="F32" s="27" t="str">
        <f>IFERROR(__xludf.DUMMYFUNCTION("GOOGLETRANSLATE(A32,""zh-tw"",""KO"")"),"2025년 8월 31일, 지도 섹션의 지도 파일 웹사이트가 imgse에서 postimage로 변경되었습니다.")</f>
        <v>2025년 8월 31일, 지도 섹션의 지도 파일 웹사이트가 imgse에서 postimage로 변경되었습니다.</v>
      </c>
      <c r="G32" s="27" t="str">
        <f>IFERROR(__xludf.DUMMYFUNCTION("GOOGLETRANSLATE(A32,""zh-tw"",""RU"")"),"31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H32" s="27" t="str">
        <f>IFERROR(__xludf.DUMMYFUNCTION("GOOGLETRANSLATE(A32,""zh-tw"",""DE"")"),"Am 31. August 2025 wurde die Website für Kartendateien im Kartenbereich von imgse auf postimage umgestellt.")</f>
        <v>Am 31. August 2025 wurde die Website für Kartendateien im Kartenbereich von imgse auf postimage umgestellt.</v>
      </c>
      <c r="I32" s="67" t="s">
        <v>92</v>
      </c>
      <c r="J32" s="29" t="str">
        <f>IFERROR(__xludf.DUMMYFUNCTION("GOOGLETRANSLATE(A32,""zh-tw"",""pt-BR"")"),"Em 31 de agosto de 2025, o site para arquivos de mapas na seção de mapas foi alterado de imgse para postimage.")</f>
        <v>Em 31 de agosto de 2025, o site para arquivos de mapas na seção de mapas foi alterado de imgse para postimage.</v>
      </c>
      <c r="K32" s="65"/>
      <c r="L32" s="65"/>
      <c r="M32" s="65"/>
      <c r="N32" s="65"/>
      <c r="O32" s="65"/>
      <c r="P32" s="65"/>
      <c r="Q32" s="65"/>
      <c r="R32" s="65"/>
      <c r="S32" s="65"/>
      <c r="T32" s="65"/>
      <c r="U32" s="65"/>
      <c r="V32" s="65"/>
      <c r="W32" s="65"/>
      <c r="X32" s="65"/>
    </row>
    <row r="33">
      <c r="A33" s="63" t="s">
        <v>93</v>
      </c>
      <c r="B33" s="63" t="str">
        <f>IFERROR(__xludf.DUMMYFUNCTION("GOOGLETRANSLATE(A33,""zh-tw"",""ja"")"),"バージョン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3" s="64" t="str">
        <f>IFERROR(__xludf.DUMMYFUNCTION("GOOGLETRANSLATE(A33,""zh-tw"",""en"")"),"Version 0.80 (August 30, 2025) adds: SLG-A8, R11, R59~68, 6 new equipment and items, and a Traditional Chinese map update.")</f>
        <v>Version 0.80 (August 30, 2025) adds: SLG-A8, R11, R59~68, 6 new equipment and items, and a Traditional Chinese map update.</v>
      </c>
      <c r="D33" s="63" t="str">
        <f>IFERROR(__xludf.DUMMYFUNCTION("GOOGLETRANSLATE(A33,""zh-tw"",""zh"")"),"2025/8/30 0.80版本新增：SLG-A8、R11、R59~68、6样装备及道具、繁体中文地图更新")</f>
        <v>2025/8/30 0.80版本新增：SLG-A8、R11、R59~68、6样装备及道具、繁体中文地图更新</v>
      </c>
      <c r="E33" s="27" t="str">
        <f>IFERROR(__xludf.DUMMYFUNCTION("GOOGLETRANSLATE(A33,""zh-tw"",""es-MX"")"),"La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3" s="27" t="str">
        <f>IFERROR(__xludf.DUMMYFUNCTION("GOOGLETRANSLATE(A33,""zh-tw"",""KO"")"),"버전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G33" s="27" t="str">
        <f>IFERROR(__xludf.DUMMYFUNCTION("GOOGLETRANSLATE(A33,""zh-tw"",""RU"")"),"Версия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H33" s="27" t="str">
        <f>IFERROR(__xludf.DUMMYFUNCTION("GOOGLETRANSLATE(A33,""zh-tw"",""DE"")"),"Version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3" s="67" t="s">
        <v>94</v>
      </c>
      <c r="J33" s="29" t="str">
        <f>IFERROR(__xludf.DUMMYFUNCTION("GOOGLETRANSLATE(A33,""zh-tw"",""pt-BR"")"),"A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3" s="65"/>
      <c r="L33" s="65"/>
      <c r="M33" s="65"/>
      <c r="N33" s="65"/>
      <c r="O33" s="65"/>
      <c r="P33" s="65"/>
      <c r="Q33" s="65"/>
      <c r="R33" s="65"/>
      <c r="S33" s="65"/>
      <c r="T33" s="65"/>
      <c r="U33" s="65"/>
      <c r="V33" s="65"/>
      <c r="W33" s="65"/>
      <c r="X33" s="65"/>
    </row>
    <row r="34">
      <c r="A34" s="63" t="s">
        <v>95</v>
      </c>
      <c r="B34" s="63" t="str">
        <f>IFERROR(__xludf.DUMMYFUNCTION("GOOGLETRANSLATE(A34,""zh-tw"",""ja"")"),"この地図は2025年8月29日に繁体字中国語に更新されました。他の言語バージョンへの更新は段階的に完了します。")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4" s="64" t="str">
        <f>IFERROR(__xludf.DUMMYFUNCTION("GOOGLETRANSLATE(A34,""zh-tw"",""en"")"),"The map was updated to Traditional Chinese on August 29, 2025. Updates to other language versions will be completed gradually.")</f>
        <v>The map was updated to Traditional Chinese on August 29, 2025. Updates to other language versions will be completed gradually.</v>
      </c>
      <c r="D34" s="63" t="str">
        <f>IFERROR(__xludf.DUMMYFUNCTION("GOOGLETRANSLATE(A34,""zh-tw"",""zh"")"),"2025/8/29 map更新完成繁体中文版本，其余语系将逐步更新")</f>
        <v>2025/8/29 map更新完成繁体中文版本，其余语系将逐步更新</v>
      </c>
      <c r="E34" s="27" t="str">
        <f>IFERROR(__xludf.DUMMYFUNCTION("GOOGLETRANSLATE(A34,""zh-tw"",""es-MX"")"),"El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4" s="27" t="str">
        <f>IFERROR(__xludf.DUMMYFUNCTION("GOOGLETRANSLATE(A34,""zh-tw"",""KO"")"),"이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G34" s="27" t="str">
        <f>IFERROR(__xludf.DUMMYFUNCTION("GOOGLETRANSLATE(A34,""zh-tw"",""RU"")"),"Карта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H34" s="27" t="str">
        <f>IFERROR(__xludf.DUMMYFUNCTION("GOOGLETRANSLATE(A34,""zh-tw"",""DE"")"),"Die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4" s="67" t="s">
        <v>96</v>
      </c>
      <c r="J34" s="29" t="str">
        <f>IFERROR(__xludf.DUMMYFUNCTION("GOOGLETRANSLATE(A34,""zh-tw"",""pt-BR"")"),"O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4" s="65"/>
      <c r="L34" s="65"/>
      <c r="M34" s="65"/>
      <c r="N34" s="65"/>
      <c r="O34" s="65"/>
      <c r="P34" s="65"/>
      <c r="Q34" s="65"/>
      <c r="R34" s="65"/>
      <c r="S34" s="65"/>
      <c r="T34" s="65"/>
      <c r="U34" s="65"/>
      <c r="V34" s="65"/>
      <c r="W34" s="65"/>
      <c r="X34" s="65"/>
    </row>
    <row r="35">
      <c r="A35" s="63" t="s">
        <v>97</v>
      </c>
      <c r="B35" s="63" t="str">
        <f>IFERROR(__xludf.DUMMYFUNCTION("GOOGLETRANSLATE(A35,""zh-tw"",""ja"")"),"2025年8月11日にバージョン0.79Hが追加されました。（TIPS）")</f>
        <v>2025年8月11日にバージョン0.79Hが追加されました。（TIPS）</v>
      </c>
      <c r="C35" s="64" t="str">
        <f>IFERROR(__xludf.DUMMYFUNCTION("GOOGLETRANSLATE(A35,""zh-tw"",""en"")"),"Version 0.79H was added on August 11, 2025. (TIPS)")</f>
        <v>Version 0.79H was added on August 11, 2025. (TIPS)</v>
      </c>
      <c r="D35" s="63" t="str">
        <f>IFERROR(__xludf.DUMMYFUNCTION("GOOGLETRANSLATE(A35,""zh-tw"",""zh"")"),"2025/8/11 新增了0.79H版本 TIPS")</f>
        <v>2025/8/11 新增了0.79H版本 TIPS</v>
      </c>
      <c r="E35" s="27" t="str">
        <f>IFERROR(__xludf.DUMMYFUNCTION("GOOGLETRANSLATE(A35,""zh-tw"",""es-MX"")"),"La versión 0.79H se agregó el 11 de agosto de 2025. (CONSEJOS)")</f>
        <v>La versión 0.79H se agregó el 11 de agosto de 2025. (CONSEJOS)</v>
      </c>
      <c r="F35" s="27" t="str">
        <f>IFERROR(__xludf.DUMMYFUNCTION("GOOGLETRANSLATE(A35,""zh-tw"",""KO"")"),"2025년 8월 11일에 버전 0.79H가 추가되었습니다. (팁)")</f>
        <v>2025년 8월 11일에 버전 0.79H가 추가되었습니다. (팁)</v>
      </c>
      <c r="G35" s="27" t="str">
        <f>IFERROR(__xludf.DUMMYFUNCTION("GOOGLETRANSLATE(A35,""zh-tw"",""RU"")"),"Версия 0.79H была добавлена ​​11 августа 2025 г. (СОВЕТЫ)")</f>
        <v>Версия 0.79H была добавлена ​​11 августа 2025 г. (СОВЕТЫ)</v>
      </c>
      <c r="H35" s="27" t="str">
        <f>IFERROR(__xludf.DUMMYFUNCTION("GOOGLETRANSLATE(A35,""zh-tw"",""DE"")"),"Version 0.79H wurde am 11. August 2025 hinzugefügt. (TIPPS)")</f>
        <v>Version 0.79H wurde am 11. August 2025 hinzugefügt. (TIPPS)</v>
      </c>
      <c r="I35" s="67" t="s">
        <v>98</v>
      </c>
      <c r="J35" s="29" t="str">
        <f>IFERROR(__xludf.DUMMYFUNCTION("GOOGLETRANSLATE(A35,""zh-tw"",""pt-BR"")"),"A versão 0.79H foi adicionada em 11 de agosto de 2025. (DICAS)")</f>
        <v>A versão 0.79H foi adicionada em 11 de agosto de 2025. (DICAS)</v>
      </c>
      <c r="K35" s="65"/>
      <c r="L35" s="65"/>
      <c r="M35" s="65"/>
      <c r="N35" s="65"/>
      <c r="O35" s="65"/>
      <c r="P35" s="65"/>
      <c r="Q35" s="65"/>
      <c r="R35" s="65"/>
      <c r="S35" s="65"/>
      <c r="T35" s="65"/>
      <c r="U35" s="65"/>
      <c r="V35" s="65"/>
      <c r="W35" s="65"/>
      <c r="X35" s="65"/>
    </row>
    <row r="36">
      <c r="A36" s="63" t="s">
        <v>99</v>
      </c>
      <c r="B36" s="63" t="str">
        <f>IFERROR(__xludf.DUMMYFUNCTION("GOOGLETRANSLATE(A36,""zh-tw"",""ja"")"),"バージョン0.79E（RPG35.41）は2025年7月20日に追加されました。")</f>
        <v>バージョン0.79E（RPG35.41）は2025年7月20日に追加されました。</v>
      </c>
      <c r="C36" s="64" t="str">
        <f>IFERROR(__xludf.DUMMYFUNCTION("GOOGLETRANSLATE(A36,""zh-tw"",""en"")"),"Version 0.79E (RPG35.41) was added on July 20, 2025.")</f>
        <v>Version 0.79E (RPG35.41) was added on July 20, 2025.</v>
      </c>
      <c r="D36" s="63" t="str">
        <f>IFERROR(__xludf.DUMMYFUNCTION("GOOGLETRANSLATE(A36,""zh-tw"",""zh"")"),"2025/7/20 新增了0.79E版本 RPG35.41")</f>
        <v>2025/7/20 新增了0.79E版本 RPG35.41</v>
      </c>
      <c r="E36" s="27" t="str">
        <f>IFERROR(__xludf.DUMMYFUNCTION("GOOGLETRANSLATE(A36,""zh-tw"",""es-MX"")"),"La versión 0.79E (RPG35.41) se agregó el 20 de julio de 2025.")</f>
        <v>La versión 0.79E (RPG35.41) se agregó el 20 de julio de 2025.</v>
      </c>
      <c r="F36" s="27" t="str">
        <f>IFERROR(__xludf.DUMMYFUNCTION("GOOGLETRANSLATE(A36,""zh-tw"",""KO"")"),"버전 0.79E(RPG35.41)는 2025년 7월 20일에 추가되었습니다.")</f>
        <v>버전 0.79E(RPG35.41)는 2025년 7월 20일에 추가되었습니다.</v>
      </c>
      <c r="G36" s="27" t="str">
        <f>IFERROR(__xludf.DUMMYFUNCTION("GOOGLETRANSLATE(A36,""zh-tw"",""RU"")"),"Версия 0.79E (RPG35.41) была добавлена ​​20 июля 2025 года.")</f>
        <v>Версия 0.79E (RPG35.41) была добавлена ​​20 июля 2025 года.</v>
      </c>
      <c r="H36" s="27" t="str">
        <f>IFERROR(__xludf.DUMMYFUNCTION("GOOGLETRANSLATE(A36,""zh-tw"",""DE"")"),"Version 0.79E (RPG35.41) wurde am 20. Juli 2025 hinzugefügt.")</f>
        <v>Version 0.79E (RPG35.41) wurde am 20. Juli 2025 hinzugefügt.</v>
      </c>
      <c r="I36" s="67" t="s">
        <v>100</v>
      </c>
      <c r="J36" s="29" t="str">
        <f>IFERROR(__xludf.DUMMYFUNCTION("GOOGLETRANSLATE(A36,""zh-tw"",""pt-BR"")"),"A versão 0.79E (RPG35.41) foi adicionada em 20 de julho de 2025.")</f>
        <v>A versão 0.79E (RPG35.41) foi adicionada em 20 de julho de 2025.</v>
      </c>
      <c r="K36" s="65"/>
      <c r="L36" s="65"/>
      <c r="M36" s="65"/>
      <c r="N36" s="65"/>
      <c r="O36" s="65"/>
      <c r="P36" s="65"/>
      <c r="Q36" s="65"/>
      <c r="R36" s="65"/>
      <c r="S36" s="65"/>
      <c r="T36" s="65"/>
      <c r="U36" s="65"/>
      <c r="V36" s="65"/>
      <c r="W36" s="65"/>
      <c r="X36" s="65"/>
    </row>
    <row r="37">
      <c r="A37" s="63" t="s">
        <v>101</v>
      </c>
      <c r="B37" s="63" t="str">
        <f>IFERROR(__xludf.DUMMYFUNCTION("GOOGLETRANSLATE(A37,""zh-tw"",""ja"")"),"2025/7/20にバージョン0.79DのTIPSを追加しました")</f>
        <v>2025/7/20にバージョン0.79DのTIPSを追加しました</v>
      </c>
      <c r="C37" s="64" t="str">
        <f>IFERROR(__xludf.DUMMYFUNCTION("GOOGLETRANSLATE(A37,""zh-tw"",""en"")"),"Added version 0.79D TIPS on 2025/7/20")</f>
        <v>Added version 0.79D TIPS on 2025/7/20</v>
      </c>
      <c r="D37" s="63" t="str">
        <f>IFERROR(__xludf.DUMMYFUNCTION("GOOGLETRANSLATE(A37,""zh-tw"",""zh"")"),"2025/7/20 新增了0.79D版本TIPS")</f>
        <v>2025/7/20 新增了0.79D版本TIPS</v>
      </c>
      <c r="E37" s="27" t="str">
        <f>IFERROR(__xludf.DUMMYFUNCTION("GOOGLETRANSLATE(A37,""zh-tw"",""es-MX"")"),"Versión 0.79D TIPS agregada el 20/7/2025")</f>
        <v>Versión 0.79D TIPS agregada el 20/7/2025</v>
      </c>
      <c r="F37" s="27" t="str">
        <f>IFERROR(__xludf.DUMMYFUNCTION("GOOGLETRANSLATE(A37,""zh-tw"",""KO"")"),"2025/7/20에 0.79D TIPS 버전이 추가되었습니다.")</f>
        <v>2025/7/20에 0.79D TIPS 버전이 추가되었습니다.</v>
      </c>
      <c r="G37" s="27" t="str">
        <f>IFERROR(__xludf.DUMMYFUNCTION("GOOGLETRANSLATE(A37,""zh-tw"",""RU"")"),"Добавлена ​​версия 0.79D TIPS 20.07.2025")</f>
        <v>Добавлена ​​версия 0.79D TIPS 20.07.2025</v>
      </c>
      <c r="H37" s="27" t="str">
        <f>IFERROR(__xludf.DUMMYFUNCTION("GOOGLETRANSLATE(A37,""zh-tw"",""DE"")"),"Version 0.79D TIPS hinzugefügt am 20.07.2025")</f>
        <v>Version 0.79D TIPS hinzugefügt am 20.07.2025</v>
      </c>
      <c r="I37" s="67" t="s">
        <v>102</v>
      </c>
      <c r="J37" s="29" t="str">
        <f>IFERROR(__xludf.DUMMYFUNCTION("GOOGLETRANSLATE(A37,""zh-tw"",""pt-BR"")"),"Adicionada a versão 0.79D TIPS em 20/07/2025")</f>
        <v>Adicionada a versão 0.79D TIPS em 20/07/2025</v>
      </c>
      <c r="K37" s="65"/>
      <c r="L37" s="65"/>
      <c r="M37" s="65"/>
      <c r="N37" s="65"/>
      <c r="O37" s="65"/>
      <c r="P37" s="65"/>
      <c r="Q37" s="65"/>
      <c r="R37" s="65"/>
      <c r="S37" s="65"/>
      <c r="T37" s="65"/>
      <c r="U37" s="65"/>
      <c r="V37" s="65"/>
      <c r="W37" s="65"/>
      <c r="X37" s="65"/>
    </row>
    <row r="38">
      <c r="A38" s="63" t="s">
        <v>103</v>
      </c>
      <c r="B38" s="63" t="str">
        <f>IFERROR(__xludf.DUMMYFUNCTION("GOOGLETRANSLATE(A38,""zh-tw"",""ja"")"),"2025年7月12日に、SLG-A、SLG-C、TIPS、Weap、Dropsのバージョン0.79が追加されました。")</f>
        <v>2025年7月12日に、SLG-A、SLG-C、TIPS、Weap、Dropsのバージョン0.79が追加されました。</v>
      </c>
      <c r="C38" s="64" t="str">
        <f>IFERROR(__xludf.DUMMYFUNCTION("GOOGLETRANSLATE(A38,""zh-tw"",""en"")"),"On July 12, 2025, version 0.79 was added for SLG-A, SLG-C, TIPS, Weap, and Drops.")</f>
        <v>On July 12, 2025, version 0.79 was added for SLG-A, SLG-C, TIPS, Weap, and Drops.</v>
      </c>
      <c r="D38" s="63" t="str">
        <f>IFERROR(__xludf.DUMMYFUNCTION("GOOGLETRANSLATE(A38,""zh-tw"",""zh"")"),"2025/7/12 新增了0.79版本SLG-A、SLG-C、TIPS、Weap、Drops")</f>
        <v>2025/7/12 新增了0.79版本SLG-A、SLG-C、TIPS、Weap、Drops</v>
      </c>
      <c r="E38" s="27" t="str">
        <f>IFERROR(__xludf.DUMMYFUNCTION("GOOGLETRANSLATE(A38,""zh-tw"",""es-MX"")"),"El 12 de julio de 2025, se agregó la versión 0.79 para SLG-A, SLG-C, TIPS, Weap y Drops.")</f>
        <v>El 12 de julio de 2025, se agregó la versión 0.79 para SLG-A, SLG-C, TIPS, Weap y Drops.</v>
      </c>
      <c r="F38" s="27" t="str">
        <f>IFERROR(__xludf.DUMMYFUNCTION("GOOGLETRANSLATE(A38,""zh-tw"",""KO"")"),"2025년 7월 12일, SLG-A, SLG-C, TIPS, Weap, Drops에 버전 0.79가 추가되었습니다.")</f>
        <v>2025년 7월 12일, SLG-A, SLG-C, TIPS, Weap, Drops에 버전 0.79가 추가되었습니다.</v>
      </c>
      <c r="G38" s="27" t="str">
        <f>IFERROR(__xludf.DUMMYFUNCTION("GOOGLETRANSLATE(A38,""zh-tw"",""RU"")"),"12 июля 2025 года была добавлена ​​версия 0.79 для SLG-A, SLG-C, TIPS, Weap и Drops.")</f>
        <v>12 июля 2025 года была добавлена ​​версия 0.79 для SLG-A, SLG-C, TIPS, Weap и Drops.</v>
      </c>
      <c r="H38" s="27" t="str">
        <f>IFERROR(__xludf.DUMMYFUNCTION("GOOGLETRANSLATE(A38,""zh-tw"",""DE"")"),"Am 12. Juli 2025 wurde Version 0.79 für SLG-A, SLG-C, TIPS, Weap und Drops hinzugefügt.")</f>
        <v>Am 12. Juli 2025 wurde Version 0.79 für SLG-A, SLG-C, TIPS, Weap und Drops hinzugefügt.</v>
      </c>
      <c r="I38" s="67" t="s">
        <v>104</v>
      </c>
      <c r="J38" s="29" t="str">
        <f>IFERROR(__xludf.DUMMYFUNCTION("GOOGLETRANSLATE(A38,""zh-tw"",""pt-BR"")"),"Em 12 de julho de 2025, a versão 0.79 foi adicionada para SLG-A, SLG-C, TIPS, Weap e Drops.")</f>
        <v>Em 12 de julho de 2025, a versão 0.79 foi adicionada para SLG-A, SLG-C, TIPS, Weap e Drops.</v>
      </c>
      <c r="K38" s="65"/>
      <c r="L38" s="65"/>
      <c r="M38" s="65"/>
      <c r="N38" s="65"/>
      <c r="O38" s="65"/>
      <c r="P38" s="65"/>
      <c r="Q38" s="65"/>
      <c r="R38" s="65"/>
      <c r="S38" s="65"/>
      <c r="T38" s="65"/>
      <c r="U38" s="65"/>
      <c r="V38" s="65"/>
      <c r="W38" s="65"/>
      <c r="X38" s="65"/>
    </row>
    <row r="39">
      <c r="A39" s="63" t="s">
        <v>105</v>
      </c>
      <c r="B39" s="63" t="str">
        <f>IFERROR(__xludf.DUMMYFUNCTION("GOOGLETRANSLATE(A39,""zh-tw"",""ja"")"),"2025年6月11日：バージョン0.77の一部説明を修正し、ヒントを追加しました。")</f>
        <v>2025年6月11日：バージョン0.77の一部説明を修正し、ヒントを追加しました。</v>
      </c>
      <c r="C39" s="64" t="str">
        <f>IFERROR(__xludf.DUMMYFUNCTION("GOOGLETRANSLATE(A39,""zh-tw"",""en"")"),"June 11, 2025: Corrected some descriptions in version 0.77 and added tips.")</f>
        <v>June 11, 2025: Corrected some descriptions in version 0.77 and added tips.</v>
      </c>
      <c r="D39" s="63" t="str">
        <f>IFERROR(__xludf.DUMMYFUNCTION("GOOGLETRANSLATE(A39,""zh-tw"",""zh"")"),"2025/6/11 修正了部分0.77版本的叙述，并新增了TIPS")</f>
        <v>2025/6/11 修正了部分0.77版本的叙述，并新增了TIPS</v>
      </c>
      <c r="E39" s="27" t="str">
        <f>IFERROR(__xludf.DUMMYFUNCTION("GOOGLETRANSLATE(A39,""zh-tw"",""es-MX"")"),"11 de junio de 2025: Se corrigieron algunas descripciones en la versión 0.77 y se agregaron sugerencias.")</f>
        <v>11 de junio de 2025: Se corrigieron algunas descripciones en la versión 0.77 y se agregaron sugerencias.</v>
      </c>
      <c r="F39" s="27" t="str">
        <f>IFERROR(__xludf.DUMMYFUNCTION("GOOGLETRANSLATE(A39,""zh-tw"",""KO"")"),"2025년 6월 11일: 버전 0.77에서 일부 설명을 수정하고 팁을 추가했습니다.")</f>
        <v>2025년 6월 11일: 버전 0.77에서 일부 설명을 수정하고 팁을 추가했습니다.</v>
      </c>
      <c r="G39" s="27" t="str">
        <f>IFERROR(__xludf.DUMMYFUNCTION("GOOGLETRANSLATE(A39,""zh-tw"",""RU"")"),"11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39" s="27" t="str">
        <f>IFERROR(__xludf.DUMMYFUNCTION("GOOGLETRANSLATE(A39,""zh-tw"",""DE"")"),"11. Juni 2025: Einige Beschreibungen in Version 0.77 wurden korrigiert und Tipps hinzugefügt.")</f>
        <v>11. Juni 2025: Einige Beschreibungen in Version 0.77 wurden korrigiert und Tipps hinzugefügt.</v>
      </c>
      <c r="I39" s="67" t="s">
        <v>106</v>
      </c>
      <c r="J39" s="29" t="str">
        <f>IFERROR(__xludf.DUMMYFUNCTION("GOOGLETRANSLATE(A39,""zh-tw"",""pt-BR"")"),"11 de junho de 2025: Algumas descrições foram corrigidas na versão 0.77 e dicas foram adicionadas.")</f>
        <v>11 de junho de 2025: Algumas descrições foram corrigidas na versão 0.77 e dicas foram adicionadas.</v>
      </c>
      <c r="K39" s="65"/>
      <c r="L39" s="65"/>
      <c r="M39" s="65"/>
      <c r="N39" s="65"/>
      <c r="O39" s="65"/>
      <c r="P39" s="65"/>
      <c r="Q39" s="65"/>
      <c r="R39" s="65"/>
      <c r="S39" s="65"/>
      <c r="T39" s="65"/>
      <c r="U39" s="65"/>
      <c r="V39" s="65"/>
      <c r="W39" s="65"/>
      <c r="X39" s="65"/>
    </row>
    <row r="40">
      <c r="A40" s="63" t="s">
        <v>107</v>
      </c>
      <c r="B40" s="63" t="str">
        <f>IFERROR(__xludf.DUMMYFUNCTION("GOOGLETRANSLATE(A40,""zh-tw"",""ja"")"),"2025年6月10日にバージョン0.77に更新されました。")</f>
        <v>2025年6月10日にバージョン0.77に更新されました。</v>
      </c>
      <c r="C40" s="64" t="str">
        <f>IFERROR(__xludf.DUMMYFUNCTION("GOOGLETRANSLATE(A40,""zh-tw"",""en"")"),"Updated to version 0.77 on June 10, 2025.")</f>
        <v>Updated to version 0.77 on June 10, 2025.</v>
      </c>
      <c r="D40" s="63" t="str">
        <f>IFERROR(__xludf.DUMMYFUNCTION("GOOGLETRANSLATE(A40,""zh-tw"",""zh"")"),"2025/6/10 更新0.77版本的内容")</f>
        <v>2025/6/10 更新0.77版本的内容</v>
      </c>
      <c r="E40" s="27" t="str">
        <f>IFERROR(__xludf.DUMMYFUNCTION("GOOGLETRANSLATE(A40,""zh-tw"",""es-MX"")"),"Actualizado a la versión 0.77 el 10 de junio de 2025.")</f>
        <v>Actualizado a la versión 0.77 el 10 de junio de 2025.</v>
      </c>
      <c r="F40" s="27" t="str">
        <f>IFERROR(__xludf.DUMMYFUNCTION("GOOGLETRANSLATE(A40,""zh-tw"",""KO"")"),"2025년 6월 10일에 버전 0.77로 업데이트되었습니다.")</f>
        <v>2025년 6월 10일에 버전 0.77로 업데이트되었습니다.</v>
      </c>
      <c r="G40" s="27" t="str">
        <f>IFERROR(__xludf.DUMMYFUNCTION("GOOGLETRANSLATE(A40,""zh-tw"",""RU"")"),"Обновлено до версии 0.77 10 июня 2025 г.")</f>
        <v>Обновлено до версии 0.77 10 июня 2025 г.</v>
      </c>
      <c r="H40" s="27" t="str">
        <f>IFERROR(__xludf.DUMMYFUNCTION("GOOGLETRANSLATE(A40,""zh-tw"",""DE"")"),"Aktualisiert auf Version 0.77 am 10. Juni 2025.")</f>
        <v>Aktualisiert auf Version 0.77 am 10. Juni 2025.</v>
      </c>
      <c r="I40" s="67" t="s">
        <v>108</v>
      </c>
      <c r="J40" s="29" t="str">
        <f>IFERROR(__xludf.DUMMYFUNCTION("GOOGLETRANSLATE(A40,""zh-tw"",""pt-BR"")"),"Atualizado para a versão 0.77 em 10 de junho de 2025.")</f>
        <v>Atualizado para a versão 0.77 em 10 de junho de 2025.</v>
      </c>
      <c r="K40" s="65"/>
      <c r="L40" s="65"/>
      <c r="M40" s="65"/>
      <c r="N40" s="65"/>
      <c r="O40" s="65"/>
      <c r="P40" s="65"/>
      <c r="Q40" s="65"/>
      <c r="R40" s="65"/>
      <c r="S40" s="65"/>
      <c r="T40" s="65"/>
      <c r="U40" s="65"/>
      <c r="V40" s="65"/>
      <c r="W40" s="65"/>
      <c r="X40" s="65"/>
    </row>
    <row r="41">
      <c r="A41" s="63" t="s">
        <v>109</v>
      </c>
      <c r="B41" s="63" t="str">
        <f>IFERROR(__xludf.DUMMYFUNCTION("GOOGLETRANSLATE(A41,""zh-tw"",""ja"")"),"2025年6月3日にバージョン0.77に更新されました。")</f>
        <v>2025年6月3日にバージョン0.77に更新されました。</v>
      </c>
      <c r="C41" s="64" t="str">
        <f>IFERROR(__xludf.DUMMYFUNCTION("GOOGLETRANSLATE(A41,""zh-tw"",""en"")"),"Updated to version 0.77 on June 3, 2025.")</f>
        <v>Updated to version 0.77 on June 3, 2025.</v>
      </c>
      <c r="D41" s="63" t="str">
        <f>IFERROR(__xludf.DUMMYFUNCTION("GOOGLETRANSLATE(A41,""zh-tw"",""zh"")"),"2025/6/3 更新0.77版本的内容")</f>
        <v>2025/6/3 更新0.77版本的内容</v>
      </c>
      <c r="E41" s="27" t="str">
        <f>IFERROR(__xludf.DUMMYFUNCTION("GOOGLETRANSLATE(A41,""zh-tw"",""es-MX"")"),"Actualizado a la versión 0.77 el 3 de junio de 2025.")</f>
        <v>Actualizado a la versión 0.77 el 3 de junio de 2025.</v>
      </c>
      <c r="F41" s="27" t="str">
        <f>IFERROR(__xludf.DUMMYFUNCTION("GOOGLETRANSLATE(A41,""zh-tw"",""KO"")"),"2025년 6월 3일에 0.77 버전으로 업데이트되었습니다.")</f>
        <v>2025년 6월 3일에 0.77 버전으로 업데이트되었습니다.</v>
      </c>
      <c r="G41" s="27" t="str">
        <f>IFERROR(__xludf.DUMMYFUNCTION("GOOGLETRANSLATE(A41,""zh-tw"",""RU"")"),"Обновлено до версии 0.77 3 июня 2025 г.")</f>
        <v>Обновлено до версии 0.77 3 июня 2025 г.</v>
      </c>
      <c r="H41" s="27" t="str">
        <f>IFERROR(__xludf.DUMMYFUNCTION("GOOGLETRANSLATE(A41,""zh-tw"",""DE"")"),"Aktualisiert auf Version 0.77 am 3. Juni 2025.")</f>
        <v>Aktualisiert auf Version 0.77 am 3. Juni 2025.</v>
      </c>
      <c r="I41" s="67" t="s">
        <v>110</v>
      </c>
      <c r="J41" s="29" t="str">
        <f>IFERROR(__xludf.DUMMYFUNCTION("GOOGLETRANSLATE(A41,""zh-tw"",""pt-BR"")"),"Atualizado para a versão 0.77 em 3 de junho de 2025.")</f>
        <v>Atualizado para a versão 0.77 em 3 de junho de 2025.</v>
      </c>
      <c r="K41" s="65"/>
      <c r="L41" s="65"/>
      <c r="M41" s="65"/>
      <c r="N41" s="65"/>
      <c r="O41" s="65"/>
      <c r="P41" s="65"/>
      <c r="Q41" s="65"/>
      <c r="R41" s="65"/>
      <c r="S41" s="65"/>
      <c r="T41" s="65"/>
      <c r="U41" s="65"/>
      <c r="V41" s="65"/>
      <c r="W41" s="65"/>
      <c r="X41" s="65"/>
    </row>
    <row r="42">
      <c r="A42" s="63" t="s">
        <v>111</v>
      </c>
      <c r="B42" s="63" t="str">
        <f>IFERROR(__xludf.DUMMYFUNCTION("GOOGLETRANSLATE(A42,""zh-tw"",""ja"")"),"2025年5月26日に、SLGページのレイアウトがすべて再設計されました。")</f>
        <v>2025年5月26日に、SLGページのレイアウトがすべて再設計されました。</v>
      </c>
      <c r="C42" s="64" t="str">
        <f>IFERROR(__xludf.DUMMYFUNCTION("GOOGLETRANSLATE(A42,""zh-tw"",""en"")"),"On May 26, 2025, all layouts of the SLG page were redesigned.")</f>
        <v>On May 26, 2025, all layouts of the SLG page were redesigned.</v>
      </c>
      <c r="D42" s="63" t="str">
        <f>IFERROR(__xludf.DUMMYFUNCTION("GOOGLETRANSLATE(A42,""zh-tw"",""zh"")"),"2025/5/26 重制了SLG页面的所有排版")</f>
        <v>2025/5/26 重制了SLG页面的所有排版</v>
      </c>
      <c r="E42" s="27" t="str">
        <f>IFERROR(__xludf.DUMMYFUNCTION("GOOGLETRANSLATE(A42,""zh-tw"",""es-MX"")"),"El 26 de mayo de 2025, se rediseñaron todos los diseños de la página SLG.")</f>
        <v>El 26 de mayo de 2025, se rediseñaron todos los diseños de la página SLG.</v>
      </c>
      <c r="F42" s="27" t="str">
        <f>IFERROR(__xludf.DUMMYFUNCTION("GOOGLETRANSLATE(A42,""zh-tw"",""KO"")"),"2025년 5월 26일, SLG 페이지의 모든 레이아웃이 재설계되었습니다.")</f>
        <v>2025년 5월 26일, SLG 페이지의 모든 레이아웃이 재설계되었습니다.</v>
      </c>
      <c r="G42" s="27" t="str">
        <f>IFERROR(__xludf.DUMMYFUNCTION("GOOGLETRANSLATE(A42,""zh-tw"",""RU"")"),"26 мая 2025 года все макеты страницы SLG были переработаны.")</f>
        <v>26 мая 2025 года все макеты страницы SLG были переработаны.</v>
      </c>
      <c r="H42" s="27" t="str">
        <f>IFERROR(__xludf.DUMMYFUNCTION("GOOGLETRANSLATE(A42,""zh-tw"",""DE"")"),"Am 26. Mai 2025 wurden alle Layouts der SLG-Seite neu gestaltet.")</f>
        <v>Am 26. Mai 2025 wurden alle Layouts der SLG-Seite neu gestaltet.</v>
      </c>
      <c r="I42" s="67" t="s">
        <v>112</v>
      </c>
      <c r="J42" s="29" t="str">
        <f>IFERROR(__xludf.DUMMYFUNCTION("GOOGLETRANSLATE(A42,""zh-tw"",""pt-BR"")"),"Em 26 de maio de 2025, todos os layouts da página SLG foram reformulados.")</f>
        <v>Em 26 de maio de 2025, todos os layouts da página SLG foram reformulados.</v>
      </c>
      <c r="K42" s="65"/>
      <c r="L42" s="65"/>
      <c r="M42" s="65"/>
      <c r="N42" s="65"/>
      <c r="O42" s="65"/>
      <c r="P42" s="65"/>
      <c r="Q42" s="65"/>
      <c r="R42" s="65"/>
      <c r="S42" s="65"/>
      <c r="T42" s="65"/>
      <c r="U42" s="65"/>
      <c r="V42" s="65"/>
      <c r="W42" s="65"/>
      <c r="X42" s="65"/>
    </row>
    <row r="43">
      <c r="A43" s="63" t="s">
        <v>113</v>
      </c>
      <c r="B43" s="63" t="str">
        <f>IFERROR(__xludf.DUMMYFUNCTION("GOOGLETRANSLATE(A43,""zh-tw"",""ja"")"),"2025年5月24日に専用グラフィックカードのインストールに関するチュートリアルが追加されました。")</f>
        <v>2025年5月24日に専用グラフィックカードのインストールに関するチュートリアルが追加されました。</v>
      </c>
      <c r="C43" s="64" t="str">
        <f>IFERROR(__xludf.DUMMYFUNCTION("GOOGLETRANSLATE(A43,""zh-tw"",""en"")"),"On May 24, 2025, a tutorial on installing a dedicated graphics card was added.")</f>
        <v>On May 24, 2025, a tutorial on installing a dedicated graphics card was added.</v>
      </c>
      <c r="D43" s="63" t="str">
        <f>IFERROR(__xludf.DUMMYFUNCTION("GOOGLETRANSLATE(A43,""zh-tw"",""zh"")"),"2025/5/24 新增了独立显卡的安装教学")</f>
        <v>2025/5/24 新增了独立显卡的安装教学</v>
      </c>
      <c r="E43" s="27" t="str">
        <f>IFERROR(__xludf.DUMMYFUNCTION("GOOGLETRANSLATE(A43,""zh-tw"",""es-MX"")"),"El 24 de mayo de 2025, se agregó un tutorial sobre la instalación de una tarjeta gráfica dedicada.")</f>
        <v>El 24 de mayo de 2025, se agregó un tutorial sobre la instalación de una tarjeta gráfica dedicada.</v>
      </c>
      <c r="F43" s="27" t="str">
        <f>IFERROR(__xludf.DUMMYFUNCTION("GOOGLETRANSLATE(A43,""zh-tw"",""KO"")"),"2025년 5월 24일에 전용 그래픽 카드를 설치하는 방법에 대한 튜토리얼이 추가되었습니다.")</f>
        <v>2025년 5월 24일에 전용 그래픽 카드를 설치하는 방법에 대한 튜토리얼이 추가되었습니다.</v>
      </c>
      <c r="G43" s="27" t="str">
        <f>IFERROR(__xludf.DUMMYFUNCTION("GOOGLETRANSLATE(A43,""zh-tw"",""RU"")"),"24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3" s="27" t="str">
        <f>IFERROR(__xludf.DUMMYFUNCTION("GOOGLETRANSLATE(A43,""zh-tw"",""DE"")"),"Am 24. Mai 2025 wurde eine Anleitung zur Installation einer dedizierten Grafikkarte hinzugefügt.")</f>
        <v>Am 24. Mai 2025 wurde eine Anleitung zur Installation einer dedizierten Grafikkarte hinzugefügt.</v>
      </c>
      <c r="I43" s="67" t="s">
        <v>114</v>
      </c>
      <c r="J43" s="29" t="str">
        <f>IFERROR(__xludf.DUMMYFUNCTION("GOOGLETRANSLATE(A43,""zh-tw"",""pt-BR"")"),"Em 24 de maio de 2025, foi adicionado um tutorial sobre como instalar uma placa gráfica dedicada.")</f>
        <v>Em 24 de maio de 2025, foi adicionado um tutorial sobre como instalar uma placa gráfica dedicada.</v>
      </c>
      <c r="K43" s="65"/>
      <c r="L43" s="65"/>
      <c r="M43" s="65"/>
      <c r="N43" s="65"/>
      <c r="O43" s="65"/>
      <c r="P43" s="65"/>
      <c r="Q43" s="65"/>
      <c r="R43" s="65"/>
      <c r="S43" s="65"/>
      <c r="T43" s="65"/>
      <c r="U43" s="65"/>
      <c r="V43" s="65"/>
      <c r="W43" s="65"/>
      <c r="X43" s="65"/>
    </row>
    <row r="44">
      <c r="A44" s="63" t="s">
        <v>115</v>
      </c>
      <c r="B44" s="63" t="str">
        <f>IFERROR(__xludf.DUMMYFUNCTION("GOOGLETRANSLATE(A44,""zh-tw"",""ja"")"),"2025 年 5 月 15 日: バージョン 0.75D (R4、R33) のコンテンツと鎧 1 個を追加しました。")</f>
        <v>2025 年 5 月 15 日: バージョン 0.75D (R4、R33) のコンテンツと鎧 1 個を追加しました。</v>
      </c>
      <c r="C44" s="64" t="str">
        <f>IFERROR(__xludf.DUMMYFUNCTION("GOOGLETRANSLATE(A44,""zh-tw"",""en"")"),"May 15, 2025: Added content for version 0.75D (R4, R33) and one piece of armor.")</f>
        <v>May 15, 2025: Added content for version 0.75D (R4, R33) and one piece of armor.</v>
      </c>
      <c r="D44" s="63" t="str">
        <f>IFERROR(__xludf.DUMMYFUNCTION("GOOGLETRANSLATE(A44,""zh-tw"",""zh"")"),"2025/5/15 新增0.75D版本的内容 (R4、R33)、一个防具")</f>
        <v>2025/5/15 新增0.75D版本的内容 (R4、R33)、一个防具</v>
      </c>
      <c r="E44" s="27" t="str">
        <f>IFERROR(__xludf.DUMMYFUNCTION("GOOGLETRANSLATE(A44,""zh-tw"",""es-MX"")"),"15 de mayo de 2025: Se agregó contenido para la versión 0.75D (R4, R33) y una pieza de armadura.")</f>
        <v>15 de mayo de 2025: Se agregó contenido para la versión 0.75D (R4, R33) y una pieza de armadura.</v>
      </c>
      <c r="F44" s="27" t="str">
        <f>IFERROR(__xludf.DUMMYFUNCTION("GOOGLETRANSLATE(A44,""zh-tw"",""KO"")"),"2025년 5월 15일: 버전 0.75D(R4, R33)의 콘텐츠와 방어구 한 개가 추가되었습니다.")</f>
        <v>2025년 5월 15일: 버전 0.75D(R4, R33)의 콘텐츠와 방어구 한 개가 추가되었습니다.</v>
      </c>
      <c r="G44" s="27" t="str">
        <f>IFERROR(__xludf.DUMMYFUNCTION("GOOGLETRANSLATE(A44,""zh-tw"",""RU"")"),"15 мая 2025 г.: Добавлен контент для версии 0.75D (R4, R33) и один элемент брони.")</f>
        <v>15 мая 2025 г.: Добавлен контент для версии 0.75D (R4, R33) и один элемент брони.</v>
      </c>
      <c r="H44" s="27" t="str">
        <f>IFERROR(__xludf.DUMMYFUNCTION("GOOGLETRANSLATE(A44,""zh-tw"",""DE"")"),"15. Mai 2025: Inhalte für Version 0.75D (R4, R33) und ein Rüstungsteil hinzugefügt.")</f>
        <v>15. Mai 2025: Inhalte für Version 0.75D (R4, R33) und ein Rüstungsteil hinzugefügt.</v>
      </c>
      <c r="I44" s="67" t="s">
        <v>116</v>
      </c>
      <c r="J44" s="29" t="str">
        <f>IFERROR(__xludf.DUMMYFUNCTION("GOOGLETRANSLATE(A44,""zh-tw"",""pt-BR"")"),"15 de maio de 2025: Adicionado conteúdo para a versão 0.75D (R4, R33) e uma peça de armadura.")</f>
        <v>15 de maio de 2025: Adicionado conteúdo para a versão 0.75D (R4, R33) e uma peça de armadura.</v>
      </c>
      <c r="K44" s="65"/>
      <c r="L44" s="65"/>
      <c r="M44" s="65"/>
      <c r="N44" s="65"/>
      <c r="O44" s="65"/>
      <c r="P44" s="65"/>
      <c r="Q44" s="65"/>
      <c r="R44" s="65"/>
      <c r="S44" s="65"/>
      <c r="T44" s="65"/>
      <c r="U44" s="65"/>
      <c r="V44" s="65"/>
      <c r="W44" s="65"/>
      <c r="X44" s="65"/>
    </row>
    <row r="45">
      <c r="A45" s="63" t="s">
        <v>117</v>
      </c>
      <c r="B45" s="63" t="str">
        <f>IFERROR(__xludf.DUMMYFUNCTION("GOOGLETRANSLATE(A45,""zh-tw"",""ja"")"),"2025 年 5 月 6 日に、大焼成溶岩帯のマップ画像を追加しました。")</f>
        <v>2025 年 5 月 6 日に、大焼成溶岩帯のマップ画像を追加しました。</v>
      </c>
      <c r="C45" s="64" t="str">
        <f>IFERROR(__xludf.DUMMYFUNCTION("GOOGLETRANSLATE(A45,""zh-tw"",""en"")"),"Added map image of the Great Calcined Lava Belt on May 6, 2025.")</f>
        <v>Added map image of the Great Calcined Lava Belt on May 6, 2025.</v>
      </c>
      <c r="D45" s="63" t="str">
        <f>IFERROR(__xludf.DUMMYFUNCTION("GOOGLETRANSLATE(A45,""zh-tw"",""zh"")"),"2025/5/6 新增大焦热熔岩带地图图片")</f>
        <v>2025/5/6 新增大焦热熔岩带地图图片</v>
      </c>
      <c r="E45" s="27" t="str">
        <f>IFERROR(__xludf.DUMMYFUNCTION("GOOGLETRANSLATE(A45,""zh-tw"",""es-MX"")"),"Se agregó una imagen del mapa del Gran Cinturón de Lava Calcinada el 6 de mayo de 2025.")</f>
        <v>Se agregó una imagen del mapa del Gran Cinturón de Lava Calcinada el 6 de mayo de 2025.</v>
      </c>
      <c r="F45" s="27" t="str">
        <f>IFERROR(__xludf.DUMMYFUNCTION("GOOGLETRANSLATE(A45,""zh-tw"",""KO"")"),"2025년 5월 6일에 그레이트 소성 용암대의 지도 이미지를 추가했습니다.")</f>
        <v>2025년 5월 6일에 그레이트 소성 용암대의 지도 이미지를 추가했습니다.</v>
      </c>
      <c r="G45" s="27" t="str">
        <f>IFERROR(__xludf.DUMMYFUNCTION("GOOGLETRANSLATE(A45,""zh-tw"",""RU"")"),"Добавлено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H45" s="27" t="str">
        <f>IFERROR(__xludf.DUMMYFUNCTION("GOOGLETRANSLATE(A45,""zh-tw"",""DE"")"),"Am 6. Mai 2025 wurde eine Karte des Großen Kalzinierten Lavagürtels hinzugefügt.")</f>
        <v>Am 6. Mai 2025 wurde eine Karte des Großen Kalzinierten Lavagürtels hinzugefügt.</v>
      </c>
      <c r="I45" s="67" t="s">
        <v>118</v>
      </c>
      <c r="J45" s="29" t="str">
        <f>IFERROR(__xludf.DUMMYFUNCTION("GOOGLETRANSLATE(A45,""zh-tw"",""pt-BR"")"),"Adicionada imagem do mapa da Grande Faixa de Lava Calcinada em 6 de maio de 2025.")</f>
        <v>Adicionada imagem do mapa da Grande Faixa de Lava Calcinada em 6 de maio de 2025.</v>
      </c>
      <c r="K45" s="65"/>
      <c r="L45" s="65"/>
      <c r="M45" s="65"/>
      <c r="N45" s="65"/>
      <c r="O45" s="65"/>
      <c r="P45" s="65"/>
      <c r="Q45" s="65"/>
      <c r="R45" s="65"/>
      <c r="S45" s="65"/>
      <c r="T45" s="65"/>
      <c r="U45" s="65"/>
      <c r="V45" s="65"/>
      <c r="W45" s="65"/>
      <c r="X45" s="65"/>
    </row>
    <row r="46">
      <c r="A46" s="63" t="s">
        <v>119</v>
      </c>
      <c r="B46" s="63" t="str">
        <f>IFERROR(__xludf.DUMMYFUNCTION("GOOGLETRANSLATE(A46,""zh-tw"",""ja"")"),"2025年5月5日から[日付不明]まで、マップセクションが更新され、洞窟の入り口にドロップされたアイテムの位置が表示されます。乞うご期待！")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6" s="64" t="str">
        <f>IFERROR(__xludf.DUMMYFUNCTION("GOOGLETRANSLATE(A46,""zh-tw"",""en"")"),"From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6" s="63" t="str">
        <f>IFERROR(__xludf.DUMMYFUNCTION("GOOGLETRANSLATE(A46,""zh-tw"",""zh"")"),"2025/5/5-2025/？ 地图板块最近会尝试更新洞口掉落位置，还请后续留意")</f>
        <v>2025/5/5-2025/？ 地图板块最近会尝试更新洞口掉落位置，还请后续留意</v>
      </c>
      <c r="E46" s="27" t="str">
        <f>IFERROR(__xludf.DUMMYFUNCTION("GOOGLETRANSLATE(A46,""zh-tw"",""es-MX"")"),"Del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F46" s="27" t="str">
        <f>IFERROR(__xludf.DUMMYFUNCTION("GOOGLETRANSLATE(A46,""zh-tw"",""KO"")"),"2025년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G46" s="27" t="str">
        <f>IFERROR(__xludf.DUMMYFUNCTION("GOOGLETRANSLATE(A46,""zh-tw"",""RU"")"),"С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f>
        <v>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v>
      </c>
      <c r="H46" s="27" t="str">
        <f>IFERROR(__xludf.DUMMYFUNCTION("GOOGLETRANSLATE(A46,""zh-tw"",""DE"")"),"Vom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6" s="67" t="s">
        <v>120</v>
      </c>
      <c r="J46" s="29" t="str">
        <f>IFERROR(__xludf.DUMMYFUNCTION("GOOGLETRANSLATE(A46,""zh-tw"",""pt-BR"")"),"De 5 de maio de 2025 até [data ausente], a seção de mapas será atualizada com a localização dos itens deixados na entrada da caverna. Fique atento.")</f>
        <v>De 5 de maio de 2025 até [data ausente], a seção de mapas será atualizada com a localização dos itens deixados na entrada da caverna. Fique atento.</v>
      </c>
      <c r="K46" s="65"/>
      <c r="L46" s="65"/>
      <c r="M46" s="65"/>
      <c r="N46" s="65"/>
      <c r="O46" s="65"/>
      <c r="P46" s="65"/>
      <c r="Q46" s="65"/>
      <c r="R46" s="65"/>
      <c r="S46" s="65"/>
      <c r="T46" s="65"/>
      <c r="U46" s="65"/>
      <c r="V46" s="65"/>
      <c r="W46" s="65"/>
      <c r="X46" s="65"/>
    </row>
    <row r="47">
      <c r="A47" s="63" t="s">
        <v>121</v>
      </c>
      <c r="B47" s="63" t="str">
        <f>IFERROR(__xludf.DUMMYFUNCTION("GOOGLETRANSLATE(A47,""zh-tw"",""ja"")"),"2025 年 5 月 4 日にロシア語とドイツ語の翻訳を追加しました。")</f>
        <v>2025 年 5 月 4 日にロシア語とドイツ語の翻訳を追加しました。</v>
      </c>
      <c r="C47" s="64" t="str">
        <f>IFERROR(__xludf.DUMMYFUNCTION("GOOGLETRANSLATE(A47,""zh-tw"",""en"")"),"Added Russian and German translations on May 4, 2025.")</f>
        <v>Added Russian and German translations on May 4, 2025.</v>
      </c>
      <c r="D47" s="63" t="str">
        <f>IFERROR(__xludf.DUMMYFUNCTION("GOOGLETRANSLATE(A47,""zh-tw"",""zh"")"),"2025/5/4 新增了俄语和德语翻译")</f>
        <v>2025/5/4 新增了俄语和德语翻译</v>
      </c>
      <c r="E47" s="27" t="str">
        <f>IFERROR(__xludf.DUMMYFUNCTION("GOOGLETRANSLATE(A47,""zh-tw"",""es-MX"")"),"Se agregaron traducciones al ruso y al alemán el 4 de mayo de 2025.")</f>
        <v>Se agregaron traducciones al ruso y al alemán el 4 de mayo de 2025.</v>
      </c>
      <c r="F47" s="27" t="str">
        <f>IFERROR(__xludf.DUMMYFUNCTION("GOOGLETRANSLATE(A47,""zh-tw"",""KO"")"),"2025년 5월 4일에 러시아어와 독일어 번역이 추가되었습니다.")</f>
        <v>2025년 5월 4일에 러시아어와 독일어 번역이 추가되었습니다.</v>
      </c>
      <c r="G47" s="27" t="str">
        <f>IFERROR(__xludf.DUMMYFUNCTION("GOOGLETRANSLATE(A47,""zh-tw"",""RU"")"),"Добавлены переводы на русский и немецкий языки 4 мая 2025 года.")</f>
        <v>Добавлены переводы на русский и немецкий языки 4 мая 2025 года.</v>
      </c>
      <c r="H47" s="27" t="str">
        <f>IFERROR(__xludf.DUMMYFUNCTION("GOOGLETRANSLATE(A47,""zh-tw"",""DE"")"),"Russische und deutsche Übersetzungen wurden am 4. Mai 2025 hinzugefügt.")</f>
        <v>Russische und deutsche Übersetzungen wurden am 4. Mai 2025 hinzugefügt.</v>
      </c>
      <c r="I47" s="67" t="s">
        <v>122</v>
      </c>
      <c r="J47" s="29" t="str">
        <f>IFERROR(__xludf.DUMMYFUNCTION("GOOGLETRANSLATE(A47,""zh-tw"",""pt-BR"")"),"Adicionadas traduções para russo e alemão em 4 de maio de 2025.")</f>
        <v>Adicionadas traduções para russo e alemão em 4 de maio de 2025.</v>
      </c>
      <c r="K47" s="65"/>
      <c r="L47" s="65"/>
      <c r="M47" s="65"/>
      <c r="N47" s="65"/>
      <c r="O47" s="65"/>
      <c r="P47" s="65"/>
      <c r="Q47" s="65"/>
      <c r="R47" s="65"/>
      <c r="S47" s="65"/>
      <c r="T47" s="65"/>
      <c r="U47" s="65"/>
      <c r="V47" s="65"/>
      <c r="W47" s="65"/>
      <c r="X47" s="65"/>
    </row>
    <row r="48">
      <c r="A48" s="63" t="s">
        <v>123</v>
      </c>
      <c r="B48" s="63" t="str">
        <f>IFERROR(__xludf.DUMMYFUNCTION("GOOGLETRANSLATE(A48,""zh-tw"",""ja"")"),"バージョン0.75は2025年5月2日に追加されました。")</f>
        <v>バージョン0.75は2025年5月2日に追加されました。</v>
      </c>
      <c r="C48" s="64" t="str">
        <f>IFERROR(__xludf.DUMMYFUNCTION("GOOGLETRANSLATE(A48,""zh-tw"",""en"")"),"Version 0.75 was added on May 2, 2025.")</f>
        <v>Version 0.75 was added on May 2, 2025.</v>
      </c>
      <c r="D48" s="63" t="str">
        <f>IFERROR(__xludf.DUMMYFUNCTION("GOOGLETRANSLATE(A48,""zh-tw"",""zh"")"),"2025/5/2 新增了0.75版本内容")</f>
        <v>2025/5/2 新增了0.75版本内容</v>
      </c>
      <c r="E48" s="27" t="str">
        <f>IFERROR(__xludf.DUMMYFUNCTION("GOOGLETRANSLATE(A48,""zh-tw"",""es-MX"")"),"La versión 0.75 se agregó el 2 de mayo de 2025.")</f>
        <v>La versión 0.75 se agregó el 2 de mayo de 2025.</v>
      </c>
      <c r="F48" s="27" t="str">
        <f>IFERROR(__xludf.DUMMYFUNCTION("GOOGLETRANSLATE(A48,""zh-tw"",""KO"")"),"버전 0.75는 2025년 5월 2일에 추가되었습니다.")</f>
        <v>버전 0.75는 2025년 5월 2일에 추가되었습니다.</v>
      </c>
      <c r="G48" s="27" t="str">
        <f>IFERROR(__xludf.DUMMYFUNCTION("GOOGLETRANSLATE(A48,""zh-tw"",""RU"")"),"Версия 0.75 была добавлена ​​2 мая 2025 года.")</f>
        <v>Версия 0.75 была добавлена ​​2 мая 2025 года.</v>
      </c>
      <c r="H48" s="27" t="str">
        <f>IFERROR(__xludf.DUMMYFUNCTION("GOOGLETRANSLATE(A48,""zh-tw"",""DE"")"),"Version 0.75 wurde am 2. Mai 2025 hinzugefügt.")</f>
        <v>Version 0.75 wurde am 2. Mai 2025 hinzugefügt.</v>
      </c>
      <c r="I48" s="67" t="s">
        <v>124</v>
      </c>
      <c r="J48" s="29" t="str">
        <f>IFERROR(__xludf.DUMMYFUNCTION("GOOGLETRANSLATE(A48,""zh-tw"",""pt-BR"")"),"A versão 0.75 foi adicionada em 2 de maio de 2025.")</f>
        <v>A versão 0.75 foi adicionada em 2 de maio de 2025.</v>
      </c>
      <c r="K48" s="65"/>
      <c r="L48" s="65"/>
      <c r="M48" s="65"/>
      <c r="N48" s="65"/>
      <c r="O48" s="65"/>
      <c r="P48" s="65"/>
      <c r="Q48" s="65"/>
      <c r="R48" s="65"/>
      <c r="S48" s="65"/>
      <c r="T48" s="65"/>
      <c r="U48" s="65"/>
      <c r="V48" s="65"/>
      <c r="W48" s="65"/>
      <c r="X48" s="65"/>
    </row>
    <row r="49">
      <c r="A49" s="63" t="s">
        <v>125</v>
      </c>
      <c r="B49" s="63" t="str">
        <f>IFERROR(__xludf.DUMMYFUNCTION("GOOGLETRANSLATE(A49,""zh-tw"",""ja"")"),"2025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9" s="64" t="str">
        <f>IFERROR(__xludf.DUMMYFUNCTION("GOOGLETRANSLATE(A49,""zh-tw"",""en"")"),"April 29, 2025: Deleted the second form and merged the Spanish and Korean translations into this form.")</f>
        <v>April 29, 2025: Deleted the second form and merged the Spanish and Korean translations into this form.</v>
      </c>
      <c r="D49" s="63" t="str">
        <f>IFERROR(__xludf.DUMMYFUNCTION("GOOGLETRANSLATE(A49,""zh-tw"",""zh"")"),"2025/4/29 删除第二份表单，合并西班牙语和韩语的翻译至本表单")</f>
        <v>2025/4/29 删除第二份表单，合并西班牙语和韩语的翻译至本表单</v>
      </c>
      <c r="E49" s="27" t="str">
        <f>IFERROR(__xludf.DUMMYFUNCTION("GOOGLETRANSLATE(A49,""zh-tw"",""es-MX"")"),"29 de abril de 2025: se eliminó el segundo formulario y se fusionaron las traducciones al español y al coreano en este formulario.")</f>
        <v>29 de abril de 2025: se eliminó el segundo formulario y se fusionaron las traducciones al español y al coreano en este formulario.</v>
      </c>
      <c r="F49" s="27" t="str">
        <f>IFERROR(__xludf.DUMMYFUNCTION("GOOGLETRANSLATE(A49,""zh-tw"",""KO"")"),"2025년 4월 29일: 두 번째 양식을 삭제하고 스페인어와 한국어 번역을 이 양식에 병합했습니다.")</f>
        <v>2025년 4월 29일: 두 번째 양식을 삭제하고 스페인어와 한국어 번역을 이 양식에 병합했습니다.</v>
      </c>
      <c r="G49" s="27" t="str">
        <f>IFERROR(__xludf.DUMMYFUNCTION("GOOGLETRANSLATE(A49,""zh-tw"",""RU"")"),"29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H49" s="27" t="str">
        <f>IFERROR(__xludf.DUMMYFUNCTION("GOOGLETRANSLATE(A49,""zh-tw"",""DE"")"),"29.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49" s="67" t="s">
        <v>126</v>
      </c>
      <c r="J49" s="29" t="str">
        <f>IFERROR(__xludf.DUMMYFUNCTION("GOOGLETRANSLATE(A49,""zh-tw"",""pt-BR"")"),"29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49" s="65"/>
      <c r="L49" s="65"/>
      <c r="M49" s="65"/>
      <c r="N49" s="65"/>
      <c r="O49" s="65"/>
      <c r="P49" s="65"/>
      <c r="Q49" s="65"/>
      <c r="R49" s="65"/>
      <c r="S49" s="65"/>
      <c r="T49" s="65"/>
      <c r="U49" s="65"/>
      <c r="V49" s="65"/>
      <c r="W49" s="65"/>
      <c r="X49" s="65"/>
    </row>
    <row r="50">
      <c r="A50" s="63" t="s">
        <v>127</v>
      </c>
      <c r="B50" s="63" t="str">
        <f>IFERROR(__xludf.DUMMYFUNCTION("GOOGLETRANSLATE(A50,""zh-tw"",""ja"")"),"2025 年 4 月 19 日: スペイン語と韓国語の翻訳を加えた 2 番目のフォームを作成しました。")</f>
        <v>2025 年 4 月 19 日: スペイン語と韓国語の翻訳を加えた 2 番目のフォームを作成しました。</v>
      </c>
      <c r="C50" s="64" t="str">
        <f>IFERROR(__xludf.DUMMYFUNCTION("GOOGLETRANSLATE(A50,""zh-tw"",""en"")"),"April 19, 2025: Created a second form with Spanish and Korean translations.")</f>
        <v>April 19, 2025: Created a second form with Spanish and Korean translations.</v>
      </c>
      <c r="D50" s="63" t="str">
        <f>IFERROR(__xludf.DUMMYFUNCTION("GOOGLETRANSLATE(A50,""zh-tw"",""zh"")"),"2025/4/19 新建第二份表单，有西班牙语和韩语的翻译")</f>
        <v>2025/4/19 新建第二份表单，有西班牙语和韩语的翻译</v>
      </c>
      <c r="E50" s="27" t="str">
        <f>IFERROR(__xludf.DUMMYFUNCTION("GOOGLETRANSLATE(A50,""zh-tw"",""es-MX"")"),"19 de abril de 2025: Se creó un segundo formulario con traducciones al español y al coreano.")</f>
        <v>19 de abril de 2025: Se creó un segundo formulario con traducciones al español y al coreano.</v>
      </c>
      <c r="F50" s="27" t="str">
        <f>IFERROR(__xludf.DUMMYFUNCTION("GOOGLETRANSLATE(A50,""zh-tw"",""KO"")"),"2025년 4월 19일: 스페인어와 한국어 번역이 포함된 두 번째 양식을 만들었습니다.")</f>
        <v>2025년 4월 19일: 스페인어와 한국어 번역이 포함된 두 번째 양식을 만들었습니다.</v>
      </c>
      <c r="G50" s="27" t="str">
        <f>IFERROR(__xludf.DUMMYFUNCTION("GOOGLETRANSLATE(A50,""zh-tw"",""RU"")"),"19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H50" s="27" t="str">
        <f>IFERROR(__xludf.DUMMYFUNCTION("GOOGLETRANSLATE(A50,""zh-tw"",""DE"")"),"19. April 2025: Ein zweites Formular mit spanischen und koreanischen Übersetzungen wurde erstellt.")</f>
        <v>19. April 2025: Ein zweites Formular mit spanischen und koreanischen Übersetzungen wurde erstellt.</v>
      </c>
      <c r="I50" s="67" t="s">
        <v>128</v>
      </c>
      <c r="J50" s="29" t="str">
        <f>IFERROR(__xludf.DUMMYFUNCTION("GOOGLETRANSLATE(A50,""zh-tw"",""pt-BR"")"),"19 de abril de 2025: Criada uma segunda versão com traduções para espanhol e coreano.")</f>
        <v>19 de abril de 2025: Criada uma segunda versão com traduções para espanhol e coreano.</v>
      </c>
      <c r="K50" s="65"/>
      <c r="L50" s="65"/>
      <c r="M50" s="65"/>
      <c r="N50" s="65"/>
      <c r="O50" s="65"/>
      <c r="P50" s="65"/>
      <c r="Q50" s="65"/>
      <c r="R50" s="65"/>
      <c r="S50" s="65"/>
      <c r="T50" s="65"/>
      <c r="U50" s="65"/>
      <c r="V50" s="65"/>
      <c r="W50" s="65"/>
      <c r="X50" s="65"/>
    </row>
    <row r="51">
      <c r="A51" s="63" t="s">
        <v>129</v>
      </c>
      <c r="B51" s="63" t="str">
        <f>IFERROR(__xludf.DUMMYFUNCTION("GOOGLETRANSLATE(A51,""zh-tw"",""ja"")"),"2025/4/13に「料理」ページを新規作成しました")</f>
        <v>2025/4/13に「料理」ページを新規作成しました</v>
      </c>
      <c r="C51" s="64" t="str">
        <f>IFERROR(__xludf.DUMMYFUNCTION("GOOGLETRANSLATE(A51,""zh-tw"",""en"")"),"Created a new ""Cooking"" page on 2025/4/13")</f>
        <v>Created a new "Cooking" page on 2025/4/13</v>
      </c>
      <c r="D51" s="63" t="str">
        <f>IFERROR(__xludf.DUMMYFUNCTION("GOOGLETRANSLATE(A51,""zh-tw"",""zh"")"),"2025/4/13  新建""料理""分页")</f>
        <v>2025/4/13  新建"料理"分页</v>
      </c>
      <c r="E51" s="27" t="str">
        <f>IFERROR(__xludf.DUMMYFUNCTION("GOOGLETRANSLATE(A51,""zh-tw"",""es-MX"")"),"Se creó una nueva página de ""Cocina"" el 13/4/2025")</f>
        <v>Se creó una nueva página de "Cocina" el 13/4/2025</v>
      </c>
      <c r="F51" s="27" t="str">
        <f>IFERROR(__xludf.DUMMYFUNCTION("GOOGLETRANSLATE(A51,""zh-tw"",""KO"")"),"2025/4/13에 새로운 ""요리"" 페이지를 만들었습니다.")</f>
        <v>2025/4/13에 새로운 "요리" 페이지를 만들었습니다.</v>
      </c>
      <c r="G51" s="27" t="str">
        <f>IFERROR(__xludf.DUMMYFUNCTION("GOOGLETRANSLATE(A51,""zh-tw"",""RU"")"),"Создал новую страницу «Кулинария» 13.04.2025")</f>
        <v>Создал новую страницу «Кулинария» 13.04.2025</v>
      </c>
      <c r="H51" s="27" t="str">
        <f>IFERROR(__xludf.DUMMYFUNCTION("GOOGLETRANSLATE(A51,""zh-tw"",""DE"")"),"Am 13.04.2025 wurde eine neue Seite zum Thema „Kochen“ erstellt.")</f>
        <v>Am 13.04.2025 wurde eine neue Seite zum Thema „Kochen“ erstellt.</v>
      </c>
      <c r="I51" s="67" t="s">
        <v>130</v>
      </c>
      <c r="J51" s="29" t="str">
        <f>IFERROR(__xludf.DUMMYFUNCTION("GOOGLETRANSLATE(A51,""zh-tw"",""pt-BR"")"),"Criada uma nova página ""Culinária"" em 13/04/2025.")</f>
        <v>Criada uma nova página "Culinária" em 13/04/2025.</v>
      </c>
      <c r="K51" s="65"/>
      <c r="L51" s="65"/>
      <c r="M51" s="65"/>
      <c r="N51" s="65"/>
      <c r="O51" s="65"/>
      <c r="P51" s="65"/>
      <c r="Q51" s="65"/>
      <c r="R51" s="65"/>
      <c r="S51" s="65"/>
      <c r="T51" s="65"/>
      <c r="U51" s="65"/>
      <c r="V51" s="65"/>
      <c r="W51" s="65"/>
      <c r="X51" s="65"/>
    </row>
    <row r="52">
      <c r="A52" s="63" t="s">
        <v>131</v>
      </c>
      <c r="B52" s="63" t="str">
        <f>IFERROR(__xludf.DUMMYFUNCTION("GOOGLETRANSLATE(A52,""zh-tw"",""ja"")"),"2025年4月6日（S32〜34）にバージョン0.721にアップデートされました。")</f>
        <v>2025年4月6日（S32〜34）にバージョン0.721にアップデートされました。</v>
      </c>
      <c r="C52" s="64" t="str">
        <f>IFERROR(__xludf.DUMMYFUNCTION("GOOGLETRANSLATE(A52,""zh-tw"",""en"")"),"Updated to version 0.721 on April 6, 2025 (S32~34).")</f>
        <v>Updated to version 0.721 on April 6, 2025 (S32~34).</v>
      </c>
      <c r="D52" s="63" t="str">
        <f>IFERROR(__xludf.DUMMYFUNCTION("GOOGLETRANSLATE(A52,""zh-tw"",""zh"")"),"2025/4/6 更新0.721版本 S32~34")</f>
        <v>2025/4/6 更新0.721版本 S32~34</v>
      </c>
      <c r="E52" s="27" t="str">
        <f>IFERROR(__xludf.DUMMYFUNCTION("GOOGLETRANSLATE(A52,""zh-tw"",""es-MX"")"),"Actualizado a la versión 0.721 el 6 de abril de 2025 (S32~34).")</f>
        <v>Actualizado a la versión 0.721 el 6 de abril de 2025 (S32~34).</v>
      </c>
      <c r="F52" s="27" t="str">
        <f>IFERROR(__xludf.DUMMYFUNCTION("GOOGLETRANSLATE(A52,""zh-tw"",""KO"")"),"2025년 4월 6일 버전 0.721로 업데이트되었습니다(S32~34).")</f>
        <v>2025년 4월 6일 버전 0.721로 업데이트되었습니다(S32~34).</v>
      </c>
      <c r="G52" s="27" t="str">
        <f>IFERROR(__xludf.DUMMYFUNCTION("GOOGLETRANSLATE(A52,""zh-tw"",""RU"")"),"Обновлено до версии 0.721 6 апреля 2025 г. (S32~34).")</f>
        <v>Обновлено до версии 0.721 6 апреля 2025 г. (S32~34).</v>
      </c>
      <c r="H52" s="27" t="str">
        <f>IFERROR(__xludf.DUMMYFUNCTION("GOOGLETRANSLATE(A52,""zh-tw"",""DE"")"),"Aktualisiert auf Version 0.721 am 6. April 2025 (S32~34).")</f>
        <v>Aktualisiert auf Version 0.721 am 6. April 2025 (S32~34).</v>
      </c>
      <c r="I52" s="67" t="s">
        <v>132</v>
      </c>
      <c r="J52" s="29" t="str">
        <f>IFERROR(__xludf.DUMMYFUNCTION("GOOGLETRANSLATE(A52,""zh-tw"",""pt-BR"")"),"Atualizado para a versão 0.721 em 6 de abril de 2025 (S32~34).")</f>
        <v>Atualizado para a versão 0.721 em 6 de abril de 2025 (S32~34).</v>
      </c>
      <c r="K52" s="65"/>
      <c r="L52" s="65"/>
      <c r="M52" s="65"/>
      <c r="N52" s="65"/>
      <c r="O52" s="65"/>
      <c r="P52" s="65"/>
      <c r="Q52" s="65"/>
      <c r="R52" s="65"/>
      <c r="S52" s="65"/>
      <c r="T52" s="65"/>
      <c r="U52" s="65"/>
      <c r="V52" s="65"/>
      <c r="W52" s="65"/>
      <c r="X52" s="65"/>
    </row>
    <row r="53">
      <c r="A53" s="63" t="s">
        <v>133</v>
      </c>
      <c r="B53" s="63" t="s">
        <v>134</v>
      </c>
      <c r="C53" s="63" t="s">
        <v>135</v>
      </c>
      <c r="D53" s="63" t="str">
        <f>IFERROR(__xludf.DUMMYFUNCTION("GOOGLETRANSLATE(A53,""zh-tw"",""zh"")"),"2025/4/4 地图新增大焦热溶岩帯")</f>
        <v>2025/4/4 地图新增大焦热溶岩帯</v>
      </c>
      <c r="E53" s="27" t="str">
        <f>IFERROR(__xludf.DUMMYFUNCTION("GOOGLETRANSLATE(A53,""zh-tw"",""es-MX"")"),"4 de abril de 2025: se agregó el Gran Cinturón de Lava Quemada al mapa.")</f>
        <v>4 de abril de 2025: se agregó el Gran Cinturón de Lava Quemada al mapa.</v>
      </c>
      <c r="F53" s="27" t="str">
        <f>IFERROR(__xludf.DUMMYFUNCTION("GOOGLETRANSLATE(A53,""zh-tw"",""KO"")"),"2025년 4월 4일: 지도에 그레이트 스콜치드 라바 벨트가 추가되었습니다.")</f>
        <v>2025년 4월 4일: 지도에 그레이트 스콜치드 라바 벨트가 추가되었습니다.</v>
      </c>
      <c r="G53" s="27" t="str">
        <f>IFERROR(__xludf.DUMMYFUNCTION("GOOGLETRANSLATE(A53,""zh-tw"",""RU"")"),"4 апреля 2025 г.: На карту добавлен Большой пояс выжженной лавы.")</f>
        <v>4 апреля 2025 г.: На карту добавлен Большой пояс выжженной лавы.</v>
      </c>
      <c r="H53" s="27" t="str">
        <f>IFERROR(__xludf.DUMMYFUNCTION("GOOGLETRANSLATE(A53,""zh-tw"",""DE"")"),"4. April 2025: Der Große Versengte Lavagürtel wurde der Karte hinzugefügt.")</f>
        <v>4. April 2025: Der Große Versengte Lavagürtel wurde der Karte hinzugefügt.</v>
      </c>
      <c r="I53" s="67" t="s">
        <v>136</v>
      </c>
      <c r="J53" s="29" t="str">
        <f>IFERROR(__xludf.DUMMYFUNCTION("GOOGLETRANSLATE(A53,""zh-tw"",""pt-BR"")"),"4 de abril de 2025: Adicionada a Grande Faixa de Lava Incandescente ao mapa.")</f>
        <v>4 de abril de 2025: Adicionada a Grande Faixa de Lava Incandescente ao mapa.</v>
      </c>
      <c r="K53" s="65"/>
      <c r="L53" s="65"/>
      <c r="M53" s="65"/>
      <c r="N53" s="65"/>
      <c r="O53" s="65"/>
      <c r="P53" s="65"/>
      <c r="Q53" s="65"/>
      <c r="R53" s="65"/>
      <c r="S53" s="65"/>
      <c r="T53" s="65"/>
      <c r="U53" s="65"/>
      <c r="V53" s="65"/>
      <c r="W53" s="65"/>
      <c r="X53" s="65"/>
    </row>
    <row r="54">
      <c r="A54" s="63" t="s">
        <v>137</v>
      </c>
      <c r="B54" s="63" t="str">
        <f>IFERROR(__xludf.DUMMYFUNCTION("GOOGLETRANSLATE(A54,""zh-tw"",""ja"")"),"2025年4月1日：バージョン0.72のアイテムを追加しました：S7、S32〜S35、TIPS、アイテム2つ、鎧1つ。")</f>
        <v>2025年4月1日：バージョン0.72のアイテムを追加しました：S7、S32〜S35、TIPS、アイテム2つ、鎧1つ。</v>
      </c>
      <c r="C54" s="64" t="str">
        <f>IFERROR(__xludf.DUMMYFUNCTION("GOOGLETRANSLATE(A54,""zh-tw"",""en"")"),"April 1, 2025: Added version 0.72 items: S7, S32~S35, TIPS, two items, and one piece of armor.")</f>
        <v>April 1, 2025: Added version 0.72 items: S7, S32~S35, TIPS, two items, and one piece of armor.</v>
      </c>
      <c r="D54" s="63" t="str">
        <f>IFERROR(__xludf.DUMMYFUNCTION("GOOGLETRANSLATE(A54,""zh-tw"",""zh"")"),"2025/4/1  新增0.72版本项目：S7、S32~S35、TIPS、两样道具、一件防具")</f>
        <v>2025/4/1  新增0.72版本项目：S7、S32~S35、TIPS、两样道具、一件防具</v>
      </c>
      <c r="E54" s="27" t="str">
        <f>IFERROR(__xludf.DUMMYFUNCTION("GOOGLETRANSLATE(A54,""zh-tw"",""es-MX"")"),"1 de abril de 2025: Se agregaron los elementos de la versión 0.72: S7, S32~S35, CONSEJOS, dos elementos y una pieza de armadura.")</f>
        <v>1 de abril de 2025: Se agregaron los elementos de la versión 0.72: S7, S32~S35, CONSEJOS, dos elementos y una pieza de armadura.</v>
      </c>
      <c r="F54" s="27" t="str">
        <f>IFERROR(__xludf.DUMMYFUNCTION("GOOGLETRANSLATE(A54,""zh-tw"",""KO"")"),"2025년 4월 1일: 버전 0.72 아이템 추가: S7, S32~S35, TIPS, 아이템 2개, 방어구 1개.")</f>
        <v>2025년 4월 1일: 버전 0.72 아이템 추가: S7, S32~S35, TIPS, 아이템 2개, 방어구 1개.</v>
      </c>
      <c r="G54" s="27" t="str">
        <f>IFERROR(__xludf.DUMMYFUNCTION("GOOGLETRANSLATE(A54,""zh-tw"",""RU"")"),"1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H54" s="27" t="str">
        <f>IFERROR(__xludf.DUMMYFUNCTION("GOOGLETRANSLATE(A54,""zh-tw"",""DE"")"),"1. April 2025: Hinzugefügte Gegenstände der Version 0.72: S7, S32~S35, TIPS, zwei Gegenstände und ein Rüstungsteil.")</f>
        <v>1. April 2025: Hinzugefügte Gegenstände der Version 0.72: S7, S32~S35, TIPS, zwei Gegenstände und ein Rüstungsteil.</v>
      </c>
      <c r="I54" s="67" t="s">
        <v>138</v>
      </c>
      <c r="J54" s="29" t="str">
        <f>IFERROR(__xludf.DUMMYFUNCTION("GOOGLETRANSLATE(A54,""zh-tw"",""pt-BR"")"),"1º de abril de 2025: Adicionados os seguintes itens da versão 0.72: S7, S32~S35, DICAS, dois itens e uma peça de armadura.")</f>
        <v>1º de abril de 2025: Adicionados os seguintes itens da versão 0.72: S7, S32~S35, DICAS, dois itens e uma peça de armadura.</v>
      </c>
      <c r="K54" s="65"/>
      <c r="L54" s="65"/>
      <c r="M54" s="65"/>
      <c r="N54" s="65"/>
      <c r="O54" s="65"/>
      <c r="P54" s="65"/>
      <c r="Q54" s="65"/>
      <c r="R54" s="65"/>
      <c r="S54" s="65"/>
      <c r="T54" s="65"/>
      <c r="U54" s="65"/>
      <c r="V54" s="65"/>
      <c r="W54" s="65"/>
      <c r="X54" s="65"/>
    </row>
    <row r="55">
      <c r="A55" s="63" t="s">
        <v>139</v>
      </c>
      <c r="B55" s="63" t="str">
        <f>IFERROR(__xludf.DUMMYFUNCTION("GOOGLETRANSLATE(A55,""zh-tw"",""ja"")"),"2025 年 4 月 1 日に、エイプリルフールのちょっとしたサプライズがウェブサイトに追加されました。")</f>
        <v>2025 年 4 月 1 日に、エイプリルフールのちょっとしたサプライズがウェブサイトに追加されました。</v>
      </c>
      <c r="C55" s="64" t="str">
        <f>IFERROR(__xludf.DUMMYFUNCTION("GOOGLETRANSLATE(A55,""zh-tw"",""en"")"),"A little April Fool's Day surprise was added to the website on April 1, 2025.")</f>
        <v>A little April Fool's Day surprise was added to the website on April 1, 2025.</v>
      </c>
      <c r="D55" s="63" t="str">
        <f>IFERROR(__xludf.DUMMYFUNCTION("GOOGLETRANSLATE(A55,""zh-tw"",""zh"")"),"2025/4/1  新增了网页愚人节的小彩蛋")</f>
        <v>2025/4/1  新增了网页愚人节的小彩蛋</v>
      </c>
      <c r="E55" s="27" t="str">
        <f>IFERROR(__xludf.DUMMYFUNCTION("GOOGLETRANSLATE(A55,""zh-tw"",""es-MX"")"),"Se agregó una pequeña sorpresa del Día de los Inocentes al sitio web el 1 de abril de 2025.")</f>
        <v>Se agregó una pequeña sorpresa del Día de los Inocentes al sitio web el 1 de abril de 2025.</v>
      </c>
      <c r="F55" s="27" t="str">
        <f>IFERROR(__xludf.DUMMYFUNCTION("GOOGLETRANSLATE(A55,""zh-tw"",""KO"")"),"2025년 4월 1일에 만우절을 기념하여 작은 놀라움이 웹사이트에 추가되었습니다.")</f>
        <v>2025년 4월 1일에 만우절을 기념하여 작은 놀라움이 웹사이트에 추가되었습니다.</v>
      </c>
      <c r="G55" s="27" t="str">
        <f>IFERROR(__xludf.DUMMYFUNCTION("GOOGLETRANSLATE(A55,""zh-tw"",""RU"")"),"Небольшой сюрприз ко Дню смеха был добавлен на сайт 1 апреля 2025 года.")</f>
        <v>Небольшой сюрприз ко Дню смеха был добавлен на сайт 1 апреля 2025 года.</v>
      </c>
      <c r="H55" s="27" t="str">
        <f>IFERROR(__xludf.DUMMYFUNCTION("GOOGLETRANSLATE(A55,""zh-tw"",""DE"")"),"Am 1. April 2025 wurde der Website eine kleine Aprilscherz-Überraschung hinzugefügt.")</f>
        <v>Am 1. April 2025 wurde der Website eine kleine Aprilscherz-Überraschung hinzugefügt.</v>
      </c>
      <c r="I55" s="67" t="s">
        <v>140</v>
      </c>
      <c r="J55" s="29" t="str">
        <f>IFERROR(__xludf.DUMMYFUNCTION("GOOGLETRANSLATE(A55,""zh-tw"",""pt-BR"")"),"Uma pequena surpresa de 1º de abril foi adicionada ao site em 1º de abril de 2025.")</f>
        <v>Uma pequena surpresa de 1º de abril foi adicionada ao site em 1º de abril de 2025.</v>
      </c>
      <c r="K55" s="65"/>
      <c r="L55" s="65"/>
      <c r="M55" s="65"/>
      <c r="N55" s="65"/>
      <c r="O55" s="65"/>
      <c r="P55" s="65"/>
      <c r="Q55" s="65"/>
      <c r="R55" s="65"/>
      <c r="S55" s="65"/>
      <c r="T55" s="65"/>
      <c r="U55" s="65"/>
      <c r="V55" s="65"/>
      <c r="W55" s="65"/>
      <c r="X55" s="65"/>
    </row>
    <row r="56">
      <c r="A56" s="63" t="s">
        <v>141</v>
      </c>
      <c r="B56" s="63" t="str">
        <f>IFERROR(__xludf.DUMMYFUNCTION("GOOGLETRANSLATE(A56,""zh-tw"",""ja"")"),"2025 年 3 月 25 日更新: マップ名とイベント内の一部のコンテンツが修正されました。")</f>
        <v>2025 年 3 月 25 日更新: マップ名とイベント内の一部のコンテンツが修正されました。</v>
      </c>
      <c r="C56" s="64" t="str">
        <f>IFERROR(__xludf.DUMMYFUNCTION("GOOGLETRANSLATE(A56,""zh-tw"",""en"")"),"March 25, 2025 Update: Map names and some content within the event have been corrected.")</f>
        <v>March 25, 2025 Update: Map names and some content within the event have been corrected.</v>
      </c>
      <c r="D56" s="63" t="str">
        <f>IFERROR(__xludf.DUMMYFUNCTION("GOOGLETRANSLATE(A56,""zh-tw"",""zh"")"),"2025/3/25 更新事件内地图名称与部分内容修正")</f>
        <v>2025/3/25 更新事件内地图名称与部分内容修正</v>
      </c>
      <c r="E56" s="27" t="str">
        <f>IFERROR(__xludf.DUMMYFUNCTION("GOOGLETRANSLATE(A56,""zh-tw"",""es-MX"")"),"Actualización del 25 de marzo de 2025: se han corregido los nombres de los mapas y algunos contenidos dentro del evento.")</f>
        <v>Actualización del 25 de marzo de 2025: se han corregido los nombres de los mapas y algunos contenidos dentro del evento.</v>
      </c>
      <c r="F56" s="27" t="str">
        <f>IFERROR(__xludf.DUMMYFUNCTION("GOOGLETRANSLATE(A56,""zh-tw"",""KO"")"),"2025년 3월 25일 업데이트: 이벤트 내 맵 이름과 일부 콘텐츠가 수정되었습니다.")</f>
        <v>2025년 3월 25일 업데이트: 이벤트 내 맵 이름과 일부 콘텐츠가 수정되었습니다.</v>
      </c>
      <c r="G56" s="27" t="str">
        <f>IFERROR(__xludf.DUMMYFUNCTION("GOOGLETRANSLATE(A56,""zh-tw"",""RU"")"),"Обновление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H56" s="27" t="str">
        <f>IFERROR(__xludf.DUMMYFUNCTION("GOOGLETRANSLATE(A56,""zh-tw"",""DE"")"),"Aktualisierung vom 25. März 2025: Kartennamen und einige Inhalte innerhalb der Veranstaltung wurden korrigiert.")</f>
        <v>Aktualisierung vom 25. März 2025: Kartennamen und einige Inhalte innerhalb der Veranstaltung wurden korrigiert.</v>
      </c>
      <c r="I56" s="67" t="s">
        <v>142</v>
      </c>
      <c r="J56" s="29" t="str">
        <f>IFERROR(__xludf.DUMMYFUNCTION("GOOGLETRANSLATE(A56,""zh-tw"",""pt-BR"")"),"Atualização de 25 de março de 2025: Os nomes dos mapas e alguns conteúdos do evento foram corrigidos.")</f>
        <v>Atualização de 25 de março de 2025: Os nomes dos mapas e alguns conteúdos do evento foram corrigidos.</v>
      </c>
      <c r="K56" s="65"/>
      <c r="L56" s="65"/>
      <c r="M56" s="65"/>
      <c r="N56" s="65"/>
      <c r="O56" s="65"/>
      <c r="P56" s="65"/>
      <c r="Q56" s="65"/>
      <c r="R56" s="65"/>
      <c r="S56" s="65"/>
      <c r="T56" s="65"/>
      <c r="U56" s="65"/>
      <c r="V56" s="65"/>
      <c r="W56" s="65"/>
      <c r="X56" s="65"/>
    </row>
    <row r="57">
      <c r="A57" s="63" t="s">
        <v>143</v>
      </c>
      <c r="B57" s="63" t="str">
        <f>IFERROR(__xludf.DUMMYFUNCTION("GOOGLETRANSLATE(A57,""zh-tw"",""ja"")"),"マップセクションは、2025 年 3 月 22 日から 2025 年 5 月 5 日まで再設計されました。")</f>
        <v>マップセクションは、2025 年 3 月 22 日から 2025 年 5 月 5 日まで再設計されました。</v>
      </c>
      <c r="C57" s="64" t="str">
        <f>IFERROR(__xludf.DUMMYFUNCTION("GOOGLETRANSLATE(A57,""zh-tw"",""en"")"),"Map sections were redesigned from March 22, 2025 to May 5, 2025.")</f>
        <v>Map sections were redesigned from March 22, 2025 to May 5, 2025.</v>
      </c>
      <c r="D57" s="63" t="str">
        <f>IFERROR(__xludf.DUMMYFUNCTION("GOOGLETRANSLATE(A57,""zh-tw"",""zh"")"),"2025/3/22-2025/5/5 地图板块重新完成")</f>
        <v>2025/3/22-2025/5/5 地图板块重新完成</v>
      </c>
      <c r="E57" s="27" t="str">
        <f>IFERROR(__xludf.DUMMYFUNCTION("GOOGLETRANSLATE(A57,""zh-tw"",""es-MX"")"),"Las secciones del mapa se rediseñaron del 22 de marzo de 2025 al 5 de mayo de 2025.")</f>
        <v>Las secciones del mapa se rediseñaron del 22 de marzo de 2025 al 5 de mayo de 2025.</v>
      </c>
      <c r="F57" s="27" t="str">
        <f>IFERROR(__xludf.DUMMYFUNCTION("GOOGLETRANSLATE(A57,""zh-tw"",""KO"")"),"지도 섹션은 2025년 3월 22일부터 2025년 5월 5일까지 재설계되었습니다.")</f>
        <v>지도 섹션은 2025년 3월 22일부터 2025년 5월 5일까지 재설계되었습니다.</v>
      </c>
      <c r="G57" s="27" t="str">
        <f>IFERROR(__xludf.DUMMYFUNCTION("GOOGLETRANSLATE(A57,""zh-tw"",""RU"")"),"Разделы карты были переработаны с 22 марта 2025 года по 5 мая 2025 года.")</f>
        <v>Разделы карты были переработаны с 22 марта 2025 года по 5 мая 2025 года.</v>
      </c>
      <c r="H57" s="27" t="str">
        <f>IFERROR(__xludf.DUMMYFUNCTION("GOOGLETRANSLATE(A57,""zh-tw"",""DE"")"),"Die Kartenabschnitte wurden vom 22. März 2025 bis zum 5. Mai 2025 neu gestaltet.")</f>
        <v>Die Kartenabschnitte wurden vom 22. März 2025 bis zum 5. Mai 2025 neu gestaltet.</v>
      </c>
      <c r="I57" s="67" t="s">
        <v>144</v>
      </c>
      <c r="J57" s="29" t="str">
        <f>IFERROR(__xludf.DUMMYFUNCTION("GOOGLETRANSLATE(A57,""zh-tw"",""pt-BR"")"),"As seções do mapa foram redesenhadas entre 22 de março de 2025 e 5 de maio de 2025.")</f>
        <v>As seções do mapa foram redesenhadas entre 22 de março de 2025 e 5 de maio de 2025.</v>
      </c>
      <c r="K57" s="65"/>
      <c r="L57" s="65"/>
      <c r="M57" s="65"/>
      <c r="N57" s="65"/>
      <c r="O57" s="65"/>
      <c r="P57" s="65"/>
      <c r="Q57" s="65"/>
      <c r="R57" s="65"/>
      <c r="S57" s="65"/>
      <c r="T57" s="65"/>
      <c r="U57" s="65"/>
      <c r="V57" s="65"/>
      <c r="W57" s="65"/>
      <c r="X57" s="65"/>
    </row>
    <row r="58">
      <c r="A58" s="63" t="s">
        <v>145</v>
      </c>
      <c r="B58" s="63" t="str">
        <f>IFERROR(__xludf.DUMMYFUNCTION("GOOGLETRANSLATE(A58,""zh-tw"",""ja"")"),"2025年3月21日：イベントページが再設計され、SLGページとRPGページに分割されました。")</f>
        <v>2025年3月21日：イベントページが再設計され、SLGページとRPGページに分割されました。</v>
      </c>
      <c r="C58" s="64" t="str">
        <f>IFERROR(__xludf.DUMMYFUNCTION("GOOGLETRANSLATE(A58,""zh-tw"",""en"")"),"March 21, 2025: Event page redesigned, divided into SLG and RPG pages.")</f>
        <v>March 21, 2025: Event page redesigned, divided into SLG and RPG pages.</v>
      </c>
      <c r="D58" s="63" t="str">
        <f>IFERROR(__xludf.DUMMYFUNCTION("GOOGLETRANSLATE(A58,""zh-tw"",""zh"")"),"2025/3/21 重制事件页面，分成SLG、RPG页面")</f>
        <v>2025/3/21 重制事件页面，分成SLG、RPG页面</v>
      </c>
      <c r="E58" s="27" t="str">
        <f>IFERROR(__xludf.DUMMYFUNCTION("GOOGLETRANSLATE(A58,""zh-tw"",""es-MX"")"),"21 de marzo de 2025: Se rediseñó la página del evento, dividida en páginas SLG y RPG.")</f>
        <v>21 de marzo de 2025: Se rediseñó la página del evento, dividida en páginas SLG y RPG.</v>
      </c>
      <c r="F58" s="27" t="str">
        <f>IFERROR(__xludf.DUMMYFUNCTION("GOOGLETRANSLATE(A58,""zh-tw"",""KO"")"),"2025년 3월 21일: 이벤트 페이지가 재설계되어 SLG와 RPG 페이지로 나뉘었습니다.")</f>
        <v>2025년 3월 21일: 이벤트 페이지가 재설계되어 SLG와 RPG 페이지로 나뉘었습니다.</v>
      </c>
      <c r="G58" s="27" t="str">
        <f>IFERROR(__xludf.DUMMYFUNCTION("GOOGLETRANSLATE(A58,""zh-tw"",""RU"")"),"21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H58" s="27" t="str">
        <f>IFERROR(__xludf.DUMMYFUNCTION("GOOGLETRANSLATE(A58,""zh-tw"",""DE"")"),"21. März 2025: Die Veranstaltungsseite wurde neu gestaltet und in SLG- und RPG-Seiten unterteilt.")</f>
        <v>21. März 2025: Die Veranstaltungsseite wurde neu gestaltet und in SLG- und RPG-Seiten unterteilt.</v>
      </c>
      <c r="I58" s="67" t="s">
        <v>146</v>
      </c>
      <c r="J58" s="29" t="str">
        <f>IFERROR(__xludf.DUMMYFUNCTION("GOOGLETRANSLATE(A58,""zh-tw"",""pt-BR"")"),"21 de março de 2025: Página do evento reformulada, dividida em páginas de SLG (Jogos de Escrita Criativa) e RPG (Jogos de RPG).")</f>
        <v>21 de março de 2025: Página do evento reformulada, dividida em páginas de SLG (Jogos de Escrita Criativa) e RPG (Jogos de RPG).</v>
      </c>
      <c r="K58" s="65"/>
      <c r="L58" s="65"/>
      <c r="M58" s="65"/>
      <c r="N58" s="65"/>
      <c r="O58" s="65"/>
      <c r="P58" s="65"/>
      <c r="Q58" s="65"/>
      <c r="R58" s="65"/>
      <c r="S58" s="65"/>
      <c r="T58" s="65"/>
      <c r="U58" s="65"/>
      <c r="V58" s="65"/>
      <c r="W58" s="65"/>
      <c r="X58" s="65"/>
    </row>
    <row r="59">
      <c r="A59" s="63" t="s">
        <v>147</v>
      </c>
      <c r="B59" s="63" t="str">
        <f>IFERROR(__xludf.DUMMYFUNCTION("GOOGLETRANSLATE(A59,""zh-tw"",""ja"")"),"2025/3/16にバージョン0.7の情報を更新しました")</f>
        <v>2025/3/16にバージョン0.7の情報を更新しました</v>
      </c>
      <c r="C59" s="64" t="str">
        <f>IFERROR(__xludf.DUMMYFUNCTION("GOOGLETRANSLATE(A59,""zh-tw"",""en"")"),"Updated version 0.7 information on 2025/3/16")</f>
        <v>Updated version 0.7 information on 2025/3/16</v>
      </c>
      <c r="D59" s="63" t="str">
        <f>IFERROR(__xludf.DUMMYFUNCTION("GOOGLETRANSLATE(A59,""zh-tw"",""zh"")"),"2025/3/16 更新0.7版本资讯")</f>
        <v>2025/3/16 更新0.7版本资讯</v>
      </c>
      <c r="E59" s="27" t="str">
        <f>IFERROR(__xludf.DUMMYFUNCTION("GOOGLETRANSLATE(A59,""zh-tw"",""es-MX"")"),"Información actualizada de la versión 0.7 el 16/3/2025")</f>
        <v>Información actualizada de la versión 0.7 el 16/3/2025</v>
      </c>
      <c r="F59" s="27" t="str">
        <f>IFERROR(__xludf.DUMMYFUNCTION("GOOGLETRANSLATE(A59,""zh-tw"",""KO"")"),"2025/3/16에 버전 0.7 정보가 업데이트되었습니다.")</f>
        <v>2025/3/16에 버전 0.7 정보가 업데이트되었습니다.</v>
      </c>
      <c r="G59" s="27" t="str">
        <f>IFERROR(__xludf.DUMMYFUNCTION("GOOGLETRANSLATE(A59,""zh-tw"",""RU"")"),"Обновленная информация о версии 0.7 от 16.03.2025")</f>
        <v>Обновленная информация о версии 0.7 от 16.03.2025</v>
      </c>
      <c r="H59" s="27" t="str">
        <f>IFERROR(__xludf.DUMMYFUNCTION("GOOGLETRANSLATE(A59,""zh-tw"",""DE"")"),"Aktualisierte Informationen zu Version 0.7 vom 16.03.2025")</f>
        <v>Aktualisierte Informationen zu Version 0.7 vom 16.03.2025</v>
      </c>
      <c r="I59" s="67" t="s">
        <v>148</v>
      </c>
      <c r="J59" s="29" t="str">
        <f>IFERROR(__xludf.DUMMYFUNCTION("GOOGLETRANSLATE(A59,""zh-tw"",""pt-BR"")"),"Informações atualizadas para a versão 0.7 em 16/03/2025")</f>
        <v>Informações atualizadas para a versão 0.7 em 16/03/2025</v>
      </c>
      <c r="K59" s="65"/>
      <c r="L59" s="65"/>
      <c r="M59" s="65"/>
      <c r="N59" s="65"/>
      <c r="O59" s="65"/>
      <c r="P59" s="65"/>
      <c r="Q59" s="65"/>
      <c r="R59" s="65"/>
      <c r="S59" s="65"/>
      <c r="T59" s="65"/>
      <c r="U59" s="65"/>
      <c r="V59" s="65"/>
      <c r="W59" s="65"/>
      <c r="X59" s="65"/>
    </row>
    <row r="60">
      <c r="A60" s="63" t="s">
        <v>149</v>
      </c>
      <c r="B60" s="63" t="str">
        <f>IFERROR(__xludf.DUMMYFUNCTION("GOOGLETRANSLATE(A60,""zh-tw"",""ja"")"),"2025/3/15にステータスページネーションを追加しました")</f>
        <v>2025/3/15にステータスページネーションを追加しました</v>
      </c>
      <c r="C60" s="64" t="str">
        <f>IFERROR(__xludf.DUMMYFUNCTION("GOOGLETRANSLATE(A60,""zh-tw"",""en"")"),"Added status pagination on 2025/3/15")</f>
        <v>Added status pagination on 2025/3/15</v>
      </c>
      <c r="D60" s="63" t="str">
        <f>IFERROR(__xludf.DUMMYFUNCTION("GOOGLETRANSLATE(A60,""zh-tw"",""zh"")"),"2025/3/15 新增状态分页")</f>
        <v>2025/3/15 新增状态分页</v>
      </c>
      <c r="E60" s="27" t="str">
        <f>IFERROR(__xludf.DUMMYFUNCTION("GOOGLETRANSLATE(A60,""zh-tw"",""es-MX"")"),"Se agregó paginación de estado el 15/3/2025")</f>
        <v>Se agregó paginación de estado el 15/3/2025</v>
      </c>
      <c r="F60" s="27" t="str">
        <f>IFERROR(__xludf.DUMMYFUNCTION("GOOGLETRANSLATE(A60,""zh-tw"",""KO"")"),"2025/3/15에 상태 페이지 매김이 추가되었습니다.")</f>
        <v>2025/3/15에 상태 페이지 매김이 추가되었습니다.</v>
      </c>
      <c r="G60" s="27" t="str">
        <f>IFERROR(__xludf.DUMMYFUNCTION("GOOGLETRANSLATE(A60,""zh-tw"",""RU"")"),"Добавлена ​​пагинация статуса от 15.03.2025")</f>
        <v>Добавлена ​​пагинация статуса от 15.03.2025</v>
      </c>
      <c r="H60" s="27" t="str">
        <f>IFERROR(__xludf.DUMMYFUNCTION("GOOGLETRANSLATE(A60,""zh-tw"",""DE"")"),"Status-Paginierung hinzugefügt am 15.03.2025")</f>
        <v>Status-Paginierung hinzugefügt am 15.03.2025</v>
      </c>
      <c r="I60" s="67" t="s">
        <v>150</v>
      </c>
      <c r="J60" s="29" t="str">
        <f>IFERROR(__xludf.DUMMYFUNCTION("GOOGLETRANSLATE(A60,""zh-tw"",""pt-BR"")"),"Adicionada paginação de status em 15/03/2025")</f>
        <v>Adicionada paginação de status em 15/03/2025</v>
      </c>
      <c r="K60" s="65"/>
      <c r="L60" s="65"/>
      <c r="M60" s="65"/>
      <c r="N60" s="65"/>
      <c r="O60" s="65"/>
      <c r="P60" s="65"/>
      <c r="Q60" s="65"/>
      <c r="R60" s="65"/>
      <c r="S60" s="65"/>
      <c r="T60" s="65"/>
      <c r="U60" s="65"/>
      <c r="V60" s="65"/>
      <c r="W60" s="65"/>
      <c r="X60" s="65"/>
    </row>
    <row r="61">
      <c r="A61" s="63" t="s">
        <v>151</v>
      </c>
      <c r="B61" s="63" t="str">
        <f>IFERROR(__xludf.DUMMYFUNCTION("GOOGLETRANSLATE(A61,""zh-tw"",""ja"")"),"2025/3/13にTIPSを更新しました")</f>
        <v>2025/3/13にTIPSを更新しました</v>
      </c>
      <c r="C61" s="64" t="str">
        <f>IFERROR(__xludf.DUMMYFUNCTION("GOOGLETRANSLATE(A61,""zh-tw"",""en"")"),"Updated TIPS 2025/3/13")</f>
        <v>Updated TIPS 2025/3/13</v>
      </c>
      <c r="D61" s="63" t="str">
        <f>IFERROR(__xludf.DUMMYFUNCTION("GOOGLETRANSLATE(A61,""zh-tw"",""zh"")"),"2025/3/13 更新TIPS")</f>
        <v>2025/3/13 更新TIPS</v>
      </c>
      <c r="E61" s="27" t="str">
        <f>IFERROR(__xludf.DUMMYFUNCTION("GOOGLETRANSLATE(A61,""zh-tw"",""es-MX"")"),"CONSEJOS actualizados el 13/3/2025")</f>
        <v>CONSEJOS actualizados el 13/3/2025</v>
      </c>
      <c r="F61" s="27" t="str">
        <f>IFERROR(__xludf.DUMMYFUNCTION("GOOGLETRANSLATE(A61,""zh-tw"",""KO"")"),"업데이트된 TIPS 2025/3/13")</f>
        <v>업데이트된 TIPS 2025/3/13</v>
      </c>
      <c r="G61" s="27" t="str">
        <f>IFERROR(__xludf.DUMMYFUNCTION("GOOGLETRANSLATE(A61,""zh-tw"",""RU"")"),"Обновленные СОВЕТЫ 2025/3/13")</f>
        <v>Обновленные СОВЕТЫ 2025/3/13</v>
      </c>
      <c r="H61" s="27" t="str">
        <f>IFERROR(__xludf.DUMMYFUNCTION("GOOGLETRANSLATE(A61,""zh-tw"",""DE"")"),"Aktualisierte Tipps vom 13.03.2025")</f>
        <v>Aktualisierte Tipps vom 13.03.2025</v>
      </c>
      <c r="I61" s="67" t="s">
        <v>152</v>
      </c>
      <c r="J61" s="29" t="str">
        <f>IFERROR(__xludf.DUMMYFUNCTION("GOOGLETRANSLATE(A61,""zh-tw"",""pt-BR"")"),"Dicas atualizadas em 13/03/2025")</f>
        <v>Dicas atualizadas em 13/03/2025</v>
      </c>
      <c r="K61" s="65"/>
      <c r="L61" s="65"/>
      <c r="M61" s="65"/>
      <c r="N61" s="65"/>
      <c r="O61" s="65"/>
      <c r="P61" s="65"/>
      <c r="Q61" s="65"/>
      <c r="R61" s="65"/>
      <c r="S61" s="65"/>
      <c r="T61" s="65"/>
      <c r="U61" s="65"/>
      <c r="V61" s="65"/>
      <c r="W61" s="65"/>
      <c r="X61" s="65"/>
    </row>
    <row r="62">
      <c r="A62" s="63" t="s">
        <v>153</v>
      </c>
      <c r="B62" s="63" t="str">
        <f>IFERROR(__xludf.DUMMYFUNCTION("GOOGLETRANSLATE(A62,""zh-tw"",""ja"")"),"2025 年 3 月 12 日: 武器、防具、アイテムのページを再設計しました。")</f>
        <v>2025 年 3 月 12 日: 武器、防具、アイテムのページを再設計しました。</v>
      </c>
      <c r="C62" s="64" t="str">
        <f>IFERROR(__xludf.DUMMYFUNCTION("GOOGLETRANSLATE(A62,""zh-tw"",""en"")"),"March 12, 2025: Redesigned the weapon, armor, and item pages.")</f>
        <v>March 12, 2025: Redesigned the weapon, armor, and item pages.</v>
      </c>
      <c r="D62" s="63" t="str">
        <f>IFERROR(__xludf.DUMMYFUNCTION("GOOGLETRANSLATE(A62,""zh-tw"",""zh"")"),"2025/3/12 重新制作武器、防具、道具的页面")</f>
        <v>2025/3/12 重新制作武器、防具、道具的页面</v>
      </c>
      <c r="E62" s="27" t="str">
        <f>IFERROR(__xludf.DUMMYFUNCTION("GOOGLETRANSLATE(A62,""zh-tw"",""es-MX"")"),"12 de marzo de 2025: se rediseñaron las páginas de armas, armaduras y objetos.")</f>
        <v>12 de marzo de 2025: se rediseñaron las páginas de armas, armaduras y objetos.</v>
      </c>
      <c r="F62" s="27" t="str">
        <f>IFERROR(__xludf.DUMMYFUNCTION("GOOGLETRANSLATE(A62,""zh-tw"",""KO"")"),"2025년 3월 12일: 무기, 방어구, 아이템 페이지를 재설계했습니다.")</f>
        <v>2025년 3월 12일: 무기, 방어구, 아이템 페이지를 재설계했습니다.</v>
      </c>
      <c r="G62" s="27" t="str">
        <f>IFERROR(__xludf.DUMMYFUNCTION("GOOGLETRANSLATE(A62,""zh-tw"",""RU"")"),"12 марта 2025 г.: переработан дизайн страниц оружия, брони и предметов.")</f>
        <v>12 марта 2025 г.: переработан дизайн страниц оружия, брони и предметов.</v>
      </c>
      <c r="H62" s="27" t="str">
        <f>IFERROR(__xludf.DUMMYFUNCTION("GOOGLETRANSLATE(A62,""zh-tw"",""DE"")"),"12. März 2025: Die Seiten für Waffen, Rüstungen und Gegenstände wurden neu gestaltet.")</f>
        <v>12. März 2025: Die Seiten für Waffen, Rüstungen und Gegenstände wurden neu gestaltet.</v>
      </c>
      <c r="I62" s="67" t="s">
        <v>154</v>
      </c>
      <c r="J62" s="29" t="str">
        <f>IFERROR(__xludf.DUMMYFUNCTION("GOOGLETRANSLATE(A62,""zh-tw"",""pt-BR"")"),"12 de março de 2025: Redesenhamos as páginas de armas, armaduras e itens.")</f>
        <v>12 de março de 2025: Redesenhamos as páginas de armas, armaduras e itens.</v>
      </c>
      <c r="K62" s="65"/>
      <c r="L62" s="65"/>
      <c r="M62" s="65"/>
      <c r="N62" s="65"/>
      <c r="O62" s="65"/>
      <c r="P62" s="65"/>
      <c r="Q62" s="65"/>
      <c r="R62" s="65"/>
      <c r="S62" s="65"/>
      <c r="T62" s="65"/>
      <c r="U62" s="65"/>
      <c r="V62" s="65"/>
      <c r="W62" s="65"/>
      <c r="X62" s="65"/>
    </row>
    <row r="63">
      <c r="A63" s="63" t="s">
        <v>155</v>
      </c>
      <c r="B63" s="63" t="str">
        <f>IFERROR(__xludf.DUMMYFUNCTION("GOOGLETRANSLATE(A63,""zh-tw"",""ja"")"),"アップデートのお知らせ（2025年3月10日）")</f>
        <v>アップデートのお知らせ（2025年3月10日）</v>
      </c>
      <c r="C63" s="64" t="str">
        <f>IFERROR(__xludf.DUMMYFUNCTION("GOOGLETRANSLATE(A63,""zh-tw"",""en"")"),"Update Announcement (March 10, 2025)")</f>
        <v>Update Announcement (March 10, 2025)</v>
      </c>
      <c r="D63" s="63" t="str">
        <f>IFERROR(__xludf.DUMMYFUNCTION("GOOGLETRANSLATE(A63,""zh-tw"",""zh"")"),"2025/3/10 更新公告")</f>
        <v>2025/3/10 更新公告</v>
      </c>
      <c r="E63" s="27" t="str">
        <f>IFERROR(__xludf.DUMMYFUNCTION("GOOGLETRANSLATE(A63,""zh-tw"",""es-MX"")"),"Anuncio de actualización (10 de marzo de 2025)")</f>
        <v>Anuncio de actualización (10 de marzo de 2025)</v>
      </c>
      <c r="F63" s="27" t="str">
        <f>IFERROR(__xludf.DUMMYFUNCTION("GOOGLETRANSLATE(A63,""zh-tw"",""KO"")"),"업데이트 공지 (2025년 3월 10일)")</f>
        <v>업데이트 공지 (2025년 3월 10일)</v>
      </c>
      <c r="G63" s="27" t="str">
        <f>IFERROR(__xludf.DUMMYFUNCTION("GOOGLETRANSLATE(A63,""zh-tw"",""RU"")"),"Объявление об обновлении (10 марта 2025 г.)")</f>
        <v>Объявление об обновлении (10 марта 2025 г.)</v>
      </c>
      <c r="H63" s="27" t="str">
        <f>IFERROR(__xludf.DUMMYFUNCTION("GOOGLETRANSLATE(A63,""zh-tw"",""DE"")"),"Aktualisierungsankündigung (10. März 2025)")</f>
        <v>Aktualisierungsankündigung (10. März 2025)</v>
      </c>
      <c r="I63" s="67" t="s">
        <v>156</v>
      </c>
      <c r="J63" s="29" t="str">
        <f>IFERROR(__xludf.DUMMYFUNCTION("GOOGLETRANSLATE(A63,""zh-tw"",""pt-BR"")"),"Anúncio de atualização (10 de março de 2025)")</f>
        <v>Anúncio de atualização (10 de março de 2025)</v>
      </c>
      <c r="K63" s="65"/>
      <c r="L63" s="65"/>
      <c r="M63" s="65"/>
      <c r="N63" s="65"/>
      <c r="O63" s="65"/>
      <c r="P63" s="65"/>
      <c r="Q63" s="65"/>
      <c r="R63" s="65"/>
      <c r="S63" s="65"/>
      <c r="T63" s="65"/>
      <c r="U63" s="65"/>
      <c r="V63" s="65"/>
      <c r="W63" s="65"/>
      <c r="X63" s="65"/>
    </row>
    <row r="64">
      <c r="A64" s="63" t="s">
        <v>157</v>
      </c>
      <c r="B64" s="63" t="str">
        <f>IFERROR(__xludf.DUMMYFUNCTION("GOOGLETRANSLATE(A64,""zh-tw"",""ja"")"),"アップデートのお知らせ（2025年2月10日）")</f>
        <v>アップデートのお知らせ（2025年2月10日）</v>
      </c>
      <c r="C64" s="64" t="str">
        <f>IFERROR(__xludf.DUMMYFUNCTION("GOOGLETRANSLATE(A64,""zh-tw"",""en"")"),"Update Announcement (February 10, 2025)")</f>
        <v>Update Announcement (February 10, 2025)</v>
      </c>
      <c r="D64" s="63" t="str">
        <f>IFERROR(__xludf.DUMMYFUNCTION("GOOGLETRANSLATE(A64,""zh-tw"",""zh"")"),"2025/2/10 更新公告")</f>
        <v>2025/2/10 更新公告</v>
      </c>
      <c r="E64" s="27" t="str">
        <f>IFERROR(__xludf.DUMMYFUNCTION("GOOGLETRANSLATE(A64,""zh-tw"",""es-MX"")"),"Anuncio de actualización (10 de febrero de 2025)")</f>
        <v>Anuncio de actualización (10 de febrero de 2025)</v>
      </c>
      <c r="F64" s="27" t="str">
        <f>IFERROR(__xludf.DUMMYFUNCTION("GOOGLETRANSLATE(A64,""zh-tw"",""KO"")"),"업데이트 공지 (2025년 2월 10일)")</f>
        <v>업데이트 공지 (2025년 2월 10일)</v>
      </c>
      <c r="G64" s="27" t="str">
        <f>IFERROR(__xludf.DUMMYFUNCTION("GOOGLETRANSLATE(A64,""zh-tw"",""RU"")"),"Объявление об обновлении (10 февраля 2025 г.)")</f>
        <v>Объявление об обновлении (10 февраля 2025 г.)</v>
      </c>
      <c r="H64" s="27" t="str">
        <f>IFERROR(__xludf.DUMMYFUNCTION("GOOGLETRANSLATE(A64,""zh-tw"",""DE"")"),"Aktualisierungsankündigung (10. Februar 2025)")</f>
        <v>Aktualisierungsankündigung (10. Februar 2025)</v>
      </c>
      <c r="I64" s="67" t="s">
        <v>158</v>
      </c>
      <c r="J64" s="29" t="str">
        <f>IFERROR(__xludf.DUMMYFUNCTION("GOOGLETRANSLATE(A64,""zh-tw"",""pt-BR"")"),"Anúncio de atualização (10 de fevereiro de 2025)")</f>
        <v>Anúncio de atualização (10 de fevereiro de 2025)</v>
      </c>
      <c r="K64" s="65"/>
      <c r="L64" s="65"/>
      <c r="M64" s="65"/>
      <c r="N64" s="65"/>
      <c r="O64" s="65"/>
      <c r="P64" s="65"/>
      <c r="Q64" s="65"/>
      <c r="R64" s="65"/>
      <c r="S64" s="65"/>
      <c r="T64" s="65"/>
      <c r="U64" s="65"/>
      <c r="V64" s="65"/>
      <c r="W64" s="65"/>
      <c r="X64" s="65"/>
    </row>
    <row r="65">
      <c r="A65" s="63" t="s">
        <v>159</v>
      </c>
      <c r="B65" s="63" t="str">
        <f>IFERROR(__xludf.DUMMYFUNCTION("GOOGLETRANSLATE(A65,""zh-tw"",""ja"")"),"2025年2月4日：バージョン0.65 Bを追加しました。")</f>
        <v>2025年2月4日：バージョン0.65 Bを追加しました。</v>
      </c>
      <c r="C65" s="64" t="str">
        <f>IFERROR(__xludf.DUMMYFUNCTION("GOOGLETRANSLATE(A65,""zh-tw"",""en"")"),"February 4, 2025: Added version 0.65 B.")</f>
        <v>February 4, 2025: Added version 0.65 B.</v>
      </c>
      <c r="D65" s="63" t="str">
        <f>IFERROR(__xludf.DUMMYFUNCTION("GOOGLETRANSLATE(A65,""zh-tw"",""zh"")"),"2025/2/4 新增0.65 B版本 事件")</f>
        <v>2025/2/4 新增0.65 B版本 事件</v>
      </c>
      <c r="E65" s="27" t="str">
        <f>IFERROR(__xludf.DUMMYFUNCTION("GOOGLETRANSLATE(A65,""zh-tw"",""es-MX"")"),"4 de febrero de 2025: Se agregó la versión 0.65 B.")</f>
        <v>4 de febrero de 2025: Se agregó la versión 0.65 B.</v>
      </c>
      <c r="F65" s="27" t="str">
        <f>IFERROR(__xludf.DUMMYFUNCTION("GOOGLETRANSLATE(A65,""zh-tw"",""KO"")"),"2025년 2월 4일: 버전 0.65 B가 추가되었습니다.")</f>
        <v>2025년 2월 4일: 버전 0.65 B가 추가되었습니다.</v>
      </c>
      <c r="G65" s="27" t="str">
        <f>IFERROR(__xludf.DUMMYFUNCTION("GOOGLETRANSLATE(A65,""zh-tw"",""RU"")"),"4 февраля 2025 г.: Добавлена ​​версия 0.65 B.")</f>
        <v>4 февраля 2025 г.: Добавлена ​​версия 0.65 B.</v>
      </c>
      <c r="H65" s="27" t="str">
        <f>IFERROR(__xludf.DUMMYFUNCTION("GOOGLETRANSLATE(A65,""zh-tw"",""DE"")"),"4. Februar 2025: Version 0.65 B hinzugefügt.")</f>
        <v>4. Februar 2025: Version 0.65 B hinzugefügt.</v>
      </c>
      <c r="I65" s="67" t="s">
        <v>160</v>
      </c>
      <c r="J65" s="29" t="str">
        <f>IFERROR(__xludf.DUMMYFUNCTION("GOOGLETRANSLATE(A65,""zh-tw"",""pt-BR"")"),"4 de fevereiro de 2025: Adicionada a versão 0.65 B.")</f>
        <v>4 de fevereiro de 2025: Adicionada a versão 0.65 B.</v>
      </c>
      <c r="K65" s="65"/>
      <c r="L65" s="65"/>
      <c r="M65" s="65"/>
      <c r="N65" s="65"/>
      <c r="O65" s="65"/>
      <c r="P65" s="65"/>
      <c r="Q65" s="65"/>
      <c r="R65" s="65"/>
      <c r="S65" s="65"/>
      <c r="T65" s="65"/>
      <c r="U65" s="65"/>
      <c r="V65" s="65"/>
      <c r="W65" s="65"/>
      <c r="X65" s="65"/>
    </row>
    <row r="66">
      <c r="A66" s="63" t="s">
        <v>161</v>
      </c>
      <c r="B66" s="63" t="str">
        <f>IFERROR(__xludf.DUMMYFUNCTION("GOOGLETRANSLATE(A66,""zh-tw"",""ja"")"),"2025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6" s="64" t="str">
        <f>IFERROR(__xludf.DUMMYFUNCTION("GOOGLETRANSLATE(A66,""zh-tw"",""en"")"),"February 3-4, 2025: Added map images for the Fallen Sanctuary; added campfire markers to some parts of the map.")</f>
        <v>February 3-4, 2025: Added map images for the Fallen Sanctuary; added campfire markers to some parts of the map.</v>
      </c>
      <c r="D66" s="63" t="str">
        <f>IFERROR(__xludf.DUMMYFUNCTION("GOOGLETRANSLATE(A66,""zh-tw"",""zh"")"),"2025/2/3-2/4 新增堕落的圣堂地图图片，一部分地图新增了篝火的标记")</f>
        <v>2025/2/3-2/4 新增堕落的圣堂地图图片，一部分地图新增了篝火的标记</v>
      </c>
      <c r="E66" s="27" t="str">
        <f>IFERROR(__xludf.DUMMYFUNCTION("GOOGLETRANSLATE(A66,""zh-tw"",""es-MX"")"),"3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6" s="27" t="str">
        <f>IFERROR(__xludf.DUMMYFUNCTION("GOOGLETRANSLATE(A66,""zh-tw"",""KO"")"),"2025년 2월 3-4일: Fallen Sanctuary에 대한 지도 이미지를 추가했습니다. 지도의 일부에 모닥불 표시를 추가했습니다.")</f>
        <v>2025년 2월 3-4일: Fallen Sanctuary에 대한 지도 이미지를 추가했습니다. 지도의 일부에 모닥불 표시를 추가했습니다.</v>
      </c>
      <c r="G66" s="27" t="str">
        <f>IFERROR(__xludf.DUMMYFUNCTION("GOOGLETRANSLATE(A66,""zh-tw"",""RU"")"),"3–4 февраля 2025 г.: Добавлены изображения карты для Павшего святилища; добавлены маркеры костров в некоторые части карты.")</f>
        <v>3–4 февраля 2025 г.: Добавлены изображения карты для Павшего святилища; добавлены маркеры костров в некоторые части карты.</v>
      </c>
      <c r="H66" s="27" t="str">
        <f>IFERROR(__xludf.DUMMYFUNCTION("GOOGLETRANSLATE(A66,""zh-tw"",""DE"")"),"3.-4.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6" s="67" t="s">
        <v>162</v>
      </c>
      <c r="J66" s="29" t="str">
        <f>IFERROR(__xludf.DUMMYFUNCTION("GOOGLETRANSLATE(A66,""zh-tw"",""pt-BR"")"),"3 e 4 de fevereiro de 2025: Adicionadas imagens do mapa do Santuário Caído; adicionados marcadores de fogueira em algumas partes do mapa.")</f>
        <v>3 e 4 de fevereiro de 2025: Adicionadas imagens do mapa do Santuário Caído; adicionados marcadores de fogueira em algumas partes do mapa.</v>
      </c>
      <c r="K66" s="65"/>
      <c r="L66" s="65"/>
      <c r="M66" s="65"/>
      <c r="N66" s="65"/>
      <c r="O66" s="65"/>
      <c r="P66" s="65"/>
      <c r="Q66" s="65"/>
      <c r="R66" s="65"/>
      <c r="S66" s="65"/>
      <c r="T66" s="65"/>
      <c r="U66" s="65"/>
      <c r="V66" s="65"/>
      <c r="W66" s="65"/>
      <c r="X66" s="65"/>
    </row>
    <row r="67">
      <c r="A67" s="63" t="s">
        <v>163</v>
      </c>
      <c r="B67" s="63" t="str">
        <f>IFERROR(__xludf.DUMMYFUNCTION("GOOGLETRANSLATE(A67,""zh-tw"",""ja"")"),"2025年2月2日：イベントとアーマーを含むバージョン0.65Aを追加しました。")</f>
        <v>2025年2月2日：イベントとアーマーを含むバージョン0.65Aを追加しました。</v>
      </c>
      <c r="C67" s="64" t="str">
        <f>IFERROR(__xludf.DUMMYFUNCTION("GOOGLETRANSLATE(A67,""zh-tw"",""en"")"),"February 2, 2025: Added version 0.65A, including events and armor.")</f>
        <v>February 2, 2025: Added version 0.65A, including events and armor.</v>
      </c>
      <c r="D67" s="63" t="str">
        <f>IFERROR(__xludf.DUMMYFUNCTION("GOOGLETRANSLATE(A67,""zh-tw"",""zh"")"),"2025/2/2 新增0.65A版本 事件、装甲")</f>
        <v>2025/2/2 新增0.65A版本 事件、装甲</v>
      </c>
      <c r="E67" s="27" t="str">
        <f>IFERROR(__xludf.DUMMYFUNCTION("GOOGLETRANSLATE(A67,""zh-tw"",""es-MX"")"),"2 de febrero de 2025: se agregó la versión 0.65A, incluidos eventos y armaduras.")</f>
        <v>2 de febrero de 2025: se agregó la versión 0.65A, incluidos eventos y armaduras.</v>
      </c>
      <c r="F67" s="27" t="str">
        <f>IFERROR(__xludf.DUMMYFUNCTION("GOOGLETRANSLATE(A67,""zh-tw"",""KO"")"),"2025년 2월 2일: 이벤트와 방어구를 포함한 버전 0.65A가 추가되었습니다.")</f>
        <v>2025년 2월 2일: 이벤트와 방어구를 포함한 버전 0.65A가 추가되었습니다.</v>
      </c>
      <c r="G67" s="27" t="str">
        <f>IFERROR(__xludf.DUMMYFUNCTION("GOOGLETRANSLATE(A67,""zh-tw"",""RU"")"),"2 февраля 2025 г.: Добавлена ​​версия 0.65A, включая события и броню.")</f>
        <v>2 февраля 2025 г.: Добавлена ​​версия 0.65A, включая события и броню.</v>
      </c>
      <c r="H67" s="27" t="str">
        <f>IFERROR(__xludf.DUMMYFUNCTION("GOOGLETRANSLATE(A67,""zh-tw"",""DE"")"),"2. Februar 2025: Version 0.65A hinzugefügt, inklusive Ereignissen und Rüstungen.")</f>
        <v>2. Februar 2025: Version 0.65A hinzugefügt, inklusive Ereignissen und Rüstungen.</v>
      </c>
      <c r="I67" s="67" t="s">
        <v>164</v>
      </c>
      <c r="J67" s="29" t="str">
        <f>IFERROR(__xludf.DUMMYFUNCTION("GOOGLETRANSLATE(A67,""zh-tw"",""pt-BR"")"),"2 de fevereiro de 2025: Adicionada a versão 0.65A, incluindo eventos e armaduras.")</f>
        <v>2 de fevereiro de 2025: Adicionada a versão 0.65A, incluindo eventos e armaduras.</v>
      </c>
      <c r="K67" s="65"/>
      <c r="L67" s="65"/>
      <c r="M67" s="65"/>
      <c r="N67" s="65"/>
      <c r="O67" s="65"/>
      <c r="P67" s="65"/>
      <c r="Q67" s="65"/>
      <c r="R67" s="65"/>
      <c r="S67" s="65"/>
      <c r="T67" s="65"/>
      <c r="U67" s="65"/>
      <c r="V67" s="65"/>
      <c r="W67" s="65"/>
      <c r="X67" s="65"/>
    </row>
    <row r="68">
      <c r="A68" s="63" t="s">
        <v>165</v>
      </c>
      <c r="B68" s="63" t="str">
        <f>IFERROR(__xludf.DUMMYFUNCTION("GOOGLETRANSLATE(A68,""zh-tw"",""ja"")"),"2025年1月15日の地図ライブラリ情報更新")</f>
        <v>2025年1月15日の地図ライブラリ情報更新</v>
      </c>
      <c r="C68" s="64" t="str">
        <f>IFERROR(__xludf.DUMMYFUNCTION("GOOGLETRANSLATE(A68,""zh-tw"",""en"")"),"Map library information update on January 15, 2025")</f>
        <v>Map library information update on January 15, 2025</v>
      </c>
      <c r="D68" s="63" t="str">
        <f>IFERROR(__xludf.DUMMYFUNCTION("GOOGLETRANSLATE(A68,""zh-tw"",""zh"")"),"2025/1/15 地图图库资讯更新")</f>
        <v>2025/1/15 地图图库资讯更新</v>
      </c>
      <c r="E68" s="27" t="str">
        <f>IFERROR(__xludf.DUMMYFUNCTION("GOOGLETRANSLATE(A68,""zh-tw"",""es-MX"")"),"Actualización de la información de la cartoteca al 15 de enero de 2025")</f>
        <v>Actualización de la información de la cartoteca al 15 de enero de 2025</v>
      </c>
      <c r="F68" s="27" t="str">
        <f>IFERROR(__xludf.DUMMYFUNCTION("GOOGLETRANSLATE(A68,""zh-tw"",""KO"")"),"2025년 1월 15일 지도 도서관 정보 업데이트")</f>
        <v>2025년 1월 15일 지도 도서관 정보 업데이트</v>
      </c>
      <c r="G68" s="27" t="str">
        <f>IFERROR(__xludf.DUMMYFUNCTION("GOOGLETRANSLATE(A68,""zh-tw"",""RU"")"),"Обновление информации о библиотеке карт от 15 января 2025 г.")</f>
        <v>Обновление информации о библиотеке карт от 15 января 2025 г.</v>
      </c>
      <c r="H68" s="27" t="str">
        <f>IFERROR(__xludf.DUMMYFUNCTION("GOOGLETRANSLATE(A68,""zh-tw"",""DE"")"),"Aktualisierung der Kartenbibliotheksinformationen am 15. Januar 2025")</f>
        <v>Aktualisierung der Kartenbibliotheksinformationen am 15. Januar 2025</v>
      </c>
      <c r="I68" s="67" t="s">
        <v>166</v>
      </c>
      <c r="J68" s="29" t="str">
        <f>IFERROR(__xludf.DUMMYFUNCTION("GOOGLETRANSLATE(A68,""zh-tw"",""pt-BR"")"),"Atualização das informações da biblioteca de mapas em 15 de janeiro de 2025.")</f>
        <v>Atualização das informações da biblioteca de mapas em 15 de janeiro de 2025.</v>
      </c>
      <c r="K68" s="65"/>
      <c r="L68" s="65"/>
      <c r="M68" s="65"/>
      <c r="N68" s="65"/>
      <c r="O68" s="65"/>
      <c r="P68" s="65"/>
      <c r="Q68" s="65"/>
      <c r="R68" s="65"/>
      <c r="S68" s="65"/>
      <c r="T68" s="65"/>
      <c r="U68" s="65"/>
      <c r="V68" s="65"/>
      <c r="W68" s="65"/>
      <c r="X68" s="65"/>
    </row>
    <row r="69">
      <c r="A69" s="63" t="s">
        <v>167</v>
      </c>
      <c r="B69" s="63" t="str">
        <f>IFERROR(__xludf.DUMMYFUNCTION("GOOGLETRANSLATE(A69,""zh-tw"",""ja"")"),"2025年1月13日: バージョン0.61の情報を追加しました: イベント")</f>
        <v>2025年1月13日: バージョン0.61の情報を追加しました: イベント</v>
      </c>
      <c r="C69" s="64" t="str">
        <f>IFERROR(__xludf.DUMMYFUNCTION("GOOGLETRANSLATE(A69,""zh-tw"",""en"")"),"January 13, 2025: Added version 0.61 information: Events")</f>
        <v>January 13, 2025: Added version 0.61 information: Events</v>
      </c>
      <c r="D69" s="63" t="str">
        <f>IFERROR(__xludf.DUMMYFUNCTION("GOOGLETRANSLATE(A69,""zh-tw"",""zh"")"),"2025/1/13 新增0.61版本资讯:事件")</f>
        <v>2025/1/13 新增0.61版本资讯:事件</v>
      </c>
      <c r="E69" s="27" t="str">
        <f>IFERROR(__xludf.DUMMYFUNCTION("GOOGLETRANSLATE(A69,""zh-tw"",""es-MX"")"),"13 de enero de 2025: Se agregó información de la versión 0.61: Eventos")</f>
        <v>13 de enero de 2025: Se agregó información de la versión 0.61: Eventos</v>
      </c>
      <c r="F69" s="27" t="str">
        <f>IFERROR(__xludf.DUMMYFUNCTION("GOOGLETRANSLATE(A69,""zh-tw"",""KO"")"),"2025년 1월 13일: 버전 0.61 정보 추가: 이벤트")</f>
        <v>2025년 1월 13일: 버전 0.61 정보 추가: 이벤트</v>
      </c>
      <c r="G69" s="27" t="str">
        <f>IFERROR(__xludf.DUMMYFUNCTION("GOOGLETRANSLATE(A69,""zh-tw"",""RU"")"),"13 января 2025 г.: добавлена ​​информация о версии 0.61: События.")</f>
        <v>13 января 2025 г.: добавлена ​​информация о версии 0.61: События.</v>
      </c>
      <c r="H69" s="27" t="str">
        <f>IFERROR(__xludf.DUMMYFUNCTION("GOOGLETRANSLATE(A69,""zh-tw"",""DE"")"),"13. Januar 2025: Informationen zu Version 0.61 hinzugefügt: Ereignisse")</f>
        <v>13. Januar 2025: Informationen zu Version 0.61 hinzugefügt: Ereignisse</v>
      </c>
      <c r="I69" s="67" t="s">
        <v>168</v>
      </c>
      <c r="J69" s="29" t="str">
        <f>IFERROR(__xludf.DUMMYFUNCTION("GOOGLETRANSLATE(A69,""zh-tw"",""pt-BR"")"),"13 de janeiro de 2025: Adicionadas informações da versão 0.61: Eventos")</f>
        <v>13 de janeiro de 2025: Adicionadas informações da versão 0.61: Eventos</v>
      </c>
      <c r="K69" s="65"/>
      <c r="L69" s="65"/>
      <c r="M69" s="65"/>
      <c r="N69" s="65"/>
      <c r="O69" s="65"/>
      <c r="P69" s="65"/>
      <c r="Q69" s="65"/>
      <c r="R69" s="65"/>
      <c r="S69" s="65"/>
      <c r="T69" s="65"/>
      <c r="U69" s="65"/>
      <c r="V69" s="65"/>
      <c r="W69" s="65"/>
      <c r="X69" s="65"/>
    </row>
    <row r="70">
      <c r="A70" s="63" t="s">
        <v>169</v>
      </c>
      <c r="B70" s="63" t="str">
        <f>IFERROR(__xludf.DUMMYFUNCTION("GOOGLETRANSLATE(A70,""zh-tw"",""ja"")"),"2025年1月6日: 0.6Cバージョン情報を追加: アーマー")</f>
        <v>2025年1月6日: 0.6Cバージョン情報を追加: アーマー</v>
      </c>
      <c r="C70" s="64" t="str">
        <f>IFERROR(__xludf.DUMMYFUNCTION("GOOGLETRANSLATE(A70,""zh-tw"",""en"")"),"January 6, 2025: Added 0.6C version information: Armor")</f>
        <v>January 6, 2025: Added 0.6C version information: Armor</v>
      </c>
      <c r="D70" s="63" t="str">
        <f>IFERROR(__xludf.DUMMYFUNCTION("GOOGLETRANSLATE(A70,""zh-tw"",""zh"")"),"2025/1/6 新增0.6C版本资讯:装甲")</f>
        <v>2025/1/6 新增0.6C版本资讯:装甲</v>
      </c>
      <c r="E70" s="27" t="str">
        <f>IFERROR(__xludf.DUMMYFUNCTION("GOOGLETRANSLATE(A70,""zh-tw"",""es-MX"")"),"6 de enero de 2025: Se agregó información de la versión 0.6C: Armadura")</f>
        <v>6 de enero de 2025: Se agregó información de la versión 0.6C: Armadura</v>
      </c>
      <c r="F70" s="27" t="str">
        <f>IFERROR(__xludf.DUMMYFUNCTION("GOOGLETRANSLATE(A70,""zh-tw"",""KO"")"),"2025년 1월 6일: 0.6C 버전 정보 추가: Armor")</f>
        <v>2025년 1월 6일: 0.6C 버전 정보 추가: Armor</v>
      </c>
      <c r="G70" s="27" t="str">
        <f>IFERROR(__xludf.DUMMYFUNCTION("GOOGLETRANSLATE(A70,""zh-tw"",""RU"")"),"6 января 2025 г.: добавлена ​​информация о версии 0.6C: Броня.")</f>
        <v>6 января 2025 г.: добавлена ​​информация о версии 0.6C: Броня.</v>
      </c>
      <c r="H70" s="27" t="str">
        <f>IFERROR(__xludf.DUMMYFUNCTION("GOOGLETRANSLATE(A70,""zh-tw"",""DE"")"),"6. Januar 2025: Versionsinformationen 0.6C hinzugefügt: Armor")</f>
        <v>6. Januar 2025: Versionsinformationen 0.6C hinzugefügt: Armor</v>
      </c>
      <c r="I70" s="67" t="s">
        <v>170</v>
      </c>
      <c r="J70" s="29" t="str">
        <f>IFERROR(__xludf.DUMMYFUNCTION("GOOGLETRANSLATE(A70,""zh-tw"",""pt-BR"")"),"6 de janeiro de 2025: Adicionadas informações sobre a versão 0.6C: Armadura")</f>
        <v>6 de janeiro de 2025: Adicionadas informações sobre a versão 0.6C: Armadura</v>
      </c>
      <c r="K70" s="65"/>
      <c r="L70" s="65"/>
      <c r="M70" s="65"/>
      <c r="N70" s="65"/>
      <c r="O70" s="65"/>
      <c r="P70" s="65"/>
      <c r="Q70" s="65"/>
      <c r="R70" s="65"/>
      <c r="S70" s="65"/>
      <c r="T70" s="65"/>
      <c r="U70" s="65"/>
      <c r="V70" s="65"/>
      <c r="W70" s="65"/>
      <c r="X70" s="65"/>
    </row>
    <row r="71">
      <c r="A71" s="63" t="s">
        <v>171</v>
      </c>
      <c r="B71" s="63" t="str">
        <f>IFERROR(__xludf.DUMMYFUNCTION("GOOGLETRANSLATE(A71,""zh-tw"",""ja"")"),"2025年1月5日: バージョン0.6Bの情報を追加: イベント")</f>
        <v>2025年1月5日: バージョン0.6Bの情報を追加: イベント</v>
      </c>
      <c r="C71" s="64" t="str">
        <f>IFERROR(__xludf.DUMMYFUNCTION("GOOGLETRANSLATE(A71,""zh-tw"",""en"")"),"January 5, 2025: Added version 0.6B information: Events")</f>
        <v>January 5, 2025: Added version 0.6B information: Events</v>
      </c>
      <c r="D71" s="63" t="str">
        <f>IFERROR(__xludf.DUMMYFUNCTION("GOOGLETRANSLATE(A71,""zh-tw"",""zh"")"),"2025/1/5 新增0.6B版本资讯:事件")</f>
        <v>2025/1/5 新增0.6B版本资讯:事件</v>
      </c>
      <c r="E71" s="27" t="str">
        <f>IFERROR(__xludf.DUMMYFUNCTION("GOOGLETRANSLATE(A71,""zh-tw"",""es-MX"")"),"5 de enero de 2025: Se agregó información de la versión 0.6B: Eventos")</f>
        <v>5 de enero de 2025: Se agregó información de la versión 0.6B: Eventos</v>
      </c>
      <c r="F71" s="27" t="str">
        <f>IFERROR(__xludf.DUMMYFUNCTION("GOOGLETRANSLATE(A71,""zh-tw"",""KO"")"),"2025년 1월 5일: 버전 0.6B 정보 추가: 이벤트")</f>
        <v>2025년 1월 5일: 버전 0.6B 정보 추가: 이벤트</v>
      </c>
      <c r="G71" s="27" t="str">
        <f>IFERROR(__xludf.DUMMYFUNCTION("GOOGLETRANSLATE(A71,""zh-tw"",""RU"")"),"5 января 2025 г.: добавлена ​​информация о версии 0.6B: События.")</f>
        <v>5 января 2025 г.: добавлена ​​информация о версии 0.6B: События.</v>
      </c>
      <c r="H71" s="27" t="str">
        <f>IFERROR(__xludf.DUMMYFUNCTION("GOOGLETRANSLATE(A71,""zh-tw"",""DE"")"),"5. Januar 2025: Informationen zu Version 0.6B hinzugefügt: Ereignisse")</f>
        <v>5. Januar 2025: Informationen zu Version 0.6B hinzugefügt: Ereignisse</v>
      </c>
      <c r="I71" s="67" t="s">
        <v>172</v>
      </c>
      <c r="J71" s="29" t="str">
        <f>IFERROR(__xludf.DUMMYFUNCTION("GOOGLETRANSLATE(A71,""zh-tw"",""pt-BR"")"),"5 de janeiro de 2025: Adicionadas informações da versão 0.6B: Eventos")</f>
        <v>5 de janeiro de 2025: Adicionadas informações da versão 0.6B: Eventos</v>
      </c>
      <c r="K71" s="65"/>
      <c r="L71" s="65"/>
      <c r="M71" s="65"/>
      <c r="N71" s="65"/>
      <c r="O71" s="65"/>
      <c r="P71" s="65"/>
      <c r="Q71" s="65"/>
      <c r="R71" s="65"/>
      <c r="S71" s="65"/>
      <c r="T71" s="65"/>
      <c r="U71" s="65"/>
      <c r="V71" s="65"/>
      <c r="W71" s="65"/>
      <c r="X71" s="65"/>
    </row>
    <row r="72">
      <c r="A72" s="63" t="s">
        <v>173</v>
      </c>
      <c r="B72" s="63" t="str">
        <f>IFERROR(__xludf.DUMMYFUNCTION("GOOGLETRANSLATE(A72,""zh-tw"",""ja"")"),"2025年1月3日: バージョン0.6Aの情報を追加しました: イベント")</f>
        <v>2025年1月3日: バージョン0.6Aの情報を追加しました: イベント</v>
      </c>
      <c r="C72" s="64" t="str">
        <f>IFERROR(__xludf.DUMMYFUNCTION("GOOGLETRANSLATE(A72,""zh-tw"",""en"")"),"January 3, 2025: Added information for version 0.6A: Events")</f>
        <v>January 3, 2025: Added information for version 0.6A: Events</v>
      </c>
      <c r="D72" s="63" t="str">
        <f>IFERROR(__xludf.DUMMYFUNCTION("GOOGLETRANSLATE(A72,""zh-tw"",""zh"")"),"2025/1/3 新增0.6A版本资讯:事件")</f>
        <v>2025/1/3 新增0.6A版本资讯:事件</v>
      </c>
      <c r="E72" s="27" t="str">
        <f>IFERROR(__xludf.DUMMYFUNCTION("GOOGLETRANSLATE(A72,""zh-tw"",""es-MX"")"),"3 de enero de 2025: Se agregó información para la versión 0.6A: Eventos")</f>
        <v>3 de enero de 2025: Se agregó información para la versión 0.6A: Eventos</v>
      </c>
      <c r="F72" s="27" t="str">
        <f>IFERROR(__xludf.DUMMYFUNCTION("GOOGLETRANSLATE(A72,""zh-tw"",""KO"")"),"2025년 1월 3일: 버전 0.6A에 대한 정보 추가: 이벤트")</f>
        <v>2025년 1월 3일: 버전 0.6A에 대한 정보 추가: 이벤트</v>
      </c>
      <c r="G72" s="27" t="str">
        <f>IFERROR(__xludf.DUMMYFUNCTION("GOOGLETRANSLATE(A72,""zh-tw"",""RU"")"),"3 января 2025 г.: Добавлена ​​информация для версии 0.6A: События.")</f>
        <v>3 января 2025 г.: Добавлена ​​информация для версии 0.6A: События.</v>
      </c>
      <c r="H72" s="27" t="str">
        <f>IFERROR(__xludf.DUMMYFUNCTION("GOOGLETRANSLATE(A72,""zh-tw"",""DE"")"),"3. Januar 2025: Informationen für Version 0.6A hinzugefügt: Ereignisse")</f>
        <v>3. Januar 2025: Informationen für Version 0.6A hinzugefügt: Ereignisse</v>
      </c>
      <c r="I72" s="67" t="s">
        <v>174</v>
      </c>
      <c r="J72" s="29" t="str">
        <f>IFERROR(__xludf.DUMMYFUNCTION("GOOGLETRANSLATE(A72,""zh-tw"",""pt-BR"")"),"3 de janeiro de 2025: Adicionadas informações para a versão 0.6A: Eventos")</f>
        <v>3 de janeiro de 2025: Adicionadas informações para a versão 0.6A: Eventos</v>
      </c>
      <c r="K72" s="65"/>
      <c r="L72" s="65"/>
      <c r="M72" s="65"/>
      <c r="N72" s="65"/>
      <c r="O72" s="65"/>
      <c r="P72" s="65"/>
      <c r="Q72" s="65"/>
      <c r="R72" s="65"/>
      <c r="S72" s="65"/>
      <c r="T72" s="65"/>
      <c r="U72" s="65"/>
      <c r="V72" s="65"/>
      <c r="W72" s="65"/>
      <c r="X72" s="65"/>
    </row>
    <row r="73">
      <c r="A73" s="63" t="s">
        <v>175</v>
      </c>
      <c r="B73" s="63" t="str">
        <f>IFERROR(__xludf.DUMMYFUNCTION("GOOGLETRANSLATE(A73,""zh-tw"",""ja"")"),"2025/1/2 バージョン0.6の情報を追加しました")</f>
        <v>2025/1/2 バージョン0.6の情報を追加しました</v>
      </c>
      <c r="C73" s="64" t="str">
        <f>IFERROR(__xludf.DUMMYFUNCTION("GOOGLETRANSLATE(A73,""zh-tw"",""en"")"),"2025/1/2 Added version 0.6 information")</f>
        <v>2025/1/2 Added version 0.6 information</v>
      </c>
      <c r="D73" s="63" t="str">
        <f>IFERROR(__xludf.DUMMYFUNCTION("GOOGLETRANSLATE(A73,""zh-tw"",""zh"")"),"2025/1/2 新增0.6版本资讯")</f>
        <v>2025/1/2 新增0.6版本资讯</v>
      </c>
      <c r="E73" s="27" t="str">
        <f>IFERROR(__xludf.DUMMYFUNCTION("GOOGLETRANSLATE(A73,""zh-tw"",""es-MX"")"),"2025/1/2 Se agregó información de la versión 0.6")</f>
        <v>2025/1/2 Se agregó información de la versión 0.6</v>
      </c>
      <c r="F73" s="27" t="str">
        <f>IFERROR(__xludf.DUMMYFUNCTION("GOOGLETRANSLATE(A73,""zh-tw"",""KO"")"),"2025/1/2 버전 0.6 정보 추가")</f>
        <v>2025/1/2 버전 0.6 정보 추가</v>
      </c>
      <c r="G73" s="27" t="str">
        <f>IFERROR(__xludf.DUMMYFUNCTION("GOOGLETRANSLATE(A73,""zh-tw"",""RU"")"),"2025/1/2 Добавлена ​​информация о версии 0.6")</f>
        <v>2025/1/2 Добавлена ​​информация о версии 0.6</v>
      </c>
      <c r="H73" s="27" t="str">
        <f>IFERROR(__xludf.DUMMYFUNCTION("GOOGLETRANSLATE(A73,""zh-tw"",""DE"")"),"2025/1/2 Informationen zu Version 0.6 hinzugefügt")</f>
        <v>2025/1/2 Informationen zu Version 0.6 hinzugefügt</v>
      </c>
      <c r="I73" s="67" t="s">
        <v>176</v>
      </c>
      <c r="J73" s="29" t="str">
        <f>IFERROR(__xludf.DUMMYFUNCTION("GOOGLETRANSLATE(A73,""zh-tw"",""pt-BR"")"),"2025/1/2 Adicionadas informações da versão 0.6")</f>
        <v>2025/1/2 Adicionadas informações da versão 0.6</v>
      </c>
      <c r="K73" s="65"/>
      <c r="L73" s="65"/>
      <c r="M73" s="65"/>
      <c r="N73" s="65"/>
      <c r="O73" s="65"/>
      <c r="P73" s="65"/>
      <c r="Q73" s="65"/>
      <c r="R73" s="65"/>
      <c r="S73" s="65"/>
      <c r="T73" s="65"/>
      <c r="U73" s="65"/>
      <c r="V73" s="65"/>
      <c r="W73" s="65"/>
      <c r="X73" s="65"/>
    </row>
    <row r="74">
      <c r="A74" s="63" t="s">
        <v>177</v>
      </c>
      <c r="B74" s="63" t="str">
        <f>IFERROR(__xludf.DUMMYFUNCTION("GOOGLETRANSLATE(A74,""zh-tw"",""ja"")"),"2024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4" s="64" t="str">
        <f>IFERROR(__xludf.DUMMYFUNCTION("GOOGLETRANSLATE(A74,""zh-tw"",""en"")"),"December 25, 2024: Added new hints and corrected some text; initial map creation completed.")</f>
        <v>December 25, 2024: Added new hints and corrected some text; initial map creation completed.</v>
      </c>
      <c r="D74" s="63" t="str">
        <f>IFERROR(__xludf.DUMMYFUNCTION("GOOGLETRANSLATE(A74,""zh-tw"",""zh"")"),"2024/12/25 新增提示与部分文本修正、地图制作初步完成")</f>
        <v>2024/12/25 新增提示与部分文本修正、地图制作初步完成</v>
      </c>
      <c r="E74" s="27" t="str">
        <f>IFERROR(__xludf.DUMMYFUNCTION("GOOGLETRANSLATE(A74,""zh-tw"",""es-MX"")"),"25 de diciembre de 2024: se agregaron nuevas sugerencias y se corrigió parte del texto; se completó la creación del mapa inicial.")</f>
        <v>25 de diciembre de 2024: se agregaron nuevas sugerencias y se corrigió parte del texto; se completó la creación del mapa inicial.</v>
      </c>
      <c r="F74" s="27" t="str">
        <f>IFERROR(__xludf.DUMMYFUNCTION("GOOGLETRANSLATE(A74,""zh-tw"",""KO"")"),"2024년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G74" s="27" t="str">
        <f>IFERROR(__xludf.DUMMYFUNCTION("GOOGLETRANSLATE(A74,""zh-tw"",""RU"")"),"25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H74" s="27" t="str">
        <f>IFERROR(__xludf.DUMMYFUNCTION("GOOGLETRANSLATE(A74,""zh-tw"",""DE"")"),"25. Dezember 2024: Neue Hinweise hinzugefügt und einige Textpassagen korrigiert; Erstellung der ersten Karte abgeschlossen.")</f>
        <v>25. Dezember 2024: Neue Hinweise hinzugefügt und einige Textpassagen korrigiert; Erstellung der ersten Karte abgeschlossen.</v>
      </c>
      <c r="I74" s="67" t="s">
        <v>178</v>
      </c>
      <c r="J74" s="29" t="str">
        <f>IFERROR(__xludf.DUMMYFUNCTION("GOOGLETRANSLATE(A74,""zh-tw"",""pt-BR"")"),"25 de dezembro de 2024: Adicionadas novas dicas e corrigidos alguns textos; criação inicial do mapa concluída.")</f>
        <v>25 de dezembro de 2024: Adicionadas novas dicas e corrigidos alguns textos; criação inicial do mapa concluída.</v>
      </c>
      <c r="K74" s="65"/>
      <c r="L74" s="65"/>
      <c r="M74" s="65"/>
      <c r="N74" s="65"/>
      <c r="O74" s="65"/>
      <c r="P74" s="65"/>
      <c r="Q74" s="65"/>
      <c r="R74" s="65"/>
      <c r="S74" s="65"/>
      <c r="T74" s="65"/>
      <c r="U74" s="65"/>
      <c r="V74" s="65"/>
      <c r="W74" s="65"/>
      <c r="X74" s="65"/>
    </row>
    <row r="75">
      <c r="A75" s="63" t="s">
        <v>179</v>
      </c>
      <c r="B75" s="63" t="str">
        <f>IFERROR(__xludf.DUMMYFUNCTION("GOOGLETRANSLATE(A75,""zh-tw"",""ja"")"),"2024/12/2 0.55情報追加 - イベント")</f>
        <v>2024/12/2 0.55情報追加 - イベント</v>
      </c>
      <c r="C75" s="64" t="str">
        <f>IFERROR(__xludf.DUMMYFUNCTION("GOOGLETRANSLATE(A75,""zh-tw"",""en"")"),"2024/12/2 Added 0.55 information - event")</f>
        <v>2024/12/2 Added 0.55 information - event</v>
      </c>
      <c r="D75" s="63" t="str">
        <f>IFERROR(__xludf.DUMMYFUNCTION("GOOGLETRANSLATE(A75,""zh-tw"",""zh"")"),"2024/12/2 新增0.55资讯-事件")</f>
        <v>2024/12/2 新增0.55资讯-事件</v>
      </c>
      <c r="E75" s="27" t="str">
        <f>IFERROR(__xludf.DUMMYFUNCTION("GOOGLETRANSLATE(A75,""zh-tw"",""es-MX"")"),"2024/12/2 Se agregó 0,55 información - evento")</f>
        <v>2024/12/2 Se agregó 0,55 información - evento</v>
      </c>
      <c r="F75" s="27" t="str">
        <f>IFERROR(__xludf.DUMMYFUNCTION("GOOGLETRANSLATE(A75,""zh-tw"",""KO"")"),"2024/12/2 0.55 정보 추가 - 이벤트")</f>
        <v>2024/12/2 0.55 정보 추가 - 이벤트</v>
      </c>
      <c r="G75" s="27" t="str">
        <f>IFERROR(__xludf.DUMMYFUNCTION("GOOGLETRANSLATE(A75,""zh-tw"",""RU"")"),"2024/12/2 Добавлено 0,55 информации - событие")</f>
        <v>2024/12/2 Добавлено 0,55 информации - событие</v>
      </c>
      <c r="H75" s="27" t="str">
        <f>IFERROR(__xludf.DUMMYFUNCTION("GOOGLETRANSLATE(A75,""zh-tw"",""DE"")"),"02.12.2024: Informationen (0,55) hinzugefügt – Ereignis")</f>
        <v>02.12.2024: Informationen (0,55) hinzugefügt – Ereignis</v>
      </c>
      <c r="I75" s="67" t="s">
        <v>180</v>
      </c>
      <c r="J75" s="29" t="str">
        <f>IFERROR(__xludf.DUMMYFUNCTION("GOOGLETRANSLATE(A75,""zh-tw"",""pt-BR"")"),"02/12/2024 Adicionadas 0,55 informações - evento")</f>
        <v>02/12/2024 Adicionadas 0,55 informações - evento</v>
      </c>
      <c r="K75" s="65"/>
      <c r="L75" s="65"/>
      <c r="M75" s="65"/>
      <c r="N75" s="65"/>
      <c r="O75" s="65"/>
      <c r="P75" s="65"/>
      <c r="Q75" s="65"/>
      <c r="R75" s="65"/>
      <c r="S75" s="65"/>
      <c r="T75" s="65"/>
      <c r="U75" s="65"/>
      <c r="V75" s="65"/>
      <c r="W75" s="65"/>
      <c r="X75" s="65"/>
    </row>
    <row r="76">
      <c r="A76" s="63" t="s">
        <v>181</v>
      </c>
      <c r="B76" s="63" t="str">
        <f>IFERROR(__xludf.DUMMYFUNCTION("GOOGLETRANSLATE(A76,""zh-tw"",""ja"")"),"2024/11/29に遺跡関連マップを追加しました")</f>
        <v>2024/11/29に遺跡関連マップを追加しました</v>
      </c>
      <c r="C76" s="64" t="str">
        <f>IFERROR(__xludf.DUMMYFUNCTION("GOOGLETRANSLATE(A76,""zh-tw"",""en"")"),"Added ruin-related maps on 2024/11/29")</f>
        <v>Added ruin-related maps on 2024/11/29</v>
      </c>
      <c r="D76" s="63" t="str">
        <f>IFERROR(__xludf.DUMMYFUNCTION("GOOGLETRANSLATE(A76,""zh-tw"",""zh"")"),"2024/11/29 新增遗迹相关地图")</f>
        <v>2024/11/29 新增遗迹相关地图</v>
      </c>
      <c r="E76" s="27" t="str">
        <f>IFERROR(__xludf.DUMMYFUNCTION("GOOGLETRANSLATE(A76,""zh-tw"",""es-MX"")"),"Se agregaron mapas relacionados con las ruinas el 29/11/2024")</f>
        <v>Se agregaron mapas relacionados con las ruinas el 29/11/2024</v>
      </c>
      <c r="F76" s="27" t="str">
        <f>IFERROR(__xludf.DUMMYFUNCTION("GOOGLETRANSLATE(A76,""zh-tw"",""KO"")"),"2024/11/29에 폐허 관련 맵이 추가되었습니다.")</f>
        <v>2024/11/29에 폐허 관련 맵이 추가되었습니다.</v>
      </c>
      <c r="G76" s="27" t="str">
        <f>IFERROR(__xludf.DUMMYFUNCTION("GOOGLETRANSLATE(A76,""zh-tw"",""RU"")"),"Добавлены карты, связанные с руинами, 29.11.2024.")</f>
        <v>Добавлены карты, связанные с руинами, 29.11.2024.</v>
      </c>
      <c r="H76" s="27" t="str">
        <f>IFERROR(__xludf.DUMMYFUNCTION("GOOGLETRANSLATE(A76,""zh-tw"",""DE"")"),"Am 29.11.2024 wurden Karten mit Bezug zu Ruinen hinzugefügt.")</f>
        <v>Am 29.11.2024 wurden Karten mit Bezug zu Ruinen hinzugefügt.</v>
      </c>
      <c r="I76" s="67" t="s">
        <v>182</v>
      </c>
      <c r="J76" s="29" t="str">
        <f>IFERROR(__xludf.DUMMYFUNCTION("GOOGLETRANSLATE(A76,""zh-tw"",""pt-BR"")"),"Adicionados mapas relacionados a ruínas em 29/11/2024.")</f>
        <v>Adicionados mapas relacionados a ruínas em 29/11/2024.</v>
      </c>
      <c r="K76" s="65"/>
      <c r="L76" s="65"/>
      <c r="M76" s="65"/>
      <c r="N76" s="65"/>
      <c r="O76" s="65"/>
      <c r="P76" s="65"/>
      <c r="Q76" s="65"/>
      <c r="R76" s="65"/>
      <c r="S76" s="65"/>
      <c r="T76" s="65"/>
      <c r="U76" s="65"/>
      <c r="V76" s="65"/>
      <c r="W76" s="65"/>
      <c r="X76" s="65"/>
    </row>
    <row r="77">
      <c r="A77" s="63" t="s">
        <v>183</v>
      </c>
      <c r="B77" s="63" t="str">
        <f>IFERROR(__xludf.DUMMYFUNCTION("GOOGLETRANSLATE(A77,""zh-tw"",""ja"")"),"2024/11/24 0.5C版コンテンツ追加 - イベント、モンスター情報、ヒント")</f>
        <v>2024/11/24 0.5C版コンテンツ追加 - イベント、モンスター情報、ヒント</v>
      </c>
      <c r="C77" s="64" t="str">
        <f>IFERROR(__xludf.DUMMYFUNCTION("GOOGLETRANSLATE(A77,""zh-tw"",""en"")"),"2024/11/24 Added 0.5C version content - Events, Monster Information, Tips")</f>
        <v>2024/11/24 Added 0.5C version content - Events, Monster Information, Tips</v>
      </c>
      <c r="D77" s="63" t="str">
        <f>IFERROR(__xludf.DUMMYFUNCTION("GOOGLETRANSLATE(A77,""zh-tw"",""zh"")"),"2024/11/24 新增0.5C版本内容-事件、怪物资讯、提示")</f>
        <v>2024/11/24 新增0.5C版本内容-事件、怪物资讯、提示</v>
      </c>
      <c r="E77" s="27" t="str">
        <f>IFERROR(__xludf.DUMMYFUNCTION("GOOGLETRANSLATE(A77,""zh-tw"",""es-MX"")"),"24/11/2024 Se agregó contenido de la versión 0.5C: eventos, información de monstruos, consejos")</f>
        <v>24/11/2024 Se agregó contenido de la versión 0.5C: eventos, información de monstruos, consejos</v>
      </c>
      <c r="F77" s="27" t="str">
        <f>IFERROR(__xludf.DUMMYFUNCTION("GOOGLETRANSLATE(A77,""zh-tw"",""KO"")"),"2024/11/24 0.5C 버전 콘텐츠 추가 - 이벤트, 몬스터 정보, 팁")</f>
        <v>2024/11/24 0.5C 버전 콘텐츠 추가 - 이벤트, 몬스터 정보, 팁</v>
      </c>
      <c r="G77" s="27" t="str">
        <f>IFERROR(__xludf.DUMMYFUNCTION("GOOGLETRANSLATE(A77,""zh-tw"",""RU"")"),"24.11.2024 Добавлен контент версии 0.5C — события, информация о монстрах, советы.")</f>
        <v>24.11.2024 Добавлен контент версии 0.5C — события, информация о монстрах, советы.</v>
      </c>
      <c r="H77" s="27" t="str">
        <f>IFERROR(__xludf.DUMMYFUNCTION("GOOGLETRANSLATE(A77,""zh-tw"",""DE"")"),"24.11.2024: Inhalte der Version 0.5C hinzugefügt – Ereignisse, Monsterinformationen, Tipps")</f>
        <v>24.11.2024: Inhalte der Version 0.5C hinzugefügt – Ereignisse, Monsterinformationen, Tipps</v>
      </c>
      <c r="I77" s="67" t="s">
        <v>184</v>
      </c>
      <c r="J77" s="29" t="str">
        <f>IFERROR(__xludf.DUMMYFUNCTION("GOOGLETRANSLATE(A77,""zh-tw"",""pt-BR"")"),"24/11/2024 Adicionado conteúdo da versão 0.5C - Eventos, Informações sobre Monstros, Dicas")</f>
        <v>24/11/2024 Adicionado conteúdo da versão 0.5C - Eventos, Informações sobre Monstros, Dicas</v>
      </c>
      <c r="K77" s="65"/>
      <c r="L77" s="65"/>
      <c r="M77" s="65"/>
      <c r="N77" s="65"/>
      <c r="O77" s="65"/>
      <c r="P77" s="65"/>
      <c r="Q77" s="65"/>
      <c r="R77" s="65"/>
      <c r="S77" s="65"/>
      <c r="T77" s="65"/>
      <c r="U77" s="65"/>
      <c r="V77" s="65"/>
      <c r="W77" s="65"/>
      <c r="X77" s="65"/>
    </row>
    <row r="78">
      <c r="A78" s="63" t="s">
        <v>185</v>
      </c>
      <c r="B78" s="63" t="str">
        <f>IFERROR(__xludf.DUMMYFUNCTION("GOOGLETRANSLATE(A78,""zh-tw"",""ja"")"),"2024/11/22にバージョン0.5Bのコンテンツを追加しました - イベント/通知")</f>
        <v>2024/11/22にバージョン0.5Bのコンテンツを追加しました - イベント/通知</v>
      </c>
      <c r="C78" s="64" t="str">
        <f>IFERROR(__xludf.DUMMYFUNCTION("GOOGLETRANSLATE(A78,""zh-tw"",""en"")"),"Added version 0.5B content on 2024/11/22 - Events/Notifications")</f>
        <v>Added version 0.5B content on 2024/11/22 - Events/Notifications</v>
      </c>
      <c r="D78" s="63" t="str">
        <f>IFERROR(__xludf.DUMMYFUNCTION("GOOGLETRANSLATE(A78,""zh-tw"",""zh"")"),"2024/11/22 新增0.5B版本内容-事件/提示")</f>
        <v>2024/11/22 新增0.5B版本内容-事件/提示</v>
      </c>
      <c r="E78" s="27" t="str">
        <f>IFERROR(__xludf.DUMMYFUNCTION("GOOGLETRANSLATE(A78,""zh-tw"",""es-MX"")"),"Se agregó contenido de la versión 0.5B el 22/11/2024 - Eventos/Notificaciones")</f>
        <v>Se agregó contenido de la versión 0.5B el 22/11/2024 - Eventos/Notificaciones</v>
      </c>
      <c r="F78" s="27" t="str">
        <f>IFERROR(__xludf.DUMMYFUNCTION("GOOGLETRANSLATE(A78,""zh-tw"",""KO"")"),"2024/11/22에 버전 0.5B 콘텐츠 추가 - 이벤트/알림")</f>
        <v>2024/11/22에 버전 0.5B 콘텐츠 추가 - 이벤트/알림</v>
      </c>
      <c r="G78" s="27" t="str">
        <f>IFERROR(__xludf.DUMMYFUNCTION("GOOGLETRANSLATE(A78,""zh-tw"",""RU"")"),"Добавлен контент версии 0.5B 22.11.2024 — События/Уведомления")</f>
        <v>Добавлен контент версии 0.5B 22.11.2024 — События/Уведомления</v>
      </c>
      <c r="H78" s="27" t="str">
        <f>IFERROR(__xludf.DUMMYFUNCTION("GOOGLETRANSLATE(A78,""zh-tw"",""DE"")"),"Inhalte der Version 0.5B wurden am 22.11.2024 hinzugefügt – Ereignisse/Benachrichtigungen")</f>
        <v>Inhalte der Version 0.5B wurden am 22.11.2024 hinzugefügt – Ereignisse/Benachrichtigungen</v>
      </c>
      <c r="I78" s="67" t="s">
        <v>186</v>
      </c>
      <c r="J78" s="29" t="str">
        <f>IFERROR(__xludf.DUMMYFUNCTION("GOOGLETRANSLATE(A78,""zh-tw"",""pt-BR"")"),"Adicionado conteúdo da versão 0.5B em 22/11/2024 - Eventos/Notificações")</f>
        <v>Adicionado conteúdo da versão 0.5B em 22/11/2024 - Eventos/Notificações</v>
      </c>
      <c r="K78" s="65"/>
      <c r="L78" s="65"/>
      <c r="M78" s="65"/>
      <c r="N78" s="65"/>
      <c r="O78" s="65"/>
      <c r="P78" s="65"/>
      <c r="Q78" s="65"/>
      <c r="R78" s="65"/>
      <c r="S78" s="65"/>
      <c r="T78" s="65"/>
      <c r="U78" s="65"/>
      <c r="V78" s="65"/>
      <c r="W78" s="65"/>
      <c r="X78" s="65"/>
    </row>
    <row r="79">
      <c r="A79" s="63" t="s">
        <v>187</v>
      </c>
      <c r="B79" s="63" t="str">
        <f>IFERROR(__xludf.DUMMYFUNCTION("GOOGLETRANSLATE(A79,""zh-tw"",""ja"")"),"2024/11/21にMAPファイルを追加しました")</f>
        <v>2024/11/21にMAPファイルを追加しました</v>
      </c>
      <c r="C79" s="64" t="str">
        <f>IFERROR(__xludf.DUMMYFUNCTION("GOOGLETRANSLATE(A79,""zh-tw"",""en"")"),"Added MAP file on 2024/11/21")</f>
        <v>Added MAP file on 2024/11/21</v>
      </c>
      <c r="D79" s="63" t="s">
        <v>188</v>
      </c>
      <c r="E79" s="27" t="str">
        <f>IFERROR(__xludf.DUMMYFUNCTION("GOOGLETRANSLATE(A79,""zh-tw"",""es-MX"")"),"Se agregó el archivo MAP el 21/11/2024")</f>
        <v>Se agregó el archivo MAP el 21/11/2024</v>
      </c>
      <c r="F79" s="27" t="str">
        <f>IFERROR(__xludf.DUMMYFUNCTION("GOOGLETRANSLATE(A79,""zh-tw"",""KO"")"),"2024/11/21에 MAP 파일 추가됨")</f>
        <v>2024/11/21에 MAP 파일 추가됨</v>
      </c>
      <c r="G79" s="27" t="str">
        <f>IFERROR(__xludf.DUMMYFUNCTION("GOOGLETRANSLATE(A79,""zh-tw"",""RU"")"),"Добавлен файл MAP 21.11.2024")</f>
        <v>Добавлен файл MAP 21.11.2024</v>
      </c>
      <c r="H79" s="27" t="str">
        <f>IFERROR(__xludf.DUMMYFUNCTION("GOOGLETRANSLATE(A79,""zh-tw"",""DE"")"),"MAP-Datei hinzugefügt am 21.11.2024")</f>
        <v>MAP-Datei hinzugefügt am 21.11.2024</v>
      </c>
      <c r="I79" s="67" t="s">
        <v>189</v>
      </c>
      <c r="J79" s="29" t="str">
        <f>IFERROR(__xludf.DUMMYFUNCTION("GOOGLETRANSLATE(A79,""zh-tw"",""pt-BR"")"),"Arquivo MAP adicionado em 21/11/2024")</f>
        <v>Arquivo MAP adicionado em 21/11/2024</v>
      </c>
      <c r="K79" s="65"/>
      <c r="L79" s="65"/>
      <c r="M79" s="65"/>
      <c r="N79" s="65"/>
      <c r="O79" s="65"/>
      <c r="P79" s="65"/>
      <c r="Q79" s="65"/>
      <c r="R79" s="65"/>
      <c r="S79" s="65"/>
      <c r="T79" s="65"/>
      <c r="U79" s="65"/>
      <c r="V79" s="65"/>
      <c r="W79" s="65"/>
      <c r="X79" s="65"/>
    </row>
    <row r="80">
      <c r="A80" s="63" t="s">
        <v>190</v>
      </c>
      <c r="B80" s="63" t="str">
        <f>IFERROR(__xludf.DUMMYFUNCTION("GOOGLETRANSLATE(A80,""zh-tw"",""ja"")"),"2024/11/20 バージョン0.5Aのコンテンツを追加しました - イベント/プロンプト")</f>
        <v>2024/11/20 バージョン0.5Aのコンテンツを追加しました - イベント/プロンプト</v>
      </c>
      <c r="C80" s="64" t="str">
        <f>IFERROR(__xludf.DUMMYFUNCTION("GOOGLETRANSLATE(A80,""zh-tw"",""en"")"),"2024/11/20 Added version 0.5A content - Events/Prompts")</f>
        <v>2024/11/20 Added version 0.5A content - Events/Prompts</v>
      </c>
      <c r="D80" s="63" t="str">
        <f>IFERROR(__xludf.DUMMYFUNCTION("GOOGLETRANSLATE(A80,""zh-tw"",""zh"")"),"2024/11/20 新增0.5A版本内容-事件/提示")</f>
        <v>2024/11/20 新增0.5A版本内容-事件/提示</v>
      </c>
      <c r="E80" s="27" t="str">
        <f>IFERROR(__xludf.DUMMYFUNCTION("GOOGLETRANSLATE(A80,""zh-tw"",""es-MX"")"),"20/11/2024 Se agregó contenido de la versión 0.5A: Eventos/Indicaciones")</f>
        <v>20/11/2024 Se agregó contenido de la versión 0.5A: Eventos/Indicaciones</v>
      </c>
      <c r="F80" s="27" t="str">
        <f>IFERROR(__xludf.DUMMYFUNCTION("GOOGLETRANSLATE(A80,""zh-tw"",""KO"")"),"2024/11/20 버전 0.5A 콘텐츠 추가 - 이벤트/프롬프트")</f>
        <v>2024/11/20 버전 0.5A 콘텐츠 추가 - 이벤트/프롬프트</v>
      </c>
      <c r="G80" s="27" t="str">
        <f>IFERROR(__xludf.DUMMYFUNCTION("GOOGLETRANSLATE(A80,""zh-tw"",""RU"")"),"2024/11/20 Добавлен контент версии 0.5A — События/Подсказки")</f>
        <v>2024/11/20 Добавлен контент версии 0.5A — События/Подсказки</v>
      </c>
      <c r="H80" s="27" t="str">
        <f>IFERROR(__xludf.DUMMYFUNCTION("GOOGLETRANSLATE(A80,""zh-tw"",""DE"")"),"20.11.2024: Inhalt der Version 0.5A hinzugefügt – Ereignisse/Aufforderungen")</f>
        <v>20.11.2024: Inhalt der Version 0.5A hinzugefügt – Ereignisse/Aufforderungen</v>
      </c>
      <c r="I80" s="67" t="s">
        <v>191</v>
      </c>
      <c r="J80" s="29" t="str">
        <f>IFERROR(__xludf.DUMMYFUNCTION("GOOGLETRANSLATE(A80,""zh-tw"",""pt-BR"")"),"20/11/2024 Adicionado conteúdo da versão 0.5A - Eventos/Sugestões")</f>
        <v>20/11/2024 Adicionado conteúdo da versão 0.5A - Eventos/Sugestões</v>
      </c>
      <c r="K80" s="65"/>
      <c r="L80" s="65"/>
      <c r="M80" s="65"/>
      <c r="N80" s="65"/>
      <c r="O80" s="65"/>
      <c r="P80" s="65"/>
      <c r="Q80" s="65"/>
      <c r="R80" s="65"/>
      <c r="S80" s="65"/>
      <c r="T80" s="65"/>
      <c r="U80" s="65"/>
      <c r="V80" s="65"/>
      <c r="W80" s="65"/>
      <c r="X80" s="65"/>
    </row>
    <row r="81">
      <c r="A81" s="63" t="s">
        <v>192</v>
      </c>
      <c r="B81" s="63" t="str">
        <f>IFERROR(__xludf.DUMMYFUNCTION("GOOGLETRANSLATE(A81,""zh-tw"",""ja"")"),"2024年11月2日にバハムートの個人作品から転載：https://home.gamer.com.tw/artwork.php?sn=6032493")</f>
        <v>2024年11月2日にバハムートの個人作品から転載：https://home.gamer.com.tw/artwork.php?sn=6032493</v>
      </c>
      <c r="C81" s="64" t="str">
        <f>IFERROR(__xludf.DUMMYFUNCTION("GOOGLETRANSLATE(A81,""zh-tw"",""en"")"),"Reposted from Bahamut's personal creations on November 2, 2024: https://home.gamer.com.tw/artwork.php?sn=6032493")</f>
        <v>Reposted from Bahamut's personal creations on November 2, 2024: https://home.gamer.com.tw/artwork.php?sn=6032493</v>
      </c>
      <c r="D81" s="63" t="str">
        <f>IFERROR(__xludf.DUMMYFUNCTION("GOOGLETRANSLATE(A81,""zh-tw"",""zh"")"),"2024/11/2 转载至巴哈姆特个人创作https://home.gamer.com.tw/artwork.php?sn=6032493")</f>
        <v>2024/11/2 转载至巴哈姆特个人创作https://home.gamer.com.tw/artwork.php?sn=6032493</v>
      </c>
      <c r="E81" s="27" t="str">
        <f>IFERROR(__xludf.DUMMYFUNCTION("GOOGLETRANSLATE(A81,""zh-tw"",""es-MX"")"),"Re-publicado desde las creaciones personales de Bahamut el 2 de noviembre de 2024: https://home.gamer.com.tw/artwork.php?sn=6032493")</f>
        <v>Re-publicado desde las creaciones personales de Bahamut el 2 de noviembre de 2024: https://home.gamer.com.tw/artwork.php?sn=6032493</v>
      </c>
      <c r="F81" s="27" t="str">
        <f>IFERROR(__xludf.DUMMYFUNCTION("GOOGLETRANSLATE(A81,""zh-tw"",""KO"")"),"2024년 11월 2일에 Bahamut의 개인 창작물에서 다시 게시됨: https://home.gamer.com.tw/artwork.php?sn=6032493")</f>
        <v>2024년 11월 2일에 Bahamut의 개인 창작물에서 다시 게시됨: https://home.gamer.com.tw/artwork.php?sn=6032493</v>
      </c>
      <c r="G81" s="27" t="str">
        <f>IFERROR(__xludf.DUMMYFUNCTION("GOOGLETRANSLATE(A81,""zh-tw"",""RU"")"),"Переопубликовано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H81" s="27" t="str">
        <f>IFERROR(__xludf.DUMMYFUNCTION("GOOGLETRANSLATE(A81,""zh-tw"",""DE"")"),"Neu veröffentlicht von Bahamuts persönlichen Kreationen am 2. November 2024: https://home.gamer.com.tw/artwork.php?sn=6032493")</f>
        <v>Neu veröffentlicht von Bahamuts persönlichen Kreationen am 2. November 2024: https://home.gamer.com.tw/artwork.php?sn=6032493</v>
      </c>
      <c r="I81" s="67" t="s">
        <v>193</v>
      </c>
      <c r="J81" s="29" t="str">
        <f>IFERROR(__xludf.DUMMYFUNCTION("GOOGLETRANSLATE(A81,""zh-tw"",""pt-BR"")"),"Republicado das criações pessoais de Bahamut em 2 de novembro de 2024: https://home.gamer.com.tw/artwork.php?sn=6032493")</f>
        <v>Republicado das criações pessoais de Bahamut em 2 de novembro de 2024: https://home.gamer.com.tw/artwork.php?sn=6032493</v>
      </c>
      <c r="K81" s="65"/>
      <c r="L81" s="65"/>
      <c r="M81" s="65"/>
      <c r="N81" s="65"/>
      <c r="O81" s="65"/>
      <c r="P81" s="65"/>
      <c r="Q81" s="65"/>
      <c r="R81" s="65"/>
      <c r="S81" s="65"/>
      <c r="T81" s="65"/>
      <c r="U81" s="65"/>
      <c r="V81" s="65"/>
      <c r="W81" s="65"/>
      <c r="X81" s="65"/>
    </row>
    <row r="82">
      <c r="A82" s="63" t="s">
        <v>194</v>
      </c>
      <c r="B82" s="63" t="str">
        <f>IFERROR(__xludf.DUMMYFUNCTION("GOOGLETRANSLATE(A82,""zh-tw"",""ja"")"),"2024年11月2日：バージョン0.45のコンテンツを追加 - イベント/通知")</f>
        <v>2024年11月2日：バージョン0.45のコンテンツを追加 - イベント/通知</v>
      </c>
      <c r="C82" s="64" t="str">
        <f>IFERROR(__xludf.DUMMYFUNCTION("GOOGLETRANSLATE(A82,""zh-tw"",""en"")"),"November 2, 2024: Added version 0.45 content - Events/Notifications")</f>
        <v>November 2, 2024: Added version 0.45 content - Events/Notifications</v>
      </c>
      <c r="D82" s="63" t="str">
        <f>IFERROR(__xludf.DUMMYFUNCTION("GOOGLETRANSLATE(A82,""zh-tw"",""zh"")"),"2024/11/2 新增0.45版本内容-事件/提示")</f>
        <v>2024/11/2 新增0.45版本内容-事件/提示</v>
      </c>
      <c r="E82" s="27" t="str">
        <f>IFERROR(__xludf.DUMMYFUNCTION("GOOGLETRANSLATE(A82,""zh-tw"",""es-MX"")"),"2 de noviembre de 2024: Se agregó contenido de la versión 0.45: Eventos/Notificaciones")</f>
        <v>2 de noviembre de 2024: Se agregó contenido de la versión 0.45: Eventos/Notificaciones</v>
      </c>
      <c r="F82" s="27" t="str">
        <f>IFERROR(__xludf.DUMMYFUNCTION("GOOGLETRANSLATE(A82,""zh-tw"",""KO"")"),"2024년 11월 2일: 버전 0.45 콘텐츠 추가 - 이벤트/알림")</f>
        <v>2024년 11월 2일: 버전 0.45 콘텐츠 추가 - 이벤트/알림</v>
      </c>
      <c r="G82" s="27" t="str">
        <f>IFERROR(__xludf.DUMMYFUNCTION("GOOGLETRANSLATE(A82,""zh-tw"",""RU"")"),"2 ноября 2024 г.: добавлен контент версии 0.45 — События/Уведомления.")</f>
        <v>2 ноября 2024 г.: добавлен контент версии 0.45 — События/Уведомления.</v>
      </c>
      <c r="H82" s="27" t="str">
        <f>IFERROR(__xludf.DUMMYFUNCTION("GOOGLETRANSLATE(A82,""zh-tw"",""DE"")"),"2. November 2024: Inhalt der Version 0.45 hinzugefügt – Ereignisse/Benachrichtigungen")</f>
        <v>2. November 2024: Inhalt der Version 0.45 hinzugefügt – Ereignisse/Benachrichtigungen</v>
      </c>
      <c r="I82" s="67" t="s">
        <v>195</v>
      </c>
      <c r="J82" s="29" t="str">
        <f>IFERROR(__xludf.DUMMYFUNCTION("GOOGLETRANSLATE(A82,""zh-tw"",""pt-BR"")"),"2 de novembro de 2024: Adicionado conteúdo da versão 0.45 - Eventos/Notificações")</f>
        <v>2 de novembro de 2024: Adicionado conteúdo da versão 0.45 - Eventos/Notificações</v>
      </c>
      <c r="K82" s="65"/>
      <c r="L82" s="65"/>
      <c r="M82" s="65"/>
      <c r="N82" s="65"/>
      <c r="O82" s="65"/>
      <c r="P82" s="65"/>
      <c r="Q82" s="65"/>
      <c r="R82" s="65"/>
      <c r="S82" s="65"/>
      <c r="T82" s="65"/>
      <c r="U82" s="65"/>
      <c r="V82" s="65"/>
      <c r="W82" s="65"/>
      <c r="X82" s="65"/>
    </row>
    <row r="83">
      <c r="A83" s="63" t="s">
        <v>196</v>
      </c>
      <c r="B83" s="63" t="str">
        <f>IFERROR(__xludf.DUMMYFUNCTION("GOOGLETRANSLATE(A83,""zh-tw"",""ja"")"),"専用グラフィックカードの追加手順（2024/10/31）")</f>
        <v>専用グラフィックカードの追加手順（2024/10/31）</v>
      </c>
      <c r="C83" s="64" t="str">
        <f>IFERROR(__xludf.DUMMYFUNCTION("GOOGLETRANSLATE(A83,""zh-tw"",""en"")"),"Instructions for adding a dedicated graphics card (2024/10/31)")</f>
        <v>Instructions for adding a dedicated graphics card (2024/10/31)</v>
      </c>
      <c r="D83" s="63" t="str">
        <f>IFERROR(__xludf.DUMMYFUNCTION("GOOGLETRANSLATE(A83,""zh-tw"",""zh"")"),"2024/10/31 新增独立显卡操作说明")</f>
        <v>2024/10/31 新增独立显卡操作说明</v>
      </c>
      <c r="E83" s="27" t="str">
        <f>IFERROR(__xludf.DUMMYFUNCTION("GOOGLETRANSLATE(A83,""zh-tw"",""es-MX"")"),"Instrucciones para agregar una tarjeta gráfica dedicada (31/10/2024)")</f>
        <v>Instrucciones para agregar una tarjeta gráfica dedicada (31/10/2024)</v>
      </c>
      <c r="F83" s="27" t="str">
        <f>IFERROR(__xludf.DUMMYFUNCTION("GOOGLETRANSLATE(A83,""zh-tw"",""KO"")"),"전용 그래픽 카드 추가 방법 (2024/10/31)")</f>
        <v>전용 그래픽 카드 추가 방법 (2024/10/31)</v>
      </c>
      <c r="G83" s="27" t="str">
        <f>IFERROR(__xludf.DUMMYFUNCTION("GOOGLETRANSLATE(A83,""zh-tw"",""RU"")"),"Инструкция по добавлению дискретной видеокарты (31.10.2024)")</f>
        <v>Инструкция по добавлению дискретной видеокарты (31.10.2024)</v>
      </c>
      <c r="H83" s="27" t="str">
        <f>IFERROR(__xludf.DUMMYFUNCTION("GOOGLETRANSLATE(A83,""zh-tw"",""DE"")"),"Anleitung zum Hinzufügen einer dedizierten Grafikkarte (31.10.2024)")</f>
        <v>Anleitung zum Hinzufügen einer dedizierten Grafikkarte (31.10.2024)</v>
      </c>
      <c r="I83" s="67" t="s">
        <v>197</v>
      </c>
      <c r="J83" s="29" t="str">
        <f>IFERROR(__xludf.DUMMYFUNCTION("GOOGLETRANSLATE(A83,""zh-tw"",""pt-BR"")"),"Instruções para adicionar uma placa gráfica dedicada (31/10/2024)")</f>
        <v>Instruções para adicionar uma placa gráfica dedicada (31/10/2024)</v>
      </c>
      <c r="K83" s="65"/>
      <c r="L83" s="65"/>
      <c r="M83" s="65"/>
      <c r="N83" s="65"/>
      <c r="O83" s="65"/>
      <c r="P83" s="65"/>
      <c r="Q83" s="65"/>
      <c r="R83" s="65"/>
      <c r="S83" s="65"/>
      <c r="T83" s="65"/>
      <c r="U83" s="65"/>
      <c r="V83" s="65"/>
      <c r="W83" s="65"/>
      <c r="X83" s="65"/>
    </row>
    <row r="84">
      <c r="A84" s="63" t="s">
        <v>198</v>
      </c>
      <c r="B84" s="63" t="str">
        <f>IFERROR(__xludf.DUMMYFUNCTION("GOOGLETRANSLATE(A84,""zh-tw"",""ja"")"),"2024/10/28にお知らせ内容を追加しました")</f>
        <v>2024/10/28にお知らせ内容を追加しました</v>
      </c>
      <c r="C84" s="64" t="str">
        <f>IFERROR(__xludf.DUMMYFUNCTION("GOOGLETRANSLATE(A84,""zh-tw"",""en"")"),"Added some announcement content on 2024/10/28")</f>
        <v>Added some announcement content on 2024/10/28</v>
      </c>
      <c r="D84" s="63" t="str">
        <f>IFERROR(__xludf.DUMMYFUNCTION("GOOGLETRANSLATE(A84,""zh-tw"",""zh"")"),"2024/10/28 新增部分公告内容")</f>
        <v>2024/10/28 新增部分公告内容</v>
      </c>
      <c r="E84" s="27" t="str">
        <f>IFERROR(__xludf.DUMMYFUNCTION("GOOGLETRANSLATE(A84,""zh-tw"",""es-MX"")"),"Se agregó contenido de anuncio el 28/10/2024")</f>
        <v>Se agregó contenido de anuncio el 28/10/2024</v>
      </c>
      <c r="F84" s="27" t="str">
        <f>IFERROR(__xludf.DUMMYFUNCTION("GOOGLETRANSLATE(A84,""zh-tw"",""KO"")"),"2024/10/28에 일부 공지 내용을 추가했습니다.")</f>
        <v>2024/10/28에 일부 공지 내용을 추가했습니다.</v>
      </c>
      <c r="G84" s="27" t="str">
        <f>IFERROR(__xludf.DUMMYFUNCTION("GOOGLETRANSLATE(A84,""zh-tw"",""RU"")"),"Добавлены некоторые анонсы от 28.10.2024")</f>
        <v>Добавлены некоторые анонсы от 28.10.2024</v>
      </c>
      <c r="H84" s="27" t="str">
        <f>IFERROR(__xludf.DUMMYFUNCTION("GOOGLETRANSLATE(A84,""zh-tw"",""DE"")"),"Am 28.10.2024 wurden einige Ankündigungsinhalte hinzugefügt.")</f>
        <v>Am 28.10.2024 wurden einige Ankündigungsinhalte hinzugefügt.</v>
      </c>
      <c r="I84" s="67" t="s">
        <v>199</v>
      </c>
      <c r="J84" s="29" t="str">
        <f>IFERROR(__xludf.DUMMYFUNCTION("GOOGLETRANSLATE(A84,""zh-tw"",""pt-BR"")"),"Adicionado conteúdo de anúncio em 28/10/2024.")</f>
        <v>Adicionado conteúdo de anúncio em 28/10/2024.</v>
      </c>
      <c r="K84" s="65"/>
      <c r="L84" s="65"/>
      <c r="M84" s="65"/>
      <c r="N84" s="65"/>
      <c r="O84" s="65"/>
      <c r="P84" s="65"/>
      <c r="Q84" s="65"/>
      <c r="R84" s="65"/>
      <c r="S84" s="65"/>
      <c r="T84" s="65"/>
      <c r="U84" s="65"/>
      <c r="V84" s="65"/>
      <c r="W84" s="65"/>
      <c r="X84" s="65"/>
    </row>
    <row r="85">
      <c r="A85" s="63" t="s">
        <v>200</v>
      </c>
      <c r="B85" s="63" t="str">
        <f>IFERROR(__xludf.DUMMYFUNCTION("GOOGLETRANSLATE(A85,""zh-tw"",""ja"")"),"2024年10月24日: 0.4Cバージョンコンテンツの追加 - イベント/ワールドドロップ/アーマー")</f>
        <v>2024年10月24日: 0.4Cバージョンコンテンツの追加 - イベント/ワールドドロップ/アーマー</v>
      </c>
      <c r="C85" s="64" t="str">
        <f>IFERROR(__xludf.DUMMYFUNCTION("GOOGLETRANSLATE(A85,""zh-tw"",""en"")"),"October 24, 2024: Added 0.4C version content - Events/World Drops/Armor")</f>
        <v>October 24, 2024: Added 0.4C version content - Events/World Drops/Armor</v>
      </c>
      <c r="D85" s="63" t="str">
        <f>IFERROR(__xludf.DUMMYFUNCTION("GOOGLETRANSLATE(A85,""zh-tw"",""zh"")"),"2024/10/24 新增0.4C版本内容-事件/野外掉落/装甲")</f>
        <v>2024/10/24 新增0.4C版本内容-事件/野外掉落/装甲</v>
      </c>
      <c r="E85" s="27" t="str">
        <f>IFERROR(__xludf.DUMMYFUNCTION("GOOGLETRANSLATE(A85,""zh-tw"",""es-MX"")"),"24 de octubre de 2024: Se agregó contenido de la versión 0.4C: Eventos/Objetos mundiales/Armadura")</f>
        <v>24 de octubre de 2024: Se agregó contenido de la versión 0.4C: Eventos/Objetos mundiales/Armadura</v>
      </c>
      <c r="F85" s="27" t="str">
        <f>IFERROR(__xludf.DUMMYFUNCTION("GOOGLETRANSLATE(A85,""zh-tw"",""KO"")"),"2024년 10월 24일: 0.4C 버전 콘텐츠 추가 - 이벤트/월드 드랍/방어구")</f>
        <v>2024년 10월 24일: 0.4C 버전 콘텐츠 추가 - 이벤트/월드 드랍/방어구</v>
      </c>
      <c r="G85" s="27" t="str">
        <f>IFERROR(__xludf.DUMMYFUNCTION("GOOGLETRANSLATE(A85,""zh-tw"",""RU"")"),"24 октября 2024 г.: добавлен контент версии 0.4C — события/добыча в мире/броня.")</f>
        <v>24 октября 2024 г.: добавлен контент версии 0.4C — события/добыча в мире/броня.</v>
      </c>
      <c r="H85" s="27" t="str">
        <f>IFERROR(__xludf.DUMMYFUNCTION("GOOGLETRANSLATE(A85,""zh-tw"",""DE"")"),"24. Oktober 2024: Inhalte der Version 0.4C hinzugefügt – Events/Weltbeute/Rüstungen")</f>
        <v>24. Oktober 2024: Inhalte der Version 0.4C hinzugefügt – Events/Weltbeute/Rüstungen</v>
      </c>
      <c r="I85" s="67" t="s">
        <v>201</v>
      </c>
      <c r="J85" s="29" t="str">
        <f>IFERROR(__xludf.DUMMYFUNCTION("GOOGLETRANSLATE(A85,""zh-tw"",""pt-BR"")"),"24 de outubro de 2024: Adicionado conteúdo da versão 0.4C - Eventos/Itens Recompensados ​​pelo Mundo/Armaduras")</f>
        <v>24 de outubro de 2024: Adicionado conteúdo da versão 0.4C - Eventos/Itens Recompensados ​​pelo Mundo/Armaduras</v>
      </c>
      <c r="K85" s="65"/>
      <c r="L85" s="65"/>
      <c r="M85" s="65"/>
      <c r="N85" s="65"/>
      <c r="O85" s="65"/>
      <c r="P85" s="65"/>
      <c r="Q85" s="65"/>
      <c r="R85" s="65"/>
      <c r="S85" s="65"/>
      <c r="T85" s="65"/>
      <c r="U85" s="65"/>
      <c r="V85" s="65"/>
      <c r="W85" s="65"/>
      <c r="X85" s="65"/>
    </row>
    <row r="86">
      <c r="A86" s="63" t="s">
        <v>202</v>
      </c>
      <c r="B86" s="63" t="str">
        <f>IFERROR(__xludf.DUMMYFUNCTION("GOOGLETRANSLATE(A86,""zh-tw"",""ja"")"),"2024年10月21日：バージョン0.4Aコンテンツ（ドロップ/装備/ヒント）を追加")</f>
        <v>2024年10月21日：バージョン0.4Aコンテンツ（ドロップ/装備/ヒント）を追加</v>
      </c>
      <c r="C86" s="64" t="str">
        <f>IFERROR(__xludf.DUMMYFUNCTION("GOOGLETRANSLATE(A86,""zh-tw"",""en"")"),"October 21, 2024: Added version 0.4A content (Drop/Equip/Tips)")</f>
        <v>October 21, 2024: Added version 0.4A content (Drop/Equip/Tips)</v>
      </c>
      <c r="D86" s="63" t="str">
        <f>IFERROR(__xludf.DUMMYFUNCTION("GOOGLETRANSLATE(A86,""zh-tw"",""zh"")"),"2024/10/21 新增0.4A版本内容(Drop/Equip/Tips)")</f>
        <v>2024/10/21 新增0.4A版本内容(Drop/Equip/Tips)</v>
      </c>
      <c r="E86" s="27" t="str">
        <f>IFERROR(__xludf.DUMMYFUNCTION("GOOGLETRANSLATE(A86,""zh-tw"",""es-MX"")"),"21 de octubre de 2024: Se agregó contenido de la versión 0.4A (Obtención/Equipamiento/Consejos).")</f>
        <v>21 de octubre de 2024: Se agregó contenido de la versión 0.4A (Obtención/Equipamiento/Consejos).</v>
      </c>
      <c r="F86" s="27" t="str">
        <f>IFERROR(__xludf.DUMMYFUNCTION("GOOGLETRANSLATE(A86,""zh-tw"",""KO"")"),"2024년 10월 21일: 버전 0.4A 콘텐츠 추가(드랍/장비/팁)")</f>
        <v>2024년 10월 21일: 버전 0.4A 콘텐츠 추가(드랍/장비/팁)</v>
      </c>
      <c r="G86" s="27" t="str">
        <f>IFERROR(__xludf.DUMMYFUNCTION("GOOGLETRANSLATE(A86,""zh-tw"",""RU"")"),"21 октября 2024 г.: добавлен контент версии 0.4A (выброс/экипировка/советы).")</f>
        <v>21 октября 2024 г.: добавлен контент версии 0.4A (выброс/экипировка/советы).</v>
      </c>
      <c r="H86" s="27" t="str">
        <f>IFERROR(__xludf.DUMMYFUNCTION("GOOGLETRANSLATE(A86,""zh-tw"",""DE"")"),"21. Oktober 2024: Inhalt der Version 0.4A hinzugefügt (Beute/Ausrüstung/Tipps)")</f>
        <v>21. Oktober 2024: Inhalt der Version 0.4A hinzugefügt (Beute/Ausrüstung/Tipps)</v>
      </c>
      <c r="I86" s="67" t="s">
        <v>203</v>
      </c>
      <c r="J86" s="29" t="str">
        <f>IFERROR(__xludf.DUMMYFUNCTION("GOOGLETRANSLATE(A86,""zh-tw"",""pt-BR"")"),"21 de outubro de 2024: Adicionado conteúdo da versão 0.4A (Obter/Equipar/Dicas)")</f>
        <v>21 de outubro de 2024: Adicionado conteúdo da versão 0.4A (Obter/Equipar/Dicas)</v>
      </c>
      <c r="K86" s="65"/>
      <c r="L86" s="65"/>
      <c r="M86" s="65"/>
      <c r="N86" s="65"/>
      <c r="O86" s="65"/>
      <c r="P86" s="65"/>
      <c r="Q86" s="65"/>
      <c r="R86" s="65"/>
      <c r="S86" s="65"/>
      <c r="T86" s="65"/>
      <c r="U86" s="65"/>
      <c r="V86" s="65"/>
      <c r="W86" s="65"/>
      <c r="X86" s="65"/>
    </row>
    <row r="87">
      <c r="A87" s="63" t="s">
        <v>204</v>
      </c>
      <c r="B87" s="63" t="str">
        <f>IFERROR(__xludf.DUMMYFUNCTION("GOOGLETRANSLATE(A87,""zh-tw"",""ja"")"),"2024/10/15にマップとイベント番号表を追加しました")</f>
        <v>2024/10/15にマップとイベント番号表を追加しました</v>
      </c>
      <c r="C87" s="64" t="str">
        <f>IFERROR(__xludf.DUMMYFUNCTION("GOOGLETRANSLATE(A87,""zh-tw"",""en"")"),"Added map and event number table on 2024/10/15")</f>
        <v>Added map and event number table on 2024/10/15</v>
      </c>
      <c r="D87" s="63" t="str">
        <f>IFERROR(__xludf.DUMMYFUNCTION("GOOGLETRANSLATE(A87,""zh-tw"",""zh"")"),"2024/10/15新增地图、事件编号表")</f>
        <v>2024/10/15新增地图、事件编号表</v>
      </c>
      <c r="E87" s="27" t="str">
        <f>IFERROR(__xludf.DUMMYFUNCTION("GOOGLETRANSLATE(A87,""zh-tw"",""es-MX"")"),"Se agregó mapa y tabla de números de eventos el 15/10/2024")</f>
        <v>Se agregó mapa y tabla de números de eventos el 15/10/2024</v>
      </c>
      <c r="F87" s="27" t="str">
        <f>IFERROR(__xludf.DUMMYFUNCTION("GOOGLETRANSLATE(A87,""zh-tw"",""KO"")"),"2024/10/15에 지도와 이벤트 번호표가 추가되었습니다.")</f>
        <v>2024/10/15에 지도와 이벤트 번호표가 추가되었습니다.</v>
      </c>
      <c r="G87" s="27" t="str">
        <f>IFERROR(__xludf.DUMMYFUNCTION("GOOGLETRANSLATE(A87,""zh-tw"",""RU"")"),"Добавлена ​​карта и таблица номеров событий на 15.10.2024")</f>
        <v>Добавлена ​​карта и таблица номеров событий на 15.10.2024</v>
      </c>
      <c r="H87" s="27" t="str">
        <f>IFERROR(__xludf.DUMMYFUNCTION("GOOGLETRANSLATE(A87,""zh-tw"",""DE"")"),"Karte und Ereignisnummerntabelle hinzugefügt am 15.10.2024")</f>
        <v>Karte und Ereignisnummerntabelle hinzugefügt am 15.10.2024</v>
      </c>
      <c r="I87" s="67" t="s">
        <v>205</v>
      </c>
      <c r="J87" s="29" t="str">
        <f>IFERROR(__xludf.DUMMYFUNCTION("GOOGLETRANSLATE(A87,""zh-tw"",""pt-BR"")"),"Adicionado mapa e tabela de números de eventos em 15/10/2024.")</f>
        <v>Adicionado mapa e tabela de números de eventos em 15/10/2024.</v>
      </c>
      <c r="K87" s="65"/>
      <c r="L87" s="65"/>
      <c r="M87" s="65"/>
      <c r="N87" s="65"/>
      <c r="O87" s="65"/>
      <c r="P87" s="65"/>
      <c r="Q87" s="65"/>
      <c r="R87" s="65"/>
      <c r="S87" s="65"/>
      <c r="T87" s="65"/>
      <c r="U87" s="65"/>
      <c r="V87" s="65"/>
      <c r="W87" s="65"/>
      <c r="X87" s="65"/>
    </row>
    <row r="88">
      <c r="A88" s="63" t="s">
        <v>206</v>
      </c>
      <c r="B88" s="63" t="str">
        <f>IFERROR(__xludf.DUMMYFUNCTION("GOOGLETRANSLATE(A88,""zh-tw"",""ja"")"),"2024/10/15にいくつかのイベントと新しいイベント番号を追加しました。")</f>
        <v>2024/10/15にいくつかのイベントと新しいイベント番号を追加しました。</v>
      </c>
      <c r="C88" s="64" t="str">
        <f>IFERROR(__xludf.DUMMYFUNCTION("GOOGLETRANSLATE(A88,""zh-tw"",""en"")"),"Added some events and new event numbers on 2024/10/15.")</f>
        <v>Added some events and new event numbers on 2024/10/15.</v>
      </c>
      <c r="D88" s="63" t="str">
        <f>IFERROR(__xludf.DUMMYFUNCTION("GOOGLETRANSLATE(A88,""zh-tw"",""zh"")"),"2024/10/15新增部分事件、新增事件NO.")</f>
        <v>2024/10/15新增部分事件、新增事件NO.</v>
      </c>
      <c r="E88" s="27" t="str">
        <f>IFERROR(__xludf.DUMMYFUNCTION("GOOGLETRANSLATE(A88,""zh-tw"",""es-MX"")"),"Se agregaron algunos eventos y nuevos números de eventos el 15/10/2024.")</f>
        <v>Se agregaron algunos eventos y nuevos números de eventos el 15/10/2024.</v>
      </c>
      <c r="F88" s="27" t="str">
        <f>IFERROR(__xludf.DUMMYFUNCTION("GOOGLETRANSLATE(A88,""zh-tw"",""KO"")"),"2024년 10월 15일에 몇 가지 이벤트와 새로운 이벤트 번호가 추가되었습니다.")</f>
        <v>2024년 10월 15일에 몇 가지 이벤트와 새로운 이벤트 번호가 추가되었습니다.</v>
      </c>
      <c r="G88" s="27" t="str">
        <f>IFERROR(__xludf.DUMMYFUNCTION("GOOGLETRANSLATE(A88,""zh-tw"",""RU"")"),"Добавлены некоторые события и новые номера событий на 15.10.2024.")</f>
        <v>Добавлены некоторые события и новые номера событий на 15.10.2024.</v>
      </c>
      <c r="H88" s="27" t="str">
        <f>IFERROR(__xludf.DUMMYFUNCTION("GOOGLETRANSLATE(A88,""zh-tw"",""DE"")"),"Am 15.10.2024 wurden einige Veranstaltungen und neue Veranstaltungsnummern hinzugefügt.")</f>
        <v>Am 15.10.2024 wurden einige Veranstaltungen und neue Veranstaltungsnummern hinzugefügt.</v>
      </c>
      <c r="I88" s="67" t="s">
        <v>207</v>
      </c>
      <c r="J88" s="29" t="str">
        <f>IFERROR(__xludf.DUMMYFUNCTION("GOOGLETRANSLATE(A88,""zh-tw"",""pt-BR"")"),"Adicionados alguns eventos e novos números de eventos em 15/10/2024.")</f>
        <v>Adicionados alguns eventos e novos números de eventos em 15/10/2024.</v>
      </c>
      <c r="K88" s="65"/>
      <c r="L88" s="65"/>
      <c r="M88" s="65"/>
      <c r="N88" s="65"/>
      <c r="O88" s="65"/>
      <c r="P88" s="65"/>
      <c r="Q88" s="65"/>
      <c r="R88" s="65"/>
      <c r="S88" s="65"/>
      <c r="T88" s="65"/>
      <c r="U88" s="65"/>
      <c r="V88" s="65"/>
      <c r="W88" s="65"/>
      <c r="X88" s="65"/>
    </row>
    <row r="89">
      <c r="A89" s="63" t="s">
        <v>208</v>
      </c>
      <c r="B89" s="63" t="str">
        <f>IFERROR(__xludf.DUMMYFUNCTION("GOOGLETRANSLATE(A89,""zh-tw"",""ja"")"),"2024/10/14 書式を一部調整しました")</f>
        <v>2024/10/14 書式を一部調整しました</v>
      </c>
      <c r="C89" s="64" t="str">
        <f>IFERROR(__xludf.DUMMYFUNCTION("GOOGLETRANSLATE(A89,""zh-tw"",""en"")"),"2024/10/14 Adjusted some formatting")</f>
        <v>2024/10/14 Adjusted some formatting</v>
      </c>
      <c r="D89" s="63" t="str">
        <f>IFERROR(__xludf.DUMMYFUNCTION("GOOGLETRANSLATE(A89,""zh-tw"",""zh"")"),"2024/10/14 调整部分格式")</f>
        <v>2024/10/14 调整部分格式</v>
      </c>
      <c r="E89" s="27" t="str">
        <f>IFERROR(__xludf.DUMMYFUNCTION("GOOGLETRANSLATE(A89,""zh-tw"",""es-MX"")"),"14/10/2024 Se ajustaron algunos formatos")</f>
        <v>14/10/2024 Se ajustaron algunos formatos</v>
      </c>
      <c r="F89" s="27" t="str">
        <f>IFERROR(__xludf.DUMMYFUNCTION("GOOGLETRANSLATE(A89,""zh-tw"",""KO"")"),"2024/10/14 일부 서식을 조정했습니다.")</f>
        <v>2024/10/14 일부 서식을 조정했습니다.</v>
      </c>
      <c r="G89" s="27" t="str">
        <f>IFERROR(__xludf.DUMMYFUNCTION("GOOGLETRANSLATE(A89,""zh-tw"",""RU"")"),"2024/10/14 Исправлено форматирование.")</f>
        <v>2024/10/14 Исправлено форматирование.</v>
      </c>
      <c r="H89" s="27" t="str">
        <f>IFERROR(__xludf.DUMMYFUNCTION("GOOGLETRANSLATE(A89,""zh-tw"",""DE"")"),"14.10.2024: Formatierung angepasst")</f>
        <v>14.10.2024: Formatierung angepasst</v>
      </c>
      <c r="I89" s="67" t="s">
        <v>209</v>
      </c>
      <c r="J89" s="29" t="str">
        <f>IFERROR(__xludf.DUMMYFUNCTION("GOOGLETRANSLATE(A89,""zh-tw"",""pt-BR"")"),"14/10/2024 Ajustes de formatação")</f>
        <v>14/10/2024 Ajustes de formatação</v>
      </c>
      <c r="K89" s="65"/>
      <c r="L89" s="65"/>
      <c r="M89" s="65"/>
      <c r="N89" s="65"/>
      <c r="O89" s="65"/>
      <c r="P89" s="65"/>
      <c r="Q89" s="65"/>
      <c r="R89" s="65"/>
      <c r="S89" s="65"/>
      <c r="T89" s="65"/>
      <c r="U89" s="65"/>
      <c r="V89" s="65"/>
      <c r="W89" s="65"/>
      <c r="X89" s="65"/>
    </row>
    <row r="90">
      <c r="A90" s="63" t="s">
        <v>210</v>
      </c>
      <c r="B90" s="63" t="str">
        <f>IFERROR(__xludf.DUMMYFUNCTION("GOOGLETRANSLATE(A90,""zh-tw"",""ja"")"),"2024年10月13日に簡体字中国語翻訳を追加しました")</f>
        <v>2024年10月13日に簡体字中国語翻訳を追加しました</v>
      </c>
      <c r="C90" s="64" t="str">
        <f>IFERROR(__xludf.DUMMYFUNCTION("GOOGLETRANSLATE(A90,""zh-tw"",""en"")"),"Added Simplified Chinese translation on 2024/10/13")</f>
        <v>Added Simplified Chinese translation on 2024/10/13</v>
      </c>
      <c r="D90" s="63" t="str">
        <f>IFERROR(__xludf.DUMMYFUNCTION("GOOGLETRANSLATE(A90,""zh-tw"",""zh"")"),"2024/10/13新增简体中文翻译")</f>
        <v>2024/10/13新增简体中文翻译</v>
      </c>
      <c r="E90" s="27" t="str">
        <f>IFERROR(__xludf.DUMMYFUNCTION("GOOGLETRANSLATE(A90,""zh-tw"",""es-MX"")"),"Se agregó la traducción al chino simplificado el 13/10/2024")</f>
        <v>Se agregó la traducción al chino simplificado el 13/10/2024</v>
      </c>
      <c r="F90" s="27" t="str">
        <f>IFERROR(__xludf.DUMMYFUNCTION("GOOGLETRANSLATE(A90,""zh-tw"",""KO"")"),"2024/10/13에 간체 중국어 번역이 추가되었습니다.")</f>
        <v>2024/10/13에 간체 중국어 번역이 추가되었습니다.</v>
      </c>
      <c r="G90" s="27" t="str">
        <f>IFERROR(__xludf.DUMMYFUNCTION("GOOGLETRANSLATE(A90,""zh-tw"",""RU"")"),"Добавлен перевод на упрощенный китайский язык 13.10.2024.")</f>
        <v>Добавлен перевод на упрощенный китайский язык 13.10.2024.</v>
      </c>
      <c r="H90" s="27" t="str">
        <f>IFERROR(__xludf.DUMMYFUNCTION("GOOGLETRANSLATE(A90,""zh-tw"",""DE"")"),"Vereinfachte chinesische Übersetzung hinzugefügt am 13.10.2024")</f>
        <v>Vereinfachte chinesische Übersetzung hinzugefügt am 13.10.2024</v>
      </c>
      <c r="I90" s="67" t="s">
        <v>211</v>
      </c>
      <c r="J90" s="29" t="str">
        <f>IFERROR(__xludf.DUMMYFUNCTION("GOOGLETRANSLATE(A90,""zh-tw"",""pt-BR"")"),"Adicionada tradução para chinês simplificado em 13/10/2024.")</f>
        <v>Adicionada tradução para chinês simplificado em 13/10/2024.</v>
      </c>
      <c r="K90" s="65"/>
      <c r="L90" s="65"/>
      <c r="M90" s="65"/>
      <c r="N90" s="65"/>
      <c r="O90" s="65"/>
      <c r="P90" s="65"/>
      <c r="Q90" s="65"/>
      <c r="R90" s="65"/>
      <c r="S90" s="65"/>
      <c r="T90" s="65"/>
      <c r="U90" s="65"/>
      <c r="V90" s="65"/>
      <c r="W90" s="65"/>
      <c r="X90" s="65"/>
    </row>
    <row r="91">
      <c r="A91" s="63" t="s">
        <v>212</v>
      </c>
      <c r="B91" s="63" t="str">
        <f>IFERROR(__xludf.DUMMYFUNCTION("GOOGLETRANSLATE(A91,""zh-tw"",""ja"")"),"2024年10月12日：お知らせフォームと編集ログを追加、タロットカードを改訂しました。")</f>
        <v>2024年10月12日：お知らせフォームと編集ログを追加、タロットカードを改訂しました。</v>
      </c>
      <c r="C91" s="64" t="str">
        <f>IFERROR(__xludf.DUMMYFUNCTION("GOOGLETRANSLATE(A91,""zh-tw"",""en"")"),"October 12, 2024: Added announcement form and edit log; revised tarot cards.")</f>
        <v>October 12, 2024: Added announcement form and edit log; revised tarot cards.</v>
      </c>
      <c r="D91" s="63" t="str">
        <f>IFERROR(__xludf.DUMMYFUNCTION("GOOGLETRANSLATE(A91,""zh-tw"",""zh"")"),"2024/10/12新增公告表与编辑日志、修正塔罗牌")</f>
        <v>2024/10/12新增公告表与编辑日志、修正塔罗牌</v>
      </c>
      <c r="E91" s="27" t="str">
        <f>IFERROR(__xludf.DUMMYFUNCTION("GOOGLETRANSLATE(A91,""zh-tw"",""es-MX"")"),"12 de octubre de 2024: Se agregó formulario de anuncio y registro de edición; cartas del tarot revisadas.")</f>
        <v>12 de octubre de 2024: Se agregó formulario de anuncio y registro de edición; cartas del tarot revisadas.</v>
      </c>
      <c r="F91" s="27" t="str">
        <f>IFERROR(__xludf.DUMMYFUNCTION("GOOGLETRANSLATE(A91,""zh-tw"",""KO"")"),"2024년 10월 12일: 공지 양식과 편집 로그를 추가하고, 타로 카드를 수정했습니다.")</f>
        <v>2024년 10월 12일: 공지 양식과 편집 로그를 추가하고, 타로 카드를 수정했습니다.</v>
      </c>
      <c r="G91" s="27" t="str">
        <f>IFERROR(__xludf.DUMMYFUNCTION("GOOGLETRANSLATE(A91,""zh-tw"",""RU"")"),"12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H91" s="27" t="str">
        <f>IFERROR(__xludf.DUMMYFUNCTION("GOOGLETRANSLATE(A91,""zh-tw"",""DE"")"),"12. Oktober 2024: Ankündigungsformular und Bearbeitungsprotokoll hinzugefügt; Tarotkarten überarbeitet.")</f>
        <v>12. Oktober 2024: Ankündigungsformular und Bearbeitungsprotokoll hinzugefügt; Tarotkarten überarbeitet.</v>
      </c>
      <c r="I91" s="67" t="s">
        <v>213</v>
      </c>
      <c r="J91" s="29" t="str">
        <f>IFERROR(__xludf.DUMMYFUNCTION("GOOGLETRANSLATE(A91,""zh-tw"",""pt-BR"")"),"12 de outubro de 2024: Adicionado formulário de anúncio e registro de edições; cartas de tarô revisadas.")</f>
        <v>12 de outubro de 2024: Adicionado formulário de anúncio e registro de edições; cartas de tarô revisadas.</v>
      </c>
      <c r="K91" s="65"/>
      <c r="L91" s="65"/>
      <c r="M91" s="65"/>
      <c r="N91" s="65"/>
      <c r="O91" s="65"/>
      <c r="P91" s="65"/>
      <c r="Q91" s="65"/>
      <c r="R91" s="65"/>
      <c r="S91" s="65"/>
      <c r="T91" s="65"/>
      <c r="U91" s="65"/>
      <c r="V91" s="65"/>
      <c r="W91" s="65"/>
      <c r="X91" s="65"/>
    </row>
    <row r="92">
      <c r="A92" s="63" t="s">
        <v>214</v>
      </c>
      <c r="B92" s="63" t="str">
        <f>IFERROR(__xludf.DUMMYFUNCTION("GOOGLETRANSLATE(A92,""zh-tw"",""ja"")"),"2024 年 10 月 10 日: 新しいイベントと通知テーブルのコンテンツが追加されました。")</f>
        <v>2024 年 10 月 10 日: 新しいイベントと通知テーブルのコンテンツが追加されました。</v>
      </c>
      <c r="C92" s="64" t="str">
        <f>IFERROR(__xludf.DUMMYFUNCTION("GOOGLETRANSLATE(A92,""zh-tw"",""en"")"),"October 10, 2024: Added new events and notification table content.")</f>
        <v>October 10, 2024: Added new events and notification table content.</v>
      </c>
      <c r="D92" s="63" t="str">
        <f>IFERROR(__xludf.DUMMYFUNCTION("GOOGLETRANSLATE(A92,""zh-tw"",""zh"")"),"2024/10/10 新增事件、提示表内容")</f>
        <v>2024/10/10 新增事件、提示表内容</v>
      </c>
      <c r="E92" s="27" t="str">
        <f>IFERROR(__xludf.DUMMYFUNCTION("GOOGLETRANSLATE(A92,""zh-tw"",""es-MX"")"),"10 de octubre de 2024: se agregaron nuevos eventos y contenido a la tabla de notificaciones.")</f>
        <v>10 de octubre de 2024: se agregaron nuevos eventos y contenido a la tabla de notificaciones.</v>
      </c>
      <c r="F92" s="27" t="str">
        <f>IFERROR(__xludf.DUMMYFUNCTION("GOOGLETRANSLATE(A92,""zh-tw"",""KO"")"),"2024년 10월 10일: 새로운 이벤트와 알림 표 콘텐츠가 추가되었습니다.")</f>
        <v>2024년 10월 10일: 새로운 이벤트와 알림 표 콘텐츠가 추가되었습니다.</v>
      </c>
      <c r="G92" s="27" t="str">
        <f>IFERROR(__xludf.DUMMYFUNCTION("GOOGLETRANSLATE(A92,""zh-tw"",""RU"")"),"10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2" s="27" t="str">
        <f>IFERROR(__xludf.DUMMYFUNCTION("GOOGLETRANSLATE(A92,""zh-tw"",""DE"")"),"10. Oktober 2024: Neue Ereignisse und Benachrichtigungstabelle hinzugefügt.")</f>
        <v>10. Oktober 2024: Neue Ereignisse und Benachrichtigungstabelle hinzugefügt.</v>
      </c>
      <c r="I92" s="67" t="s">
        <v>215</v>
      </c>
      <c r="J92" s="29" t="str">
        <f>IFERROR(__xludf.DUMMYFUNCTION("GOOGLETRANSLATE(A92,""zh-tw"",""pt-BR"")"),"10 de outubro de 2024: Adicionados novos eventos e conteúdo à tabela de notificações.")</f>
        <v>10 de outubro de 2024: Adicionados novos eventos e conteúdo à tabela de notificações.</v>
      </c>
      <c r="K92" s="65"/>
      <c r="L92" s="65"/>
      <c r="M92" s="65"/>
      <c r="N92" s="65"/>
      <c r="O92" s="65"/>
      <c r="P92" s="65"/>
      <c r="Q92" s="65"/>
      <c r="R92" s="65"/>
      <c r="S92" s="65"/>
      <c r="T92" s="65"/>
      <c r="U92" s="65"/>
      <c r="V92" s="65"/>
      <c r="W92" s="65"/>
      <c r="X92" s="65"/>
    </row>
    <row r="93">
      <c r="A93" s="63" t="s">
        <v>216</v>
      </c>
      <c r="B93" s="63" t="str">
        <f>IFERROR(__xludf.DUMMYFUNCTION("GOOGLETRANSLATE(A93,""zh-tw"",""ja"")"),"2024/10/9にイベントとお知らせを追加しました")</f>
        <v>2024/10/9にイベントとお知らせを追加しました</v>
      </c>
      <c r="C93" s="64" t="str">
        <f>IFERROR(__xludf.DUMMYFUNCTION("GOOGLETRANSLATE(A93,""zh-tw"",""en"")"),"Added events and notifications on 2024/10/9")</f>
        <v>Added events and notifications on 2024/10/9</v>
      </c>
      <c r="D93" s="63" t="str">
        <f>IFERROR(__xludf.DUMMYFUNCTION("GOOGLETRANSLATE(A93,""zh-tw"",""zh"")"),"2024/10/9新增事件、提示表内容")</f>
        <v>2024/10/9新增事件、提示表内容</v>
      </c>
      <c r="E93" s="27" t="str">
        <f>IFERROR(__xludf.DUMMYFUNCTION("GOOGLETRANSLATE(A93,""zh-tw"",""es-MX"")"),"Se agregaron eventos y notificaciones el 9/10/2024")</f>
        <v>Se agregaron eventos y notificaciones el 9/10/2024</v>
      </c>
      <c r="F93" s="27" t="str">
        <f>IFERROR(__xludf.DUMMYFUNCTION("GOOGLETRANSLATE(A93,""zh-tw"",""KO"")"),"2024/10/9 이벤트 및 알림 추가")</f>
        <v>2024/10/9 이벤트 및 알림 추가</v>
      </c>
      <c r="G93" s="27" t="str">
        <f>IFERROR(__xludf.DUMMYFUNCTION("GOOGLETRANSLATE(A93,""zh-tw"",""RU"")"),"Добавлены события и уведомления на 09.10.2024")</f>
        <v>Добавлены события и уведомления на 09.10.2024</v>
      </c>
      <c r="H93" s="27" t="str">
        <f>IFERROR(__xludf.DUMMYFUNCTION("GOOGLETRANSLATE(A93,""zh-tw"",""DE"")"),"Ereignisse und Benachrichtigungen wurden am 9.10.2024 hinzugefügt.")</f>
        <v>Ereignisse und Benachrichtigungen wurden am 9.10.2024 hinzugefügt.</v>
      </c>
      <c r="I93" s="67" t="s">
        <v>217</v>
      </c>
      <c r="J93" s="29" t="str">
        <f>IFERROR(__xludf.DUMMYFUNCTION("GOOGLETRANSLATE(A93,""zh-tw"",""pt-BR"")"),"Eventos e notificações adicionados em 09/10/2024")</f>
        <v>Eventos e notificações adicionados em 09/10/2024</v>
      </c>
      <c r="K93" s="65"/>
      <c r="L93" s="65"/>
      <c r="M93" s="65"/>
      <c r="N93" s="65"/>
      <c r="O93" s="65"/>
      <c r="P93" s="65"/>
      <c r="Q93" s="65"/>
      <c r="R93" s="65"/>
      <c r="S93" s="65"/>
      <c r="T93" s="65"/>
      <c r="U93" s="65"/>
      <c r="V93" s="65"/>
      <c r="W93" s="65"/>
      <c r="X93" s="65"/>
    </row>
    <row r="94">
      <c r="A94" s="63" t="s">
        <v>218</v>
      </c>
      <c r="B94" s="63" t="str">
        <f>IFERROR(__xludf.DUMMYFUNCTION("GOOGLETRANSLATE(A94,""zh-tw"",""ja"")"),"2024/10/8にイベントと通知表の内容を追加しました")</f>
        <v>2024/10/8にイベントと通知表の内容を追加しました</v>
      </c>
      <c r="C94" s="64" t="str">
        <f>IFERROR(__xludf.DUMMYFUNCTION("GOOGLETRANSLATE(A94,""zh-tw"",""en"")"),"Added event and notification table content on 2024/10/8")</f>
        <v>Added event and notification table content on 2024/10/8</v>
      </c>
      <c r="D94" s="63" t="str">
        <f>IFERROR(__xludf.DUMMYFUNCTION("GOOGLETRANSLATE(A94,""zh-tw"",""zh"")"),"2024/10/8新增事件、提示表内容")</f>
        <v>2024/10/8新增事件、提示表内容</v>
      </c>
      <c r="E94" s="27" t="str">
        <f>IFERROR(__xludf.DUMMYFUNCTION("GOOGLETRANSLATE(A94,""zh-tw"",""es-MX"")"),"Se agregó contenido de la tabla de eventos y notificaciones el 8/10/2024")</f>
        <v>Se agregó contenido de la tabla de eventos y notificaciones el 8/10/2024</v>
      </c>
      <c r="F94" s="27" t="str">
        <f>IFERROR(__xludf.DUMMYFUNCTION("GOOGLETRANSLATE(A94,""zh-tw"",""KO"")"),"2024/10/8에 이벤트 및 알림 테이블 내용이 추가되었습니다.")</f>
        <v>2024/10/8에 이벤트 및 알림 테이블 내용이 추가되었습니다.</v>
      </c>
      <c r="G94" s="27" t="str">
        <f>IFERROR(__xludf.DUMMYFUNCTION("GOOGLETRANSLATE(A94,""zh-tw"",""RU"")"),"Добавлено содержимое таблицы событий и уведомлений от 08.10.2024")</f>
        <v>Добавлено содержимое таблицы событий и уведомлений от 08.10.2024</v>
      </c>
      <c r="H94" s="27" t="str">
        <f>IFERROR(__xludf.DUMMYFUNCTION("GOOGLETRANSLATE(A94,""zh-tw"",""DE"")"),"Ereignis- und Benachrichtigungstabelleninhalte wurden am 8.10.2024 hinzugefügt.")</f>
        <v>Ereignis- und Benachrichtigungstabelleninhalte wurden am 8.10.2024 hinzugefügt.</v>
      </c>
      <c r="I94" s="67" t="s">
        <v>219</v>
      </c>
      <c r="J94" s="29" t="str">
        <f>IFERROR(__xludf.DUMMYFUNCTION("GOOGLETRANSLATE(A94,""zh-tw"",""pt-BR"")"),"Adicionado conteúdo à tabela de eventos e notificações em 08/10/2024.")</f>
        <v>Adicionado conteúdo à tabela de eventos e notificações em 08/10/2024.</v>
      </c>
      <c r="K94" s="65"/>
      <c r="L94" s="65"/>
      <c r="M94" s="65"/>
      <c r="N94" s="65"/>
      <c r="O94" s="65"/>
      <c r="P94" s="65"/>
      <c r="Q94" s="65"/>
      <c r="R94" s="65"/>
      <c r="S94" s="65"/>
      <c r="T94" s="65"/>
      <c r="U94" s="65"/>
      <c r="V94" s="65"/>
      <c r="W94" s="65"/>
      <c r="X94" s="65"/>
    </row>
    <row r="95">
      <c r="A95" s="63" t="s">
        <v>220</v>
      </c>
      <c r="B95" s="63" t="str">
        <f>IFERROR(__xludf.DUMMYFUNCTION("GOOGLETRANSLATE(A95,""zh-tw"",""ja"")"),"2024/10/7に通知表を追加しました")</f>
        <v>2024/10/7に通知表を追加しました</v>
      </c>
      <c r="C95" s="64" t="str">
        <f>IFERROR(__xludf.DUMMYFUNCTION("GOOGLETRANSLATE(A95,""zh-tw"",""en"")"),"Added notification table on 2024/10/7")</f>
        <v>Added notification table on 2024/10/7</v>
      </c>
      <c r="D95" s="63" t="str">
        <f>IFERROR(__xludf.DUMMYFUNCTION("GOOGLETRANSLATE(A95,""zh-tw"",""zh"")"),"2024/10/7新增提示表")</f>
        <v>2024/10/7新增提示表</v>
      </c>
      <c r="E95" s="27" t="str">
        <f>IFERROR(__xludf.DUMMYFUNCTION("GOOGLETRANSLATE(A95,""zh-tw"",""es-MX"")"),"Se agregó tabla de notificaciones el 7/10/2024")</f>
        <v>Se agregó tabla de notificaciones el 7/10/2024</v>
      </c>
      <c r="F95" s="27" t="str">
        <f>IFERROR(__xludf.DUMMYFUNCTION("GOOGLETRANSLATE(A95,""zh-tw"",""KO"")"),"2024/10/7에 알림표 추가")</f>
        <v>2024/10/7에 알림표 추가</v>
      </c>
      <c r="G95" s="27" t="str">
        <f>IFERROR(__xludf.DUMMYFUNCTION("GOOGLETRANSLATE(A95,""zh-tw"",""RU"")"),"Добавлена ​​таблица уведомлений на 07.10.2024")</f>
        <v>Добавлена ​​таблица уведомлений на 07.10.2024</v>
      </c>
      <c r="H95" s="27" t="str">
        <f>IFERROR(__xludf.DUMMYFUNCTION("GOOGLETRANSLATE(A95,""zh-tw"",""DE"")"),"Benachrichtigungstabelle hinzugefügt am 07.10.2024.")</f>
        <v>Benachrichtigungstabelle hinzugefügt am 07.10.2024.</v>
      </c>
      <c r="I95" s="67" t="s">
        <v>221</v>
      </c>
      <c r="J95" s="29" t="str">
        <f>IFERROR(__xludf.DUMMYFUNCTION("GOOGLETRANSLATE(A95,""zh-tw"",""pt-BR"")"),"Tabela de notificações adicionada em 07/10/2024")</f>
        <v>Tabela de notificações adicionada em 07/10/2024</v>
      </c>
      <c r="K95" s="65"/>
      <c r="L95" s="65"/>
      <c r="M95" s="65"/>
      <c r="N95" s="65"/>
      <c r="O95" s="65"/>
      <c r="P95" s="65"/>
      <c r="Q95" s="65"/>
      <c r="R95" s="65"/>
      <c r="S95" s="65"/>
      <c r="T95" s="65"/>
      <c r="U95" s="65"/>
      <c r="V95" s="65"/>
      <c r="W95" s="65"/>
      <c r="X95" s="65"/>
    </row>
    <row r="96">
      <c r="A96" s="46" t="s">
        <v>222</v>
      </c>
      <c r="B96" s="68" t="s">
        <v>223</v>
      </c>
      <c r="C96" s="64" t="str">
        <f>IFERROR(__xludf.DUMMYFUNCTION("GOOGLETRANSLATE(A96,""zh-tw"",""en"")"),"October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6" s="63" t="str">
        <f>IFERROR(__xludf.DUMMYFUNCTION("GOOGLETRANSLATE(A96,""zh-tw"",""zh"")"),"2024/10/6
授权Discord:mioakatukaze转载至bilibili
https://www.bilibili.com/opus/985591575966908440?spm_id_from=333.999.0.0 ")</f>
        <v>2024/10/6
授权Discord:mioakatukaze转载至bilibili
https://www.bilibili.com/opus/985591575966908440?spm_id_from=333.999.0.0 </v>
      </c>
      <c r="E96" s="27" t="str">
        <f>IFERROR(__xludf.DUMMYFUNCTION("GOOGLETRANSLATE(A96,""zh-tw"",""es-MX"")"),"6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6" s="27" t="str">
        <f>IFERROR(__xludf.DUMMYFUNCTION("GOOGLETRANSLATE(A96,""zh-tw"",""KO"")"),"2024년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G96" s="27" t="str">
        <f>IFERROR(__xludf.DUMMYFUNCTION("GOOGLETRANSLATE(A96,""zh-tw"",""RU"")"),"6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H96" s="27" t="str">
        <f>IFERROR(__xludf.DUMMYFUNCTION("GOOGLETRANSLATE(A96,""zh-tw"",""DE"")"),"6.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6" s="67" t="s">
        <v>224</v>
      </c>
      <c r="J96" s="29" t="str">
        <f>IFERROR(__xludf.DUMMYFUNCTION("GOOGLETRANSLATE(A96,""zh-tw"",""pt-BR"")"),"6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6" s="65"/>
      <c r="L96" s="65"/>
      <c r="M96" s="65"/>
      <c r="N96" s="65"/>
      <c r="O96" s="65"/>
      <c r="P96" s="65"/>
      <c r="Q96" s="65"/>
      <c r="R96" s="65"/>
      <c r="S96" s="65"/>
      <c r="T96" s="65"/>
      <c r="U96" s="65"/>
      <c r="V96" s="65"/>
      <c r="W96" s="65"/>
      <c r="X96" s="65"/>
    </row>
    <row r="97">
      <c r="A97" s="63" t="s">
        <v>225</v>
      </c>
      <c r="B97" s="63" t="str">
        <f>IFERROR(__xludf.DUMMYFUNCTION("GOOGLETRANSLATE(A97,""zh-tw"",""ja"")"),"2024年10月6日に全ページ編集・調整しました")</f>
        <v>2024年10月6日に全ページ編集・調整しました</v>
      </c>
      <c r="C97" s="64" t="str">
        <f>IFERROR(__xludf.DUMMYFUNCTION("GOOGLETRANSLATE(A97,""zh-tw"",""en"")"),"Full page edited and adjusted on 2024/10/6")</f>
        <v>Full page edited and adjusted on 2024/10/6</v>
      </c>
      <c r="D97" s="63" t="str">
        <f>IFERROR(__xludf.DUMMYFUNCTION("GOOGLETRANSLATE(A97,""zh-tw"",""zh"")"),"2024/10/6全页面修改调整")</f>
        <v>2024/10/6全页面修改调整</v>
      </c>
      <c r="E97" s="27" t="str">
        <f>IFERROR(__xludf.DUMMYFUNCTION("GOOGLETRANSLATE(A97,""zh-tw"",""es-MX"")"),"Página completa editada y ajustada el 6/10/2024")</f>
        <v>Página completa editada y ajustada el 6/10/2024</v>
      </c>
      <c r="F97" s="27" t="str">
        <f>IFERROR(__xludf.DUMMYFUNCTION("GOOGLETRANSLATE(A97,""zh-tw"",""KO"")"),"전체 페이지는 2024/10/6에 편집 및 조정되었습니다.")</f>
        <v>전체 페이지는 2024/10/6에 편집 및 조정되었습니다.</v>
      </c>
      <c r="G97" s="27" t="str">
        <f>IFERROR(__xludf.DUMMYFUNCTION("GOOGLETRANSLATE(A97,""zh-tw"",""RU"")"),"Полная страница отредактирована и скорректирована 06.10.2024")</f>
        <v>Полная страница отредактирована и скорректирована 06.10.2024</v>
      </c>
      <c r="H97" s="27" t="str">
        <f>IFERROR(__xludf.DUMMYFUNCTION("GOOGLETRANSLATE(A97,""zh-tw"",""DE"")"),"Die gesamte Seite wurde am 06.10.2024 bearbeitet und angepasst.")</f>
        <v>Die gesamte Seite wurde am 06.10.2024 bearbeitet und angepasst.</v>
      </c>
      <c r="I97" s="67" t="s">
        <v>226</v>
      </c>
      <c r="J97" s="29" t="str">
        <f>IFERROR(__xludf.DUMMYFUNCTION("GOOGLETRANSLATE(A97,""zh-tw"",""pt-BR"")"),"Página inteira editada e ajustada em 06/10/2024")</f>
        <v>Página inteira editada e ajustada em 06/10/2024</v>
      </c>
      <c r="K97" s="65"/>
      <c r="L97" s="65"/>
      <c r="M97" s="65"/>
      <c r="N97" s="65"/>
      <c r="O97" s="65"/>
      <c r="P97" s="65"/>
      <c r="Q97" s="65"/>
      <c r="R97" s="65"/>
      <c r="S97" s="65"/>
      <c r="T97" s="65"/>
      <c r="U97" s="65"/>
      <c r="V97" s="65"/>
      <c r="W97" s="65"/>
      <c r="X97" s="65"/>
    </row>
    <row r="98">
      <c r="A98" s="63" t="s">
        <v>227</v>
      </c>
      <c r="B98" s="63" t="str">
        <f>IFERROR(__xludf.DUMMYFUNCTION("GOOGLETRANSLATE(A98,""zh-tw"",""ja"")"),"2024年10月5日公開")</f>
        <v>2024年10月5日公開</v>
      </c>
      <c r="C98" s="64" t="str">
        <f>IFERROR(__xludf.DUMMYFUNCTION("GOOGLETRANSLATE(A98,""zh-tw"",""en"")"),"Released to the public on October 5, 2024")</f>
        <v>Released to the public on October 5, 2024</v>
      </c>
      <c r="D98" s="63" t="str">
        <f>IFERROR(__xludf.DUMMYFUNCTION("GOOGLETRANSLATE(A98,""zh-tw"",""zh"")"),"2024/10/5对外发布")</f>
        <v>2024/10/5对外发布</v>
      </c>
      <c r="E98" s="27" t="str">
        <f>IFERROR(__xludf.DUMMYFUNCTION("GOOGLETRANSLATE(A98,""zh-tw"",""es-MX"")"),"Lanzado al público el 5 de octubre de 2024")</f>
        <v>Lanzado al público el 5 de octubre de 2024</v>
      </c>
      <c r="F98" s="27" t="str">
        <f>IFERROR(__xludf.DUMMYFUNCTION("GOOGLETRANSLATE(A98,""zh-tw"",""KO"")"),"2024년 10월 5일 대중에 공개")</f>
        <v>2024년 10월 5일 대중에 공개</v>
      </c>
      <c r="G98" s="27" t="str">
        <f>IFERROR(__xludf.DUMMYFUNCTION("GOOGLETRANSLATE(A98,""zh-tw"",""RU"")"),"Выпущено для публики 5 октября 2024 г.")</f>
        <v>Выпущено для публики 5 октября 2024 г.</v>
      </c>
      <c r="H98" s="27" t="str">
        <f>IFERROR(__xludf.DUMMYFUNCTION("GOOGLETRANSLATE(A98,""zh-tw"",""DE"")"),"Veröffentlicht der Öffentlichkeit am 5. Oktober 2024")</f>
        <v>Veröffentlicht der Öffentlichkeit am 5. Oktober 2024</v>
      </c>
      <c r="I98" s="67" t="s">
        <v>228</v>
      </c>
      <c r="J98" s="29" t="str">
        <f>IFERROR(__xludf.DUMMYFUNCTION("GOOGLETRANSLATE(A98,""zh-tw"",""pt-BR"")"),"Lançado ao público em 5 de outubro de 2024.")</f>
        <v>Lançado ao público em 5 de outubro de 2024.</v>
      </c>
      <c r="K98" s="65"/>
      <c r="L98" s="65"/>
      <c r="M98" s="65"/>
      <c r="N98" s="65"/>
      <c r="O98" s="65"/>
      <c r="P98" s="65"/>
      <c r="Q98" s="65"/>
      <c r="R98" s="65"/>
      <c r="S98" s="65"/>
      <c r="T98" s="65"/>
      <c r="U98" s="65"/>
      <c r="V98" s="65"/>
      <c r="W98" s="65"/>
      <c r="X98" s="65"/>
    </row>
    <row r="99">
      <c r="A99" s="63" t="s">
        <v>229</v>
      </c>
      <c r="B99" s="63" t="str">
        <f>IFERROR(__xludf.DUMMYFUNCTION("GOOGLETRANSLATE(A99,""zh-tw"",""ja"")"),"初稿は2024年10月4日に完成")</f>
        <v>初稿は2024年10月4日に完成</v>
      </c>
      <c r="C99" s="64" t="str">
        <f>IFERROR(__xludf.DUMMYFUNCTION("GOOGLETRANSLATE(A99,""zh-tw"",""en"")"),"First draft completed on October 4, 2024")</f>
        <v>First draft completed on October 4, 2024</v>
      </c>
      <c r="D99" s="63" t="str">
        <f>IFERROR(__xludf.DUMMYFUNCTION("GOOGLETRANSLATE(A99,""zh-tw"",""zh"")"),"2024/10/4初版完成")</f>
        <v>2024/10/4初版完成</v>
      </c>
      <c r="E99" s="27" t="str">
        <f>IFERROR(__xludf.DUMMYFUNCTION("GOOGLETRANSLATE(A99,""zh-tw"",""es-MX"")"),"Primer borrador completado el 4 de octubre de 2024")</f>
        <v>Primer borrador completado el 4 de octubre de 2024</v>
      </c>
      <c r="F99" s="27" t="str">
        <f>IFERROR(__xludf.DUMMYFUNCTION("GOOGLETRANSLATE(A99,""zh-tw"",""KO"")"),"2024년 10월 4일 초안 완료")</f>
        <v>2024년 10월 4일 초안 완료</v>
      </c>
      <c r="G99" s="27" t="str">
        <f>IFERROR(__xludf.DUMMYFUNCTION("GOOGLETRANSLATE(A99,""zh-tw"",""RU"")"),"Первый черновик завершён 4 октября 2024 г.")</f>
        <v>Первый черновик завершён 4 октября 2024 г.</v>
      </c>
      <c r="H99" s="27" t="str">
        <f>IFERROR(__xludf.DUMMYFUNCTION("GOOGLETRANSLATE(A99,""zh-tw"",""DE"")"),"Erster Entwurf fertiggestellt am 4. Oktober 2024")</f>
        <v>Erster Entwurf fertiggestellt am 4. Oktober 2024</v>
      </c>
      <c r="I99" s="67" t="s">
        <v>230</v>
      </c>
      <c r="J99" s="29" t="str">
        <f>IFERROR(__xludf.DUMMYFUNCTION("GOOGLETRANSLATE(A99,""zh-tw"",""pt-BR"")"),"Primeira versão concluída em 4 de outubro de 2024.")</f>
        <v>Primeira versão concluída em 4 de outubro de 2024.</v>
      </c>
      <c r="K99" s="65"/>
      <c r="L99" s="65"/>
      <c r="M99" s="65"/>
      <c r="N99" s="65"/>
      <c r="O99" s="65"/>
      <c r="P99" s="65"/>
      <c r="Q99" s="65"/>
      <c r="R99" s="65"/>
      <c r="S99" s="65"/>
      <c r="T99" s="65"/>
      <c r="U99" s="65"/>
      <c r="V99" s="65"/>
      <c r="W99" s="65"/>
      <c r="X99" s="65"/>
    </row>
    <row r="100">
      <c r="A100" s="63" t="s">
        <v>231</v>
      </c>
      <c r="B100" s="63" t="str">
        <f>IFERROR(__xludf.DUMMYFUNCTION("GOOGLETRANSLATE(A100,""zh-tw"",""ja"")"),"このフォームは2024年10月1日に作成されました。")</f>
        <v>このフォームは2024年10月1日に作成されました。</v>
      </c>
      <c r="C100" s="64" t="str">
        <f>IFERROR(__xludf.DUMMYFUNCTION("GOOGLETRANSLATE(A100,""zh-tw"",""en"")"),"This form was created on October 1, 2024.")</f>
        <v>This form was created on October 1, 2024.</v>
      </c>
      <c r="D100" s="63" t="str">
        <f>IFERROR(__xludf.DUMMYFUNCTION("GOOGLETRANSLATE(A100,""zh-tw"",""zh"")"),"2024/10/1 建立本表单")</f>
        <v>2024/10/1 建立本表单</v>
      </c>
      <c r="E100" s="27" t="str">
        <f>IFERROR(__xludf.DUMMYFUNCTION("GOOGLETRANSLATE(A100,""zh-tw"",""es-MX"")"),"Este formulario fue creado el 1 de octubre de 2024.")</f>
        <v>Este formulario fue creado el 1 de octubre de 2024.</v>
      </c>
      <c r="F100" s="27" t="str">
        <f>IFERROR(__xludf.DUMMYFUNCTION("GOOGLETRANSLATE(A100,""zh-tw"",""KO"")"),"이 양식은 2024년 10월 1일에 만들어졌습니다.")</f>
        <v>이 양식은 2024년 10월 1일에 만들어졌습니다.</v>
      </c>
      <c r="G100" s="27" t="str">
        <f>IFERROR(__xludf.DUMMYFUNCTION("GOOGLETRANSLATE(A100,""zh-tw"",""RU"")"),"Эта форма была создана 1 октября 2024 года.")</f>
        <v>Эта форма была создана 1 октября 2024 года.</v>
      </c>
      <c r="H100" s="27" t="str">
        <f>IFERROR(__xludf.DUMMYFUNCTION("GOOGLETRANSLATE(A100,""zh-tw"",""DE"")"),"Dieses Formular wurde am 1. Oktober 2024 erstellt.")</f>
        <v>Dieses Formular wurde am 1. Oktober 2024 erstellt.</v>
      </c>
      <c r="I100" s="67" t="s">
        <v>232</v>
      </c>
      <c r="J100" s="29" t="str">
        <f>IFERROR(__xludf.DUMMYFUNCTION("GOOGLETRANSLATE(A100,""zh-tw"",""pt-BR"")"),"Este formulário foi criado em 1 de outubro de 2024.")</f>
        <v>Este formulário foi criado em 1 de outubro de 2024.</v>
      </c>
      <c r="K100" s="65"/>
      <c r="L100" s="65"/>
      <c r="M100" s="65"/>
      <c r="N100" s="65"/>
      <c r="O100" s="65"/>
      <c r="P100" s="65"/>
      <c r="Q100" s="65"/>
      <c r="R100" s="65"/>
      <c r="S100" s="65"/>
      <c r="T100" s="65"/>
      <c r="U100" s="65"/>
      <c r="V100" s="65"/>
      <c r="W100" s="65"/>
      <c r="X100" s="65"/>
    </row>
    <row r="101">
      <c r="A101" s="63"/>
      <c r="B101" s="63"/>
      <c r="C101" s="64"/>
      <c r="D101" s="64"/>
      <c r="E101" s="69"/>
      <c r="F101" s="69"/>
      <c r="G101" s="69"/>
      <c r="H101" s="69"/>
      <c r="I101" s="55"/>
      <c r="J101" s="55"/>
      <c r="K101" s="65"/>
      <c r="L101" s="65"/>
      <c r="M101" s="65"/>
      <c r="N101" s="65"/>
      <c r="O101" s="65"/>
      <c r="P101" s="65"/>
      <c r="Q101" s="65"/>
      <c r="R101" s="65"/>
      <c r="S101" s="65"/>
      <c r="T101" s="65"/>
      <c r="U101" s="65"/>
      <c r="V101" s="65"/>
      <c r="W101" s="65"/>
      <c r="X101" s="65"/>
    </row>
    <row r="102">
      <c r="A102" s="63"/>
      <c r="B102" s="63"/>
      <c r="C102" s="49"/>
      <c r="D102" s="49"/>
      <c r="E102" s="69"/>
      <c r="F102" s="69"/>
      <c r="G102" s="69"/>
      <c r="H102" s="69"/>
      <c r="I102" s="55"/>
      <c r="J102" s="55"/>
      <c r="K102" s="65"/>
      <c r="L102" s="65"/>
      <c r="M102" s="65"/>
      <c r="N102" s="65"/>
      <c r="O102" s="65"/>
      <c r="P102" s="65"/>
      <c r="Q102" s="65"/>
      <c r="R102" s="65"/>
      <c r="S102" s="65"/>
      <c r="T102" s="65"/>
      <c r="U102" s="65"/>
      <c r="V102" s="65"/>
      <c r="W102" s="65"/>
      <c r="X102" s="65"/>
    </row>
    <row r="103">
      <c r="A103" s="63"/>
      <c r="B103" s="63"/>
      <c r="C103" s="49"/>
      <c r="D103" s="49"/>
      <c r="E103" s="69"/>
      <c r="F103" s="69"/>
      <c r="G103" s="69"/>
      <c r="H103" s="69"/>
      <c r="I103" s="55"/>
      <c r="J103" s="55"/>
      <c r="K103" s="65"/>
      <c r="L103" s="65"/>
      <c r="M103" s="65"/>
      <c r="N103" s="65"/>
      <c r="O103" s="65"/>
      <c r="P103" s="65"/>
      <c r="Q103" s="65"/>
      <c r="R103" s="65"/>
      <c r="S103" s="65"/>
      <c r="T103" s="65"/>
      <c r="U103" s="65"/>
      <c r="V103" s="65"/>
      <c r="W103" s="65"/>
      <c r="X103" s="65"/>
    </row>
    <row r="104">
      <c r="A104" s="63"/>
      <c r="B104" s="63"/>
      <c r="C104" s="49"/>
      <c r="D104" s="49"/>
      <c r="E104" s="69"/>
      <c r="F104" s="69"/>
      <c r="G104" s="69"/>
      <c r="H104" s="69"/>
      <c r="I104" s="55"/>
      <c r="J104" s="55"/>
      <c r="K104" s="65"/>
      <c r="L104" s="65"/>
      <c r="M104" s="65"/>
      <c r="N104" s="65"/>
      <c r="O104" s="65"/>
      <c r="P104" s="65"/>
      <c r="Q104" s="65"/>
      <c r="R104" s="65"/>
      <c r="S104" s="65"/>
      <c r="T104" s="65"/>
      <c r="U104" s="65"/>
      <c r="V104" s="65"/>
      <c r="W104" s="65"/>
      <c r="X104" s="65"/>
    </row>
    <row r="105">
      <c r="A105" s="63"/>
      <c r="B105" s="63"/>
      <c r="C105" s="49"/>
      <c r="D105" s="49"/>
      <c r="E105" s="69"/>
      <c r="F105" s="69"/>
      <c r="G105" s="69"/>
      <c r="H105" s="69"/>
      <c r="I105" s="55"/>
      <c r="J105" s="55"/>
      <c r="K105" s="65"/>
      <c r="L105" s="65"/>
      <c r="M105" s="65"/>
      <c r="N105" s="65"/>
      <c r="O105" s="65"/>
      <c r="P105" s="65"/>
      <c r="Q105" s="65"/>
      <c r="R105" s="65"/>
      <c r="S105" s="65"/>
      <c r="T105" s="65"/>
      <c r="U105" s="65"/>
      <c r="V105" s="65"/>
      <c r="W105" s="65"/>
      <c r="X105" s="65"/>
    </row>
    <row r="106">
      <c r="A106" s="63"/>
      <c r="B106" s="63"/>
      <c r="C106" s="49"/>
      <c r="D106" s="49"/>
      <c r="E106" s="69"/>
      <c r="F106" s="69"/>
      <c r="G106" s="69"/>
      <c r="H106" s="69"/>
      <c r="I106" s="55"/>
      <c r="J106" s="55"/>
      <c r="K106" s="65"/>
      <c r="L106" s="65"/>
      <c r="M106" s="65"/>
      <c r="N106" s="65"/>
      <c r="O106" s="65"/>
      <c r="P106" s="65"/>
      <c r="Q106" s="65"/>
      <c r="R106" s="65"/>
      <c r="S106" s="65"/>
      <c r="T106" s="65"/>
      <c r="U106" s="65"/>
      <c r="V106" s="65"/>
      <c r="W106" s="65"/>
      <c r="X106" s="65"/>
    </row>
    <row r="107">
      <c r="A107" s="63"/>
      <c r="B107" s="63"/>
      <c r="C107" s="49"/>
      <c r="D107" s="49"/>
      <c r="E107" s="69"/>
      <c r="F107" s="69"/>
      <c r="G107" s="69"/>
      <c r="H107" s="69"/>
      <c r="I107" s="55"/>
      <c r="J107" s="55"/>
      <c r="K107" s="65"/>
      <c r="L107" s="65"/>
      <c r="M107" s="65"/>
      <c r="N107" s="65"/>
      <c r="O107" s="65"/>
      <c r="P107" s="65"/>
      <c r="Q107" s="65"/>
      <c r="R107" s="65"/>
      <c r="S107" s="65"/>
      <c r="T107" s="65"/>
      <c r="U107" s="65"/>
      <c r="V107" s="65"/>
      <c r="W107" s="65"/>
      <c r="X107" s="65"/>
    </row>
    <row r="108">
      <c r="A108" s="63"/>
      <c r="B108" s="63"/>
      <c r="C108" s="49"/>
      <c r="D108" s="49"/>
      <c r="E108" s="69"/>
      <c r="F108" s="69"/>
      <c r="G108" s="69"/>
      <c r="H108" s="69"/>
      <c r="I108" s="55"/>
      <c r="J108" s="55"/>
      <c r="K108" s="65"/>
      <c r="L108" s="65"/>
      <c r="M108" s="65"/>
      <c r="N108" s="65"/>
      <c r="O108" s="65"/>
      <c r="P108" s="65"/>
      <c r="Q108" s="65"/>
      <c r="R108" s="65"/>
      <c r="S108" s="65"/>
      <c r="T108" s="65"/>
      <c r="U108" s="65"/>
      <c r="V108" s="65"/>
      <c r="W108" s="65"/>
      <c r="X108" s="65"/>
    </row>
    <row r="109">
      <c r="A109" s="63"/>
      <c r="B109" s="63"/>
      <c r="C109" s="49"/>
      <c r="D109" s="49"/>
      <c r="E109" s="69"/>
      <c r="F109" s="69"/>
      <c r="G109" s="69"/>
      <c r="H109" s="69"/>
      <c r="I109" s="55"/>
      <c r="J109" s="55"/>
      <c r="K109" s="65"/>
      <c r="L109" s="65"/>
      <c r="M109" s="65"/>
      <c r="N109" s="65"/>
      <c r="O109" s="65"/>
      <c r="P109" s="65"/>
      <c r="Q109" s="65"/>
      <c r="R109" s="65"/>
      <c r="S109" s="65"/>
      <c r="T109" s="65"/>
      <c r="U109" s="65"/>
      <c r="V109" s="65"/>
      <c r="W109" s="65"/>
      <c r="X109" s="65"/>
    </row>
    <row r="110">
      <c r="A110" s="63"/>
      <c r="B110" s="63"/>
      <c r="C110" s="49"/>
      <c r="D110" s="49"/>
      <c r="E110" s="69"/>
      <c r="F110" s="69"/>
      <c r="G110" s="69"/>
      <c r="H110" s="69"/>
      <c r="I110" s="55"/>
      <c r="J110" s="55"/>
      <c r="K110" s="65"/>
      <c r="L110" s="65"/>
      <c r="M110" s="65"/>
      <c r="N110" s="65"/>
      <c r="O110" s="65"/>
      <c r="P110" s="65"/>
      <c r="Q110" s="65"/>
      <c r="R110" s="65"/>
      <c r="S110" s="65"/>
      <c r="T110" s="65"/>
      <c r="U110" s="65"/>
      <c r="V110" s="65"/>
      <c r="W110" s="65"/>
      <c r="X110" s="65"/>
    </row>
    <row r="111">
      <c r="A111" s="63"/>
      <c r="B111" s="63"/>
      <c r="C111" s="49"/>
      <c r="D111" s="49"/>
      <c r="E111" s="69"/>
      <c r="F111" s="69"/>
      <c r="G111" s="69"/>
      <c r="H111" s="69"/>
      <c r="I111" s="55"/>
      <c r="J111" s="55"/>
      <c r="K111" s="65"/>
      <c r="L111" s="65"/>
      <c r="M111" s="65"/>
      <c r="N111" s="65"/>
      <c r="O111" s="65"/>
      <c r="P111" s="65"/>
      <c r="Q111" s="65"/>
      <c r="R111" s="65"/>
      <c r="S111" s="65"/>
      <c r="T111" s="65"/>
      <c r="U111" s="65"/>
      <c r="V111" s="65"/>
      <c r="W111" s="65"/>
      <c r="X111" s="65"/>
    </row>
    <row r="112">
      <c r="A112" s="63"/>
      <c r="B112" s="63"/>
      <c r="C112" s="49"/>
      <c r="D112" s="49"/>
      <c r="E112" s="69"/>
      <c r="F112" s="69"/>
      <c r="G112" s="69"/>
      <c r="H112" s="69"/>
      <c r="I112" s="55"/>
      <c r="J112" s="55"/>
      <c r="K112" s="65"/>
      <c r="L112" s="65"/>
      <c r="M112" s="65"/>
      <c r="N112" s="65"/>
      <c r="O112" s="65"/>
      <c r="P112" s="65"/>
      <c r="Q112" s="65"/>
      <c r="R112" s="65"/>
      <c r="S112" s="65"/>
      <c r="T112" s="65"/>
      <c r="U112" s="65"/>
      <c r="V112" s="65"/>
      <c r="W112" s="65"/>
      <c r="X112" s="65"/>
    </row>
    <row r="113">
      <c r="A113" s="63"/>
      <c r="B113" s="63"/>
      <c r="C113" s="49"/>
      <c r="D113" s="49"/>
      <c r="E113" s="69"/>
      <c r="F113" s="69"/>
      <c r="G113" s="69"/>
      <c r="H113" s="69"/>
      <c r="I113" s="55"/>
      <c r="J113" s="55"/>
      <c r="K113" s="65"/>
      <c r="L113" s="65"/>
      <c r="M113" s="65"/>
      <c r="N113" s="65"/>
      <c r="O113" s="65"/>
      <c r="P113" s="65"/>
      <c r="Q113" s="65"/>
      <c r="R113" s="65"/>
      <c r="S113" s="65"/>
      <c r="T113" s="65"/>
      <c r="U113" s="65"/>
      <c r="V113" s="65"/>
      <c r="W113" s="65"/>
      <c r="X113" s="65"/>
    </row>
    <row r="114">
      <c r="A114" s="63"/>
      <c r="B114" s="63"/>
      <c r="C114" s="49"/>
      <c r="D114" s="49"/>
      <c r="E114" s="69"/>
      <c r="F114" s="69"/>
      <c r="G114" s="69"/>
      <c r="H114" s="69"/>
      <c r="I114" s="55"/>
      <c r="J114" s="55"/>
      <c r="K114" s="65"/>
      <c r="L114" s="65"/>
      <c r="M114" s="65"/>
      <c r="N114" s="65"/>
      <c r="O114" s="65"/>
      <c r="P114" s="65"/>
      <c r="Q114" s="65"/>
      <c r="R114" s="65"/>
      <c r="S114" s="65"/>
      <c r="T114" s="65"/>
      <c r="U114" s="65"/>
      <c r="V114" s="65"/>
      <c r="W114" s="65"/>
      <c r="X114" s="65"/>
    </row>
    <row r="115">
      <c r="A115" s="63"/>
      <c r="B115" s="63"/>
      <c r="C115" s="49"/>
      <c r="D115" s="49"/>
      <c r="E115" s="69"/>
      <c r="F115" s="69"/>
      <c r="G115" s="69"/>
      <c r="H115" s="69"/>
      <c r="I115" s="55"/>
      <c r="J115" s="55"/>
      <c r="K115" s="65"/>
      <c r="L115" s="65"/>
      <c r="M115" s="65"/>
      <c r="N115" s="65"/>
      <c r="O115" s="65"/>
      <c r="P115" s="65"/>
      <c r="Q115" s="65"/>
      <c r="R115" s="65"/>
      <c r="S115" s="65"/>
      <c r="T115" s="65"/>
      <c r="U115" s="65"/>
      <c r="V115" s="65"/>
      <c r="W115" s="65"/>
      <c r="X115" s="65"/>
    </row>
    <row r="116">
      <c r="A116" s="63"/>
      <c r="B116" s="63"/>
      <c r="C116" s="49"/>
      <c r="D116" s="49"/>
      <c r="E116" s="69"/>
      <c r="F116" s="69"/>
      <c r="G116" s="69"/>
      <c r="H116" s="69"/>
      <c r="I116" s="55"/>
      <c r="J116" s="55"/>
      <c r="K116" s="65"/>
      <c r="L116" s="65"/>
      <c r="M116" s="65"/>
      <c r="N116" s="65"/>
      <c r="O116" s="65"/>
      <c r="P116" s="65"/>
      <c r="Q116" s="65"/>
      <c r="R116" s="65"/>
      <c r="S116" s="65"/>
      <c r="T116" s="65"/>
      <c r="U116" s="65"/>
      <c r="V116" s="65"/>
      <c r="W116" s="65"/>
      <c r="X116" s="65"/>
    </row>
    <row r="117">
      <c r="A117" s="63"/>
      <c r="B117" s="63"/>
      <c r="C117" s="49"/>
      <c r="D117" s="49"/>
      <c r="E117" s="69"/>
      <c r="F117" s="69"/>
      <c r="G117" s="69"/>
      <c r="H117" s="69"/>
      <c r="I117" s="55"/>
      <c r="J117" s="55"/>
      <c r="K117" s="65"/>
      <c r="L117" s="65"/>
      <c r="M117" s="65"/>
      <c r="N117" s="65"/>
      <c r="O117" s="65"/>
      <c r="P117" s="65"/>
      <c r="Q117" s="65"/>
      <c r="R117" s="65"/>
      <c r="S117" s="65"/>
      <c r="T117" s="65"/>
      <c r="U117" s="65"/>
      <c r="V117" s="65"/>
      <c r="W117" s="65"/>
      <c r="X117" s="65"/>
    </row>
    <row r="118">
      <c r="A118" s="63"/>
      <c r="B118" s="63"/>
      <c r="C118" s="49"/>
      <c r="D118" s="49"/>
      <c r="E118" s="69"/>
      <c r="F118" s="69"/>
      <c r="G118" s="69"/>
      <c r="H118" s="69"/>
      <c r="I118" s="55"/>
      <c r="J118" s="55"/>
      <c r="K118" s="65"/>
      <c r="L118" s="65"/>
      <c r="M118" s="65"/>
      <c r="N118" s="65"/>
      <c r="O118" s="65"/>
      <c r="P118" s="65"/>
      <c r="Q118" s="65"/>
      <c r="R118" s="65"/>
      <c r="S118" s="65"/>
      <c r="T118" s="65"/>
      <c r="U118" s="65"/>
      <c r="V118" s="65"/>
      <c r="W118" s="65"/>
      <c r="X118" s="65"/>
    </row>
    <row r="119">
      <c r="A119" s="70"/>
      <c r="B119" s="63"/>
      <c r="C119" s="49"/>
      <c r="D119" s="49"/>
      <c r="E119" s="69"/>
      <c r="F119" s="69"/>
      <c r="G119" s="69"/>
      <c r="H119" s="69"/>
      <c r="I119" s="55"/>
      <c r="J119" s="55"/>
      <c r="K119" s="65"/>
      <c r="L119" s="65"/>
      <c r="M119" s="65"/>
      <c r="N119" s="65"/>
      <c r="O119" s="65"/>
      <c r="P119" s="65"/>
      <c r="Q119" s="65"/>
      <c r="R119" s="65"/>
      <c r="S119" s="65"/>
      <c r="T119" s="65"/>
      <c r="U119" s="65"/>
      <c r="V119" s="65"/>
      <c r="W119" s="65"/>
      <c r="X119" s="65"/>
    </row>
    <row r="120">
      <c r="A120" s="63"/>
      <c r="B120" s="63"/>
      <c r="C120" s="49"/>
      <c r="D120" s="49"/>
      <c r="E120" s="69"/>
      <c r="F120" s="69"/>
      <c r="G120" s="69"/>
      <c r="H120" s="69"/>
      <c r="I120" s="55"/>
      <c r="J120" s="55"/>
      <c r="K120" s="65"/>
      <c r="L120" s="65"/>
      <c r="M120" s="65"/>
      <c r="N120" s="65"/>
      <c r="O120" s="65"/>
      <c r="P120" s="65"/>
      <c r="Q120" s="65"/>
      <c r="R120" s="65"/>
      <c r="S120" s="65"/>
      <c r="T120" s="65"/>
      <c r="U120" s="65"/>
      <c r="V120" s="65"/>
      <c r="W120" s="65"/>
      <c r="X120" s="65"/>
    </row>
    <row r="121">
      <c r="A121" s="63"/>
      <c r="B121" s="63"/>
      <c r="C121" s="49"/>
      <c r="D121" s="49"/>
      <c r="E121" s="69"/>
      <c r="F121" s="69"/>
      <c r="G121" s="69"/>
      <c r="H121" s="69"/>
      <c r="I121" s="55"/>
      <c r="J121" s="55"/>
      <c r="K121" s="65"/>
      <c r="L121" s="65"/>
      <c r="M121" s="65"/>
      <c r="N121" s="65"/>
      <c r="O121" s="65"/>
      <c r="P121" s="65"/>
      <c r="Q121" s="65"/>
      <c r="R121" s="65"/>
      <c r="S121" s="65"/>
      <c r="T121" s="65"/>
      <c r="U121" s="65"/>
      <c r="V121" s="65"/>
      <c r="W121" s="65"/>
      <c r="X121" s="65"/>
    </row>
    <row r="122">
      <c r="A122" s="63"/>
      <c r="B122" s="63"/>
      <c r="C122" s="49"/>
      <c r="D122" s="49"/>
      <c r="E122" s="69"/>
      <c r="F122" s="69"/>
      <c r="G122" s="69"/>
      <c r="H122" s="69"/>
      <c r="I122" s="55"/>
      <c r="J122" s="55"/>
      <c r="K122" s="65"/>
      <c r="L122" s="65"/>
      <c r="M122" s="65"/>
      <c r="N122" s="65"/>
      <c r="O122" s="65"/>
      <c r="P122" s="65"/>
      <c r="Q122" s="65"/>
      <c r="R122" s="65"/>
      <c r="S122" s="65"/>
      <c r="T122" s="65"/>
      <c r="U122" s="65"/>
      <c r="V122" s="65"/>
      <c r="W122" s="65"/>
      <c r="X122" s="65"/>
    </row>
    <row r="123">
      <c r="A123" s="63"/>
      <c r="B123" s="63"/>
      <c r="C123" s="49"/>
      <c r="D123" s="49"/>
      <c r="E123" s="69"/>
      <c r="F123" s="69"/>
      <c r="G123" s="69"/>
      <c r="H123" s="69"/>
      <c r="I123" s="55"/>
      <c r="J123" s="55"/>
      <c r="K123" s="65"/>
      <c r="L123" s="65"/>
      <c r="M123" s="65"/>
      <c r="N123" s="65"/>
      <c r="O123" s="65"/>
      <c r="P123" s="65"/>
      <c r="Q123" s="65"/>
      <c r="R123" s="65"/>
      <c r="S123" s="65"/>
      <c r="T123" s="65"/>
      <c r="U123" s="65"/>
      <c r="V123" s="65"/>
      <c r="W123" s="65"/>
      <c r="X123" s="65"/>
    </row>
    <row r="124">
      <c r="A124" s="63"/>
      <c r="B124" s="63"/>
      <c r="C124" s="49"/>
      <c r="D124" s="49"/>
      <c r="E124" s="69"/>
      <c r="F124" s="69"/>
      <c r="G124" s="69"/>
      <c r="H124" s="69"/>
      <c r="I124" s="55"/>
      <c r="J124" s="55"/>
      <c r="K124" s="65"/>
      <c r="L124" s="65"/>
      <c r="M124" s="65"/>
      <c r="N124" s="65"/>
      <c r="O124" s="65"/>
      <c r="P124" s="65"/>
      <c r="Q124" s="65"/>
      <c r="R124" s="65"/>
      <c r="S124" s="65"/>
      <c r="T124" s="65"/>
      <c r="U124" s="65"/>
      <c r="V124" s="65"/>
      <c r="W124" s="65"/>
      <c r="X124" s="65"/>
    </row>
    <row r="125">
      <c r="A125" s="63"/>
      <c r="B125" s="63"/>
      <c r="C125" s="49"/>
      <c r="D125" s="49"/>
      <c r="E125" s="69"/>
      <c r="F125" s="69"/>
      <c r="G125" s="69"/>
      <c r="H125" s="69"/>
      <c r="I125" s="55"/>
      <c r="J125" s="55"/>
      <c r="K125" s="65"/>
      <c r="L125" s="65"/>
      <c r="M125" s="65"/>
      <c r="N125" s="65"/>
      <c r="O125" s="65"/>
      <c r="P125" s="65"/>
      <c r="Q125" s="65"/>
      <c r="R125" s="65"/>
      <c r="S125" s="65"/>
      <c r="T125" s="65"/>
      <c r="U125" s="65"/>
      <c r="V125" s="65"/>
      <c r="W125" s="65"/>
      <c r="X125" s="65"/>
    </row>
    <row r="126">
      <c r="A126" s="63"/>
      <c r="B126" s="63"/>
      <c r="C126" s="49"/>
      <c r="D126" s="49"/>
      <c r="E126" s="69"/>
      <c r="F126" s="69"/>
      <c r="G126" s="69"/>
      <c r="H126" s="69"/>
      <c r="I126" s="55"/>
      <c r="J126" s="55"/>
      <c r="K126" s="65"/>
      <c r="L126" s="65"/>
      <c r="M126" s="65"/>
      <c r="N126" s="65"/>
      <c r="O126" s="65"/>
      <c r="P126" s="65"/>
      <c r="Q126" s="65"/>
      <c r="R126" s="65"/>
      <c r="S126" s="65"/>
      <c r="T126" s="65"/>
      <c r="U126" s="65"/>
      <c r="V126" s="65"/>
      <c r="W126" s="65"/>
      <c r="X126" s="65"/>
    </row>
    <row r="127">
      <c r="A127" s="63"/>
      <c r="B127" s="63"/>
      <c r="C127" s="49"/>
      <c r="D127" s="49"/>
      <c r="E127" s="69"/>
      <c r="F127" s="69"/>
      <c r="G127" s="69"/>
      <c r="H127" s="69"/>
      <c r="I127" s="55"/>
      <c r="J127" s="55"/>
      <c r="K127" s="65"/>
      <c r="L127" s="65"/>
      <c r="M127" s="65"/>
      <c r="N127" s="65"/>
      <c r="O127" s="65"/>
      <c r="P127" s="65"/>
      <c r="Q127" s="65"/>
      <c r="R127" s="65"/>
      <c r="S127" s="65"/>
      <c r="T127" s="65"/>
      <c r="U127" s="65"/>
      <c r="V127" s="65"/>
      <c r="W127" s="65"/>
      <c r="X127" s="65"/>
    </row>
    <row r="128">
      <c r="A128" s="64"/>
      <c r="B128" s="64"/>
      <c r="C128" s="49"/>
      <c r="D128" s="49"/>
      <c r="E128" s="71"/>
      <c r="F128" s="71"/>
      <c r="G128" s="71"/>
      <c r="H128" s="71"/>
      <c r="I128" s="28"/>
      <c r="J128" s="28"/>
      <c r="K128" s="65"/>
      <c r="L128" s="65"/>
      <c r="M128" s="65"/>
      <c r="N128" s="65"/>
      <c r="O128" s="65"/>
      <c r="P128" s="65"/>
      <c r="Q128" s="65"/>
      <c r="R128" s="65"/>
      <c r="S128" s="65"/>
      <c r="T128" s="65"/>
      <c r="U128" s="65"/>
      <c r="V128" s="65"/>
      <c r="W128" s="65"/>
      <c r="X128" s="65"/>
    </row>
    <row r="129">
      <c r="A129" s="64"/>
      <c r="B129" s="64"/>
      <c r="C129" s="49"/>
      <c r="D129" s="49"/>
      <c r="E129" s="71"/>
      <c r="F129" s="71"/>
      <c r="G129" s="71"/>
      <c r="H129" s="71"/>
      <c r="I129" s="28"/>
      <c r="J129" s="28"/>
      <c r="K129" s="65"/>
      <c r="L129" s="65"/>
      <c r="M129" s="65"/>
      <c r="N129" s="65"/>
      <c r="O129" s="65"/>
      <c r="P129" s="65"/>
      <c r="Q129" s="65"/>
      <c r="R129" s="65"/>
      <c r="S129" s="65"/>
      <c r="T129" s="65"/>
      <c r="U129" s="65"/>
      <c r="V129" s="65"/>
      <c r="W129" s="65"/>
      <c r="X129" s="65"/>
    </row>
    <row r="130">
      <c r="A130" s="64"/>
      <c r="B130" s="64"/>
      <c r="C130" s="49"/>
      <c r="D130" s="49"/>
      <c r="E130" s="71"/>
      <c r="F130" s="71"/>
      <c r="G130" s="71"/>
      <c r="H130" s="71"/>
      <c r="I130" s="28"/>
      <c r="J130" s="28"/>
      <c r="K130" s="65"/>
      <c r="L130" s="65"/>
      <c r="M130" s="65"/>
      <c r="N130" s="65"/>
      <c r="O130" s="65"/>
      <c r="P130" s="65"/>
      <c r="Q130" s="65"/>
      <c r="R130" s="65"/>
      <c r="S130" s="65"/>
      <c r="T130" s="65"/>
      <c r="U130" s="65"/>
      <c r="V130" s="65"/>
      <c r="W130" s="65"/>
      <c r="X130" s="65"/>
    </row>
    <row r="131">
      <c r="A131" s="64"/>
      <c r="B131" s="64"/>
      <c r="C131" s="49"/>
      <c r="D131" s="49"/>
      <c r="E131" s="71"/>
      <c r="F131" s="71"/>
      <c r="G131" s="71"/>
      <c r="H131" s="71"/>
      <c r="I131" s="28"/>
      <c r="J131" s="28"/>
      <c r="K131" s="65"/>
      <c r="L131" s="65"/>
      <c r="M131" s="65"/>
      <c r="N131" s="65"/>
      <c r="O131" s="65"/>
      <c r="P131" s="65"/>
      <c r="Q131" s="65"/>
      <c r="R131" s="65"/>
      <c r="S131" s="65"/>
      <c r="T131" s="65"/>
      <c r="U131" s="65"/>
      <c r="V131" s="65"/>
      <c r="W131" s="65"/>
      <c r="X131" s="65"/>
    </row>
    <row r="132">
      <c r="A132" s="64"/>
      <c r="B132" s="64"/>
      <c r="C132" s="49"/>
      <c r="D132" s="49"/>
      <c r="E132" s="71"/>
      <c r="F132" s="71"/>
      <c r="G132" s="71"/>
      <c r="H132" s="71"/>
      <c r="I132" s="28"/>
      <c r="J132" s="28"/>
      <c r="K132" s="65"/>
      <c r="L132" s="65"/>
      <c r="M132" s="65"/>
      <c r="N132" s="65"/>
      <c r="O132" s="65"/>
      <c r="P132" s="65"/>
      <c r="Q132" s="65"/>
      <c r="R132" s="65"/>
      <c r="S132" s="65"/>
      <c r="T132" s="65"/>
      <c r="U132" s="65"/>
      <c r="V132" s="65"/>
      <c r="W132" s="65"/>
      <c r="X132" s="65"/>
    </row>
    <row r="133">
      <c r="A133" s="64"/>
      <c r="B133" s="64"/>
      <c r="C133" s="49"/>
      <c r="D133" s="49"/>
      <c r="E133" s="71"/>
      <c r="F133" s="71"/>
      <c r="G133" s="71"/>
      <c r="H133" s="71"/>
      <c r="I133" s="28"/>
      <c r="J133" s="28"/>
      <c r="K133" s="65"/>
      <c r="L133" s="65"/>
      <c r="M133" s="65"/>
      <c r="N133" s="65"/>
      <c r="O133" s="65"/>
      <c r="P133" s="65"/>
      <c r="Q133" s="65"/>
      <c r="R133" s="65"/>
      <c r="S133" s="65"/>
      <c r="T133" s="65"/>
      <c r="U133" s="65"/>
      <c r="V133" s="65"/>
      <c r="W133" s="65"/>
      <c r="X133" s="65"/>
    </row>
    <row r="134">
      <c r="A134" s="64"/>
      <c r="B134" s="64"/>
      <c r="C134" s="49"/>
      <c r="D134" s="49"/>
      <c r="E134" s="71"/>
      <c r="F134" s="71"/>
      <c r="G134" s="71"/>
      <c r="H134" s="71"/>
      <c r="I134" s="28"/>
      <c r="J134" s="28"/>
      <c r="K134" s="65"/>
      <c r="L134" s="65"/>
      <c r="M134" s="65"/>
      <c r="N134" s="65"/>
      <c r="O134" s="65"/>
      <c r="P134" s="65"/>
      <c r="Q134" s="65"/>
      <c r="R134" s="65"/>
      <c r="S134" s="65"/>
      <c r="T134" s="65"/>
      <c r="U134" s="65"/>
      <c r="V134" s="65"/>
      <c r="W134" s="65"/>
      <c r="X134" s="65"/>
    </row>
    <row r="135">
      <c r="A135" s="64"/>
      <c r="B135" s="64"/>
      <c r="C135" s="49"/>
      <c r="D135" s="49"/>
      <c r="E135" s="71"/>
      <c r="F135" s="71"/>
      <c r="G135" s="71"/>
      <c r="H135" s="71"/>
      <c r="I135" s="28"/>
      <c r="J135" s="28"/>
      <c r="K135" s="65"/>
      <c r="L135" s="65"/>
      <c r="M135" s="65"/>
      <c r="N135" s="65"/>
      <c r="O135" s="65"/>
      <c r="P135" s="65"/>
      <c r="Q135" s="65"/>
      <c r="R135" s="65"/>
      <c r="S135" s="65"/>
      <c r="T135" s="65"/>
      <c r="U135" s="65"/>
      <c r="V135" s="65"/>
      <c r="W135" s="65"/>
      <c r="X135" s="65"/>
    </row>
    <row r="136">
      <c r="A136" s="64"/>
      <c r="B136" s="64"/>
      <c r="C136" s="49"/>
      <c r="D136" s="49"/>
      <c r="E136" s="71"/>
      <c r="F136" s="71"/>
      <c r="G136" s="71"/>
      <c r="H136" s="71"/>
      <c r="I136" s="28"/>
      <c r="J136" s="28"/>
      <c r="K136" s="65"/>
      <c r="L136" s="65"/>
      <c r="M136" s="65"/>
      <c r="N136" s="65"/>
      <c r="O136" s="65"/>
      <c r="P136" s="65"/>
      <c r="Q136" s="65"/>
      <c r="R136" s="65"/>
      <c r="S136" s="65"/>
      <c r="T136" s="65"/>
      <c r="U136" s="65"/>
      <c r="V136" s="65"/>
      <c r="W136" s="65"/>
      <c r="X136" s="65"/>
    </row>
    <row r="137">
      <c r="A137" s="64"/>
      <c r="B137" s="64"/>
      <c r="C137" s="49"/>
      <c r="D137" s="49"/>
      <c r="E137" s="71"/>
      <c r="F137" s="71"/>
      <c r="G137" s="71"/>
      <c r="H137" s="71"/>
      <c r="I137" s="28"/>
      <c r="J137" s="28"/>
      <c r="K137" s="65"/>
      <c r="L137" s="65"/>
      <c r="M137" s="65"/>
      <c r="N137" s="65"/>
      <c r="O137" s="65"/>
      <c r="P137" s="65"/>
      <c r="Q137" s="65"/>
      <c r="R137" s="65"/>
      <c r="S137" s="65"/>
      <c r="T137" s="65"/>
      <c r="U137" s="65"/>
      <c r="V137" s="65"/>
      <c r="W137" s="65"/>
      <c r="X137" s="65"/>
    </row>
    <row r="138">
      <c r="A138" s="64"/>
      <c r="B138" s="64"/>
      <c r="C138" s="49"/>
      <c r="D138" s="49"/>
      <c r="E138" s="71"/>
      <c r="F138" s="71"/>
      <c r="G138" s="71"/>
      <c r="H138" s="71"/>
      <c r="I138" s="28"/>
      <c r="J138" s="28"/>
      <c r="K138" s="65"/>
      <c r="L138" s="65"/>
      <c r="M138" s="65"/>
      <c r="N138" s="65"/>
      <c r="O138" s="65"/>
      <c r="P138" s="65"/>
      <c r="Q138" s="65"/>
      <c r="R138" s="65"/>
      <c r="S138" s="65"/>
      <c r="T138" s="65"/>
      <c r="U138" s="65"/>
      <c r="V138" s="65"/>
      <c r="W138" s="65"/>
      <c r="X138" s="65"/>
    </row>
    <row r="139">
      <c r="A139" s="64"/>
      <c r="B139" s="64"/>
      <c r="C139" s="49"/>
      <c r="D139" s="49"/>
      <c r="E139" s="71"/>
      <c r="F139" s="71"/>
      <c r="G139" s="71"/>
      <c r="H139" s="71"/>
      <c r="I139" s="28"/>
      <c r="J139" s="28"/>
      <c r="K139" s="65"/>
      <c r="L139" s="65"/>
      <c r="M139" s="65"/>
      <c r="N139" s="65"/>
      <c r="O139" s="65"/>
      <c r="P139" s="65"/>
      <c r="Q139" s="65"/>
      <c r="R139" s="65"/>
      <c r="S139" s="65"/>
      <c r="T139" s="65"/>
      <c r="U139" s="65"/>
      <c r="V139" s="65"/>
      <c r="W139" s="65"/>
      <c r="X139" s="65"/>
    </row>
    <row r="140">
      <c r="A140" s="64"/>
      <c r="B140" s="64"/>
      <c r="C140" s="49"/>
      <c r="D140" s="49"/>
      <c r="E140" s="71"/>
      <c r="F140" s="71"/>
      <c r="G140" s="71"/>
      <c r="H140" s="71"/>
      <c r="I140" s="28"/>
      <c r="J140" s="28"/>
      <c r="K140" s="65"/>
      <c r="L140" s="65"/>
      <c r="M140" s="65"/>
      <c r="N140" s="65"/>
      <c r="O140" s="65"/>
      <c r="P140" s="65"/>
      <c r="Q140" s="65"/>
      <c r="R140" s="65"/>
      <c r="S140" s="65"/>
      <c r="T140" s="65"/>
      <c r="U140" s="65"/>
      <c r="V140" s="65"/>
      <c r="W140" s="65"/>
      <c r="X140" s="65"/>
    </row>
    <row r="141">
      <c r="A141" s="64"/>
      <c r="B141" s="64"/>
      <c r="C141" s="49"/>
      <c r="D141" s="49"/>
      <c r="E141" s="71"/>
      <c r="F141" s="71"/>
      <c r="G141" s="71"/>
      <c r="H141" s="71"/>
      <c r="I141" s="28"/>
      <c r="J141" s="28"/>
      <c r="K141" s="65"/>
      <c r="L141" s="65"/>
      <c r="M141" s="65"/>
      <c r="N141" s="65"/>
      <c r="O141" s="65"/>
      <c r="P141" s="65"/>
      <c r="Q141" s="65"/>
      <c r="R141" s="65"/>
      <c r="S141" s="65"/>
      <c r="T141" s="65"/>
      <c r="U141" s="65"/>
      <c r="V141" s="65"/>
      <c r="W141" s="65"/>
      <c r="X141" s="65"/>
    </row>
    <row r="142">
      <c r="A142" s="64"/>
      <c r="B142" s="64"/>
      <c r="C142" s="49"/>
      <c r="D142" s="49"/>
      <c r="E142" s="71"/>
      <c r="F142" s="71"/>
      <c r="G142" s="71"/>
      <c r="H142" s="71"/>
      <c r="I142" s="28"/>
      <c r="J142" s="28"/>
      <c r="K142" s="65"/>
      <c r="L142" s="65"/>
      <c r="M142" s="65"/>
      <c r="N142" s="65"/>
      <c r="O142" s="65"/>
      <c r="P142" s="65"/>
      <c r="Q142" s="65"/>
      <c r="R142" s="65"/>
      <c r="S142" s="65"/>
      <c r="T142" s="65"/>
      <c r="U142" s="65"/>
      <c r="V142" s="65"/>
      <c r="W142" s="65"/>
      <c r="X142" s="65"/>
    </row>
    <row r="143">
      <c r="A143" s="64"/>
      <c r="B143" s="64"/>
      <c r="C143" s="49"/>
      <c r="D143" s="49"/>
      <c r="E143" s="71"/>
      <c r="F143" s="71"/>
      <c r="G143" s="71"/>
      <c r="H143" s="71"/>
      <c r="I143" s="28"/>
      <c r="J143" s="28"/>
      <c r="K143" s="65"/>
      <c r="L143" s="65"/>
      <c r="M143" s="65"/>
      <c r="N143" s="65"/>
      <c r="O143" s="65"/>
      <c r="P143" s="65"/>
      <c r="Q143" s="65"/>
      <c r="R143" s="65"/>
      <c r="S143" s="65"/>
      <c r="T143" s="65"/>
      <c r="U143" s="65"/>
      <c r="V143" s="65"/>
      <c r="W143" s="65"/>
      <c r="X143" s="65"/>
    </row>
    <row r="144">
      <c r="A144" s="64"/>
      <c r="B144" s="64"/>
      <c r="C144" s="49"/>
      <c r="D144" s="49"/>
      <c r="E144" s="71"/>
      <c r="F144" s="71"/>
      <c r="G144" s="71"/>
      <c r="H144" s="71"/>
      <c r="I144" s="28"/>
      <c r="J144" s="28"/>
      <c r="K144" s="65"/>
      <c r="L144" s="65"/>
      <c r="M144" s="65"/>
      <c r="N144" s="65"/>
      <c r="O144" s="65"/>
      <c r="P144" s="65"/>
      <c r="Q144" s="65"/>
      <c r="R144" s="65"/>
      <c r="S144" s="65"/>
      <c r="T144" s="65"/>
      <c r="U144" s="65"/>
      <c r="V144" s="65"/>
      <c r="W144" s="65"/>
      <c r="X144" s="65"/>
    </row>
    <row r="145">
      <c r="A145" s="64"/>
      <c r="B145" s="64"/>
      <c r="C145" s="49"/>
      <c r="D145" s="49"/>
      <c r="E145" s="71"/>
      <c r="F145" s="71"/>
      <c r="G145" s="71"/>
      <c r="H145" s="71"/>
      <c r="I145" s="28"/>
      <c r="J145" s="28"/>
      <c r="K145" s="65"/>
      <c r="L145" s="65"/>
      <c r="M145" s="65"/>
      <c r="N145" s="65"/>
      <c r="O145" s="65"/>
      <c r="P145" s="65"/>
      <c r="Q145" s="65"/>
      <c r="R145" s="65"/>
      <c r="S145" s="65"/>
      <c r="T145" s="65"/>
      <c r="U145" s="65"/>
      <c r="V145" s="65"/>
      <c r="W145" s="65"/>
      <c r="X145" s="65"/>
    </row>
    <row r="146">
      <c r="A146" s="64"/>
      <c r="B146" s="64"/>
      <c r="C146" s="49"/>
      <c r="D146" s="49"/>
      <c r="E146" s="71"/>
      <c r="F146" s="71"/>
      <c r="G146" s="71"/>
      <c r="H146" s="71"/>
      <c r="I146" s="28"/>
      <c r="J146" s="28"/>
      <c r="K146" s="65"/>
      <c r="L146" s="65"/>
      <c r="M146" s="65"/>
      <c r="N146" s="65"/>
      <c r="O146" s="65"/>
      <c r="P146" s="65"/>
      <c r="Q146" s="65"/>
      <c r="R146" s="65"/>
      <c r="S146" s="65"/>
      <c r="T146" s="65"/>
      <c r="U146" s="65"/>
      <c r="V146" s="65"/>
      <c r="W146" s="65"/>
      <c r="X146" s="65"/>
    </row>
    <row r="147">
      <c r="A147" s="64"/>
      <c r="B147" s="64"/>
      <c r="C147" s="49"/>
      <c r="D147" s="49"/>
      <c r="E147" s="71"/>
      <c r="F147" s="71"/>
      <c r="G147" s="71"/>
      <c r="H147" s="71"/>
      <c r="I147" s="28"/>
      <c r="J147" s="28"/>
      <c r="K147" s="65"/>
      <c r="L147" s="65"/>
      <c r="M147" s="65"/>
      <c r="N147" s="65"/>
      <c r="O147" s="65"/>
      <c r="P147" s="65"/>
      <c r="Q147" s="65"/>
      <c r="R147" s="65"/>
      <c r="S147" s="65"/>
      <c r="T147" s="65"/>
      <c r="U147" s="65"/>
      <c r="V147" s="65"/>
      <c r="W147" s="65"/>
      <c r="X147" s="65"/>
    </row>
    <row r="148">
      <c r="A148" s="64"/>
      <c r="B148" s="64"/>
      <c r="C148" s="49"/>
      <c r="D148" s="49"/>
      <c r="E148" s="71"/>
      <c r="F148" s="71"/>
      <c r="G148" s="71"/>
      <c r="H148" s="71"/>
      <c r="I148" s="28"/>
      <c r="J148" s="28"/>
      <c r="K148" s="65"/>
      <c r="L148" s="65"/>
      <c r="M148" s="65"/>
      <c r="N148" s="65"/>
      <c r="O148" s="65"/>
      <c r="P148" s="65"/>
      <c r="Q148" s="65"/>
      <c r="R148" s="65"/>
      <c r="S148" s="65"/>
      <c r="T148" s="65"/>
      <c r="U148" s="65"/>
      <c r="V148" s="65"/>
      <c r="W148" s="65"/>
      <c r="X148" s="65"/>
    </row>
    <row r="149">
      <c r="A149" s="64"/>
      <c r="B149" s="64"/>
      <c r="C149" s="49"/>
      <c r="D149" s="49"/>
      <c r="E149" s="71"/>
      <c r="F149" s="71"/>
      <c r="G149" s="71"/>
      <c r="H149" s="71"/>
      <c r="I149" s="28"/>
      <c r="J149" s="28"/>
      <c r="K149" s="65"/>
      <c r="L149" s="65"/>
      <c r="M149" s="65"/>
      <c r="N149" s="65"/>
      <c r="O149" s="65"/>
      <c r="P149" s="65"/>
      <c r="Q149" s="65"/>
      <c r="R149" s="65"/>
      <c r="S149" s="65"/>
      <c r="T149" s="65"/>
      <c r="U149" s="65"/>
      <c r="V149" s="65"/>
      <c r="W149" s="65"/>
      <c r="X149" s="65"/>
    </row>
    <row r="150">
      <c r="A150" s="64"/>
      <c r="B150" s="64"/>
      <c r="C150" s="49"/>
      <c r="D150" s="49"/>
      <c r="E150" s="71"/>
      <c r="F150" s="71"/>
      <c r="G150" s="71"/>
      <c r="H150" s="71"/>
      <c r="I150" s="28"/>
      <c r="J150" s="28"/>
      <c r="K150" s="65"/>
      <c r="L150" s="65"/>
      <c r="M150" s="65"/>
      <c r="N150" s="65"/>
      <c r="O150" s="65"/>
      <c r="P150" s="65"/>
      <c r="Q150" s="65"/>
      <c r="R150" s="65"/>
      <c r="S150" s="65"/>
      <c r="T150" s="65"/>
      <c r="U150" s="65"/>
      <c r="V150" s="65"/>
      <c r="W150" s="65"/>
      <c r="X150" s="65"/>
    </row>
    <row r="151">
      <c r="A151" s="64"/>
      <c r="B151" s="64"/>
      <c r="C151" s="49"/>
      <c r="D151" s="49"/>
      <c r="E151" s="71"/>
      <c r="F151" s="71"/>
      <c r="G151" s="71"/>
      <c r="H151" s="71"/>
      <c r="I151" s="28"/>
      <c r="J151" s="28"/>
      <c r="K151" s="65"/>
      <c r="L151" s="65"/>
      <c r="M151" s="65"/>
      <c r="N151" s="65"/>
      <c r="O151" s="65"/>
      <c r="P151" s="65"/>
      <c r="Q151" s="65"/>
      <c r="R151" s="65"/>
      <c r="S151" s="65"/>
      <c r="T151" s="65"/>
      <c r="U151" s="65"/>
      <c r="V151" s="65"/>
      <c r="W151" s="65"/>
      <c r="X151" s="65"/>
    </row>
    <row r="152">
      <c r="A152" s="64"/>
      <c r="B152" s="64"/>
      <c r="C152" s="49"/>
      <c r="D152" s="49"/>
      <c r="E152" s="71"/>
      <c r="F152" s="71"/>
      <c r="G152" s="71"/>
      <c r="H152" s="71"/>
      <c r="I152" s="28"/>
      <c r="J152" s="28"/>
      <c r="K152" s="65"/>
      <c r="L152" s="65"/>
      <c r="M152" s="65"/>
      <c r="N152" s="65"/>
      <c r="O152" s="65"/>
      <c r="P152" s="65"/>
      <c r="Q152" s="65"/>
      <c r="R152" s="65"/>
      <c r="S152" s="65"/>
      <c r="T152" s="65"/>
      <c r="U152" s="65"/>
      <c r="V152" s="65"/>
      <c r="W152" s="65"/>
      <c r="X152" s="65"/>
    </row>
    <row r="153">
      <c r="A153" s="64"/>
      <c r="B153" s="64"/>
      <c r="C153" s="49"/>
      <c r="D153" s="49"/>
      <c r="E153" s="71"/>
      <c r="F153" s="71"/>
      <c r="G153" s="71"/>
      <c r="H153" s="71"/>
      <c r="I153" s="28"/>
      <c r="J153" s="28"/>
      <c r="K153" s="65"/>
      <c r="L153" s="65"/>
      <c r="M153" s="65"/>
      <c r="N153" s="65"/>
      <c r="O153" s="65"/>
      <c r="P153" s="65"/>
      <c r="Q153" s="65"/>
      <c r="R153" s="65"/>
      <c r="S153" s="65"/>
      <c r="T153" s="65"/>
      <c r="U153" s="65"/>
      <c r="V153" s="65"/>
      <c r="W153" s="65"/>
      <c r="X153" s="65"/>
    </row>
    <row r="154">
      <c r="A154" s="64"/>
      <c r="B154" s="64"/>
      <c r="C154" s="49"/>
      <c r="D154" s="49"/>
      <c r="E154" s="71"/>
      <c r="F154" s="71"/>
      <c r="G154" s="71"/>
      <c r="H154" s="71"/>
      <c r="I154" s="28"/>
      <c r="J154" s="28"/>
      <c r="K154" s="65"/>
      <c r="L154" s="65"/>
      <c r="M154" s="65"/>
      <c r="N154" s="65"/>
      <c r="O154" s="65"/>
      <c r="P154" s="65"/>
      <c r="Q154" s="65"/>
      <c r="R154" s="65"/>
      <c r="S154" s="65"/>
      <c r="T154" s="65"/>
      <c r="U154" s="65"/>
      <c r="V154" s="65"/>
      <c r="W154" s="65"/>
      <c r="X154" s="65"/>
    </row>
    <row r="155">
      <c r="A155" s="64"/>
      <c r="B155" s="64"/>
      <c r="C155" s="49"/>
      <c r="D155" s="49"/>
      <c r="E155" s="71"/>
      <c r="F155" s="71"/>
      <c r="G155" s="71"/>
      <c r="H155" s="71"/>
      <c r="I155" s="28"/>
      <c r="J155" s="28"/>
      <c r="K155" s="65"/>
      <c r="L155" s="65"/>
      <c r="M155" s="65"/>
      <c r="N155" s="65"/>
      <c r="O155" s="65"/>
      <c r="P155" s="65"/>
      <c r="Q155" s="65"/>
      <c r="R155" s="65"/>
      <c r="S155" s="65"/>
      <c r="T155" s="65"/>
      <c r="U155" s="65"/>
      <c r="V155" s="65"/>
      <c r="W155" s="65"/>
      <c r="X155" s="65"/>
    </row>
    <row r="156">
      <c r="A156" s="64"/>
      <c r="B156" s="64"/>
      <c r="C156" s="49"/>
      <c r="D156" s="49"/>
      <c r="E156" s="71"/>
      <c r="F156" s="71"/>
      <c r="G156" s="71"/>
      <c r="H156" s="71"/>
      <c r="I156" s="28"/>
      <c r="J156" s="28"/>
      <c r="K156" s="65"/>
      <c r="L156" s="65"/>
      <c r="M156" s="65"/>
      <c r="N156" s="65"/>
      <c r="O156" s="65"/>
      <c r="P156" s="65"/>
      <c r="Q156" s="65"/>
      <c r="R156" s="65"/>
      <c r="S156" s="65"/>
      <c r="T156" s="65"/>
      <c r="U156" s="65"/>
      <c r="V156" s="65"/>
      <c r="W156" s="65"/>
      <c r="X156" s="65"/>
    </row>
    <row r="157">
      <c r="A157" s="64"/>
      <c r="B157" s="64"/>
      <c r="C157" s="49"/>
      <c r="D157" s="49"/>
      <c r="E157" s="71"/>
      <c r="F157" s="71"/>
      <c r="G157" s="71"/>
      <c r="H157" s="71"/>
      <c r="I157" s="28"/>
      <c r="J157" s="28"/>
      <c r="K157" s="65"/>
      <c r="L157" s="65"/>
      <c r="M157" s="65"/>
      <c r="N157" s="65"/>
      <c r="O157" s="65"/>
      <c r="P157" s="65"/>
      <c r="Q157" s="65"/>
      <c r="R157" s="65"/>
      <c r="S157" s="65"/>
      <c r="T157" s="65"/>
      <c r="U157" s="65"/>
      <c r="V157" s="65"/>
      <c r="W157" s="65"/>
      <c r="X157" s="65"/>
    </row>
    <row r="158">
      <c r="A158" s="64"/>
      <c r="B158" s="64"/>
      <c r="C158" s="49"/>
      <c r="D158" s="49"/>
      <c r="E158" s="71"/>
      <c r="F158" s="71"/>
      <c r="G158" s="71"/>
      <c r="H158" s="71"/>
      <c r="I158" s="28"/>
      <c r="J158" s="28"/>
      <c r="K158" s="65"/>
      <c r="L158" s="65"/>
      <c r="M158" s="65"/>
      <c r="N158" s="65"/>
      <c r="O158" s="65"/>
      <c r="P158" s="65"/>
      <c r="Q158" s="65"/>
      <c r="R158" s="65"/>
      <c r="S158" s="65"/>
      <c r="T158" s="65"/>
      <c r="U158" s="65"/>
      <c r="V158" s="65"/>
      <c r="W158" s="65"/>
      <c r="X158" s="65"/>
    </row>
    <row r="159">
      <c r="A159" s="64"/>
      <c r="B159" s="64"/>
      <c r="C159" s="49"/>
      <c r="D159" s="49"/>
      <c r="E159" s="71"/>
      <c r="F159" s="71"/>
      <c r="G159" s="71"/>
      <c r="H159" s="71"/>
      <c r="I159" s="28"/>
      <c r="J159" s="28"/>
      <c r="K159" s="65"/>
      <c r="L159" s="65"/>
      <c r="M159" s="65"/>
      <c r="N159" s="65"/>
      <c r="O159" s="65"/>
      <c r="P159" s="65"/>
      <c r="Q159" s="65"/>
      <c r="R159" s="65"/>
      <c r="S159" s="65"/>
      <c r="T159" s="65"/>
      <c r="U159" s="65"/>
      <c r="V159" s="65"/>
      <c r="W159" s="65"/>
      <c r="X159" s="65"/>
    </row>
    <row r="160">
      <c r="A160" s="64"/>
      <c r="B160" s="64"/>
      <c r="C160" s="49"/>
      <c r="D160" s="49"/>
      <c r="E160" s="71"/>
      <c r="F160" s="71"/>
      <c r="G160" s="71"/>
      <c r="H160" s="71"/>
      <c r="I160" s="28"/>
      <c r="J160" s="28"/>
      <c r="K160" s="65"/>
      <c r="L160" s="65"/>
      <c r="M160" s="65"/>
      <c r="N160" s="65"/>
      <c r="O160" s="65"/>
      <c r="P160" s="65"/>
      <c r="Q160" s="65"/>
      <c r="R160" s="65"/>
      <c r="S160" s="65"/>
      <c r="T160" s="65"/>
      <c r="U160" s="65"/>
      <c r="V160" s="65"/>
      <c r="W160" s="65"/>
      <c r="X160" s="65"/>
    </row>
    <row r="161">
      <c r="A161" s="64"/>
      <c r="B161" s="64"/>
      <c r="C161" s="49"/>
      <c r="D161" s="49"/>
      <c r="E161" s="71"/>
      <c r="F161" s="71"/>
      <c r="G161" s="71"/>
      <c r="H161" s="71"/>
      <c r="I161" s="28"/>
      <c r="J161" s="28"/>
      <c r="K161" s="65"/>
      <c r="L161" s="65"/>
      <c r="M161" s="65"/>
      <c r="N161" s="65"/>
      <c r="O161" s="65"/>
      <c r="P161" s="65"/>
      <c r="Q161" s="65"/>
      <c r="R161" s="65"/>
      <c r="S161" s="65"/>
      <c r="T161" s="65"/>
      <c r="U161" s="65"/>
      <c r="V161" s="65"/>
      <c r="W161" s="65"/>
      <c r="X161" s="65"/>
    </row>
    <row r="162">
      <c r="A162" s="64"/>
      <c r="B162" s="64"/>
      <c r="C162" s="49"/>
      <c r="D162" s="49"/>
      <c r="E162" s="71"/>
      <c r="F162" s="71"/>
      <c r="G162" s="71"/>
      <c r="H162" s="71"/>
      <c r="I162" s="28"/>
      <c r="J162" s="28"/>
      <c r="K162" s="65"/>
      <c r="L162" s="65"/>
      <c r="M162" s="65"/>
      <c r="N162" s="65"/>
      <c r="O162" s="65"/>
      <c r="P162" s="65"/>
      <c r="Q162" s="65"/>
      <c r="R162" s="65"/>
      <c r="S162" s="65"/>
      <c r="T162" s="65"/>
      <c r="U162" s="65"/>
      <c r="V162" s="65"/>
      <c r="W162" s="65"/>
      <c r="X162" s="65"/>
    </row>
    <row r="163">
      <c r="A163" s="64"/>
      <c r="B163" s="64"/>
      <c r="C163" s="49"/>
      <c r="D163" s="49"/>
      <c r="E163" s="71"/>
      <c r="F163" s="71"/>
      <c r="G163" s="71"/>
      <c r="H163" s="71"/>
      <c r="I163" s="28"/>
      <c r="J163" s="28"/>
      <c r="K163" s="65"/>
      <c r="L163" s="65"/>
      <c r="M163" s="65"/>
      <c r="N163" s="65"/>
      <c r="O163" s="65"/>
      <c r="P163" s="65"/>
      <c r="Q163" s="65"/>
      <c r="R163" s="65"/>
      <c r="S163" s="65"/>
      <c r="T163" s="65"/>
      <c r="U163" s="65"/>
      <c r="V163" s="65"/>
      <c r="W163" s="65"/>
      <c r="X163" s="65"/>
    </row>
    <row r="164">
      <c r="A164" s="64"/>
      <c r="B164" s="64"/>
      <c r="C164" s="49"/>
      <c r="D164" s="49"/>
      <c r="E164" s="71"/>
      <c r="F164" s="71"/>
      <c r="G164" s="71"/>
      <c r="H164" s="71"/>
      <c r="I164" s="28"/>
      <c r="J164" s="28"/>
      <c r="K164" s="65"/>
      <c r="L164" s="65"/>
      <c r="M164" s="65"/>
      <c r="N164" s="65"/>
      <c r="O164" s="65"/>
      <c r="P164" s="65"/>
      <c r="Q164" s="65"/>
      <c r="R164" s="65"/>
      <c r="S164" s="65"/>
      <c r="T164" s="65"/>
      <c r="U164" s="65"/>
      <c r="V164" s="65"/>
      <c r="W164" s="65"/>
      <c r="X164" s="65"/>
    </row>
    <row r="165">
      <c r="A165" s="64"/>
      <c r="B165" s="64"/>
      <c r="C165" s="49"/>
      <c r="D165" s="49"/>
      <c r="E165" s="71"/>
      <c r="F165" s="71"/>
      <c r="G165" s="71"/>
      <c r="H165" s="71"/>
      <c r="I165" s="28"/>
      <c r="J165" s="28"/>
      <c r="K165" s="65"/>
      <c r="L165" s="65"/>
      <c r="M165" s="65"/>
      <c r="N165" s="65"/>
      <c r="O165" s="65"/>
      <c r="P165" s="65"/>
      <c r="Q165" s="65"/>
      <c r="R165" s="65"/>
      <c r="S165" s="65"/>
      <c r="T165" s="65"/>
      <c r="U165" s="65"/>
      <c r="V165" s="65"/>
      <c r="W165" s="65"/>
      <c r="X165" s="65"/>
    </row>
    <row r="166">
      <c r="A166" s="64"/>
      <c r="B166" s="64"/>
      <c r="C166" s="49"/>
      <c r="D166" s="49"/>
      <c r="E166" s="71"/>
      <c r="F166" s="71"/>
      <c r="G166" s="71"/>
      <c r="H166" s="71"/>
      <c r="I166" s="28"/>
      <c r="J166" s="28"/>
      <c r="K166" s="65"/>
      <c r="L166" s="65"/>
      <c r="M166" s="65"/>
      <c r="N166" s="65"/>
      <c r="O166" s="65"/>
      <c r="P166" s="65"/>
      <c r="Q166" s="65"/>
      <c r="R166" s="65"/>
      <c r="S166" s="65"/>
      <c r="T166" s="65"/>
      <c r="U166" s="65"/>
      <c r="V166" s="65"/>
      <c r="W166" s="65"/>
      <c r="X166" s="65"/>
    </row>
    <row r="167">
      <c r="A167" s="64"/>
      <c r="B167" s="64"/>
      <c r="C167" s="49"/>
      <c r="D167" s="49"/>
      <c r="E167" s="71"/>
      <c r="F167" s="71"/>
      <c r="G167" s="71"/>
      <c r="H167" s="71"/>
      <c r="I167" s="28"/>
      <c r="J167" s="28"/>
      <c r="K167" s="65"/>
      <c r="L167" s="65"/>
      <c r="M167" s="65"/>
      <c r="N167" s="65"/>
      <c r="O167" s="65"/>
      <c r="P167" s="65"/>
      <c r="Q167" s="65"/>
      <c r="R167" s="65"/>
      <c r="S167" s="65"/>
      <c r="T167" s="65"/>
      <c r="U167" s="65"/>
      <c r="V167" s="65"/>
      <c r="W167" s="65"/>
      <c r="X167" s="65"/>
    </row>
    <row r="168">
      <c r="A168" s="64"/>
      <c r="B168" s="64"/>
      <c r="C168" s="49"/>
      <c r="D168" s="49"/>
      <c r="E168" s="71"/>
      <c r="F168" s="71"/>
      <c r="G168" s="71"/>
      <c r="H168" s="71"/>
      <c r="I168" s="28"/>
      <c r="J168" s="28"/>
      <c r="K168" s="65"/>
      <c r="L168" s="65"/>
      <c r="M168" s="65"/>
      <c r="N168" s="65"/>
      <c r="O168" s="65"/>
      <c r="P168" s="65"/>
      <c r="Q168" s="65"/>
      <c r="R168" s="65"/>
      <c r="S168" s="65"/>
      <c r="T168" s="65"/>
      <c r="U168" s="65"/>
      <c r="V168" s="65"/>
      <c r="W168" s="65"/>
      <c r="X168" s="65"/>
    </row>
    <row r="169">
      <c r="A169" s="64"/>
      <c r="B169" s="64"/>
      <c r="C169" s="49"/>
      <c r="D169" s="49"/>
      <c r="E169" s="71"/>
      <c r="F169" s="71"/>
      <c r="G169" s="71"/>
      <c r="H169" s="71"/>
      <c r="I169" s="28"/>
      <c r="J169" s="28"/>
      <c r="K169" s="65"/>
      <c r="L169" s="65"/>
      <c r="M169" s="65"/>
      <c r="N169" s="65"/>
      <c r="O169" s="65"/>
      <c r="P169" s="65"/>
      <c r="Q169" s="65"/>
      <c r="R169" s="65"/>
      <c r="S169" s="65"/>
      <c r="T169" s="65"/>
      <c r="U169" s="65"/>
      <c r="V169" s="65"/>
      <c r="W169" s="65"/>
      <c r="X169" s="65"/>
    </row>
    <row r="170">
      <c r="A170" s="64"/>
      <c r="B170" s="64"/>
      <c r="C170" s="49"/>
      <c r="D170" s="49"/>
      <c r="E170" s="71"/>
      <c r="F170" s="71"/>
      <c r="G170" s="71"/>
      <c r="H170" s="71"/>
      <c r="I170" s="28"/>
      <c r="J170" s="28"/>
      <c r="K170" s="65"/>
      <c r="L170" s="65"/>
      <c r="M170" s="65"/>
      <c r="N170" s="65"/>
      <c r="O170" s="65"/>
      <c r="P170" s="65"/>
      <c r="Q170" s="65"/>
      <c r="R170" s="65"/>
      <c r="S170" s="65"/>
      <c r="T170" s="65"/>
      <c r="U170" s="65"/>
      <c r="V170" s="65"/>
      <c r="W170" s="65"/>
      <c r="X170" s="65"/>
    </row>
    <row r="171">
      <c r="A171" s="64"/>
      <c r="B171" s="64"/>
      <c r="C171" s="49"/>
      <c r="D171" s="49"/>
      <c r="E171" s="71"/>
      <c r="F171" s="71"/>
      <c r="G171" s="71"/>
      <c r="H171" s="71"/>
      <c r="I171" s="28"/>
      <c r="J171" s="28"/>
      <c r="K171" s="65"/>
      <c r="L171" s="65"/>
      <c r="M171" s="65"/>
      <c r="N171" s="65"/>
      <c r="O171" s="65"/>
      <c r="P171" s="65"/>
      <c r="Q171" s="65"/>
      <c r="R171" s="65"/>
      <c r="S171" s="65"/>
      <c r="T171" s="65"/>
      <c r="U171" s="65"/>
      <c r="V171" s="65"/>
      <c r="W171" s="65"/>
      <c r="X171" s="65"/>
    </row>
    <row r="172">
      <c r="A172" s="64"/>
      <c r="B172" s="64"/>
      <c r="C172" s="49"/>
      <c r="D172" s="49"/>
      <c r="E172" s="71"/>
      <c r="F172" s="71"/>
      <c r="G172" s="71"/>
      <c r="H172" s="71"/>
      <c r="I172" s="28"/>
      <c r="J172" s="28"/>
      <c r="K172" s="65"/>
      <c r="L172" s="65"/>
      <c r="M172" s="65"/>
      <c r="N172" s="65"/>
      <c r="O172" s="65"/>
      <c r="P172" s="65"/>
      <c r="Q172" s="65"/>
      <c r="R172" s="65"/>
      <c r="S172" s="65"/>
      <c r="T172" s="65"/>
      <c r="U172" s="65"/>
      <c r="V172" s="65"/>
      <c r="W172" s="65"/>
      <c r="X172" s="65"/>
    </row>
    <row r="173">
      <c r="A173" s="64"/>
      <c r="B173" s="64"/>
      <c r="C173" s="49"/>
      <c r="D173" s="49"/>
      <c r="E173" s="71"/>
      <c r="F173" s="71"/>
      <c r="G173" s="71"/>
      <c r="H173" s="71"/>
      <c r="I173" s="28"/>
      <c r="J173" s="28"/>
      <c r="K173" s="65"/>
      <c r="L173" s="65"/>
      <c r="M173" s="65"/>
      <c r="N173" s="65"/>
      <c r="O173" s="65"/>
      <c r="P173" s="65"/>
      <c r="Q173" s="65"/>
      <c r="R173" s="65"/>
      <c r="S173" s="65"/>
      <c r="T173" s="65"/>
      <c r="U173" s="65"/>
      <c r="V173" s="65"/>
      <c r="W173" s="65"/>
      <c r="X173" s="65"/>
    </row>
    <row r="174">
      <c r="A174" s="64"/>
      <c r="B174" s="64"/>
      <c r="C174" s="49"/>
      <c r="D174" s="49"/>
      <c r="E174" s="71"/>
      <c r="F174" s="71"/>
      <c r="G174" s="71"/>
      <c r="H174" s="71"/>
      <c r="I174" s="28"/>
      <c r="J174" s="28"/>
      <c r="K174" s="65"/>
      <c r="L174" s="65"/>
      <c r="M174" s="65"/>
      <c r="N174" s="65"/>
      <c r="O174" s="65"/>
      <c r="P174" s="65"/>
      <c r="Q174" s="65"/>
      <c r="R174" s="65"/>
      <c r="S174" s="65"/>
      <c r="T174" s="65"/>
      <c r="U174" s="65"/>
      <c r="V174" s="65"/>
      <c r="W174" s="65"/>
      <c r="X174" s="65"/>
    </row>
    <row r="175">
      <c r="A175" s="64"/>
      <c r="B175" s="64"/>
      <c r="C175" s="49"/>
      <c r="D175" s="49"/>
      <c r="E175" s="71"/>
      <c r="F175" s="71"/>
      <c r="G175" s="71"/>
      <c r="H175" s="71"/>
      <c r="I175" s="28"/>
      <c r="J175" s="28"/>
      <c r="K175" s="65"/>
      <c r="L175" s="65"/>
      <c r="M175" s="65"/>
      <c r="N175" s="65"/>
      <c r="O175" s="65"/>
      <c r="P175" s="65"/>
      <c r="Q175" s="65"/>
      <c r="R175" s="65"/>
      <c r="S175" s="65"/>
      <c r="T175" s="65"/>
      <c r="U175" s="65"/>
      <c r="V175" s="65"/>
      <c r="W175" s="65"/>
      <c r="X175" s="65"/>
    </row>
    <row r="176">
      <c r="A176" s="64"/>
      <c r="B176" s="64"/>
      <c r="C176" s="49"/>
      <c r="D176" s="49"/>
      <c r="E176" s="71"/>
      <c r="F176" s="71"/>
      <c r="G176" s="71"/>
      <c r="H176" s="71"/>
      <c r="I176" s="28"/>
      <c r="J176" s="28"/>
      <c r="K176" s="65"/>
      <c r="L176" s="65"/>
      <c r="M176" s="65"/>
      <c r="N176" s="65"/>
      <c r="O176" s="65"/>
      <c r="P176" s="65"/>
      <c r="Q176" s="65"/>
      <c r="R176" s="65"/>
      <c r="S176" s="65"/>
      <c r="T176" s="65"/>
      <c r="U176" s="65"/>
      <c r="V176" s="65"/>
      <c r="W176" s="65"/>
      <c r="X176" s="65"/>
    </row>
    <row r="177">
      <c r="A177" s="64"/>
      <c r="B177" s="64"/>
      <c r="C177" s="49"/>
      <c r="D177" s="49"/>
      <c r="E177" s="71"/>
      <c r="F177" s="71"/>
      <c r="G177" s="71"/>
      <c r="H177" s="71"/>
      <c r="I177" s="28"/>
      <c r="J177" s="28"/>
      <c r="K177" s="65"/>
      <c r="L177" s="65"/>
      <c r="M177" s="65"/>
      <c r="N177" s="65"/>
      <c r="O177" s="65"/>
      <c r="P177" s="65"/>
      <c r="Q177" s="65"/>
      <c r="R177" s="65"/>
      <c r="S177" s="65"/>
      <c r="T177" s="65"/>
      <c r="U177" s="65"/>
      <c r="V177" s="65"/>
      <c r="W177" s="65"/>
      <c r="X177" s="65"/>
    </row>
    <row r="178">
      <c r="A178" s="64"/>
      <c r="B178" s="64"/>
      <c r="C178" s="49"/>
      <c r="D178" s="49"/>
      <c r="E178" s="71"/>
      <c r="F178" s="71"/>
      <c r="G178" s="71"/>
      <c r="H178" s="71"/>
      <c r="I178" s="28"/>
      <c r="J178" s="28"/>
      <c r="K178" s="65"/>
      <c r="L178" s="65"/>
      <c r="M178" s="65"/>
      <c r="N178" s="65"/>
      <c r="O178" s="65"/>
      <c r="P178" s="65"/>
      <c r="Q178" s="65"/>
      <c r="R178" s="65"/>
      <c r="S178" s="65"/>
      <c r="T178" s="65"/>
      <c r="U178" s="65"/>
      <c r="V178" s="65"/>
      <c r="W178" s="65"/>
      <c r="X178" s="65"/>
    </row>
    <row r="179">
      <c r="A179" s="64"/>
      <c r="B179" s="64"/>
      <c r="C179" s="49"/>
      <c r="D179" s="49"/>
      <c r="E179" s="71"/>
      <c r="F179" s="71"/>
      <c r="G179" s="71"/>
      <c r="H179" s="71"/>
      <c r="I179" s="28"/>
      <c r="J179" s="28"/>
      <c r="K179" s="65"/>
      <c r="L179" s="65"/>
      <c r="M179" s="65"/>
      <c r="N179" s="65"/>
      <c r="O179" s="65"/>
      <c r="P179" s="65"/>
      <c r="Q179" s="65"/>
      <c r="R179" s="65"/>
      <c r="S179" s="65"/>
      <c r="T179" s="65"/>
      <c r="U179" s="65"/>
      <c r="V179" s="65"/>
      <c r="W179" s="65"/>
      <c r="X179" s="65"/>
    </row>
    <row r="180">
      <c r="A180" s="64"/>
      <c r="B180" s="64"/>
      <c r="C180" s="49"/>
      <c r="D180" s="49"/>
      <c r="E180" s="71"/>
      <c r="F180" s="71"/>
      <c r="G180" s="71"/>
      <c r="H180" s="71"/>
      <c r="I180" s="28"/>
      <c r="J180" s="28"/>
      <c r="K180" s="65"/>
      <c r="L180" s="65"/>
      <c r="M180" s="65"/>
      <c r="N180" s="65"/>
      <c r="O180" s="65"/>
      <c r="P180" s="65"/>
      <c r="Q180" s="65"/>
      <c r="R180" s="65"/>
      <c r="S180" s="65"/>
      <c r="T180" s="65"/>
      <c r="U180" s="65"/>
      <c r="V180" s="65"/>
      <c r="W180" s="65"/>
      <c r="X180" s="65"/>
    </row>
    <row r="181">
      <c r="A181" s="64"/>
      <c r="B181" s="64"/>
      <c r="C181" s="49"/>
      <c r="D181" s="49"/>
      <c r="E181" s="71"/>
      <c r="F181" s="71"/>
      <c r="G181" s="71"/>
      <c r="H181" s="71"/>
      <c r="I181" s="28"/>
      <c r="J181" s="28"/>
      <c r="K181" s="65"/>
      <c r="L181" s="65"/>
      <c r="M181" s="65"/>
      <c r="N181" s="65"/>
      <c r="O181" s="65"/>
      <c r="P181" s="65"/>
      <c r="Q181" s="65"/>
      <c r="R181" s="65"/>
      <c r="S181" s="65"/>
      <c r="T181" s="65"/>
      <c r="U181" s="65"/>
      <c r="V181" s="65"/>
      <c r="W181" s="65"/>
      <c r="X181" s="65"/>
    </row>
    <row r="182">
      <c r="A182" s="64"/>
      <c r="B182" s="64"/>
      <c r="C182" s="49"/>
      <c r="D182" s="49"/>
      <c r="E182" s="71"/>
      <c r="F182" s="71"/>
      <c r="G182" s="71"/>
      <c r="H182" s="71"/>
      <c r="I182" s="28"/>
      <c r="J182" s="28"/>
      <c r="K182" s="65"/>
      <c r="L182" s="65"/>
      <c r="M182" s="65"/>
      <c r="N182" s="65"/>
      <c r="O182" s="65"/>
      <c r="P182" s="65"/>
      <c r="Q182" s="65"/>
      <c r="R182" s="65"/>
      <c r="S182" s="65"/>
      <c r="T182" s="65"/>
      <c r="U182" s="65"/>
      <c r="V182" s="65"/>
      <c r="W182" s="65"/>
      <c r="X182" s="65"/>
    </row>
    <row r="183">
      <c r="A183" s="64"/>
      <c r="B183" s="64"/>
      <c r="C183" s="49"/>
      <c r="D183" s="49"/>
      <c r="E183" s="71"/>
      <c r="F183" s="71"/>
      <c r="G183" s="71"/>
      <c r="H183" s="71"/>
      <c r="I183" s="28"/>
      <c r="J183" s="28"/>
      <c r="K183" s="65"/>
      <c r="L183" s="65"/>
      <c r="M183" s="65"/>
      <c r="N183" s="65"/>
      <c r="O183" s="65"/>
      <c r="P183" s="65"/>
      <c r="Q183" s="65"/>
      <c r="R183" s="65"/>
      <c r="S183" s="65"/>
      <c r="T183" s="65"/>
      <c r="U183" s="65"/>
      <c r="V183" s="65"/>
      <c r="W183" s="65"/>
      <c r="X183" s="65"/>
    </row>
    <row r="184">
      <c r="A184" s="64"/>
      <c r="B184" s="64"/>
      <c r="C184" s="49"/>
      <c r="D184" s="49"/>
      <c r="E184" s="71"/>
      <c r="F184" s="71"/>
      <c r="G184" s="71"/>
      <c r="H184" s="71"/>
      <c r="I184" s="28"/>
      <c r="J184" s="28"/>
      <c r="K184" s="65"/>
      <c r="L184" s="65"/>
      <c r="M184" s="65"/>
      <c r="N184" s="65"/>
      <c r="O184" s="65"/>
      <c r="P184" s="65"/>
      <c r="Q184" s="65"/>
      <c r="R184" s="65"/>
      <c r="S184" s="65"/>
      <c r="T184" s="65"/>
      <c r="U184" s="65"/>
      <c r="V184" s="65"/>
      <c r="W184" s="65"/>
      <c r="X184" s="65"/>
    </row>
    <row r="185">
      <c r="A185" s="64"/>
      <c r="B185" s="64"/>
      <c r="C185" s="49"/>
      <c r="D185" s="49"/>
      <c r="E185" s="71"/>
      <c r="F185" s="71"/>
      <c r="G185" s="71"/>
      <c r="H185" s="71"/>
      <c r="I185" s="28"/>
      <c r="J185" s="28"/>
      <c r="K185" s="65"/>
      <c r="L185" s="65"/>
      <c r="M185" s="65"/>
      <c r="N185" s="65"/>
      <c r="O185" s="65"/>
      <c r="P185" s="65"/>
      <c r="Q185" s="65"/>
      <c r="R185" s="65"/>
      <c r="S185" s="65"/>
      <c r="T185" s="65"/>
      <c r="U185" s="65"/>
      <c r="V185" s="65"/>
      <c r="W185" s="65"/>
      <c r="X185" s="65"/>
    </row>
    <row r="186">
      <c r="A186" s="64"/>
      <c r="B186" s="64"/>
      <c r="C186" s="49"/>
      <c r="D186" s="49"/>
      <c r="E186" s="71"/>
      <c r="F186" s="71"/>
      <c r="G186" s="71"/>
      <c r="H186" s="71"/>
      <c r="I186" s="28"/>
      <c r="J186" s="28"/>
      <c r="K186" s="65"/>
      <c r="L186" s="65"/>
      <c r="M186" s="65"/>
      <c r="N186" s="65"/>
      <c r="O186" s="65"/>
      <c r="P186" s="65"/>
      <c r="Q186" s="65"/>
      <c r="R186" s="65"/>
      <c r="S186" s="65"/>
      <c r="T186" s="65"/>
      <c r="U186" s="65"/>
      <c r="V186" s="65"/>
      <c r="W186" s="65"/>
      <c r="X186" s="65"/>
    </row>
    <row r="187">
      <c r="A187" s="64"/>
      <c r="B187" s="64"/>
      <c r="C187" s="49"/>
      <c r="D187" s="49"/>
      <c r="E187" s="71"/>
      <c r="F187" s="71"/>
      <c r="G187" s="71"/>
      <c r="H187" s="71"/>
      <c r="I187" s="28"/>
      <c r="J187" s="28"/>
      <c r="K187" s="65"/>
      <c r="L187" s="65"/>
      <c r="M187" s="65"/>
      <c r="N187" s="65"/>
      <c r="O187" s="65"/>
      <c r="P187" s="65"/>
      <c r="Q187" s="65"/>
      <c r="R187" s="65"/>
      <c r="S187" s="65"/>
      <c r="T187" s="65"/>
      <c r="U187" s="65"/>
      <c r="V187" s="65"/>
      <c r="W187" s="65"/>
      <c r="X187" s="65"/>
    </row>
    <row r="188">
      <c r="A188" s="64"/>
      <c r="B188" s="64"/>
      <c r="C188" s="49"/>
      <c r="D188" s="49"/>
      <c r="E188" s="71"/>
      <c r="F188" s="71"/>
      <c r="G188" s="71"/>
      <c r="H188" s="71"/>
      <c r="I188" s="28"/>
      <c r="J188" s="28"/>
      <c r="K188" s="65"/>
      <c r="L188" s="65"/>
      <c r="M188" s="65"/>
      <c r="N188" s="65"/>
      <c r="O188" s="65"/>
      <c r="P188" s="65"/>
      <c r="Q188" s="65"/>
      <c r="R188" s="65"/>
      <c r="S188" s="65"/>
      <c r="T188" s="65"/>
      <c r="U188" s="65"/>
      <c r="V188" s="65"/>
      <c r="W188" s="65"/>
      <c r="X188" s="65"/>
    </row>
    <row r="189">
      <c r="A189" s="64"/>
      <c r="B189" s="64"/>
      <c r="C189" s="49"/>
      <c r="D189" s="49"/>
      <c r="E189" s="71"/>
      <c r="F189" s="71"/>
      <c r="G189" s="71"/>
      <c r="H189" s="71"/>
      <c r="I189" s="28"/>
      <c r="J189" s="28"/>
      <c r="K189" s="65"/>
      <c r="L189" s="65"/>
      <c r="M189" s="65"/>
      <c r="N189" s="65"/>
      <c r="O189" s="65"/>
      <c r="P189" s="65"/>
      <c r="Q189" s="65"/>
      <c r="R189" s="65"/>
      <c r="S189" s="65"/>
      <c r="T189" s="65"/>
      <c r="U189" s="65"/>
      <c r="V189" s="65"/>
      <c r="W189" s="65"/>
      <c r="X189" s="65"/>
    </row>
    <row r="190">
      <c r="A190" s="64"/>
      <c r="B190" s="64"/>
      <c r="C190" s="49"/>
      <c r="D190" s="49"/>
      <c r="E190" s="71"/>
      <c r="F190" s="71"/>
      <c r="G190" s="71"/>
      <c r="H190" s="71"/>
      <c r="I190" s="28"/>
      <c r="J190" s="28"/>
      <c r="K190" s="65"/>
      <c r="L190" s="65"/>
      <c r="M190" s="65"/>
      <c r="N190" s="65"/>
      <c r="O190" s="65"/>
      <c r="P190" s="65"/>
      <c r="Q190" s="65"/>
      <c r="R190" s="65"/>
      <c r="S190" s="65"/>
      <c r="T190" s="65"/>
      <c r="U190" s="65"/>
      <c r="V190" s="65"/>
      <c r="W190" s="65"/>
      <c r="X190" s="65"/>
    </row>
    <row r="191">
      <c r="A191" s="64"/>
      <c r="B191" s="64"/>
      <c r="C191" s="49"/>
      <c r="D191" s="49"/>
      <c r="E191" s="71"/>
      <c r="F191" s="71"/>
      <c r="G191" s="71"/>
      <c r="H191" s="71"/>
      <c r="I191" s="28"/>
      <c r="J191" s="28"/>
      <c r="K191" s="65"/>
      <c r="L191" s="65"/>
      <c r="M191" s="65"/>
      <c r="N191" s="65"/>
      <c r="O191" s="65"/>
      <c r="P191" s="65"/>
      <c r="Q191" s="65"/>
      <c r="R191" s="65"/>
      <c r="S191" s="65"/>
      <c r="T191" s="65"/>
      <c r="U191" s="65"/>
      <c r="V191" s="65"/>
      <c r="W191" s="65"/>
      <c r="X191" s="65"/>
    </row>
    <row r="192">
      <c r="A192" s="64"/>
      <c r="B192" s="64"/>
      <c r="C192" s="49"/>
      <c r="D192" s="49"/>
      <c r="E192" s="71"/>
      <c r="F192" s="71"/>
      <c r="G192" s="71"/>
      <c r="H192" s="71"/>
      <c r="I192" s="28"/>
      <c r="J192" s="28"/>
      <c r="K192" s="65"/>
      <c r="L192" s="65"/>
      <c r="M192" s="65"/>
      <c r="N192" s="65"/>
      <c r="O192" s="65"/>
      <c r="P192" s="65"/>
      <c r="Q192" s="65"/>
      <c r="R192" s="65"/>
      <c r="S192" s="65"/>
      <c r="T192" s="65"/>
      <c r="U192" s="65"/>
      <c r="V192" s="65"/>
      <c r="W192" s="65"/>
      <c r="X192" s="65"/>
    </row>
    <row r="193">
      <c r="A193" s="64"/>
      <c r="B193" s="64"/>
      <c r="C193" s="49"/>
      <c r="D193" s="49"/>
      <c r="E193" s="71"/>
      <c r="F193" s="71"/>
      <c r="G193" s="71"/>
      <c r="H193" s="71"/>
      <c r="I193" s="28"/>
      <c r="J193" s="28"/>
      <c r="K193" s="65"/>
      <c r="L193" s="65"/>
      <c r="M193" s="65"/>
      <c r="N193" s="65"/>
      <c r="O193" s="65"/>
      <c r="P193" s="65"/>
      <c r="Q193" s="65"/>
      <c r="R193" s="65"/>
      <c r="S193" s="65"/>
      <c r="T193" s="65"/>
      <c r="U193" s="65"/>
      <c r="V193" s="65"/>
      <c r="W193" s="65"/>
      <c r="X193" s="65"/>
    </row>
    <row r="194">
      <c r="A194" s="64"/>
      <c r="B194" s="64"/>
      <c r="C194" s="49"/>
      <c r="D194" s="49"/>
      <c r="E194" s="71"/>
      <c r="F194" s="71"/>
      <c r="G194" s="71"/>
      <c r="H194" s="71"/>
      <c r="I194" s="28"/>
      <c r="J194" s="28"/>
      <c r="K194" s="65"/>
      <c r="L194" s="65"/>
      <c r="M194" s="65"/>
      <c r="N194" s="65"/>
      <c r="O194" s="65"/>
      <c r="P194" s="65"/>
      <c r="Q194" s="65"/>
      <c r="R194" s="65"/>
      <c r="S194" s="65"/>
      <c r="T194" s="65"/>
      <c r="U194" s="65"/>
      <c r="V194" s="65"/>
      <c r="W194" s="65"/>
      <c r="X194" s="65"/>
    </row>
    <row r="195">
      <c r="A195" s="64"/>
      <c r="B195" s="64"/>
      <c r="C195" s="49"/>
      <c r="D195" s="49"/>
      <c r="E195" s="71"/>
      <c r="F195" s="71"/>
      <c r="G195" s="71"/>
      <c r="H195" s="71"/>
      <c r="I195" s="28"/>
      <c r="J195" s="28"/>
      <c r="K195" s="65"/>
      <c r="L195" s="65"/>
      <c r="M195" s="65"/>
      <c r="N195" s="65"/>
      <c r="O195" s="65"/>
      <c r="P195" s="65"/>
      <c r="Q195" s="65"/>
      <c r="R195" s="65"/>
      <c r="S195" s="65"/>
      <c r="T195" s="65"/>
      <c r="U195" s="65"/>
      <c r="V195" s="65"/>
      <c r="W195" s="65"/>
      <c r="X195" s="65"/>
    </row>
    <row r="196">
      <c r="A196" s="64"/>
      <c r="B196" s="64"/>
      <c r="C196" s="49"/>
      <c r="D196" s="49"/>
      <c r="E196" s="71"/>
      <c r="F196" s="71"/>
      <c r="G196" s="71"/>
      <c r="H196" s="71"/>
      <c r="I196" s="28"/>
      <c r="J196" s="28"/>
      <c r="K196" s="65"/>
      <c r="L196" s="65"/>
      <c r="M196" s="65"/>
      <c r="N196" s="65"/>
      <c r="O196" s="65"/>
      <c r="P196" s="65"/>
      <c r="Q196" s="65"/>
      <c r="R196" s="65"/>
      <c r="S196" s="65"/>
      <c r="T196" s="65"/>
      <c r="U196" s="65"/>
      <c r="V196" s="65"/>
      <c r="W196" s="65"/>
      <c r="X196" s="65"/>
    </row>
    <row r="197">
      <c r="A197" s="64"/>
      <c r="B197" s="64"/>
      <c r="C197" s="49"/>
      <c r="D197" s="49"/>
      <c r="E197" s="71"/>
      <c r="F197" s="71"/>
      <c r="G197" s="71"/>
      <c r="H197" s="71"/>
      <c r="I197" s="28"/>
      <c r="J197" s="28"/>
      <c r="K197" s="65"/>
      <c r="L197" s="65"/>
      <c r="M197" s="65"/>
      <c r="N197" s="65"/>
      <c r="O197" s="65"/>
      <c r="P197" s="65"/>
      <c r="Q197" s="65"/>
      <c r="R197" s="65"/>
      <c r="S197" s="65"/>
      <c r="T197" s="65"/>
      <c r="U197" s="65"/>
      <c r="V197" s="65"/>
      <c r="W197" s="65"/>
      <c r="X197" s="65"/>
    </row>
    <row r="198">
      <c r="A198" s="64"/>
      <c r="B198" s="64"/>
      <c r="C198" s="49"/>
      <c r="D198" s="49"/>
      <c r="E198" s="71"/>
      <c r="F198" s="71"/>
      <c r="G198" s="71"/>
      <c r="H198" s="71"/>
      <c r="I198" s="28"/>
      <c r="J198" s="28"/>
      <c r="K198" s="65"/>
      <c r="L198" s="65"/>
      <c r="M198" s="65"/>
      <c r="N198" s="65"/>
      <c r="O198" s="65"/>
      <c r="P198" s="65"/>
      <c r="Q198" s="65"/>
      <c r="R198" s="65"/>
      <c r="S198" s="65"/>
      <c r="T198" s="65"/>
      <c r="U198" s="65"/>
      <c r="V198" s="65"/>
      <c r="W198" s="65"/>
      <c r="X198" s="65"/>
    </row>
    <row r="199">
      <c r="A199" s="64"/>
      <c r="B199" s="64"/>
      <c r="C199" s="49"/>
      <c r="D199" s="49"/>
      <c r="E199" s="71"/>
      <c r="F199" s="71"/>
      <c r="G199" s="71"/>
      <c r="H199" s="71"/>
      <c r="I199" s="28"/>
      <c r="J199" s="28"/>
      <c r="K199" s="65"/>
      <c r="L199" s="65"/>
      <c r="M199" s="65"/>
      <c r="N199" s="65"/>
      <c r="O199" s="65"/>
      <c r="P199" s="65"/>
      <c r="Q199" s="65"/>
      <c r="R199" s="65"/>
      <c r="S199" s="65"/>
      <c r="T199" s="65"/>
      <c r="U199" s="65"/>
      <c r="V199" s="65"/>
      <c r="W199" s="65"/>
      <c r="X199" s="65"/>
    </row>
    <row r="200">
      <c r="A200" s="64"/>
      <c r="B200" s="64"/>
      <c r="C200" s="49"/>
      <c r="D200" s="49"/>
      <c r="E200" s="71"/>
      <c r="F200" s="71"/>
      <c r="G200" s="71"/>
      <c r="H200" s="71"/>
      <c r="I200" s="28"/>
      <c r="J200" s="28"/>
      <c r="K200" s="65"/>
      <c r="L200" s="65"/>
      <c r="M200" s="65"/>
      <c r="N200" s="65"/>
      <c r="O200" s="65"/>
      <c r="P200" s="65"/>
      <c r="Q200" s="65"/>
      <c r="R200" s="65"/>
      <c r="S200" s="65"/>
      <c r="T200" s="65"/>
      <c r="U200" s="65"/>
      <c r="V200" s="65"/>
      <c r="W200" s="65"/>
      <c r="X200" s="65"/>
    </row>
    <row r="201">
      <c r="A201" s="64"/>
      <c r="B201" s="64"/>
      <c r="C201" s="49"/>
      <c r="D201" s="49"/>
      <c r="E201" s="71"/>
      <c r="F201" s="71"/>
      <c r="G201" s="71"/>
      <c r="H201" s="71"/>
      <c r="I201" s="28"/>
      <c r="J201" s="28"/>
      <c r="K201" s="65"/>
      <c r="L201" s="65"/>
      <c r="M201" s="65"/>
      <c r="N201" s="65"/>
      <c r="O201" s="65"/>
      <c r="P201" s="65"/>
      <c r="Q201" s="65"/>
      <c r="R201" s="65"/>
      <c r="S201" s="65"/>
      <c r="T201" s="65"/>
      <c r="U201" s="65"/>
      <c r="V201" s="65"/>
      <c r="W201" s="65"/>
      <c r="X201" s="65"/>
    </row>
    <row r="202">
      <c r="A202" s="64"/>
      <c r="B202" s="64"/>
      <c r="C202" s="49"/>
      <c r="D202" s="49"/>
      <c r="E202" s="71"/>
      <c r="F202" s="71"/>
      <c r="G202" s="71"/>
      <c r="H202" s="71"/>
      <c r="I202" s="28"/>
      <c r="J202" s="28"/>
      <c r="K202" s="65"/>
      <c r="L202" s="65"/>
      <c r="M202" s="65"/>
      <c r="N202" s="65"/>
      <c r="O202" s="65"/>
      <c r="P202" s="65"/>
      <c r="Q202" s="65"/>
      <c r="R202" s="65"/>
      <c r="S202" s="65"/>
      <c r="T202" s="65"/>
      <c r="U202" s="65"/>
      <c r="V202" s="65"/>
      <c r="W202" s="65"/>
      <c r="X202" s="65"/>
    </row>
    <row r="203">
      <c r="A203" s="64"/>
      <c r="B203" s="64"/>
      <c r="C203" s="49"/>
      <c r="D203" s="49"/>
      <c r="E203" s="71"/>
      <c r="F203" s="71"/>
      <c r="G203" s="71"/>
      <c r="H203" s="71"/>
      <c r="I203" s="28"/>
      <c r="J203" s="28"/>
      <c r="K203" s="65"/>
      <c r="L203" s="65"/>
      <c r="M203" s="65"/>
      <c r="N203" s="65"/>
      <c r="O203" s="65"/>
      <c r="P203" s="65"/>
      <c r="Q203" s="65"/>
      <c r="R203" s="65"/>
      <c r="S203" s="65"/>
      <c r="T203" s="65"/>
      <c r="U203" s="65"/>
      <c r="V203" s="65"/>
      <c r="W203" s="65"/>
      <c r="X203" s="65"/>
    </row>
    <row r="204">
      <c r="A204" s="64"/>
      <c r="B204" s="64"/>
      <c r="C204" s="49"/>
      <c r="D204" s="49"/>
      <c r="E204" s="71"/>
      <c r="F204" s="71"/>
      <c r="G204" s="71"/>
      <c r="H204" s="71"/>
      <c r="I204" s="28"/>
      <c r="J204" s="28"/>
      <c r="K204" s="65"/>
      <c r="L204" s="65"/>
      <c r="M204" s="65"/>
      <c r="N204" s="65"/>
      <c r="O204" s="65"/>
      <c r="P204" s="65"/>
      <c r="Q204" s="65"/>
      <c r="R204" s="65"/>
      <c r="S204" s="65"/>
      <c r="T204" s="65"/>
      <c r="U204" s="65"/>
      <c r="V204" s="65"/>
      <c r="W204" s="65"/>
      <c r="X204" s="65"/>
    </row>
    <row r="205">
      <c r="A205" s="64"/>
      <c r="B205" s="64"/>
      <c r="C205" s="49"/>
      <c r="D205" s="49"/>
      <c r="E205" s="71"/>
      <c r="F205" s="71"/>
      <c r="G205" s="71"/>
      <c r="H205" s="71"/>
      <c r="I205" s="28"/>
      <c r="J205" s="28"/>
      <c r="K205" s="65"/>
      <c r="L205" s="65"/>
      <c r="M205" s="65"/>
      <c r="N205" s="65"/>
      <c r="O205" s="65"/>
      <c r="P205" s="65"/>
      <c r="Q205" s="65"/>
      <c r="R205" s="65"/>
      <c r="S205" s="65"/>
      <c r="T205" s="65"/>
      <c r="U205" s="65"/>
      <c r="V205" s="65"/>
      <c r="W205" s="65"/>
      <c r="X205" s="65"/>
    </row>
    <row r="206">
      <c r="A206" s="64"/>
      <c r="B206" s="64"/>
      <c r="C206" s="49"/>
      <c r="D206" s="49"/>
      <c r="E206" s="71"/>
      <c r="F206" s="71"/>
      <c r="G206" s="71"/>
      <c r="H206" s="71"/>
      <c r="I206" s="28"/>
      <c r="J206" s="28"/>
      <c r="K206" s="65"/>
      <c r="L206" s="65"/>
      <c r="M206" s="65"/>
      <c r="N206" s="65"/>
      <c r="O206" s="65"/>
      <c r="P206" s="65"/>
      <c r="Q206" s="65"/>
      <c r="R206" s="65"/>
      <c r="S206" s="65"/>
      <c r="T206" s="65"/>
      <c r="U206" s="65"/>
      <c r="V206" s="65"/>
      <c r="W206" s="65"/>
      <c r="X206" s="65"/>
    </row>
    <row r="207">
      <c r="A207" s="64"/>
      <c r="B207" s="64"/>
      <c r="C207" s="49"/>
      <c r="D207" s="49"/>
      <c r="E207" s="71"/>
      <c r="F207" s="71"/>
      <c r="G207" s="71"/>
      <c r="H207" s="71"/>
      <c r="I207" s="28"/>
      <c r="J207" s="28"/>
      <c r="K207" s="65"/>
      <c r="L207" s="65"/>
      <c r="M207" s="65"/>
      <c r="N207" s="65"/>
      <c r="O207" s="65"/>
      <c r="P207" s="65"/>
      <c r="Q207" s="65"/>
      <c r="R207" s="65"/>
      <c r="S207" s="65"/>
      <c r="T207" s="65"/>
      <c r="U207" s="65"/>
      <c r="V207" s="65"/>
      <c r="W207" s="65"/>
      <c r="X207" s="65"/>
    </row>
    <row r="208">
      <c r="A208" s="64"/>
      <c r="B208" s="64"/>
      <c r="C208" s="49"/>
      <c r="D208" s="49"/>
      <c r="E208" s="71"/>
      <c r="F208" s="71"/>
      <c r="G208" s="71"/>
      <c r="H208" s="71"/>
      <c r="I208" s="28"/>
      <c r="J208" s="28"/>
      <c r="K208" s="65"/>
      <c r="L208" s="65"/>
      <c r="M208" s="65"/>
      <c r="N208" s="65"/>
      <c r="O208" s="65"/>
      <c r="P208" s="65"/>
      <c r="Q208" s="65"/>
      <c r="R208" s="65"/>
      <c r="S208" s="65"/>
      <c r="T208" s="65"/>
      <c r="U208" s="65"/>
      <c r="V208" s="65"/>
      <c r="W208" s="65"/>
      <c r="X208" s="65"/>
    </row>
    <row r="209">
      <c r="A209" s="64"/>
      <c r="B209" s="64"/>
      <c r="C209" s="49"/>
      <c r="D209" s="49"/>
      <c r="E209" s="71"/>
      <c r="F209" s="71"/>
      <c r="G209" s="71"/>
      <c r="H209" s="71"/>
      <c r="I209" s="28"/>
      <c r="J209" s="28"/>
      <c r="K209" s="65"/>
      <c r="L209" s="65"/>
      <c r="M209" s="65"/>
      <c r="N209" s="65"/>
      <c r="O209" s="65"/>
      <c r="P209" s="65"/>
      <c r="Q209" s="65"/>
      <c r="R209" s="65"/>
      <c r="S209" s="65"/>
      <c r="T209" s="65"/>
      <c r="U209" s="65"/>
      <c r="V209" s="65"/>
      <c r="W209" s="65"/>
      <c r="X209" s="65"/>
    </row>
    <row r="210">
      <c r="A210" s="64"/>
      <c r="B210" s="64"/>
      <c r="C210" s="49"/>
      <c r="D210" s="49"/>
      <c r="E210" s="71"/>
      <c r="F210" s="71"/>
      <c r="G210" s="71"/>
      <c r="H210" s="71"/>
      <c r="I210" s="28"/>
      <c r="J210" s="28"/>
      <c r="K210" s="65"/>
      <c r="L210" s="65"/>
      <c r="M210" s="65"/>
      <c r="N210" s="65"/>
      <c r="O210" s="65"/>
      <c r="P210" s="65"/>
      <c r="Q210" s="65"/>
      <c r="R210" s="65"/>
      <c r="S210" s="65"/>
      <c r="T210" s="65"/>
      <c r="U210" s="65"/>
      <c r="V210" s="65"/>
      <c r="W210" s="65"/>
      <c r="X210" s="65"/>
    </row>
    <row r="211">
      <c r="A211" s="64"/>
      <c r="B211" s="64"/>
      <c r="C211" s="49"/>
      <c r="D211" s="49"/>
      <c r="E211" s="71"/>
      <c r="F211" s="71"/>
      <c r="G211" s="71"/>
      <c r="H211" s="71"/>
      <c r="I211" s="28"/>
      <c r="J211" s="28"/>
      <c r="K211" s="65"/>
      <c r="L211" s="65"/>
      <c r="M211" s="65"/>
      <c r="N211" s="65"/>
      <c r="O211" s="65"/>
      <c r="P211" s="65"/>
      <c r="Q211" s="65"/>
      <c r="R211" s="65"/>
      <c r="S211" s="65"/>
      <c r="T211" s="65"/>
      <c r="U211" s="65"/>
      <c r="V211" s="65"/>
      <c r="W211" s="65"/>
      <c r="X211" s="65"/>
    </row>
    <row r="212">
      <c r="A212" s="64"/>
      <c r="B212" s="64"/>
      <c r="C212" s="49"/>
      <c r="D212" s="49"/>
      <c r="E212" s="71"/>
      <c r="F212" s="71"/>
      <c r="G212" s="71"/>
      <c r="H212" s="71"/>
      <c r="I212" s="28"/>
      <c r="J212" s="28"/>
      <c r="K212" s="65"/>
      <c r="L212" s="65"/>
      <c r="M212" s="65"/>
      <c r="N212" s="65"/>
      <c r="O212" s="65"/>
      <c r="P212" s="65"/>
      <c r="Q212" s="65"/>
      <c r="R212" s="65"/>
      <c r="S212" s="65"/>
      <c r="T212" s="65"/>
      <c r="U212" s="65"/>
      <c r="V212" s="65"/>
      <c r="W212" s="65"/>
      <c r="X212" s="65"/>
    </row>
    <row r="213">
      <c r="A213" s="64"/>
      <c r="B213" s="64"/>
      <c r="C213" s="49"/>
      <c r="D213" s="49"/>
      <c r="E213" s="71"/>
      <c r="F213" s="71"/>
      <c r="G213" s="71"/>
      <c r="H213" s="71"/>
      <c r="I213" s="28"/>
      <c r="J213" s="28"/>
      <c r="K213" s="65"/>
      <c r="L213" s="65"/>
      <c r="M213" s="65"/>
      <c r="N213" s="65"/>
      <c r="O213" s="65"/>
      <c r="P213" s="65"/>
      <c r="Q213" s="65"/>
      <c r="R213" s="65"/>
      <c r="S213" s="65"/>
      <c r="T213" s="65"/>
      <c r="U213" s="65"/>
      <c r="V213" s="65"/>
      <c r="W213" s="65"/>
      <c r="X213" s="65"/>
    </row>
    <row r="214">
      <c r="A214" s="64"/>
      <c r="B214" s="64"/>
      <c r="C214" s="49"/>
      <c r="D214" s="49"/>
      <c r="E214" s="71"/>
      <c r="F214" s="71"/>
      <c r="G214" s="71"/>
      <c r="H214" s="71"/>
      <c r="I214" s="28"/>
      <c r="J214" s="28"/>
      <c r="K214" s="65"/>
      <c r="L214" s="65"/>
      <c r="M214" s="65"/>
      <c r="N214" s="65"/>
      <c r="O214" s="65"/>
      <c r="P214" s="65"/>
      <c r="Q214" s="65"/>
      <c r="R214" s="65"/>
      <c r="S214" s="65"/>
      <c r="T214" s="65"/>
      <c r="U214" s="65"/>
      <c r="V214" s="65"/>
      <c r="W214" s="65"/>
      <c r="X214" s="65"/>
    </row>
    <row r="215">
      <c r="A215" s="64"/>
      <c r="B215" s="64"/>
      <c r="C215" s="49"/>
      <c r="D215" s="49"/>
      <c r="E215" s="71"/>
      <c r="F215" s="71"/>
      <c r="G215" s="71"/>
      <c r="H215" s="71"/>
      <c r="I215" s="28"/>
      <c r="J215" s="28"/>
      <c r="K215" s="65"/>
      <c r="L215" s="65"/>
      <c r="M215" s="65"/>
      <c r="N215" s="65"/>
      <c r="O215" s="65"/>
      <c r="P215" s="65"/>
      <c r="Q215" s="65"/>
      <c r="R215" s="65"/>
      <c r="S215" s="65"/>
      <c r="T215" s="65"/>
      <c r="U215" s="65"/>
      <c r="V215" s="65"/>
      <c r="W215" s="65"/>
      <c r="X215" s="65"/>
    </row>
    <row r="216">
      <c r="A216" s="64"/>
      <c r="B216" s="64"/>
      <c r="C216" s="49"/>
      <c r="D216" s="49"/>
      <c r="E216" s="71"/>
      <c r="F216" s="71"/>
      <c r="G216" s="71"/>
      <c r="H216" s="71"/>
      <c r="I216" s="28"/>
      <c r="J216" s="28"/>
      <c r="K216" s="65"/>
      <c r="L216" s="65"/>
      <c r="M216" s="65"/>
      <c r="N216" s="65"/>
      <c r="O216" s="65"/>
      <c r="P216" s="65"/>
      <c r="Q216" s="65"/>
      <c r="R216" s="65"/>
      <c r="S216" s="65"/>
      <c r="T216" s="65"/>
      <c r="U216" s="65"/>
      <c r="V216" s="65"/>
      <c r="W216" s="65"/>
      <c r="X216" s="65"/>
    </row>
    <row r="217">
      <c r="A217" s="64"/>
      <c r="B217" s="64"/>
      <c r="C217" s="49"/>
      <c r="D217" s="49"/>
      <c r="E217" s="71"/>
      <c r="F217" s="71"/>
      <c r="G217" s="71"/>
      <c r="H217" s="71"/>
      <c r="I217" s="28"/>
      <c r="J217" s="28"/>
      <c r="K217" s="65"/>
      <c r="L217" s="65"/>
      <c r="M217" s="65"/>
      <c r="N217" s="65"/>
      <c r="O217" s="65"/>
      <c r="P217" s="65"/>
      <c r="Q217" s="65"/>
      <c r="R217" s="65"/>
      <c r="S217" s="65"/>
      <c r="T217" s="65"/>
      <c r="U217" s="65"/>
      <c r="V217" s="65"/>
      <c r="W217" s="65"/>
      <c r="X217" s="65"/>
    </row>
    <row r="218">
      <c r="A218" s="64"/>
      <c r="B218" s="64"/>
      <c r="C218" s="49"/>
      <c r="D218" s="49"/>
      <c r="E218" s="71"/>
      <c r="F218" s="71"/>
      <c r="G218" s="71"/>
      <c r="H218" s="71"/>
      <c r="I218" s="28"/>
      <c r="J218" s="28"/>
      <c r="K218" s="65"/>
      <c r="L218" s="65"/>
      <c r="M218" s="65"/>
      <c r="N218" s="65"/>
      <c r="O218" s="65"/>
      <c r="P218" s="65"/>
      <c r="Q218" s="65"/>
      <c r="R218" s="65"/>
      <c r="S218" s="65"/>
      <c r="T218" s="65"/>
      <c r="U218" s="65"/>
      <c r="V218" s="65"/>
      <c r="W218" s="65"/>
      <c r="X218" s="65"/>
    </row>
    <row r="219">
      <c r="A219" s="64"/>
      <c r="B219" s="64"/>
      <c r="C219" s="49"/>
      <c r="D219" s="49"/>
      <c r="E219" s="71"/>
      <c r="F219" s="71"/>
      <c r="G219" s="71"/>
      <c r="H219" s="71"/>
      <c r="I219" s="28"/>
      <c r="J219" s="28"/>
      <c r="K219" s="65"/>
      <c r="L219" s="65"/>
      <c r="M219" s="65"/>
      <c r="N219" s="65"/>
      <c r="O219" s="65"/>
      <c r="P219" s="65"/>
      <c r="Q219" s="65"/>
      <c r="R219" s="65"/>
      <c r="S219" s="65"/>
      <c r="T219" s="65"/>
      <c r="U219" s="65"/>
      <c r="V219" s="65"/>
      <c r="W219" s="65"/>
      <c r="X219" s="65"/>
    </row>
    <row r="220">
      <c r="A220" s="64"/>
      <c r="B220" s="64"/>
      <c r="C220" s="49"/>
      <c r="D220" s="49"/>
      <c r="E220" s="71"/>
      <c r="F220" s="71"/>
      <c r="G220" s="71"/>
      <c r="H220" s="71"/>
      <c r="I220" s="28"/>
      <c r="J220" s="28"/>
      <c r="K220" s="65"/>
      <c r="L220" s="65"/>
      <c r="M220" s="65"/>
      <c r="N220" s="65"/>
      <c r="O220" s="65"/>
      <c r="P220" s="65"/>
      <c r="Q220" s="65"/>
      <c r="R220" s="65"/>
      <c r="S220" s="65"/>
      <c r="T220" s="65"/>
      <c r="U220" s="65"/>
      <c r="V220" s="65"/>
      <c r="W220" s="65"/>
      <c r="X220" s="65"/>
    </row>
    <row r="221">
      <c r="A221" s="64"/>
      <c r="B221" s="64"/>
      <c r="C221" s="49"/>
      <c r="D221" s="49"/>
      <c r="E221" s="71"/>
      <c r="F221" s="71"/>
      <c r="G221" s="71"/>
      <c r="H221" s="71"/>
      <c r="I221" s="28"/>
      <c r="J221" s="28"/>
      <c r="K221" s="65"/>
      <c r="L221" s="65"/>
      <c r="M221" s="65"/>
      <c r="N221" s="65"/>
      <c r="O221" s="65"/>
      <c r="P221" s="65"/>
      <c r="Q221" s="65"/>
      <c r="R221" s="65"/>
      <c r="S221" s="65"/>
      <c r="T221" s="65"/>
      <c r="U221" s="65"/>
      <c r="V221" s="65"/>
      <c r="W221" s="65"/>
      <c r="X221" s="65"/>
    </row>
    <row r="222">
      <c r="A222" s="64"/>
      <c r="B222" s="64"/>
      <c r="C222" s="49"/>
      <c r="D222" s="49"/>
      <c r="E222" s="71"/>
      <c r="F222" s="71"/>
      <c r="G222" s="71"/>
      <c r="H222" s="71"/>
      <c r="I222" s="28"/>
      <c r="J222" s="28"/>
      <c r="K222" s="65"/>
      <c r="L222" s="65"/>
      <c r="M222" s="65"/>
      <c r="N222" s="65"/>
      <c r="O222" s="65"/>
      <c r="P222" s="65"/>
      <c r="Q222" s="65"/>
      <c r="R222" s="65"/>
      <c r="S222" s="65"/>
      <c r="T222" s="65"/>
      <c r="U222" s="65"/>
      <c r="V222" s="65"/>
      <c r="W222" s="65"/>
      <c r="X222" s="65"/>
    </row>
    <row r="223">
      <c r="A223" s="64"/>
      <c r="B223" s="64"/>
      <c r="C223" s="49"/>
      <c r="D223" s="49"/>
      <c r="E223" s="71"/>
      <c r="F223" s="71"/>
      <c r="G223" s="71"/>
      <c r="H223" s="71"/>
      <c r="I223" s="28"/>
      <c r="J223" s="28"/>
      <c r="K223" s="65"/>
      <c r="L223" s="65"/>
      <c r="M223" s="65"/>
      <c r="N223" s="65"/>
      <c r="O223" s="65"/>
      <c r="P223" s="65"/>
      <c r="Q223" s="65"/>
      <c r="R223" s="65"/>
      <c r="S223" s="65"/>
      <c r="T223" s="65"/>
      <c r="U223" s="65"/>
      <c r="V223" s="65"/>
      <c r="W223" s="65"/>
      <c r="X223" s="65"/>
    </row>
    <row r="224">
      <c r="A224" s="64"/>
      <c r="B224" s="64"/>
      <c r="C224" s="49"/>
      <c r="D224" s="49"/>
      <c r="E224" s="71"/>
      <c r="F224" s="71"/>
      <c r="G224" s="71"/>
      <c r="H224" s="71"/>
      <c r="I224" s="28"/>
      <c r="J224" s="28"/>
      <c r="K224" s="65"/>
      <c r="L224" s="65"/>
      <c r="M224" s="65"/>
      <c r="N224" s="65"/>
      <c r="O224" s="65"/>
      <c r="P224" s="65"/>
      <c r="Q224" s="65"/>
      <c r="R224" s="65"/>
      <c r="S224" s="65"/>
      <c r="T224" s="65"/>
      <c r="U224" s="65"/>
      <c r="V224" s="65"/>
      <c r="W224" s="65"/>
      <c r="X224" s="65"/>
    </row>
    <row r="225">
      <c r="A225" s="64"/>
      <c r="B225" s="64"/>
      <c r="C225" s="49"/>
      <c r="D225" s="49"/>
      <c r="E225" s="71"/>
      <c r="F225" s="71"/>
      <c r="G225" s="71"/>
      <c r="H225" s="71"/>
      <c r="I225" s="28"/>
      <c r="J225" s="28"/>
      <c r="K225" s="65"/>
      <c r="L225" s="65"/>
      <c r="M225" s="65"/>
      <c r="N225" s="65"/>
      <c r="O225" s="65"/>
      <c r="P225" s="65"/>
      <c r="Q225" s="65"/>
      <c r="R225" s="65"/>
      <c r="S225" s="65"/>
      <c r="T225" s="65"/>
      <c r="U225" s="65"/>
      <c r="V225" s="65"/>
      <c r="W225" s="65"/>
      <c r="X225" s="65"/>
    </row>
    <row r="226">
      <c r="A226" s="64"/>
      <c r="B226" s="64"/>
      <c r="C226" s="49"/>
      <c r="D226" s="49"/>
      <c r="E226" s="71"/>
      <c r="F226" s="71"/>
      <c r="G226" s="71"/>
      <c r="H226" s="71"/>
      <c r="I226" s="28"/>
      <c r="J226" s="28"/>
      <c r="K226" s="65"/>
      <c r="L226" s="65"/>
      <c r="M226" s="65"/>
      <c r="N226" s="65"/>
      <c r="O226" s="65"/>
      <c r="P226" s="65"/>
      <c r="Q226" s="65"/>
      <c r="R226" s="65"/>
      <c r="S226" s="65"/>
      <c r="T226" s="65"/>
      <c r="U226" s="65"/>
      <c r="V226" s="65"/>
      <c r="W226" s="65"/>
      <c r="X226" s="65"/>
    </row>
    <row r="227">
      <c r="A227" s="64"/>
      <c r="B227" s="64"/>
      <c r="C227" s="49"/>
      <c r="D227" s="49"/>
      <c r="E227" s="71"/>
      <c r="F227" s="71"/>
      <c r="G227" s="71"/>
      <c r="H227" s="71"/>
      <c r="I227" s="28"/>
      <c r="J227" s="28"/>
      <c r="K227" s="65"/>
      <c r="L227" s="65"/>
      <c r="M227" s="65"/>
      <c r="N227" s="65"/>
      <c r="O227" s="65"/>
      <c r="P227" s="65"/>
      <c r="Q227" s="65"/>
      <c r="R227" s="65"/>
      <c r="S227" s="65"/>
      <c r="T227" s="65"/>
      <c r="U227" s="65"/>
      <c r="V227" s="65"/>
      <c r="W227" s="65"/>
      <c r="X227" s="65"/>
    </row>
    <row r="228">
      <c r="A228" s="64"/>
      <c r="B228" s="64"/>
      <c r="C228" s="49"/>
      <c r="D228" s="49"/>
      <c r="E228" s="71"/>
      <c r="F228" s="71"/>
      <c r="G228" s="71"/>
      <c r="H228" s="71"/>
      <c r="I228" s="28"/>
      <c r="J228" s="28"/>
      <c r="K228" s="65"/>
      <c r="L228" s="65"/>
      <c r="M228" s="65"/>
      <c r="N228" s="65"/>
      <c r="O228" s="65"/>
      <c r="P228" s="65"/>
      <c r="Q228" s="65"/>
      <c r="R228" s="65"/>
      <c r="S228" s="65"/>
      <c r="T228" s="65"/>
      <c r="U228" s="65"/>
      <c r="V228" s="65"/>
      <c r="W228" s="65"/>
      <c r="X228" s="65"/>
    </row>
    <row r="229">
      <c r="A229" s="64"/>
      <c r="B229" s="64"/>
      <c r="C229" s="49"/>
      <c r="D229" s="49"/>
      <c r="E229" s="71"/>
      <c r="F229" s="71"/>
      <c r="G229" s="71"/>
      <c r="H229" s="71"/>
      <c r="I229" s="28"/>
      <c r="J229" s="28"/>
      <c r="K229" s="65"/>
      <c r="L229" s="65"/>
      <c r="M229" s="65"/>
      <c r="N229" s="65"/>
      <c r="O229" s="65"/>
      <c r="P229" s="65"/>
      <c r="Q229" s="65"/>
      <c r="R229" s="65"/>
      <c r="S229" s="65"/>
      <c r="T229" s="65"/>
      <c r="U229" s="65"/>
      <c r="V229" s="65"/>
      <c r="W229" s="65"/>
      <c r="X229" s="65"/>
    </row>
    <row r="230">
      <c r="A230" s="64"/>
      <c r="B230" s="64"/>
      <c r="C230" s="49"/>
      <c r="D230" s="49"/>
      <c r="E230" s="71"/>
      <c r="F230" s="71"/>
      <c r="G230" s="71"/>
      <c r="H230" s="71"/>
      <c r="I230" s="28"/>
      <c r="J230" s="28"/>
      <c r="K230" s="65"/>
      <c r="L230" s="65"/>
      <c r="M230" s="65"/>
      <c r="N230" s="65"/>
      <c r="O230" s="65"/>
      <c r="P230" s="65"/>
      <c r="Q230" s="65"/>
      <c r="R230" s="65"/>
      <c r="S230" s="65"/>
      <c r="T230" s="65"/>
      <c r="U230" s="65"/>
      <c r="V230" s="65"/>
      <c r="W230" s="65"/>
      <c r="X230" s="65"/>
    </row>
    <row r="231">
      <c r="A231" s="64"/>
      <c r="B231" s="64"/>
      <c r="C231" s="49"/>
      <c r="D231" s="49"/>
      <c r="E231" s="71"/>
      <c r="F231" s="71"/>
      <c r="G231" s="71"/>
      <c r="H231" s="71"/>
      <c r="I231" s="28"/>
      <c r="J231" s="28"/>
      <c r="K231" s="65"/>
      <c r="L231" s="65"/>
      <c r="M231" s="65"/>
      <c r="N231" s="65"/>
      <c r="O231" s="65"/>
      <c r="P231" s="65"/>
      <c r="Q231" s="65"/>
      <c r="R231" s="65"/>
      <c r="S231" s="65"/>
      <c r="T231" s="65"/>
      <c r="U231" s="65"/>
      <c r="V231" s="65"/>
      <c r="W231" s="65"/>
      <c r="X231" s="65"/>
    </row>
    <row r="232">
      <c r="A232" s="64"/>
      <c r="B232" s="64"/>
      <c r="C232" s="49"/>
      <c r="D232" s="49"/>
      <c r="E232" s="71"/>
      <c r="F232" s="71"/>
      <c r="G232" s="71"/>
      <c r="H232" s="71"/>
      <c r="I232" s="28"/>
      <c r="J232" s="28"/>
      <c r="K232" s="65"/>
      <c r="L232" s="65"/>
      <c r="M232" s="65"/>
      <c r="N232" s="65"/>
      <c r="O232" s="65"/>
      <c r="P232" s="65"/>
      <c r="Q232" s="65"/>
      <c r="R232" s="65"/>
      <c r="S232" s="65"/>
      <c r="T232" s="65"/>
      <c r="U232" s="65"/>
      <c r="V232" s="65"/>
      <c r="W232" s="65"/>
      <c r="X232" s="65"/>
    </row>
    <row r="233">
      <c r="A233" s="64"/>
      <c r="B233" s="64"/>
      <c r="C233" s="49"/>
      <c r="D233" s="49"/>
      <c r="E233" s="71"/>
      <c r="F233" s="71"/>
      <c r="G233" s="71"/>
      <c r="H233" s="71"/>
      <c r="I233" s="28"/>
      <c r="J233" s="28"/>
      <c r="K233" s="65"/>
      <c r="L233" s="65"/>
      <c r="M233" s="65"/>
      <c r="N233" s="65"/>
      <c r="O233" s="65"/>
      <c r="P233" s="65"/>
      <c r="Q233" s="65"/>
      <c r="R233" s="65"/>
      <c r="S233" s="65"/>
      <c r="T233" s="65"/>
      <c r="U233" s="65"/>
      <c r="V233" s="65"/>
      <c r="W233" s="65"/>
      <c r="X233" s="65"/>
    </row>
    <row r="234">
      <c r="A234" s="64"/>
      <c r="B234" s="64"/>
      <c r="C234" s="49"/>
      <c r="D234" s="49"/>
      <c r="E234" s="71"/>
      <c r="F234" s="71"/>
      <c r="G234" s="71"/>
      <c r="H234" s="71"/>
      <c r="I234" s="28"/>
      <c r="J234" s="28"/>
      <c r="K234" s="65"/>
      <c r="L234" s="65"/>
      <c r="M234" s="65"/>
      <c r="N234" s="65"/>
      <c r="O234" s="65"/>
      <c r="P234" s="65"/>
      <c r="Q234" s="65"/>
      <c r="R234" s="65"/>
      <c r="S234" s="65"/>
      <c r="T234" s="65"/>
      <c r="U234" s="65"/>
      <c r="V234" s="65"/>
      <c r="W234" s="65"/>
      <c r="X234" s="65"/>
    </row>
    <row r="235">
      <c r="A235" s="64"/>
      <c r="B235" s="64"/>
      <c r="C235" s="49"/>
      <c r="D235" s="49"/>
      <c r="E235" s="71"/>
      <c r="F235" s="71"/>
      <c r="G235" s="71"/>
      <c r="H235" s="71"/>
      <c r="I235" s="28"/>
      <c r="J235" s="28"/>
      <c r="K235" s="65"/>
      <c r="L235" s="65"/>
      <c r="M235" s="65"/>
      <c r="N235" s="65"/>
      <c r="O235" s="65"/>
      <c r="P235" s="65"/>
      <c r="Q235" s="65"/>
      <c r="R235" s="65"/>
      <c r="S235" s="65"/>
      <c r="T235" s="65"/>
      <c r="U235" s="65"/>
      <c r="V235" s="65"/>
      <c r="W235" s="65"/>
      <c r="X235" s="65"/>
    </row>
    <row r="236">
      <c r="A236" s="64"/>
      <c r="B236" s="64"/>
      <c r="C236" s="49"/>
      <c r="D236" s="49"/>
      <c r="E236" s="71"/>
      <c r="F236" s="71"/>
      <c r="G236" s="71"/>
      <c r="H236" s="71"/>
      <c r="I236" s="28"/>
      <c r="J236" s="28"/>
      <c r="K236" s="65"/>
      <c r="L236" s="65"/>
      <c r="M236" s="65"/>
      <c r="N236" s="65"/>
      <c r="O236" s="65"/>
      <c r="P236" s="65"/>
      <c r="Q236" s="65"/>
      <c r="R236" s="65"/>
      <c r="S236" s="65"/>
      <c r="T236" s="65"/>
      <c r="U236" s="65"/>
      <c r="V236" s="65"/>
      <c r="W236" s="65"/>
      <c r="X236" s="65"/>
    </row>
    <row r="237">
      <c r="A237" s="64"/>
      <c r="B237" s="64"/>
      <c r="C237" s="49"/>
      <c r="D237" s="49"/>
      <c r="E237" s="71"/>
      <c r="F237" s="71"/>
      <c r="G237" s="71"/>
      <c r="H237" s="71"/>
      <c r="I237" s="28"/>
      <c r="J237" s="28"/>
      <c r="K237" s="65"/>
      <c r="L237" s="65"/>
      <c r="M237" s="65"/>
      <c r="N237" s="65"/>
      <c r="O237" s="65"/>
      <c r="P237" s="65"/>
      <c r="Q237" s="65"/>
      <c r="R237" s="65"/>
      <c r="S237" s="65"/>
      <c r="T237" s="65"/>
      <c r="U237" s="65"/>
      <c r="V237" s="65"/>
      <c r="W237" s="65"/>
      <c r="X237" s="65"/>
    </row>
    <row r="238">
      <c r="A238" s="64"/>
      <c r="B238" s="64"/>
      <c r="C238" s="49"/>
      <c r="D238" s="49"/>
      <c r="E238" s="71"/>
      <c r="F238" s="71"/>
      <c r="G238" s="71"/>
      <c r="H238" s="71"/>
      <c r="I238" s="28"/>
      <c r="J238" s="28"/>
      <c r="K238" s="65"/>
      <c r="L238" s="65"/>
      <c r="M238" s="65"/>
      <c r="N238" s="65"/>
      <c r="O238" s="65"/>
      <c r="P238" s="65"/>
      <c r="Q238" s="65"/>
      <c r="R238" s="65"/>
      <c r="S238" s="65"/>
      <c r="T238" s="65"/>
      <c r="U238" s="65"/>
      <c r="V238" s="65"/>
      <c r="W238" s="65"/>
      <c r="X238" s="65"/>
    </row>
    <row r="239">
      <c r="A239" s="64"/>
      <c r="B239" s="64"/>
      <c r="C239" s="49"/>
      <c r="D239" s="49"/>
      <c r="E239" s="71"/>
      <c r="F239" s="71"/>
      <c r="G239" s="71"/>
      <c r="H239" s="71"/>
      <c r="I239" s="28"/>
      <c r="J239" s="28"/>
      <c r="K239" s="65"/>
      <c r="L239" s="65"/>
      <c r="M239" s="65"/>
      <c r="N239" s="65"/>
      <c r="O239" s="65"/>
      <c r="P239" s="65"/>
      <c r="Q239" s="65"/>
      <c r="R239" s="65"/>
      <c r="S239" s="65"/>
      <c r="T239" s="65"/>
      <c r="U239" s="65"/>
      <c r="V239" s="65"/>
      <c r="W239" s="65"/>
      <c r="X239" s="65"/>
    </row>
    <row r="240">
      <c r="A240" s="64"/>
      <c r="B240" s="64"/>
      <c r="C240" s="49"/>
      <c r="D240" s="49"/>
      <c r="E240" s="71"/>
      <c r="F240" s="71"/>
      <c r="G240" s="71"/>
      <c r="H240" s="71"/>
      <c r="I240" s="28"/>
      <c r="J240" s="28"/>
      <c r="K240" s="65"/>
      <c r="L240" s="65"/>
      <c r="M240" s="65"/>
      <c r="N240" s="65"/>
      <c r="O240" s="65"/>
      <c r="P240" s="65"/>
      <c r="Q240" s="65"/>
      <c r="R240" s="65"/>
      <c r="S240" s="65"/>
      <c r="T240" s="65"/>
      <c r="U240" s="65"/>
      <c r="V240" s="65"/>
      <c r="W240" s="65"/>
      <c r="X240" s="65"/>
    </row>
    <row r="241">
      <c r="A241" s="64"/>
      <c r="B241" s="64"/>
      <c r="C241" s="49"/>
      <c r="D241" s="49"/>
      <c r="E241" s="71"/>
      <c r="F241" s="71"/>
      <c r="G241" s="71"/>
      <c r="H241" s="71"/>
      <c r="I241" s="28"/>
      <c r="J241" s="28"/>
      <c r="K241" s="65"/>
      <c r="L241" s="65"/>
      <c r="M241" s="65"/>
      <c r="N241" s="65"/>
      <c r="O241" s="65"/>
      <c r="P241" s="65"/>
      <c r="Q241" s="65"/>
      <c r="R241" s="65"/>
      <c r="S241" s="65"/>
      <c r="T241" s="65"/>
      <c r="U241" s="65"/>
      <c r="V241" s="65"/>
      <c r="W241" s="65"/>
      <c r="X241" s="65"/>
    </row>
    <row r="242">
      <c r="A242" s="64"/>
      <c r="B242" s="64"/>
      <c r="C242" s="49"/>
      <c r="D242" s="49"/>
      <c r="E242" s="71"/>
      <c r="F242" s="71"/>
      <c r="G242" s="71"/>
      <c r="H242" s="71"/>
      <c r="I242" s="28"/>
      <c r="J242" s="28"/>
      <c r="K242" s="65"/>
      <c r="L242" s="65"/>
      <c r="M242" s="65"/>
      <c r="N242" s="65"/>
      <c r="O242" s="65"/>
      <c r="P242" s="65"/>
      <c r="Q242" s="65"/>
      <c r="R242" s="65"/>
      <c r="S242" s="65"/>
      <c r="T242" s="65"/>
      <c r="U242" s="65"/>
      <c r="V242" s="65"/>
      <c r="W242" s="65"/>
      <c r="X242" s="65"/>
    </row>
    <row r="243">
      <c r="A243" s="64"/>
      <c r="B243" s="64"/>
      <c r="C243" s="49"/>
      <c r="D243" s="49"/>
      <c r="E243" s="71"/>
      <c r="F243" s="71"/>
      <c r="G243" s="71"/>
      <c r="H243" s="71"/>
      <c r="I243" s="28"/>
      <c r="J243" s="28"/>
      <c r="K243" s="65"/>
      <c r="L243" s="65"/>
      <c r="M243" s="65"/>
      <c r="N243" s="65"/>
      <c r="O243" s="65"/>
      <c r="P243" s="65"/>
      <c r="Q243" s="65"/>
      <c r="R243" s="65"/>
      <c r="S243" s="65"/>
      <c r="T243" s="65"/>
      <c r="U243" s="65"/>
      <c r="V243" s="65"/>
      <c r="W243" s="65"/>
      <c r="X243" s="65"/>
    </row>
    <row r="244">
      <c r="A244" s="64"/>
      <c r="B244" s="64"/>
      <c r="C244" s="49"/>
      <c r="D244" s="49"/>
      <c r="E244" s="71"/>
      <c r="F244" s="71"/>
      <c r="G244" s="71"/>
      <c r="H244" s="71"/>
      <c r="I244" s="28"/>
      <c r="J244" s="28"/>
      <c r="K244" s="65"/>
      <c r="L244" s="65"/>
      <c r="M244" s="65"/>
      <c r="N244" s="65"/>
      <c r="O244" s="65"/>
      <c r="P244" s="65"/>
      <c r="Q244" s="65"/>
      <c r="R244" s="65"/>
      <c r="S244" s="65"/>
      <c r="T244" s="65"/>
      <c r="U244" s="65"/>
      <c r="V244" s="65"/>
      <c r="W244" s="65"/>
      <c r="X244" s="65"/>
    </row>
    <row r="245">
      <c r="A245" s="64"/>
      <c r="B245" s="64"/>
      <c r="C245" s="49"/>
      <c r="D245" s="49"/>
      <c r="E245" s="71"/>
      <c r="F245" s="71"/>
      <c r="G245" s="71"/>
      <c r="H245" s="71"/>
      <c r="I245" s="28"/>
      <c r="J245" s="28"/>
      <c r="K245" s="65"/>
      <c r="L245" s="65"/>
      <c r="M245" s="65"/>
      <c r="N245" s="65"/>
      <c r="O245" s="65"/>
      <c r="P245" s="65"/>
      <c r="Q245" s="65"/>
      <c r="R245" s="65"/>
      <c r="S245" s="65"/>
      <c r="T245" s="65"/>
      <c r="U245" s="65"/>
      <c r="V245" s="65"/>
      <c r="W245" s="65"/>
      <c r="X245" s="65"/>
    </row>
    <row r="246">
      <c r="A246" s="64"/>
      <c r="B246" s="64"/>
      <c r="C246" s="49"/>
      <c r="D246" s="49"/>
      <c r="E246" s="71"/>
      <c r="F246" s="71"/>
      <c r="G246" s="71"/>
      <c r="H246" s="71"/>
      <c r="I246" s="28"/>
      <c r="J246" s="28"/>
      <c r="K246" s="65"/>
      <c r="L246" s="65"/>
      <c r="M246" s="65"/>
      <c r="N246" s="65"/>
      <c r="O246" s="65"/>
      <c r="P246" s="65"/>
      <c r="Q246" s="65"/>
      <c r="R246" s="65"/>
      <c r="S246" s="65"/>
      <c r="T246" s="65"/>
      <c r="U246" s="65"/>
      <c r="V246" s="65"/>
      <c r="W246" s="65"/>
      <c r="X246" s="65"/>
    </row>
    <row r="247">
      <c r="A247" s="64"/>
      <c r="B247" s="64"/>
      <c r="C247" s="49"/>
      <c r="D247" s="49"/>
      <c r="E247" s="71"/>
      <c r="F247" s="71"/>
      <c r="G247" s="71"/>
      <c r="H247" s="71"/>
      <c r="I247" s="28"/>
      <c r="J247" s="28"/>
      <c r="K247" s="65"/>
      <c r="L247" s="65"/>
      <c r="M247" s="65"/>
      <c r="N247" s="65"/>
      <c r="O247" s="65"/>
      <c r="P247" s="65"/>
      <c r="Q247" s="65"/>
      <c r="R247" s="65"/>
      <c r="S247" s="65"/>
      <c r="T247" s="65"/>
      <c r="U247" s="65"/>
      <c r="V247" s="65"/>
      <c r="W247" s="65"/>
      <c r="X247" s="65"/>
    </row>
    <row r="248">
      <c r="A248" s="64"/>
      <c r="B248" s="64"/>
      <c r="C248" s="49"/>
      <c r="D248" s="49"/>
      <c r="E248" s="71"/>
      <c r="F248" s="71"/>
      <c r="G248" s="71"/>
      <c r="H248" s="71"/>
      <c r="I248" s="28"/>
      <c r="J248" s="28"/>
      <c r="K248" s="65"/>
      <c r="L248" s="65"/>
      <c r="M248" s="65"/>
      <c r="N248" s="65"/>
      <c r="O248" s="65"/>
      <c r="P248" s="65"/>
      <c r="Q248" s="65"/>
      <c r="R248" s="65"/>
      <c r="S248" s="65"/>
      <c r="T248" s="65"/>
      <c r="U248" s="65"/>
      <c r="V248" s="65"/>
      <c r="W248" s="65"/>
      <c r="X248" s="65"/>
    </row>
    <row r="249">
      <c r="A249" s="64"/>
      <c r="B249" s="64"/>
      <c r="C249" s="49"/>
      <c r="D249" s="49"/>
      <c r="E249" s="71"/>
      <c r="F249" s="71"/>
      <c r="G249" s="71"/>
      <c r="H249" s="71"/>
      <c r="I249" s="28"/>
      <c r="J249" s="28"/>
      <c r="K249" s="65"/>
      <c r="L249" s="65"/>
      <c r="M249" s="65"/>
      <c r="N249" s="65"/>
      <c r="O249" s="65"/>
      <c r="P249" s="65"/>
      <c r="Q249" s="65"/>
      <c r="R249" s="65"/>
      <c r="S249" s="65"/>
      <c r="T249" s="65"/>
      <c r="U249" s="65"/>
      <c r="V249" s="65"/>
      <c r="W249" s="65"/>
      <c r="X249" s="65"/>
    </row>
    <row r="250">
      <c r="A250" s="64"/>
      <c r="B250" s="64"/>
      <c r="C250" s="49"/>
      <c r="D250" s="49"/>
      <c r="E250" s="71"/>
      <c r="F250" s="71"/>
      <c r="G250" s="71"/>
      <c r="H250" s="71"/>
      <c r="I250" s="28"/>
      <c r="J250" s="28"/>
      <c r="K250" s="65"/>
      <c r="L250" s="65"/>
      <c r="M250" s="65"/>
      <c r="N250" s="65"/>
      <c r="O250" s="65"/>
      <c r="P250" s="65"/>
      <c r="Q250" s="65"/>
      <c r="R250" s="65"/>
      <c r="S250" s="65"/>
      <c r="T250" s="65"/>
      <c r="U250" s="65"/>
      <c r="V250" s="65"/>
      <c r="W250" s="65"/>
      <c r="X250" s="65"/>
    </row>
    <row r="251">
      <c r="A251" s="64"/>
      <c r="B251" s="64"/>
      <c r="C251" s="49"/>
      <c r="D251" s="49"/>
      <c r="E251" s="71"/>
      <c r="F251" s="71"/>
      <c r="G251" s="71"/>
      <c r="H251" s="71"/>
      <c r="I251" s="28"/>
      <c r="J251" s="28"/>
      <c r="K251" s="65"/>
      <c r="L251" s="65"/>
      <c r="M251" s="65"/>
      <c r="N251" s="65"/>
      <c r="O251" s="65"/>
      <c r="P251" s="65"/>
      <c r="Q251" s="65"/>
      <c r="R251" s="65"/>
      <c r="S251" s="65"/>
      <c r="T251" s="65"/>
      <c r="U251" s="65"/>
      <c r="V251" s="65"/>
      <c r="W251" s="65"/>
      <c r="X251" s="65"/>
    </row>
    <row r="252">
      <c r="A252" s="64"/>
      <c r="B252" s="64"/>
      <c r="C252" s="49"/>
      <c r="D252" s="49"/>
      <c r="E252" s="71"/>
      <c r="F252" s="71"/>
      <c r="G252" s="71"/>
      <c r="H252" s="71"/>
      <c r="I252" s="28"/>
      <c r="J252" s="28"/>
      <c r="K252" s="65"/>
      <c r="L252" s="65"/>
      <c r="M252" s="65"/>
      <c r="N252" s="65"/>
      <c r="O252" s="65"/>
      <c r="P252" s="65"/>
      <c r="Q252" s="65"/>
      <c r="R252" s="65"/>
      <c r="S252" s="65"/>
      <c r="T252" s="65"/>
      <c r="U252" s="65"/>
      <c r="V252" s="65"/>
      <c r="W252" s="65"/>
      <c r="X252" s="65"/>
    </row>
    <row r="253">
      <c r="A253" s="64"/>
      <c r="B253" s="64"/>
      <c r="C253" s="49"/>
      <c r="D253" s="49"/>
      <c r="E253" s="71"/>
      <c r="F253" s="71"/>
      <c r="G253" s="71"/>
      <c r="H253" s="71"/>
      <c r="I253" s="28"/>
      <c r="J253" s="28"/>
      <c r="K253" s="65"/>
      <c r="L253" s="65"/>
      <c r="M253" s="65"/>
      <c r="N253" s="65"/>
      <c r="O253" s="65"/>
      <c r="P253" s="65"/>
      <c r="Q253" s="65"/>
      <c r="R253" s="65"/>
      <c r="S253" s="65"/>
      <c r="T253" s="65"/>
      <c r="U253" s="65"/>
      <c r="V253" s="65"/>
      <c r="W253" s="65"/>
      <c r="X253" s="65"/>
    </row>
    <row r="254">
      <c r="A254" s="64"/>
      <c r="B254" s="64"/>
      <c r="C254" s="49"/>
      <c r="D254" s="49"/>
      <c r="E254" s="71"/>
      <c r="F254" s="71"/>
      <c r="G254" s="71"/>
      <c r="H254" s="71"/>
      <c r="I254" s="28"/>
      <c r="J254" s="28"/>
      <c r="K254" s="65"/>
      <c r="L254" s="65"/>
      <c r="M254" s="65"/>
      <c r="N254" s="65"/>
      <c r="O254" s="65"/>
      <c r="P254" s="65"/>
      <c r="Q254" s="65"/>
      <c r="R254" s="65"/>
      <c r="S254" s="65"/>
      <c r="T254" s="65"/>
      <c r="U254" s="65"/>
      <c r="V254" s="65"/>
      <c r="W254" s="65"/>
      <c r="X254" s="65"/>
    </row>
    <row r="255">
      <c r="A255" s="64"/>
      <c r="B255" s="64"/>
      <c r="C255" s="49"/>
      <c r="D255" s="49"/>
      <c r="E255" s="71"/>
      <c r="F255" s="71"/>
      <c r="G255" s="71"/>
      <c r="H255" s="71"/>
      <c r="I255" s="28"/>
      <c r="J255" s="28"/>
      <c r="K255" s="65"/>
      <c r="L255" s="65"/>
      <c r="M255" s="65"/>
      <c r="N255" s="65"/>
      <c r="O255" s="65"/>
      <c r="P255" s="65"/>
      <c r="Q255" s="65"/>
      <c r="R255" s="65"/>
      <c r="S255" s="65"/>
      <c r="T255" s="65"/>
      <c r="U255" s="65"/>
      <c r="V255" s="65"/>
      <c r="W255" s="65"/>
      <c r="X255" s="65"/>
    </row>
    <row r="256">
      <c r="A256" s="64"/>
      <c r="B256" s="64"/>
      <c r="C256" s="49"/>
      <c r="D256" s="49"/>
      <c r="E256" s="71"/>
      <c r="F256" s="71"/>
      <c r="G256" s="71"/>
      <c r="H256" s="71"/>
      <c r="I256" s="28"/>
      <c r="J256" s="28"/>
      <c r="K256" s="65"/>
      <c r="L256" s="65"/>
      <c r="M256" s="65"/>
      <c r="N256" s="65"/>
      <c r="O256" s="65"/>
      <c r="P256" s="65"/>
      <c r="Q256" s="65"/>
      <c r="R256" s="65"/>
      <c r="S256" s="65"/>
      <c r="T256" s="65"/>
      <c r="U256" s="65"/>
      <c r="V256" s="65"/>
      <c r="W256" s="65"/>
      <c r="X256" s="65"/>
    </row>
    <row r="257">
      <c r="A257" s="64"/>
      <c r="B257" s="64"/>
      <c r="C257" s="49"/>
      <c r="D257" s="49"/>
      <c r="E257" s="71"/>
      <c r="F257" s="71"/>
      <c r="G257" s="71"/>
      <c r="H257" s="71"/>
      <c r="I257" s="28"/>
      <c r="J257" s="28"/>
      <c r="K257" s="65"/>
      <c r="L257" s="65"/>
      <c r="M257" s="65"/>
      <c r="N257" s="65"/>
      <c r="O257" s="65"/>
      <c r="P257" s="65"/>
      <c r="Q257" s="65"/>
      <c r="R257" s="65"/>
      <c r="S257" s="65"/>
      <c r="T257" s="65"/>
      <c r="U257" s="65"/>
      <c r="V257" s="65"/>
      <c r="W257" s="65"/>
      <c r="X257" s="65"/>
    </row>
    <row r="258">
      <c r="A258" s="64"/>
      <c r="B258" s="64"/>
      <c r="C258" s="49"/>
      <c r="D258" s="49"/>
      <c r="E258" s="71"/>
      <c r="F258" s="71"/>
      <c r="G258" s="71"/>
      <c r="H258" s="71"/>
      <c r="I258" s="28"/>
      <c r="J258" s="28"/>
      <c r="K258" s="65"/>
      <c r="L258" s="65"/>
      <c r="M258" s="65"/>
      <c r="N258" s="65"/>
      <c r="O258" s="65"/>
      <c r="P258" s="65"/>
      <c r="Q258" s="65"/>
      <c r="R258" s="65"/>
      <c r="S258" s="65"/>
      <c r="T258" s="65"/>
      <c r="U258" s="65"/>
      <c r="V258" s="65"/>
      <c r="W258" s="65"/>
      <c r="X258" s="65"/>
    </row>
    <row r="259">
      <c r="A259" s="64"/>
      <c r="B259" s="64"/>
      <c r="C259" s="49"/>
      <c r="D259" s="49"/>
      <c r="E259" s="71"/>
      <c r="F259" s="71"/>
      <c r="G259" s="71"/>
      <c r="H259" s="71"/>
      <c r="I259" s="28"/>
      <c r="J259" s="28"/>
      <c r="K259" s="65"/>
      <c r="L259" s="65"/>
      <c r="M259" s="65"/>
      <c r="N259" s="65"/>
      <c r="O259" s="65"/>
      <c r="P259" s="65"/>
      <c r="Q259" s="65"/>
      <c r="R259" s="65"/>
      <c r="S259" s="65"/>
      <c r="T259" s="65"/>
      <c r="U259" s="65"/>
      <c r="V259" s="65"/>
      <c r="W259" s="65"/>
      <c r="X259" s="65"/>
    </row>
    <row r="260">
      <c r="A260" s="64"/>
      <c r="B260" s="64"/>
      <c r="C260" s="49"/>
      <c r="D260" s="49"/>
      <c r="E260" s="71"/>
      <c r="F260" s="71"/>
      <c r="G260" s="71"/>
      <c r="H260" s="71"/>
      <c r="I260" s="28"/>
      <c r="J260" s="28"/>
      <c r="K260" s="65"/>
      <c r="L260" s="65"/>
      <c r="M260" s="65"/>
      <c r="N260" s="65"/>
      <c r="O260" s="65"/>
      <c r="P260" s="65"/>
      <c r="Q260" s="65"/>
      <c r="R260" s="65"/>
      <c r="S260" s="65"/>
      <c r="T260" s="65"/>
      <c r="U260" s="65"/>
      <c r="V260" s="65"/>
      <c r="W260" s="65"/>
      <c r="X260" s="65"/>
    </row>
    <row r="261">
      <c r="A261" s="64"/>
      <c r="B261" s="64"/>
      <c r="C261" s="49"/>
      <c r="D261" s="49"/>
      <c r="E261" s="71"/>
      <c r="F261" s="71"/>
      <c r="G261" s="71"/>
      <c r="H261" s="71"/>
      <c r="I261" s="28"/>
      <c r="J261" s="28"/>
      <c r="K261" s="65"/>
      <c r="L261" s="65"/>
      <c r="M261" s="65"/>
      <c r="N261" s="65"/>
      <c r="O261" s="65"/>
      <c r="P261" s="65"/>
      <c r="Q261" s="65"/>
      <c r="R261" s="65"/>
      <c r="S261" s="65"/>
      <c r="T261" s="65"/>
      <c r="U261" s="65"/>
      <c r="V261" s="65"/>
      <c r="W261" s="65"/>
      <c r="X261" s="65"/>
    </row>
    <row r="262">
      <c r="A262" s="64"/>
      <c r="B262" s="64"/>
      <c r="C262" s="49"/>
      <c r="D262" s="49"/>
      <c r="E262" s="71"/>
      <c r="F262" s="71"/>
      <c r="G262" s="71"/>
      <c r="H262" s="71"/>
      <c r="I262" s="28"/>
      <c r="J262" s="28"/>
      <c r="K262" s="65"/>
      <c r="L262" s="65"/>
      <c r="M262" s="65"/>
      <c r="N262" s="65"/>
      <c r="O262" s="65"/>
      <c r="P262" s="65"/>
      <c r="Q262" s="65"/>
      <c r="R262" s="65"/>
      <c r="S262" s="65"/>
      <c r="T262" s="65"/>
      <c r="U262" s="65"/>
      <c r="V262" s="65"/>
      <c r="W262" s="65"/>
      <c r="X262" s="65"/>
    </row>
    <row r="263">
      <c r="A263" s="64"/>
      <c r="B263" s="64"/>
      <c r="C263" s="49"/>
      <c r="D263" s="49"/>
      <c r="E263" s="71"/>
      <c r="F263" s="71"/>
      <c r="G263" s="71"/>
      <c r="H263" s="71"/>
      <c r="I263" s="28"/>
      <c r="J263" s="28"/>
      <c r="K263" s="65"/>
      <c r="L263" s="65"/>
      <c r="M263" s="65"/>
      <c r="N263" s="65"/>
      <c r="O263" s="65"/>
      <c r="P263" s="65"/>
      <c r="Q263" s="65"/>
      <c r="R263" s="65"/>
      <c r="S263" s="65"/>
      <c r="T263" s="65"/>
      <c r="U263" s="65"/>
      <c r="V263" s="65"/>
      <c r="W263" s="65"/>
      <c r="X263" s="65"/>
    </row>
    <row r="264">
      <c r="A264" s="64"/>
      <c r="B264" s="64"/>
      <c r="C264" s="49"/>
      <c r="D264" s="49"/>
      <c r="E264" s="71"/>
      <c r="F264" s="71"/>
      <c r="G264" s="71"/>
      <c r="H264" s="71"/>
      <c r="I264" s="28"/>
      <c r="J264" s="28"/>
      <c r="K264" s="65"/>
      <c r="L264" s="65"/>
      <c r="M264" s="65"/>
      <c r="N264" s="65"/>
      <c r="O264" s="65"/>
      <c r="P264" s="65"/>
      <c r="Q264" s="65"/>
      <c r="R264" s="65"/>
      <c r="S264" s="65"/>
      <c r="T264" s="65"/>
      <c r="U264" s="65"/>
      <c r="V264" s="65"/>
      <c r="W264" s="65"/>
      <c r="X264" s="65"/>
    </row>
    <row r="265">
      <c r="A265" s="64"/>
      <c r="B265" s="64"/>
      <c r="C265" s="49"/>
      <c r="D265" s="49"/>
      <c r="E265" s="71"/>
      <c r="F265" s="71"/>
      <c r="G265" s="71"/>
      <c r="H265" s="71"/>
      <c r="I265" s="28"/>
      <c r="J265" s="28"/>
      <c r="K265" s="65"/>
      <c r="L265" s="65"/>
      <c r="M265" s="65"/>
      <c r="N265" s="65"/>
      <c r="O265" s="65"/>
      <c r="P265" s="65"/>
      <c r="Q265" s="65"/>
      <c r="R265" s="65"/>
      <c r="S265" s="65"/>
      <c r="T265" s="65"/>
      <c r="U265" s="65"/>
      <c r="V265" s="65"/>
      <c r="W265" s="65"/>
      <c r="X265" s="65"/>
    </row>
    <row r="266">
      <c r="A266" s="64"/>
      <c r="B266" s="64"/>
      <c r="C266" s="49"/>
      <c r="D266" s="49"/>
      <c r="E266" s="71"/>
      <c r="F266" s="71"/>
      <c r="G266" s="71"/>
      <c r="H266" s="71"/>
      <c r="I266" s="28"/>
      <c r="J266" s="28"/>
      <c r="K266" s="65"/>
      <c r="L266" s="65"/>
      <c r="M266" s="65"/>
      <c r="N266" s="65"/>
      <c r="O266" s="65"/>
      <c r="P266" s="65"/>
      <c r="Q266" s="65"/>
      <c r="R266" s="65"/>
      <c r="S266" s="65"/>
      <c r="T266" s="65"/>
      <c r="U266" s="65"/>
      <c r="V266" s="65"/>
      <c r="W266" s="65"/>
      <c r="X266" s="65"/>
    </row>
    <row r="267">
      <c r="A267" s="64"/>
      <c r="B267" s="64"/>
      <c r="C267" s="49"/>
      <c r="D267" s="49"/>
      <c r="E267" s="71"/>
      <c r="F267" s="71"/>
      <c r="G267" s="71"/>
      <c r="H267" s="71"/>
      <c r="I267" s="28"/>
      <c r="J267" s="28"/>
      <c r="K267" s="65"/>
      <c r="L267" s="65"/>
      <c r="M267" s="65"/>
      <c r="N267" s="65"/>
      <c r="O267" s="65"/>
      <c r="P267" s="65"/>
      <c r="Q267" s="65"/>
      <c r="R267" s="65"/>
      <c r="S267" s="65"/>
      <c r="T267" s="65"/>
      <c r="U267" s="65"/>
      <c r="V267" s="65"/>
      <c r="W267" s="65"/>
      <c r="X267" s="65"/>
    </row>
    <row r="268">
      <c r="A268" s="64"/>
      <c r="B268" s="64"/>
      <c r="C268" s="49"/>
      <c r="D268" s="49"/>
      <c r="E268" s="71"/>
      <c r="F268" s="71"/>
      <c r="G268" s="71"/>
      <c r="H268" s="71"/>
      <c r="I268" s="28"/>
      <c r="J268" s="28"/>
      <c r="K268" s="65"/>
      <c r="L268" s="65"/>
      <c r="M268" s="65"/>
      <c r="N268" s="65"/>
      <c r="O268" s="65"/>
      <c r="P268" s="65"/>
      <c r="Q268" s="65"/>
      <c r="R268" s="65"/>
      <c r="S268" s="65"/>
      <c r="T268" s="65"/>
      <c r="U268" s="65"/>
      <c r="V268" s="65"/>
      <c r="W268" s="65"/>
      <c r="X268" s="65"/>
    </row>
    <row r="269">
      <c r="A269" s="64"/>
      <c r="B269" s="64"/>
      <c r="C269" s="49"/>
      <c r="D269" s="49"/>
      <c r="E269" s="71"/>
      <c r="F269" s="71"/>
      <c r="G269" s="71"/>
      <c r="H269" s="71"/>
      <c r="I269" s="28"/>
      <c r="J269" s="28"/>
      <c r="K269" s="65"/>
      <c r="L269" s="65"/>
      <c r="M269" s="65"/>
      <c r="N269" s="65"/>
      <c r="O269" s="65"/>
      <c r="P269" s="65"/>
      <c r="Q269" s="65"/>
      <c r="R269" s="65"/>
      <c r="S269" s="65"/>
      <c r="T269" s="65"/>
      <c r="U269" s="65"/>
      <c r="V269" s="65"/>
      <c r="W269" s="65"/>
      <c r="X269" s="65"/>
    </row>
    <row r="270">
      <c r="A270" s="64"/>
      <c r="B270" s="64"/>
      <c r="C270" s="49"/>
      <c r="D270" s="49"/>
      <c r="E270" s="71"/>
      <c r="F270" s="71"/>
      <c r="G270" s="71"/>
      <c r="H270" s="71"/>
      <c r="I270" s="28"/>
      <c r="J270" s="28"/>
      <c r="K270" s="65"/>
      <c r="L270" s="65"/>
      <c r="M270" s="65"/>
      <c r="N270" s="65"/>
      <c r="O270" s="65"/>
      <c r="P270" s="65"/>
      <c r="Q270" s="65"/>
      <c r="R270" s="65"/>
      <c r="S270" s="65"/>
      <c r="T270" s="65"/>
      <c r="U270" s="65"/>
      <c r="V270" s="65"/>
      <c r="W270" s="65"/>
      <c r="X270" s="65"/>
    </row>
    <row r="271">
      <c r="A271" s="64"/>
      <c r="B271" s="64"/>
      <c r="C271" s="49"/>
      <c r="D271" s="49"/>
      <c r="E271" s="71"/>
      <c r="F271" s="71"/>
      <c r="G271" s="71"/>
      <c r="H271" s="71"/>
      <c r="I271" s="28"/>
      <c r="J271" s="28"/>
      <c r="K271" s="65"/>
      <c r="L271" s="65"/>
      <c r="M271" s="65"/>
      <c r="N271" s="65"/>
      <c r="O271" s="65"/>
      <c r="P271" s="65"/>
      <c r="Q271" s="65"/>
      <c r="R271" s="65"/>
      <c r="S271" s="65"/>
      <c r="T271" s="65"/>
      <c r="U271" s="65"/>
      <c r="V271" s="65"/>
      <c r="W271" s="65"/>
      <c r="X271" s="65"/>
    </row>
    <row r="272">
      <c r="A272" s="64"/>
      <c r="B272" s="64"/>
      <c r="C272" s="49"/>
      <c r="D272" s="49"/>
      <c r="E272" s="71"/>
      <c r="F272" s="71"/>
      <c r="G272" s="71"/>
      <c r="H272" s="71"/>
      <c r="I272" s="28"/>
      <c r="J272" s="28"/>
      <c r="K272" s="65"/>
      <c r="L272" s="65"/>
      <c r="M272" s="65"/>
      <c r="N272" s="65"/>
      <c r="O272" s="65"/>
      <c r="P272" s="65"/>
      <c r="Q272" s="65"/>
      <c r="R272" s="65"/>
      <c r="S272" s="65"/>
      <c r="T272" s="65"/>
      <c r="U272" s="65"/>
      <c r="V272" s="65"/>
      <c r="W272" s="65"/>
      <c r="X272" s="65"/>
    </row>
    <row r="273">
      <c r="A273" s="64"/>
      <c r="B273" s="64"/>
      <c r="C273" s="49"/>
      <c r="D273" s="49"/>
      <c r="E273" s="71"/>
      <c r="F273" s="71"/>
      <c r="G273" s="71"/>
      <c r="H273" s="71"/>
      <c r="I273" s="28"/>
      <c r="J273" s="28"/>
      <c r="K273" s="65"/>
      <c r="L273" s="65"/>
      <c r="M273" s="65"/>
      <c r="N273" s="65"/>
      <c r="O273" s="65"/>
      <c r="P273" s="65"/>
      <c r="Q273" s="65"/>
      <c r="R273" s="65"/>
      <c r="S273" s="65"/>
      <c r="T273" s="65"/>
      <c r="U273" s="65"/>
      <c r="V273" s="65"/>
      <c r="W273" s="65"/>
      <c r="X273" s="65"/>
    </row>
    <row r="274">
      <c r="A274" s="64"/>
      <c r="B274" s="64"/>
      <c r="C274" s="49"/>
      <c r="D274" s="49"/>
      <c r="E274" s="71"/>
      <c r="F274" s="71"/>
      <c r="G274" s="71"/>
      <c r="H274" s="71"/>
      <c r="I274" s="28"/>
      <c r="J274" s="28"/>
      <c r="K274" s="65"/>
      <c r="L274" s="65"/>
      <c r="M274" s="65"/>
      <c r="N274" s="65"/>
      <c r="O274" s="65"/>
      <c r="P274" s="65"/>
      <c r="Q274" s="65"/>
      <c r="R274" s="65"/>
      <c r="S274" s="65"/>
      <c r="T274" s="65"/>
      <c r="U274" s="65"/>
      <c r="V274" s="65"/>
      <c r="W274" s="65"/>
      <c r="X274" s="65"/>
    </row>
    <row r="275">
      <c r="A275" s="64"/>
      <c r="B275" s="64"/>
      <c r="C275" s="49"/>
      <c r="D275" s="49"/>
      <c r="E275" s="71"/>
      <c r="F275" s="71"/>
      <c r="G275" s="71"/>
      <c r="H275" s="71"/>
      <c r="I275" s="28"/>
      <c r="J275" s="28"/>
      <c r="K275" s="65"/>
      <c r="L275" s="65"/>
      <c r="M275" s="65"/>
      <c r="N275" s="65"/>
      <c r="O275" s="65"/>
      <c r="P275" s="65"/>
      <c r="Q275" s="65"/>
      <c r="R275" s="65"/>
      <c r="S275" s="65"/>
      <c r="T275" s="65"/>
      <c r="U275" s="65"/>
      <c r="V275" s="65"/>
      <c r="W275" s="65"/>
      <c r="X275" s="65"/>
    </row>
    <row r="276">
      <c r="A276" s="64"/>
      <c r="B276" s="64"/>
      <c r="C276" s="49"/>
      <c r="D276" s="49"/>
      <c r="E276" s="71"/>
      <c r="F276" s="71"/>
      <c r="G276" s="71"/>
      <c r="H276" s="71"/>
      <c r="I276" s="28"/>
      <c r="J276" s="28"/>
      <c r="K276" s="65"/>
      <c r="L276" s="65"/>
      <c r="M276" s="65"/>
      <c r="N276" s="65"/>
      <c r="O276" s="65"/>
      <c r="P276" s="65"/>
      <c r="Q276" s="65"/>
      <c r="R276" s="65"/>
      <c r="S276" s="65"/>
      <c r="T276" s="65"/>
      <c r="U276" s="65"/>
      <c r="V276" s="65"/>
      <c r="W276" s="65"/>
      <c r="X276" s="65"/>
    </row>
    <row r="277">
      <c r="A277" s="64"/>
      <c r="B277" s="64"/>
      <c r="C277" s="49"/>
      <c r="D277" s="49"/>
      <c r="E277" s="71"/>
      <c r="F277" s="71"/>
      <c r="G277" s="71"/>
      <c r="H277" s="71"/>
      <c r="I277" s="28"/>
      <c r="J277" s="28"/>
      <c r="K277" s="65"/>
      <c r="L277" s="65"/>
      <c r="M277" s="65"/>
      <c r="N277" s="65"/>
      <c r="O277" s="65"/>
      <c r="P277" s="65"/>
      <c r="Q277" s="65"/>
      <c r="R277" s="65"/>
      <c r="S277" s="65"/>
      <c r="T277" s="65"/>
      <c r="U277" s="65"/>
      <c r="V277" s="65"/>
      <c r="W277" s="65"/>
      <c r="X277" s="65"/>
    </row>
    <row r="278">
      <c r="A278" s="64"/>
      <c r="B278" s="64"/>
      <c r="C278" s="49"/>
      <c r="D278" s="49"/>
      <c r="E278" s="71"/>
      <c r="F278" s="71"/>
      <c r="G278" s="71"/>
      <c r="H278" s="71"/>
      <c r="I278" s="28"/>
      <c r="J278" s="28"/>
      <c r="K278" s="65"/>
      <c r="L278" s="65"/>
      <c r="M278" s="65"/>
      <c r="N278" s="65"/>
      <c r="O278" s="65"/>
      <c r="P278" s="65"/>
      <c r="Q278" s="65"/>
      <c r="R278" s="65"/>
      <c r="S278" s="65"/>
      <c r="T278" s="65"/>
      <c r="U278" s="65"/>
      <c r="V278" s="65"/>
      <c r="W278" s="65"/>
      <c r="X278" s="65"/>
    </row>
    <row r="279">
      <c r="A279" s="64"/>
      <c r="B279" s="64"/>
      <c r="C279" s="49"/>
      <c r="D279" s="49"/>
      <c r="E279" s="71"/>
      <c r="F279" s="71"/>
      <c r="G279" s="71"/>
      <c r="H279" s="71"/>
      <c r="I279" s="28"/>
      <c r="J279" s="28"/>
      <c r="K279" s="65"/>
      <c r="L279" s="65"/>
      <c r="M279" s="65"/>
      <c r="N279" s="65"/>
      <c r="O279" s="65"/>
      <c r="P279" s="65"/>
      <c r="Q279" s="65"/>
      <c r="R279" s="65"/>
      <c r="S279" s="65"/>
      <c r="T279" s="65"/>
      <c r="U279" s="65"/>
      <c r="V279" s="65"/>
      <c r="W279" s="65"/>
      <c r="X279" s="65"/>
    </row>
    <row r="280">
      <c r="A280" s="64"/>
      <c r="B280" s="64"/>
      <c r="C280" s="49"/>
      <c r="D280" s="49"/>
      <c r="E280" s="71"/>
      <c r="F280" s="71"/>
      <c r="G280" s="71"/>
      <c r="H280" s="71"/>
      <c r="I280" s="28"/>
      <c r="J280" s="28"/>
      <c r="K280" s="65"/>
      <c r="L280" s="65"/>
      <c r="M280" s="65"/>
      <c r="N280" s="65"/>
      <c r="O280" s="65"/>
      <c r="P280" s="65"/>
      <c r="Q280" s="65"/>
      <c r="R280" s="65"/>
      <c r="S280" s="65"/>
      <c r="T280" s="65"/>
      <c r="U280" s="65"/>
      <c r="V280" s="65"/>
      <c r="W280" s="65"/>
      <c r="X280" s="65"/>
    </row>
    <row r="281">
      <c r="A281" s="64"/>
      <c r="B281" s="64"/>
      <c r="C281" s="49"/>
      <c r="D281" s="49"/>
      <c r="E281" s="71"/>
      <c r="F281" s="71"/>
      <c r="G281" s="71"/>
      <c r="H281" s="71"/>
      <c r="I281" s="28"/>
      <c r="J281" s="28"/>
      <c r="K281" s="65"/>
      <c r="L281" s="65"/>
      <c r="M281" s="65"/>
      <c r="N281" s="65"/>
      <c r="O281" s="65"/>
      <c r="P281" s="65"/>
      <c r="Q281" s="65"/>
      <c r="R281" s="65"/>
      <c r="S281" s="65"/>
      <c r="T281" s="65"/>
      <c r="U281" s="65"/>
      <c r="V281" s="65"/>
      <c r="W281" s="65"/>
      <c r="X281" s="65"/>
    </row>
    <row r="282">
      <c r="A282" s="64"/>
      <c r="B282" s="64"/>
      <c r="C282" s="49"/>
      <c r="D282" s="49"/>
      <c r="E282" s="71"/>
      <c r="F282" s="71"/>
      <c r="G282" s="71"/>
      <c r="H282" s="71"/>
      <c r="I282" s="28"/>
      <c r="J282" s="28"/>
      <c r="K282" s="65"/>
      <c r="L282" s="65"/>
      <c r="M282" s="65"/>
      <c r="N282" s="65"/>
      <c r="O282" s="65"/>
      <c r="P282" s="65"/>
      <c r="Q282" s="65"/>
      <c r="R282" s="65"/>
      <c r="S282" s="65"/>
      <c r="T282" s="65"/>
      <c r="U282" s="65"/>
      <c r="V282" s="65"/>
      <c r="W282" s="65"/>
      <c r="X282" s="65"/>
    </row>
    <row r="283">
      <c r="A283" s="64"/>
      <c r="B283" s="64"/>
      <c r="C283" s="49"/>
      <c r="D283" s="49"/>
      <c r="E283" s="71"/>
      <c r="F283" s="71"/>
      <c r="G283" s="71"/>
      <c r="H283" s="71"/>
      <c r="I283" s="28"/>
      <c r="J283" s="28"/>
      <c r="K283" s="65"/>
      <c r="L283" s="65"/>
      <c r="M283" s="65"/>
      <c r="N283" s="65"/>
      <c r="O283" s="65"/>
      <c r="P283" s="65"/>
      <c r="Q283" s="65"/>
      <c r="R283" s="65"/>
      <c r="S283" s="65"/>
      <c r="T283" s="65"/>
      <c r="U283" s="65"/>
      <c r="V283" s="65"/>
      <c r="W283" s="65"/>
      <c r="X283" s="65"/>
    </row>
    <row r="284">
      <c r="A284" s="64"/>
      <c r="B284" s="64"/>
      <c r="C284" s="49"/>
      <c r="D284" s="49"/>
      <c r="E284" s="71"/>
      <c r="F284" s="71"/>
      <c r="G284" s="71"/>
      <c r="H284" s="71"/>
      <c r="I284" s="28"/>
      <c r="J284" s="28"/>
      <c r="K284" s="65"/>
      <c r="L284" s="65"/>
      <c r="M284" s="65"/>
      <c r="N284" s="65"/>
      <c r="O284" s="65"/>
      <c r="P284" s="65"/>
      <c r="Q284" s="65"/>
      <c r="R284" s="65"/>
      <c r="S284" s="65"/>
      <c r="T284" s="65"/>
      <c r="U284" s="65"/>
      <c r="V284" s="65"/>
      <c r="W284" s="65"/>
      <c r="X284" s="65"/>
    </row>
    <row r="285">
      <c r="A285" s="64"/>
      <c r="B285" s="64"/>
      <c r="C285" s="49"/>
      <c r="D285" s="49"/>
      <c r="E285" s="71"/>
      <c r="F285" s="71"/>
      <c r="G285" s="71"/>
      <c r="H285" s="71"/>
      <c r="I285" s="28"/>
      <c r="J285" s="28"/>
      <c r="K285" s="65"/>
      <c r="L285" s="65"/>
      <c r="M285" s="65"/>
      <c r="N285" s="65"/>
      <c r="O285" s="65"/>
      <c r="P285" s="65"/>
      <c r="Q285" s="65"/>
      <c r="R285" s="65"/>
      <c r="S285" s="65"/>
      <c r="T285" s="65"/>
      <c r="U285" s="65"/>
      <c r="V285" s="65"/>
      <c r="W285" s="65"/>
      <c r="X285" s="65"/>
    </row>
    <row r="286">
      <c r="A286" s="64"/>
      <c r="B286" s="64"/>
      <c r="C286" s="49"/>
      <c r="D286" s="49"/>
      <c r="E286" s="71"/>
      <c r="F286" s="71"/>
      <c r="G286" s="71"/>
      <c r="H286" s="71"/>
      <c r="I286" s="28"/>
      <c r="J286" s="28"/>
      <c r="K286" s="65"/>
      <c r="L286" s="65"/>
      <c r="M286" s="65"/>
      <c r="N286" s="65"/>
      <c r="O286" s="65"/>
      <c r="P286" s="65"/>
      <c r="Q286" s="65"/>
      <c r="R286" s="65"/>
      <c r="S286" s="65"/>
      <c r="T286" s="65"/>
      <c r="U286" s="65"/>
      <c r="V286" s="65"/>
      <c r="W286" s="65"/>
      <c r="X286" s="65"/>
    </row>
    <row r="287">
      <c r="A287" s="64"/>
      <c r="B287" s="64"/>
      <c r="C287" s="49"/>
      <c r="D287" s="49"/>
      <c r="E287" s="71"/>
      <c r="F287" s="71"/>
      <c r="G287" s="71"/>
      <c r="H287" s="71"/>
      <c r="I287" s="28"/>
      <c r="J287" s="28"/>
      <c r="K287" s="65"/>
      <c r="L287" s="65"/>
      <c r="M287" s="65"/>
      <c r="N287" s="65"/>
      <c r="O287" s="65"/>
      <c r="P287" s="65"/>
      <c r="Q287" s="65"/>
      <c r="R287" s="65"/>
      <c r="S287" s="65"/>
      <c r="T287" s="65"/>
      <c r="U287" s="65"/>
      <c r="V287" s="65"/>
      <c r="W287" s="65"/>
      <c r="X287" s="65"/>
    </row>
    <row r="288">
      <c r="A288" s="64"/>
      <c r="B288" s="64"/>
      <c r="C288" s="49"/>
      <c r="D288" s="49"/>
      <c r="E288" s="71"/>
      <c r="F288" s="71"/>
      <c r="G288" s="71"/>
      <c r="H288" s="71"/>
      <c r="I288" s="28"/>
      <c r="J288" s="28"/>
      <c r="K288" s="65"/>
      <c r="L288" s="65"/>
      <c r="M288" s="65"/>
      <c r="N288" s="65"/>
      <c r="O288" s="65"/>
      <c r="P288" s="65"/>
      <c r="Q288" s="65"/>
      <c r="R288" s="65"/>
      <c r="S288" s="65"/>
      <c r="T288" s="65"/>
      <c r="U288" s="65"/>
      <c r="V288" s="65"/>
      <c r="W288" s="65"/>
      <c r="X288" s="65"/>
    </row>
    <row r="289">
      <c r="A289" s="64"/>
      <c r="B289" s="64"/>
      <c r="C289" s="49"/>
      <c r="D289" s="49"/>
      <c r="E289" s="71"/>
      <c r="F289" s="71"/>
      <c r="G289" s="71"/>
      <c r="H289" s="71"/>
      <c r="I289" s="28"/>
      <c r="J289" s="28"/>
      <c r="K289" s="65"/>
      <c r="L289" s="65"/>
      <c r="M289" s="65"/>
      <c r="N289" s="65"/>
      <c r="O289" s="65"/>
      <c r="P289" s="65"/>
      <c r="Q289" s="65"/>
      <c r="R289" s="65"/>
      <c r="S289" s="65"/>
      <c r="T289" s="65"/>
      <c r="U289" s="65"/>
      <c r="V289" s="65"/>
      <c r="W289" s="65"/>
      <c r="X289" s="65"/>
    </row>
    <row r="290">
      <c r="A290" s="64"/>
      <c r="B290" s="64"/>
      <c r="C290" s="49"/>
      <c r="D290" s="49"/>
      <c r="E290" s="71"/>
      <c r="F290" s="71"/>
      <c r="G290" s="71"/>
      <c r="H290" s="71"/>
      <c r="I290" s="28"/>
      <c r="J290" s="28"/>
      <c r="K290" s="65"/>
      <c r="L290" s="65"/>
      <c r="M290" s="65"/>
      <c r="N290" s="65"/>
      <c r="O290" s="65"/>
      <c r="P290" s="65"/>
      <c r="Q290" s="65"/>
      <c r="R290" s="65"/>
      <c r="S290" s="65"/>
      <c r="T290" s="65"/>
      <c r="U290" s="65"/>
      <c r="V290" s="65"/>
      <c r="W290" s="65"/>
      <c r="X290" s="65"/>
    </row>
    <row r="291">
      <c r="A291" s="64"/>
      <c r="B291" s="64"/>
      <c r="C291" s="49"/>
      <c r="D291" s="49"/>
      <c r="E291" s="71"/>
      <c r="F291" s="71"/>
      <c r="G291" s="71"/>
      <c r="H291" s="71"/>
      <c r="I291" s="28"/>
      <c r="J291" s="28"/>
      <c r="K291" s="65"/>
      <c r="L291" s="65"/>
      <c r="M291" s="65"/>
      <c r="N291" s="65"/>
      <c r="O291" s="65"/>
      <c r="P291" s="65"/>
      <c r="Q291" s="65"/>
      <c r="R291" s="65"/>
      <c r="S291" s="65"/>
      <c r="T291" s="65"/>
      <c r="U291" s="65"/>
      <c r="V291" s="65"/>
      <c r="W291" s="65"/>
      <c r="X291" s="65"/>
    </row>
    <row r="292">
      <c r="A292" s="64"/>
      <c r="B292" s="64"/>
      <c r="C292" s="49"/>
      <c r="D292" s="49"/>
      <c r="E292" s="71"/>
      <c r="F292" s="71"/>
      <c r="G292" s="71"/>
      <c r="H292" s="71"/>
      <c r="I292" s="28"/>
      <c r="J292" s="28"/>
      <c r="K292" s="65"/>
      <c r="L292" s="65"/>
      <c r="M292" s="65"/>
      <c r="N292" s="65"/>
      <c r="O292" s="65"/>
      <c r="P292" s="65"/>
      <c r="Q292" s="65"/>
      <c r="R292" s="65"/>
      <c r="S292" s="65"/>
      <c r="T292" s="65"/>
      <c r="U292" s="65"/>
      <c r="V292" s="65"/>
      <c r="W292" s="65"/>
      <c r="X292" s="65"/>
    </row>
    <row r="293">
      <c r="A293" s="64"/>
      <c r="B293" s="64"/>
      <c r="C293" s="49"/>
      <c r="D293" s="49"/>
      <c r="E293" s="71"/>
      <c r="F293" s="71"/>
      <c r="G293" s="71"/>
      <c r="H293" s="71"/>
      <c r="I293" s="28"/>
      <c r="J293" s="28"/>
      <c r="K293" s="65"/>
      <c r="L293" s="65"/>
      <c r="M293" s="65"/>
      <c r="N293" s="65"/>
      <c r="O293" s="65"/>
      <c r="P293" s="65"/>
      <c r="Q293" s="65"/>
      <c r="R293" s="65"/>
      <c r="S293" s="65"/>
      <c r="T293" s="65"/>
      <c r="U293" s="65"/>
      <c r="V293" s="65"/>
      <c r="W293" s="65"/>
      <c r="X293" s="65"/>
    </row>
    <row r="294">
      <c r="A294" s="64"/>
      <c r="B294" s="64"/>
      <c r="C294" s="49"/>
      <c r="D294" s="49"/>
      <c r="E294" s="71"/>
      <c r="F294" s="71"/>
      <c r="G294" s="71"/>
      <c r="H294" s="71"/>
      <c r="I294" s="28"/>
      <c r="J294" s="28"/>
      <c r="K294" s="65"/>
      <c r="L294" s="65"/>
      <c r="M294" s="65"/>
      <c r="N294" s="65"/>
      <c r="O294" s="65"/>
      <c r="P294" s="65"/>
      <c r="Q294" s="65"/>
      <c r="R294" s="65"/>
      <c r="S294" s="65"/>
      <c r="T294" s="65"/>
      <c r="U294" s="65"/>
      <c r="V294" s="65"/>
      <c r="W294" s="65"/>
      <c r="X294" s="65"/>
    </row>
    <row r="295">
      <c r="A295" s="64"/>
      <c r="B295" s="64"/>
      <c r="C295" s="49"/>
      <c r="D295" s="49"/>
      <c r="E295" s="71"/>
      <c r="F295" s="71"/>
      <c r="G295" s="71"/>
      <c r="H295" s="71"/>
      <c r="I295" s="28"/>
      <c r="J295" s="28"/>
      <c r="K295" s="65"/>
      <c r="L295" s="65"/>
      <c r="M295" s="65"/>
      <c r="N295" s="65"/>
      <c r="O295" s="65"/>
      <c r="P295" s="65"/>
      <c r="Q295" s="65"/>
      <c r="R295" s="65"/>
      <c r="S295" s="65"/>
      <c r="T295" s="65"/>
      <c r="U295" s="65"/>
      <c r="V295" s="65"/>
      <c r="W295" s="65"/>
      <c r="X295" s="65"/>
    </row>
    <row r="296">
      <c r="A296" s="64"/>
      <c r="B296" s="64"/>
      <c r="C296" s="49"/>
      <c r="D296" s="49"/>
      <c r="E296" s="71"/>
      <c r="F296" s="71"/>
      <c r="G296" s="71"/>
      <c r="H296" s="71"/>
      <c r="I296" s="28"/>
      <c r="J296" s="28"/>
      <c r="K296" s="65"/>
      <c r="L296" s="65"/>
      <c r="M296" s="65"/>
      <c r="N296" s="65"/>
      <c r="O296" s="65"/>
      <c r="P296" s="65"/>
      <c r="Q296" s="65"/>
      <c r="R296" s="65"/>
      <c r="S296" s="65"/>
      <c r="T296" s="65"/>
      <c r="U296" s="65"/>
      <c r="V296" s="65"/>
      <c r="W296" s="65"/>
      <c r="X296" s="65"/>
    </row>
    <row r="297">
      <c r="A297" s="64"/>
      <c r="B297" s="64"/>
      <c r="C297" s="49"/>
      <c r="D297" s="49"/>
      <c r="E297" s="71"/>
      <c r="F297" s="71"/>
      <c r="G297" s="71"/>
      <c r="H297" s="71"/>
      <c r="I297" s="28"/>
      <c r="J297" s="28"/>
      <c r="K297" s="65"/>
      <c r="L297" s="65"/>
      <c r="M297" s="65"/>
      <c r="N297" s="65"/>
      <c r="O297" s="65"/>
      <c r="P297" s="65"/>
      <c r="Q297" s="65"/>
      <c r="R297" s="65"/>
      <c r="S297" s="65"/>
      <c r="T297" s="65"/>
      <c r="U297" s="65"/>
      <c r="V297" s="65"/>
      <c r="W297" s="65"/>
      <c r="X297" s="65"/>
    </row>
    <row r="298">
      <c r="A298" s="64"/>
      <c r="B298" s="64"/>
      <c r="C298" s="49"/>
      <c r="D298" s="49"/>
      <c r="E298" s="71"/>
      <c r="F298" s="71"/>
      <c r="G298" s="71"/>
      <c r="H298" s="71"/>
      <c r="I298" s="28"/>
      <c r="J298" s="28"/>
      <c r="K298" s="65"/>
      <c r="L298" s="65"/>
      <c r="M298" s="65"/>
      <c r="N298" s="65"/>
      <c r="O298" s="65"/>
      <c r="P298" s="65"/>
      <c r="Q298" s="65"/>
      <c r="R298" s="65"/>
      <c r="S298" s="65"/>
      <c r="T298" s="65"/>
      <c r="U298" s="65"/>
      <c r="V298" s="65"/>
      <c r="W298" s="65"/>
      <c r="X298" s="65"/>
    </row>
    <row r="299">
      <c r="A299" s="64"/>
      <c r="B299" s="64"/>
      <c r="C299" s="49"/>
      <c r="D299" s="49"/>
      <c r="E299" s="71"/>
      <c r="F299" s="71"/>
      <c r="G299" s="71"/>
      <c r="H299" s="71"/>
      <c r="I299" s="28"/>
      <c r="J299" s="28"/>
      <c r="K299" s="65"/>
      <c r="L299" s="65"/>
      <c r="M299" s="65"/>
      <c r="N299" s="65"/>
      <c r="O299" s="65"/>
      <c r="P299" s="65"/>
      <c r="Q299" s="65"/>
      <c r="R299" s="65"/>
      <c r="S299" s="65"/>
      <c r="T299" s="65"/>
      <c r="U299" s="65"/>
      <c r="V299" s="65"/>
      <c r="W299" s="65"/>
      <c r="X299" s="65"/>
    </row>
    <row r="300">
      <c r="A300" s="64"/>
      <c r="B300" s="64"/>
      <c r="C300" s="49"/>
      <c r="D300" s="49"/>
      <c r="E300" s="71"/>
      <c r="F300" s="71"/>
      <c r="G300" s="71"/>
      <c r="H300" s="71"/>
      <c r="I300" s="28"/>
      <c r="J300" s="28"/>
      <c r="K300" s="65"/>
      <c r="L300" s="65"/>
      <c r="M300" s="65"/>
      <c r="N300" s="65"/>
      <c r="O300" s="65"/>
      <c r="P300" s="65"/>
      <c r="Q300" s="65"/>
      <c r="R300" s="65"/>
      <c r="S300" s="65"/>
      <c r="T300" s="65"/>
      <c r="U300" s="65"/>
      <c r="V300" s="65"/>
      <c r="W300" s="65"/>
      <c r="X300" s="65"/>
    </row>
    <row r="301">
      <c r="A301" s="64"/>
      <c r="B301" s="64"/>
      <c r="C301" s="49"/>
      <c r="D301" s="49"/>
      <c r="E301" s="71"/>
      <c r="F301" s="71"/>
      <c r="G301" s="71"/>
      <c r="H301" s="71"/>
      <c r="I301" s="28"/>
      <c r="J301" s="28"/>
      <c r="K301" s="65"/>
      <c r="L301" s="65"/>
      <c r="M301" s="65"/>
      <c r="N301" s="65"/>
      <c r="O301" s="65"/>
      <c r="P301" s="65"/>
      <c r="Q301" s="65"/>
      <c r="R301" s="65"/>
      <c r="S301" s="65"/>
      <c r="T301" s="65"/>
      <c r="U301" s="65"/>
      <c r="V301" s="65"/>
      <c r="W301" s="65"/>
      <c r="X301" s="65"/>
    </row>
    <row r="302">
      <c r="A302" s="64"/>
      <c r="B302" s="64"/>
      <c r="C302" s="49"/>
      <c r="D302" s="49"/>
      <c r="E302" s="71"/>
      <c r="F302" s="71"/>
      <c r="G302" s="71"/>
      <c r="H302" s="71"/>
      <c r="I302" s="28"/>
      <c r="J302" s="28"/>
      <c r="K302" s="65"/>
      <c r="L302" s="65"/>
      <c r="M302" s="65"/>
      <c r="N302" s="65"/>
      <c r="O302" s="65"/>
      <c r="P302" s="65"/>
      <c r="Q302" s="65"/>
      <c r="R302" s="65"/>
      <c r="S302" s="65"/>
      <c r="T302" s="65"/>
      <c r="U302" s="65"/>
      <c r="V302" s="65"/>
      <c r="W302" s="65"/>
      <c r="X302" s="65"/>
    </row>
    <row r="303">
      <c r="A303" s="64"/>
      <c r="B303" s="64"/>
      <c r="C303" s="49"/>
      <c r="D303" s="49"/>
      <c r="E303" s="71"/>
      <c r="F303" s="71"/>
      <c r="G303" s="71"/>
      <c r="H303" s="71"/>
      <c r="I303" s="28"/>
      <c r="J303" s="28"/>
      <c r="K303" s="65"/>
      <c r="L303" s="65"/>
      <c r="M303" s="65"/>
      <c r="N303" s="65"/>
      <c r="O303" s="65"/>
      <c r="P303" s="65"/>
      <c r="Q303" s="65"/>
      <c r="R303" s="65"/>
      <c r="S303" s="65"/>
      <c r="T303" s="65"/>
      <c r="U303" s="65"/>
      <c r="V303" s="65"/>
      <c r="W303" s="65"/>
      <c r="X303" s="65"/>
    </row>
    <row r="304">
      <c r="A304" s="64"/>
      <c r="B304" s="64"/>
      <c r="C304" s="49"/>
      <c r="D304" s="49"/>
      <c r="E304" s="71"/>
      <c r="F304" s="71"/>
      <c r="G304" s="71"/>
      <c r="H304" s="71"/>
      <c r="I304" s="28"/>
      <c r="J304" s="28"/>
      <c r="K304" s="65"/>
      <c r="L304" s="65"/>
      <c r="M304" s="65"/>
      <c r="N304" s="65"/>
      <c r="O304" s="65"/>
      <c r="P304" s="65"/>
      <c r="Q304" s="65"/>
      <c r="R304" s="65"/>
      <c r="S304" s="65"/>
      <c r="T304" s="65"/>
      <c r="U304" s="65"/>
      <c r="V304" s="65"/>
      <c r="W304" s="65"/>
      <c r="X304" s="65"/>
    </row>
    <row r="305">
      <c r="A305" s="64"/>
      <c r="B305" s="64"/>
      <c r="C305" s="49"/>
      <c r="D305" s="49"/>
      <c r="E305" s="71"/>
      <c r="F305" s="71"/>
      <c r="G305" s="71"/>
      <c r="H305" s="71"/>
      <c r="I305" s="28"/>
      <c r="J305" s="28"/>
      <c r="K305" s="65"/>
      <c r="L305" s="65"/>
      <c r="M305" s="65"/>
      <c r="N305" s="65"/>
      <c r="O305" s="65"/>
      <c r="P305" s="65"/>
      <c r="Q305" s="65"/>
      <c r="R305" s="65"/>
      <c r="S305" s="65"/>
      <c r="T305" s="65"/>
      <c r="U305" s="65"/>
      <c r="V305" s="65"/>
      <c r="W305" s="65"/>
      <c r="X305" s="65"/>
    </row>
    <row r="306">
      <c r="A306" s="64"/>
      <c r="B306" s="64"/>
      <c r="C306" s="49"/>
      <c r="D306" s="49"/>
      <c r="E306" s="71"/>
      <c r="F306" s="71"/>
      <c r="G306" s="71"/>
      <c r="H306" s="71"/>
      <c r="I306" s="28"/>
      <c r="J306" s="28"/>
      <c r="K306" s="65"/>
      <c r="L306" s="65"/>
      <c r="M306" s="65"/>
      <c r="N306" s="65"/>
      <c r="O306" s="65"/>
      <c r="P306" s="65"/>
      <c r="Q306" s="65"/>
      <c r="R306" s="65"/>
      <c r="S306" s="65"/>
      <c r="T306" s="65"/>
      <c r="U306" s="65"/>
      <c r="V306" s="65"/>
      <c r="W306" s="65"/>
      <c r="X306" s="65"/>
    </row>
    <row r="307">
      <c r="A307" s="64"/>
      <c r="B307" s="64"/>
      <c r="C307" s="49"/>
      <c r="D307" s="49"/>
      <c r="E307" s="71"/>
      <c r="F307" s="71"/>
      <c r="G307" s="71"/>
      <c r="H307" s="71"/>
      <c r="I307" s="28"/>
      <c r="J307" s="28"/>
      <c r="K307" s="65"/>
      <c r="L307" s="65"/>
      <c r="M307" s="65"/>
      <c r="N307" s="65"/>
      <c r="O307" s="65"/>
      <c r="P307" s="65"/>
      <c r="Q307" s="65"/>
      <c r="R307" s="65"/>
      <c r="S307" s="65"/>
      <c r="T307" s="65"/>
      <c r="U307" s="65"/>
      <c r="V307" s="65"/>
      <c r="W307" s="65"/>
      <c r="X307" s="65"/>
    </row>
    <row r="308">
      <c r="A308" s="64"/>
      <c r="B308" s="64"/>
      <c r="C308" s="49"/>
      <c r="D308" s="49"/>
      <c r="E308" s="71"/>
      <c r="F308" s="71"/>
      <c r="G308" s="71"/>
      <c r="H308" s="71"/>
      <c r="I308" s="28"/>
      <c r="J308" s="28"/>
      <c r="K308" s="65"/>
      <c r="L308" s="65"/>
      <c r="M308" s="65"/>
      <c r="N308" s="65"/>
      <c r="O308" s="65"/>
      <c r="P308" s="65"/>
      <c r="Q308" s="65"/>
      <c r="R308" s="65"/>
      <c r="S308" s="65"/>
      <c r="T308" s="65"/>
      <c r="U308" s="65"/>
      <c r="V308" s="65"/>
      <c r="W308" s="65"/>
      <c r="X308" s="65"/>
    </row>
    <row r="309">
      <c r="A309" s="64"/>
      <c r="B309" s="64"/>
      <c r="C309" s="49"/>
      <c r="D309" s="49"/>
      <c r="E309" s="71"/>
      <c r="F309" s="71"/>
      <c r="G309" s="71"/>
      <c r="H309" s="71"/>
      <c r="I309" s="28"/>
      <c r="J309" s="28"/>
      <c r="K309" s="65"/>
      <c r="L309" s="65"/>
      <c r="M309" s="65"/>
      <c r="N309" s="65"/>
      <c r="O309" s="65"/>
      <c r="P309" s="65"/>
      <c r="Q309" s="65"/>
      <c r="R309" s="65"/>
      <c r="S309" s="65"/>
      <c r="T309" s="65"/>
      <c r="U309" s="65"/>
      <c r="V309" s="65"/>
      <c r="W309" s="65"/>
      <c r="X309" s="65"/>
    </row>
    <row r="310">
      <c r="A310" s="64"/>
      <c r="B310" s="64"/>
      <c r="C310" s="49"/>
      <c r="D310" s="49"/>
      <c r="E310" s="71"/>
      <c r="F310" s="71"/>
      <c r="G310" s="71"/>
      <c r="H310" s="71"/>
      <c r="I310" s="28"/>
      <c r="J310" s="28"/>
      <c r="K310" s="65"/>
      <c r="L310" s="65"/>
      <c r="M310" s="65"/>
      <c r="N310" s="65"/>
      <c r="O310" s="65"/>
      <c r="P310" s="65"/>
      <c r="Q310" s="65"/>
      <c r="R310" s="65"/>
      <c r="S310" s="65"/>
      <c r="T310" s="65"/>
      <c r="U310" s="65"/>
      <c r="V310" s="65"/>
      <c r="W310" s="65"/>
      <c r="X310" s="65"/>
    </row>
    <row r="311">
      <c r="A311" s="64"/>
      <c r="B311" s="64"/>
      <c r="C311" s="49"/>
      <c r="D311" s="49"/>
      <c r="E311" s="71"/>
      <c r="F311" s="71"/>
      <c r="G311" s="71"/>
      <c r="H311" s="71"/>
      <c r="I311" s="28"/>
      <c r="J311" s="28"/>
      <c r="K311" s="65"/>
      <c r="L311" s="65"/>
      <c r="M311" s="65"/>
      <c r="N311" s="65"/>
      <c r="O311" s="65"/>
      <c r="P311" s="65"/>
      <c r="Q311" s="65"/>
      <c r="R311" s="65"/>
      <c r="S311" s="65"/>
      <c r="T311" s="65"/>
      <c r="U311" s="65"/>
      <c r="V311" s="65"/>
      <c r="W311" s="65"/>
      <c r="X311" s="65"/>
    </row>
    <row r="312">
      <c r="A312" s="64"/>
      <c r="B312" s="64"/>
      <c r="C312" s="49"/>
      <c r="D312" s="49"/>
      <c r="E312" s="71"/>
      <c r="F312" s="71"/>
      <c r="G312" s="71"/>
      <c r="H312" s="71"/>
      <c r="I312" s="28"/>
      <c r="J312" s="28"/>
      <c r="K312" s="65"/>
      <c r="L312" s="65"/>
      <c r="M312" s="65"/>
      <c r="N312" s="65"/>
      <c r="O312" s="65"/>
      <c r="P312" s="65"/>
      <c r="Q312" s="65"/>
      <c r="R312" s="65"/>
      <c r="S312" s="65"/>
      <c r="T312" s="65"/>
      <c r="U312" s="65"/>
      <c r="V312" s="65"/>
      <c r="W312" s="65"/>
      <c r="X312" s="65"/>
    </row>
    <row r="313">
      <c r="A313" s="64"/>
      <c r="B313" s="64"/>
      <c r="C313" s="49"/>
      <c r="D313" s="49"/>
      <c r="E313" s="71"/>
      <c r="F313" s="71"/>
      <c r="G313" s="71"/>
      <c r="H313" s="71"/>
      <c r="I313" s="28"/>
      <c r="J313" s="28"/>
      <c r="K313" s="65"/>
      <c r="L313" s="65"/>
      <c r="M313" s="65"/>
      <c r="N313" s="65"/>
      <c r="O313" s="65"/>
      <c r="P313" s="65"/>
      <c r="Q313" s="65"/>
      <c r="R313" s="65"/>
      <c r="S313" s="65"/>
      <c r="T313" s="65"/>
      <c r="U313" s="65"/>
      <c r="V313" s="65"/>
      <c r="W313" s="65"/>
      <c r="X313" s="65"/>
    </row>
    <row r="314">
      <c r="A314" s="64"/>
      <c r="B314" s="64"/>
      <c r="C314" s="49"/>
      <c r="D314" s="49"/>
      <c r="E314" s="71"/>
      <c r="F314" s="71"/>
      <c r="G314" s="71"/>
      <c r="H314" s="71"/>
      <c r="I314" s="28"/>
      <c r="J314" s="28"/>
      <c r="K314" s="65"/>
      <c r="L314" s="65"/>
      <c r="M314" s="65"/>
      <c r="N314" s="65"/>
      <c r="O314" s="65"/>
      <c r="P314" s="65"/>
      <c r="Q314" s="65"/>
      <c r="R314" s="65"/>
      <c r="S314" s="65"/>
      <c r="T314" s="65"/>
      <c r="U314" s="65"/>
      <c r="V314" s="65"/>
      <c r="W314" s="65"/>
      <c r="X314" s="65"/>
    </row>
    <row r="315">
      <c r="A315" s="64"/>
      <c r="B315" s="64"/>
      <c r="C315" s="49"/>
      <c r="D315" s="49"/>
      <c r="E315" s="71"/>
      <c r="F315" s="71"/>
      <c r="G315" s="71"/>
      <c r="H315" s="71"/>
      <c r="I315" s="28"/>
      <c r="J315" s="28"/>
      <c r="K315" s="65"/>
      <c r="L315" s="65"/>
      <c r="M315" s="65"/>
      <c r="N315" s="65"/>
      <c r="O315" s="65"/>
      <c r="P315" s="65"/>
      <c r="Q315" s="65"/>
      <c r="R315" s="65"/>
      <c r="S315" s="65"/>
      <c r="T315" s="65"/>
      <c r="U315" s="65"/>
      <c r="V315" s="65"/>
      <c r="W315" s="65"/>
      <c r="X315" s="65"/>
    </row>
    <row r="316">
      <c r="A316" s="64"/>
      <c r="B316" s="64"/>
      <c r="C316" s="49"/>
      <c r="D316" s="49"/>
      <c r="E316" s="71"/>
      <c r="F316" s="71"/>
      <c r="G316" s="71"/>
      <c r="H316" s="71"/>
      <c r="I316" s="28"/>
      <c r="J316" s="28"/>
      <c r="K316" s="65"/>
      <c r="L316" s="65"/>
      <c r="M316" s="65"/>
      <c r="N316" s="65"/>
      <c r="O316" s="65"/>
      <c r="P316" s="65"/>
      <c r="Q316" s="65"/>
      <c r="R316" s="65"/>
      <c r="S316" s="65"/>
      <c r="T316" s="65"/>
      <c r="U316" s="65"/>
      <c r="V316" s="65"/>
      <c r="W316" s="65"/>
      <c r="X316" s="65"/>
    </row>
    <row r="317">
      <c r="A317" s="64"/>
      <c r="B317" s="64"/>
      <c r="C317" s="49"/>
      <c r="D317" s="49"/>
      <c r="E317" s="71"/>
      <c r="F317" s="71"/>
      <c r="G317" s="71"/>
      <c r="H317" s="71"/>
      <c r="I317" s="28"/>
      <c r="J317" s="28"/>
      <c r="K317" s="65"/>
      <c r="L317" s="65"/>
      <c r="M317" s="65"/>
      <c r="N317" s="65"/>
      <c r="O317" s="65"/>
      <c r="P317" s="65"/>
      <c r="Q317" s="65"/>
      <c r="R317" s="65"/>
      <c r="S317" s="65"/>
      <c r="T317" s="65"/>
      <c r="U317" s="65"/>
      <c r="V317" s="65"/>
      <c r="W317" s="65"/>
      <c r="X317" s="65"/>
    </row>
    <row r="318">
      <c r="A318" s="64"/>
      <c r="B318" s="64"/>
      <c r="C318" s="49"/>
      <c r="D318" s="49"/>
      <c r="E318" s="71"/>
      <c r="F318" s="71"/>
      <c r="G318" s="71"/>
      <c r="H318" s="71"/>
      <c r="I318" s="28"/>
      <c r="J318" s="28"/>
      <c r="K318" s="65"/>
      <c r="L318" s="65"/>
      <c r="M318" s="65"/>
      <c r="N318" s="65"/>
      <c r="O318" s="65"/>
      <c r="P318" s="65"/>
      <c r="Q318" s="65"/>
      <c r="R318" s="65"/>
      <c r="S318" s="65"/>
      <c r="T318" s="65"/>
      <c r="U318" s="65"/>
      <c r="V318" s="65"/>
      <c r="W318" s="65"/>
      <c r="X318" s="65"/>
    </row>
    <row r="319">
      <c r="A319" s="64"/>
      <c r="B319" s="64"/>
      <c r="C319" s="49"/>
      <c r="D319" s="49"/>
      <c r="E319" s="71"/>
      <c r="F319" s="71"/>
      <c r="G319" s="71"/>
      <c r="H319" s="71"/>
      <c r="I319" s="28"/>
      <c r="J319" s="28"/>
      <c r="K319" s="65"/>
      <c r="L319" s="65"/>
      <c r="M319" s="65"/>
      <c r="N319" s="65"/>
      <c r="O319" s="65"/>
      <c r="P319" s="65"/>
      <c r="Q319" s="65"/>
      <c r="R319" s="65"/>
      <c r="S319" s="65"/>
      <c r="T319" s="65"/>
      <c r="U319" s="65"/>
      <c r="V319" s="65"/>
      <c r="W319" s="65"/>
      <c r="X319" s="65"/>
    </row>
    <row r="320">
      <c r="A320" s="64"/>
      <c r="B320" s="64"/>
      <c r="C320" s="49"/>
      <c r="D320" s="49"/>
      <c r="E320" s="71"/>
      <c r="F320" s="71"/>
      <c r="G320" s="71"/>
      <c r="H320" s="71"/>
      <c r="I320" s="28"/>
      <c r="J320" s="28"/>
      <c r="K320" s="65"/>
      <c r="L320" s="65"/>
      <c r="M320" s="65"/>
      <c r="N320" s="65"/>
      <c r="O320" s="65"/>
      <c r="P320" s="65"/>
      <c r="Q320" s="65"/>
      <c r="R320" s="65"/>
      <c r="S320" s="65"/>
      <c r="T320" s="65"/>
      <c r="U320" s="65"/>
      <c r="V320" s="65"/>
      <c r="W320" s="65"/>
      <c r="X320" s="65"/>
    </row>
    <row r="321">
      <c r="A321" s="64"/>
      <c r="B321" s="64"/>
      <c r="C321" s="49"/>
      <c r="D321" s="49"/>
      <c r="E321" s="71"/>
      <c r="F321" s="71"/>
      <c r="G321" s="71"/>
      <c r="H321" s="71"/>
      <c r="I321" s="28"/>
      <c r="J321" s="28"/>
      <c r="K321" s="65"/>
      <c r="L321" s="65"/>
      <c r="M321" s="65"/>
      <c r="N321" s="65"/>
      <c r="O321" s="65"/>
      <c r="P321" s="65"/>
      <c r="Q321" s="65"/>
      <c r="R321" s="65"/>
      <c r="S321" s="65"/>
      <c r="T321" s="65"/>
      <c r="U321" s="65"/>
      <c r="V321" s="65"/>
      <c r="W321" s="65"/>
      <c r="X321" s="65"/>
    </row>
    <row r="322">
      <c r="A322" s="64"/>
      <c r="B322" s="64"/>
      <c r="C322" s="49"/>
      <c r="D322" s="49"/>
      <c r="E322" s="71"/>
      <c r="F322" s="71"/>
      <c r="G322" s="71"/>
      <c r="H322" s="71"/>
      <c r="I322" s="28"/>
      <c r="J322" s="28"/>
      <c r="K322" s="65"/>
      <c r="L322" s="65"/>
      <c r="M322" s="65"/>
      <c r="N322" s="65"/>
      <c r="O322" s="65"/>
      <c r="P322" s="65"/>
      <c r="Q322" s="65"/>
      <c r="R322" s="65"/>
      <c r="S322" s="65"/>
      <c r="T322" s="65"/>
      <c r="U322" s="65"/>
      <c r="V322" s="65"/>
      <c r="W322" s="65"/>
      <c r="X322" s="65"/>
    </row>
    <row r="323">
      <c r="A323" s="64"/>
      <c r="B323" s="64"/>
      <c r="C323" s="49"/>
      <c r="D323" s="49"/>
      <c r="E323" s="71"/>
      <c r="F323" s="71"/>
      <c r="G323" s="71"/>
      <c r="H323" s="71"/>
      <c r="I323" s="28"/>
      <c r="J323" s="28"/>
      <c r="K323" s="65"/>
      <c r="L323" s="65"/>
      <c r="M323" s="65"/>
      <c r="N323" s="65"/>
      <c r="O323" s="65"/>
      <c r="P323" s="65"/>
      <c r="Q323" s="65"/>
      <c r="R323" s="65"/>
      <c r="S323" s="65"/>
      <c r="T323" s="65"/>
      <c r="U323" s="65"/>
      <c r="V323" s="65"/>
      <c r="W323" s="65"/>
      <c r="X323" s="65"/>
    </row>
    <row r="324">
      <c r="A324" s="64"/>
      <c r="B324" s="64"/>
      <c r="C324" s="49"/>
      <c r="D324" s="49"/>
      <c r="E324" s="71"/>
      <c r="F324" s="71"/>
      <c r="G324" s="71"/>
      <c r="H324" s="71"/>
      <c r="I324" s="28"/>
      <c r="J324" s="28"/>
      <c r="K324" s="65"/>
      <c r="L324" s="65"/>
      <c r="M324" s="65"/>
      <c r="N324" s="65"/>
      <c r="O324" s="65"/>
      <c r="P324" s="65"/>
      <c r="Q324" s="65"/>
      <c r="R324" s="65"/>
      <c r="S324" s="65"/>
      <c r="T324" s="65"/>
      <c r="U324" s="65"/>
      <c r="V324" s="65"/>
      <c r="W324" s="65"/>
      <c r="X324" s="65"/>
    </row>
    <row r="325">
      <c r="A325" s="64"/>
      <c r="B325" s="64"/>
      <c r="C325" s="49"/>
      <c r="D325" s="49"/>
      <c r="E325" s="71"/>
      <c r="F325" s="71"/>
      <c r="G325" s="71"/>
      <c r="H325" s="71"/>
      <c r="I325" s="28"/>
      <c r="J325" s="28"/>
      <c r="K325" s="65"/>
      <c r="L325" s="65"/>
      <c r="M325" s="65"/>
      <c r="N325" s="65"/>
      <c r="O325" s="65"/>
      <c r="P325" s="65"/>
      <c r="Q325" s="65"/>
      <c r="R325" s="65"/>
      <c r="S325" s="65"/>
      <c r="T325" s="65"/>
      <c r="U325" s="65"/>
      <c r="V325" s="65"/>
      <c r="W325" s="65"/>
      <c r="X325" s="65"/>
    </row>
    <row r="326">
      <c r="A326" s="64"/>
      <c r="B326" s="64"/>
      <c r="C326" s="49"/>
      <c r="D326" s="49"/>
      <c r="E326" s="71"/>
      <c r="F326" s="71"/>
      <c r="G326" s="71"/>
      <c r="H326" s="71"/>
      <c r="I326" s="28"/>
      <c r="J326" s="28"/>
      <c r="K326" s="65"/>
      <c r="L326" s="65"/>
      <c r="M326" s="65"/>
      <c r="N326" s="65"/>
      <c r="O326" s="65"/>
      <c r="P326" s="65"/>
      <c r="Q326" s="65"/>
      <c r="R326" s="65"/>
      <c r="S326" s="65"/>
      <c r="T326" s="65"/>
      <c r="U326" s="65"/>
      <c r="V326" s="65"/>
      <c r="W326" s="65"/>
      <c r="X326" s="65"/>
    </row>
    <row r="327">
      <c r="A327" s="64"/>
      <c r="B327" s="64"/>
      <c r="C327" s="49"/>
      <c r="D327" s="49"/>
      <c r="E327" s="71"/>
      <c r="F327" s="71"/>
      <c r="G327" s="71"/>
      <c r="H327" s="71"/>
      <c r="I327" s="28"/>
      <c r="J327" s="28"/>
      <c r="K327" s="65"/>
      <c r="L327" s="65"/>
      <c r="M327" s="65"/>
      <c r="N327" s="65"/>
      <c r="O327" s="65"/>
      <c r="P327" s="65"/>
      <c r="Q327" s="65"/>
      <c r="R327" s="65"/>
      <c r="S327" s="65"/>
      <c r="T327" s="65"/>
      <c r="U327" s="65"/>
      <c r="V327" s="65"/>
      <c r="W327" s="65"/>
      <c r="X327" s="65"/>
    </row>
    <row r="328">
      <c r="A328" s="64"/>
      <c r="B328" s="64"/>
      <c r="C328" s="49"/>
      <c r="D328" s="49"/>
      <c r="E328" s="71"/>
      <c r="F328" s="71"/>
      <c r="G328" s="71"/>
      <c r="H328" s="71"/>
      <c r="I328" s="28"/>
      <c r="J328" s="28"/>
      <c r="K328" s="65"/>
      <c r="L328" s="65"/>
      <c r="M328" s="65"/>
      <c r="N328" s="65"/>
      <c r="O328" s="65"/>
      <c r="P328" s="65"/>
      <c r="Q328" s="65"/>
      <c r="R328" s="65"/>
      <c r="S328" s="65"/>
      <c r="T328" s="65"/>
      <c r="U328" s="65"/>
      <c r="V328" s="65"/>
      <c r="W328" s="65"/>
      <c r="X328" s="65"/>
    </row>
    <row r="329">
      <c r="A329" s="64"/>
      <c r="B329" s="64"/>
      <c r="C329" s="49"/>
      <c r="D329" s="49"/>
      <c r="E329" s="71"/>
      <c r="F329" s="71"/>
      <c r="G329" s="71"/>
      <c r="H329" s="71"/>
      <c r="I329" s="28"/>
      <c r="J329" s="28"/>
      <c r="K329" s="65"/>
      <c r="L329" s="65"/>
      <c r="M329" s="65"/>
      <c r="N329" s="65"/>
      <c r="O329" s="65"/>
      <c r="P329" s="65"/>
      <c r="Q329" s="65"/>
      <c r="R329" s="65"/>
      <c r="S329" s="65"/>
      <c r="T329" s="65"/>
      <c r="U329" s="65"/>
      <c r="V329" s="65"/>
      <c r="W329" s="65"/>
      <c r="X329" s="65"/>
    </row>
    <row r="330">
      <c r="A330" s="64"/>
      <c r="B330" s="64"/>
      <c r="C330" s="49"/>
      <c r="D330" s="49"/>
      <c r="E330" s="71"/>
      <c r="F330" s="71"/>
      <c r="G330" s="71"/>
      <c r="H330" s="71"/>
      <c r="I330" s="28"/>
      <c r="J330" s="28"/>
      <c r="K330" s="65"/>
      <c r="L330" s="65"/>
      <c r="M330" s="65"/>
      <c r="N330" s="65"/>
      <c r="O330" s="65"/>
      <c r="P330" s="65"/>
      <c r="Q330" s="65"/>
      <c r="R330" s="65"/>
      <c r="S330" s="65"/>
      <c r="T330" s="65"/>
      <c r="U330" s="65"/>
      <c r="V330" s="65"/>
      <c r="W330" s="65"/>
      <c r="X330" s="65"/>
    </row>
    <row r="331">
      <c r="A331" s="64"/>
      <c r="B331" s="64"/>
      <c r="C331" s="49"/>
      <c r="D331" s="49"/>
      <c r="E331" s="71"/>
      <c r="F331" s="71"/>
      <c r="G331" s="71"/>
      <c r="H331" s="71"/>
      <c r="I331" s="28"/>
      <c r="J331" s="28"/>
      <c r="K331" s="65"/>
      <c r="L331" s="65"/>
      <c r="M331" s="65"/>
      <c r="N331" s="65"/>
      <c r="O331" s="65"/>
      <c r="P331" s="65"/>
      <c r="Q331" s="65"/>
      <c r="R331" s="65"/>
      <c r="S331" s="65"/>
      <c r="T331" s="65"/>
      <c r="U331" s="65"/>
      <c r="V331" s="65"/>
      <c r="W331" s="65"/>
      <c r="X331" s="65"/>
    </row>
    <row r="332">
      <c r="A332" s="64"/>
      <c r="B332" s="64"/>
      <c r="C332" s="49"/>
      <c r="D332" s="49"/>
      <c r="E332" s="71"/>
      <c r="F332" s="71"/>
      <c r="G332" s="71"/>
      <c r="H332" s="71"/>
      <c r="I332" s="28"/>
      <c r="J332" s="28"/>
      <c r="K332" s="65"/>
      <c r="L332" s="65"/>
      <c r="M332" s="65"/>
      <c r="N332" s="65"/>
      <c r="O332" s="65"/>
      <c r="P332" s="65"/>
      <c r="Q332" s="65"/>
      <c r="R332" s="65"/>
      <c r="S332" s="65"/>
      <c r="T332" s="65"/>
      <c r="U332" s="65"/>
      <c r="V332" s="65"/>
      <c r="W332" s="65"/>
      <c r="X332" s="65"/>
    </row>
    <row r="333">
      <c r="A333" s="64"/>
      <c r="B333" s="64"/>
      <c r="C333" s="49"/>
      <c r="D333" s="49"/>
      <c r="E333" s="71"/>
      <c r="F333" s="71"/>
      <c r="G333" s="71"/>
      <c r="H333" s="71"/>
      <c r="I333" s="28"/>
      <c r="J333" s="28"/>
      <c r="K333" s="65"/>
      <c r="L333" s="65"/>
      <c r="M333" s="65"/>
      <c r="N333" s="65"/>
      <c r="O333" s="65"/>
      <c r="P333" s="65"/>
      <c r="Q333" s="65"/>
      <c r="R333" s="65"/>
      <c r="S333" s="65"/>
      <c r="T333" s="65"/>
      <c r="U333" s="65"/>
      <c r="V333" s="65"/>
      <c r="W333" s="65"/>
      <c r="X333" s="65"/>
    </row>
    <row r="334">
      <c r="A334" s="64"/>
      <c r="B334" s="64"/>
      <c r="C334" s="49"/>
      <c r="D334" s="49"/>
      <c r="E334" s="71"/>
      <c r="F334" s="71"/>
      <c r="G334" s="71"/>
      <c r="H334" s="71"/>
      <c r="I334" s="28"/>
      <c r="J334" s="28"/>
      <c r="K334" s="65"/>
      <c r="L334" s="65"/>
      <c r="M334" s="65"/>
      <c r="N334" s="65"/>
      <c r="O334" s="65"/>
      <c r="P334" s="65"/>
      <c r="Q334" s="65"/>
      <c r="R334" s="65"/>
      <c r="S334" s="65"/>
      <c r="T334" s="65"/>
      <c r="U334" s="65"/>
      <c r="V334" s="65"/>
      <c r="W334" s="65"/>
      <c r="X334" s="65"/>
    </row>
    <row r="335">
      <c r="A335" s="64"/>
      <c r="B335" s="64"/>
      <c r="C335" s="49"/>
      <c r="D335" s="49"/>
      <c r="E335" s="71"/>
      <c r="F335" s="71"/>
      <c r="G335" s="71"/>
      <c r="H335" s="71"/>
      <c r="I335" s="28"/>
      <c r="J335" s="28"/>
      <c r="K335" s="65"/>
      <c r="L335" s="65"/>
      <c r="M335" s="65"/>
      <c r="N335" s="65"/>
      <c r="O335" s="65"/>
      <c r="P335" s="65"/>
      <c r="Q335" s="65"/>
      <c r="R335" s="65"/>
      <c r="S335" s="65"/>
      <c r="T335" s="65"/>
      <c r="U335" s="65"/>
      <c r="V335" s="65"/>
      <c r="W335" s="65"/>
      <c r="X335" s="65"/>
    </row>
    <row r="336">
      <c r="A336" s="64"/>
      <c r="B336" s="64"/>
      <c r="C336" s="49"/>
      <c r="D336" s="49"/>
      <c r="E336" s="71"/>
      <c r="F336" s="71"/>
      <c r="G336" s="71"/>
      <c r="H336" s="71"/>
      <c r="I336" s="28"/>
      <c r="J336" s="28"/>
      <c r="K336" s="65"/>
      <c r="L336" s="65"/>
      <c r="M336" s="65"/>
      <c r="N336" s="65"/>
      <c r="O336" s="65"/>
      <c r="P336" s="65"/>
      <c r="Q336" s="65"/>
      <c r="R336" s="65"/>
      <c r="S336" s="65"/>
      <c r="T336" s="65"/>
      <c r="U336" s="65"/>
      <c r="V336" s="65"/>
      <c r="W336" s="65"/>
      <c r="X336" s="65"/>
    </row>
    <row r="337">
      <c r="A337" s="64"/>
      <c r="B337" s="64"/>
      <c r="C337" s="49"/>
      <c r="D337" s="49"/>
      <c r="E337" s="71"/>
      <c r="F337" s="71"/>
      <c r="G337" s="71"/>
      <c r="H337" s="71"/>
      <c r="I337" s="28"/>
      <c r="J337" s="28"/>
      <c r="K337" s="65"/>
      <c r="L337" s="65"/>
      <c r="M337" s="65"/>
      <c r="N337" s="65"/>
      <c r="O337" s="65"/>
      <c r="P337" s="65"/>
      <c r="Q337" s="65"/>
      <c r="R337" s="65"/>
      <c r="S337" s="65"/>
      <c r="T337" s="65"/>
      <c r="U337" s="65"/>
      <c r="V337" s="65"/>
      <c r="W337" s="65"/>
      <c r="X337" s="65"/>
    </row>
    <row r="338">
      <c r="A338" s="64"/>
      <c r="B338" s="64"/>
      <c r="C338" s="49"/>
      <c r="D338" s="49"/>
      <c r="E338" s="71"/>
      <c r="F338" s="71"/>
      <c r="G338" s="71"/>
      <c r="H338" s="71"/>
      <c r="I338" s="28"/>
      <c r="J338" s="28"/>
      <c r="K338" s="65"/>
      <c r="L338" s="65"/>
      <c r="M338" s="65"/>
      <c r="N338" s="65"/>
      <c r="O338" s="65"/>
      <c r="P338" s="65"/>
      <c r="Q338" s="65"/>
      <c r="R338" s="65"/>
      <c r="S338" s="65"/>
      <c r="T338" s="65"/>
      <c r="U338" s="65"/>
      <c r="V338" s="65"/>
      <c r="W338" s="65"/>
      <c r="X338" s="65"/>
    </row>
    <row r="339">
      <c r="A339" s="64"/>
      <c r="B339" s="64"/>
      <c r="C339" s="49"/>
      <c r="D339" s="49"/>
      <c r="E339" s="71"/>
      <c r="F339" s="71"/>
      <c r="G339" s="71"/>
      <c r="H339" s="71"/>
      <c r="I339" s="28"/>
      <c r="J339" s="28"/>
      <c r="K339" s="65"/>
      <c r="L339" s="65"/>
      <c r="M339" s="65"/>
      <c r="N339" s="65"/>
      <c r="O339" s="65"/>
      <c r="P339" s="65"/>
      <c r="Q339" s="65"/>
      <c r="R339" s="65"/>
      <c r="S339" s="65"/>
      <c r="T339" s="65"/>
      <c r="U339" s="65"/>
      <c r="V339" s="65"/>
      <c r="W339" s="65"/>
      <c r="X339" s="65"/>
    </row>
    <row r="340">
      <c r="A340" s="64"/>
      <c r="B340" s="64"/>
      <c r="C340" s="49"/>
      <c r="D340" s="49"/>
      <c r="E340" s="71"/>
      <c r="F340" s="71"/>
      <c r="G340" s="71"/>
      <c r="H340" s="71"/>
      <c r="I340" s="28"/>
      <c r="J340" s="28"/>
      <c r="K340" s="65"/>
      <c r="L340" s="65"/>
      <c r="M340" s="65"/>
      <c r="N340" s="65"/>
      <c r="O340" s="65"/>
      <c r="P340" s="65"/>
      <c r="Q340" s="65"/>
      <c r="R340" s="65"/>
      <c r="S340" s="65"/>
      <c r="T340" s="65"/>
      <c r="U340" s="65"/>
      <c r="V340" s="65"/>
      <c r="W340" s="65"/>
      <c r="X340" s="65"/>
    </row>
    <row r="341">
      <c r="A341" s="64"/>
      <c r="B341" s="64"/>
      <c r="C341" s="49"/>
      <c r="D341" s="49"/>
      <c r="E341" s="71"/>
      <c r="F341" s="71"/>
      <c r="G341" s="71"/>
      <c r="H341" s="71"/>
      <c r="I341" s="28"/>
      <c r="J341" s="28"/>
      <c r="K341" s="65"/>
      <c r="L341" s="65"/>
      <c r="M341" s="65"/>
      <c r="N341" s="65"/>
      <c r="O341" s="65"/>
      <c r="P341" s="65"/>
      <c r="Q341" s="65"/>
      <c r="R341" s="65"/>
      <c r="S341" s="65"/>
      <c r="T341" s="65"/>
      <c r="U341" s="65"/>
      <c r="V341" s="65"/>
      <c r="W341" s="65"/>
      <c r="X341" s="65"/>
    </row>
    <row r="342">
      <c r="A342" s="64"/>
      <c r="B342" s="64"/>
      <c r="C342" s="49"/>
      <c r="D342" s="49"/>
      <c r="E342" s="71"/>
      <c r="F342" s="71"/>
      <c r="G342" s="71"/>
      <c r="H342" s="71"/>
      <c r="I342" s="28"/>
      <c r="J342" s="28"/>
      <c r="K342" s="65"/>
      <c r="L342" s="65"/>
      <c r="M342" s="65"/>
      <c r="N342" s="65"/>
      <c r="O342" s="65"/>
      <c r="P342" s="65"/>
      <c r="Q342" s="65"/>
      <c r="R342" s="65"/>
      <c r="S342" s="65"/>
      <c r="T342" s="65"/>
      <c r="U342" s="65"/>
      <c r="V342" s="65"/>
      <c r="W342" s="65"/>
      <c r="X342" s="65"/>
    </row>
    <row r="343">
      <c r="A343" s="64"/>
      <c r="B343" s="64"/>
      <c r="C343" s="49"/>
      <c r="D343" s="49"/>
      <c r="E343" s="71"/>
      <c r="F343" s="71"/>
      <c r="G343" s="71"/>
      <c r="H343" s="71"/>
      <c r="I343" s="28"/>
      <c r="J343" s="28"/>
      <c r="K343" s="65"/>
      <c r="L343" s="65"/>
      <c r="M343" s="65"/>
      <c r="N343" s="65"/>
      <c r="O343" s="65"/>
      <c r="P343" s="65"/>
      <c r="Q343" s="65"/>
      <c r="R343" s="65"/>
      <c r="S343" s="65"/>
      <c r="T343" s="65"/>
      <c r="U343" s="65"/>
      <c r="V343" s="65"/>
      <c r="W343" s="65"/>
      <c r="X343" s="65"/>
    </row>
    <row r="344">
      <c r="A344" s="64"/>
      <c r="B344" s="64"/>
      <c r="C344" s="49"/>
      <c r="D344" s="49"/>
      <c r="E344" s="71"/>
      <c r="F344" s="71"/>
      <c r="G344" s="71"/>
      <c r="H344" s="71"/>
      <c r="I344" s="28"/>
      <c r="J344" s="28"/>
      <c r="K344" s="65"/>
      <c r="L344" s="65"/>
      <c r="M344" s="65"/>
      <c r="N344" s="65"/>
      <c r="O344" s="65"/>
      <c r="P344" s="65"/>
      <c r="Q344" s="65"/>
      <c r="R344" s="65"/>
      <c r="S344" s="65"/>
      <c r="T344" s="65"/>
      <c r="U344" s="65"/>
      <c r="V344" s="65"/>
      <c r="W344" s="65"/>
      <c r="X344" s="65"/>
    </row>
    <row r="345">
      <c r="A345" s="64"/>
      <c r="B345" s="64"/>
      <c r="C345" s="49"/>
      <c r="D345" s="49"/>
      <c r="E345" s="71"/>
      <c r="F345" s="71"/>
      <c r="G345" s="71"/>
      <c r="H345" s="71"/>
      <c r="I345" s="28"/>
      <c r="J345" s="28"/>
      <c r="K345" s="65"/>
      <c r="L345" s="65"/>
      <c r="M345" s="65"/>
      <c r="N345" s="65"/>
      <c r="O345" s="65"/>
      <c r="P345" s="65"/>
      <c r="Q345" s="65"/>
      <c r="R345" s="65"/>
      <c r="S345" s="65"/>
      <c r="T345" s="65"/>
      <c r="U345" s="65"/>
      <c r="V345" s="65"/>
      <c r="W345" s="65"/>
      <c r="X345" s="65"/>
    </row>
    <row r="346">
      <c r="A346" s="64"/>
      <c r="B346" s="64"/>
      <c r="C346" s="49"/>
      <c r="D346" s="49"/>
      <c r="E346" s="71"/>
      <c r="F346" s="71"/>
      <c r="G346" s="71"/>
      <c r="H346" s="71"/>
      <c r="I346" s="28"/>
      <c r="J346" s="28"/>
      <c r="K346" s="65"/>
      <c r="L346" s="65"/>
      <c r="M346" s="65"/>
      <c r="N346" s="65"/>
      <c r="O346" s="65"/>
      <c r="P346" s="65"/>
      <c r="Q346" s="65"/>
      <c r="R346" s="65"/>
      <c r="S346" s="65"/>
      <c r="T346" s="65"/>
      <c r="U346" s="65"/>
      <c r="V346" s="65"/>
      <c r="W346" s="65"/>
      <c r="X346" s="65"/>
    </row>
    <row r="347">
      <c r="A347" s="64"/>
      <c r="B347" s="64"/>
      <c r="C347" s="49"/>
      <c r="D347" s="49"/>
      <c r="E347" s="71"/>
      <c r="F347" s="71"/>
      <c r="G347" s="71"/>
      <c r="H347" s="71"/>
      <c r="I347" s="28"/>
      <c r="J347" s="28"/>
      <c r="K347" s="65"/>
      <c r="L347" s="65"/>
      <c r="M347" s="65"/>
      <c r="N347" s="65"/>
      <c r="O347" s="65"/>
      <c r="P347" s="65"/>
      <c r="Q347" s="65"/>
      <c r="R347" s="65"/>
      <c r="S347" s="65"/>
      <c r="T347" s="65"/>
      <c r="U347" s="65"/>
      <c r="V347" s="65"/>
      <c r="W347" s="65"/>
      <c r="X347" s="65"/>
    </row>
    <row r="348">
      <c r="A348" s="64"/>
      <c r="B348" s="64"/>
      <c r="C348" s="49"/>
      <c r="D348" s="49"/>
      <c r="E348" s="71"/>
      <c r="F348" s="71"/>
      <c r="G348" s="71"/>
      <c r="H348" s="71"/>
      <c r="I348" s="28"/>
      <c r="J348" s="28"/>
      <c r="K348" s="65"/>
      <c r="L348" s="65"/>
      <c r="M348" s="65"/>
      <c r="N348" s="65"/>
      <c r="O348" s="65"/>
      <c r="P348" s="65"/>
      <c r="Q348" s="65"/>
      <c r="R348" s="65"/>
      <c r="S348" s="65"/>
      <c r="T348" s="65"/>
      <c r="U348" s="65"/>
      <c r="V348" s="65"/>
      <c r="W348" s="65"/>
      <c r="X348" s="65"/>
    </row>
    <row r="349">
      <c r="A349" s="64"/>
      <c r="B349" s="64"/>
      <c r="C349" s="49"/>
      <c r="D349" s="49"/>
      <c r="E349" s="71"/>
      <c r="F349" s="71"/>
      <c r="G349" s="71"/>
      <c r="H349" s="71"/>
      <c r="I349" s="28"/>
      <c r="J349" s="28"/>
      <c r="K349" s="65"/>
      <c r="L349" s="65"/>
      <c r="M349" s="65"/>
      <c r="N349" s="65"/>
      <c r="O349" s="65"/>
      <c r="P349" s="65"/>
      <c r="Q349" s="65"/>
      <c r="R349" s="65"/>
      <c r="S349" s="65"/>
      <c r="T349" s="65"/>
      <c r="U349" s="65"/>
      <c r="V349" s="65"/>
      <c r="W349" s="65"/>
      <c r="X349" s="65"/>
    </row>
    <row r="350">
      <c r="A350" s="64"/>
      <c r="B350" s="64"/>
      <c r="C350" s="49"/>
      <c r="D350" s="49"/>
      <c r="E350" s="71"/>
      <c r="F350" s="71"/>
      <c r="G350" s="71"/>
      <c r="H350" s="71"/>
      <c r="I350" s="28"/>
      <c r="J350" s="28"/>
      <c r="K350" s="65"/>
      <c r="L350" s="65"/>
      <c r="M350" s="65"/>
      <c r="N350" s="65"/>
      <c r="O350" s="65"/>
      <c r="P350" s="65"/>
      <c r="Q350" s="65"/>
      <c r="R350" s="65"/>
      <c r="S350" s="65"/>
      <c r="T350" s="65"/>
      <c r="U350" s="65"/>
      <c r="V350" s="65"/>
      <c r="W350" s="65"/>
      <c r="X350" s="65"/>
    </row>
    <row r="351">
      <c r="A351" s="64"/>
      <c r="B351" s="64"/>
      <c r="C351" s="49"/>
      <c r="D351" s="49"/>
      <c r="E351" s="71"/>
      <c r="F351" s="71"/>
      <c r="G351" s="71"/>
      <c r="H351" s="71"/>
      <c r="I351" s="28"/>
      <c r="J351" s="28"/>
      <c r="K351" s="65"/>
      <c r="L351" s="65"/>
      <c r="M351" s="65"/>
      <c r="N351" s="65"/>
      <c r="O351" s="65"/>
      <c r="P351" s="65"/>
      <c r="Q351" s="65"/>
      <c r="R351" s="65"/>
      <c r="S351" s="65"/>
      <c r="T351" s="65"/>
      <c r="U351" s="65"/>
      <c r="V351" s="65"/>
      <c r="W351" s="65"/>
      <c r="X351" s="65"/>
    </row>
    <row r="352">
      <c r="A352" s="64"/>
      <c r="B352" s="64"/>
      <c r="C352" s="49"/>
      <c r="D352" s="49"/>
      <c r="E352" s="71"/>
      <c r="F352" s="71"/>
      <c r="G352" s="71"/>
      <c r="H352" s="71"/>
      <c r="I352" s="28"/>
      <c r="J352" s="28"/>
      <c r="K352" s="65"/>
      <c r="L352" s="65"/>
      <c r="M352" s="65"/>
      <c r="N352" s="65"/>
      <c r="O352" s="65"/>
      <c r="P352" s="65"/>
      <c r="Q352" s="65"/>
      <c r="R352" s="65"/>
      <c r="S352" s="65"/>
      <c r="T352" s="65"/>
      <c r="U352" s="65"/>
      <c r="V352" s="65"/>
      <c r="W352" s="65"/>
      <c r="X352" s="65"/>
    </row>
    <row r="353">
      <c r="A353" s="64"/>
      <c r="B353" s="64"/>
      <c r="C353" s="49"/>
      <c r="D353" s="49"/>
      <c r="E353" s="71"/>
      <c r="F353" s="71"/>
      <c r="G353" s="71"/>
      <c r="H353" s="71"/>
      <c r="I353" s="28"/>
      <c r="J353" s="28"/>
      <c r="K353" s="65"/>
      <c r="L353" s="65"/>
      <c r="M353" s="65"/>
      <c r="N353" s="65"/>
      <c r="O353" s="65"/>
      <c r="P353" s="65"/>
      <c r="Q353" s="65"/>
      <c r="R353" s="65"/>
      <c r="S353" s="65"/>
      <c r="T353" s="65"/>
      <c r="U353" s="65"/>
      <c r="V353" s="65"/>
      <c r="W353" s="65"/>
      <c r="X353" s="65"/>
    </row>
    <row r="354">
      <c r="A354" s="64"/>
      <c r="B354" s="64"/>
      <c r="C354" s="49"/>
      <c r="D354" s="49"/>
      <c r="E354" s="71"/>
      <c r="F354" s="71"/>
      <c r="G354" s="71"/>
      <c r="H354" s="71"/>
      <c r="I354" s="28"/>
      <c r="J354" s="28"/>
      <c r="K354" s="65"/>
      <c r="L354" s="65"/>
      <c r="M354" s="65"/>
      <c r="N354" s="65"/>
      <c r="O354" s="65"/>
      <c r="P354" s="65"/>
      <c r="Q354" s="65"/>
      <c r="R354" s="65"/>
      <c r="S354" s="65"/>
      <c r="T354" s="65"/>
      <c r="U354" s="65"/>
      <c r="V354" s="65"/>
      <c r="W354" s="65"/>
      <c r="X354" s="65"/>
    </row>
    <row r="355">
      <c r="A355" s="64"/>
      <c r="B355" s="64"/>
      <c r="C355" s="49"/>
      <c r="D355" s="49"/>
      <c r="E355" s="71"/>
      <c r="F355" s="71"/>
      <c r="G355" s="71"/>
      <c r="H355" s="71"/>
      <c r="I355" s="28"/>
      <c r="J355" s="28"/>
      <c r="K355" s="65"/>
      <c r="L355" s="65"/>
      <c r="M355" s="65"/>
      <c r="N355" s="65"/>
      <c r="O355" s="65"/>
      <c r="P355" s="65"/>
      <c r="Q355" s="65"/>
      <c r="R355" s="65"/>
      <c r="S355" s="65"/>
      <c r="T355" s="65"/>
      <c r="U355" s="65"/>
      <c r="V355" s="65"/>
      <c r="W355" s="65"/>
      <c r="X355" s="65"/>
    </row>
    <row r="356">
      <c r="A356" s="64"/>
      <c r="B356" s="64"/>
      <c r="C356" s="49"/>
      <c r="D356" s="49"/>
      <c r="E356" s="71"/>
      <c r="F356" s="71"/>
      <c r="G356" s="71"/>
      <c r="H356" s="71"/>
      <c r="I356" s="28"/>
      <c r="J356" s="28"/>
      <c r="K356" s="65"/>
      <c r="L356" s="65"/>
      <c r="M356" s="65"/>
      <c r="N356" s="65"/>
      <c r="O356" s="65"/>
      <c r="P356" s="65"/>
      <c r="Q356" s="65"/>
      <c r="R356" s="65"/>
      <c r="S356" s="65"/>
      <c r="T356" s="65"/>
      <c r="U356" s="65"/>
      <c r="V356" s="65"/>
      <c r="W356" s="65"/>
      <c r="X356" s="65"/>
    </row>
    <row r="357">
      <c r="A357" s="64"/>
      <c r="B357" s="64"/>
      <c r="C357" s="49"/>
      <c r="D357" s="49"/>
      <c r="E357" s="71"/>
      <c r="F357" s="71"/>
      <c r="G357" s="71"/>
      <c r="H357" s="71"/>
      <c r="I357" s="28"/>
      <c r="J357" s="28"/>
      <c r="K357" s="65"/>
      <c r="L357" s="65"/>
      <c r="M357" s="65"/>
      <c r="N357" s="65"/>
      <c r="O357" s="65"/>
      <c r="P357" s="65"/>
      <c r="Q357" s="65"/>
      <c r="R357" s="65"/>
      <c r="S357" s="65"/>
      <c r="T357" s="65"/>
      <c r="U357" s="65"/>
      <c r="V357" s="65"/>
      <c r="W357" s="65"/>
      <c r="X357" s="65"/>
    </row>
    <row r="358">
      <c r="A358" s="64"/>
      <c r="B358" s="64"/>
      <c r="C358" s="49"/>
      <c r="D358" s="49"/>
      <c r="E358" s="71"/>
      <c r="F358" s="71"/>
      <c r="G358" s="71"/>
      <c r="H358" s="71"/>
      <c r="I358" s="28"/>
      <c r="J358" s="28"/>
      <c r="K358" s="65"/>
      <c r="L358" s="65"/>
      <c r="M358" s="65"/>
      <c r="N358" s="65"/>
      <c r="O358" s="65"/>
      <c r="P358" s="65"/>
      <c r="Q358" s="65"/>
      <c r="R358" s="65"/>
      <c r="S358" s="65"/>
      <c r="T358" s="65"/>
      <c r="U358" s="65"/>
      <c r="V358" s="65"/>
      <c r="W358" s="65"/>
      <c r="X358" s="65"/>
    </row>
    <row r="359">
      <c r="A359" s="64"/>
      <c r="B359" s="64"/>
      <c r="C359" s="49"/>
      <c r="D359" s="49"/>
      <c r="E359" s="71"/>
      <c r="F359" s="71"/>
      <c r="G359" s="71"/>
      <c r="H359" s="71"/>
      <c r="I359" s="28"/>
      <c r="J359" s="28"/>
      <c r="K359" s="65"/>
      <c r="L359" s="65"/>
      <c r="M359" s="65"/>
      <c r="N359" s="65"/>
      <c r="O359" s="65"/>
      <c r="P359" s="65"/>
      <c r="Q359" s="65"/>
      <c r="R359" s="65"/>
      <c r="S359" s="65"/>
      <c r="T359" s="65"/>
      <c r="U359" s="65"/>
      <c r="V359" s="65"/>
      <c r="W359" s="65"/>
      <c r="X359" s="65"/>
    </row>
    <row r="360">
      <c r="A360" s="64"/>
      <c r="B360" s="64"/>
      <c r="C360" s="49"/>
      <c r="D360" s="49"/>
      <c r="E360" s="71"/>
      <c r="F360" s="71"/>
      <c r="G360" s="71"/>
      <c r="H360" s="71"/>
      <c r="I360" s="28"/>
      <c r="J360" s="28"/>
      <c r="K360" s="65"/>
      <c r="L360" s="65"/>
      <c r="M360" s="65"/>
      <c r="N360" s="65"/>
      <c r="O360" s="65"/>
      <c r="P360" s="65"/>
      <c r="Q360" s="65"/>
      <c r="R360" s="65"/>
      <c r="S360" s="65"/>
      <c r="T360" s="65"/>
      <c r="U360" s="65"/>
      <c r="V360" s="65"/>
      <c r="W360" s="65"/>
      <c r="X360" s="65"/>
    </row>
    <row r="361">
      <c r="A361" s="64"/>
      <c r="B361" s="64"/>
      <c r="C361" s="49"/>
      <c r="D361" s="49"/>
      <c r="E361" s="71"/>
      <c r="F361" s="71"/>
      <c r="G361" s="71"/>
      <c r="H361" s="71"/>
      <c r="I361" s="28"/>
      <c r="J361" s="28"/>
      <c r="K361" s="65"/>
      <c r="L361" s="65"/>
      <c r="M361" s="65"/>
      <c r="N361" s="65"/>
      <c r="O361" s="65"/>
      <c r="P361" s="65"/>
      <c r="Q361" s="65"/>
      <c r="R361" s="65"/>
      <c r="S361" s="65"/>
      <c r="T361" s="65"/>
      <c r="U361" s="65"/>
      <c r="V361" s="65"/>
      <c r="W361" s="65"/>
      <c r="X361" s="65"/>
    </row>
    <row r="362">
      <c r="A362" s="64"/>
      <c r="B362" s="64"/>
      <c r="C362" s="49"/>
      <c r="D362" s="49"/>
      <c r="E362" s="71"/>
      <c r="F362" s="71"/>
      <c r="G362" s="71"/>
      <c r="H362" s="71"/>
      <c r="I362" s="28"/>
      <c r="J362" s="28"/>
      <c r="K362" s="65"/>
      <c r="L362" s="65"/>
      <c r="M362" s="65"/>
      <c r="N362" s="65"/>
      <c r="O362" s="65"/>
      <c r="P362" s="65"/>
      <c r="Q362" s="65"/>
      <c r="R362" s="65"/>
      <c r="S362" s="65"/>
      <c r="T362" s="65"/>
      <c r="U362" s="65"/>
      <c r="V362" s="65"/>
      <c r="W362" s="65"/>
      <c r="X362" s="65"/>
    </row>
    <row r="363">
      <c r="A363" s="64"/>
      <c r="B363" s="64"/>
      <c r="C363" s="49"/>
      <c r="D363" s="49"/>
      <c r="E363" s="71"/>
      <c r="F363" s="71"/>
      <c r="G363" s="71"/>
      <c r="H363" s="71"/>
      <c r="I363" s="28"/>
      <c r="J363" s="28"/>
      <c r="K363" s="65"/>
      <c r="L363" s="65"/>
      <c r="M363" s="65"/>
      <c r="N363" s="65"/>
      <c r="O363" s="65"/>
      <c r="P363" s="65"/>
      <c r="Q363" s="65"/>
      <c r="R363" s="65"/>
      <c r="S363" s="65"/>
      <c r="T363" s="65"/>
      <c r="U363" s="65"/>
      <c r="V363" s="65"/>
      <c r="W363" s="65"/>
      <c r="X363" s="65"/>
    </row>
    <row r="364">
      <c r="A364" s="64"/>
      <c r="B364" s="64"/>
      <c r="C364" s="49"/>
      <c r="D364" s="49"/>
      <c r="E364" s="71"/>
      <c r="F364" s="71"/>
      <c r="G364" s="71"/>
      <c r="H364" s="71"/>
      <c r="I364" s="28"/>
      <c r="J364" s="28"/>
      <c r="K364" s="65"/>
      <c r="L364" s="65"/>
      <c r="M364" s="65"/>
      <c r="N364" s="65"/>
      <c r="O364" s="65"/>
      <c r="P364" s="65"/>
      <c r="Q364" s="65"/>
      <c r="R364" s="65"/>
      <c r="S364" s="65"/>
      <c r="T364" s="65"/>
      <c r="U364" s="65"/>
      <c r="V364" s="65"/>
      <c r="W364" s="65"/>
      <c r="X364" s="65"/>
    </row>
    <row r="365">
      <c r="A365" s="64"/>
      <c r="B365" s="64"/>
      <c r="C365" s="49"/>
      <c r="D365" s="49"/>
      <c r="E365" s="71"/>
      <c r="F365" s="71"/>
      <c r="G365" s="71"/>
      <c r="H365" s="71"/>
      <c r="I365" s="28"/>
      <c r="J365" s="28"/>
      <c r="K365" s="65"/>
      <c r="L365" s="65"/>
      <c r="M365" s="65"/>
      <c r="N365" s="65"/>
      <c r="O365" s="65"/>
      <c r="P365" s="65"/>
      <c r="Q365" s="65"/>
      <c r="R365" s="65"/>
      <c r="S365" s="65"/>
      <c r="T365" s="65"/>
      <c r="U365" s="65"/>
      <c r="V365" s="65"/>
      <c r="W365" s="65"/>
      <c r="X365" s="65"/>
    </row>
    <row r="366">
      <c r="A366" s="64"/>
      <c r="B366" s="64"/>
      <c r="C366" s="49"/>
      <c r="D366" s="49"/>
      <c r="E366" s="71"/>
      <c r="F366" s="71"/>
      <c r="G366" s="71"/>
      <c r="H366" s="71"/>
      <c r="I366" s="28"/>
      <c r="J366" s="28"/>
      <c r="K366" s="65"/>
      <c r="L366" s="65"/>
      <c r="M366" s="65"/>
      <c r="N366" s="65"/>
      <c r="O366" s="65"/>
      <c r="P366" s="65"/>
      <c r="Q366" s="65"/>
      <c r="R366" s="65"/>
      <c r="S366" s="65"/>
      <c r="T366" s="65"/>
      <c r="U366" s="65"/>
      <c r="V366" s="65"/>
      <c r="W366" s="65"/>
      <c r="X366" s="65"/>
    </row>
    <row r="367">
      <c r="A367" s="64"/>
      <c r="B367" s="64"/>
      <c r="C367" s="49"/>
      <c r="D367" s="49"/>
      <c r="E367" s="71"/>
      <c r="F367" s="71"/>
      <c r="G367" s="71"/>
      <c r="H367" s="71"/>
      <c r="I367" s="28"/>
      <c r="J367" s="28"/>
      <c r="K367" s="65"/>
      <c r="L367" s="65"/>
      <c r="M367" s="65"/>
      <c r="N367" s="65"/>
      <c r="O367" s="65"/>
      <c r="P367" s="65"/>
      <c r="Q367" s="65"/>
      <c r="R367" s="65"/>
      <c r="S367" s="65"/>
      <c r="T367" s="65"/>
      <c r="U367" s="65"/>
      <c r="V367" s="65"/>
      <c r="W367" s="65"/>
      <c r="X367" s="65"/>
    </row>
    <row r="368">
      <c r="A368" s="64"/>
      <c r="B368" s="64"/>
      <c r="C368" s="49"/>
      <c r="D368" s="49"/>
      <c r="E368" s="71"/>
      <c r="F368" s="71"/>
      <c r="G368" s="71"/>
      <c r="H368" s="71"/>
      <c r="I368" s="28"/>
      <c r="J368" s="28"/>
      <c r="K368" s="65"/>
      <c r="L368" s="65"/>
      <c r="M368" s="65"/>
      <c r="N368" s="65"/>
      <c r="O368" s="65"/>
      <c r="P368" s="65"/>
      <c r="Q368" s="65"/>
      <c r="R368" s="65"/>
      <c r="S368" s="65"/>
      <c r="T368" s="65"/>
      <c r="U368" s="65"/>
      <c r="V368" s="65"/>
      <c r="W368" s="65"/>
      <c r="X368" s="65"/>
    </row>
    <row r="369">
      <c r="A369" s="64"/>
      <c r="B369" s="64"/>
      <c r="C369" s="49"/>
      <c r="D369" s="49"/>
      <c r="E369" s="71"/>
      <c r="F369" s="71"/>
      <c r="G369" s="71"/>
      <c r="H369" s="71"/>
      <c r="I369" s="28"/>
      <c r="J369" s="28"/>
      <c r="K369" s="65"/>
      <c r="L369" s="65"/>
      <c r="M369" s="65"/>
      <c r="N369" s="65"/>
      <c r="O369" s="65"/>
      <c r="P369" s="65"/>
      <c r="Q369" s="65"/>
      <c r="R369" s="65"/>
      <c r="S369" s="65"/>
      <c r="T369" s="65"/>
      <c r="U369" s="65"/>
      <c r="V369" s="65"/>
      <c r="W369" s="65"/>
      <c r="X369" s="65"/>
    </row>
    <row r="370">
      <c r="A370" s="64"/>
      <c r="B370" s="64"/>
      <c r="C370" s="49"/>
      <c r="D370" s="49"/>
      <c r="E370" s="71"/>
      <c r="F370" s="71"/>
      <c r="G370" s="71"/>
      <c r="H370" s="71"/>
      <c r="I370" s="28"/>
      <c r="J370" s="28"/>
      <c r="K370" s="65"/>
      <c r="L370" s="65"/>
      <c r="M370" s="65"/>
      <c r="N370" s="65"/>
      <c r="O370" s="65"/>
      <c r="P370" s="65"/>
      <c r="Q370" s="65"/>
      <c r="R370" s="65"/>
      <c r="S370" s="65"/>
      <c r="T370" s="65"/>
      <c r="U370" s="65"/>
      <c r="V370" s="65"/>
      <c r="W370" s="65"/>
      <c r="X370" s="65"/>
    </row>
    <row r="371">
      <c r="A371" s="64"/>
      <c r="B371" s="64"/>
      <c r="C371" s="49"/>
      <c r="D371" s="49"/>
      <c r="E371" s="71"/>
      <c r="F371" s="71"/>
      <c r="G371" s="71"/>
      <c r="H371" s="71"/>
      <c r="I371" s="28"/>
      <c r="J371" s="28"/>
      <c r="K371" s="65"/>
      <c r="L371" s="65"/>
      <c r="M371" s="65"/>
      <c r="N371" s="65"/>
      <c r="O371" s="65"/>
      <c r="P371" s="65"/>
      <c r="Q371" s="65"/>
      <c r="R371" s="65"/>
      <c r="S371" s="65"/>
      <c r="T371" s="65"/>
      <c r="U371" s="65"/>
      <c r="V371" s="65"/>
      <c r="W371" s="65"/>
      <c r="X371" s="65"/>
    </row>
    <row r="372">
      <c r="A372" s="64"/>
      <c r="B372" s="64"/>
      <c r="C372" s="49"/>
      <c r="D372" s="49"/>
      <c r="E372" s="71"/>
      <c r="F372" s="71"/>
      <c r="G372" s="71"/>
      <c r="H372" s="71"/>
      <c r="I372" s="28"/>
      <c r="J372" s="28"/>
      <c r="K372" s="65"/>
      <c r="L372" s="65"/>
      <c r="M372" s="65"/>
      <c r="N372" s="65"/>
      <c r="O372" s="65"/>
      <c r="P372" s="65"/>
      <c r="Q372" s="65"/>
      <c r="R372" s="65"/>
      <c r="S372" s="65"/>
      <c r="T372" s="65"/>
      <c r="U372" s="65"/>
      <c r="V372" s="65"/>
      <c r="W372" s="65"/>
      <c r="X372" s="65"/>
    </row>
    <row r="373">
      <c r="A373" s="64"/>
      <c r="B373" s="64"/>
      <c r="C373" s="49"/>
      <c r="D373" s="49"/>
      <c r="E373" s="71"/>
      <c r="F373" s="71"/>
      <c r="G373" s="71"/>
      <c r="H373" s="71"/>
      <c r="I373" s="28"/>
      <c r="J373" s="28"/>
      <c r="K373" s="65"/>
      <c r="L373" s="65"/>
      <c r="M373" s="65"/>
      <c r="N373" s="65"/>
      <c r="O373" s="65"/>
      <c r="P373" s="65"/>
      <c r="Q373" s="65"/>
      <c r="R373" s="65"/>
      <c r="S373" s="65"/>
      <c r="T373" s="65"/>
      <c r="U373" s="65"/>
      <c r="V373" s="65"/>
      <c r="W373" s="65"/>
      <c r="X373" s="65"/>
    </row>
    <row r="374">
      <c r="A374" s="64"/>
      <c r="B374" s="64"/>
      <c r="C374" s="49"/>
      <c r="D374" s="49"/>
      <c r="E374" s="71"/>
      <c r="F374" s="71"/>
      <c r="G374" s="71"/>
      <c r="H374" s="71"/>
      <c r="I374" s="28"/>
      <c r="J374" s="28"/>
      <c r="K374" s="65"/>
      <c r="L374" s="65"/>
      <c r="M374" s="65"/>
      <c r="N374" s="65"/>
      <c r="O374" s="65"/>
      <c r="P374" s="65"/>
      <c r="Q374" s="65"/>
      <c r="R374" s="65"/>
      <c r="S374" s="65"/>
      <c r="T374" s="65"/>
      <c r="U374" s="65"/>
      <c r="V374" s="65"/>
      <c r="W374" s="65"/>
      <c r="X374" s="65"/>
    </row>
    <row r="375">
      <c r="A375" s="64"/>
      <c r="B375" s="64"/>
      <c r="C375" s="49"/>
      <c r="D375" s="49"/>
      <c r="E375" s="71"/>
      <c r="F375" s="71"/>
      <c r="G375" s="71"/>
      <c r="H375" s="71"/>
      <c r="I375" s="28"/>
      <c r="J375" s="28"/>
      <c r="K375" s="65"/>
      <c r="L375" s="65"/>
      <c r="M375" s="65"/>
      <c r="N375" s="65"/>
      <c r="O375" s="65"/>
      <c r="P375" s="65"/>
      <c r="Q375" s="65"/>
      <c r="R375" s="65"/>
      <c r="S375" s="65"/>
      <c r="T375" s="65"/>
      <c r="U375" s="65"/>
      <c r="V375" s="65"/>
      <c r="W375" s="65"/>
      <c r="X375" s="65"/>
    </row>
    <row r="376">
      <c r="A376" s="64"/>
      <c r="B376" s="64"/>
      <c r="C376" s="49"/>
      <c r="D376" s="49"/>
      <c r="E376" s="71"/>
      <c r="F376" s="71"/>
      <c r="G376" s="71"/>
      <c r="H376" s="71"/>
      <c r="I376" s="28"/>
      <c r="J376" s="28"/>
      <c r="K376" s="65"/>
      <c r="L376" s="65"/>
      <c r="M376" s="65"/>
      <c r="N376" s="65"/>
      <c r="O376" s="65"/>
      <c r="P376" s="65"/>
      <c r="Q376" s="65"/>
      <c r="R376" s="65"/>
      <c r="S376" s="65"/>
      <c r="T376" s="65"/>
      <c r="U376" s="65"/>
      <c r="V376" s="65"/>
      <c r="W376" s="65"/>
      <c r="X376" s="65"/>
    </row>
    <row r="377">
      <c r="A377" s="64"/>
      <c r="B377" s="64"/>
      <c r="C377" s="49"/>
      <c r="D377" s="49"/>
      <c r="E377" s="71"/>
      <c r="F377" s="71"/>
      <c r="G377" s="71"/>
      <c r="H377" s="71"/>
      <c r="I377" s="28"/>
      <c r="J377" s="28"/>
      <c r="K377" s="65"/>
      <c r="L377" s="65"/>
      <c r="M377" s="65"/>
      <c r="N377" s="65"/>
      <c r="O377" s="65"/>
      <c r="P377" s="65"/>
      <c r="Q377" s="65"/>
      <c r="R377" s="65"/>
      <c r="S377" s="65"/>
      <c r="T377" s="65"/>
      <c r="U377" s="65"/>
      <c r="V377" s="65"/>
      <c r="W377" s="65"/>
      <c r="X377" s="65"/>
    </row>
    <row r="378">
      <c r="A378" s="64"/>
      <c r="B378" s="64"/>
      <c r="C378" s="49"/>
      <c r="D378" s="49"/>
      <c r="E378" s="71"/>
      <c r="F378" s="71"/>
      <c r="G378" s="71"/>
      <c r="H378" s="71"/>
      <c r="I378" s="28"/>
      <c r="J378" s="28"/>
      <c r="K378" s="65"/>
      <c r="L378" s="65"/>
      <c r="M378" s="65"/>
      <c r="N378" s="65"/>
      <c r="O378" s="65"/>
      <c r="P378" s="65"/>
      <c r="Q378" s="65"/>
      <c r="R378" s="65"/>
      <c r="S378" s="65"/>
      <c r="T378" s="65"/>
      <c r="U378" s="65"/>
      <c r="V378" s="65"/>
      <c r="W378" s="65"/>
      <c r="X378" s="65"/>
    </row>
    <row r="379">
      <c r="A379" s="64"/>
      <c r="B379" s="64"/>
      <c r="C379" s="49"/>
      <c r="D379" s="49"/>
      <c r="E379" s="71"/>
      <c r="F379" s="71"/>
      <c r="G379" s="71"/>
      <c r="H379" s="71"/>
      <c r="I379" s="28"/>
      <c r="J379" s="28"/>
      <c r="K379" s="65"/>
      <c r="L379" s="65"/>
      <c r="M379" s="65"/>
      <c r="N379" s="65"/>
      <c r="O379" s="65"/>
      <c r="P379" s="65"/>
      <c r="Q379" s="65"/>
      <c r="R379" s="65"/>
      <c r="S379" s="65"/>
      <c r="T379" s="65"/>
      <c r="U379" s="65"/>
      <c r="V379" s="65"/>
      <c r="W379" s="65"/>
      <c r="X379" s="65"/>
    </row>
    <row r="380">
      <c r="A380" s="64"/>
      <c r="B380" s="64"/>
      <c r="C380" s="49"/>
      <c r="D380" s="49"/>
      <c r="E380" s="71"/>
      <c r="F380" s="71"/>
      <c r="G380" s="71"/>
      <c r="H380" s="71"/>
      <c r="I380" s="28"/>
      <c r="J380" s="28"/>
      <c r="K380" s="65"/>
      <c r="L380" s="65"/>
      <c r="M380" s="65"/>
      <c r="N380" s="65"/>
      <c r="O380" s="65"/>
      <c r="P380" s="65"/>
      <c r="Q380" s="65"/>
      <c r="R380" s="65"/>
      <c r="S380" s="65"/>
      <c r="T380" s="65"/>
      <c r="U380" s="65"/>
      <c r="V380" s="65"/>
      <c r="W380" s="65"/>
      <c r="X380" s="65"/>
    </row>
    <row r="381">
      <c r="A381" s="64"/>
      <c r="B381" s="64"/>
      <c r="C381" s="49"/>
      <c r="D381" s="49"/>
      <c r="E381" s="71"/>
      <c r="F381" s="71"/>
      <c r="G381" s="71"/>
      <c r="H381" s="71"/>
      <c r="I381" s="28"/>
      <c r="J381" s="28"/>
      <c r="K381" s="65"/>
      <c r="L381" s="65"/>
      <c r="M381" s="65"/>
      <c r="N381" s="65"/>
      <c r="O381" s="65"/>
      <c r="P381" s="65"/>
      <c r="Q381" s="65"/>
      <c r="R381" s="65"/>
      <c r="S381" s="65"/>
      <c r="T381" s="65"/>
      <c r="U381" s="65"/>
      <c r="V381" s="65"/>
      <c r="W381" s="65"/>
      <c r="X381" s="65"/>
    </row>
    <row r="382">
      <c r="A382" s="64"/>
      <c r="B382" s="64"/>
      <c r="C382" s="49"/>
      <c r="D382" s="49"/>
      <c r="E382" s="71"/>
      <c r="F382" s="71"/>
      <c r="G382" s="71"/>
      <c r="H382" s="71"/>
      <c r="I382" s="28"/>
      <c r="J382" s="28"/>
      <c r="K382" s="65"/>
      <c r="L382" s="65"/>
      <c r="M382" s="65"/>
      <c r="N382" s="65"/>
      <c r="O382" s="65"/>
      <c r="P382" s="65"/>
      <c r="Q382" s="65"/>
      <c r="R382" s="65"/>
      <c r="S382" s="65"/>
      <c r="T382" s="65"/>
      <c r="U382" s="65"/>
      <c r="V382" s="65"/>
      <c r="W382" s="65"/>
      <c r="X382" s="65"/>
    </row>
    <row r="383">
      <c r="A383" s="64"/>
      <c r="B383" s="64"/>
      <c r="C383" s="49"/>
      <c r="D383" s="49"/>
      <c r="E383" s="71"/>
      <c r="F383" s="71"/>
      <c r="G383" s="71"/>
      <c r="H383" s="71"/>
      <c r="I383" s="28"/>
      <c r="J383" s="28"/>
      <c r="K383" s="65"/>
      <c r="L383" s="65"/>
      <c r="M383" s="65"/>
      <c r="N383" s="65"/>
      <c r="O383" s="65"/>
      <c r="P383" s="65"/>
      <c r="Q383" s="65"/>
      <c r="R383" s="65"/>
      <c r="S383" s="65"/>
      <c r="T383" s="65"/>
      <c r="U383" s="65"/>
      <c r="V383" s="65"/>
      <c r="W383" s="65"/>
      <c r="X383" s="65"/>
    </row>
    <row r="384">
      <c r="A384" s="64"/>
      <c r="B384" s="64"/>
      <c r="C384" s="49"/>
      <c r="D384" s="49"/>
      <c r="E384" s="71"/>
      <c r="F384" s="71"/>
      <c r="G384" s="71"/>
      <c r="H384" s="71"/>
      <c r="I384" s="28"/>
      <c r="J384" s="28"/>
      <c r="K384" s="65"/>
      <c r="L384" s="65"/>
      <c r="M384" s="65"/>
      <c r="N384" s="65"/>
      <c r="O384" s="65"/>
      <c r="P384" s="65"/>
      <c r="Q384" s="65"/>
      <c r="R384" s="65"/>
      <c r="S384" s="65"/>
      <c r="T384" s="65"/>
      <c r="U384" s="65"/>
      <c r="V384" s="65"/>
      <c r="W384" s="65"/>
      <c r="X384" s="65"/>
    </row>
    <row r="385">
      <c r="A385" s="64"/>
      <c r="B385" s="64"/>
      <c r="C385" s="49"/>
      <c r="D385" s="49"/>
      <c r="E385" s="71"/>
      <c r="F385" s="71"/>
      <c r="G385" s="71"/>
      <c r="H385" s="71"/>
      <c r="I385" s="28"/>
      <c r="J385" s="28"/>
      <c r="K385" s="65"/>
      <c r="L385" s="65"/>
      <c r="M385" s="65"/>
      <c r="N385" s="65"/>
      <c r="O385" s="65"/>
      <c r="P385" s="65"/>
      <c r="Q385" s="65"/>
      <c r="R385" s="65"/>
      <c r="S385" s="65"/>
      <c r="T385" s="65"/>
      <c r="U385" s="65"/>
      <c r="V385" s="65"/>
      <c r="W385" s="65"/>
      <c r="X385" s="65"/>
    </row>
    <row r="386">
      <c r="A386" s="64"/>
      <c r="B386" s="64"/>
      <c r="C386" s="49"/>
      <c r="D386" s="49"/>
      <c r="E386" s="71"/>
      <c r="F386" s="71"/>
      <c r="G386" s="71"/>
      <c r="H386" s="71"/>
      <c r="I386" s="28"/>
      <c r="J386" s="28"/>
      <c r="K386" s="65"/>
      <c r="L386" s="65"/>
      <c r="M386" s="65"/>
      <c r="N386" s="65"/>
      <c r="O386" s="65"/>
      <c r="P386" s="65"/>
      <c r="Q386" s="65"/>
      <c r="R386" s="65"/>
      <c r="S386" s="65"/>
      <c r="T386" s="65"/>
      <c r="U386" s="65"/>
      <c r="V386" s="65"/>
      <c r="W386" s="65"/>
      <c r="X386" s="65"/>
    </row>
    <row r="387">
      <c r="A387" s="64"/>
      <c r="B387" s="64"/>
      <c r="C387" s="49"/>
      <c r="D387" s="49"/>
      <c r="E387" s="71"/>
      <c r="F387" s="71"/>
      <c r="G387" s="71"/>
      <c r="H387" s="71"/>
      <c r="I387" s="28"/>
      <c r="J387" s="28"/>
      <c r="K387" s="65"/>
      <c r="L387" s="65"/>
      <c r="M387" s="65"/>
      <c r="N387" s="65"/>
      <c r="O387" s="65"/>
      <c r="P387" s="65"/>
      <c r="Q387" s="65"/>
      <c r="R387" s="65"/>
      <c r="S387" s="65"/>
      <c r="T387" s="65"/>
      <c r="U387" s="65"/>
      <c r="V387" s="65"/>
      <c r="W387" s="65"/>
      <c r="X387" s="65"/>
    </row>
    <row r="388">
      <c r="A388" s="64"/>
      <c r="B388" s="64"/>
      <c r="C388" s="49"/>
      <c r="D388" s="49"/>
      <c r="E388" s="71"/>
      <c r="F388" s="71"/>
      <c r="G388" s="71"/>
      <c r="H388" s="71"/>
      <c r="I388" s="28"/>
      <c r="J388" s="28"/>
      <c r="K388" s="65"/>
      <c r="L388" s="65"/>
      <c r="M388" s="65"/>
      <c r="N388" s="65"/>
      <c r="O388" s="65"/>
      <c r="P388" s="65"/>
      <c r="Q388" s="65"/>
      <c r="R388" s="65"/>
      <c r="S388" s="65"/>
      <c r="T388" s="65"/>
      <c r="U388" s="65"/>
      <c r="V388" s="65"/>
      <c r="W388" s="65"/>
      <c r="X388" s="65"/>
    </row>
    <row r="389">
      <c r="A389" s="64"/>
      <c r="B389" s="64"/>
      <c r="C389" s="49"/>
      <c r="D389" s="49"/>
      <c r="E389" s="71"/>
      <c r="F389" s="71"/>
      <c r="G389" s="71"/>
      <c r="H389" s="71"/>
      <c r="I389" s="28"/>
      <c r="J389" s="28"/>
      <c r="K389" s="65"/>
      <c r="L389" s="65"/>
      <c r="M389" s="65"/>
      <c r="N389" s="65"/>
      <c r="O389" s="65"/>
      <c r="P389" s="65"/>
      <c r="Q389" s="65"/>
      <c r="R389" s="65"/>
      <c r="S389" s="65"/>
      <c r="T389" s="65"/>
      <c r="U389" s="65"/>
      <c r="V389" s="65"/>
      <c r="W389" s="65"/>
      <c r="X389" s="65"/>
    </row>
    <row r="390">
      <c r="A390" s="64"/>
      <c r="B390" s="64"/>
      <c r="C390" s="49"/>
      <c r="D390" s="49"/>
      <c r="E390" s="71"/>
      <c r="F390" s="71"/>
      <c r="G390" s="71"/>
      <c r="H390" s="71"/>
      <c r="I390" s="28"/>
      <c r="J390" s="28"/>
      <c r="K390" s="65"/>
      <c r="L390" s="65"/>
      <c r="M390" s="65"/>
      <c r="N390" s="65"/>
      <c r="O390" s="65"/>
      <c r="P390" s="65"/>
      <c r="Q390" s="65"/>
      <c r="R390" s="65"/>
      <c r="S390" s="65"/>
      <c r="T390" s="65"/>
      <c r="U390" s="65"/>
      <c r="V390" s="65"/>
      <c r="W390" s="65"/>
      <c r="X390" s="65"/>
    </row>
    <row r="391">
      <c r="A391" s="64"/>
      <c r="B391" s="64"/>
      <c r="C391" s="49"/>
      <c r="D391" s="49"/>
      <c r="E391" s="71"/>
      <c r="F391" s="71"/>
      <c r="G391" s="71"/>
      <c r="H391" s="71"/>
      <c r="I391" s="28"/>
      <c r="J391" s="28"/>
      <c r="K391" s="65"/>
      <c r="L391" s="65"/>
      <c r="M391" s="65"/>
      <c r="N391" s="65"/>
      <c r="O391" s="65"/>
      <c r="P391" s="65"/>
      <c r="Q391" s="65"/>
      <c r="R391" s="65"/>
      <c r="S391" s="65"/>
      <c r="T391" s="65"/>
      <c r="U391" s="65"/>
      <c r="V391" s="65"/>
      <c r="W391" s="65"/>
      <c r="X391" s="65"/>
    </row>
    <row r="392">
      <c r="A392" s="64"/>
      <c r="B392" s="64"/>
      <c r="C392" s="49"/>
      <c r="D392" s="49"/>
      <c r="E392" s="71"/>
      <c r="F392" s="71"/>
      <c r="G392" s="71"/>
      <c r="H392" s="71"/>
      <c r="I392" s="28"/>
      <c r="J392" s="28"/>
      <c r="K392" s="65"/>
      <c r="L392" s="65"/>
      <c r="M392" s="65"/>
      <c r="N392" s="65"/>
      <c r="O392" s="65"/>
      <c r="P392" s="65"/>
      <c r="Q392" s="65"/>
      <c r="R392" s="65"/>
      <c r="S392" s="65"/>
      <c r="T392" s="65"/>
      <c r="U392" s="65"/>
      <c r="V392" s="65"/>
      <c r="W392" s="65"/>
      <c r="X392" s="65"/>
    </row>
    <row r="393">
      <c r="A393" s="64"/>
      <c r="B393" s="64"/>
      <c r="C393" s="49"/>
      <c r="D393" s="49"/>
      <c r="E393" s="71"/>
      <c r="F393" s="71"/>
      <c r="G393" s="71"/>
      <c r="H393" s="71"/>
      <c r="I393" s="28"/>
      <c r="J393" s="28"/>
      <c r="K393" s="65"/>
      <c r="L393" s="65"/>
      <c r="M393" s="65"/>
      <c r="N393" s="65"/>
      <c r="O393" s="65"/>
      <c r="P393" s="65"/>
      <c r="Q393" s="65"/>
      <c r="R393" s="65"/>
      <c r="S393" s="65"/>
      <c r="T393" s="65"/>
      <c r="U393" s="65"/>
      <c r="V393" s="65"/>
      <c r="W393" s="65"/>
      <c r="X393" s="65"/>
    </row>
    <row r="394">
      <c r="A394" s="64"/>
      <c r="B394" s="64"/>
      <c r="C394" s="49"/>
      <c r="D394" s="49"/>
      <c r="E394" s="71"/>
      <c r="F394" s="71"/>
      <c r="G394" s="71"/>
      <c r="H394" s="71"/>
      <c r="I394" s="28"/>
      <c r="J394" s="28"/>
      <c r="K394" s="65"/>
      <c r="L394" s="65"/>
      <c r="M394" s="65"/>
      <c r="N394" s="65"/>
      <c r="O394" s="65"/>
      <c r="P394" s="65"/>
      <c r="Q394" s="65"/>
      <c r="R394" s="65"/>
      <c r="S394" s="65"/>
      <c r="T394" s="65"/>
      <c r="U394" s="65"/>
      <c r="V394" s="65"/>
      <c r="W394" s="65"/>
      <c r="X394" s="65"/>
    </row>
    <row r="395">
      <c r="A395" s="64"/>
      <c r="B395" s="64"/>
      <c r="C395" s="49"/>
      <c r="D395" s="49"/>
      <c r="E395" s="71"/>
      <c r="F395" s="71"/>
      <c r="G395" s="71"/>
      <c r="H395" s="71"/>
      <c r="I395" s="28"/>
      <c r="J395" s="28"/>
      <c r="K395" s="65"/>
      <c r="L395" s="65"/>
      <c r="M395" s="65"/>
      <c r="N395" s="65"/>
      <c r="O395" s="65"/>
      <c r="P395" s="65"/>
      <c r="Q395" s="65"/>
      <c r="R395" s="65"/>
      <c r="S395" s="65"/>
      <c r="T395" s="65"/>
      <c r="U395" s="65"/>
      <c r="V395" s="65"/>
      <c r="W395" s="65"/>
      <c r="X395" s="65"/>
    </row>
    <row r="396">
      <c r="A396" s="64"/>
      <c r="B396" s="64"/>
      <c r="C396" s="49"/>
      <c r="D396" s="49"/>
      <c r="E396" s="71"/>
      <c r="F396" s="71"/>
      <c r="G396" s="71"/>
      <c r="H396" s="71"/>
      <c r="I396" s="28"/>
      <c r="J396" s="28"/>
      <c r="K396" s="65"/>
      <c r="L396" s="65"/>
      <c r="M396" s="65"/>
      <c r="N396" s="65"/>
      <c r="O396" s="65"/>
      <c r="P396" s="65"/>
      <c r="Q396" s="65"/>
      <c r="R396" s="65"/>
      <c r="S396" s="65"/>
      <c r="T396" s="65"/>
      <c r="U396" s="65"/>
      <c r="V396" s="65"/>
      <c r="W396" s="65"/>
      <c r="X396" s="65"/>
    </row>
    <row r="397">
      <c r="A397" s="64"/>
      <c r="B397" s="64"/>
      <c r="C397" s="49"/>
      <c r="D397" s="49"/>
      <c r="E397" s="71"/>
      <c r="F397" s="71"/>
      <c r="G397" s="71"/>
      <c r="H397" s="71"/>
      <c r="I397" s="28"/>
      <c r="J397" s="28"/>
      <c r="K397" s="65"/>
      <c r="L397" s="65"/>
      <c r="M397" s="65"/>
      <c r="N397" s="65"/>
      <c r="O397" s="65"/>
      <c r="P397" s="65"/>
      <c r="Q397" s="65"/>
      <c r="R397" s="65"/>
      <c r="S397" s="65"/>
      <c r="T397" s="65"/>
      <c r="U397" s="65"/>
      <c r="V397" s="65"/>
      <c r="W397" s="65"/>
      <c r="X397" s="65"/>
    </row>
    <row r="398">
      <c r="A398" s="64"/>
      <c r="B398" s="64"/>
      <c r="C398" s="49"/>
      <c r="D398" s="49"/>
      <c r="E398" s="71"/>
      <c r="F398" s="71"/>
      <c r="G398" s="71"/>
      <c r="H398" s="71"/>
      <c r="I398" s="28"/>
      <c r="J398" s="28"/>
      <c r="K398" s="65"/>
      <c r="L398" s="65"/>
      <c r="M398" s="65"/>
      <c r="N398" s="65"/>
      <c r="O398" s="65"/>
      <c r="P398" s="65"/>
      <c r="Q398" s="65"/>
      <c r="R398" s="65"/>
      <c r="S398" s="65"/>
      <c r="T398" s="65"/>
      <c r="U398" s="65"/>
      <c r="V398" s="65"/>
      <c r="W398" s="65"/>
      <c r="X398" s="65"/>
    </row>
    <row r="399">
      <c r="A399" s="64"/>
      <c r="B399" s="64"/>
      <c r="C399" s="49"/>
      <c r="D399" s="49"/>
      <c r="E399" s="71"/>
      <c r="F399" s="71"/>
      <c r="G399" s="71"/>
      <c r="H399" s="71"/>
      <c r="I399" s="28"/>
      <c r="J399" s="28"/>
      <c r="K399" s="65"/>
      <c r="L399" s="65"/>
      <c r="M399" s="65"/>
      <c r="N399" s="65"/>
      <c r="O399" s="65"/>
      <c r="P399" s="65"/>
      <c r="Q399" s="65"/>
      <c r="R399" s="65"/>
      <c r="S399" s="65"/>
      <c r="T399" s="65"/>
      <c r="U399" s="65"/>
      <c r="V399" s="65"/>
      <c r="W399" s="65"/>
      <c r="X399" s="65"/>
    </row>
    <row r="400">
      <c r="A400" s="64"/>
      <c r="B400" s="64"/>
      <c r="C400" s="49"/>
      <c r="D400" s="49"/>
      <c r="E400" s="71"/>
      <c r="F400" s="71"/>
      <c r="G400" s="71"/>
      <c r="H400" s="71"/>
      <c r="I400" s="28"/>
      <c r="J400" s="28"/>
      <c r="K400" s="65"/>
      <c r="L400" s="65"/>
      <c r="M400" s="65"/>
      <c r="N400" s="65"/>
      <c r="O400" s="65"/>
      <c r="P400" s="65"/>
      <c r="Q400" s="65"/>
      <c r="R400" s="65"/>
      <c r="S400" s="65"/>
      <c r="T400" s="65"/>
      <c r="U400" s="65"/>
      <c r="V400" s="65"/>
      <c r="W400" s="65"/>
      <c r="X400" s="65"/>
    </row>
    <row r="401">
      <c r="A401" s="64"/>
      <c r="B401" s="64"/>
      <c r="C401" s="49"/>
      <c r="D401" s="49"/>
      <c r="E401" s="71"/>
      <c r="F401" s="71"/>
      <c r="G401" s="71"/>
      <c r="H401" s="71"/>
      <c r="I401" s="28"/>
      <c r="J401" s="28"/>
      <c r="K401" s="65"/>
      <c r="L401" s="65"/>
      <c r="M401" s="65"/>
      <c r="N401" s="65"/>
      <c r="O401" s="65"/>
      <c r="P401" s="65"/>
      <c r="Q401" s="65"/>
      <c r="R401" s="65"/>
      <c r="S401" s="65"/>
      <c r="T401" s="65"/>
      <c r="U401" s="65"/>
      <c r="V401" s="65"/>
      <c r="W401" s="65"/>
      <c r="X401" s="65"/>
    </row>
    <row r="402">
      <c r="A402" s="64"/>
      <c r="B402" s="64"/>
      <c r="C402" s="49"/>
      <c r="D402" s="49"/>
      <c r="E402" s="71"/>
      <c r="F402" s="71"/>
      <c r="G402" s="71"/>
      <c r="H402" s="71"/>
      <c r="I402" s="28"/>
      <c r="J402" s="28"/>
      <c r="K402" s="65"/>
      <c r="L402" s="65"/>
      <c r="M402" s="65"/>
      <c r="N402" s="65"/>
      <c r="O402" s="65"/>
      <c r="P402" s="65"/>
      <c r="Q402" s="65"/>
      <c r="R402" s="65"/>
      <c r="S402" s="65"/>
      <c r="T402" s="65"/>
      <c r="U402" s="65"/>
      <c r="V402" s="65"/>
      <c r="W402" s="65"/>
      <c r="X402" s="65"/>
    </row>
    <row r="403">
      <c r="A403" s="64"/>
      <c r="B403" s="64"/>
      <c r="C403" s="49"/>
      <c r="D403" s="49"/>
      <c r="E403" s="71"/>
      <c r="F403" s="71"/>
      <c r="G403" s="71"/>
      <c r="H403" s="71"/>
      <c r="I403" s="28"/>
      <c r="J403" s="28"/>
      <c r="K403" s="65"/>
      <c r="L403" s="65"/>
      <c r="M403" s="65"/>
      <c r="N403" s="65"/>
      <c r="O403" s="65"/>
      <c r="P403" s="65"/>
      <c r="Q403" s="65"/>
      <c r="R403" s="65"/>
      <c r="S403" s="65"/>
      <c r="T403" s="65"/>
      <c r="U403" s="65"/>
      <c r="V403" s="65"/>
      <c r="W403" s="65"/>
      <c r="X403" s="65"/>
    </row>
    <row r="404">
      <c r="A404" s="64"/>
      <c r="B404" s="64"/>
      <c r="C404" s="49"/>
      <c r="D404" s="49"/>
      <c r="E404" s="71"/>
      <c r="F404" s="71"/>
      <c r="G404" s="71"/>
      <c r="H404" s="71"/>
      <c r="I404" s="28"/>
      <c r="J404" s="28"/>
      <c r="K404" s="65"/>
      <c r="L404" s="65"/>
      <c r="M404" s="65"/>
      <c r="N404" s="65"/>
      <c r="O404" s="65"/>
      <c r="P404" s="65"/>
      <c r="Q404" s="65"/>
      <c r="R404" s="65"/>
      <c r="S404" s="65"/>
      <c r="T404" s="65"/>
      <c r="U404" s="65"/>
      <c r="V404" s="65"/>
      <c r="W404" s="65"/>
      <c r="X404" s="65"/>
    </row>
    <row r="405">
      <c r="A405" s="64"/>
      <c r="B405" s="64"/>
      <c r="C405" s="49"/>
      <c r="D405" s="49"/>
      <c r="E405" s="71"/>
      <c r="F405" s="71"/>
      <c r="G405" s="71"/>
      <c r="H405" s="71"/>
      <c r="I405" s="28"/>
      <c r="J405" s="28"/>
      <c r="K405" s="65"/>
      <c r="L405" s="65"/>
      <c r="M405" s="65"/>
      <c r="N405" s="65"/>
      <c r="O405" s="65"/>
      <c r="P405" s="65"/>
      <c r="Q405" s="65"/>
      <c r="R405" s="65"/>
      <c r="S405" s="65"/>
      <c r="T405" s="65"/>
      <c r="U405" s="65"/>
      <c r="V405" s="65"/>
      <c r="W405" s="65"/>
      <c r="X405" s="65"/>
    </row>
    <row r="406">
      <c r="A406" s="64"/>
      <c r="B406" s="64"/>
      <c r="C406" s="49"/>
      <c r="D406" s="49"/>
      <c r="E406" s="71"/>
      <c r="F406" s="71"/>
      <c r="G406" s="71"/>
      <c r="H406" s="71"/>
      <c r="I406" s="28"/>
      <c r="J406" s="28"/>
      <c r="K406" s="65"/>
      <c r="L406" s="65"/>
      <c r="M406" s="65"/>
      <c r="N406" s="65"/>
      <c r="O406" s="65"/>
      <c r="P406" s="65"/>
      <c r="Q406" s="65"/>
      <c r="R406" s="65"/>
      <c r="S406" s="65"/>
      <c r="T406" s="65"/>
      <c r="U406" s="65"/>
      <c r="V406" s="65"/>
      <c r="W406" s="65"/>
      <c r="X406" s="65"/>
    </row>
    <row r="407">
      <c r="A407" s="64"/>
      <c r="B407" s="64"/>
      <c r="C407" s="49"/>
      <c r="D407" s="49"/>
      <c r="E407" s="71"/>
      <c r="F407" s="71"/>
      <c r="G407" s="71"/>
      <c r="H407" s="71"/>
      <c r="I407" s="28"/>
      <c r="J407" s="28"/>
      <c r="K407" s="65"/>
      <c r="L407" s="65"/>
      <c r="M407" s="65"/>
      <c r="N407" s="65"/>
      <c r="O407" s="65"/>
      <c r="P407" s="65"/>
      <c r="Q407" s="65"/>
      <c r="R407" s="65"/>
      <c r="S407" s="65"/>
      <c r="T407" s="65"/>
      <c r="U407" s="65"/>
      <c r="V407" s="65"/>
      <c r="W407" s="65"/>
      <c r="X407" s="65"/>
    </row>
    <row r="408">
      <c r="A408" s="64"/>
      <c r="B408" s="64"/>
      <c r="C408" s="49"/>
      <c r="D408" s="49"/>
      <c r="E408" s="71"/>
      <c r="F408" s="71"/>
      <c r="G408" s="71"/>
      <c r="H408" s="71"/>
      <c r="I408" s="28"/>
      <c r="J408" s="28"/>
      <c r="K408" s="65"/>
      <c r="L408" s="65"/>
      <c r="M408" s="65"/>
      <c r="N408" s="65"/>
      <c r="O408" s="65"/>
      <c r="P408" s="65"/>
      <c r="Q408" s="65"/>
      <c r="R408" s="65"/>
      <c r="S408" s="65"/>
      <c r="T408" s="65"/>
      <c r="U408" s="65"/>
      <c r="V408" s="65"/>
      <c r="W408" s="65"/>
      <c r="X408" s="65"/>
    </row>
    <row r="409">
      <c r="A409" s="64"/>
      <c r="B409" s="64"/>
      <c r="C409" s="49"/>
      <c r="D409" s="49"/>
      <c r="E409" s="71"/>
      <c r="F409" s="71"/>
      <c r="G409" s="71"/>
      <c r="H409" s="71"/>
      <c r="I409" s="28"/>
      <c r="J409" s="28"/>
      <c r="K409" s="65"/>
      <c r="L409" s="65"/>
      <c r="M409" s="65"/>
      <c r="N409" s="65"/>
      <c r="O409" s="65"/>
      <c r="P409" s="65"/>
      <c r="Q409" s="65"/>
      <c r="R409" s="65"/>
      <c r="S409" s="65"/>
      <c r="T409" s="65"/>
      <c r="U409" s="65"/>
      <c r="V409" s="65"/>
      <c r="W409" s="65"/>
      <c r="X409" s="65"/>
    </row>
    <row r="410">
      <c r="A410" s="64"/>
      <c r="B410" s="64"/>
      <c r="C410" s="49"/>
      <c r="D410" s="49"/>
      <c r="E410" s="71"/>
      <c r="F410" s="71"/>
      <c r="G410" s="71"/>
      <c r="H410" s="71"/>
      <c r="I410" s="28"/>
      <c r="J410" s="28"/>
      <c r="K410" s="65"/>
      <c r="L410" s="65"/>
      <c r="M410" s="65"/>
      <c r="N410" s="65"/>
      <c r="O410" s="65"/>
      <c r="P410" s="65"/>
      <c r="Q410" s="65"/>
      <c r="R410" s="65"/>
      <c r="S410" s="65"/>
      <c r="T410" s="65"/>
      <c r="U410" s="65"/>
      <c r="V410" s="65"/>
      <c r="W410" s="65"/>
      <c r="X410" s="65"/>
    </row>
    <row r="411">
      <c r="A411" s="64"/>
      <c r="B411" s="64"/>
      <c r="C411" s="49"/>
      <c r="D411" s="49"/>
      <c r="E411" s="71"/>
      <c r="F411" s="71"/>
      <c r="G411" s="71"/>
      <c r="H411" s="71"/>
      <c r="I411" s="28"/>
      <c r="J411" s="28"/>
      <c r="K411" s="65"/>
      <c r="L411" s="65"/>
      <c r="M411" s="65"/>
      <c r="N411" s="65"/>
      <c r="O411" s="65"/>
      <c r="P411" s="65"/>
      <c r="Q411" s="65"/>
      <c r="R411" s="65"/>
      <c r="S411" s="65"/>
      <c r="T411" s="65"/>
      <c r="U411" s="65"/>
      <c r="V411" s="65"/>
      <c r="W411" s="65"/>
      <c r="X411" s="65"/>
    </row>
    <row r="412">
      <c r="A412" s="64"/>
      <c r="B412" s="64"/>
      <c r="C412" s="49"/>
      <c r="D412" s="49"/>
      <c r="E412" s="71"/>
      <c r="F412" s="71"/>
      <c r="G412" s="71"/>
      <c r="H412" s="71"/>
      <c r="I412" s="28"/>
      <c r="J412" s="28"/>
      <c r="K412" s="65"/>
      <c r="L412" s="65"/>
      <c r="M412" s="65"/>
      <c r="N412" s="65"/>
      <c r="O412" s="65"/>
      <c r="P412" s="65"/>
      <c r="Q412" s="65"/>
      <c r="R412" s="65"/>
      <c r="S412" s="65"/>
      <c r="T412" s="65"/>
      <c r="U412" s="65"/>
      <c r="V412" s="65"/>
      <c r="W412" s="65"/>
      <c r="X412" s="65"/>
    </row>
    <row r="413">
      <c r="A413" s="64"/>
      <c r="B413" s="64"/>
      <c r="C413" s="49"/>
      <c r="D413" s="49"/>
      <c r="E413" s="71"/>
      <c r="F413" s="71"/>
      <c r="G413" s="71"/>
      <c r="H413" s="71"/>
      <c r="I413" s="28"/>
      <c r="J413" s="28"/>
      <c r="K413" s="65"/>
      <c r="L413" s="65"/>
      <c r="M413" s="65"/>
      <c r="N413" s="65"/>
      <c r="O413" s="65"/>
      <c r="P413" s="65"/>
      <c r="Q413" s="65"/>
      <c r="R413" s="65"/>
      <c r="S413" s="65"/>
      <c r="T413" s="65"/>
      <c r="U413" s="65"/>
      <c r="V413" s="65"/>
      <c r="W413" s="65"/>
      <c r="X413" s="65"/>
    </row>
    <row r="414">
      <c r="A414" s="64"/>
      <c r="B414" s="64"/>
      <c r="C414" s="49"/>
      <c r="D414" s="49"/>
      <c r="E414" s="71"/>
      <c r="F414" s="71"/>
      <c r="G414" s="71"/>
      <c r="H414" s="71"/>
      <c r="I414" s="28"/>
      <c r="J414" s="28"/>
      <c r="K414" s="65"/>
      <c r="L414" s="65"/>
      <c r="M414" s="65"/>
      <c r="N414" s="65"/>
      <c r="O414" s="65"/>
      <c r="P414" s="65"/>
      <c r="Q414" s="65"/>
      <c r="R414" s="65"/>
      <c r="S414" s="65"/>
      <c r="T414" s="65"/>
      <c r="U414" s="65"/>
      <c r="V414" s="65"/>
      <c r="W414" s="65"/>
      <c r="X414" s="65"/>
    </row>
    <row r="415">
      <c r="A415" s="64"/>
      <c r="B415" s="64"/>
      <c r="C415" s="49"/>
      <c r="D415" s="49"/>
      <c r="E415" s="71"/>
      <c r="F415" s="71"/>
      <c r="G415" s="71"/>
      <c r="H415" s="71"/>
      <c r="I415" s="28"/>
      <c r="J415" s="28"/>
      <c r="K415" s="65"/>
      <c r="L415" s="65"/>
      <c r="M415" s="65"/>
      <c r="N415" s="65"/>
      <c r="O415" s="65"/>
      <c r="P415" s="65"/>
      <c r="Q415" s="65"/>
      <c r="R415" s="65"/>
      <c r="S415" s="65"/>
      <c r="T415" s="65"/>
      <c r="U415" s="65"/>
      <c r="V415" s="65"/>
      <c r="W415" s="65"/>
      <c r="X415" s="65"/>
    </row>
    <row r="416">
      <c r="A416" s="64"/>
      <c r="B416" s="64"/>
      <c r="C416" s="49"/>
      <c r="D416" s="49"/>
      <c r="E416" s="71"/>
      <c r="F416" s="71"/>
      <c r="G416" s="71"/>
      <c r="H416" s="71"/>
      <c r="I416" s="28"/>
      <c r="J416" s="28"/>
      <c r="K416" s="65"/>
      <c r="L416" s="65"/>
      <c r="M416" s="65"/>
      <c r="N416" s="65"/>
      <c r="O416" s="65"/>
      <c r="P416" s="65"/>
      <c r="Q416" s="65"/>
      <c r="R416" s="65"/>
      <c r="S416" s="65"/>
      <c r="T416" s="65"/>
      <c r="U416" s="65"/>
      <c r="V416" s="65"/>
      <c r="W416" s="65"/>
      <c r="X416" s="65"/>
    </row>
    <row r="417">
      <c r="A417" s="64"/>
      <c r="B417" s="64"/>
      <c r="C417" s="49"/>
      <c r="D417" s="49"/>
      <c r="E417" s="71"/>
      <c r="F417" s="71"/>
      <c r="G417" s="71"/>
      <c r="H417" s="71"/>
      <c r="I417" s="28"/>
      <c r="J417" s="28"/>
      <c r="K417" s="65"/>
      <c r="L417" s="65"/>
      <c r="M417" s="65"/>
      <c r="N417" s="65"/>
      <c r="O417" s="65"/>
      <c r="P417" s="65"/>
      <c r="Q417" s="65"/>
      <c r="R417" s="65"/>
      <c r="S417" s="65"/>
      <c r="T417" s="65"/>
      <c r="U417" s="65"/>
      <c r="V417" s="65"/>
      <c r="W417" s="65"/>
      <c r="X417" s="65"/>
    </row>
    <row r="418">
      <c r="A418" s="64"/>
      <c r="B418" s="64"/>
      <c r="C418" s="49"/>
      <c r="D418" s="49"/>
      <c r="E418" s="71"/>
      <c r="F418" s="71"/>
      <c r="G418" s="71"/>
      <c r="H418" s="71"/>
      <c r="I418" s="28"/>
      <c r="J418" s="28"/>
      <c r="K418" s="65"/>
      <c r="L418" s="65"/>
      <c r="M418" s="65"/>
      <c r="N418" s="65"/>
      <c r="O418" s="65"/>
      <c r="P418" s="65"/>
      <c r="Q418" s="65"/>
      <c r="R418" s="65"/>
      <c r="S418" s="65"/>
      <c r="T418" s="65"/>
      <c r="U418" s="65"/>
      <c r="V418" s="65"/>
      <c r="W418" s="65"/>
      <c r="X418" s="65"/>
    </row>
    <row r="419">
      <c r="A419" s="64"/>
      <c r="B419" s="64"/>
      <c r="C419" s="49"/>
      <c r="D419" s="49"/>
      <c r="E419" s="71"/>
      <c r="F419" s="71"/>
      <c r="G419" s="71"/>
      <c r="H419" s="71"/>
      <c r="I419" s="28"/>
      <c r="J419" s="28"/>
      <c r="K419" s="65"/>
      <c r="L419" s="65"/>
      <c r="M419" s="65"/>
      <c r="N419" s="65"/>
      <c r="O419" s="65"/>
      <c r="P419" s="65"/>
      <c r="Q419" s="65"/>
      <c r="R419" s="65"/>
      <c r="S419" s="65"/>
      <c r="T419" s="65"/>
      <c r="U419" s="65"/>
      <c r="V419" s="65"/>
      <c r="W419" s="65"/>
      <c r="X419" s="65"/>
    </row>
    <row r="420">
      <c r="A420" s="64"/>
      <c r="B420" s="64"/>
      <c r="C420" s="49"/>
      <c r="D420" s="49"/>
      <c r="E420" s="71"/>
      <c r="F420" s="71"/>
      <c r="G420" s="71"/>
      <c r="H420" s="71"/>
      <c r="I420" s="28"/>
      <c r="J420" s="28"/>
      <c r="K420" s="65"/>
      <c r="L420" s="65"/>
      <c r="M420" s="65"/>
      <c r="N420" s="65"/>
      <c r="O420" s="65"/>
      <c r="P420" s="65"/>
      <c r="Q420" s="65"/>
      <c r="R420" s="65"/>
      <c r="S420" s="65"/>
      <c r="T420" s="65"/>
      <c r="U420" s="65"/>
      <c r="V420" s="65"/>
      <c r="W420" s="65"/>
      <c r="X420" s="65"/>
    </row>
    <row r="421">
      <c r="A421" s="64"/>
      <c r="B421" s="64"/>
      <c r="C421" s="49"/>
      <c r="D421" s="49"/>
      <c r="E421" s="71"/>
      <c r="F421" s="71"/>
      <c r="G421" s="71"/>
      <c r="H421" s="71"/>
      <c r="I421" s="28"/>
      <c r="J421" s="28"/>
      <c r="K421" s="65"/>
      <c r="L421" s="65"/>
      <c r="M421" s="65"/>
      <c r="N421" s="65"/>
      <c r="O421" s="65"/>
      <c r="P421" s="65"/>
      <c r="Q421" s="65"/>
      <c r="R421" s="65"/>
      <c r="S421" s="65"/>
      <c r="T421" s="65"/>
      <c r="U421" s="65"/>
      <c r="V421" s="65"/>
      <c r="W421" s="65"/>
      <c r="X421" s="65"/>
    </row>
    <row r="422">
      <c r="A422" s="64"/>
      <c r="B422" s="64"/>
      <c r="C422" s="49"/>
      <c r="D422" s="49"/>
      <c r="E422" s="71"/>
      <c r="F422" s="71"/>
      <c r="G422" s="71"/>
      <c r="H422" s="71"/>
      <c r="I422" s="28"/>
      <c r="J422" s="28"/>
      <c r="K422" s="65"/>
      <c r="L422" s="65"/>
      <c r="M422" s="65"/>
      <c r="N422" s="65"/>
      <c r="O422" s="65"/>
      <c r="P422" s="65"/>
      <c r="Q422" s="65"/>
      <c r="R422" s="65"/>
      <c r="S422" s="65"/>
      <c r="T422" s="65"/>
      <c r="U422" s="65"/>
      <c r="V422" s="65"/>
      <c r="W422" s="65"/>
      <c r="X422" s="65"/>
    </row>
    <row r="423">
      <c r="A423" s="64"/>
      <c r="B423" s="64"/>
      <c r="C423" s="49"/>
      <c r="D423" s="49"/>
      <c r="E423" s="71"/>
      <c r="F423" s="71"/>
      <c r="G423" s="71"/>
      <c r="H423" s="71"/>
      <c r="I423" s="28"/>
      <c r="J423" s="28"/>
      <c r="K423" s="65"/>
      <c r="L423" s="65"/>
      <c r="M423" s="65"/>
      <c r="N423" s="65"/>
      <c r="O423" s="65"/>
      <c r="P423" s="65"/>
      <c r="Q423" s="65"/>
      <c r="R423" s="65"/>
      <c r="S423" s="65"/>
      <c r="T423" s="65"/>
      <c r="U423" s="65"/>
      <c r="V423" s="65"/>
      <c r="W423" s="65"/>
      <c r="X423" s="65"/>
    </row>
    <row r="424">
      <c r="A424" s="64"/>
      <c r="B424" s="64"/>
      <c r="C424" s="49"/>
      <c r="D424" s="49"/>
      <c r="E424" s="71"/>
      <c r="F424" s="71"/>
      <c r="G424" s="71"/>
      <c r="H424" s="71"/>
      <c r="I424" s="28"/>
      <c r="J424" s="28"/>
      <c r="K424" s="65"/>
      <c r="L424" s="65"/>
      <c r="M424" s="65"/>
      <c r="N424" s="65"/>
      <c r="O424" s="65"/>
      <c r="P424" s="65"/>
      <c r="Q424" s="65"/>
      <c r="R424" s="65"/>
      <c r="S424" s="65"/>
      <c r="T424" s="65"/>
      <c r="U424" s="65"/>
      <c r="V424" s="65"/>
      <c r="W424" s="65"/>
      <c r="X424" s="65"/>
    </row>
    <row r="425">
      <c r="A425" s="64"/>
      <c r="B425" s="64"/>
      <c r="C425" s="49"/>
      <c r="D425" s="49"/>
      <c r="E425" s="71"/>
      <c r="F425" s="71"/>
      <c r="G425" s="71"/>
      <c r="H425" s="71"/>
      <c r="I425" s="28"/>
      <c r="J425" s="28"/>
      <c r="K425" s="65"/>
      <c r="L425" s="65"/>
      <c r="M425" s="65"/>
      <c r="N425" s="65"/>
      <c r="O425" s="65"/>
      <c r="P425" s="65"/>
      <c r="Q425" s="65"/>
      <c r="R425" s="65"/>
      <c r="S425" s="65"/>
      <c r="T425" s="65"/>
      <c r="U425" s="65"/>
      <c r="V425" s="65"/>
      <c r="W425" s="65"/>
      <c r="X425" s="65"/>
    </row>
    <row r="426">
      <c r="A426" s="64"/>
      <c r="B426" s="64"/>
      <c r="C426" s="49"/>
      <c r="D426" s="49"/>
      <c r="E426" s="71"/>
      <c r="F426" s="71"/>
      <c r="G426" s="71"/>
      <c r="H426" s="71"/>
      <c r="I426" s="28"/>
      <c r="J426" s="28"/>
      <c r="K426" s="65"/>
      <c r="L426" s="65"/>
      <c r="M426" s="65"/>
      <c r="N426" s="65"/>
      <c r="O426" s="65"/>
      <c r="P426" s="65"/>
      <c r="Q426" s="65"/>
      <c r="R426" s="65"/>
      <c r="S426" s="65"/>
      <c r="T426" s="65"/>
      <c r="U426" s="65"/>
      <c r="V426" s="65"/>
      <c r="W426" s="65"/>
      <c r="X426" s="65"/>
    </row>
    <row r="427">
      <c r="A427" s="64"/>
      <c r="B427" s="64"/>
      <c r="C427" s="49"/>
      <c r="D427" s="49"/>
      <c r="E427" s="71"/>
      <c r="F427" s="71"/>
      <c r="G427" s="71"/>
      <c r="H427" s="71"/>
      <c r="I427" s="28"/>
      <c r="J427" s="28"/>
      <c r="K427" s="65"/>
      <c r="L427" s="65"/>
      <c r="M427" s="65"/>
      <c r="N427" s="65"/>
      <c r="O427" s="65"/>
      <c r="P427" s="65"/>
      <c r="Q427" s="65"/>
      <c r="R427" s="65"/>
      <c r="S427" s="65"/>
      <c r="T427" s="65"/>
      <c r="U427" s="65"/>
      <c r="V427" s="65"/>
      <c r="W427" s="65"/>
      <c r="X427" s="65"/>
    </row>
    <row r="428">
      <c r="A428" s="64"/>
      <c r="B428" s="64"/>
      <c r="C428" s="49"/>
      <c r="D428" s="49"/>
      <c r="E428" s="71"/>
      <c r="F428" s="71"/>
      <c r="G428" s="71"/>
      <c r="H428" s="71"/>
      <c r="I428" s="28"/>
      <c r="J428" s="28"/>
      <c r="K428" s="65"/>
      <c r="L428" s="65"/>
      <c r="M428" s="65"/>
      <c r="N428" s="65"/>
      <c r="O428" s="65"/>
      <c r="P428" s="65"/>
      <c r="Q428" s="65"/>
      <c r="R428" s="65"/>
      <c r="S428" s="65"/>
      <c r="T428" s="65"/>
      <c r="U428" s="65"/>
      <c r="V428" s="65"/>
      <c r="W428" s="65"/>
      <c r="X428" s="65"/>
    </row>
    <row r="429">
      <c r="A429" s="64"/>
      <c r="B429" s="64"/>
      <c r="C429" s="49"/>
      <c r="D429" s="49"/>
      <c r="E429" s="71"/>
      <c r="F429" s="71"/>
      <c r="G429" s="71"/>
      <c r="H429" s="71"/>
      <c r="I429" s="28"/>
      <c r="J429" s="28"/>
      <c r="K429" s="65"/>
      <c r="L429" s="65"/>
      <c r="M429" s="65"/>
      <c r="N429" s="65"/>
      <c r="O429" s="65"/>
      <c r="P429" s="65"/>
      <c r="Q429" s="65"/>
      <c r="R429" s="65"/>
      <c r="S429" s="65"/>
      <c r="T429" s="65"/>
      <c r="U429" s="65"/>
      <c r="V429" s="65"/>
      <c r="W429" s="65"/>
      <c r="X429" s="65"/>
    </row>
    <row r="430">
      <c r="A430" s="64"/>
      <c r="B430" s="64"/>
      <c r="C430" s="49"/>
      <c r="D430" s="49"/>
      <c r="E430" s="71"/>
      <c r="F430" s="71"/>
      <c r="G430" s="71"/>
      <c r="H430" s="71"/>
      <c r="I430" s="28"/>
      <c r="J430" s="28"/>
      <c r="K430" s="65"/>
      <c r="L430" s="65"/>
      <c r="M430" s="65"/>
      <c r="N430" s="65"/>
      <c r="O430" s="65"/>
      <c r="P430" s="65"/>
      <c r="Q430" s="65"/>
      <c r="R430" s="65"/>
      <c r="S430" s="65"/>
      <c r="T430" s="65"/>
      <c r="U430" s="65"/>
      <c r="V430" s="65"/>
      <c r="W430" s="65"/>
      <c r="X430" s="65"/>
    </row>
    <row r="431">
      <c r="A431" s="64"/>
      <c r="B431" s="64"/>
      <c r="C431" s="49"/>
      <c r="D431" s="49"/>
      <c r="E431" s="71"/>
      <c r="F431" s="71"/>
      <c r="G431" s="71"/>
      <c r="H431" s="71"/>
      <c r="I431" s="28"/>
      <c r="J431" s="28"/>
      <c r="K431" s="65"/>
      <c r="L431" s="65"/>
      <c r="M431" s="65"/>
      <c r="N431" s="65"/>
      <c r="O431" s="65"/>
      <c r="P431" s="65"/>
      <c r="Q431" s="65"/>
      <c r="R431" s="65"/>
      <c r="S431" s="65"/>
      <c r="T431" s="65"/>
      <c r="U431" s="65"/>
      <c r="V431" s="65"/>
      <c r="W431" s="65"/>
      <c r="X431" s="65"/>
    </row>
    <row r="432">
      <c r="A432" s="64"/>
      <c r="B432" s="64"/>
      <c r="C432" s="49"/>
      <c r="D432" s="49"/>
      <c r="E432" s="71"/>
      <c r="F432" s="71"/>
      <c r="G432" s="71"/>
      <c r="H432" s="71"/>
      <c r="I432" s="28"/>
      <c r="J432" s="28"/>
      <c r="K432" s="65"/>
      <c r="L432" s="65"/>
      <c r="M432" s="65"/>
      <c r="N432" s="65"/>
      <c r="O432" s="65"/>
      <c r="P432" s="65"/>
      <c r="Q432" s="65"/>
      <c r="R432" s="65"/>
      <c r="S432" s="65"/>
      <c r="T432" s="65"/>
      <c r="U432" s="65"/>
      <c r="V432" s="65"/>
      <c r="W432" s="65"/>
      <c r="X432" s="65"/>
    </row>
    <row r="433">
      <c r="A433" s="64"/>
      <c r="B433" s="64"/>
      <c r="C433" s="49"/>
      <c r="D433" s="49"/>
      <c r="E433" s="71"/>
      <c r="F433" s="71"/>
      <c r="G433" s="71"/>
      <c r="H433" s="71"/>
      <c r="I433" s="28"/>
      <c r="J433" s="28"/>
      <c r="K433" s="65"/>
      <c r="L433" s="65"/>
      <c r="M433" s="65"/>
      <c r="N433" s="65"/>
      <c r="O433" s="65"/>
      <c r="P433" s="65"/>
      <c r="Q433" s="65"/>
      <c r="R433" s="65"/>
      <c r="S433" s="65"/>
      <c r="T433" s="65"/>
      <c r="U433" s="65"/>
      <c r="V433" s="65"/>
      <c r="W433" s="65"/>
      <c r="X433" s="65"/>
    </row>
    <row r="434">
      <c r="A434" s="64"/>
      <c r="B434" s="64"/>
      <c r="C434" s="49"/>
      <c r="D434" s="49"/>
      <c r="E434" s="71"/>
      <c r="F434" s="71"/>
      <c r="G434" s="71"/>
      <c r="H434" s="71"/>
      <c r="I434" s="28"/>
      <c r="J434" s="28"/>
      <c r="K434" s="65"/>
      <c r="L434" s="65"/>
      <c r="M434" s="65"/>
      <c r="N434" s="65"/>
      <c r="O434" s="65"/>
      <c r="P434" s="65"/>
      <c r="Q434" s="65"/>
      <c r="R434" s="65"/>
      <c r="S434" s="65"/>
      <c r="T434" s="65"/>
      <c r="U434" s="65"/>
      <c r="V434" s="65"/>
      <c r="W434" s="65"/>
      <c r="X434" s="65"/>
    </row>
    <row r="435">
      <c r="A435" s="64"/>
      <c r="B435" s="64"/>
      <c r="C435" s="49"/>
      <c r="D435" s="49"/>
      <c r="E435" s="71"/>
      <c r="F435" s="71"/>
      <c r="G435" s="71"/>
      <c r="H435" s="71"/>
      <c r="I435" s="28"/>
      <c r="J435" s="28"/>
      <c r="K435" s="65"/>
      <c r="L435" s="65"/>
      <c r="M435" s="65"/>
      <c r="N435" s="65"/>
      <c r="O435" s="65"/>
      <c r="P435" s="65"/>
      <c r="Q435" s="65"/>
      <c r="R435" s="65"/>
      <c r="S435" s="65"/>
      <c r="T435" s="65"/>
      <c r="U435" s="65"/>
      <c r="V435" s="65"/>
      <c r="W435" s="65"/>
      <c r="X435" s="65"/>
    </row>
    <row r="436">
      <c r="A436" s="64"/>
      <c r="B436" s="64"/>
      <c r="C436" s="49"/>
      <c r="D436" s="49"/>
      <c r="E436" s="71"/>
      <c r="F436" s="71"/>
      <c r="G436" s="71"/>
      <c r="H436" s="71"/>
      <c r="I436" s="28"/>
      <c r="J436" s="28"/>
      <c r="K436" s="65"/>
      <c r="L436" s="65"/>
      <c r="M436" s="65"/>
      <c r="N436" s="65"/>
      <c r="O436" s="65"/>
      <c r="P436" s="65"/>
      <c r="Q436" s="65"/>
      <c r="R436" s="65"/>
      <c r="S436" s="65"/>
      <c r="T436" s="65"/>
      <c r="U436" s="65"/>
      <c r="V436" s="65"/>
      <c r="W436" s="65"/>
      <c r="X436" s="65"/>
    </row>
    <row r="437">
      <c r="A437" s="64"/>
      <c r="B437" s="64"/>
      <c r="C437" s="49"/>
      <c r="D437" s="49"/>
      <c r="E437" s="71"/>
      <c r="F437" s="71"/>
      <c r="G437" s="71"/>
      <c r="H437" s="71"/>
      <c r="I437" s="28"/>
      <c r="J437" s="28"/>
      <c r="K437" s="65"/>
      <c r="L437" s="65"/>
      <c r="M437" s="65"/>
      <c r="N437" s="65"/>
      <c r="O437" s="65"/>
      <c r="P437" s="65"/>
      <c r="Q437" s="65"/>
      <c r="R437" s="65"/>
      <c r="S437" s="65"/>
      <c r="T437" s="65"/>
      <c r="U437" s="65"/>
      <c r="V437" s="65"/>
      <c r="W437" s="65"/>
      <c r="X437" s="65"/>
    </row>
    <row r="438">
      <c r="A438" s="64"/>
      <c r="B438" s="64"/>
      <c r="C438" s="49"/>
      <c r="D438" s="49"/>
      <c r="E438" s="71"/>
      <c r="F438" s="71"/>
      <c r="G438" s="71"/>
      <c r="H438" s="71"/>
      <c r="I438" s="28"/>
      <c r="J438" s="28"/>
      <c r="K438" s="65"/>
      <c r="L438" s="65"/>
      <c r="M438" s="65"/>
      <c r="N438" s="65"/>
      <c r="O438" s="65"/>
      <c r="P438" s="65"/>
      <c r="Q438" s="65"/>
      <c r="R438" s="65"/>
      <c r="S438" s="65"/>
      <c r="T438" s="65"/>
      <c r="U438" s="65"/>
      <c r="V438" s="65"/>
      <c r="W438" s="65"/>
      <c r="X438" s="65"/>
    </row>
    <row r="439">
      <c r="A439" s="64"/>
      <c r="B439" s="64"/>
      <c r="C439" s="49"/>
      <c r="D439" s="49"/>
      <c r="E439" s="71"/>
      <c r="F439" s="71"/>
      <c r="G439" s="71"/>
      <c r="H439" s="71"/>
      <c r="I439" s="28"/>
      <c r="J439" s="28"/>
      <c r="K439" s="65"/>
      <c r="L439" s="65"/>
      <c r="M439" s="65"/>
      <c r="N439" s="65"/>
      <c r="O439" s="65"/>
      <c r="P439" s="65"/>
      <c r="Q439" s="65"/>
      <c r="R439" s="65"/>
      <c r="S439" s="65"/>
      <c r="T439" s="65"/>
      <c r="U439" s="65"/>
      <c r="V439" s="65"/>
      <c r="W439" s="65"/>
      <c r="X439" s="65"/>
    </row>
    <row r="440">
      <c r="A440" s="64"/>
      <c r="B440" s="64"/>
      <c r="C440" s="49"/>
      <c r="D440" s="49"/>
      <c r="E440" s="71"/>
      <c r="F440" s="71"/>
      <c r="G440" s="71"/>
      <c r="H440" s="71"/>
      <c r="I440" s="28"/>
      <c r="J440" s="28"/>
      <c r="K440" s="65"/>
      <c r="L440" s="65"/>
      <c r="M440" s="65"/>
      <c r="N440" s="65"/>
      <c r="O440" s="65"/>
      <c r="P440" s="65"/>
      <c r="Q440" s="65"/>
      <c r="R440" s="65"/>
      <c r="S440" s="65"/>
      <c r="T440" s="65"/>
      <c r="U440" s="65"/>
      <c r="V440" s="65"/>
      <c r="W440" s="65"/>
      <c r="X440" s="65"/>
    </row>
    <row r="441">
      <c r="A441" s="64"/>
      <c r="B441" s="64"/>
      <c r="C441" s="49"/>
      <c r="D441" s="49"/>
      <c r="E441" s="71"/>
      <c r="F441" s="71"/>
      <c r="G441" s="71"/>
      <c r="H441" s="71"/>
      <c r="I441" s="28"/>
      <c r="J441" s="28"/>
      <c r="K441" s="65"/>
      <c r="L441" s="65"/>
      <c r="M441" s="65"/>
      <c r="N441" s="65"/>
      <c r="O441" s="65"/>
      <c r="P441" s="65"/>
      <c r="Q441" s="65"/>
      <c r="R441" s="65"/>
      <c r="S441" s="65"/>
      <c r="T441" s="65"/>
      <c r="U441" s="65"/>
      <c r="V441" s="65"/>
      <c r="W441" s="65"/>
      <c r="X441" s="65"/>
    </row>
    <row r="442">
      <c r="A442" s="64"/>
      <c r="B442" s="64"/>
      <c r="C442" s="49"/>
      <c r="D442" s="49"/>
      <c r="E442" s="71"/>
      <c r="F442" s="71"/>
      <c r="G442" s="71"/>
      <c r="H442" s="71"/>
      <c r="I442" s="28"/>
      <c r="J442" s="28"/>
      <c r="K442" s="65"/>
      <c r="L442" s="65"/>
      <c r="M442" s="65"/>
      <c r="N442" s="65"/>
      <c r="O442" s="65"/>
      <c r="P442" s="65"/>
      <c r="Q442" s="65"/>
      <c r="R442" s="65"/>
      <c r="S442" s="65"/>
      <c r="T442" s="65"/>
      <c r="U442" s="65"/>
      <c r="V442" s="65"/>
      <c r="W442" s="65"/>
      <c r="X442" s="65"/>
    </row>
    <row r="443">
      <c r="A443" s="64"/>
      <c r="B443" s="64"/>
      <c r="C443" s="49"/>
      <c r="D443" s="49"/>
      <c r="E443" s="71"/>
      <c r="F443" s="71"/>
      <c r="G443" s="71"/>
      <c r="H443" s="71"/>
      <c r="I443" s="28"/>
      <c r="J443" s="28"/>
      <c r="K443" s="65"/>
      <c r="L443" s="65"/>
      <c r="M443" s="65"/>
      <c r="N443" s="65"/>
      <c r="O443" s="65"/>
      <c r="P443" s="65"/>
      <c r="Q443" s="65"/>
      <c r="R443" s="65"/>
      <c r="S443" s="65"/>
      <c r="T443" s="65"/>
      <c r="U443" s="65"/>
      <c r="V443" s="65"/>
      <c r="W443" s="65"/>
      <c r="X443" s="65"/>
    </row>
    <row r="444">
      <c r="A444" s="64"/>
      <c r="B444" s="64"/>
      <c r="C444" s="49"/>
      <c r="D444" s="49"/>
      <c r="E444" s="71"/>
      <c r="F444" s="71"/>
      <c r="G444" s="71"/>
      <c r="H444" s="71"/>
      <c r="I444" s="28"/>
      <c r="J444" s="28"/>
      <c r="K444" s="65"/>
      <c r="L444" s="65"/>
      <c r="M444" s="65"/>
      <c r="N444" s="65"/>
      <c r="O444" s="65"/>
      <c r="P444" s="65"/>
      <c r="Q444" s="65"/>
      <c r="R444" s="65"/>
      <c r="S444" s="65"/>
      <c r="T444" s="65"/>
      <c r="U444" s="65"/>
      <c r="V444" s="65"/>
      <c r="W444" s="65"/>
      <c r="X444" s="65"/>
    </row>
    <row r="445">
      <c r="A445" s="64"/>
      <c r="B445" s="64"/>
      <c r="C445" s="49"/>
      <c r="D445" s="49"/>
      <c r="E445" s="71"/>
      <c r="F445" s="71"/>
      <c r="G445" s="71"/>
      <c r="H445" s="71"/>
      <c r="I445" s="28"/>
      <c r="J445" s="28"/>
      <c r="K445" s="65"/>
      <c r="L445" s="65"/>
      <c r="M445" s="65"/>
      <c r="N445" s="65"/>
      <c r="O445" s="65"/>
      <c r="P445" s="65"/>
      <c r="Q445" s="65"/>
      <c r="R445" s="65"/>
      <c r="S445" s="65"/>
      <c r="T445" s="65"/>
      <c r="U445" s="65"/>
      <c r="V445" s="65"/>
      <c r="W445" s="65"/>
      <c r="X445" s="65"/>
    </row>
    <row r="446">
      <c r="A446" s="64"/>
      <c r="B446" s="64"/>
      <c r="C446" s="49"/>
      <c r="D446" s="49"/>
      <c r="E446" s="71"/>
      <c r="F446" s="71"/>
      <c r="G446" s="71"/>
      <c r="H446" s="71"/>
      <c r="I446" s="28"/>
      <c r="J446" s="28"/>
      <c r="K446" s="65"/>
      <c r="L446" s="65"/>
      <c r="M446" s="65"/>
      <c r="N446" s="65"/>
      <c r="O446" s="65"/>
      <c r="P446" s="65"/>
      <c r="Q446" s="65"/>
      <c r="R446" s="65"/>
      <c r="S446" s="65"/>
      <c r="T446" s="65"/>
      <c r="U446" s="65"/>
      <c r="V446" s="65"/>
      <c r="W446" s="65"/>
      <c r="X446" s="65"/>
    </row>
    <row r="447">
      <c r="A447" s="64"/>
      <c r="B447" s="64"/>
      <c r="C447" s="49"/>
      <c r="D447" s="49"/>
      <c r="E447" s="71"/>
      <c r="F447" s="71"/>
      <c r="G447" s="71"/>
      <c r="H447" s="71"/>
      <c r="I447" s="28"/>
      <c r="J447" s="28"/>
      <c r="K447" s="65"/>
      <c r="L447" s="65"/>
      <c r="M447" s="65"/>
      <c r="N447" s="65"/>
      <c r="O447" s="65"/>
      <c r="P447" s="65"/>
      <c r="Q447" s="65"/>
      <c r="R447" s="65"/>
      <c r="S447" s="65"/>
      <c r="T447" s="65"/>
      <c r="U447" s="65"/>
      <c r="V447" s="65"/>
      <c r="W447" s="65"/>
      <c r="X447" s="65"/>
    </row>
    <row r="448">
      <c r="A448" s="64"/>
      <c r="B448" s="64"/>
      <c r="C448" s="49"/>
      <c r="D448" s="49"/>
      <c r="E448" s="71"/>
      <c r="F448" s="71"/>
      <c r="G448" s="71"/>
      <c r="H448" s="71"/>
      <c r="I448" s="28"/>
      <c r="J448" s="28"/>
      <c r="K448" s="65"/>
      <c r="L448" s="65"/>
      <c r="M448" s="65"/>
      <c r="N448" s="65"/>
      <c r="O448" s="65"/>
      <c r="P448" s="65"/>
      <c r="Q448" s="65"/>
      <c r="R448" s="65"/>
      <c r="S448" s="65"/>
      <c r="T448" s="65"/>
      <c r="U448" s="65"/>
      <c r="V448" s="65"/>
      <c r="W448" s="65"/>
      <c r="X448" s="65"/>
    </row>
    <row r="449">
      <c r="A449" s="64"/>
      <c r="B449" s="64"/>
      <c r="C449" s="49"/>
      <c r="D449" s="49"/>
      <c r="E449" s="71"/>
      <c r="F449" s="71"/>
      <c r="G449" s="71"/>
      <c r="H449" s="71"/>
      <c r="I449" s="28"/>
      <c r="J449" s="28"/>
      <c r="K449" s="65"/>
      <c r="L449" s="65"/>
      <c r="M449" s="65"/>
      <c r="N449" s="65"/>
      <c r="O449" s="65"/>
      <c r="P449" s="65"/>
      <c r="Q449" s="65"/>
      <c r="R449" s="65"/>
      <c r="S449" s="65"/>
      <c r="T449" s="65"/>
      <c r="U449" s="65"/>
      <c r="V449" s="65"/>
      <c r="W449" s="65"/>
      <c r="X449" s="65"/>
    </row>
    <row r="450">
      <c r="A450" s="64"/>
      <c r="B450" s="64"/>
      <c r="C450" s="49"/>
      <c r="D450" s="49"/>
      <c r="E450" s="71"/>
      <c r="F450" s="71"/>
      <c r="G450" s="71"/>
      <c r="H450" s="71"/>
      <c r="I450" s="28"/>
      <c r="J450" s="28"/>
      <c r="K450" s="65"/>
      <c r="L450" s="65"/>
      <c r="M450" s="65"/>
      <c r="N450" s="65"/>
      <c r="O450" s="65"/>
      <c r="P450" s="65"/>
      <c r="Q450" s="65"/>
      <c r="R450" s="65"/>
      <c r="S450" s="65"/>
      <c r="T450" s="65"/>
      <c r="U450" s="65"/>
      <c r="V450" s="65"/>
      <c r="W450" s="65"/>
      <c r="X450" s="65"/>
    </row>
    <row r="451">
      <c r="A451" s="64"/>
      <c r="B451" s="64"/>
      <c r="C451" s="49"/>
      <c r="D451" s="49"/>
      <c r="E451" s="71"/>
      <c r="F451" s="71"/>
      <c r="G451" s="71"/>
      <c r="H451" s="71"/>
      <c r="I451" s="28"/>
      <c r="J451" s="28"/>
      <c r="K451" s="65"/>
      <c r="L451" s="65"/>
      <c r="M451" s="65"/>
      <c r="N451" s="65"/>
      <c r="O451" s="65"/>
      <c r="P451" s="65"/>
      <c r="Q451" s="65"/>
      <c r="R451" s="65"/>
      <c r="S451" s="65"/>
      <c r="T451" s="65"/>
      <c r="U451" s="65"/>
      <c r="V451" s="65"/>
      <c r="W451" s="65"/>
      <c r="X451" s="65"/>
    </row>
    <row r="452">
      <c r="A452" s="64"/>
      <c r="B452" s="64"/>
      <c r="C452" s="49"/>
      <c r="D452" s="49"/>
      <c r="E452" s="71"/>
      <c r="F452" s="71"/>
      <c r="G452" s="71"/>
      <c r="H452" s="71"/>
      <c r="I452" s="28"/>
      <c r="J452" s="28"/>
      <c r="K452" s="65"/>
      <c r="L452" s="65"/>
      <c r="M452" s="65"/>
      <c r="N452" s="65"/>
      <c r="O452" s="65"/>
      <c r="P452" s="65"/>
      <c r="Q452" s="65"/>
      <c r="R452" s="65"/>
      <c r="S452" s="65"/>
      <c r="T452" s="65"/>
      <c r="U452" s="65"/>
      <c r="V452" s="65"/>
      <c r="W452" s="65"/>
      <c r="X452" s="65"/>
    </row>
    <row r="453">
      <c r="A453" s="64"/>
      <c r="B453" s="64"/>
      <c r="C453" s="49"/>
      <c r="D453" s="49"/>
      <c r="E453" s="71"/>
      <c r="F453" s="71"/>
      <c r="G453" s="71"/>
      <c r="H453" s="71"/>
      <c r="I453" s="28"/>
      <c r="J453" s="28"/>
      <c r="K453" s="65"/>
      <c r="L453" s="65"/>
      <c r="M453" s="65"/>
      <c r="N453" s="65"/>
      <c r="O453" s="65"/>
      <c r="P453" s="65"/>
      <c r="Q453" s="65"/>
      <c r="R453" s="65"/>
      <c r="S453" s="65"/>
      <c r="T453" s="65"/>
      <c r="U453" s="65"/>
      <c r="V453" s="65"/>
      <c r="W453" s="65"/>
      <c r="X453" s="65"/>
    </row>
    <row r="454">
      <c r="A454" s="64"/>
      <c r="B454" s="64"/>
      <c r="C454" s="49"/>
      <c r="D454" s="49"/>
      <c r="E454" s="71"/>
      <c r="F454" s="71"/>
      <c r="G454" s="71"/>
      <c r="H454" s="71"/>
      <c r="I454" s="28"/>
      <c r="J454" s="28"/>
      <c r="K454" s="65"/>
      <c r="L454" s="65"/>
      <c r="M454" s="65"/>
      <c r="N454" s="65"/>
      <c r="O454" s="65"/>
      <c r="P454" s="65"/>
      <c r="Q454" s="65"/>
      <c r="R454" s="65"/>
      <c r="S454" s="65"/>
      <c r="T454" s="65"/>
      <c r="U454" s="65"/>
      <c r="V454" s="65"/>
      <c r="W454" s="65"/>
      <c r="X454" s="65"/>
    </row>
    <row r="455">
      <c r="A455" s="64"/>
      <c r="B455" s="64"/>
      <c r="C455" s="49"/>
      <c r="D455" s="49"/>
      <c r="E455" s="71"/>
      <c r="F455" s="71"/>
      <c r="G455" s="71"/>
      <c r="H455" s="71"/>
      <c r="I455" s="28"/>
      <c r="J455" s="28"/>
      <c r="K455" s="65"/>
      <c r="L455" s="65"/>
      <c r="M455" s="65"/>
      <c r="N455" s="65"/>
      <c r="O455" s="65"/>
      <c r="P455" s="65"/>
      <c r="Q455" s="65"/>
      <c r="R455" s="65"/>
      <c r="S455" s="65"/>
      <c r="T455" s="65"/>
      <c r="U455" s="65"/>
      <c r="V455" s="65"/>
      <c r="W455" s="65"/>
      <c r="X455" s="65"/>
    </row>
    <row r="456">
      <c r="A456" s="64"/>
      <c r="B456" s="64"/>
      <c r="C456" s="49"/>
      <c r="D456" s="49"/>
      <c r="E456" s="71"/>
      <c r="F456" s="71"/>
      <c r="G456" s="71"/>
      <c r="H456" s="71"/>
      <c r="I456" s="28"/>
      <c r="J456" s="28"/>
      <c r="K456" s="65"/>
      <c r="L456" s="65"/>
      <c r="M456" s="65"/>
      <c r="N456" s="65"/>
      <c r="O456" s="65"/>
      <c r="P456" s="65"/>
      <c r="Q456" s="65"/>
      <c r="R456" s="65"/>
      <c r="S456" s="65"/>
      <c r="T456" s="65"/>
      <c r="U456" s="65"/>
      <c r="V456" s="65"/>
      <c r="W456" s="65"/>
      <c r="X456" s="65"/>
    </row>
    <row r="457">
      <c r="A457" s="64"/>
      <c r="B457" s="64"/>
      <c r="C457" s="49"/>
      <c r="D457" s="49"/>
      <c r="E457" s="71"/>
      <c r="F457" s="71"/>
      <c r="G457" s="71"/>
      <c r="H457" s="71"/>
      <c r="I457" s="28"/>
      <c r="J457" s="28"/>
      <c r="K457" s="65"/>
      <c r="L457" s="65"/>
      <c r="M457" s="65"/>
      <c r="N457" s="65"/>
      <c r="O457" s="65"/>
      <c r="P457" s="65"/>
      <c r="Q457" s="65"/>
      <c r="R457" s="65"/>
      <c r="S457" s="65"/>
      <c r="T457" s="65"/>
      <c r="U457" s="65"/>
      <c r="V457" s="65"/>
      <c r="W457" s="65"/>
      <c r="X457" s="65"/>
    </row>
    <row r="458">
      <c r="A458" s="64"/>
      <c r="B458" s="64"/>
      <c r="C458" s="49"/>
      <c r="D458" s="49"/>
      <c r="E458" s="71"/>
      <c r="F458" s="71"/>
      <c r="G458" s="71"/>
      <c r="H458" s="71"/>
      <c r="I458" s="28"/>
      <c r="J458" s="28"/>
      <c r="K458" s="65"/>
      <c r="L458" s="65"/>
      <c r="M458" s="65"/>
      <c r="N458" s="65"/>
      <c r="O458" s="65"/>
      <c r="P458" s="65"/>
      <c r="Q458" s="65"/>
      <c r="R458" s="65"/>
      <c r="S458" s="65"/>
      <c r="T458" s="65"/>
      <c r="U458" s="65"/>
      <c r="V458" s="65"/>
      <c r="W458" s="65"/>
      <c r="X458" s="65"/>
    </row>
    <row r="459">
      <c r="A459" s="64"/>
      <c r="B459" s="64"/>
      <c r="C459" s="49"/>
      <c r="D459" s="49"/>
      <c r="E459" s="71"/>
      <c r="F459" s="71"/>
      <c r="G459" s="71"/>
      <c r="H459" s="71"/>
      <c r="I459" s="28"/>
      <c r="J459" s="28"/>
      <c r="K459" s="65"/>
      <c r="L459" s="65"/>
      <c r="M459" s="65"/>
      <c r="N459" s="65"/>
      <c r="O459" s="65"/>
      <c r="P459" s="65"/>
      <c r="Q459" s="65"/>
      <c r="R459" s="65"/>
      <c r="S459" s="65"/>
      <c r="T459" s="65"/>
      <c r="U459" s="65"/>
      <c r="V459" s="65"/>
      <c r="W459" s="65"/>
      <c r="X459" s="65"/>
    </row>
    <row r="460">
      <c r="A460" s="64"/>
      <c r="B460" s="64"/>
      <c r="C460" s="49"/>
      <c r="D460" s="49"/>
      <c r="E460" s="71"/>
      <c r="F460" s="71"/>
      <c r="G460" s="71"/>
      <c r="H460" s="71"/>
      <c r="I460" s="28"/>
      <c r="J460" s="28"/>
      <c r="K460" s="65"/>
      <c r="L460" s="65"/>
      <c r="M460" s="65"/>
      <c r="N460" s="65"/>
      <c r="O460" s="65"/>
      <c r="P460" s="65"/>
      <c r="Q460" s="65"/>
      <c r="R460" s="65"/>
      <c r="S460" s="65"/>
      <c r="T460" s="65"/>
      <c r="U460" s="65"/>
      <c r="V460" s="65"/>
      <c r="W460" s="65"/>
      <c r="X460" s="65"/>
    </row>
    <row r="461">
      <c r="A461" s="64"/>
      <c r="B461" s="64"/>
      <c r="C461" s="49"/>
      <c r="D461" s="49"/>
      <c r="E461" s="71"/>
      <c r="F461" s="71"/>
      <c r="G461" s="71"/>
      <c r="H461" s="71"/>
      <c r="I461" s="28"/>
      <c r="J461" s="28"/>
      <c r="K461" s="65"/>
      <c r="L461" s="65"/>
      <c r="M461" s="65"/>
      <c r="N461" s="65"/>
      <c r="O461" s="65"/>
      <c r="P461" s="65"/>
      <c r="Q461" s="65"/>
      <c r="R461" s="65"/>
      <c r="S461" s="65"/>
      <c r="T461" s="65"/>
      <c r="U461" s="65"/>
      <c r="V461" s="65"/>
      <c r="W461" s="65"/>
      <c r="X461" s="65"/>
    </row>
    <row r="462">
      <c r="A462" s="64"/>
      <c r="B462" s="64"/>
      <c r="C462" s="49"/>
      <c r="D462" s="49"/>
      <c r="E462" s="71"/>
      <c r="F462" s="71"/>
      <c r="G462" s="71"/>
      <c r="H462" s="71"/>
      <c r="I462" s="28"/>
      <c r="J462" s="28"/>
      <c r="K462" s="65"/>
      <c r="L462" s="65"/>
      <c r="M462" s="65"/>
      <c r="N462" s="65"/>
      <c r="O462" s="65"/>
      <c r="P462" s="65"/>
      <c r="Q462" s="65"/>
      <c r="R462" s="65"/>
      <c r="S462" s="65"/>
      <c r="T462" s="65"/>
      <c r="U462" s="65"/>
      <c r="V462" s="65"/>
      <c r="W462" s="65"/>
      <c r="X462" s="65"/>
    </row>
    <row r="463">
      <c r="A463" s="64"/>
      <c r="B463" s="64"/>
      <c r="C463" s="49"/>
      <c r="D463" s="49"/>
      <c r="E463" s="71"/>
      <c r="F463" s="71"/>
      <c r="G463" s="71"/>
      <c r="H463" s="71"/>
      <c r="I463" s="28"/>
      <c r="J463" s="28"/>
      <c r="K463" s="65"/>
      <c r="L463" s="65"/>
      <c r="M463" s="65"/>
      <c r="N463" s="65"/>
      <c r="O463" s="65"/>
      <c r="P463" s="65"/>
      <c r="Q463" s="65"/>
      <c r="R463" s="65"/>
      <c r="S463" s="65"/>
      <c r="T463" s="65"/>
      <c r="U463" s="65"/>
      <c r="V463" s="65"/>
      <c r="W463" s="65"/>
      <c r="X463" s="65"/>
    </row>
    <row r="464">
      <c r="A464" s="64"/>
      <c r="B464" s="64"/>
      <c r="C464" s="49"/>
      <c r="D464" s="49"/>
      <c r="E464" s="71"/>
      <c r="F464" s="71"/>
      <c r="G464" s="71"/>
      <c r="H464" s="71"/>
      <c r="I464" s="28"/>
      <c r="J464" s="28"/>
      <c r="K464" s="65"/>
      <c r="L464" s="65"/>
      <c r="M464" s="65"/>
      <c r="N464" s="65"/>
      <c r="O464" s="65"/>
      <c r="P464" s="65"/>
      <c r="Q464" s="65"/>
      <c r="R464" s="65"/>
      <c r="S464" s="65"/>
      <c r="T464" s="65"/>
      <c r="U464" s="65"/>
      <c r="V464" s="65"/>
      <c r="W464" s="65"/>
      <c r="X464" s="65"/>
    </row>
    <row r="465">
      <c r="A465" s="64"/>
      <c r="B465" s="64"/>
      <c r="C465" s="49"/>
      <c r="D465" s="49"/>
      <c r="E465" s="71"/>
      <c r="F465" s="71"/>
      <c r="G465" s="71"/>
      <c r="H465" s="71"/>
      <c r="I465" s="28"/>
      <c r="J465" s="28"/>
      <c r="K465" s="65"/>
      <c r="L465" s="65"/>
      <c r="M465" s="65"/>
      <c r="N465" s="65"/>
      <c r="O465" s="65"/>
      <c r="P465" s="65"/>
      <c r="Q465" s="65"/>
      <c r="R465" s="65"/>
      <c r="S465" s="65"/>
      <c r="T465" s="65"/>
      <c r="U465" s="65"/>
      <c r="V465" s="65"/>
      <c r="W465" s="65"/>
      <c r="X465" s="65"/>
    </row>
    <row r="466">
      <c r="A466" s="64"/>
      <c r="B466" s="64"/>
      <c r="C466" s="49"/>
      <c r="D466" s="49"/>
      <c r="E466" s="71"/>
      <c r="F466" s="71"/>
      <c r="G466" s="71"/>
      <c r="H466" s="71"/>
      <c r="I466" s="28"/>
      <c r="J466" s="28"/>
      <c r="K466" s="65"/>
      <c r="L466" s="65"/>
      <c r="M466" s="65"/>
      <c r="N466" s="65"/>
      <c r="O466" s="65"/>
      <c r="P466" s="65"/>
      <c r="Q466" s="65"/>
      <c r="R466" s="65"/>
      <c r="S466" s="65"/>
      <c r="T466" s="65"/>
      <c r="U466" s="65"/>
      <c r="V466" s="65"/>
      <c r="W466" s="65"/>
      <c r="X466" s="65"/>
    </row>
    <row r="467">
      <c r="A467" s="64"/>
      <c r="B467" s="64"/>
      <c r="C467" s="49"/>
      <c r="D467" s="49"/>
      <c r="E467" s="71"/>
      <c r="F467" s="71"/>
      <c r="G467" s="71"/>
      <c r="H467" s="71"/>
      <c r="I467" s="28"/>
      <c r="J467" s="28"/>
      <c r="K467" s="65"/>
      <c r="L467" s="65"/>
      <c r="M467" s="65"/>
      <c r="N467" s="65"/>
      <c r="O467" s="65"/>
      <c r="P467" s="65"/>
      <c r="Q467" s="65"/>
      <c r="R467" s="65"/>
      <c r="S467" s="65"/>
      <c r="T467" s="65"/>
      <c r="U467" s="65"/>
      <c r="V467" s="65"/>
      <c r="W467" s="65"/>
      <c r="X467" s="65"/>
    </row>
    <row r="468">
      <c r="A468" s="64"/>
      <c r="B468" s="64"/>
      <c r="C468" s="49"/>
      <c r="D468" s="49"/>
      <c r="E468" s="71"/>
      <c r="F468" s="71"/>
      <c r="G468" s="71"/>
      <c r="H468" s="71"/>
      <c r="I468" s="28"/>
      <c r="J468" s="28"/>
      <c r="K468" s="65"/>
      <c r="L468" s="65"/>
      <c r="M468" s="65"/>
      <c r="N468" s="65"/>
      <c r="O468" s="65"/>
      <c r="P468" s="65"/>
      <c r="Q468" s="65"/>
      <c r="R468" s="65"/>
      <c r="S468" s="65"/>
      <c r="T468" s="65"/>
      <c r="U468" s="65"/>
      <c r="V468" s="65"/>
      <c r="W468" s="65"/>
      <c r="X468" s="65"/>
    </row>
    <row r="469">
      <c r="A469" s="64"/>
      <c r="B469" s="64"/>
      <c r="C469" s="49"/>
      <c r="D469" s="49"/>
      <c r="E469" s="71"/>
      <c r="F469" s="71"/>
      <c r="G469" s="71"/>
      <c r="H469" s="71"/>
      <c r="I469" s="28"/>
      <c r="J469" s="28"/>
      <c r="K469" s="65"/>
      <c r="L469" s="65"/>
      <c r="M469" s="65"/>
      <c r="N469" s="65"/>
      <c r="O469" s="65"/>
      <c r="P469" s="65"/>
      <c r="Q469" s="65"/>
      <c r="R469" s="65"/>
      <c r="S469" s="65"/>
      <c r="T469" s="65"/>
      <c r="U469" s="65"/>
      <c r="V469" s="65"/>
      <c r="W469" s="65"/>
      <c r="X469" s="65"/>
    </row>
    <row r="470">
      <c r="A470" s="64"/>
      <c r="B470" s="64"/>
      <c r="C470" s="49"/>
      <c r="D470" s="49"/>
      <c r="E470" s="71"/>
      <c r="F470" s="71"/>
      <c r="G470" s="71"/>
      <c r="H470" s="71"/>
      <c r="I470" s="28"/>
      <c r="J470" s="28"/>
      <c r="K470" s="65"/>
      <c r="L470" s="65"/>
      <c r="M470" s="65"/>
      <c r="N470" s="65"/>
      <c r="O470" s="65"/>
      <c r="P470" s="65"/>
      <c r="Q470" s="65"/>
      <c r="R470" s="65"/>
      <c r="S470" s="65"/>
      <c r="T470" s="65"/>
      <c r="U470" s="65"/>
      <c r="V470" s="65"/>
      <c r="W470" s="65"/>
      <c r="X470" s="65"/>
    </row>
    <row r="471">
      <c r="A471" s="64"/>
      <c r="B471" s="64"/>
      <c r="C471" s="49"/>
      <c r="D471" s="49"/>
      <c r="E471" s="71"/>
      <c r="F471" s="71"/>
      <c r="G471" s="71"/>
      <c r="H471" s="71"/>
      <c r="I471" s="28"/>
      <c r="J471" s="28"/>
      <c r="K471" s="65"/>
      <c r="L471" s="65"/>
      <c r="M471" s="65"/>
      <c r="N471" s="65"/>
      <c r="O471" s="65"/>
      <c r="P471" s="65"/>
      <c r="Q471" s="65"/>
      <c r="R471" s="65"/>
      <c r="S471" s="65"/>
      <c r="T471" s="65"/>
      <c r="U471" s="65"/>
      <c r="V471" s="65"/>
      <c r="W471" s="65"/>
      <c r="X471" s="65"/>
    </row>
    <row r="472">
      <c r="A472" s="64"/>
      <c r="B472" s="64"/>
      <c r="C472" s="49"/>
      <c r="D472" s="49"/>
      <c r="E472" s="71"/>
      <c r="F472" s="71"/>
      <c r="G472" s="71"/>
      <c r="H472" s="71"/>
      <c r="I472" s="28"/>
      <c r="J472" s="28"/>
      <c r="K472" s="65"/>
      <c r="L472" s="65"/>
      <c r="M472" s="65"/>
      <c r="N472" s="65"/>
      <c r="O472" s="65"/>
      <c r="P472" s="65"/>
      <c r="Q472" s="65"/>
      <c r="R472" s="65"/>
      <c r="S472" s="65"/>
      <c r="T472" s="65"/>
      <c r="U472" s="65"/>
      <c r="V472" s="65"/>
      <c r="W472" s="65"/>
      <c r="X472" s="65"/>
    </row>
    <row r="473">
      <c r="A473" s="64"/>
      <c r="B473" s="64"/>
      <c r="C473" s="49"/>
      <c r="D473" s="49"/>
      <c r="E473" s="71"/>
      <c r="F473" s="71"/>
      <c r="G473" s="71"/>
      <c r="H473" s="71"/>
      <c r="I473" s="28"/>
      <c r="J473" s="28"/>
      <c r="K473" s="65"/>
      <c r="L473" s="65"/>
      <c r="M473" s="65"/>
      <c r="N473" s="65"/>
      <c r="O473" s="65"/>
      <c r="P473" s="65"/>
      <c r="Q473" s="65"/>
      <c r="R473" s="65"/>
      <c r="S473" s="65"/>
      <c r="T473" s="65"/>
      <c r="U473" s="65"/>
      <c r="V473" s="65"/>
      <c r="W473" s="65"/>
      <c r="X473" s="65"/>
    </row>
    <row r="474">
      <c r="A474" s="64"/>
      <c r="B474" s="64"/>
      <c r="C474" s="49"/>
      <c r="D474" s="49"/>
      <c r="E474" s="71"/>
      <c r="F474" s="71"/>
      <c r="G474" s="71"/>
      <c r="H474" s="71"/>
      <c r="I474" s="28"/>
      <c r="J474" s="28"/>
      <c r="K474" s="65"/>
      <c r="L474" s="65"/>
      <c r="M474" s="65"/>
      <c r="N474" s="65"/>
      <c r="O474" s="65"/>
      <c r="P474" s="65"/>
      <c r="Q474" s="65"/>
      <c r="R474" s="65"/>
      <c r="S474" s="65"/>
      <c r="T474" s="65"/>
      <c r="U474" s="65"/>
      <c r="V474" s="65"/>
      <c r="W474" s="65"/>
      <c r="X474" s="65"/>
    </row>
    <row r="475">
      <c r="A475" s="64"/>
      <c r="B475" s="64"/>
      <c r="C475" s="49"/>
      <c r="D475" s="49"/>
      <c r="E475" s="71"/>
      <c r="F475" s="71"/>
      <c r="G475" s="71"/>
      <c r="H475" s="71"/>
      <c r="I475" s="28"/>
      <c r="J475" s="28"/>
      <c r="K475" s="65"/>
      <c r="L475" s="65"/>
      <c r="M475" s="65"/>
      <c r="N475" s="65"/>
      <c r="O475" s="65"/>
      <c r="P475" s="65"/>
      <c r="Q475" s="65"/>
      <c r="R475" s="65"/>
      <c r="S475" s="65"/>
      <c r="T475" s="65"/>
      <c r="U475" s="65"/>
      <c r="V475" s="65"/>
      <c r="W475" s="65"/>
      <c r="X475" s="65"/>
    </row>
    <row r="476">
      <c r="A476" s="64"/>
      <c r="B476" s="64"/>
      <c r="C476" s="49"/>
      <c r="D476" s="49"/>
      <c r="E476" s="71"/>
      <c r="F476" s="71"/>
      <c r="G476" s="71"/>
      <c r="H476" s="71"/>
      <c r="I476" s="28"/>
      <c r="J476" s="28"/>
      <c r="K476" s="65"/>
      <c r="L476" s="65"/>
      <c r="M476" s="65"/>
      <c r="N476" s="65"/>
      <c r="O476" s="65"/>
      <c r="P476" s="65"/>
      <c r="Q476" s="65"/>
      <c r="R476" s="65"/>
      <c r="S476" s="65"/>
      <c r="T476" s="65"/>
      <c r="U476" s="65"/>
      <c r="V476" s="65"/>
      <c r="W476" s="65"/>
      <c r="X476" s="65"/>
    </row>
    <row r="477">
      <c r="A477" s="64"/>
      <c r="B477" s="64"/>
      <c r="C477" s="49"/>
      <c r="D477" s="49"/>
      <c r="E477" s="71"/>
      <c r="F477" s="71"/>
      <c r="G477" s="71"/>
      <c r="H477" s="71"/>
      <c r="I477" s="28"/>
      <c r="J477" s="28"/>
      <c r="K477" s="65"/>
      <c r="L477" s="65"/>
      <c r="M477" s="65"/>
      <c r="N477" s="65"/>
      <c r="O477" s="65"/>
      <c r="P477" s="65"/>
      <c r="Q477" s="65"/>
      <c r="R477" s="65"/>
      <c r="S477" s="65"/>
      <c r="T477" s="65"/>
      <c r="U477" s="65"/>
      <c r="V477" s="65"/>
      <c r="W477" s="65"/>
      <c r="X477" s="65"/>
    </row>
    <row r="478">
      <c r="A478" s="64"/>
      <c r="B478" s="64"/>
      <c r="C478" s="49"/>
      <c r="D478" s="49"/>
      <c r="E478" s="71"/>
      <c r="F478" s="71"/>
      <c r="G478" s="71"/>
      <c r="H478" s="71"/>
      <c r="I478" s="28"/>
      <c r="J478" s="28"/>
      <c r="K478" s="65"/>
      <c r="L478" s="65"/>
      <c r="M478" s="65"/>
      <c r="N478" s="65"/>
      <c r="O478" s="65"/>
      <c r="P478" s="65"/>
      <c r="Q478" s="65"/>
      <c r="R478" s="65"/>
      <c r="S478" s="65"/>
      <c r="T478" s="65"/>
      <c r="U478" s="65"/>
      <c r="V478" s="65"/>
      <c r="W478" s="65"/>
      <c r="X478" s="65"/>
    </row>
    <row r="479">
      <c r="A479" s="64"/>
      <c r="B479" s="64"/>
      <c r="C479" s="49"/>
      <c r="D479" s="49"/>
      <c r="E479" s="71"/>
      <c r="F479" s="71"/>
      <c r="G479" s="71"/>
      <c r="H479" s="71"/>
      <c r="I479" s="28"/>
      <c r="J479" s="28"/>
      <c r="K479" s="65"/>
      <c r="L479" s="65"/>
      <c r="M479" s="65"/>
      <c r="N479" s="65"/>
      <c r="O479" s="65"/>
      <c r="P479" s="65"/>
      <c r="Q479" s="65"/>
      <c r="R479" s="65"/>
      <c r="S479" s="65"/>
      <c r="T479" s="65"/>
      <c r="U479" s="65"/>
      <c r="V479" s="65"/>
      <c r="W479" s="65"/>
      <c r="X479" s="65"/>
    </row>
    <row r="480">
      <c r="A480" s="64"/>
      <c r="B480" s="64"/>
      <c r="C480" s="49"/>
      <c r="D480" s="49"/>
      <c r="E480" s="71"/>
      <c r="F480" s="71"/>
      <c r="G480" s="71"/>
      <c r="H480" s="71"/>
      <c r="I480" s="28"/>
      <c r="J480" s="28"/>
      <c r="K480" s="65"/>
      <c r="L480" s="65"/>
      <c r="M480" s="65"/>
      <c r="N480" s="65"/>
      <c r="O480" s="65"/>
      <c r="P480" s="65"/>
      <c r="Q480" s="65"/>
      <c r="R480" s="65"/>
      <c r="S480" s="65"/>
      <c r="T480" s="65"/>
      <c r="U480" s="65"/>
      <c r="V480" s="65"/>
      <c r="W480" s="65"/>
      <c r="X480" s="65"/>
    </row>
    <row r="481">
      <c r="A481" s="64"/>
      <c r="B481" s="64"/>
      <c r="C481" s="49"/>
      <c r="D481" s="49"/>
      <c r="E481" s="71"/>
      <c r="F481" s="71"/>
      <c r="G481" s="71"/>
      <c r="H481" s="71"/>
      <c r="I481" s="28"/>
      <c r="J481" s="28"/>
      <c r="K481" s="65"/>
      <c r="L481" s="65"/>
      <c r="M481" s="65"/>
      <c r="N481" s="65"/>
      <c r="O481" s="65"/>
      <c r="P481" s="65"/>
      <c r="Q481" s="65"/>
      <c r="R481" s="65"/>
      <c r="S481" s="65"/>
      <c r="T481" s="65"/>
      <c r="U481" s="65"/>
      <c r="V481" s="65"/>
      <c r="W481" s="65"/>
      <c r="X481" s="65"/>
    </row>
    <row r="482">
      <c r="A482" s="64"/>
      <c r="B482" s="64"/>
      <c r="C482" s="49"/>
      <c r="D482" s="49"/>
      <c r="E482" s="71"/>
      <c r="F482" s="71"/>
      <c r="G482" s="71"/>
      <c r="H482" s="71"/>
      <c r="I482" s="28"/>
      <c r="J482" s="28"/>
      <c r="K482" s="65"/>
      <c r="L482" s="65"/>
      <c r="M482" s="65"/>
      <c r="N482" s="65"/>
      <c r="O482" s="65"/>
      <c r="P482" s="65"/>
      <c r="Q482" s="65"/>
      <c r="R482" s="65"/>
      <c r="S482" s="65"/>
      <c r="T482" s="65"/>
      <c r="U482" s="65"/>
      <c r="V482" s="65"/>
      <c r="W482" s="65"/>
      <c r="X482" s="65"/>
    </row>
    <row r="483">
      <c r="A483" s="64"/>
      <c r="B483" s="64"/>
      <c r="C483" s="49"/>
      <c r="D483" s="49"/>
      <c r="E483" s="71"/>
      <c r="F483" s="71"/>
      <c r="G483" s="71"/>
      <c r="H483" s="71"/>
      <c r="I483" s="28"/>
      <c r="J483" s="28"/>
      <c r="K483" s="65"/>
      <c r="L483" s="65"/>
      <c r="M483" s="65"/>
      <c r="N483" s="65"/>
      <c r="O483" s="65"/>
      <c r="P483" s="65"/>
      <c r="Q483" s="65"/>
      <c r="R483" s="65"/>
      <c r="S483" s="65"/>
      <c r="T483" s="65"/>
      <c r="U483" s="65"/>
      <c r="V483" s="65"/>
      <c r="W483" s="65"/>
      <c r="X483" s="65"/>
    </row>
    <row r="484">
      <c r="A484" s="64"/>
      <c r="B484" s="64"/>
      <c r="C484" s="49"/>
      <c r="D484" s="49"/>
      <c r="E484" s="71"/>
      <c r="F484" s="71"/>
      <c r="G484" s="71"/>
      <c r="H484" s="71"/>
      <c r="I484" s="28"/>
      <c r="J484" s="28"/>
      <c r="K484" s="65"/>
      <c r="L484" s="65"/>
      <c r="M484" s="65"/>
      <c r="N484" s="65"/>
      <c r="O484" s="65"/>
      <c r="P484" s="65"/>
      <c r="Q484" s="65"/>
      <c r="R484" s="65"/>
      <c r="S484" s="65"/>
      <c r="T484" s="65"/>
      <c r="U484" s="65"/>
      <c r="V484" s="65"/>
      <c r="W484" s="65"/>
      <c r="X484" s="65"/>
    </row>
    <row r="485">
      <c r="A485" s="64"/>
      <c r="B485" s="64"/>
      <c r="C485" s="49"/>
      <c r="D485" s="49"/>
      <c r="E485" s="71"/>
      <c r="F485" s="71"/>
      <c r="G485" s="71"/>
      <c r="H485" s="71"/>
      <c r="I485" s="28"/>
      <c r="J485" s="28"/>
      <c r="K485" s="65"/>
      <c r="L485" s="65"/>
      <c r="M485" s="65"/>
      <c r="N485" s="65"/>
      <c r="O485" s="65"/>
      <c r="P485" s="65"/>
      <c r="Q485" s="65"/>
      <c r="R485" s="65"/>
      <c r="S485" s="65"/>
      <c r="T485" s="65"/>
      <c r="U485" s="65"/>
      <c r="V485" s="65"/>
      <c r="W485" s="65"/>
      <c r="X485" s="65"/>
    </row>
    <row r="486">
      <c r="A486" s="64"/>
      <c r="B486" s="64"/>
      <c r="C486" s="49"/>
      <c r="D486" s="49"/>
      <c r="E486" s="71"/>
      <c r="F486" s="71"/>
      <c r="G486" s="71"/>
      <c r="H486" s="71"/>
      <c r="I486" s="28"/>
      <c r="J486" s="28"/>
      <c r="K486" s="65"/>
      <c r="L486" s="65"/>
      <c r="M486" s="65"/>
      <c r="N486" s="65"/>
      <c r="O486" s="65"/>
      <c r="P486" s="65"/>
      <c r="Q486" s="65"/>
      <c r="R486" s="65"/>
      <c r="S486" s="65"/>
      <c r="T486" s="65"/>
      <c r="U486" s="65"/>
      <c r="V486" s="65"/>
      <c r="W486" s="65"/>
      <c r="X486" s="65"/>
    </row>
    <row r="487">
      <c r="A487" s="64"/>
      <c r="B487" s="64"/>
      <c r="C487" s="49"/>
      <c r="D487" s="49"/>
      <c r="E487" s="71"/>
      <c r="F487" s="71"/>
      <c r="G487" s="71"/>
      <c r="H487" s="71"/>
      <c r="I487" s="28"/>
      <c r="J487" s="28"/>
      <c r="K487" s="65"/>
      <c r="L487" s="65"/>
      <c r="M487" s="65"/>
      <c r="N487" s="65"/>
      <c r="O487" s="65"/>
      <c r="P487" s="65"/>
      <c r="Q487" s="65"/>
      <c r="R487" s="65"/>
      <c r="S487" s="65"/>
      <c r="T487" s="65"/>
      <c r="U487" s="65"/>
      <c r="V487" s="65"/>
      <c r="W487" s="65"/>
      <c r="X487" s="65"/>
    </row>
    <row r="488">
      <c r="A488" s="64"/>
      <c r="B488" s="64"/>
      <c r="C488" s="49"/>
      <c r="D488" s="49"/>
      <c r="E488" s="71"/>
      <c r="F488" s="71"/>
      <c r="G488" s="71"/>
      <c r="H488" s="71"/>
      <c r="I488" s="28"/>
      <c r="J488" s="28"/>
      <c r="K488" s="65"/>
      <c r="L488" s="65"/>
      <c r="M488" s="65"/>
      <c r="N488" s="65"/>
      <c r="O488" s="65"/>
      <c r="P488" s="65"/>
      <c r="Q488" s="65"/>
      <c r="R488" s="65"/>
      <c r="S488" s="65"/>
      <c r="T488" s="65"/>
      <c r="U488" s="65"/>
      <c r="V488" s="65"/>
      <c r="W488" s="65"/>
      <c r="X488" s="65"/>
    </row>
    <row r="489">
      <c r="A489" s="64"/>
      <c r="B489" s="64"/>
      <c r="C489" s="49"/>
      <c r="D489" s="49"/>
      <c r="E489" s="71"/>
      <c r="F489" s="71"/>
      <c r="G489" s="71"/>
      <c r="H489" s="71"/>
      <c r="I489" s="28"/>
      <c r="J489" s="28"/>
      <c r="K489" s="65"/>
      <c r="L489" s="65"/>
      <c r="M489" s="65"/>
      <c r="N489" s="65"/>
      <c r="O489" s="65"/>
      <c r="P489" s="65"/>
      <c r="Q489" s="65"/>
      <c r="R489" s="65"/>
      <c r="S489" s="65"/>
      <c r="T489" s="65"/>
      <c r="U489" s="65"/>
      <c r="V489" s="65"/>
      <c r="W489" s="65"/>
      <c r="X489" s="65"/>
    </row>
    <row r="490">
      <c r="A490" s="64"/>
      <c r="B490" s="64"/>
      <c r="C490" s="49"/>
      <c r="D490" s="49"/>
      <c r="E490" s="71"/>
      <c r="F490" s="71"/>
      <c r="G490" s="71"/>
      <c r="H490" s="71"/>
      <c r="I490" s="28"/>
      <c r="J490" s="28"/>
      <c r="K490" s="65"/>
      <c r="L490" s="65"/>
      <c r="M490" s="65"/>
      <c r="N490" s="65"/>
      <c r="O490" s="65"/>
      <c r="P490" s="65"/>
      <c r="Q490" s="65"/>
      <c r="R490" s="65"/>
      <c r="S490" s="65"/>
      <c r="T490" s="65"/>
      <c r="U490" s="65"/>
      <c r="V490" s="65"/>
      <c r="W490" s="65"/>
      <c r="X490" s="65"/>
    </row>
    <row r="491">
      <c r="A491" s="64"/>
      <c r="B491" s="64"/>
      <c r="C491" s="49"/>
      <c r="D491" s="49"/>
      <c r="E491" s="71"/>
      <c r="F491" s="71"/>
      <c r="G491" s="71"/>
      <c r="H491" s="71"/>
      <c r="I491" s="28"/>
      <c r="J491" s="28"/>
      <c r="K491" s="65"/>
      <c r="L491" s="65"/>
      <c r="M491" s="65"/>
      <c r="N491" s="65"/>
      <c r="O491" s="65"/>
      <c r="P491" s="65"/>
      <c r="Q491" s="65"/>
      <c r="R491" s="65"/>
      <c r="S491" s="65"/>
      <c r="T491" s="65"/>
      <c r="U491" s="65"/>
      <c r="V491" s="65"/>
      <c r="W491" s="65"/>
      <c r="X491" s="65"/>
    </row>
    <row r="492">
      <c r="A492" s="64"/>
      <c r="B492" s="64"/>
      <c r="C492" s="49"/>
      <c r="D492" s="49"/>
      <c r="E492" s="71"/>
      <c r="F492" s="71"/>
      <c r="G492" s="71"/>
      <c r="H492" s="71"/>
      <c r="I492" s="28"/>
      <c r="J492" s="28"/>
      <c r="K492" s="65"/>
      <c r="L492" s="65"/>
      <c r="M492" s="65"/>
      <c r="N492" s="65"/>
      <c r="O492" s="65"/>
      <c r="P492" s="65"/>
      <c r="Q492" s="65"/>
      <c r="R492" s="65"/>
      <c r="S492" s="65"/>
      <c r="T492" s="65"/>
      <c r="U492" s="65"/>
      <c r="V492" s="65"/>
      <c r="W492" s="65"/>
      <c r="X492" s="65"/>
    </row>
    <row r="493">
      <c r="A493" s="64"/>
      <c r="B493" s="64"/>
      <c r="C493" s="49"/>
      <c r="D493" s="49"/>
      <c r="E493" s="71"/>
      <c r="F493" s="71"/>
      <c r="G493" s="71"/>
      <c r="H493" s="71"/>
      <c r="I493" s="28"/>
      <c r="J493" s="28"/>
      <c r="K493" s="65"/>
      <c r="L493" s="65"/>
      <c r="M493" s="65"/>
      <c r="N493" s="65"/>
      <c r="O493" s="65"/>
      <c r="P493" s="65"/>
      <c r="Q493" s="65"/>
      <c r="R493" s="65"/>
      <c r="S493" s="65"/>
      <c r="T493" s="65"/>
      <c r="U493" s="65"/>
      <c r="V493" s="65"/>
      <c r="W493" s="65"/>
      <c r="X493" s="65"/>
    </row>
    <row r="494">
      <c r="A494" s="64"/>
      <c r="B494" s="64"/>
      <c r="C494" s="49"/>
      <c r="D494" s="49"/>
      <c r="E494" s="71"/>
      <c r="F494" s="71"/>
      <c r="G494" s="71"/>
      <c r="H494" s="71"/>
      <c r="I494" s="28"/>
      <c r="J494" s="28"/>
      <c r="K494" s="65"/>
      <c r="L494" s="65"/>
      <c r="M494" s="65"/>
      <c r="N494" s="65"/>
      <c r="O494" s="65"/>
      <c r="P494" s="65"/>
      <c r="Q494" s="65"/>
      <c r="R494" s="65"/>
      <c r="S494" s="65"/>
      <c r="T494" s="65"/>
      <c r="U494" s="65"/>
      <c r="V494" s="65"/>
      <c r="W494" s="65"/>
      <c r="X494" s="65"/>
    </row>
    <row r="495">
      <c r="A495" s="64"/>
      <c r="B495" s="64"/>
      <c r="C495" s="49"/>
      <c r="D495" s="49"/>
      <c r="E495" s="71"/>
      <c r="F495" s="71"/>
      <c r="G495" s="71"/>
      <c r="H495" s="71"/>
      <c r="I495" s="28"/>
      <c r="J495" s="28"/>
      <c r="K495" s="65"/>
      <c r="L495" s="65"/>
      <c r="M495" s="65"/>
      <c r="N495" s="65"/>
      <c r="O495" s="65"/>
      <c r="P495" s="65"/>
      <c r="Q495" s="65"/>
      <c r="R495" s="65"/>
      <c r="S495" s="65"/>
      <c r="T495" s="65"/>
      <c r="U495" s="65"/>
      <c r="V495" s="65"/>
      <c r="W495" s="65"/>
      <c r="X495" s="65"/>
    </row>
    <row r="496">
      <c r="A496" s="64"/>
      <c r="B496" s="64"/>
      <c r="C496" s="49"/>
      <c r="D496" s="49"/>
      <c r="E496" s="71"/>
      <c r="F496" s="71"/>
      <c r="G496" s="71"/>
      <c r="H496" s="71"/>
      <c r="I496" s="28"/>
      <c r="J496" s="28"/>
      <c r="K496" s="65"/>
      <c r="L496" s="65"/>
      <c r="M496" s="65"/>
      <c r="N496" s="65"/>
      <c r="O496" s="65"/>
      <c r="P496" s="65"/>
      <c r="Q496" s="65"/>
      <c r="R496" s="65"/>
      <c r="S496" s="65"/>
      <c r="T496" s="65"/>
      <c r="U496" s="65"/>
      <c r="V496" s="65"/>
      <c r="W496" s="65"/>
      <c r="X496" s="65"/>
    </row>
    <row r="497">
      <c r="A497" s="64"/>
      <c r="B497" s="64"/>
      <c r="C497" s="49"/>
      <c r="D497" s="49"/>
      <c r="E497" s="71"/>
      <c r="F497" s="71"/>
      <c r="G497" s="71"/>
      <c r="H497" s="71"/>
      <c r="I497" s="28"/>
      <c r="J497" s="28"/>
      <c r="K497" s="65"/>
      <c r="L497" s="65"/>
      <c r="M497" s="65"/>
      <c r="N497" s="65"/>
      <c r="O497" s="65"/>
      <c r="P497" s="65"/>
      <c r="Q497" s="65"/>
      <c r="R497" s="65"/>
      <c r="S497" s="65"/>
      <c r="T497" s="65"/>
      <c r="U497" s="65"/>
      <c r="V497" s="65"/>
      <c r="W497" s="65"/>
      <c r="X497" s="65"/>
    </row>
    <row r="498">
      <c r="A498" s="64"/>
      <c r="B498" s="64"/>
      <c r="C498" s="49"/>
      <c r="D498" s="49"/>
      <c r="E498" s="71"/>
      <c r="F498" s="71"/>
      <c r="G498" s="71"/>
      <c r="H498" s="71"/>
      <c r="I498" s="28"/>
      <c r="J498" s="28"/>
      <c r="K498" s="65"/>
      <c r="L498" s="65"/>
      <c r="M498" s="65"/>
      <c r="N498" s="65"/>
      <c r="O498" s="65"/>
      <c r="P498" s="65"/>
      <c r="Q498" s="65"/>
      <c r="R498" s="65"/>
      <c r="S498" s="65"/>
      <c r="T498" s="65"/>
      <c r="U498" s="65"/>
      <c r="V498" s="65"/>
      <c r="W498" s="65"/>
      <c r="X498" s="65"/>
    </row>
    <row r="499">
      <c r="A499" s="64"/>
      <c r="B499" s="64"/>
      <c r="C499" s="49"/>
      <c r="D499" s="49"/>
      <c r="E499" s="71"/>
      <c r="F499" s="71"/>
      <c r="G499" s="71"/>
      <c r="H499" s="71"/>
      <c r="I499" s="28"/>
      <c r="J499" s="28"/>
      <c r="K499" s="65"/>
      <c r="L499" s="65"/>
      <c r="M499" s="65"/>
      <c r="N499" s="65"/>
      <c r="O499" s="65"/>
      <c r="P499" s="65"/>
      <c r="Q499" s="65"/>
      <c r="R499" s="65"/>
      <c r="S499" s="65"/>
      <c r="T499" s="65"/>
      <c r="U499" s="65"/>
      <c r="V499" s="65"/>
      <c r="W499" s="65"/>
      <c r="X499" s="65"/>
    </row>
    <row r="500">
      <c r="A500" s="64"/>
      <c r="B500" s="64"/>
      <c r="C500" s="49"/>
      <c r="D500" s="49"/>
      <c r="E500" s="71"/>
      <c r="F500" s="71"/>
      <c r="G500" s="71"/>
      <c r="H500" s="71"/>
      <c r="I500" s="28"/>
      <c r="J500" s="28"/>
      <c r="K500" s="65"/>
      <c r="L500" s="65"/>
      <c r="M500" s="65"/>
      <c r="N500" s="65"/>
      <c r="O500" s="65"/>
      <c r="P500" s="65"/>
      <c r="Q500" s="65"/>
      <c r="R500" s="65"/>
      <c r="S500" s="65"/>
      <c r="T500" s="65"/>
      <c r="U500" s="65"/>
      <c r="V500" s="65"/>
      <c r="W500" s="65"/>
      <c r="X500" s="65"/>
    </row>
    <row r="501">
      <c r="A501" s="64"/>
      <c r="B501" s="64"/>
      <c r="C501" s="49"/>
      <c r="D501" s="49"/>
      <c r="E501" s="71"/>
      <c r="F501" s="71"/>
      <c r="G501" s="71"/>
      <c r="H501" s="71"/>
      <c r="I501" s="28"/>
      <c r="J501" s="28"/>
      <c r="K501" s="65"/>
      <c r="L501" s="65"/>
      <c r="M501" s="65"/>
      <c r="N501" s="65"/>
      <c r="O501" s="65"/>
      <c r="P501" s="65"/>
      <c r="Q501" s="65"/>
      <c r="R501" s="65"/>
      <c r="S501" s="65"/>
      <c r="T501" s="65"/>
      <c r="U501" s="65"/>
      <c r="V501" s="65"/>
      <c r="W501" s="65"/>
      <c r="X501" s="65"/>
    </row>
    <row r="502">
      <c r="A502" s="64"/>
      <c r="B502" s="64"/>
      <c r="C502" s="49"/>
      <c r="D502" s="49"/>
      <c r="E502" s="71"/>
      <c r="F502" s="71"/>
      <c r="G502" s="71"/>
      <c r="H502" s="71"/>
      <c r="I502" s="28"/>
      <c r="J502" s="28"/>
      <c r="K502" s="65"/>
      <c r="L502" s="65"/>
      <c r="M502" s="65"/>
      <c r="N502" s="65"/>
      <c r="O502" s="65"/>
      <c r="P502" s="65"/>
      <c r="Q502" s="65"/>
      <c r="R502" s="65"/>
      <c r="S502" s="65"/>
      <c r="T502" s="65"/>
      <c r="U502" s="65"/>
      <c r="V502" s="65"/>
      <c r="W502" s="65"/>
      <c r="X502" s="65"/>
    </row>
    <row r="503">
      <c r="A503" s="64"/>
      <c r="B503" s="64"/>
      <c r="C503" s="49"/>
      <c r="D503" s="49"/>
      <c r="E503" s="71"/>
      <c r="F503" s="71"/>
      <c r="G503" s="71"/>
      <c r="H503" s="71"/>
      <c r="I503" s="28"/>
      <c r="J503" s="28"/>
      <c r="K503" s="65"/>
      <c r="L503" s="65"/>
      <c r="M503" s="65"/>
      <c r="N503" s="65"/>
      <c r="O503" s="65"/>
      <c r="P503" s="65"/>
      <c r="Q503" s="65"/>
      <c r="R503" s="65"/>
      <c r="S503" s="65"/>
      <c r="T503" s="65"/>
      <c r="U503" s="65"/>
      <c r="V503" s="65"/>
      <c r="W503" s="65"/>
      <c r="X503" s="65"/>
    </row>
    <row r="504">
      <c r="A504" s="64"/>
      <c r="B504" s="64"/>
      <c r="C504" s="49"/>
      <c r="D504" s="49"/>
      <c r="E504" s="71"/>
      <c r="F504" s="71"/>
      <c r="G504" s="71"/>
      <c r="H504" s="71"/>
      <c r="I504" s="28"/>
      <c r="J504" s="28"/>
      <c r="K504" s="65"/>
      <c r="L504" s="65"/>
      <c r="M504" s="65"/>
      <c r="N504" s="65"/>
      <c r="O504" s="65"/>
      <c r="P504" s="65"/>
      <c r="Q504" s="65"/>
      <c r="R504" s="65"/>
      <c r="S504" s="65"/>
      <c r="T504" s="65"/>
      <c r="U504" s="65"/>
      <c r="V504" s="65"/>
      <c r="W504" s="65"/>
      <c r="X504" s="65"/>
    </row>
    <row r="505">
      <c r="A505" s="64"/>
      <c r="B505" s="64"/>
      <c r="C505" s="49"/>
      <c r="D505" s="49"/>
      <c r="E505" s="71"/>
      <c r="F505" s="71"/>
      <c r="G505" s="71"/>
      <c r="H505" s="71"/>
      <c r="I505" s="28"/>
      <c r="J505" s="28"/>
      <c r="K505" s="65"/>
      <c r="L505" s="65"/>
      <c r="M505" s="65"/>
      <c r="N505" s="65"/>
      <c r="O505" s="65"/>
      <c r="P505" s="65"/>
      <c r="Q505" s="65"/>
      <c r="R505" s="65"/>
      <c r="S505" s="65"/>
      <c r="T505" s="65"/>
      <c r="U505" s="65"/>
      <c r="V505" s="65"/>
      <c r="W505" s="65"/>
      <c r="X505" s="65"/>
    </row>
    <row r="506">
      <c r="A506" s="64"/>
      <c r="B506" s="64"/>
      <c r="C506" s="49"/>
      <c r="D506" s="49"/>
      <c r="E506" s="71"/>
      <c r="F506" s="71"/>
      <c r="G506" s="71"/>
      <c r="H506" s="71"/>
      <c r="I506" s="28"/>
      <c r="J506" s="28"/>
      <c r="K506" s="65"/>
      <c r="L506" s="65"/>
      <c r="M506" s="65"/>
      <c r="N506" s="65"/>
      <c r="O506" s="65"/>
      <c r="P506" s="65"/>
      <c r="Q506" s="65"/>
      <c r="R506" s="65"/>
      <c r="S506" s="65"/>
      <c r="T506" s="65"/>
      <c r="U506" s="65"/>
      <c r="V506" s="65"/>
      <c r="W506" s="65"/>
      <c r="X506" s="65"/>
    </row>
    <row r="507">
      <c r="A507" s="64"/>
      <c r="B507" s="64"/>
      <c r="C507" s="49"/>
      <c r="D507" s="49"/>
      <c r="E507" s="71"/>
      <c r="F507" s="71"/>
      <c r="G507" s="71"/>
      <c r="H507" s="71"/>
      <c r="I507" s="28"/>
      <c r="J507" s="28"/>
      <c r="K507" s="65"/>
      <c r="L507" s="65"/>
      <c r="M507" s="65"/>
      <c r="N507" s="65"/>
      <c r="O507" s="65"/>
      <c r="P507" s="65"/>
      <c r="Q507" s="65"/>
      <c r="R507" s="65"/>
      <c r="S507" s="65"/>
      <c r="T507" s="65"/>
      <c r="U507" s="65"/>
      <c r="V507" s="65"/>
      <c r="W507" s="65"/>
      <c r="X507" s="65"/>
    </row>
    <row r="508">
      <c r="A508" s="64"/>
      <c r="B508" s="64"/>
      <c r="C508" s="49"/>
      <c r="D508" s="49"/>
      <c r="E508" s="71"/>
      <c r="F508" s="71"/>
      <c r="G508" s="71"/>
      <c r="H508" s="71"/>
      <c r="I508" s="28"/>
      <c r="J508" s="28"/>
      <c r="K508" s="65"/>
      <c r="L508" s="65"/>
      <c r="M508" s="65"/>
      <c r="N508" s="65"/>
      <c r="O508" s="65"/>
      <c r="P508" s="65"/>
      <c r="Q508" s="65"/>
      <c r="R508" s="65"/>
      <c r="S508" s="65"/>
      <c r="T508" s="65"/>
      <c r="U508" s="65"/>
      <c r="V508" s="65"/>
      <c r="W508" s="65"/>
      <c r="X508" s="65"/>
    </row>
    <row r="509">
      <c r="A509" s="64"/>
      <c r="B509" s="64"/>
      <c r="C509" s="49"/>
      <c r="D509" s="49"/>
      <c r="E509" s="71"/>
      <c r="F509" s="71"/>
      <c r="G509" s="71"/>
      <c r="H509" s="71"/>
      <c r="I509" s="28"/>
      <c r="J509" s="28"/>
      <c r="K509" s="65"/>
      <c r="L509" s="65"/>
      <c r="M509" s="65"/>
      <c r="N509" s="65"/>
      <c r="O509" s="65"/>
      <c r="P509" s="65"/>
      <c r="Q509" s="65"/>
      <c r="R509" s="65"/>
      <c r="S509" s="65"/>
      <c r="T509" s="65"/>
      <c r="U509" s="65"/>
      <c r="V509" s="65"/>
      <c r="W509" s="65"/>
      <c r="X509" s="65"/>
    </row>
    <row r="510">
      <c r="A510" s="64"/>
      <c r="B510" s="64"/>
      <c r="C510" s="49"/>
      <c r="D510" s="49"/>
      <c r="E510" s="71"/>
      <c r="F510" s="71"/>
      <c r="G510" s="71"/>
      <c r="H510" s="71"/>
      <c r="I510" s="28"/>
      <c r="J510" s="28"/>
      <c r="K510" s="65"/>
      <c r="L510" s="65"/>
      <c r="M510" s="65"/>
      <c r="N510" s="65"/>
      <c r="O510" s="65"/>
      <c r="P510" s="65"/>
      <c r="Q510" s="65"/>
      <c r="R510" s="65"/>
      <c r="S510" s="65"/>
      <c r="T510" s="65"/>
      <c r="U510" s="65"/>
      <c r="V510" s="65"/>
      <c r="W510" s="65"/>
      <c r="X510" s="65"/>
    </row>
    <row r="511">
      <c r="A511" s="64"/>
      <c r="B511" s="64"/>
      <c r="C511" s="49"/>
      <c r="D511" s="49"/>
      <c r="E511" s="71"/>
      <c r="F511" s="71"/>
      <c r="G511" s="71"/>
      <c r="H511" s="71"/>
      <c r="I511" s="28"/>
      <c r="J511" s="28"/>
      <c r="K511" s="65"/>
      <c r="L511" s="65"/>
      <c r="M511" s="65"/>
      <c r="N511" s="65"/>
      <c r="O511" s="65"/>
      <c r="P511" s="65"/>
      <c r="Q511" s="65"/>
      <c r="R511" s="65"/>
      <c r="S511" s="65"/>
      <c r="T511" s="65"/>
      <c r="U511" s="65"/>
      <c r="V511" s="65"/>
      <c r="W511" s="65"/>
      <c r="X511" s="65"/>
    </row>
    <row r="512">
      <c r="A512" s="64"/>
      <c r="B512" s="64"/>
      <c r="C512" s="49"/>
      <c r="D512" s="49"/>
      <c r="E512" s="71"/>
      <c r="F512" s="71"/>
      <c r="G512" s="71"/>
      <c r="H512" s="71"/>
      <c r="I512" s="28"/>
      <c r="J512" s="28"/>
      <c r="K512" s="65"/>
      <c r="L512" s="65"/>
      <c r="M512" s="65"/>
      <c r="N512" s="65"/>
      <c r="O512" s="65"/>
      <c r="P512" s="65"/>
      <c r="Q512" s="65"/>
      <c r="R512" s="65"/>
      <c r="S512" s="65"/>
      <c r="T512" s="65"/>
      <c r="U512" s="65"/>
      <c r="V512" s="65"/>
      <c r="W512" s="65"/>
      <c r="X512" s="65"/>
    </row>
    <row r="513">
      <c r="A513" s="64"/>
      <c r="B513" s="64"/>
      <c r="C513" s="49"/>
      <c r="D513" s="49"/>
      <c r="E513" s="71"/>
      <c r="F513" s="71"/>
      <c r="G513" s="71"/>
      <c r="H513" s="71"/>
      <c r="I513" s="28"/>
      <c r="J513" s="28"/>
      <c r="K513" s="65"/>
      <c r="L513" s="65"/>
      <c r="M513" s="65"/>
      <c r="N513" s="65"/>
      <c r="O513" s="65"/>
      <c r="P513" s="65"/>
      <c r="Q513" s="65"/>
      <c r="R513" s="65"/>
      <c r="S513" s="65"/>
      <c r="T513" s="65"/>
      <c r="U513" s="65"/>
      <c r="V513" s="65"/>
      <c r="W513" s="65"/>
      <c r="X513" s="65"/>
    </row>
    <row r="514">
      <c r="A514" s="64"/>
      <c r="B514" s="64"/>
      <c r="C514" s="49"/>
      <c r="D514" s="49"/>
      <c r="E514" s="71"/>
      <c r="F514" s="71"/>
      <c r="G514" s="71"/>
      <c r="H514" s="71"/>
      <c r="I514" s="28"/>
      <c r="J514" s="28"/>
      <c r="K514" s="65"/>
      <c r="L514" s="65"/>
      <c r="M514" s="65"/>
      <c r="N514" s="65"/>
      <c r="O514" s="65"/>
      <c r="P514" s="65"/>
      <c r="Q514" s="65"/>
      <c r="R514" s="65"/>
      <c r="S514" s="65"/>
      <c r="T514" s="65"/>
      <c r="U514" s="65"/>
      <c r="V514" s="65"/>
      <c r="W514" s="65"/>
      <c r="X514" s="65"/>
    </row>
    <row r="515">
      <c r="A515" s="64"/>
      <c r="B515" s="64"/>
      <c r="C515" s="49"/>
      <c r="D515" s="49"/>
      <c r="E515" s="71"/>
      <c r="F515" s="71"/>
      <c r="G515" s="71"/>
      <c r="H515" s="71"/>
      <c r="I515" s="28"/>
      <c r="J515" s="28"/>
      <c r="K515" s="65"/>
      <c r="L515" s="65"/>
      <c r="M515" s="65"/>
      <c r="N515" s="65"/>
      <c r="O515" s="65"/>
      <c r="P515" s="65"/>
      <c r="Q515" s="65"/>
      <c r="R515" s="65"/>
      <c r="S515" s="65"/>
      <c r="T515" s="65"/>
      <c r="U515" s="65"/>
      <c r="V515" s="65"/>
      <c r="W515" s="65"/>
      <c r="X515" s="65"/>
    </row>
    <row r="516">
      <c r="A516" s="64"/>
      <c r="B516" s="64"/>
      <c r="C516" s="49"/>
      <c r="D516" s="49"/>
      <c r="E516" s="71"/>
      <c r="F516" s="71"/>
      <c r="G516" s="71"/>
      <c r="H516" s="71"/>
      <c r="I516" s="28"/>
      <c r="J516" s="28"/>
      <c r="K516" s="65"/>
      <c r="L516" s="65"/>
      <c r="M516" s="65"/>
      <c r="N516" s="65"/>
      <c r="O516" s="65"/>
      <c r="P516" s="65"/>
      <c r="Q516" s="65"/>
      <c r="R516" s="65"/>
      <c r="S516" s="65"/>
      <c r="T516" s="65"/>
      <c r="U516" s="65"/>
      <c r="V516" s="65"/>
      <c r="W516" s="65"/>
      <c r="X516" s="65"/>
    </row>
    <row r="517">
      <c r="A517" s="64"/>
      <c r="B517" s="64"/>
      <c r="C517" s="49"/>
      <c r="D517" s="49"/>
      <c r="E517" s="71"/>
      <c r="F517" s="71"/>
      <c r="G517" s="71"/>
      <c r="H517" s="71"/>
      <c r="I517" s="28"/>
      <c r="J517" s="28"/>
      <c r="K517" s="65"/>
      <c r="L517" s="65"/>
      <c r="M517" s="65"/>
      <c r="N517" s="65"/>
      <c r="O517" s="65"/>
      <c r="P517" s="65"/>
      <c r="Q517" s="65"/>
      <c r="R517" s="65"/>
      <c r="S517" s="65"/>
      <c r="T517" s="65"/>
      <c r="U517" s="65"/>
      <c r="V517" s="65"/>
      <c r="W517" s="65"/>
      <c r="X517" s="65"/>
    </row>
    <row r="518">
      <c r="A518" s="64"/>
      <c r="B518" s="64"/>
      <c r="C518" s="49"/>
      <c r="D518" s="49"/>
      <c r="E518" s="71"/>
      <c r="F518" s="71"/>
      <c r="G518" s="71"/>
      <c r="H518" s="71"/>
      <c r="I518" s="28"/>
      <c r="J518" s="28"/>
      <c r="K518" s="65"/>
      <c r="L518" s="65"/>
      <c r="M518" s="65"/>
      <c r="N518" s="65"/>
      <c r="O518" s="65"/>
      <c r="P518" s="65"/>
      <c r="Q518" s="65"/>
      <c r="R518" s="65"/>
      <c r="S518" s="65"/>
      <c r="T518" s="65"/>
      <c r="U518" s="65"/>
      <c r="V518" s="65"/>
      <c r="W518" s="65"/>
      <c r="X518" s="65"/>
    </row>
    <row r="519">
      <c r="A519" s="64"/>
      <c r="B519" s="64"/>
      <c r="C519" s="49"/>
      <c r="D519" s="49"/>
      <c r="E519" s="71"/>
      <c r="F519" s="71"/>
      <c r="G519" s="71"/>
      <c r="H519" s="71"/>
      <c r="I519" s="28"/>
      <c r="J519" s="28"/>
      <c r="K519" s="65"/>
      <c r="L519" s="65"/>
      <c r="M519" s="65"/>
      <c r="N519" s="65"/>
      <c r="O519" s="65"/>
      <c r="P519" s="65"/>
      <c r="Q519" s="65"/>
      <c r="R519" s="65"/>
      <c r="S519" s="65"/>
      <c r="T519" s="65"/>
      <c r="U519" s="65"/>
      <c r="V519" s="65"/>
      <c r="W519" s="65"/>
      <c r="X519" s="65"/>
    </row>
    <row r="520">
      <c r="A520" s="64"/>
      <c r="B520" s="64"/>
      <c r="C520" s="49"/>
      <c r="D520" s="49"/>
      <c r="E520" s="71"/>
      <c r="F520" s="71"/>
      <c r="G520" s="71"/>
      <c r="H520" s="71"/>
      <c r="I520" s="28"/>
      <c r="J520" s="28"/>
      <c r="K520" s="65"/>
      <c r="L520" s="65"/>
      <c r="M520" s="65"/>
      <c r="N520" s="65"/>
      <c r="O520" s="65"/>
      <c r="P520" s="65"/>
      <c r="Q520" s="65"/>
      <c r="R520" s="65"/>
      <c r="S520" s="65"/>
      <c r="T520" s="65"/>
      <c r="U520" s="65"/>
      <c r="V520" s="65"/>
      <c r="W520" s="65"/>
      <c r="X520" s="65"/>
    </row>
    <row r="521">
      <c r="A521" s="64"/>
      <c r="B521" s="64"/>
      <c r="C521" s="49"/>
      <c r="D521" s="49"/>
      <c r="E521" s="71"/>
      <c r="F521" s="71"/>
      <c r="G521" s="71"/>
      <c r="H521" s="71"/>
      <c r="I521" s="28"/>
      <c r="J521" s="28"/>
      <c r="K521" s="65"/>
      <c r="L521" s="65"/>
      <c r="M521" s="65"/>
      <c r="N521" s="65"/>
      <c r="O521" s="65"/>
      <c r="P521" s="65"/>
      <c r="Q521" s="65"/>
      <c r="R521" s="65"/>
      <c r="S521" s="65"/>
      <c r="T521" s="65"/>
      <c r="U521" s="65"/>
      <c r="V521" s="65"/>
      <c r="W521" s="65"/>
      <c r="X521" s="65"/>
    </row>
    <row r="522">
      <c r="A522" s="64"/>
      <c r="B522" s="64"/>
      <c r="C522" s="49"/>
      <c r="D522" s="49"/>
      <c r="E522" s="71"/>
      <c r="F522" s="71"/>
      <c r="G522" s="71"/>
      <c r="H522" s="71"/>
      <c r="I522" s="28"/>
      <c r="J522" s="28"/>
      <c r="K522" s="65"/>
      <c r="L522" s="65"/>
      <c r="M522" s="65"/>
      <c r="N522" s="65"/>
      <c r="O522" s="65"/>
      <c r="P522" s="65"/>
      <c r="Q522" s="65"/>
      <c r="R522" s="65"/>
      <c r="S522" s="65"/>
      <c r="T522" s="65"/>
      <c r="U522" s="65"/>
      <c r="V522" s="65"/>
      <c r="W522" s="65"/>
      <c r="X522" s="65"/>
    </row>
    <row r="523">
      <c r="A523" s="64"/>
      <c r="B523" s="64"/>
      <c r="C523" s="49"/>
      <c r="D523" s="49"/>
      <c r="E523" s="71"/>
      <c r="F523" s="71"/>
      <c r="G523" s="71"/>
      <c r="H523" s="71"/>
      <c r="I523" s="28"/>
      <c r="J523" s="28"/>
      <c r="K523" s="65"/>
      <c r="L523" s="65"/>
      <c r="M523" s="65"/>
      <c r="N523" s="65"/>
      <c r="O523" s="65"/>
      <c r="P523" s="65"/>
      <c r="Q523" s="65"/>
      <c r="R523" s="65"/>
      <c r="S523" s="65"/>
      <c r="T523" s="65"/>
      <c r="U523" s="65"/>
      <c r="V523" s="65"/>
      <c r="W523" s="65"/>
      <c r="X523" s="65"/>
    </row>
    <row r="524">
      <c r="A524" s="64"/>
      <c r="B524" s="64"/>
      <c r="C524" s="49"/>
      <c r="D524" s="49"/>
      <c r="E524" s="71"/>
      <c r="F524" s="71"/>
      <c r="G524" s="71"/>
      <c r="H524" s="71"/>
      <c r="I524" s="28"/>
      <c r="J524" s="28"/>
      <c r="K524" s="65"/>
      <c r="L524" s="65"/>
      <c r="M524" s="65"/>
      <c r="N524" s="65"/>
      <c r="O524" s="65"/>
      <c r="P524" s="65"/>
      <c r="Q524" s="65"/>
      <c r="R524" s="65"/>
      <c r="S524" s="65"/>
      <c r="T524" s="65"/>
      <c r="U524" s="65"/>
      <c r="V524" s="65"/>
      <c r="W524" s="65"/>
      <c r="X524" s="65"/>
    </row>
    <row r="525">
      <c r="A525" s="64"/>
      <c r="B525" s="64"/>
      <c r="C525" s="49"/>
      <c r="D525" s="49"/>
      <c r="E525" s="71"/>
      <c r="F525" s="71"/>
      <c r="G525" s="71"/>
      <c r="H525" s="71"/>
      <c r="I525" s="28"/>
      <c r="J525" s="28"/>
      <c r="K525" s="65"/>
      <c r="L525" s="65"/>
      <c r="M525" s="65"/>
      <c r="N525" s="65"/>
      <c r="O525" s="65"/>
      <c r="P525" s="65"/>
      <c r="Q525" s="65"/>
      <c r="R525" s="65"/>
      <c r="S525" s="65"/>
      <c r="T525" s="65"/>
      <c r="U525" s="65"/>
      <c r="V525" s="65"/>
      <c r="W525" s="65"/>
      <c r="X525" s="65"/>
    </row>
    <row r="526">
      <c r="A526" s="64"/>
      <c r="B526" s="64"/>
      <c r="C526" s="49"/>
      <c r="D526" s="49"/>
      <c r="E526" s="71"/>
      <c r="F526" s="71"/>
      <c r="G526" s="71"/>
      <c r="H526" s="71"/>
      <c r="I526" s="28"/>
      <c r="J526" s="28"/>
      <c r="K526" s="65"/>
      <c r="L526" s="65"/>
      <c r="M526" s="65"/>
      <c r="N526" s="65"/>
      <c r="O526" s="65"/>
      <c r="P526" s="65"/>
      <c r="Q526" s="65"/>
      <c r="R526" s="65"/>
      <c r="S526" s="65"/>
      <c r="T526" s="65"/>
      <c r="U526" s="65"/>
      <c r="V526" s="65"/>
      <c r="W526" s="65"/>
      <c r="X526" s="65"/>
    </row>
    <row r="527">
      <c r="A527" s="64"/>
      <c r="B527" s="64"/>
      <c r="C527" s="49"/>
      <c r="D527" s="49"/>
      <c r="E527" s="71"/>
      <c r="F527" s="71"/>
      <c r="G527" s="71"/>
      <c r="H527" s="71"/>
      <c r="I527" s="28"/>
      <c r="J527" s="28"/>
      <c r="K527" s="65"/>
      <c r="L527" s="65"/>
      <c r="M527" s="65"/>
      <c r="N527" s="65"/>
      <c r="O527" s="65"/>
      <c r="P527" s="65"/>
      <c r="Q527" s="65"/>
      <c r="R527" s="65"/>
      <c r="S527" s="65"/>
      <c r="T527" s="65"/>
      <c r="U527" s="65"/>
      <c r="V527" s="65"/>
      <c r="W527" s="65"/>
      <c r="X527" s="65"/>
    </row>
    <row r="528">
      <c r="A528" s="64"/>
      <c r="B528" s="64"/>
      <c r="C528" s="49"/>
      <c r="D528" s="49"/>
      <c r="E528" s="71"/>
      <c r="F528" s="71"/>
      <c r="G528" s="71"/>
      <c r="H528" s="71"/>
      <c r="I528" s="28"/>
      <c r="J528" s="28"/>
      <c r="K528" s="65"/>
      <c r="L528" s="65"/>
      <c r="M528" s="65"/>
      <c r="N528" s="65"/>
      <c r="O528" s="65"/>
      <c r="P528" s="65"/>
      <c r="Q528" s="65"/>
      <c r="R528" s="65"/>
      <c r="S528" s="65"/>
      <c r="T528" s="65"/>
      <c r="U528" s="65"/>
      <c r="V528" s="65"/>
      <c r="W528" s="65"/>
      <c r="X528" s="65"/>
    </row>
    <row r="529">
      <c r="A529" s="64"/>
      <c r="B529" s="64"/>
      <c r="C529" s="49"/>
      <c r="D529" s="49"/>
      <c r="E529" s="71"/>
      <c r="F529" s="71"/>
      <c r="G529" s="71"/>
      <c r="H529" s="71"/>
      <c r="I529" s="28"/>
      <c r="J529" s="28"/>
      <c r="K529" s="65"/>
      <c r="L529" s="65"/>
      <c r="M529" s="65"/>
      <c r="N529" s="65"/>
      <c r="O529" s="65"/>
      <c r="P529" s="65"/>
      <c r="Q529" s="65"/>
      <c r="R529" s="65"/>
      <c r="S529" s="65"/>
      <c r="T529" s="65"/>
      <c r="U529" s="65"/>
      <c r="V529" s="65"/>
      <c r="W529" s="65"/>
      <c r="X529" s="65"/>
    </row>
    <row r="530">
      <c r="A530" s="64"/>
      <c r="B530" s="64"/>
      <c r="C530" s="49"/>
      <c r="D530" s="49"/>
      <c r="E530" s="71"/>
      <c r="F530" s="71"/>
      <c r="G530" s="71"/>
      <c r="H530" s="71"/>
      <c r="I530" s="28"/>
      <c r="J530" s="28"/>
      <c r="K530" s="65"/>
      <c r="L530" s="65"/>
      <c r="M530" s="65"/>
      <c r="N530" s="65"/>
      <c r="O530" s="65"/>
      <c r="P530" s="65"/>
      <c r="Q530" s="65"/>
      <c r="R530" s="65"/>
      <c r="S530" s="65"/>
      <c r="T530" s="65"/>
      <c r="U530" s="65"/>
      <c r="V530" s="65"/>
      <c r="W530" s="65"/>
      <c r="X530" s="65"/>
    </row>
    <row r="531">
      <c r="A531" s="64"/>
      <c r="B531" s="64"/>
      <c r="C531" s="49"/>
      <c r="D531" s="49"/>
      <c r="E531" s="71"/>
      <c r="F531" s="71"/>
      <c r="G531" s="71"/>
      <c r="H531" s="71"/>
      <c r="I531" s="28"/>
      <c r="J531" s="28"/>
      <c r="K531" s="65"/>
      <c r="L531" s="65"/>
      <c r="M531" s="65"/>
      <c r="N531" s="65"/>
      <c r="O531" s="65"/>
      <c r="P531" s="65"/>
      <c r="Q531" s="65"/>
      <c r="R531" s="65"/>
      <c r="S531" s="65"/>
      <c r="T531" s="65"/>
      <c r="U531" s="65"/>
      <c r="V531" s="65"/>
      <c r="W531" s="65"/>
      <c r="X531" s="65"/>
    </row>
    <row r="532">
      <c r="A532" s="64"/>
      <c r="B532" s="64"/>
      <c r="C532" s="49"/>
      <c r="D532" s="49"/>
      <c r="E532" s="71"/>
      <c r="F532" s="71"/>
      <c r="G532" s="71"/>
      <c r="H532" s="71"/>
      <c r="I532" s="28"/>
      <c r="J532" s="28"/>
      <c r="K532" s="65"/>
      <c r="L532" s="65"/>
      <c r="M532" s="65"/>
      <c r="N532" s="65"/>
      <c r="O532" s="65"/>
      <c r="P532" s="65"/>
      <c r="Q532" s="65"/>
      <c r="R532" s="65"/>
      <c r="S532" s="65"/>
      <c r="T532" s="65"/>
      <c r="U532" s="65"/>
      <c r="V532" s="65"/>
      <c r="W532" s="65"/>
      <c r="X532" s="65"/>
    </row>
    <row r="533">
      <c r="A533" s="64"/>
      <c r="B533" s="64"/>
      <c r="C533" s="49"/>
      <c r="D533" s="49"/>
      <c r="E533" s="71"/>
      <c r="F533" s="71"/>
      <c r="G533" s="71"/>
      <c r="H533" s="71"/>
      <c r="I533" s="28"/>
      <c r="J533" s="28"/>
      <c r="K533" s="65"/>
      <c r="L533" s="65"/>
      <c r="M533" s="65"/>
      <c r="N533" s="65"/>
      <c r="O533" s="65"/>
      <c r="P533" s="65"/>
      <c r="Q533" s="65"/>
      <c r="R533" s="65"/>
      <c r="S533" s="65"/>
      <c r="T533" s="65"/>
      <c r="U533" s="65"/>
      <c r="V533" s="65"/>
      <c r="W533" s="65"/>
      <c r="X533" s="65"/>
    </row>
    <row r="534">
      <c r="A534" s="64"/>
      <c r="B534" s="64"/>
      <c r="C534" s="49"/>
      <c r="D534" s="49"/>
      <c r="E534" s="71"/>
      <c r="F534" s="71"/>
      <c r="G534" s="71"/>
      <c r="H534" s="71"/>
      <c r="I534" s="28"/>
      <c r="J534" s="28"/>
      <c r="K534" s="65"/>
      <c r="L534" s="65"/>
      <c r="M534" s="65"/>
      <c r="N534" s="65"/>
      <c r="O534" s="65"/>
      <c r="P534" s="65"/>
      <c r="Q534" s="65"/>
      <c r="R534" s="65"/>
      <c r="S534" s="65"/>
      <c r="T534" s="65"/>
      <c r="U534" s="65"/>
      <c r="V534" s="65"/>
      <c r="W534" s="65"/>
      <c r="X534" s="65"/>
    </row>
    <row r="535">
      <c r="A535" s="64"/>
      <c r="B535" s="64"/>
      <c r="C535" s="49"/>
      <c r="D535" s="49"/>
      <c r="E535" s="71"/>
      <c r="F535" s="71"/>
      <c r="G535" s="71"/>
      <c r="H535" s="71"/>
      <c r="I535" s="28"/>
      <c r="J535" s="28"/>
      <c r="K535" s="65"/>
      <c r="L535" s="65"/>
      <c r="M535" s="65"/>
      <c r="N535" s="65"/>
      <c r="O535" s="65"/>
      <c r="P535" s="65"/>
      <c r="Q535" s="65"/>
      <c r="R535" s="65"/>
      <c r="S535" s="65"/>
      <c r="T535" s="65"/>
      <c r="U535" s="65"/>
      <c r="V535" s="65"/>
      <c r="W535" s="65"/>
      <c r="X535" s="65"/>
    </row>
    <row r="536">
      <c r="A536" s="64"/>
      <c r="B536" s="64"/>
      <c r="C536" s="49"/>
      <c r="D536" s="49"/>
      <c r="E536" s="71"/>
      <c r="F536" s="71"/>
      <c r="G536" s="71"/>
      <c r="H536" s="71"/>
      <c r="I536" s="28"/>
      <c r="J536" s="28"/>
      <c r="K536" s="65"/>
      <c r="L536" s="65"/>
      <c r="M536" s="65"/>
      <c r="N536" s="65"/>
      <c r="O536" s="65"/>
      <c r="P536" s="65"/>
      <c r="Q536" s="65"/>
      <c r="R536" s="65"/>
      <c r="S536" s="65"/>
      <c r="T536" s="65"/>
      <c r="U536" s="65"/>
      <c r="V536" s="65"/>
      <c r="W536" s="65"/>
      <c r="X536" s="65"/>
    </row>
    <row r="537">
      <c r="A537" s="64"/>
      <c r="B537" s="64"/>
      <c r="C537" s="49"/>
      <c r="D537" s="49"/>
      <c r="E537" s="71"/>
      <c r="F537" s="71"/>
      <c r="G537" s="71"/>
      <c r="H537" s="71"/>
      <c r="I537" s="28"/>
      <c r="J537" s="28"/>
      <c r="K537" s="65"/>
      <c r="L537" s="65"/>
      <c r="M537" s="65"/>
      <c r="N537" s="65"/>
      <c r="O537" s="65"/>
      <c r="P537" s="65"/>
      <c r="Q537" s="65"/>
      <c r="R537" s="65"/>
      <c r="S537" s="65"/>
      <c r="T537" s="65"/>
      <c r="U537" s="65"/>
      <c r="V537" s="65"/>
      <c r="W537" s="65"/>
      <c r="X537" s="65"/>
    </row>
    <row r="538">
      <c r="A538" s="64"/>
      <c r="B538" s="64"/>
      <c r="C538" s="49"/>
      <c r="D538" s="49"/>
      <c r="E538" s="71"/>
      <c r="F538" s="71"/>
      <c r="G538" s="71"/>
      <c r="H538" s="71"/>
      <c r="I538" s="28"/>
      <c r="J538" s="28"/>
      <c r="K538" s="65"/>
      <c r="L538" s="65"/>
      <c r="M538" s="65"/>
      <c r="N538" s="65"/>
      <c r="O538" s="65"/>
      <c r="P538" s="65"/>
      <c r="Q538" s="65"/>
      <c r="R538" s="65"/>
      <c r="S538" s="65"/>
      <c r="T538" s="65"/>
      <c r="U538" s="65"/>
      <c r="V538" s="65"/>
      <c r="W538" s="65"/>
      <c r="X538" s="65"/>
    </row>
    <row r="539">
      <c r="A539" s="64"/>
      <c r="B539" s="64"/>
      <c r="C539" s="49"/>
      <c r="D539" s="49"/>
      <c r="E539" s="71"/>
      <c r="F539" s="71"/>
      <c r="G539" s="71"/>
      <c r="H539" s="71"/>
      <c r="I539" s="28"/>
      <c r="J539" s="28"/>
      <c r="K539" s="65"/>
      <c r="L539" s="65"/>
      <c r="M539" s="65"/>
      <c r="N539" s="65"/>
      <c r="O539" s="65"/>
      <c r="P539" s="65"/>
      <c r="Q539" s="65"/>
      <c r="R539" s="65"/>
      <c r="S539" s="65"/>
      <c r="T539" s="65"/>
      <c r="U539" s="65"/>
      <c r="V539" s="65"/>
      <c r="W539" s="65"/>
      <c r="X539" s="65"/>
    </row>
    <row r="540">
      <c r="A540" s="64"/>
      <c r="B540" s="64"/>
      <c r="C540" s="49"/>
      <c r="D540" s="49"/>
      <c r="E540" s="71"/>
      <c r="F540" s="71"/>
      <c r="G540" s="71"/>
      <c r="H540" s="71"/>
      <c r="I540" s="28"/>
      <c r="J540" s="28"/>
      <c r="K540" s="65"/>
      <c r="L540" s="65"/>
      <c r="M540" s="65"/>
      <c r="N540" s="65"/>
      <c r="O540" s="65"/>
      <c r="P540" s="65"/>
      <c r="Q540" s="65"/>
      <c r="R540" s="65"/>
      <c r="S540" s="65"/>
      <c r="T540" s="65"/>
      <c r="U540" s="65"/>
      <c r="V540" s="65"/>
      <c r="W540" s="65"/>
      <c r="X540" s="65"/>
    </row>
    <row r="541">
      <c r="A541" s="64"/>
      <c r="B541" s="64"/>
      <c r="C541" s="49"/>
      <c r="D541" s="49"/>
      <c r="E541" s="71"/>
      <c r="F541" s="71"/>
      <c r="G541" s="71"/>
      <c r="H541" s="71"/>
      <c r="I541" s="28"/>
      <c r="J541" s="28"/>
      <c r="K541" s="65"/>
      <c r="L541" s="65"/>
      <c r="M541" s="65"/>
      <c r="N541" s="65"/>
      <c r="O541" s="65"/>
      <c r="P541" s="65"/>
      <c r="Q541" s="65"/>
      <c r="R541" s="65"/>
      <c r="S541" s="65"/>
      <c r="T541" s="65"/>
      <c r="U541" s="65"/>
      <c r="V541" s="65"/>
      <c r="W541" s="65"/>
      <c r="X541" s="65"/>
    </row>
    <row r="542">
      <c r="A542" s="64"/>
      <c r="B542" s="64"/>
      <c r="C542" s="49"/>
      <c r="D542" s="49"/>
      <c r="E542" s="71"/>
      <c r="F542" s="71"/>
      <c r="G542" s="71"/>
      <c r="H542" s="71"/>
      <c r="I542" s="28"/>
      <c r="J542" s="28"/>
      <c r="K542" s="65"/>
      <c r="L542" s="65"/>
      <c r="M542" s="65"/>
      <c r="N542" s="65"/>
      <c r="O542" s="65"/>
      <c r="P542" s="65"/>
      <c r="Q542" s="65"/>
      <c r="R542" s="65"/>
      <c r="S542" s="65"/>
      <c r="T542" s="65"/>
      <c r="U542" s="65"/>
      <c r="V542" s="65"/>
      <c r="W542" s="65"/>
      <c r="X542" s="65"/>
    </row>
    <row r="543">
      <c r="A543" s="64"/>
      <c r="B543" s="64"/>
      <c r="C543" s="49"/>
      <c r="D543" s="49"/>
      <c r="E543" s="71"/>
      <c r="F543" s="71"/>
      <c r="G543" s="71"/>
      <c r="H543" s="71"/>
      <c r="I543" s="28"/>
      <c r="J543" s="28"/>
      <c r="K543" s="65"/>
      <c r="L543" s="65"/>
      <c r="M543" s="65"/>
      <c r="N543" s="65"/>
      <c r="O543" s="65"/>
      <c r="P543" s="65"/>
      <c r="Q543" s="65"/>
      <c r="R543" s="65"/>
      <c r="S543" s="65"/>
      <c r="T543" s="65"/>
      <c r="U543" s="65"/>
      <c r="V543" s="65"/>
      <c r="W543" s="65"/>
      <c r="X543" s="65"/>
    </row>
    <row r="544">
      <c r="A544" s="64"/>
      <c r="B544" s="64"/>
      <c r="C544" s="49"/>
      <c r="D544" s="49"/>
      <c r="E544" s="71"/>
      <c r="F544" s="71"/>
      <c r="G544" s="71"/>
      <c r="H544" s="71"/>
      <c r="I544" s="28"/>
      <c r="J544" s="28"/>
      <c r="K544" s="65"/>
      <c r="L544" s="65"/>
      <c r="M544" s="65"/>
      <c r="N544" s="65"/>
      <c r="O544" s="65"/>
      <c r="P544" s="65"/>
      <c r="Q544" s="65"/>
      <c r="R544" s="65"/>
      <c r="S544" s="65"/>
      <c r="T544" s="65"/>
      <c r="U544" s="65"/>
      <c r="V544" s="65"/>
      <c r="W544" s="65"/>
      <c r="X544" s="65"/>
    </row>
    <row r="545">
      <c r="A545" s="64"/>
      <c r="B545" s="64"/>
      <c r="C545" s="49"/>
      <c r="D545" s="49"/>
      <c r="E545" s="71"/>
      <c r="F545" s="71"/>
      <c r="G545" s="71"/>
      <c r="H545" s="71"/>
      <c r="I545" s="28"/>
      <c r="J545" s="28"/>
      <c r="K545" s="65"/>
      <c r="L545" s="65"/>
      <c r="M545" s="65"/>
      <c r="N545" s="65"/>
      <c r="O545" s="65"/>
      <c r="P545" s="65"/>
      <c r="Q545" s="65"/>
      <c r="R545" s="65"/>
      <c r="S545" s="65"/>
      <c r="T545" s="65"/>
      <c r="U545" s="65"/>
      <c r="V545" s="65"/>
      <c r="W545" s="65"/>
      <c r="X545" s="65"/>
    </row>
    <row r="546">
      <c r="A546" s="64"/>
      <c r="B546" s="64"/>
      <c r="C546" s="49"/>
      <c r="D546" s="49"/>
      <c r="E546" s="71"/>
      <c r="F546" s="71"/>
      <c r="G546" s="71"/>
      <c r="H546" s="71"/>
      <c r="I546" s="28"/>
      <c r="J546" s="28"/>
      <c r="K546" s="65"/>
      <c r="L546" s="65"/>
      <c r="M546" s="65"/>
      <c r="N546" s="65"/>
      <c r="O546" s="65"/>
      <c r="P546" s="65"/>
      <c r="Q546" s="65"/>
      <c r="R546" s="65"/>
      <c r="S546" s="65"/>
      <c r="T546" s="65"/>
      <c r="U546" s="65"/>
      <c r="V546" s="65"/>
      <c r="W546" s="65"/>
      <c r="X546" s="65"/>
    </row>
    <row r="547">
      <c r="A547" s="64"/>
      <c r="B547" s="64"/>
      <c r="C547" s="49"/>
      <c r="D547" s="49"/>
      <c r="E547" s="71"/>
      <c r="F547" s="71"/>
      <c r="G547" s="71"/>
      <c r="H547" s="71"/>
      <c r="I547" s="28"/>
      <c r="J547" s="28"/>
      <c r="K547" s="65"/>
      <c r="L547" s="65"/>
      <c r="M547" s="65"/>
      <c r="N547" s="65"/>
      <c r="O547" s="65"/>
      <c r="P547" s="65"/>
      <c r="Q547" s="65"/>
      <c r="R547" s="65"/>
      <c r="S547" s="65"/>
      <c r="T547" s="65"/>
      <c r="U547" s="65"/>
      <c r="V547" s="65"/>
      <c r="W547" s="65"/>
      <c r="X547" s="65"/>
    </row>
    <row r="548">
      <c r="A548" s="64"/>
      <c r="B548" s="64"/>
      <c r="C548" s="49"/>
      <c r="D548" s="49"/>
      <c r="E548" s="71"/>
      <c r="F548" s="71"/>
      <c r="G548" s="71"/>
      <c r="H548" s="71"/>
      <c r="I548" s="28"/>
      <c r="J548" s="28"/>
      <c r="K548" s="65"/>
      <c r="L548" s="65"/>
      <c r="M548" s="65"/>
      <c r="N548" s="65"/>
      <c r="O548" s="65"/>
      <c r="P548" s="65"/>
      <c r="Q548" s="65"/>
      <c r="R548" s="65"/>
      <c r="S548" s="65"/>
      <c r="T548" s="65"/>
      <c r="U548" s="65"/>
      <c r="V548" s="65"/>
      <c r="W548" s="65"/>
      <c r="X548" s="65"/>
    </row>
    <row r="549">
      <c r="A549" s="64"/>
      <c r="B549" s="64"/>
      <c r="C549" s="49"/>
      <c r="D549" s="49"/>
      <c r="E549" s="71"/>
      <c r="F549" s="71"/>
      <c r="G549" s="71"/>
      <c r="H549" s="71"/>
      <c r="I549" s="28"/>
      <c r="J549" s="28"/>
      <c r="K549" s="65"/>
      <c r="L549" s="65"/>
      <c r="M549" s="65"/>
      <c r="N549" s="65"/>
      <c r="O549" s="65"/>
      <c r="P549" s="65"/>
      <c r="Q549" s="65"/>
      <c r="R549" s="65"/>
      <c r="S549" s="65"/>
      <c r="T549" s="65"/>
      <c r="U549" s="65"/>
      <c r="V549" s="65"/>
      <c r="W549" s="65"/>
      <c r="X549" s="65"/>
    </row>
    <row r="550">
      <c r="A550" s="64"/>
      <c r="B550" s="64"/>
      <c r="C550" s="49"/>
      <c r="D550" s="49"/>
      <c r="E550" s="71"/>
      <c r="F550" s="71"/>
      <c r="G550" s="71"/>
      <c r="H550" s="71"/>
      <c r="I550" s="28"/>
      <c r="J550" s="28"/>
      <c r="K550" s="65"/>
      <c r="L550" s="65"/>
      <c r="M550" s="65"/>
      <c r="N550" s="65"/>
      <c r="O550" s="65"/>
      <c r="P550" s="65"/>
      <c r="Q550" s="65"/>
      <c r="R550" s="65"/>
      <c r="S550" s="65"/>
      <c r="T550" s="65"/>
      <c r="U550" s="65"/>
      <c r="V550" s="65"/>
      <c r="W550" s="65"/>
      <c r="X550" s="65"/>
    </row>
    <row r="551">
      <c r="A551" s="64"/>
      <c r="B551" s="64"/>
      <c r="C551" s="49"/>
      <c r="D551" s="49"/>
      <c r="E551" s="71"/>
      <c r="F551" s="71"/>
      <c r="G551" s="71"/>
      <c r="H551" s="71"/>
      <c r="I551" s="28"/>
      <c r="J551" s="28"/>
      <c r="K551" s="65"/>
      <c r="L551" s="65"/>
      <c r="M551" s="65"/>
      <c r="N551" s="65"/>
      <c r="O551" s="65"/>
      <c r="P551" s="65"/>
      <c r="Q551" s="65"/>
      <c r="R551" s="65"/>
      <c r="S551" s="65"/>
      <c r="T551" s="65"/>
      <c r="U551" s="65"/>
      <c r="V551" s="65"/>
      <c r="W551" s="65"/>
      <c r="X551" s="65"/>
    </row>
    <row r="552">
      <c r="A552" s="64"/>
      <c r="B552" s="64"/>
      <c r="C552" s="49"/>
      <c r="D552" s="49"/>
      <c r="E552" s="71"/>
      <c r="F552" s="71"/>
      <c r="G552" s="71"/>
      <c r="H552" s="71"/>
      <c r="I552" s="28"/>
      <c r="J552" s="28"/>
      <c r="K552" s="65"/>
      <c r="L552" s="65"/>
      <c r="M552" s="65"/>
      <c r="N552" s="65"/>
      <c r="O552" s="65"/>
      <c r="P552" s="65"/>
      <c r="Q552" s="65"/>
      <c r="R552" s="65"/>
      <c r="S552" s="65"/>
      <c r="T552" s="65"/>
      <c r="U552" s="65"/>
      <c r="V552" s="65"/>
      <c r="W552" s="65"/>
      <c r="X552" s="65"/>
    </row>
    <row r="553">
      <c r="A553" s="64"/>
      <c r="B553" s="64"/>
      <c r="C553" s="49"/>
      <c r="D553" s="49"/>
      <c r="E553" s="71"/>
      <c r="F553" s="71"/>
      <c r="G553" s="71"/>
      <c r="H553" s="71"/>
      <c r="I553" s="28"/>
      <c r="J553" s="28"/>
      <c r="K553" s="65"/>
      <c r="L553" s="65"/>
      <c r="M553" s="65"/>
      <c r="N553" s="65"/>
      <c r="O553" s="65"/>
      <c r="P553" s="65"/>
      <c r="Q553" s="65"/>
      <c r="R553" s="65"/>
      <c r="S553" s="65"/>
      <c r="T553" s="65"/>
      <c r="U553" s="65"/>
      <c r="V553" s="65"/>
      <c r="W553" s="65"/>
      <c r="X553" s="65"/>
    </row>
    <row r="554">
      <c r="A554" s="64"/>
      <c r="B554" s="64"/>
      <c r="C554" s="49"/>
      <c r="D554" s="49"/>
      <c r="E554" s="71"/>
      <c r="F554" s="71"/>
      <c r="G554" s="71"/>
      <c r="H554" s="71"/>
      <c r="I554" s="28"/>
      <c r="J554" s="28"/>
      <c r="K554" s="65"/>
      <c r="L554" s="65"/>
      <c r="M554" s="65"/>
      <c r="N554" s="65"/>
      <c r="O554" s="65"/>
      <c r="P554" s="65"/>
      <c r="Q554" s="65"/>
      <c r="R554" s="65"/>
      <c r="S554" s="65"/>
      <c r="T554" s="65"/>
      <c r="U554" s="65"/>
      <c r="V554" s="65"/>
      <c r="W554" s="65"/>
      <c r="X554" s="65"/>
    </row>
    <row r="555">
      <c r="A555" s="64"/>
      <c r="B555" s="64"/>
      <c r="C555" s="49"/>
      <c r="D555" s="49"/>
      <c r="E555" s="71"/>
      <c r="F555" s="71"/>
      <c r="G555" s="71"/>
      <c r="H555" s="71"/>
      <c r="I555" s="28"/>
      <c r="J555" s="28"/>
      <c r="K555" s="65"/>
      <c r="L555" s="65"/>
      <c r="M555" s="65"/>
      <c r="N555" s="65"/>
      <c r="O555" s="65"/>
      <c r="P555" s="65"/>
      <c r="Q555" s="65"/>
      <c r="R555" s="65"/>
      <c r="S555" s="65"/>
      <c r="T555" s="65"/>
      <c r="U555" s="65"/>
      <c r="V555" s="65"/>
      <c r="W555" s="65"/>
      <c r="X555" s="65"/>
    </row>
    <row r="556">
      <c r="A556" s="64"/>
      <c r="B556" s="64"/>
      <c r="C556" s="49"/>
      <c r="D556" s="49"/>
      <c r="E556" s="71"/>
      <c r="F556" s="71"/>
      <c r="G556" s="71"/>
      <c r="H556" s="71"/>
      <c r="I556" s="28"/>
      <c r="J556" s="28"/>
      <c r="K556" s="65"/>
      <c r="L556" s="65"/>
      <c r="M556" s="65"/>
      <c r="N556" s="65"/>
      <c r="O556" s="65"/>
      <c r="P556" s="65"/>
      <c r="Q556" s="65"/>
      <c r="R556" s="65"/>
      <c r="S556" s="65"/>
      <c r="T556" s="65"/>
      <c r="U556" s="65"/>
      <c r="V556" s="65"/>
      <c r="W556" s="65"/>
      <c r="X556" s="65"/>
    </row>
    <row r="557">
      <c r="A557" s="64"/>
      <c r="B557" s="64"/>
      <c r="C557" s="49"/>
      <c r="D557" s="49"/>
      <c r="E557" s="71"/>
      <c r="F557" s="71"/>
      <c r="G557" s="71"/>
      <c r="H557" s="71"/>
      <c r="I557" s="28"/>
      <c r="J557" s="28"/>
      <c r="K557" s="65"/>
      <c r="L557" s="65"/>
      <c r="M557" s="65"/>
      <c r="N557" s="65"/>
      <c r="O557" s="65"/>
      <c r="P557" s="65"/>
      <c r="Q557" s="65"/>
      <c r="R557" s="65"/>
      <c r="S557" s="65"/>
      <c r="T557" s="65"/>
      <c r="U557" s="65"/>
      <c r="V557" s="65"/>
      <c r="W557" s="65"/>
      <c r="X557" s="65"/>
    </row>
    <row r="558">
      <c r="A558" s="64"/>
      <c r="B558" s="64"/>
      <c r="C558" s="49"/>
      <c r="D558" s="49"/>
      <c r="E558" s="71"/>
      <c r="F558" s="71"/>
      <c r="G558" s="71"/>
      <c r="H558" s="71"/>
      <c r="I558" s="28"/>
      <c r="J558" s="28"/>
      <c r="K558" s="65"/>
      <c r="L558" s="65"/>
      <c r="M558" s="65"/>
      <c r="N558" s="65"/>
      <c r="O558" s="65"/>
      <c r="P558" s="65"/>
      <c r="Q558" s="65"/>
      <c r="R558" s="65"/>
      <c r="S558" s="65"/>
      <c r="T558" s="65"/>
      <c r="U558" s="65"/>
      <c r="V558" s="65"/>
      <c r="W558" s="65"/>
      <c r="X558" s="65"/>
    </row>
    <row r="559">
      <c r="A559" s="64"/>
      <c r="B559" s="64"/>
      <c r="C559" s="49"/>
      <c r="D559" s="49"/>
      <c r="E559" s="71"/>
      <c r="F559" s="71"/>
      <c r="G559" s="71"/>
      <c r="H559" s="71"/>
      <c r="I559" s="28"/>
      <c r="J559" s="28"/>
      <c r="K559" s="65"/>
      <c r="L559" s="65"/>
      <c r="M559" s="65"/>
      <c r="N559" s="65"/>
      <c r="O559" s="65"/>
      <c r="P559" s="65"/>
      <c r="Q559" s="65"/>
      <c r="R559" s="65"/>
      <c r="S559" s="65"/>
      <c r="T559" s="65"/>
      <c r="U559" s="65"/>
      <c r="V559" s="65"/>
      <c r="W559" s="65"/>
      <c r="X559" s="65"/>
    </row>
    <row r="560">
      <c r="A560" s="64"/>
      <c r="B560" s="64"/>
      <c r="C560" s="49"/>
      <c r="D560" s="49"/>
      <c r="E560" s="71"/>
      <c r="F560" s="71"/>
      <c r="G560" s="71"/>
      <c r="H560" s="71"/>
      <c r="I560" s="28"/>
      <c r="J560" s="28"/>
      <c r="K560" s="65"/>
      <c r="L560" s="65"/>
      <c r="M560" s="65"/>
      <c r="N560" s="65"/>
      <c r="O560" s="65"/>
      <c r="P560" s="65"/>
      <c r="Q560" s="65"/>
      <c r="R560" s="65"/>
      <c r="S560" s="65"/>
      <c r="T560" s="65"/>
      <c r="U560" s="65"/>
      <c r="V560" s="65"/>
      <c r="W560" s="65"/>
      <c r="X560" s="65"/>
    </row>
    <row r="561">
      <c r="A561" s="64"/>
      <c r="B561" s="64"/>
      <c r="C561" s="49"/>
      <c r="D561" s="49"/>
      <c r="E561" s="71"/>
      <c r="F561" s="71"/>
      <c r="G561" s="71"/>
      <c r="H561" s="71"/>
      <c r="I561" s="28"/>
      <c r="J561" s="28"/>
      <c r="K561" s="65"/>
      <c r="L561" s="65"/>
      <c r="M561" s="65"/>
      <c r="N561" s="65"/>
      <c r="O561" s="65"/>
      <c r="P561" s="65"/>
      <c r="Q561" s="65"/>
      <c r="R561" s="65"/>
      <c r="S561" s="65"/>
      <c r="T561" s="65"/>
      <c r="U561" s="65"/>
      <c r="V561" s="65"/>
      <c r="W561" s="65"/>
      <c r="X561" s="65"/>
    </row>
    <row r="562">
      <c r="A562" s="64"/>
      <c r="B562" s="64"/>
      <c r="C562" s="49"/>
      <c r="D562" s="49"/>
      <c r="E562" s="71"/>
      <c r="F562" s="71"/>
      <c r="G562" s="71"/>
      <c r="H562" s="71"/>
      <c r="I562" s="28"/>
      <c r="J562" s="28"/>
      <c r="K562" s="65"/>
      <c r="L562" s="65"/>
      <c r="M562" s="65"/>
      <c r="N562" s="65"/>
      <c r="O562" s="65"/>
      <c r="P562" s="65"/>
      <c r="Q562" s="65"/>
      <c r="R562" s="65"/>
      <c r="S562" s="65"/>
      <c r="T562" s="65"/>
      <c r="U562" s="65"/>
      <c r="V562" s="65"/>
      <c r="W562" s="65"/>
      <c r="X562" s="65"/>
    </row>
    <row r="563">
      <c r="A563" s="64"/>
      <c r="B563" s="64"/>
      <c r="C563" s="49"/>
      <c r="D563" s="49"/>
      <c r="E563" s="71"/>
      <c r="F563" s="71"/>
      <c r="G563" s="71"/>
      <c r="H563" s="71"/>
      <c r="I563" s="28"/>
      <c r="J563" s="28"/>
      <c r="K563" s="65"/>
      <c r="L563" s="65"/>
      <c r="M563" s="65"/>
      <c r="N563" s="65"/>
      <c r="O563" s="65"/>
      <c r="P563" s="65"/>
      <c r="Q563" s="65"/>
      <c r="R563" s="65"/>
      <c r="S563" s="65"/>
      <c r="T563" s="65"/>
      <c r="U563" s="65"/>
      <c r="V563" s="65"/>
      <c r="W563" s="65"/>
      <c r="X563" s="65"/>
    </row>
    <row r="564">
      <c r="A564" s="64"/>
      <c r="B564" s="64"/>
      <c r="C564" s="49"/>
      <c r="D564" s="49"/>
      <c r="E564" s="71"/>
      <c r="F564" s="71"/>
      <c r="G564" s="71"/>
      <c r="H564" s="71"/>
      <c r="I564" s="28"/>
      <c r="J564" s="28"/>
      <c r="K564" s="65"/>
      <c r="L564" s="65"/>
      <c r="M564" s="65"/>
      <c r="N564" s="65"/>
      <c r="O564" s="65"/>
      <c r="P564" s="65"/>
      <c r="Q564" s="65"/>
      <c r="R564" s="65"/>
      <c r="S564" s="65"/>
      <c r="T564" s="65"/>
      <c r="U564" s="65"/>
      <c r="V564" s="65"/>
      <c r="W564" s="65"/>
      <c r="X564" s="65"/>
    </row>
    <row r="565">
      <c r="A565" s="64"/>
      <c r="B565" s="64"/>
      <c r="C565" s="49"/>
      <c r="D565" s="49"/>
      <c r="E565" s="71"/>
      <c r="F565" s="71"/>
      <c r="G565" s="71"/>
      <c r="H565" s="71"/>
      <c r="I565" s="28"/>
      <c r="J565" s="28"/>
      <c r="K565" s="65"/>
      <c r="L565" s="65"/>
      <c r="M565" s="65"/>
      <c r="N565" s="65"/>
      <c r="O565" s="65"/>
      <c r="P565" s="65"/>
      <c r="Q565" s="65"/>
      <c r="R565" s="65"/>
      <c r="S565" s="65"/>
      <c r="T565" s="65"/>
      <c r="U565" s="65"/>
      <c r="V565" s="65"/>
      <c r="W565" s="65"/>
      <c r="X565" s="65"/>
    </row>
    <row r="566">
      <c r="A566" s="64"/>
      <c r="B566" s="64"/>
      <c r="C566" s="49"/>
      <c r="D566" s="49"/>
      <c r="E566" s="71"/>
      <c r="F566" s="71"/>
      <c r="G566" s="71"/>
      <c r="H566" s="71"/>
      <c r="I566" s="28"/>
      <c r="J566" s="28"/>
      <c r="K566" s="65"/>
      <c r="L566" s="65"/>
      <c r="M566" s="65"/>
      <c r="N566" s="65"/>
      <c r="O566" s="65"/>
      <c r="P566" s="65"/>
      <c r="Q566" s="65"/>
      <c r="R566" s="65"/>
      <c r="S566" s="65"/>
      <c r="T566" s="65"/>
      <c r="U566" s="65"/>
      <c r="V566" s="65"/>
      <c r="W566" s="65"/>
      <c r="X566" s="65"/>
    </row>
    <row r="567">
      <c r="A567" s="64"/>
      <c r="B567" s="64"/>
      <c r="C567" s="49"/>
      <c r="D567" s="49"/>
      <c r="E567" s="71"/>
      <c r="F567" s="71"/>
      <c r="G567" s="71"/>
      <c r="H567" s="71"/>
      <c r="I567" s="28"/>
      <c r="J567" s="28"/>
      <c r="K567" s="65"/>
      <c r="L567" s="65"/>
      <c r="M567" s="65"/>
      <c r="N567" s="65"/>
      <c r="O567" s="65"/>
      <c r="P567" s="65"/>
      <c r="Q567" s="65"/>
      <c r="R567" s="65"/>
      <c r="S567" s="65"/>
      <c r="T567" s="65"/>
      <c r="U567" s="65"/>
      <c r="V567" s="65"/>
      <c r="W567" s="65"/>
      <c r="X567" s="65"/>
    </row>
    <row r="568">
      <c r="A568" s="64"/>
      <c r="B568" s="64"/>
      <c r="C568" s="49"/>
      <c r="D568" s="49"/>
      <c r="E568" s="71"/>
      <c r="F568" s="71"/>
      <c r="G568" s="71"/>
      <c r="H568" s="71"/>
      <c r="I568" s="28"/>
      <c r="J568" s="28"/>
      <c r="K568" s="65"/>
      <c r="L568" s="65"/>
      <c r="M568" s="65"/>
      <c r="N568" s="65"/>
      <c r="O568" s="65"/>
      <c r="P568" s="65"/>
      <c r="Q568" s="65"/>
      <c r="R568" s="65"/>
      <c r="S568" s="65"/>
      <c r="T568" s="65"/>
      <c r="U568" s="65"/>
      <c r="V568" s="65"/>
      <c r="W568" s="65"/>
      <c r="X568" s="65"/>
    </row>
    <row r="569">
      <c r="A569" s="64"/>
      <c r="B569" s="64"/>
      <c r="C569" s="49"/>
      <c r="D569" s="49"/>
      <c r="E569" s="71"/>
      <c r="F569" s="71"/>
      <c r="G569" s="71"/>
      <c r="H569" s="71"/>
      <c r="I569" s="28"/>
      <c r="J569" s="28"/>
      <c r="K569" s="65"/>
      <c r="L569" s="65"/>
      <c r="M569" s="65"/>
      <c r="N569" s="65"/>
      <c r="O569" s="65"/>
      <c r="P569" s="65"/>
      <c r="Q569" s="65"/>
      <c r="R569" s="65"/>
      <c r="S569" s="65"/>
      <c r="T569" s="65"/>
      <c r="U569" s="65"/>
      <c r="V569" s="65"/>
      <c r="W569" s="65"/>
      <c r="X569" s="65"/>
    </row>
    <row r="570">
      <c r="A570" s="64"/>
      <c r="B570" s="64"/>
      <c r="C570" s="49"/>
      <c r="D570" s="49"/>
      <c r="E570" s="71"/>
      <c r="F570" s="71"/>
      <c r="G570" s="71"/>
      <c r="H570" s="71"/>
      <c r="I570" s="28"/>
      <c r="J570" s="28"/>
      <c r="K570" s="65"/>
      <c r="L570" s="65"/>
      <c r="M570" s="65"/>
      <c r="N570" s="65"/>
      <c r="O570" s="65"/>
      <c r="P570" s="65"/>
      <c r="Q570" s="65"/>
      <c r="R570" s="65"/>
      <c r="S570" s="65"/>
      <c r="T570" s="65"/>
      <c r="U570" s="65"/>
      <c r="V570" s="65"/>
      <c r="W570" s="65"/>
      <c r="X570" s="65"/>
    </row>
    <row r="571">
      <c r="A571" s="64"/>
      <c r="B571" s="64"/>
      <c r="C571" s="49"/>
      <c r="D571" s="49"/>
      <c r="E571" s="71"/>
      <c r="F571" s="71"/>
      <c r="G571" s="71"/>
      <c r="H571" s="71"/>
      <c r="I571" s="28"/>
      <c r="J571" s="28"/>
      <c r="K571" s="65"/>
      <c r="L571" s="65"/>
      <c r="M571" s="65"/>
      <c r="N571" s="65"/>
      <c r="O571" s="65"/>
      <c r="P571" s="65"/>
      <c r="Q571" s="65"/>
      <c r="R571" s="65"/>
      <c r="S571" s="65"/>
      <c r="T571" s="65"/>
      <c r="U571" s="65"/>
      <c r="V571" s="65"/>
      <c r="W571" s="65"/>
      <c r="X571" s="65"/>
    </row>
    <row r="572">
      <c r="A572" s="64"/>
      <c r="B572" s="64"/>
      <c r="C572" s="49"/>
      <c r="D572" s="49"/>
      <c r="E572" s="71"/>
      <c r="F572" s="71"/>
      <c r="G572" s="71"/>
      <c r="H572" s="71"/>
      <c r="I572" s="28"/>
      <c r="J572" s="28"/>
      <c r="K572" s="65"/>
      <c r="L572" s="65"/>
      <c r="M572" s="65"/>
      <c r="N572" s="65"/>
      <c r="O572" s="65"/>
      <c r="P572" s="65"/>
      <c r="Q572" s="65"/>
      <c r="R572" s="65"/>
      <c r="S572" s="65"/>
      <c r="T572" s="65"/>
      <c r="U572" s="65"/>
      <c r="V572" s="65"/>
      <c r="W572" s="65"/>
      <c r="X572" s="65"/>
    </row>
    <row r="573">
      <c r="A573" s="64"/>
      <c r="B573" s="64"/>
      <c r="C573" s="49"/>
      <c r="D573" s="49"/>
      <c r="E573" s="71"/>
      <c r="F573" s="71"/>
      <c r="G573" s="71"/>
      <c r="H573" s="71"/>
      <c r="I573" s="28"/>
      <c r="J573" s="28"/>
      <c r="K573" s="65"/>
      <c r="L573" s="65"/>
      <c r="M573" s="65"/>
      <c r="N573" s="65"/>
      <c r="O573" s="65"/>
      <c r="P573" s="65"/>
      <c r="Q573" s="65"/>
      <c r="R573" s="65"/>
      <c r="S573" s="65"/>
      <c r="T573" s="65"/>
      <c r="U573" s="65"/>
      <c r="V573" s="65"/>
      <c r="W573" s="65"/>
      <c r="X573" s="65"/>
    </row>
    <row r="574">
      <c r="A574" s="64"/>
      <c r="B574" s="64"/>
      <c r="C574" s="49"/>
      <c r="D574" s="49"/>
      <c r="E574" s="71"/>
      <c r="F574" s="71"/>
      <c r="G574" s="71"/>
      <c r="H574" s="71"/>
      <c r="I574" s="28"/>
      <c r="J574" s="28"/>
      <c r="K574" s="65"/>
      <c r="L574" s="65"/>
      <c r="M574" s="65"/>
      <c r="N574" s="65"/>
      <c r="O574" s="65"/>
      <c r="P574" s="65"/>
      <c r="Q574" s="65"/>
      <c r="R574" s="65"/>
      <c r="S574" s="65"/>
      <c r="T574" s="65"/>
      <c r="U574" s="65"/>
      <c r="V574" s="65"/>
      <c r="W574" s="65"/>
      <c r="X574" s="65"/>
    </row>
    <row r="575">
      <c r="A575" s="64"/>
      <c r="B575" s="64"/>
      <c r="C575" s="49"/>
      <c r="D575" s="49"/>
      <c r="E575" s="71"/>
      <c r="F575" s="71"/>
      <c r="G575" s="71"/>
      <c r="H575" s="71"/>
      <c r="I575" s="28"/>
      <c r="J575" s="28"/>
      <c r="K575" s="65"/>
      <c r="L575" s="65"/>
      <c r="M575" s="65"/>
      <c r="N575" s="65"/>
      <c r="O575" s="65"/>
      <c r="P575" s="65"/>
      <c r="Q575" s="65"/>
      <c r="R575" s="65"/>
      <c r="S575" s="65"/>
      <c r="T575" s="65"/>
      <c r="U575" s="65"/>
      <c r="V575" s="65"/>
      <c r="W575" s="65"/>
      <c r="X575" s="65"/>
    </row>
    <row r="576">
      <c r="A576" s="64"/>
      <c r="B576" s="64"/>
      <c r="C576" s="49"/>
      <c r="D576" s="49"/>
      <c r="E576" s="71"/>
      <c r="F576" s="71"/>
      <c r="G576" s="71"/>
      <c r="H576" s="71"/>
      <c r="I576" s="28"/>
      <c r="J576" s="28"/>
      <c r="K576" s="65"/>
      <c r="L576" s="65"/>
      <c r="M576" s="65"/>
      <c r="N576" s="65"/>
      <c r="O576" s="65"/>
      <c r="P576" s="65"/>
      <c r="Q576" s="65"/>
      <c r="R576" s="65"/>
      <c r="S576" s="65"/>
      <c r="T576" s="65"/>
      <c r="U576" s="65"/>
      <c r="V576" s="65"/>
      <c r="W576" s="65"/>
      <c r="X576" s="65"/>
    </row>
    <row r="577">
      <c r="A577" s="64"/>
      <c r="B577" s="64"/>
      <c r="C577" s="49"/>
      <c r="D577" s="49"/>
      <c r="E577" s="71"/>
      <c r="F577" s="71"/>
      <c r="G577" s="71"/>
      <c r="H577" s="71"/>
      <c r="I577" s="28"/>
      <c r="J577" s="28"/>
      <c r="K577" s="65"/>
      <c r="L577" s="65"/>
      <c r="M577" s="65"/>
      <c r="N577" s="65"/>
      <c r="O577" s="65"/>
      <c r="P577" s="65"/>
      <c r="Q577" s="65"/>
      <c r="R577" s="65"/>
      <c r="S577" s="65"/>
      <c r="T577" s="65"/>
      <c r="U577" s="65"/>
      <c r="V577" s="65"/>
      <c r="W577" s="65"/>
      <c r="X577" s="65"/>
    </row>
    <row r="578">
      <c r="A578" s="64"/>
      <c r="B578" s="64"/>
      <c r="C578" s="49"/>
      <c r="D578" s="49"/>
      <c r="E578" s="71"/>
      <c r="F578" s="71"/>
      <c r="G578" s="71"/>
      <c r="H578" s="71"/>
      <c r="I578" s="28"/>
      <c r="J578" s="28"/>
      <c r="K578" s="65"/>
      <c r="L578" s="65"/>
      <c r="M578" s="65"/>
      <c r="N578" s="65"/>
      <c r="O578" s="65"/>
      <c r="P578" s="65"/>
      <c r="Q578" s="65"/>
      <c r="R578" s="65"/>
      <c r="S578" s="65"/>
      <c r="T578" s="65"/>
      <c r="U578" s="65"/>
      <c r="V578" s="65"/>
      <c r="W578" s="65"/>
      <c r="X578" s="65"/>
    </row>
    <row r="579">
      <c r="A579" s="64"/>
      <c r="B579" s="64"/>
      <c r="C579" s="49"/>
      <c r="D579" s="49"/>
      <c r="E579" s="71"/>
      <c r="F579" s="71"/>
      <c r="G579" s="71"/>
      <c r="H579" s="71"/>
      <c r="I579" s="28"/>
      <c r="J579" s="28"/>
      <c r="K579" s="65"/>
      <c r="L579" s="65"/>
      <c r="M579" s="65"/>
      <c r="N579" s="65"/>
      <c r="O579" s="65"/>
      <c r="P579" s="65"/>
      <c r="Q579" s="65"/>
      <c r="R579" s="65"/>
      <c r="S579" s="65"/>
      <c r="T579" s="65"/>
      <c r="U579" s="65"/>
      <c r="V579" s="65"/>
      <c r="W579" s="65"/>
      <c r="X579" s="65"/>
    </row>
    <row r="580">
      <c r="A580" s="64"/>
      <c r="B580" s="64"/>
      <c r="C580" s="49"/>
      <c r="D580" s="49"/>
      <c r="E580" s="71"/>
      <c r="F580" s="71"/>
      <c r="G580" s="71"/>
      <c r="H580" s="71"/>
      <c r="I580" s="28"/>
      <c r="J580" s="28"/>
      <c r="K580" s="65"/>
      <c r="L580" s="65"/>
      <c r="M580" s="65"/>
      <c r="N580" s="65"/>
      <c r="O580" s="65"/>
      <c r="P580" s="65"/>
      <c r="Q580" s="65"/>
      <c r="R580" s="65"/>
      <c r="S580" s="65"/>
      <c r="T580" s="65"/>
      <c r="U580" s="65"/>
      <c r="V580" s="65"/>
      <c r="W580" s="65"/>
      <c r="X580" s="65"/>
    </row>
    <row r="581">
      <c r="A581" s="64"/>
      <c r="B581" s="64"/>
      <c r="C581" s="49"/>
      <c r="D581" s="49"/>
      <c r="E581" s="71"/>
      <c r="F581" s="71"/>
      <c r="G581" s="71"/>
      <c r="H581" s="71"/>
      <c r="I581" s="28"/>
      <c r="J581" s="28"/>
      <c r="K581" s="65"/>
      <c r="L581" s="65"/>
      <c r="M581" s="65"/>
      <c r="N581" s="65"/>
      <c r="O581" s="65"/>
      <c r="P581" s="65"/>
      <c r="Q581" s="65"/>
      <c r="R581" s="65"/>
      <c r="S581" s="65"/>
      <c r="T581" s="65"/>
      <c r="U581" s="65"/>
      <c r="V581" s="65"/>
      <c r="W581" s="65"/>
      <c r="X581" s="65"/>
    </row>
    <row r="582">
      <c r="A582" s="64"/>
      <c r="B582" s="64"/>
      <c r="C582" s="49"/>
      <c r="D582" s="49"/>
      <c r="E582" s="71"/>
      <c r="F582" s="71"/>
      <c r="G582" s="71"/>
      <c r="H582" s="71"/>
      <c r="I582" s="28"/>
      <c r="J582" s="28"/>
      <c r="K582" s="65"/>
      <c r="L582" s="65"/>
      <c r="M582" s="65"/>
      <c r="N582" s="65"/>
      <c r="O582" s="65"/>
      <c r="P582" s="65"/>
      <c r="Q582" s="65"/>
      <c r="R582" s="65"/>
      <c r="S582" s="65"/>
      <c r="T582" s="65"/>
      <c r="U582" s="65"/>
      <c r="V582" s="65"/>
      <c r="W582" s="65"/>
      <c r="X582" s="65"/>
    </row>
    <row r="583">
      <c r="A583" s="64"/>
      <c r="B583" s="64"/>
      <c r="C583" s="49"/>
      <c r="D583" s="49"/>
      <c r="E583" s="71"/>
      <c r="F583" s="71"/>
      <c r="G583" s="71"/>
      <c r="H583" s="71"/>
      <c r="I583" s="28"/>
      <c r="J583" s="28"/>
      <c r="K583" s="65"/>
      <c r="L583" s="65"/>
      <c r="M583" s="65"/>
      <c r="N583" s="65"/>
      <c r="O583" s="65"/>
      <c r="P583" s="65"/>
      <c r="Q583" s="65"/>
      <c r="R583" s="65"/>
      <c r="S583" s="65"/>
      <c r="T583" s="65"/>
      <c r="U583" s="65"/>
      <c r="V583" s="65"/>
      <c r="W583" s="65"/>
      <c r="X583" s="65"/>
    </row>
    <row r="584">
      <c r="A584" s="64"/>
      <c r="B584" s="64"/>
      <c r="C584" s="49"/>
      <c r="D584" s="49"/>
      <c r="E584" s="71"/>
      <c r="F584" s="71"/>
      <c r="G584" s="71"/>
      <c r="H584" s="71"/>
      <c r="I584" s="28"/>
      <c r="J584" s="28"/>
      <c r="K584" s="65"/>
      <c r="L584" s="65"/>
      <c r="M584" s="65"/>
      <c r="N584" s="65"/>
      <c r="O584" s="65"/>
      <c r="P584" s="65"/>
      <c r="Q584" s="65"/>
      <c r="R584" s="65"/>
      <c r="S584" s="65"/>
      <c r="T584" s="65"/>
      <c r="U584" s="65"/>
      <c r="V584" s="65"/>
      <c r="W584" s="65"/>
      <c r="X584" s="65"/>
    </row>
    <row r="585">
      <c r="A585" s="64"/>
      <c r="B585" s="64"/>
      <c r="C585" s="49"/>
      <c r="D585" s="49"/>
      <c r="E585" s="71"/>
      <c r="F585" s="71"/>
      <c r="G585" s="71"/>
      <c r="H585" s="71"/>
      <c r="I585" s="28"/>
      <c r="J585" s="28"/>
      <c r="K585" s="65"/>
      <c r="L585" s="65"/>
      <c r="M585" s="65"/>
      <c r="N585" s="65"/>
      <c r="O585" s="65"/>
      <c r="P585" s="65"/>
      <c r="Q585" s="65"/>
      <c r="R585" s="65"/>
      <c r="S585" s="65"/>
      <c r="T585" s="65"/>
      <c r="U585" s="65"/>
      <c r="V585" s="65"/>
      <c r="W585" s="65"/>
      <c r="X585" s="65"/>
    </row>
    <row r="586">
      <c r="A586" s="64"/>
      <c r="B586" s="64"/>
      <c r="C586" s="49"/>
      <c r="D586" s="49"/>
      <c r="E586" s="71"/>
      <c r="F586" s="71"/>
      <c r="G586" s="71"/>
      <c r="H586" s="71"/>
      <c r="I586" s="28"/>
      <c r="J586" s="28"/>
      <c r="K586" s="65"/>
      <c r="L586" s="65"/>
      <c r="M586" s="65"/>
      <c r="N586" s="65"/>
      <c r="O586" s="65"/>
      <c r="P586" s="65"/>
      <c r="Q586" s="65"/>
      <c r="R586" s="65"/>
      <c r="S586" s="65"/>
      <c r="T586" s="65"/>
      <c r="U586" s="65"/>
      <c r="V586" s="65"/>
      <c r="W586" s="65"/>
      <c r="X586" s="65"/>
    </row>
    <row r="587">
      <c r="A587" s="64"/>
      <c r="B587" s="64"/>
      <c r="C587" s="49"/>
      <c r="D587" s="49"/>
      <c r="E587" s="71"/>
      <c r="F587" s="71"/>
      <c r="G587" s="71"/>
      <c r="H587" s="71"/>
      <c r="I587" s="28"/>
      <c r="J587" s="28"/>
      <c r="K587" s="65"/>
      <c r="L587" s="65"/>
      <c r="M587" s="65"/>
      <c r="N587" s="65"/>
      <c r="O587" s="65"/>
      <c r="P587" s="65"/>
      <c r="Q587" s="65"/>
      <c r="R587" s="65"/>
      <c r="S587" s="65"/>
      <c r="T587" s="65"/>
      <c r="U587" s="65"/>
      <c r="V587" s="65"/>
      <c r="W587" s="65"/>
      <c r="X587" s="65"/>
    </row>
    <row r="588">
      <c r="A588" s="64"/>
      <c r="B588" s="64"/>
      <c r="C588" s="49"/>
      <c r="D588" s="49"/>
      <c r="E588" s="71"/>
      <c r="F588" s="71"/>
      <c r="G588" s="71"/>
      <c r="H588" s="71"/>
      <c r="I588" s="28"/>
      <c r="J588" s="28"/>
      <c r="K588" s="65"/>
      <c r="L588" s="65"/>
      <c r="M588" s="65"/>
      <c r="N588" s="65"/>
      <c r="O588" s="65"/>
      <c r="P588" s="65"/>
      <c r="Q588" s="65"/>
      <c r="R588" s="65"/>
      <c r="S588" s="65"/>
      <c r="T588" s="65"/>
      <c r="U588" s="65"/>
      <c r="V588" s="65"/>
      <c r="W588" s="65"/>
      <c r="X588" s="65"/>
    </row>
    <row r="589">
      <c r="A589" s="64"/>
      <c r="B589" s="64"/>
      <c r="C589" s="49"/>
      <c r="D589" s="49"/>
      <c r="E589" s="71"/>
      <c r="F589" s="71"/>
      <c r="G589" s="71"/>
      <c r="H589" s="71"/>
      <c r="I589" s="28"/>
      <c r="J589" s="28"/>
      <c r="K589" s="65"/>
      <c r="L589" s="65"/>
      <c r="M589" s="65"/>
      <c r="N589" s="65"/>
      <c r="O589" s="65"/>
      <c r="P589" s="65"/>
      <c r="Q589" s="65"/>
      <c r="R589" s="65"/>
      <c r="S589" s="65"/>
      <c r="T589" s="65"/>
      <c r="U589" s="65"/>
      <c r="V589" s="65"/>
      <c r="W589" s="65"/>
      <c r="X589" s="65"/>
    </row>
    <row r="590">
      <c r="A590" s="64"/>
      <c r="B590" s="64"/>
      <c r="C590" s="49"/>
      <c r="D590" s="49"/>
      <c r="E590" s="71"/>
      <c r="F590" s="71"/>
      <c r="G590" s="71"/>
      <c r="H590" s="71"/>
      <c r="I590" s="28"/>
      <c r="J590" s="28"/>
      <c r="K590" s="65"/>
      <c r="L590" s="65"/>
      <c r="M590" s="65"/>
      <c r="N590" s="65"/>
      <c r="O590" s="65"/>
      <c r="P590" s="65"/>
      <c r="Q590" s="65"/>
      <c r="R590" s="65"/>
      <c r="S590" s="65"/>
      <c r="T590" s="65"/>
      <c r="U590" s="65"/>
      <c r="V590" s="65"/>
      <c r="W590" s="65"/>
      <c r="X590" s="65"/>
    </row>
    <row r="591">
      <c r="A591" s="64"/>
      <c r="B591" s="64"/>
      <c r="C591" s="49"/>
      <c r="D591" s="49"/>
      <c r="E591" s="71"/>
      <c r="F591" s="71"/>
      <c r="G591" s="71"/>
      <c r="H591" s="71"/>
      <c r="I591" s="28"/>
      <c r="J591" s="28"/>
      <c r="K591" s="65"/>
      <c r="L591" s="65"/>
      <c r="M591" s="65"/>
      <c r="N591" s="65"/>
      <c r="O591" s="65"/>
      <c r="P591" s="65"/>
      <c r="Q591" s="65"/>
      <c r="R591" s="65"/>
      <c r="S591" s="65"/>
      <c r="T591" s="65"/>
      <c r="U591" s="65"/>
      <c r="V591" s="65"/>
      <c r="W591" s="65"/>
      <c r="X591" s="65"/>
    </row>
    <row r="592">
      <c r="A592" s="64"/>
      <c r="B592" s="64"/>
      <c r="C592" s="49"/>
      <c r="D592" s="49"/>
      <c r="E592" s="71"/>
      <c r="F592" s="71"/>
      <c r="G592" s="71"/>
      <c r="H592" s="71"/>
      <c r="I592" s="28"/>
      <c r="J592" s="28"/>
      <c r="K592" s="65"/>
      <c r="L592" s="65"/>
      <c r="M592" s="65"/>
      <c r="N592" s="65"/>
      <c r="O592" s="65"/>
      <c r="P592" s="65"/>
      <c r="Q592" s="65"/>
      <c r="R592" s="65"/>
      <c r="S592" s="65"/>
      <c r="T592" s="65"/>
      <c r="U592" s="65"/>
      <c r="V592" s="65"/>
      <c r="W592" s="65"/>
      <c r="X592" s="65"/>
    </row>
    <row r="593">
      <c r="A593" s="64"/>
      <c r="B593" s="64"/>
      <c r="C593" s="49"/>
      <c r="D593" s="49"/>
      <c r="E593" s="71"/>
      <c r="F593" s="71"/>
      <c r="G593" s="71"/>
      <c r="H593" s="71"/>
      <c r="I593" s="28"/>
      <c r="J593" s="28"/>
      <c r="K593" s="65"/>
      <c r="L593" s="65"/>
      <c r="M593" s="65"/>
      <c r="N593" s="65"/>
      <c r="O593" s="65"/>
      <c r="P593" s="65"/>
      <c r="Q593" s="65"/>
      <c r="R593" s="65"/>
      <c r="S593" s="65"/>
      <c r="T593" s="65"/>
      <c r="U593" s="65"/>
      <c r="V593" s="65"/>
      <c r="W593" s="65"/>
      <c r="X593" s="65"/>
    </row>
    <row r="594">
      <c r="A594" s="64"/>
      <c r="B594" s="64"/>
      <c r="C594" s="49"/>
      <c r="D594" s="49"/>
      <c r="E594" s="71"/>
      <c r="F594" s="71"/>
      <c r="G594" s="71"/>
      <c r="H594" s="71"/>
      <c r="I594" s="28"/>
      <c r="J594" s="28"/>
      <c r="K594" s="65"/>
      <c r="L594" s="65"/>
      <c r="M594" s="65"/>
      <c r="N594" s="65"/>
      <c r="O594" s="65"/>
      <c r="P594" s="65"/>
      <c r="Q594" s="65"/>
      <c r="R594" s="65"/>
      <c r="S594" s="65"/>
      <c r="T594" s="65"/>
      <c r="U594" s="65"/>
      <c r="V594" s="65"/>
      <c r="W594" s="65"/>
      <c r="X594" s="65"/>
    </row>
    <row r="595">
      <c r="A595" s="64"/>
      <c r="B595" s="64"/>
      <c r="C595" s="49"/>
      <c r="D595" s="49"/>
      <c r="E595" s="71"/>
      <c r="F595" s="71"/>
      <c r="G595" s="71"/>
      <c r="H595" s="71"/>
      <c r="I595" s="28"/>
      <c r="J595" s="28"/>
      <c r="K595" s="65"/>
      <c r="L595" s="65"/>
      <c r="M595" s="65"/>
      <c r="N595" s="65"/>
      <c r="O595" s="65"/>
      <c r="P595" s="65"/>
      <c r="Q595" s="65"/>
      <c r="R595" s="65"/>
      <c r="S595" s="65"/>
      <c r="T595" s="65"/>
      <c r="U595" s="65"/>
      <c r="V595" s="65"/>
      <c r="W595" s="65"/>
      <c r="X595" s="65"/>
    </row>
    <row r="596">
      <c r="A596" s="64"/>
      <c r="B596" s="64"/>
      <c r="C596" s="49"/>
      <c r="D596" s="49"/>
      <c r="E596" s="71"/>
      <c r="F596" s="71"/>
      <c r="G596" s="71"/>
      <c r="H596" s="71"/>
      <c r="I596" s="28"/>
      <c r="J596" s="28"/>
      <c r="K596" s="65"/>
      <c r="L596" s="65"/>
      <c r="M596" s="65"/>
      <c r="N596" s="65"/>
      <c r="O596" s="65"/>
      <c r="P596" s="65"/>
      <c r="Q596" s="65"/>
      <c r="R596" s="65"/>
      <c r="S596" s="65"/>
      <c r="T596" s="65"/>
      <c r="U596" s="65"/>
      <c r="V596" s="65"/>
      <c r="W596" s="65"/>
      <c r="X596" s="65"/>
    </row>
    <row r="597">
      <c r="A597" s="64"/>
      <c r="B597" s="64"/>
      <c r="C597" s="49"/>
      <c r="D597" s="49"/>
      <c r="E597" s="71"/>
      <c r="F597" s="71"/>
      <c r="G597" s="71"/>
      <c r="H597" s="71"/>
      <c r="I597" s="28"/>
      <c r="J597" s="28"/>
      <c r="K597" s="65"/>
      <c r="L597" s="65"/>
      <c r="M597" s="65"/>
      <c r="N597" s="65"/>
      <c r="O597" s="65"/>
      <c r="P597" s="65"/>
      <c r="Q597" s="65"/>
      <c r="R597" s="65"/>
      <c r="S597" s="65"/>
      <c r="T597" s="65"/>
      <c r="U597" s="65"/>
      <c r="V597" s="65"/>
      <c r="W597" s="65"/>
      <c r="X597" s="65"/>
    </row>
    <row r="598">
      <c r="A598" s="64"/>
      <c r="B598" s="64"/>
      <c r="C598" s="49"/>
      <c r="D598" s="49"/>
      <c r="E598" s="71"/>
      <c r="F598" s="71"/>
      <c r="G598" s="71"/>
      <c r="H598" s="71"/>
      <c r="I598" s="28"/>
      <c r="J598" s="28"/>
      <c r="K598" s="65"/>
      <c r="L598" s="65"/>
      <c r="M598" s="65"/>
      <c r="N598" s="65"/>
      <c r="O598" s="65"/>
      <c r="P598" s="65"/>
      <c r="Q598" s="65"/>
      <c r="R598" s="65"/>
      <c r="S598" s="65"/>
      <c r="T598" s="65"/>
      <c r="U598" s="65"/>
      <c r="V598" s="65"/>
      <c r="W598" s="65"/>
      <c r="X598" s="65"/>
    </row>
    <row r="599">
      <c r="A599" s="64"/>
      <c r="B599" s="64"/>
      <c r="C599" s="49"/>
      <c r="D599" s="49"/>
      <c r="E599" s="71"/>
      <c r="F599" s="71"/>
      <c r="G599" s="71"/>
      <c r="H599" s="71"/>
      <c r="I599" s="28"/>
      <c r="J599" s="28"/>
      <c r="K599" s="65"/>
      <c r="L599" s="65"/>
      <c r="M599" s="65"/>
      <c r="N599" s="65"/>
      <c r="O599" s="65"/>
      <c r="P599" s="65"/>
      <c r="Q599" s="65"/>
      <c r="R599" s="65"/>
      <c r="S599" s="65"/>
      <c r="T599" s="65"/>
      <c r="U599" s="65"/>
      <c r="V599" s="65"/>
      <c r="W599" s="65"/>
      <c r="X599" s="65"/>
    </row>
    <row r="600">
      <c r="A600" s="64"/>
      <c r="B600" s="64"/>
      <c r="C600" s="49"/>
      <c r="D600" s="49"/>
      <c r="E600" s="71"/>
      <c r="F600" s="71"/>
      <c r="G600" s="71"/>
      <c r="H600" s="71"/>
      <c r="I600" s="28"/>
      <c r="J600" s="28"/>
      <c r="K600" s="65"/>
      <c r="L600" s="65"/>
      <c r="M600" s="65"/>
      <c r="N600" s="65"/>
      <c r="O600" s="65"/>
      <c r="P600" s="65"/>
      <c r="Q600" s="65"/>
      <c r="R600" s="65"/>
      <c r="S600" s="65"/>
      <c r="T600" s="65"/>
      <c r="U600" s="65"/>
      <c r="V600" s="65"/>
      <c r="W600" s="65"/>
      <c r="X600" s="65"/>
    </row>
    <row r="601">
      <c r="A601" s="64"/>
      <c r="B601" s="64"/>
      <c r="C601" s="49"/>
      <c r="D601" s="49"/>
      <c r="E601" s="71"/>
      <c r="F601" s="71"/>
      <c r="G601" s="71"/>
      <c r="H601" s="71"/>
      <c r="I601" s="28"/>
      <c r="J601" s="28"/>
      <c r="K601" s="65"/>
      <c r="L601" s="65"/>
      <c r="M601" s="65"/>
      <c r="N601" s="65"/>
      <c r="O601" s="65"/>
      <c r="P601" s="65"/>
      <c r="Q601" s="65"/>
      <c r="R601" s="65"/>
      <c r="S601" s="65"/>
      <c r="T601" s="65"/>
      <c r="U601" s="65"/>
      <c r="V601" s="65"/>
      <c r="W601" s="65"/>
      <c r="X601" s="65"/>
    </row>
    <row r="602">
      <c r="A602" s="64"/>
      <c r="B602" s="64"/>
      <c r="C602" s="49"/>
      <c r="D602" s="49"/>
      <c r="E602" s="71"/>
      <c r="F602" s="71"/>
      <c r="G602" s="71"/>
      <c r="H602" s="71"/>
      <c r="I602" s="28"/>
      <c r="J602" s="28"/>
      <c r="K602" s="65"/>
      <c r="L602" s="65"/>
      <c r="M602" s="65"/>
      <c r="N602" s="65"/>
      <c r="O602" s="65"/>
      <c r="P602" s="65"/>
      <c r="Q602" s="65"/>
      <c r="R602" s="65"/>
      <c r="S602" s="65"/>
      <c r="T602" s="65"/>
      <c r="U602" s="65"/>
      <c r="V602" s="65"/>
      <c r="W602" s="65"/>
      <c r="X602" s="65"/>
    </row>
    <row r="603">
      <c r="A603" s="64"/>
      <c r="B603" s="64"/>
      <c r="C603" s="49"/>
      <c r="D603" s="49"/>
      <c r="E603" s="71"/>
      <c r="F603" s="71"/>
      <c r="G603" s="71"/>
      <c r="H603" s="71"/>
      <c r="I603" s="28"/>
      <c r="J603" s="28"/>
      <c r="K603" s="65"/>
      <c r="L603" s="65"/>
      <c r="M603" s="65"/>
      <c r="N603" s="65"/>
      <c r="O603" s="65"/>
      <c r="P603" s="65"/>
      <c r="Q603" s="65"/>
      <c r="R603" s="65"/>
      <c r="S603" s="65"/>
      <c r="T603" s="65"/>
      <c r="U603" s="65"/>
      <c r="V603" s="65"/>
      <c r="W603" s="65"/>
      <c r="X603" s="65"/>
    </row>
    <row r="604">
      <c r="A604" s="64"/>
      <c r="B604" s="64"/>
      <c r="C604" s="49"/>
      <c r="D604" s="49"/>
      <c r="E604" s="71"/>
      <c r="F604" s="71"/>
      <c r="G604" s="71"/>
      <c r="H604" s="71"/>
      <c r="I604" s="28"/>
      <c r="J604" s="28"/>
      <c r="K604" s="65"/>
      <c r="L604" s="65"/>
      <c r="M604" s="65"/>
      <c r="N604" s="65"/>
      <c r="O604" s="65"/>
      <c r="P604" s="65"/>
      <c r="Q604" s="65"/>
      <c r="R604" s="65"/>
      <c r="S604" s="65"/>
      <c r="T604" s="65"/>
      <c r="U604" s="65"/>
      <c r="V604" s="65"/>
      <c r="W604" s="65"/>
      <c r="X604" s="65"/>
    </row>
    <row r="605">
      <c r="A605" s="64"/>
      <c r="B605" s="64"/>
      <c r="C605" s="49"/>
      <c r="D605" s="49"/>
      <c r="E605" s="71"/>
      <c r="F605" s="71"/>
      <c r="G605" s="71"/>
      <c r="H605" s="71"/>
      <c r="I605" s="28"/>
      <c r="J605" s="28"/>
      <c r="K605" s="65"/>
      <c r="L605" s="65"/>
      <c r="M605" s="65"/>
      <c r="N605" s="65"/>
      <c r="O605" s="65"/>
      <c r="P605" s="65"/>
      <c r="Q605" s="65"/>
      <c r="R605" s="65"/>
      <c r="S605" s="65"/>
      <c r="T605" s="65"/>
      <c r="U605" s="65"/>
      <c r="V605" s="65"/>
      <c r="W605" s="65"/>
      <c r="X605" s="65"/>
    </row>
    <row r="606">
      <c r="A606" s="64"/>
      <c r="B606" s="64"/>
      <c r="C606" s="49"/>
      <c r="D606" s="49"/>
      <c r="E606" s="71"/>
      <c r="F606" s="71"/>
      <c r="G606" s="71"/>
      <c r="H606" s="71"/>
      <c r="I606" s="28"/>
      <c r="J606" s="28"/>
      <c r="K606" s="65"/>
      <c r="L606" s="65"/>
      <c r="M606" s="65"/>
      <c r="N606" s="65"/>
      <c r="O606" s="65"/>
      <c r="P606" s="65"/>
      <c r="Q606" s="65"/>
      <c r="R606" s="65"/>
      <c r="S606" s="65"/>
      <c r="T606" s="65"/>
      <c r="U606" s="65"/>
      <c r="V606" s="65"/>
      <c r="W606" s="65"/>
      <c r="X606" s="65"/>
    </row>
    <row r="607">
      <c r="A607" s="64"/>
      <c r="B607" s="64"/>
      <c r="C607" s="49"/>
      <c r="D607" s="49"/>
      <c r="E607" s="71"/>
      <c r="F607" s="71"/>
      <c r="G607" s="71"/>
      <c r="H607" s="71"/>
      <c r="I607" s="28"/>
      <c r="J607" s="28"/>
      <c r="K607" s="65"/>
      <c r="L607" s="65"/>
      <c r="M607" s="65"/>
      <c r="N607" s="65"/>
      <c r="O607" s="65"/>
      <c r="P607" s="65"/>
      <c r="Q607" s="65"/>
      <c r="R607" s="65"/>
      <c r="S607" s="65"/>
      <c r="T607" s="65"/>
      <c r="U607" s="65"/>
      <c r="V607" s="65"/>
      <c r="W607" s="65"/>
      <c r="X607" s="65"/>
    </row>
    <row r="608">
      <c r="A608" s="64"/>
      <c r="B608" s="64"/>
      <c r="C608" s="49"/>
      <c r="D608" s="49"/>
      <c r="E608" s="71"/>
      <c r="F608" s="71"/>
      <c r="G608" s="71"/>
      <c r="H608" s="71"/>
      <c r="I608" s="28"/>
      <c r="J608" s="28"/>
      <c r="K608" s="65"/>
      <c r="L608" s="65"/>
      <c r="M608" s="65"/>
      <c r="N608" s="65"/>
      <c r="O608" s="65"/>
      <c r="P608" s="65"/>
      <c r="Q608" s="65"/>
      <c r="R608" s="65"/>
      <c r="S608" s="65"/>
      <c r="T608" s="65"/>
      <c r="U608" s="65"/>
      <c r="V608" s="65"/>
      <c r="W608" s="65"/>
      <c r="X608" s="65"/>
    </row>
    <row r="609">
      <c r="A609" s="64"/>
      <c r="B609" s="64"/>
      <c r="C609" s="49"/>
      <c r="D609" s="49"/>
      <c r="E609" s="71"/>
      <c r="F609" s="71"/>
      <c r="G609" s="71"/>
      <c r="H609" s="71"/>
      <c r="I609" s="28"/>
      <c r="J609" s="28"/>
      <c r="K609" s="65"/>
      <c r="L609" s="65"/>
      <c r="M609" s="65"/>
      <c r="N609" s="65"/>
      <c r="O609" s="65"/>
      <c r="P609" s="65"/>
      <c r="Q609" s="65"/>
      <c r="R609" s="65"/>
      <c r="S609" s="65"/>
      <c r="T609" s="65"/>
      <c r="U609" s="65"/>
      <c r="V609" s="65"/>
      <c r="W609" s="65"/>
      <c r="X609" s="65"/>
    </row>
    <row r="610">
      <c r="A610" s="64"/>
      <c r="B610" s="64"/>
      <c r="C610" s="49"/>
      <c r="D610" s="49"/>
      <c r="E610" s="71"/>
      <c r="F610" s="71"/>
      <c r="G610" s="71"/>
      <c r="H610" s="71"/>
      <c r="I610" s="28"/>
      <c r="J610" s="28"/>
      <c r="K610" s="65"/>
      <c r="L610" s="65"/>
      <c r="M610" s="65"/>
      <c r="N610" s="65"/>
      <c r="O610" s="65"/>
      <c r="P610" s="65"/>
      <c r="Q610" s="65"/>
      <c r="R610" s="65"/>
      <c r="S610" s="65"/>
      <c r="T610" s="65"/>
      <c r="U610" s="65"/>
      <c r="V610" s="65"/>
      <c r="W610" s="65"/>
      <c r="X610" s="65"/>
    </row>
    <row r="611">
      <c r="A611" s="64"/>
      <c r="B611" s="64"/>
      <c r="C611" s="49"/>
      <c r="D611" s="49"/>
      <c r="E611" s="71"/>
      <c r="F611" s="71"/>
      <c r="G611" s="71"/>
      <c r="H611" s="71"/>
      <c r="I611" s="28"/>
      <c r="J611" s="28"/>
      <c r="K611" s="65"/>
      <c r="L611" s="65"/>
      <c r="M611" s="65"/>
      <c r="N611" s="65"/>
      <c r="O611" s="65"/>
      <c r="P611" s="65"/>
      <c r="Q611" s="65"/>
      <c r="R611" s="65"/>
      <c r="S611" s="65"/>
      <c r="T611" s="65"/>
      <c r="U611" s="65"/>
      <c r="V611" s="65"/>
      <c r="W611" s="65"/>
      <c r="X611" s="65"/>
    </row>
    <row r="612">
      <c r="A612" s="64"/>
      <c r="B612" s="64"/>
      <c r="C612" s="49"/>
      <c r="D612" s="49"/>
      <c r="E612" s="71"/>
      <c r="F612" s="71"/>
      <c r="G612" s="71"/>
      <c r="H612" s="71"/>
      <c r="I612" s="28"/>
      <c r="J612" s="28"/>
      <c r="K612" s="65"/>
      <c r="L612" s="65"/>
      <c r="M612" s="65"/>
      <c r="N612" s="65"/>
      <c r="O612" s="65"/>
      <c r="P612" s="65"/>
      <c r="Q612" s="65"/>
      <c r="R612" s="65"/>
      <c r="S612" s="65"/>
      <c r="T612" s="65"/>
      <c r="U612" s="65"/>
      <c r="V612" s="65"/>
      <c r="W612" s="65"/>
      <c r="X612" s="65"/>
    </row>
    <row r="613">
      <c r="A613" s="64"/>
      <c r="B613" s="64"/>
      <c r="C613" s="49"/>
      <c r="D613" s="49"/>
      <c r="E613" s="71"/>
      <c r="F613" s="71"/>
      <c r="G613" s="71"/>
      <c r="H613" s="71"/>
      <c r="I613" s="28"/>
      <c r="J613" s="28"/>
      <c r="K613" s="65"/>
      <c r="L613" s="65"/>
      <c r="M613" s="65"/>
      <c r="N613" s="65"/>
      <c r="O613" s="65"/>
      <c r="P613" s="65"/>
      <c r="Q613" s="65"/>
      <c r="R613" s="65"/>
      <c r="S613" s="65"/>
      <c r="T613" s="65"/>
      <c r="U613" s="65"/>
      <c r="V613" s="65"/>
      <c r="W613" s="65"/>
      <c r="X613" s="65"/>
    </row>
    <row r="614">
      <c r="A614" s="64"/>
      <c r="B614" s="64"/>
      <c r="C614" s="49"/>
      <c r="D614" s="49"/>
      <c r="E614" s="71"/>
      <c r="F614" s="71"/>
      <c r="G614" s="71"/>
      <c r="H614" s="71"/>
      <c r="I614" s="28"/>
      <c r="J614" s="28"/>
      <c r="K614" s="65"/>
      <c r="L614" s="65"/>
      <c r="M614" s="65"/>
      <c r="N614" s="65"/>
      <c r="O614" s="65"/>
      <c r="P614" s="65"/>
      <c r="Q614" s="65"/>
      <c r="R614" s="65"/>
      <c r="S614" s="65"/>
      <c r="T614" s="65"/>
      <c r="U614" s="65"/>
      <c r="V614" s="65"/>
      <c r="W614" s="65"/>
      <c r="X614" s="65"/>
    </row>
    <row r="615">
      <c r="A615" s="64"/>
      <c r="B615" s="64"/>
      <c r="C615" s="49"/>
      <c r="D615" s="49"/>
      <c r="E615" s="71"/>
      <c r="F615" s="71"/>
      <c r="G615" s="71"/>
      <c r="H615" s="71"/>
      <c r="I615" s="28"/>
      <c r="J615" s="28"/>
      <c r="K615" s="65"/>
      <c r="L615" s="65"/>
      <c r="M615" s="65"/>
      <c r="N615" s="65"/>
      <c r="O615" s="65"/>
      <c r="P615" s="65"/>
      <c r="Q615" s="65"/>
      <c r="R615" s="65"/>
      <c r="S615" s="65"/>
      <c r="T615" s="65"/>
      <c r="U615" s="65"/>
      <c r="V615" s="65"/>
      <c r="W615" s="65"/>
      <c r="X615" s="65"/>
    </row>
    <row r="616">
      <c r="A616" s="64"/>
      <c r="B616" s="64"/>
      <c r="C616" s="49"/>
      <c r="D616" s="49"/>
      <c r="E616" s="71"/>
      <c r="F616" s="71"/>
      <c r="G616" s="71"/>
      <c r="H616" s="71"/>
      <c r="I616" s="28"/>
      <c r="J616" s="28"/>
      <c r="K616" s="65"/>
      <c r="L616" s="65"/>
      <c r="M616" s="65"/>
      <c r="N616" s="65"/>
      <c r="O616" s="65"/>
      <c r="P616" s="65"/>
      <c r="Q616" s="65"/>
      <c r="R616" s="65"/>
      <c r="S616" s="65"/>
      <c r="T616" s="65"/>
      <c r="U616" s="65"/>
      <c r="V616" s="65"/>
      <c r="W616" s="65"/>
      <c r="X616" s="65"/>
    </row>
    <row r="617">
      <c r="A617" s="64"/>
      <c r="B617" s="64"/>
      <c r="C617" s="49"/>
      <c r="D617" s="49"/>
      <c r="E617" s="71"/>
      <c r="F617" s="71"/>
      <c r="G617" s="71"/>
      <c r="H617" s="71"/>
      <c r="I617" s="28"/>
      <c r="J617" s="28"/>
      <c r="K617" s="65"/>
      <c r="L617" s="65"/>
      <c r="M617" s="65"/>
      <c r="N617" s="65"/>
      <c r="O617" s="65"/>
      <c r="P617" s="65"/>
      <c r="Q617" s="65"/>
      <c r="R617" s="65"/>
      <c r="S617" s="65"/>
      <c r="T617" s="65"/>
      <c r="U617" s="65"/>
      <c r="V617" s="65"/>
      <c r="W617" s="65"/>
      <c r="X617" s="65"/>
    </row>
    <row r="618">
      <c r="A618" s="64"/>
      <c r="B618" s="64"/>
      <c r="C618" s="49"/>
      <c r="D618" s="49"/>
      <c r="E618" s="71"/>
      <c r="F618" s="71"/>
      <c r="G618" s="71"/>
      <c r="H618" s="71"/>
      <c r="I618" s="28"/>
      <c r="J618" s="28"/>
      <c r="K618" s="65"/>
      <c r="L618" s="65"/>
      <c r="M618" s="65"/>
      <c r="N618" s="65"/>
      <c r="O618" s="65"/>
      <c r="P618" s="65"/>
      <c r="Q618" s="65"/>
      <c r="R618" s="65"/>
      <c r="S618" s="65"/>
      <c r="T618" s="65"/>
      <c r="U618" s="65"/>
      <c r="V618" s="65"/>
      <c r="W618" s="65"/>
      <c r="X618" s="65"/>
    </row>
    <row r="619">
      <c r="A619" s="64"/>
      <c r="B619" s="64"/>
      <c r="C619" s="49"/>
      <c r="D619" s="49"/>
      <c r="E619" s="71"/>
      <c r="F619" s="71"/>
      <c r="G619" s="71"/>
      <c r="H619" s="71"/>
      <c r="I619" s="28"/>
      <c r="J619" s="28"/>
      <c r="K619" s="65"/>
      <c r="L619" s="65"/>
      <c r="M619" s="65"/>
      <c r="N619" s="65"/>
      <c r="O619" s="65"/>
      <c r="P619" s="65"/>
      <c r="Q619" s="65"/>
      <c r="R619" s="65"/>
      <c r="S619" s="65"/>
      <c r="T619" s="65"/>
      <c r="U619" s="65"/>
      <c r="V619" s="65"/>
      <c r="W619" s="65"/>
      <c r="X619" s="65"/>
    </row>
    <row r="620">
      <c r="A620" s="64"/>
      <c r="B620" s="64"/>
      <c r="C620" s="49"/>
      <c r="D620" s="49"/>
      <c r="E620" s="71"/>
      <c r="F620" s="71"/>
      <c r="G620" s="71"/>
      <c r="H620" s="71"/>
      <c r="I620" s="28"/>
      <c r="J620" s="28"/>
      <c r="K620" s="65"/>
      <c r="L620" s="65"/>
      <c r="M620" s="65"/>
      <c r="N620" s="65"/>
      <c r="O620" s="65"/>
      <c r="P620" s="65"/>
      <c r="Q620" s="65"/>
      <c r="R620" s="65"/>
      <c r="S620" s="65"/>
      <c r="T620" s="65"/>
      <c r="U620" s="65"/>
      <c r="V620" s="65"/>
      <c r="W620" s="65"/>
      <c r="X620" s="65"/>
    </row>
    <row r="621">
      <c r="A621" s="64"/>
      <c r="B621" s="64"/>
      <c r="C621" s="49"/>
      <c r="D621" s="49"/>
      <c r="E621" s="71"/>
      <c r="F621" s="71"/>
      <c r="G621" s="71"/>
      <c r="H621" s="71"/>
      <c r="I621" s="28"/>
      <c r="J621" s="28"/>
      <c r="K621" s="65"/>
      <c r="L621" s="65"/>
      <c r="M621" s="65"/>
      <c r="N621" s="65"/>
      <c r="O621" s="65"/>
      <c r="P621" s="65"/>
      <c r="Q621" s="65"/>
      <c r="R621" s="65"/>
      <c r="S621" s="65"/>
      <c r="T621" s="65"/>
      <c r="U621" s="65"/>
      <c r="V621" s="65"/>
      <c r="W621" s="65"/>
      <c r="X621" s="65"/>
    </row>
    <row r="622">
      <c r="A622" s="64"/>
      <c r="B622" s="64"/>
      <c r="C622" s="49"/>
      <c r="D622" s="49"/>
      <c r="E622" s="71"/>
      <c r="F622" s="71"/>
      <c r="G622" s="71"/>
      <c r="H622" s="71"/>
      <c r="I622" s="28"/>
      <c r="J622" s="28"/>
      <c r="K622" s="65"/>
      <c r="L622" s="65"/>
      <c r="M622" s="65"/>
      <c r="N622" s="65"/>
      <c r="O622" s="65"/>
      <c r="P622" s="65"/>
      <c r="Q622" s="65"/>
      <c r="R622" s="65"/>
      <c r="S622" s="65"/>
      <c r="T622" s="65"/>
      <c r="U622" s="65"/>
      <c r="V622" s="65"/>
      <c r="W622" s="65"/>
      <c r="X622" s="65"/>
    </row>
    <row r="623">
      <c r="A623" s="64"/>
      <c r="B623" s="64"/>
      <c r="C623" s="49"/>
      <c r="D623" s="49"/>
      <c r="E623" s="71"/>
      <c r="F623" s="71"/>
      <c r="G623" s="71"/>
      <c r="H623" s="71"/>
      <c r="I623" s="28"/>
      <c r="J623" s="28"/>
      <c r="K623" s="65"/>
      <c r="L623" s="65"/>
      <c r="M623" s="65"/>
      <c r="N623" s="65"/>
      <c r="O623" s="65"/>
      <c r="P623" s="65"/>
      <c r="Q623" s="65"/>
      <c r="R623" s="65"/>
      <c r="S623" s="65"/>
      <c r="T623" s="65"/>
      <c r="U623" s="65"/>
      <c r="V623" s="65"/>
      <c r="W623" s="65"/>
      <c r="X623" s="65"/>
    </row>
    <row r="624">
      <c r="A624" s="64"/>
      <c r="B624" s="64"/>
      <c r="C624" s="49"/>
      <c r="D624" s="49"/>
      <c r="E624" s="71"/>
      <c r="F624" s="71"/>
      <c r="G624" s="71"/>
      <c r="H624" s="71"/>
      <c r="I624" s="28"/>
      <c r="J624" s="28"/>
      <c r="K624" s="65"/>
      <c r="L624" s="65"/>
      <c r="M624" s="65"/>
      <c r="N624" s="65"/>
      <c r="O624" s="65"/>
      <c r="P624" s="65"/>
      <c r="Q624" s="65"/>
      <c r="R624" s="65"/>
      <c r="S624" s="65"/>
      <c r="T624" s="65"/>
      <c r="U624" s="65"/>
      <c r="V624" s="65"/>
      <c r="W624" s="65"/>
      <c r="X624" s="65"/>
    </row>
    <row r="625">
      <c r="A625" s="64"/>
      <c r="B625" s="64"/>
      <c r="C625" s="49"/>
      <c r="D625" s="49"/>
      <c r="E625" s="71"/>
      <c r="F625" s="71"/>
      <c r="G625" s="71"/>
      <c r="H625" s="71"/>
      <c r="I625" s="28"/>
      <c r="J625" s="28"/>
      <c r="K625" s="65"/>
      <c r="L625" s="65"/>
      <c r="M625" s="65"/>
      <c r="N625" s="65"/>
      <c r="O625" s="65"/>
      <c r="P625" s="65"/>
      <c r="Q625" s="65"/>
      <c r="R625" s="65"/>
      <c r="S625" s="65"/>
      <c r="T625" s="65"/>
      <c r="U625" s="65"/>
      <c r="V625" s="65"/>
      <c r="W625" s="65"/>
      <c r="X625" s="65"/>
    </row>
    <row r="626">
      <c r="A626" s="64"/>
      <c r="B626" s="64"/>
      <c r="C626" s="49"/>
      <c r="D626" s="49"/>
      <c r="E626" s="71"/>
      <c r="F626" s="71"/>
      <c r="G626" s="71"/>
      <c r="H626" s="71"/>
      <c r="I626" s="28"/>
      <c r="J626" s="28"/>
      <c r="K626" s="65"/>
      <c r="L626" s="65"/>
      <c r="M626" s="65"/>
      <c r="N626" s="65"/>
      <c r="O626" s="65"/>
      <c r="P626" s="65"/>
      <c r="Q626" s="65"/>
      <c r="R626" s="65"/>
      <c r="S626" s="65"/>
      <c r="T626" s="65"/>
      <c r="U626" s="65"/>
      <c r="V626" s="65"/>
      <c r="W626" s="65"/>
      <c r="X626" s="65"/>
    </row>
    <row r="627">
      <c r="A627" s="64"/>
      <c r="B627" s="64"/>
      <c r="C627" s="49"/>
      <c r="D627" s="49"/>
      <c r="E627" s="71"/>
      <c r="F627" s="71"/>
      <c r="G627" s="71"/>
      <c r="H627" s="71"/>
      <c r="I627" s="28"/>
      <c r="J627" s="28"/>
      <c r="K627" s="65"/>
      <c r="L627" s="65"/>
      <c r="M627" s="65"/>
      <c r="N627" s="65"/>
      <c r="O627" s="65"/>
      <c r="P627" s="65"/>
      <c r="Q627" s="65"/>
      <c r="R627" s="65"/>
      <c r="S627" s="65"/>
      <c r="T627" s="65"/>
      <c r="U627" s="65"/>
      <c r="V627" s="65"/>
      <c r="W627" s="65"/>
      <c r="X627" s="65"/>
    </row>
    <row r="628">
      <c r="A628" s="64"/>
      <c r="B628" s="64"/>
      <c r="C628" s="49"/>
      <c r="D628" s="49"/>
      <c r="E628" s="71"/>
      <c r="F628" s="71"/>
      <c r="G628" s="71"/>
      <c r="H628" s="71"/>
      <c r="I628" s="28"/>
      <c r="J628" s="28"/>
      <c r="K628" s="65"/>
      <c r="L628" s="65"/>
      <c r="M628" s="65"/>
      <c r="N628" s="65"/>
      <c r="O628" s="65"/>
      <c r="P628" s="65"/>
      <c r="Q628" s="65"/>
      <c r="R628" s="65"/>
      <c r="S628" s="65"/>
      <c r="T628" s="65"/>
      <c r="U628" s="65"/>
      <c r="V628" s="65"/>
      <c r="W628" s="65"/>
      <c r="X628" s="65"/>
    </row>
    <row r="629">
      <c r="A629" s="64"/>
      <c r="B629" s="64"/>
      <c r="C629" s="49"/>
      <c r="D629" s="49"/>
      <c r="E629" s="71"/>
      <c r="F629" s="71"/>
      <c r="G629" s="71"/>
      <c r="H629" s="71"/>
      <c r="I629" s="28"/>
      <c r="J629" s="28"/>
      <c r="K629" s="65"/>
      <c r="L629" s="65"/>
      <c r="M629" s="65"/>
      <c r="N629" s="65"/>
      <c r="O629" s="65"/>
      <c r="P629" s="65"/>
      <c r="Q629" s="65"/>
      <c r="R629" s="65"/>
      <c r="S629" s="65"/>
      <c r="T629" s="65"/>
      <c r="U629" s="65"/>
      <c r="V629" s="65"/>
      <c r="W629" s="65"/>
      <c r="X629" s="65"/>
    </row>
    <row r="630">
      <c r="A630" s="64"/>
      <c r="B630" s="64"/>
      <c r="C630" s="49"/>
      <c r="D630" s="49"/>
      <c r="E630" s="71"/>
      <c r="F630" s="71"/>
      <c r="G630" s="71"/>
      <c r="H630" s="71"/>
      <c r="I630" s="28"/>
      <c r="J630" s="28"/>
      <c r="K630" s="65"/>
      <c r="L630" s="65"/>
      <c r="M630" s="65"/>
      <c r="N630" s="65"/>
      <c r="O630" s="65"/>
      <c r="P630" s="65"/>
      <c r="Q630" s="65"/>
      <c r="R630" s="65"/>
      <c r="S630" s="65"/>
      <c r="T630" s="65"/>
      <c r="U630" s="65"/>
      <c r="V630" s="65"/>
      <c r="W630" s="65"/>
      <c r="X630" s="65"/>
    </row>
    <row r="631">
      <c r="A631" s="64"/>
      <c r="B631" s="64"/>
      <c r="C631" s="49"/>
      <c r="D631" s="49"/>
      <c r="E631" s="71"/>
      <c r="F631" s="71"/>
      <c r="G631" s="71"/>
      <c r="H631" s="71"/>
      <c r="I631" s="28"/>
      <c r="J631" s="28"/>
      <c r="K631" s="65"/>
      <c r="L631" s="65"/>
      <c r="M631" s="65"/>
      <c r="N631" s="65"/>
      <c r="O631" s="65"/>
      <c r="P631" s="65"/>
      <c r="Q631" s="65"/>
      <c r="R631" s="65"/>
      <c r="S631" s="65"/>
      <c r="T631" s="65"/>
      <c r="U631" s="65"/>
      <c r="V631" s="65"/>
      <c r="W631" s="65"/>
      <c r="X631" s="65"/>
    </row>
    <row r="632">
      <c r="A632" s="64"/>
      <c r="B632" s="64"/>
      <c r="C632" s="49"/>
      <c r="D632" s="49"/>
      <c r="E632" s="71"/>
      <c r="F632" s="71"/>
      <c r="G632" s="71"/>
      <c r="H632" s="71"/>
      <c r="I632" s="28"/>
      <c r="J632" s="28"/>
      <c r="K632" s="65"/>
      <c r="L632" s="65"/>
      <c r="M632" s="65"/>
      <c r="N632" s="65"/>
      <c r="O632" s="65"/>
      <c r="P632" s="65"/>
      <c r="Q632" s="65"/>
      <c r="R632" s="65"/>
      <c r="S632" s="65"/>
      <c r="T632" s="65"/>
      <c r="U632" s="65"/>
      <c r="V632" s="65"/>
      <c r="W632" s="65"/>
      <c r="X632" s="65"/>
    </row>
    <row r="633">
      <c r="A633" s="64"/>
      <c r="B633" s="64"/>
      <c r="C633" s="49"/>
      <c r="D633" s="49"/>
      <c r="E633" s="71"/>
      <c r="F633" s="71"/>
      <c r="G633" s="71"/>
      <c r="H633" s="71"/>
      <c r="I633" s="28"/>
      <c r="J633" s="28"/>
      <c r="K633" s="65"/>
      <c r="L633" s="65"/>
      <c r="M633" s="65"/>
      <c r="N633" s="65"/>
      <c r="O633" s="65"/>
      <c r="P633" s="65"/>
      <c r="Q633" s="65"/>
      <c r="R633" s="65"/>
      <c r="S633" s="65"/>
      <c r="T633" s="65"/>
      <c r="U633" s="65"/>
      <c r="V633" s="65"/>
      <c r="W633" s="65"/>
      <c r="X633" s="65"/>
    </row>
    <row r="634">
      <c r="A634" s="64"/>
      <c r="B634" s="64"/>
      <c r="C634" s="49"/>
      <c r="D634" s="49"/>
      <c r="E634" s="71"/>
      <c r="F634" s="71"/>
      <c r="G634" s="71"/>
      <c r="H634" s="71"/>
      <c r="I634" s="28"/>
      <c r="J634" s="28"/>
      <c r="K634" s="65"/>
      <c r="L634" s="65"/>
      <c r="M634" s="65"/>
      <c r="N634" s="65"/>
      <c r="O634" s="65"/>
      <c r="P634" s="65"/>
      <c r="Q634" s="65"/>
      <c r="R634" s="65"/>
      <c r="S634" s="65"/>
      <c r="T634" s="65"/>
      <c r="U634" s="65"/>
      <c r="V634" s="65"/>
      <c r="W634" s="65"/>
      <c r="X634" s="65"/>
    </row>
    <row r="635">
      <c r="A635" s="64"/>
      <c r="B635" s="64"/>
      <c r="C635" s="49"/>
      <c r="D635" s="49"/>
      <c r="E635" s="71"/>
      <c r="F635" s="71"/>
      <c r="G635" s="71"/>
      <c r="H635" s="71"/>
      <c r="I635" s="28"/>
      <c r="J635" s="28"/>
      <c r="K635" s="65"/>
      <c r="L635" s="65"/>
      <c r="M635" s="65"/>
      <c r="N635" s="65"/>
      <c r="O635" s="65"/>
      <c r="P635" s="65"/>
      <c r="Q635" s="65"/>
      <c r="R635" s="65"/>
      <c r="S635" s="65"/>
      <c r="T635" s="65"/>
      <c r="U635" s="65"/>
      <c r="V635" s="65"/>
      <c r="W635" s="65"/>
      <c r="X635" s="65"/>
    </row>
    <row r="636">
      <c r="A636" s="64"/>
      <c r="B636" s="64"/>
      <c r="C636" s="49"/>
      <c r="D636" s="49"/>
      <c r="E636" s="71"/>
      <c r="F636" s="71"/>
      <c r="G636" s="71"/>
      <c r="H636" s="71"/>
      <c r="I636" s="28"/>
      <c r="J636" s="28"/>
      <c r="K636" s="65"/>
      <c r="L636" s="65"/>
      <c r="M636" s="65"/>
      <c r="N636" s="65"/>
      <c r="O636" s="65"/>
      <c r="P636" s="65"/>
      <c r="Q636" s="65"/>
      <c r="R636" s="65"/>
      <c r="S636" s="65"/>
      <c r="T636" s="65"/>
      <c r="U636" s="65"/>
      <c r="V636" s="65"/>
      <c r="W636" s="65"/>
      <c r="X636" s="65"/>
    </row>
    <row r="637">
      <c r="A637" s="64"/>
      <c r="B637" s="64"/>
      <c r="C637" s="49"/>
      <c r="D637" s="49"/>
      <c r="E637" s="71"/>
      <c r="F637" s="71"/>
      <c r="G637" s="71"/>
      <c r="H637" s="71"/>
      <c r="I637" s="28"/>
      <c r="J637" s="28"/>
      <c r="K637" s="65"/>
      <c r="L637" s="65"/>
      <c r="M637" s="65"/>
      <c r="N637" s="65"/>
      <c r="O637" s="65"/>
      <c r="P637" s="65"/>
      <c r="Q637" s="65"/>
      <c r="R637" s="65"/>
      <c r="S637" s="65"/>
      <c r="T637" s="65"/>
      <c r="U637" s="65"/>
      <c r="V637" s="65"/>
      <c r="W637" s="65"/>
      <c r="X637" s="65"/>
    </row>
    <row r="638">
      <c r="A638" s="64"/>
      <c r="B638" s="64"/>
      <c r="C638" s="49"/>
      <c r="D638" s="49"/>
      <c r="E638" s="71"/>
      <c r="F638" s="71"/>
      <c r="G638" s="71"/>
      <c r="H638" s="71"/>
      <c r="I638" s="28"/>
      <c r="J638" s="28"/>
      <c r="K638" s="65"/>
      <c r="L638" s="65"/>
      <c r="M638" s="65"/>
      <c r="N638" s="65"/>
      <c r="O638" s="65"/>
      <c r="P638" s="65"/>
      <c r="Q638" s="65"/>
      <c r="R638" s="65"/>
      <c r="S638" s="65"/>
      <c r="T638" s="65"/>
      <c r="U638" s="65"/>
      <c r="V638" s="65"/>
      <c r="W638" s="65"/>
      <c r="X638" s="65"/>
    </row>
    <row r="639">
      <c r="A639" s="64"/>
      <c r="B639" s="64"/>
      <c r="C639" s="49"/>
      <c r="D639" s="49"/>
      <c r="E639" s="71"/>
      <c r="F639" s="71"/>
      <c r="G639" s="71"/>
      <c r="H639" s="71"/>
      <c r="I639" s="28"/>
      <c r="J639" s="28"/>
      <c r="K639" s="65"/>
      <c r="L639" s="65"/>
      <c r="M639" s="65"/>
      <c r="N639" s="65"/>
      <c r="O639" s="65"/>
      <c r="P639" s="65"/>
      <c r="Q639" s="65"/>
      <c r="R639" s="65"/>
      <c r="S639" s="65"/>
      <c r="T639" s="65"/>
      <c r="U639" s="65"/>
      <c r="V639" s="65"/>
      <c r="W639" s="65"/>
      <c r="X639" s="65"/>
    </row>
    <row r="640">
      <c r="A640" s="64"/>
      <c r="B640" s="64"/>
      <c r="C640" s="49"/>
      <c r="D640" s="49"/>
      <c r="E640" s="71"/>
      <c r="F640" s="71"/>
      <c r="G640" s="71"/>
      <c r="H640" s="71"/>
      <c r="I640" s="28"/>
      <c r="J640" s="28"/>
      <c r="K640" s="65"/>
      <c r="L640" s="65"/>
      <c r="M640" s="65"/>
      <c r="N640" s="65"/>
      <c r="O640" s="65"/>
      <c r="P640" s="65"/>
      <c r="Q640" s="65"/>
      <c r="R640" s="65"/>
      <c r="S640" s="65"/>
      <c r="T640" s="65"/>
      <c r="U640" s="65"/>
      <c r="V640" s="65"/>
      <c r="W640" s="65"/>
      <c r="X640" s="65"/>
    </row>
    <row r="641">
      <c r="A641" s="64"/>
      <c r="B641" s="64"/>
      <c r="C641" s="49"/>
      <c r="D641" s="49"/>
      <c r="E641" s="71"/>
      <c r="F641" s="71"/>
      <c r="G641" s="71"/>
      <c r="H641" s="71"/>
      <c r="I641" s="28"/>
      <c r="J641" s="28"/>
      <c r="K641" s="65"/>
      <c r="L641" s="65"/>
      <c r="M641" s="65"/>
      <c r="N641" s="65"/>
      <c r="O641" s="65"/>
      <c r="P641" s="65"/>
      <c r="Q641" s="65"/>
      <c r="R641" s="65"/>
      <c r="S641" s="65"/>
      <c r="T641" s="65"/>
      <c r="U641" s="65"/>
      <c r="V641" s="65"/>
      <c r="W641" s="65"/>
      <c r="X641" s="65"/>
    </row>
    <row r="642">
      <c r="A642" s="64"/>
      <c r="B642" s="64"/>
      <c r="C642" s="49"/>
      <c r="D642" s="49"/>
      <c r="E642" s="71"/>
      <c r="F642" s="71"/>
      <c r="G642" s="71"/>
      <c r="H642" s="71"/>
      <c r="I642" s="28"/>
      <c r="J642" s="28"/>
      <c r="K642" s="65"/>
      <c r="L642" s="65"/>
      <c r="M642" s="65"/>
      <c r="N642" s="65"/>
      <c r="O642" s="65"/>
      <c r="P642" s="65"/>
      <c r="Q642" s="65"/>
      <c r="R642" s="65"/>
      <c r="S642" s="65"/>
      <c r="T642" s="65"/>
      <c r="U642" s="65"/>
      <c r="V642" s="65"/>
      <c r="W642" s="65"/>
      <c r="X642" s="65"/>
    </row>
    <row r="643">
      <c r="A643" s="64"/>
      <c r="B643" s="64"/>
      <c r="C643" s="49"/>
      <c r="D643" s="49"/>
      <c r="E643" s="71"/>
      <c r="F643" s="71"/>
      <c r="G643" s="71"/>
      <c r="H643" s="71"/>
      <c r="I643" s="28"/>
      <c r="J643" s="28"/>
      <c r="K643" s="65"/>
      <c r="L643" s="65"/>
      <c r="M643" s="65"/>
      <c r="N643" s="65"/>
      <c r="O643" s="65"/>
      <c r="P643" s="65"/>
      <c r="Q643" s="65"/>
      <c r="R643" s="65"/>
      <c r="S643" s="65"/>
      <c r="T643" s="65"/>
      <c r="U643" s="65"/>
      <c r="V643" s="65"/>
      <c r="W643" s="65"/>
      <c r="X643" s="65"/>
    </row>
    <row r="644">
      <c r="A644" s="64"/>
      <c r="B644" s="64"/>
      <c r="C644" s="49"/>
      <c r="D644" s="49"/>
      <c r="E644" s="71"/>
      <c r="F644" s="71"/>
      <c r="G644" s="71"/>
      <c r="H644" s="71"/>
      <c r="I644" s="28"/>
      <c r="J644" s="28"/>
      <c r="K644" s="65"/>
      <c r="L644" s="65"/>
      <c r="M644" s="65"/>
      <c r="N644" s="65"/>
      <c r="O644" s="65"/>
      <c r="P644" s="65"/>
      <c r="Q644" s="65"/>
      <c r="R644" s="65"/>
      <c r="S644" s="65"/>
      <c r="T644" s="65"/>
      <c r="U644" s="65"/>
      <c r="V644" s="65"/>
      <c r="W644" s="65"/>
      <c r="X644" s="65"/>
    </row>
    <row r="645">
      <c r="A645" s="64"/>
      <c r="B645" s="64"/>
      <c r="C645" s="49"/>
      <c r="D645" s="49"/>
      <c r="E645" s="71"/>
      <c r="F645" s="71"/>
      <c r="G645" s="71"/>
      <c r="H645" s="71"/>
      <c r="I645" s="28"/>
      <c r="J645" s="28"/>
      <c r="K645" s="65"/>
      <c r="L645" s="65"/>
      <c r="M645" s="65"/>
      <c r="N645" s="65"/>
      <c r="O645" s="65"/>
      <c r="P645" s="65"/>
      <c r="Q645" s="65"/>
      <c r="R645" s="65"/>
      <c r="S645" s="65"/>
      <c r="T645" s="65"/>
      <c r="U645" s="65"/>
      <c r="V645" s="65"/>
      <c r="W645" s="65"/>
      <c r="X645" s="65"/>
    </row>
    <row r="646">
      <c r="A646" s="64"/>
      <c r="B646" s="64"/>
      <c r="C646" s="49"/>
      <c r="D646" s="49"/>
      <c r="E646" s="71"/>
      <c r="F646" s="71"/>
      <c r="G646" s="71"/>
      <c r="H646" s="71"/>
      <c r="I646" s="28"/>
      <c r="J646" s="28"/>
      <c r="K646" s="65"/>
      <c r="L646" s="65"/>
      <c r="M646" s="65"/>
      <c r="N646" s="65"/>
      <c r="O646" s="65"/>
      <c r="P646" s="65"/>
      <c r="Q646" s="65"/>
      <c r="R646" s="65"/>
      <c r="S646" s="65"/>
      <c r="T646" s="65"/>
      <c r="U646" s="65"/>
      <c r="V646" s="65"/>
      <c r="W646" s="65"/>
      <c r="X646" s="65"/>
    </row>
    <row r="647">
      <c r="A647" s="64"/>
      <c r="B647" s="64"/>
      <c r="C647" s="49"/>
      <c r="D647" s="49"/>
      <c r="E647" s="71"/>
      <c r="F647" s="71"/>
      <c r="G647" s="71"/>
      <c r="H647" s="71"/>
      <c r="I647" s="28"/>
      <c r="J647" s="28"/>
      <c r="K647" s="65"/>
      <c r="L647" s="65"/>
      <c r="M647" s="65"/>
      <c r="N647" s="65"/>
      <c r="O647" s="65"/>
      <c r="P647" s="65"/>
      <c r="Q647" s="65"/>
      <c r="R647" s="65"/>
      <c r="S647" s="65"/>
      <c r="T647" s="65"/>
      <c r="U647" s="65"/>
      <c r="V647" s="65"/>
      <c r="W647" s="65"/>
      <c r="X647" s="65"/>
    </row>
    <row r="648">
      <c r="A648" s="64"/>
      <c r="B648" s="64"/>
      <c r="C648" s="49"/>
      <c r="D648" s="49"/>
      <c r="E648" s="71"/>
      <c r="F648" s="71"/>
      <c r="G648" s="71"/>
      <c r="H648" s="71"/>
      <c r="I648" s="28"/>
      <c r="J648" s="28"/>
      <c r="K648" s="65"/>
      <c r="L648" s="65"/>
      <c r="M648" s="65"/>
      <c r="N648" s="65"/>
      <c r="O648" s="65"/>
      <c r="P648" s="65"/>
      <c r="Q648" s="65"/>
      <c r="R648" s="65"/>
      <c r="S648" s="65"/>
      <c r="T648" s="65"/>
      <c r="U648" s="65"/>
      <c r="V648" s="65"/>
      <c r="W648" s="65"/>
      <c r="X648" s="65"/>
    </row>
    <row r="649">
      <c r="A649" s="64"/>
      <c r="B649" s="64"/>
      <c r="C649" s="49"/>
      <c r="D649" s="49"/>
      <c r="E649" s="71"/>
      <c r="F649" s="71"/>
      <c r="G649" s="71"/>
      <c r="H649" s="71"/>
      <c r="I649" s="28"/>
      <c r="J649" s="28"/>
      <c r="K649" s="65"/>
      <c r="L649" s="65"/>
      <c r="M649" s="65"/>
      <c r="N649" s="65"/>
      <c r="O649" s="65"/>
      <c r="P649" s="65"/>
      <c r="Q649" s="65"/>
      <c r="R649" s="65"/>
      <c r="S649" s="65"/>
      <c r="T649" s="65"/>
      <c r="U649" s="65"/>
      <c r="V649" s="65"/>
      <c r="W649" s="65"/>
      <c r="X649" s="65"/>
    </row>
    <row r="650">
      <c r="A650" s="64"/>
      <c r="B650" s="64"/>
      <c r="C650" s="49"/>
      <c r="D650" s="49"/>
      <c r="E650" s="71"/>
      <c r="F650" s="71"/>
      <c r="G650" s="71"/>
      <c r="H650" s="71"/>
      <c r="I650" s="28"/>
      <c r="J650" s="28"/>
      <c r="K650" s="65"/>
      <c r="L650" s="65"/>
      <c r="M650" s="65"/>
      <c r="N650" s="65"/>
      <c r="O650" s="65"/>
      <c r="P650" s="65"/>
      <c r="Q650" s="65"/>
      <c r="R650" s="65"/>
      <c r="S650" s="65"/>
      <c r="T650" s="65"/>
      <c r="U650" s="65"/>
      <c r="V650" s="65"/>
      <c r="W650" s="65"/>
      <c r="X650" s="65"/>
    </row>
    <row r="651">
      <c r="A651" s="64"/>
      <c r="B651" s="64"/>
      <c r="C651" s="49"/>
      <c r="D651" s="49"/>
      <c r="E651" s="71"/>
      <c r="F651" s="71"/>
      <c r="G651" s="71"/>
      <c r="H651" s="71"/>
      <c r="I651" s="28"/>
      <c r="J651" s="28"/>
      <c r="K651" s="65"/>
      <c r="L651" s="65"/>
      <c r="M651" s="65"/>
      <c r="N651" s="65"/>
      <c r="O651" s="65"/>
      <c r="P651" s="65"/>
      <c r="Q651" s="65"/>
      <c r="R651" s="65"/>
      <c r="S651" s="65"/>
      <c r="T651" s="65"/>
      <c r="U651" s="65"/>
      <c r="V651" s="65"/>
      <c r="W651" s="65"/>
      <c r="X651" s="65"/>
    </row>
    <row r="652">
      <c r="A652" s="64"/>
      <c r="B652" s="64"/>
      <c r="C652" s="49"/>
      <c r="D652" s="49"/>
      <c r="E652" s="71"/>
      <c r="F652" s="71"/>
      <c r="G652" s="71"/>
      <c r="H652" s="71"/>
      <c r="I652" s="28"/>
      <c r="J652" s="28"/>
      <c r="K652" s="65"/>
      <c r="L652" s="65"/>
      <c r="M652" s="65"/>
      <c r="N652" s="65"/>
      <c r="O652" s="65"/>
      <c r="P652" s="65"/>
      <c r="Q652" s="65"/>
      <c r="R652" s="65"/>
      <c r="S652" s="65"/>
      <c r="T652" s="65"/>
      <c r="U652" s="65"/>
      <c r="V652" s="65"/>
      <c r="W652" s="65"/>
      <c r="X652" s="65"/>
    </row>
    <row r="653">
      <c r="A653" s="64"/>
      <c r="B653" s="64"/>
      <c r="C653" s="49"/>
      <c r="D653" s="49"/>
      <c r="E653" s="71"/>
      <c r="F653" s="71"/>
      <c r="G653" s="71"/>
      <c r="H653" s="71"/>
      <c r="I653" s="28"/>
      <c r="J653" s="28"/>
      <c r="K653" s="65"/>
      <c r="L653" s="65"/>
      <c r="M653" s="65"/>
      <c r="N653" s="65"/>
      <c r="O653" s="65"/>
      <c r="P653" s="65"/>
      <c r="Q653" s="65"/>
      <c r="R653" s="65"/>
      <c r="S653" s="65"/>
      <c r="T653" s="65"/>
      <c r="U653" s="65"/>
      <c r="V653" s="65"/>
      <c r="W653" s="65"/>
      <c r="X653" s="65"/>
    </row>
    <row r="654">
      <c r="A654" s="64"/>
      <c r="B654" s="64"/>
      <c r="C654" s="49"/>
      <c r="D654" s="49"/>
      <c r="E654" s="71"/>
      <c r="F654" s="71"/>
      <c r="G654" s="71"/>
      <c r="H654" s="71"/>
      <c r="I654" s="28"/>
      <c r="J654" s="28"/>
      <c r="K654" s="65"/>
      <c r="L654" s="65"/>
      <c r="M654" s="65"/>
      <c r="N654" s="65"/>
      <c r="O654" s="65"/>
      <c r="P654" s="65"/>
      <c r="Q654" s="65"/>
      <c r="R654" s="65"/>
      <c r="S654" s="65"/>
      <c r="T654" s="65"/>
      <c r="U654" s="65"/>
      <c r="V654" s="65"/>
      <c r="W654" s="65"/>
      <c r="X654" s="65"/>
    </row>
    <row r="655">
      <c r="A655" s="64"/>
      <c r="B655" s="64"/>
      <c r="C655" s="49"/>
      <c r="D655" s="49"/>
      <c r="E655" s="71"/>
      <c r="F655" s="71"/>
      <c r="G655" s="71"/>
      <c r="H655" s="71"/>
      <c r="I655" s="28"/>
      <c r="J655" s="28"/>
      <c r="K655" s="65"/>
      <c r="L655" s="65"/>
      <c r="M655" s="65"/>
      <c r="N655" s="65"/>
      <c r="O655" s="65"/>
      <c r="P655" s="65"/>
      <c r="Q655" s="65"/>
      <c r="R655" s="65"/>
      <c r="S655" s="65"/>
      <c r="T655" s="65"/>
      <c r="U655" s="65"/>
      <c r="V655" s="65"/>
      <c r="W655" s="65"/>
      <c r="X655" s="65"/>
    </row>
    <row r="656">
      <c r="A656" s="64"/>
      <c r="B656" s="64"/>
      <c r="C656" s="49"/>
      <c r="D656" s="49"/>
      <c r="E656" s="71"/>
      <c r="F656" s="71"/>
      <c r="G656" s="71"/>
      <c r="H656" s="71"/>
      <c r="I656" s="28"/>
      <c r="J656" s="28"/>
      <c r="K656" s="65"/>
      <c r="L656" s="65"/>
      <c r="M656" s="65"/>
      <c r="N656" s="65"/>
      <c r="O656" s="65"/>
      <c r="P656" s="65"/>
      <c r="Q656" s="65"/>
      <c r="R656" s="65"/>
      <c r="S656" s="65"/>
      <c r="T656" s="65"/>
      <c r="U656" s="65"/>
      <c r="V656" s="65"/>
      <c r="W656" s="65"/>
      <c r="X656" s="65"/>
    </row>
    <row r="657">
      <c r="A657" s="64"/>
      <c r="B657" s="64"/>
      <c r="C657" s="49"/>
      <c r="D657" s="49"/>
      <c r="E657" s="71"/>
      <c r="F657" s="71"/>
      <c r="G657" s="71"/>
      <c r="H657" s="71"/>
      <c r="I657" s="28"/>
      <c r="J657" s="28"/>
      <c r="K657" s="65"/>
      <c r="L657" s="65"/>
      <c r="M657" s="65"/>
      <c r="N657" s="65"/>
      <c r="O657" s="65"/>
      <c r="P657" s="65"/>
      <c r="Q657" s="65"/>
      <c r="R657" s="65"/>
      <c r="S657" s="65"/>
      <c r="T657" s="65"/>
      <c r="U657" s="65"/>
      <c r="V657" s="65"/>
      <c r="W657" s="65"/>
      <c r="X657" s="65"/>
    </row>
    <row r="658">
      <c r="A658" s="64"/>
      <c r="B658" s="64"/>
      <c r="C658" s="49"/>
      <c r="D658" s="49"/>
      <c r="E658" s="71"/>
      <c r="F658" s="71"/>
      <c r="G658" s="71"/>
      <c r="H658" s="71"/>
      <c r="I658" s="28"/>
      <c r="J658" s="28"/>
      <c r="K658" s="65"/>
      <c r="L658" s="65"/>
      <c r="M658" s="65"/>
      <c r="N658" s="65"/>
      <c r="O658" s="65"/>
      <c r="P658" s="65"/>
      <c r="Q658" s="65"/>
      <c r="R658" s="65"/>
      <c r="S658" s="65"/>
      <c r="T658" s="65"/>
      <c r="U658" s="65"/>
      <c r="V658" s="65"/>
      <c r="W658" s="65"/>
      <c r="X658" s="65"/>
    </row>
    <row r="659">
      <c r="A659" s="64"/>
      <c r="B659" s="64"/>
      <c r="C659" s="49"/>
      <c r="D659" s="49"/>
      <c r="E659" s="71"/>
      <c r="F659" s="71"/>
      <c r="G659" s="71"/>
      <c r="H659" s="71"/>
      <c r="I659" s="28"/>
      <c r="J659" s="28"/>
      <c r="K659" s="65"/>
      <c r="L659" s="65"/>
      <c r="M659" s="65"/>
      <c r="N659" s="65"/>
      <c r="O659" s="65"/>
      <c r="P659" s="65"/>
      <c r="Q659" s="65"/>
      <c r="R659" s="65"/>
      <c r="S659" s="65"/>
      <c r="T659" s="65"/>
      <c r="U659" s="65"/>
      <c r="V659" s="65"/>
      <c r="W659" s="65"/>
      <c r="X659" s="65"/>
    </row>
    <row r="660">
      <c r="A660" s="64"/>
      <c r="B660" s="64"/>
      <c r="C660" s="49"/>
      <c r="D660" s="49"/>
      <c r="E660" s="71"/>
      <c r="F660" s="71"/>
      <c r="G660" s="71"/>
      <c r="H660" s="71"/>
      <c r="I660" s="28"/>
      <c r="J660" s="28"/>
      <c r="K660" s="65"/>
      <c r="L660" s="65"/>
      <c r="M660" s="65"/>
      <c r="N660" s="65"/>
      <c r="O660" s="65"/>
      <c r="P660" s="65"/>
      <c r="Q660" s="65"/>
      <c r="R660" s="65"/>
      <c r="S660" s="65"/>
      <c r="T660" s="65"/>
      <c r="U660" s="65"/>
      <c r="V660" s="65"/>
      <c r="W660" s="65"/>
      <c r="X660" s="65"/>
    </row>
    <row r="661">
      <c r="A661" s="64"/>
      <c r="B661" s="64"/>
      <c r="C661" s="49"/>
      <c r="D661" s="49"/>
      <c r="E661" s="71"/>
      <c r="F661" s="71"/>
      <c r="G661" s="71"/>
      <c r="H661" s="71"/>
      <c r="I661" s="28"/>
      <c r="J661" s="28"/>
      <c r="K661" s="65"/>
      <c r="L661" s="65"/>
      <c r="M661" s="65"/>
      <c r="N661" s="65"/>
      <c r="O661" s="65"/>
      <c r="P661" s="65"/>
      <c r="Q661" s="65"/>
      <c r="R661" s="65"/>
      <c r="S661" s="65"/>
      <c r="T661" s="65"/>
      <c r="U661" s="65"/>
      <c r="V661" s="65"/>
      <c r="W661" s="65"/>
      <c r="X661" s="65"/>
    </row>
    <row r="662">
      <c r="A662" s="64"/>
      <c r="B662" s="64"/>
      <c r="C662" s="49"/>
      <c r="D662" s="49"/>
      <c r="E662" s="71"/>
      <c r="F662" s="71"/>
      <c r="G662" s="71"/>
      <c r="H662" s="71"/>
      <c r="I662" s="28"/>
      <c r="J662" s="28"/>
      <c r="K662" s="65"/>
      <c r="L662" s="65"/>
      <c r="M662" s="65"/>
      <c r="N662" s="65"/>
      <c r="O662" s="65"/>
      <c r="P662" s="65"/>
      <c r="Q662" s="65"/>
      <c r="R662" s="65"/>
      <c r="S662" s="65"/>
      <c r="T662" s="65"/>
      <c r="U662" s="65"/>
      <c r="V662" s="65"/>
      <c r="W662" s="65"/>
      <c r="X662" s="65"/>
    </row>
    <row r="663">
      <c r="A663" s="64"/>
      <c r="B663" s="64"/>
      <c r="C663" s="49"/>
      <c r="D663" s="49"/>
      <c r="E663" s="71"/>
      <c r="F663" s="71"/>
      <c r="G663" s="71"/>
      <c r="H663" s="71"/>
      <c r="I663" s="28"/>
      <c r="J663" s="28"/>
      <c r="K663" s="65"/>
      <c r="L663" s="65"/>
      <c r="M663" s="65"/>
      <c r="N663" s="65"/>
      <c r="O663" s="65"/>
      <c r="P663" s="65"/>
      <c r="Q663" s="65"/>
      <c r="R663" s="65"/>
      <c r="S663" s="65"/>
      <c r="T663" s="65"/>
      <c r="U663" s="65"/>
      <c r="V663" s="65"/>
      <c r="W663" s="65"/>
      <c r="X663" s="65"/>
    </row>
    <row r="664">
      <c r="A664" s="64"/>
      <c r="B664" s="64"/>
      <c r="C664" s="49"/>
      <c r="D664" s="49"/>
      <c r="E664" s="71"/>
      <c r="F664" s="71"/>
      <c r="G664" s="71"/>
      <c r="H664" s="71"/>
      <c r="I664" s="28"/>
      <c r="J664" s="28"/>
      <c r="K664" s="65"/>
      <c r="L664" s="65"/>
      <c r="M664" s="65"/>
      <c r="N664" s="65"/>
      <c r="O664" s="65"/>
      <c r="P664" s="65"/>
      <c r="Q664" s="65"/>
      <c r="R664" s="65"/>
      <c r="S664" s="65"/>
      <c r="T664" s="65"/>
      <c r="U664" s="65"/>
      <c r="V664" s="65"/>
      <c r="W664" s="65"/>
      <c r="X664" s="65"/>
    </row>
    <row r="665">
      <c r="A665" s="64"/>
      <c r="B665" s="64"/>
      <c r="C665" s="49"/>
      <c r="D665" s="49"/>
      <c r="E665" s="71"/>
      <c r="F665" s="71"/>
      <c r="G665" s="71"/>
      <c r="H665" s="71"/>
      <c r="I665" s="28"/>
      <c r="J665" s="28"/>
      <c r="K665" s="65"/>
      <c r="L665" s="65"/>
      <c r="M665" s="65"/>
      <c r="N665" s="65"/>
      <c r="O665" s="65"/>
      <c r="P665" s="65"/>
      <c r="Q665" s="65"/>
      <c r="R665" s="65"/>
      <c r="S665" s="65"/>
      <c r="T665" s="65"/>
      <c r="U665" s="65"/>
      <c r="V665" s="65"/>
      <c r="W665" s="65"/>
      <c r="X665" s="65"/>
    </row>
    <row r="666">
      <c r="A666" s="64"/>
      <c r="B666" s="64"/>
      <c r="C666" s="49"/>
      <c r="D666" s="49"/>
      <c r="E666" s="71"/>
      <c r="F666" s="71"/>
      <c r="G666" s="71"/>
      <c r="H666" s="71"/>
      <c r="I666" s="28"/>
      <c r="J666" s="28"/>
      <c r="K666" s="65"/>
      <c r="L666" s="65"/>
      <c r="M666" s="65"/>
      <c r="N666" s="65"/>
      <c r="O666" s="65"/>
      <c r="P666" s="65"/>
      <c r="Q666" s="65"/>
      <c r="R666" s="65"/>
      <c r="S666" s="65"/>
      <c r="T666" s="65"/>
      <c r="U666" s="65"/>
      <c r="V666" s="65"/>
      <c r="W666" s="65"/>
      <c r="X666" s="65"/>
    </row>
    <row r="667">
      <c r="A667" s="64"/>
      <c r="B667" s="64"/>
      <c r="C667" s="49"/>
      <c r="D667" s="49"/>
      <c r="E667" s="71"/>
      <c r="F667" s="71"/>
      <c r="G667" s="71"/>
      <c r="H667" s="71"/>
      <c r="I667" s="28"/>
      <c r="J667" s="28"/>
      <c r="K667" s="65"/>
      <c r="L667" s="65"/>
      <c r="M667" s="65"/>
      <c r="N667" s="65"/>
      <c r="O667" s="65"/>
      <c r="P667" s="65"/>
      <c r="Q667" s="65"/>
      <c r="R667" s="65"/>
      <c r="S667" s="65"/>
      <c r="T667" s="65"/>
      <c r="U667" s="65"/>
      <c r="V667" s="65"/>
      <c r="W667" s="65"/>
      <c r="X667" s="65"/>
    </row>
    <row r="668">
      <c r="A668" s="64"/>
      <c r="B668" s="64"/>
      <c r="C668" s="49"/>
      <c r="D668" s="49"/>
      <c r="E668" s="71"/>
      <c r="F668" s="71"/>
      <c r="G668" s="71"/>
      <c r="H668" s="71"/>
      <c r="I668" s="28"/>
      <c r="J668" s="28"/>
      <c r="K668" s="65"/>
      <c r="L668" s="65"/>
      <c r="M668" s="65"/>
      <c r="N668" s="65"/>
      <c r="O668" s="65"/>
      <c r="P668" s="65"/>
      <c r="Q668" s="65"/>
      <c r="R668" s="65"/>
      <c r="S668" s="65"/>
      <c r="T668" s="65"/>
      <c r="U668" s="65"/>
      <c r="V668" s="65"/>
      <c r="W668" s="65"/>
      <c r="X668" s="65"/>
    </row>
    <row r="669">
      <c r="A669" s="64"/>
      <c r="B669" s="64"/>
      <c r="C669" s="49"/>
      <c r="D669" s="49"/>
      <c r="E669" s="71"/>
      <c r="F669" s="71"/>
      <c r="G669" s="71"/>
      <c r="H669" s="71"/>
      <c r="I669" s="28"/>
      <c r="J669" s="28"/>
      <c r="K669" s="65"/>
      <c r="L669" s="65"/>
      <c r="M669" s="65"/>
      <c r="N669" s="65"/>
      <c r="O669" s="65"/>
      <c r="P669" s="65"/>
      <c r="Q669" s="65"/>
      <c r="R669" s="65"/>
      <c r="S669" s="65"/>
      <c r="T669" s="65"/>
      <c r="U669" s="65"/>
      <c r="V669" s="65"/>
      <c r="W669" s="65"/>
      <c r="X669" s="65"/>
    </row>
    <row r="670">
      <c r="A670" s="64"/>
      <c r="B670" s="64"/>
      <c r="C670" s="49"/>
      <c r="D670" s="49"/>
      <c r="E670" s="71"/>
      <c r="F670" s="71"/>
      <c r="G670" s="71"/>
      <c r="H670" s="71"/>
      <c r="I670" s="28"/>
      <c r="J670" s="28"/>
      <c r="K670" s="65"/>
      <c r="L670" s="65"/>
      <c r="M670" s="65"/>
      <c r="N670" s="65"/>
      <c r="O670" s="65"/>
      <c r="P670" s="65"/>
      <c r="Q670" s="65"/>
      <c r="R670" s="65"/>
      <c r="S670" s="65"/>
      <c r="T670" s="65"/>
      <c r="U670" s="65"/>
      <c r="V670" s="65"/>
      <c r="W670" s="65"/>
      <c r="X670" s="65"/>
    </row>
    <row r="671">
      <c r="A671" s="64"/>
      <c r="B671" s="64"/>
      <c r="C671" s="49"/>
      <c r="D671" s="49"/>
      <c r="E671" s="71"/>
      <c r="F671" s="71"/>
      <c r="G671" s="71"/>
      <c r="H671" s="71"/>
      <c r="I671" s="28"/>
      <c r="J671" s="28"/>
      <c r="K671" s="65"/>
      <c r="L671" s="65"/>
      <c r="M671" s="65"/>
      <c r="N671" s="65"/>
      <c r="O671" s="65"/>
      <c r="P671" s="65"/>
      <c r="Q671" s="65"/>
      <c r="R671" s="65"/>
      <c r="S671" s="65"/>
      <c r="T671" s="65"/>
      <c r="U671" s="65"/>
      <c r="V671" s="65"/>
      <c r="W671" s="65"/>
      <c r="X671" s="65"/>
    </row>
    <row r="672">
      <c r="A672" s="64"/>
      <c r="B672" s="64"/>
      <c r="C672" s="49"/>
      <c r="D672" s="49"/>
      <c r="E672" s="71"/>
      <c r="F672" s="71"/>
      <c r="G672" s="71"/>
      <c r="H672" s="71"/>
      <c r="I672" s="28"/>
      <c r="J672" s="28"/>
      <c r="K672" s="65"/>
      <c r="L672" s="65"/>
      <c r="M672" s="65"/>
      <c r="N672" s="65"/>
      <c r="O672" s="65"/>
      <c r="P672" s="65"/>
      <c r="Q672" s="65"/>
      <c r="R672" s="65"/>
      <c r="S672" s="65"/>
      <c r="T672" s="65"/>
      <c r="U672" s="65"/>
      <c r="V672" s="65"/>
      <c r="W672" s="65"/>
      <c r="X672" s="65"/>
    </row>
    <row r="673">
      <c r="A673" s="64"/>
      <c r="B673" s="64"/>
      <c r="C673" s="49"/>
      <c r="D673" s="49"/>
      <c r="E673" s="71"/>
      <c r="F673" s="71"/>
      <c r="G673" s="71"/>
      <c r="H673" s="71"/>
      <c r="I673" s="28"/>
      <c r="J673" s="28"/>
      <c r="K673" s="65"/>
      <c r="L673" s="65"/>
      <c r="M673" s="65"/>
      <c r="N673" s="65"/>
      <c r="O673" s="65"/>
      <c r="P673" s="65"/>
      <c r="Q673" s="65"/>
      <c r="R673" s="65"/>
      <c r="S673" s="65"/>
      <c r="T673" s="65"/>
      <c r="U673" s="65"/>
      <c r="V673" s="65"/>
      <c r="W673" s="65"/>
      <c r="X673" s="65"/>
    </row>
    <row r="674">
      <c r="A674" s="64"/>
      <c r="B674" s="64"/>
      <c r="C674" s="49"/>
      <c r="D674" s="49"/>
      <c r="E674" s="71"/>
      <c r="F674" s="71"/>
      <c r="G674" s="71"/>
      <c r="H674" s="71"/>
      <c r="I674" s="28"/>
      <c r="J674" s="28"/>
      <c r="K674" s="65"/>
      <c r="L674" s="65"/>
      <c r="M674" s="65"/>
      <c r="N674" s="65"/>
      <c r="O674" s="65"/>
      <c r="P674" s="65"/>
      <c r="Q674" s="65"/>
      <c r="R674" s="65"/>
      <c r="S674" s="65"/>
      <c r="T674" s="65"/>
      <c r="U674" s="65"/>
      <c r="V674" s="65"/>
      <c r="W674" s="65"/>
      <c r="X674" s="65"/>
    </row>
    <row r="675">
      <c r="A675" s="64"/>
      <c r="B675" s="64"/>
      <c r="C675" s="49"/>
      <c r="D675" s="49"/>
      <c r="E675" s="71"/>
      <c r="F675" s="71"/>
      <c r="G675" s="71"/>
      <c r="H675" s="71"/>
      <c r="I675" s="28"/>
      <c r="J675" s="28"/>
      <c r="K675" s="65"/>
      <c r="L675" s="65"/>
      <c r="M675" s="65"/>
      <c r="N675" s="65"/>
      <c r="O675" s="65"/>
      <c r="P675" s="65"/>
      <c r="Q675" s="65"/>
      <c r="R675" s="65"/>
      <c r="S675" s="65"/>
      <c r="T675" s="65"/>
      <c r="U675" s="65"/>
      <c r="V675" s="65"/>
      <c r="W675" s="65"/>
      <c r="X675" s="65"/>
    </row>
    <row r="676">
      <c r="A676" s="64"/>
      <c r="B676" s="64"/>
      <c r="C676" s="49"/>
      <c r="D676" s="49"/>
      <c r="E676" s="71"/>
      <c r="F676" s="71"/>
      <c r="G676" s="71"/>
      <c r="H676" s="71"/>
      <c r="I676" s="28"/>
      <c r="J676" s="28"/>
      <c r="K676" s="65"/>
      <c r="L676" s="65"/>
      <c r="M676" s="65"/>
      <c r="N676" s="65"/>
      <c r="O676" s="65"/>
      <c r="P676" s="65"/>
      <c r="Q676" s="65"/>
      <c r="R676" s="65"/>
      <c r="S676" s="65"/>
      <c r="T676" s="65"/>
      <c r="U676" s="65"/>
      <c r="V676" s="65"/>
      <c r="W676" s="65"/>
      <c r="X676" s="65"/>
    </row>
    <row r="677">
      <c r="A677" s="64"/>
      <c r="B677" s="64"/>
      <c r="C677" s="49"/>
      <c r="D677" s="49"/>
      <c r="E677" s="71"/>
      <c r="F677" s="71"/>
      <c r="G677" s="71"/>
      <c r="H677" s="71"/>
      <c r="I677" s="28"/>
      <c r="J677" s="28"/>
      <c r="K677" s="65"/>
      <c r="L677" s="65"/>
      <c r="M677" s="65"/>
      <c r="N677" s="65"/>
      <c r="O677" s="65"/>
      <c r="P677" s="65"/>
      <c r="Q677" s="65"/>
      <c r="R677" s="65"/>
      <c r="S677" s="65"/>
      <c r="T677" s="65"/>
      <c r="U677" s="65"/>
      <c r="V677" s="65"/>
      <c r="W677" s="65"/>
      <c r="X677" s="65"/>
    </row>
    <row r="678">
      <c r="A678" s="64"/>
      <c r="B678" s="64"/>
      <c r="C678" s="49"/>
      <c r="D678" s="49"/>
      <c r="E678" s="71"/>
      <c r="F678" s="71"/>
      <c r="G678" s="71"/>
      <c r="H678" s="71"/>
      <c r="I678" s="28"/>
      <c r="J678" s="28"/>
      <c r="K678" s="65"/>
      <c r="L678" s="65"/>
      <c r="M678" s="65"/>
      <c r="N678" s="65"/>
      <c r="O678" s="65"/>
      <c r="P678" s="65"/>
      <c r="Q678" s="65"/>
      <c r="R678" s="65"/>
      <c r="S678" s="65"/>
      <c r="T678" s="65"/>
      <c r="U678" s="65"/>
      <c r="V678" s="65"/>
      <c r="W678" s="65"/>
      <c r="X678" s="65"/>
    </row>
    <row r="679">
      <c r="A679" s="64"/>
      <c r="B679" s="64"/>
      <c r="C679" s="49"/>
      <c r="D679" s="49"/>
      <c r="E679" s="71"/>
      <c r="F679" s="71"/>
      <c r="G679" s="71"/>
      <c r="H679" s="71"/>
      <c r="I679" s="28"/>
      <c r="J679" s="28"/>
      <c r="K679" s="65"/>
      <c r="L679" s="65"/>
      <c r="M679" s="65"/>
      <c r="N679" s="65"/>
      <c r="O679" s="65"/>
      <c r="P679" s="65"/>
      <c r="Q679" s="65"/>
      <c r="R679" s="65"/>
      <c r="S679" s="65"/>
      <c r="T679" s="65"/>
      <c r="U679" s="65"/>
      <c r="V679" s="65"/>
      <c r="W679" s="65"/>
      <c r="X679" s="65"/>
    </row>
    <row r="680">
      <c r="A680" s="64"/>
      <c r="B680" s="64"/>
      <c r="C680" s="49"/>
      <c r="D680" s="49"/>
      <c r="E680" s="71"/>
      <c r="F680" s="71"/>
      <c r="G680" s="71"/>
      <c r="H680" s="71"/>
      <c r="I680" s="28"/>
      <c r="J680" s="28"/>
      <c r="K680" s="65"/>
      <c r="L680" s="65"/>
      <c r="M680" s="65"/>
      <c r="N680" s="65"/>
      <c r="O680" s="65"/>
      <c r="P680" s="65"/>
      <c r="Q680" s="65"/>
      <c r="R680" s="65"/>
      <c r="S680" s="65"/>
      <c r="T680" s="65"/>
      <c r="U680" s="65"/>
      <c r="V680" s="65"/>
      <c r="W680" s="65"/>
      <c r="X680" s="65"/>
    </row>
    <row r="681">
      <c r="A681" s="64"/>
      <c r="B681" s="64"/>
      <c r="C681" s="49"/>
      <c r="D681" s="49"/>
      <c r="E681" s="71"/>
      <c r="F681" s="71"/>
      <c r="G681" s="71"/>
      <c r="H681" s="71"/>
      <c r="I681" s="28"/>
      <c r="J681" s="28"/>
      <c r="K681" s="65"/>
      <c r="L681" s="65"/>
      <c r="M681" s="65"/>
      <c r="N681" s="65"/>
      <c r="O681" s="65"/>
      <c r="P681" s="65"/>
      <c r="Q681" s="65"/>
      <c r="R681" s="65"/>
      <c r="S681" s="65"/>
      <c r="T681" s="65"/>
      <c r="U681" s="65"/>
      <c r="V681" s="65"/>
      <c r="W681" s="65"/>
      <c r="X681" s="65"/>
    </row>
    <row r="682">
      <c r="A682" s="64"/>
      <c r="B682" s="64"/>
      <c r="C682" s="49"/>
      <c r="D682" s="49"/>
      <c r="E682" s="71"/>
      <c r="F682" s="71"/>
      <c r="G682" s="71"/>
      <c r="H682" s="71"/>
      <c r="I682" s="28"/>
      <c r="J682" s="28"/>
      <c r="K682" s="65"/>
      <c r="L682" s="65"/>
      <c r="M682" s="65"/>
      <c r="N682" s="65"/>
      <c r="O682" s="65"/>
      <c r="P682" s="65"/>
      <c r="Q682" s="65"/>
      <c r="R682" s="65"/>
      <c r="S682" s="65"/>
      <c r="T682" s="65"/>
      <c r="U682" s="65"/>
      <c r="V682" s="65"/>
      <c r="W682" s="65"/>
      <c r="X682" s="65"/>
    </row>
    <row r="683">
      <c r="A683" s="64"/>
      <c r="B683" s="64"/>
      <c r="C683" s="49"/>
      <c r="D683" s="49"/>
      <c r="E683" s="71"/>
      <c r="F683" s="71"/>
      <c r="G683" s="71"/>
      <c r="H683" s="71"/>
      <c r="I683" s="28"/>
      <c r="J683" s="28"/>
      <c r="K683" s="65"/>
      <c r="L683" s="65"/>
      <c r="M683" s="65"/>
      <c r="N683" s="65"/>
      <c r="O683" s="65"/>
      <c r="P683" s="65"/>
      <c r="Q683" s="65"/>
      <c r="R683" s="65"/>
      <c r="S683" s="65"/>
      <c r="T683" s="65"/>
      <c r="U683" s="65"/>
      <c r="V683" s="65"/>
      <c r="W683" s="65"/>
      <c r="X683" s="65"/>
    </row>
    <row r="684">
      <c r="A684" s="64"/>
      <c r="B684" s="64"/>
      <c r="C684" s="49"/>
      <c r="D684" s="49"/>
      <c r="E684" s="71"/>
      <c r="F684" s="71"/>
      <c r="G684" s="71"/>
      <c r="H684" s="71"/>
      <c r="I684" s="28"/>
      <c r="J684" s="28"/>
      <c r="K684" s="65"/>
      <c r="L684" s="65"/>
      <c r="M684" s="65"/>
      <c r="N684" s="65"/>
      <c r="O684" s="65"/>
      <c r="P684" s="65"/>
      <c r="Q684" s="65"/>
      <c r="R684" s="65"/>
      <c r="S684" s="65"/>
      <c r="T684" s="65"/>
      <c r="U684" s="65"/>
      <c r="V684" s="65"/>
      <c r="W684" s="65"/>
      <c r="X684" s="65"/>
    </row>
    <row r="685">
      <c r="A685" s="64"/>
      <c r="B685" s="64"/>
      <c r="C685" s="49"/>
      <c r="D685" s="49"/>
      <c r="E685" s="71"/>
      <c r="F685" s="71"/>
      <c r="G685" s="71"/>
      <c r="H685" s="71"/>
      <c r="I685" s="28"/>
      <c r="J685" s="28"/>
      <c r="K685" s="65"/>
      <c r="L685" s="65"/>
      <c r="M685" s="65"/>
      <c r="N685" s="65"/>
      <c r="O685" s="65"/>
      <c r="P685" s="65"/>
      <c r="Q685" s="65"/>
      <c r="R685" s="65"/>
      <c r="S685" s="65"/>
      <c r="T685" s="65"/>
      <c r="U685" s="65"/>
      <c r="V685" s="65"/>
      <c r="W685" s="65"/>
      <c r="X685" s="65"/>
    </row>
    <row r="686">
      <c r="A686" s="64"/>
      <c r="B686" s="64"/>
      <c r="C686" s="49"/>
      <c r="D686" s="49"/>
      <c r="E686" s="71"/>
      <c r="F686" s="71"/>
      <c r="G686" s="71"/>
      <c r="H686" s="71"/>
      <c r="I686" s="28"/>
      <c r="J686" s="28"/>
      <c r="K686" s="65"/>
      <c r="L686" s="65"/>
      <c r="M686" s="65"/>
      <c r="N686" s="65"/>
      <c r="O686" s="65"/>
      <c r="P686" s="65"/>
      <c r="Q686" s="65"/>
      <c r="R686" s="65"/>
      <c r="S686" s="65"/>
      <c r="T686" s="65"/>
      <c r="U686" s="65"/>
      <c r="V686" s="65"/>
      <c r="W686" s="65"/>
      <c r="X686" s="65"/>
    </row>
    <row r="687">
      <c r="A687" s="64"/>
      <c r="B687" s="64"/>
      <c r="C687" s="49"/>
      <c r="D687" s="49"/>
      <c r="E687" s="71"/>
      <c r="F687" s="71"/>
      <c r="G687" s="71"/>
      <c r="H687" s="71"/>
      <c r="I687" s="28"/>
      <c r="J687" s="28"/>
      <c r="K687" s="65"/>
      <c r="L687" s="65"/>
      <c r="M687" s="65"/>
      <c r="N687" s="65"/>
      <c r="O687" s="65"/>
      <c r="P687" s="65"/>
      <c r="Q687" s="65"/>
      <c r="R687" s="65"/>
      <c r="S687" s="65"/>
      <c r="T687" s="65"/>
      <c r="U687" s="65"/>
      <c r="V687" s="65"/>
      <c r="W687" s="65"/>
      <c r="X687" s="65"/>
    </row>
    <row r="688">
      <c r="A688" s="64"/>
      <c r="B688" s="64"/>
      <c r="C688" s="49"/>
      <c r="D688" s="49"/>
      <c r="E688" s="71"/>
      <c r="F688" s="71"/>
      <c r="G688" s="71"/>
      <c r="H688" s="71"/>
      <c r="I688" s="28"/>
      <c r="J688" s="28"/>
      <c r="K688" s="65"/>
      <c r="L688" s="65"/>
      <c r="M688" s="65"/>
      <c r="N688" s="65"/>
      <c r="O688" s="65"/>
      <c r="P688" s="65"/>
      <c r="Q688" s="65"/>
      <c r="R688" s="65"/>
      <c r="S688" s="65"/>
      <c r="T688" s="65"/>
      <c r="U688" s="65"/>
      <c r="V688" s="65"/>
      <c r="W688" s="65"/>
      <c r="X688" s="65"/>
    </row>
    <row r="689">
      <c r="A689" s="64"/>
      <c r="B689" s="64"/>
      <c r="C689" s="49"/>
      <c r="D689" s="49"/>
      <c r="E689" s="71"/>
      <c r="F689" s="71"/>
      <c r="G689" s="71"/>
      <c r="H689" s="71"/>
      <c r="I689" s="28"/>
      <c r="J689" s="28"/>
      <c r="K689" s="65"/>
      <c r="L689" s="65"/>
      <c r="M689" s="65"/>
      <c r="N689" s="65"/>
      <c r="O689" s="65"/>
      <c r="P689" s="65"/>
      <c r="Q689" s="65"/>
      <c r="R689" s="65"/>
      <c r="S689" s="65"/>
      <c r="T689" s="65"/>
      <c r="U689" s="65"/>
      <c r="V689" s="65"/>
      <c r="W689" s="65"/>
      <c r="X689" s="65"/>
    </row>
    <row r="690">
      <c r="A690" s="64"/>
      <c r="B690" s="64"/>
      <c r="C690" s="49"/>
      <c r="D690" s="49"/>
      <c r="E690" s="71"/>
      <c r="F690" s="71"/>
      <c r="G690" s="71"/>
      <c r="H690" s="71"/>
      <c r="I690" s="28"/>
      <c r="J690" s="28"/>
      <c r="K690" s="65"/>
      <c r="L690" s="65"/>
      <c r="M690" s="65"/>
      <c r="N690" s="65"/>
      <c r="O690" s="65"/>
      <c r="P690" s="65"/>
      <c r="Q690" s="65"/>
      <c r="R690" s="65"/>
      <c r="S690" s="65"/>
      <c r="T690" s="65"/>
      <c r="U690" s="65"/>
      <c r="V690" s="65"/>
      <c r="W690" s="65"/>
      <c r="X690" s="65"/>
    </row>
    <row r="691">
      <c r="A691" s="64"/>
      <c r="B691" s="64"/>
      <c r="C691" s="49"/>
      <c r="D691" s="49"/>
      <c r="E691" s="71"/>
      <c r="F691" s="71"/>
      <c r="G691" s="71"/>
      <c r="H691" s="71"/>
      <c r="I691" s="28"/>
      <c r="J691" s="28"/>
      <c r="K691" s="65"/>
      <c r="L691" s="65"/>
      <c r="M691" s="65"/>
      <c r="N691" s="65"/>
      <c r="O691" s="65"/>
      <c r="P691" s="65"/>
      <c r="Q691" s="65"/>
      <c r="R691" s="65"/>
      <c r="S691" s="65"/>
      <c r="T691" s="65"/>
      <c r="U691" s="65"/>
      <c r="V691" s="65"/>
      <c r="W691" s="65"/>
      <c r="X691" s="65"/>
    </row>
    <row r="692">
      <c r="A692" s="64"/>
      <c r="B692" s="64"/>
      <c r="C692" s="49"/>
      <c r="D692" s="49"/>
      <c r="E692" s="71"/>
      <c r="F692" s="71"/>
      <c r="G692" s="71"/>
      <c r="H692" s="71"/>
      <c r="I692" s="28"/>
      <c r="J692" s="28"/>
      <c r="K692" s="65"/>
      <c r="L692" s="65"/>
      <c r="M692" s="65"/>
      <c r="N692" s="65"/>
      <c r="O692" s="65"/>
      <c r="P692" s="65"/>
      <c r="Q692" s="65"/>
      <c r="R692" s="65"/>
      <c r="S692" s="65"/>
      <c r="T692" s="65"/>
      <c r="U692" s="65"/>
      <c r="V692" s="65"/>
      <c r="W692" s="65"/>
      <c r="X692" s="65"/>
    </row>
    <row r="693">
      <c r="A693" s="64"/>
      <c r="B693" s="64"/>
      <c r="C693" s="49"/>
      <c r="D693" s="49"/>
      <c r="E693" s="71"/>
      <c r="F693" s="71"/>
      <c r="G693" s="71"/>
      <c r="H693" s="71"/>
      <c r="I693" s="28"/>
      <c r="J693" s="28"/>
      <c r="K693" s="65"/>
      <c r="L693" s="65"/>
      <c r="M693" s="65"/>
      <c r="N693" s="65"/>
      <c r="O693" s="65"/>
      <c r="P693" s="65"/>
      <c r="Q693" s="65"/>
      <c r="R693" s="65"/>
      <c r="S693" s="65"/>
      <c r="T693" s="65"/>
      <c r="U693" s="65"/>
      <c r="V693" s="65"/>
      <c r="W693" s="65"/>
      <c r="X693" s="65"/>
    </row>
    <row r="694">
      <c r="A694" s="64"/>
      <c r="B694" s="64"/>
      <c r="C694" s="49"/>
      <c r="D694" s="49"/>
      <c r="E694" s="71"/>
      <c r="F694" s="71"/>
      <c r="G694" s="71"/>
      <c r="H694" s="71"/>
      <c r="I694" s="28"/>
      <c r="J694" s="28"/>
      <c r="K694" s="65"/>
      <c r="L694" s="65"/>
      <c r="M694" s="65"/>
      <c r="N694" s="65"/>
      <c r="O694" s="65"/>
      <c r="P694" s="65"/>
      <c r="Q694" s="65"/>
      <c r="R694" s="65"/>
      <c r="S694" s="65"/>
      <c r="T694" s="65"/>
      <c r="U694" s="65"/>
      <c r="V694" s="65"/>
      <c r="W694" s="65"/>
      <c r="X694" s="65"/>
    </row>
    <row r="695">
      <c r="A695" s="64"/>
      <c r="B695" s="64"/>
      <c r="C695" s="49"/>
      <c r="D695" s="49"/>
      <c r="E695" s="71"/>
      <c r="F695" s="71"/>
      <c r="G695" s="71"/>
      <c r="H695" s="71"/>
      <c r="I695" s="28"/>
      <c r="J695" s="28"/>
      <c r="K695" s="65"/>
      <c r="L695" s="65"/>
      <c r="M695" s="65"/>
      <c r="N695" s="65"/>
      <c r="O695" s="65"/>
      <c r="P695" s="65"/>
      <c r="Q695" s="65"/>
      <c r="R695" s="65"/>
      <c r="S695" s="65"/>
      <c r="T695" s="65"/>
      <c r="U695" s="65"/>
      <c r="V695" s="65"/>
      <c r="W695" s="65"/>
      <c r="X695" s="65"/>
    </row>
    <row r="696">
      <c r="A696" s="64"/>
      <c r="B696" s="64"/>
      <c r="C696" s="49"/>
      <c r="D696" s="49"/>
      <c r="E696" s="71"/>
      <c r="F696" s="71"/>
      <c r="G696" s="71"/>
      <c r="H696" s="71"/>
      <c r="I696" s="28"/>
      <c r="J696" s="28"/>
      <c r="K696" s="65"/>
      <c r="L696" s="65"/>
      <c r="M696" s="65"/>
      <c r="N696" s="65"/>
      <c r="O696" s="65"/>
      <c r="P696" s="65"/>
      <c r="Q696" s="65"/>
      <c r="R696" s="65"/>
      <c r="S696" s="65"/>
      <c r="T696" s="65"/>
      <c r="U696" s="65"/>
      <c r="V696" s="65"/>
      <c r="W696" s="65"/>
      <c r="X696" s="65"/>
    </row>
    <row r="697">
      <c r="A697" s="64"/>
      <c r="B697" s="64"/>
      <c r="C697" s="49"/>
      <c r="D697" s="49"/>
      <c r="E697" s="71"/>
      <c r="F697" s="71"/>
      <c r="G697" s="71"/>
      <c r="H697" s="71"/>
      <c r="I697" s="28"/>
      <c r="J697" s="28"/>
      <c r="K697" s="65"/>
      <c r="L697" s="65"/>
      <c r="M697" s="65"/>
      <c r="N697" s="65"/>
      <c r="O697" s="65"/>
      <c r="P697" s="65"/>
      <c r="Q697" s="65"/>
      <c r="R697" s="65"/>
      <c r="S697" s="65"/>
      <c r="T697" s="65"/>
      <c r="U697" s="65"/>
      <c r="V697" s="65"/>
      <c r="W697" s="65"/>
      <c r="X697" s="65"/>
    </row>
    <row r="698">
      <c r="A698" s="64"/>
      <c r="B698" s="64"/>
      <c r="C698" s="49"/>
      <c r="D698" s="49"/>
      <c r="E698" s="71"/>
      <c r="F698" s="71"/>
      <c r="G698" s="71"/>
      <c r="H698" s="71"/>
      <c r="I698" s="28"/>
      <c r="J698" s="28"/>
      <c r="K698" s="65"/>
      <c r="L698" s="65"/>
      <c r="M698" s="65"/>
      <c r="N698" s="65"/>
      <c r="O698" s="65"/>
      <c r="P698" s="65"/>
      <c r="Q698" s="65"/>
      <c r="R698" s="65"/>
      <c r="S698" s="65"/>
      <c r="T698" s="65"/>
      <c r="U698" s="65"/>
      <c r="V698" s="65"/>
      <c r="W698" s="65"/>
      <c r="X698" s="65"/>
    </row>
    <row r="699">
      <c r="A699" s="64"/>
      <c r="B699" s="64"/>
      <c r="C699" s="49"/>
      <c r="D699" s="49"/>
      <c r="E699" s="71"/>
      <c r="F699" s="71"/>
      <c r="G699" s="71"/>
      <c r="H699" s="71"/>
      <c r="I699" s="28"/>
      <c r="J699" s="28"/>
      <c r="K699" s="65"/>
      <c r="L699" s="65"/>
      <c r="M699" s="65"/>
      <c r="N699" s="65"/>
      <c r="O699" s="65"/>
      <c r="P699" s="65"/>
      <c r="Q699" s="65"/>
      <c r="R699" s="65"/>
      <c r="S699" s="65"/>
      <c r="T699" s="65"/>
      <c r="U699" s="65"/>
      <c r="V699" s="65"/>
      <c r="W699" s="65"/>
      <c r="X699" s="65"/>
    </row>
    <row r="700">
      <c r="A700" s="64"/>
      <c r="B700" s="64"/>
      <c r="C700" s="49"/>
      <c r="D700" s="49"/>
      <c r="E700" s="71"/>
      <c r="F700" s="71"/>
      <c r="G700" s="71"/>
      <c r="H700" s="71"/>
      <c r="I700" s="28"/>
      <c r="J700" s="28"/>
      <c r="K700" s="65"/>
      <c r="L700" s="65"/>
      <c r="M700" s="65"/>
      <c r="N700" s="65"/>
      <c r="O700" s="65"/>
      <c r="P700" s="65"/>
      <c r="Q700" s="65"/>
      <c r="R700" s="65"/>
      <c r="S700" s="65"/>
      <c r="T700" s="65"/>
      <c r="U700" s="65"/>
      <c r="V700" s="65"/>
      <c r="W700" s="65"/>
      <c r="X700" s="65"/>
    </row>
    <row r="701">
      <c r="A701" s="64"/>
      <c r="B701" s="64"/>
      <c r="C701" s="49"/>
      <c r="D701" s="49"/>
      <c r="E701" s="71"/>
      <c r="F701" s="71"/>
      <c r="G701" s="71"/>
      <c r="H701" s="71"/>
      <c r="I701" s="28"/>
      <c r="J701" s="28"/>
      <c r="K701" s="65"/>
      <c r="L701" s="65"/>
      <c r="M701" s="65"/>
      <c r="N701" s="65"/>
      <c r="O701" s="65"/>
      <c r="P701" s="65"/>
      <c r="Q701" s="65"/>
      <c r="R701" s="65"/>
      <c r="S701" s="65"/>
      <c r="T701" s="65"/>
      <c r="U701" s="65"/>
      <c r="V701" s="65"/>
      <c r="W701" s="65"/>
      <c r="X701" s="65"/>
    </row>
    <row r="702">
      <c r="A702" s="64"/>
      <c r="B702" s="64"/>
      <c r="C702" s="49"/>
      <c r="D702" s="49"/>
      <c r="E702" s="71"/>
      <c r="F702" s="71"/>
      <c r="G702" s="71"/>
      <c r="H702" s="71"/>
      <c r="I702" s="28"/>
      <c r="J702" s="28"/>
      <c r="K702" s="65"/>
      <c r="L702" s="65"/>
      <c r="M702" s="65"/>
      <c r="N702" s="65"/>
      <c r="O702" s="65"/>
      <c r="P702" s="65"/>
      <c r="Q702" s="65"/>
      <c r="R702" s="65"/>
      <c r="S702" s="65"/>
      <c r="T702" s="65"/>
      <c r="U702" s="65"/>
      <c r="V702" s="65"/>
      <c r="W702" s="65"/>
      <c r="X702" s="65"/>
    </row>
    <row r="703">
      <c r="A703" s="64"/>
      <c r="B703" s="64"/>
      <c r="C703" s="49"/>
      <c r="D703" s="49"/>
      <c r="E703" s="71"/>
      <c r="F703" s="71"/>
      <c r="G703" s="71"/>
      <c r="H703" s="71"/>
      <c r="I703" s="28"/>
      <c r="J703" s="28"/>
      <c r="K703" s="65"/>
      <c r="L703" s="65"/>
      <c r="M703" s="65"/>
      <c r="N703" s="65"/>
      <c r="O703" s="65"/>
      <c r="P703" s="65"/>
      <c r="Q703" s="65"/>
      <c r="R703" s="65"/>
      <c r="S703" s="65"/>
      <c r="T703" s="65"/>
      <c r="U703" s="65"/>
      <c r="V703" s="65"/>
      <c r="W703" s="65"/>
      <c r="X703" s="65"/>
    </row>
    <row r="704">
      <c r="A704" s="64"/>
      <c r="B704" s="64"/>
      <c r="C704" s="49"/>
      <c r="D704" s="49"/>
      <c r="E704" s="71"/>
      <c r="F704" s="71"/>
      <c r="G704" s="71"/>
      <c r="H704" s="71"/>
      <c r="I704" s="28"/>
      <c r="J704" s="28"/>
      <c r="K704" s="65"/>
      <c r="L704" s="65"/>
      <c r="M704" s="65"/>
      <c r="N704" s="65"/>
      <c r="O704" s="65"/>
      <c r="P704" s="65"/>
      <c r="Q704" s="65"/>
      <c r="R704" s="65"/>
      <c r="S704" s="65"/>
      <c r="T704" s="65"/>
      <c r="U704" s="65"/>
      <c r="V704" s="65"/>
      <c r="W704" s="65"/>
      <c r="X704" s="65"/>
    </row>
    <row r="705">
      <c r="A705" s="64"/>
      <c r="B705" s="64"/>
      <c r="C705" s="49"/>
      <c r="D705" s="49"/>
      <c r="E705" s="71"/>
      <c r="F705" s="71"/>
      <c r="G705" s="71"/>
      <c r="H705" s="71"/>
      <c r="I705" s="28"/>
      <c r="J705" s="28"/>
      <c r="K705" s="65"/>
      <c r="L705" s="65"/>
      <c r="M705" s="65"/>
      <c r="N705" s="65"/>
      <c r="O705" s="65"/>
      <c r="P705" s="65"/>
      <c r="Q705" s="65"/>
      <c r="R705" s="65"/>
      <c r="S705" s="65"/>
      <c r="T705" s="65"/>
      <c r="U705" s="65"/>
      <c r="V705" s="65"/>
      <c r="W705" s="65"/>
      <c r="X705" s="65"/>
    </row>
    <row r="706">
      <c r="A706" s="64"/>
      <c r="B706" s="64"/>
      <c r="C706" s="49"/>
      <c r="D706" s="49"/>
      <c r="E706" s="71"/>
      <c r="F706" s="71"/>
      <c r="G706" s="71"/>
      <c r="H706" s="71"/>
      <c r="I706" s="28"/>
      <c r="J706" s="28"/>
      <c r="K706" s="65"/>
      <c r="L706" s="65"/>
      <c r="M706" s="65"/>
      <c r="N706" s="65"/>
      <c r="O706" s="65"/>
      <c r="P706" s="65"/>
      <c r="Q706" s="65"/>
      <c r="R706" s="65"/>
      <c r="S706" s="65"/>
      <c r="T706" s="65"/>
      <c r="U706" s="65"/>
      <c r="V706" s="65"/>
      <c r="W706" s="65"/>
      <c r="X706" s="65"/>
    </row>
    <row r="707">
      <c r="A707" s="64"/>
      <c r="B707" s="64"/>
      <c r="C707" s="49"/>
      <c r="D707" s="49"/>
      <c r="E707" s="71"/>
      <c r="F707" s="71"/>
      <c r="G707" s="71"/>
      <c r="H707" s="71"/>
      <c r="I707" s="28"/>
      <c r="J707" s="28"/>
      <c r="K707" s="65"/>
      <c r="L707" s="65"/>
      <c r="M707" s="65"/>
      <c r="N707" s="65"/>
      <c r="O707" s="65"/>
      <c r="P707" s="65"/>
      <c r="Q707" s="65"/>
      <c r="R707" s="65"/>
      <c r="S707" s="65"/>
      <c r="T707" s="65"/>
      <c r="U707" s="65"/>
      <c r="V707" s="65"/>
      <c r="W707" s="65"/>
      <c r="X707" s="65"/>
    </row>
    <row r="708">
      <c r="A708" s="64"/>
      <c r="B708" s="64"/>
      <c r="C708" s="49"/>
      <c r="D708" s="49"/>
      <c r="E708" s="71"/>
      <c r="F708" s="71"/>
      <c r="G708" s="71"/>
      <c r="H708" s="71"/>
      <c r="I708" s="28"/>
      <c r="J708" s="28"/>
      <c r="K708" s="65"/>
      <c r="L708" s="65"/>
      <c r="M708" s="65"/>
      <c r="N708" s="65"/>
      <c r="O708" s="65"/>
      <c r="P708" s="65"/>
      <c r="Q708" s="65"/>
      <c r="R708" s="65"/>
      <c r="S708" s="65"/>
      <c r="T708" s="65"/>
      <c r="U708" s="65"/>
      <c r="V708" s="65"/>
      <c r="W708" s="65"/>
      <c r="X708" s="65"/>
    </row>
    <row r="709">
      <c r="A709" s="64"/>
      <c r="B709" s="64"/>
      <c r="C709" s="49"/>
      <c r="D709" s="49"/>
      <c r="E709" s="71"/>
      <c r="F709" s="71"/>
      <c r="G709" s="71"/>
      <c r="H709" s="71"/>
      <c r="I709" s="28"/>
      <c r="J709" s="28"/>
      <c r="K709" s="65"/>
      <c r="L709" s="65"/>
      <c r="M709" s="65"/>
      <c r="N709" s="65"/>
      <c r="O709" s="65"/>
      <c r="P709" s="65"/>
      <c r="Q709" s="65"/>
      <c r="R709" s="65"/>
      <c r="S709" s="65"/>
      <c r="T709" s="65"/>
      <c r="U709" s="65"/>
      <c r="V709" s="65"/>
      <c r="W709" s="65"/>
      <c r="X709" s="65"/>
    </row>
    <row r="710">
      <c r="A710" s="64"/>
      <c r="B710" s="64"/>
      <c r="C710" s="49"/>
      <c r="D710" s="49"/>
      <c r="E710" s="71"/>
      <c r="F710" s="71"/>
      <c r="G710" s="71"/>
      <c r="H710" s="71"/>
      <c r="I710" s="28"/>
      <c r="J710" s="28"/>
      <c r="K710" s="65"/>
      <c r="L710" s="65"/>
      <c r="M710" s="65"/>
      <c r="N710" s="65"/>
      <c r="O710" s="65"/>
      <c r="P710" s="65"/>
      <c r="Q710" s="65"/>
      <c r="R710" s="65"/>
      <c r="S710" s="65"/>
      <c r="T710" s="65"/>
      <c r="U710" s="65"/>
      <c r="V710" s="65"/>
      <c r="W710" s="65"/>
      <c r="X710" s="65"/>
    </row>
    <row r="711">
      <c r="A711" s="64"/>
      <c r="B711" s="64"/>
      <c r="C711" s="49"/>
      <c r="D711" s="49"/>
      <c r="E711" s="71"/>
      <c r="F711" s="71"/>
      <c r="G711" s="71"/>
      <c r="H711" s="71"/>
      <c r="I711" s="28"/>
      <c r="J711" s="28"/>
      <c r="K711" s="65"/>
      <c r="L711" s="65"/>
      <c r="M711" s="65"/>
      <c r="N711" s="65"/>
      <c r="O711" s="65"/>
      <c r="P711" s="65"/>
      <c r="Q711" s="65"/>
      <c r="R711" s="65"/>
      <c r="S711" s="65"/>
      <c r="T711" s="65"/>
      <c r="U711" s="65"/>
      <c r="V711" s="65"/>
      <c r="W711" s="65"/>
      <c r="X711" s="65"/>
    </row>
    <row r="712">
      <c r="A712" s="64"/>
      <c r="B712" s="64"/>
      <c r="C712" s="49"/>
      <c r="D712" s="49"/>
      <c r="E712" s="71"/>
      <c r="F712" s="71"/>
      <c r="G712" s="71"/>
      <c r="H712" s="71"/>
      <c r="I712" s="28"/>
      <c r="J712" s="28"/>
      <c r="K712" s="65"/>
      <c r="L712" s="65"/>
      <c r="M712" s="65"/>
      <c r="N712" s="65"/>
      <c r="O712" s="65"/>
      <c r="P712" s="65"/>
      <c r="Q712" s="65"/>
      <c r="R712" s="65"/>
      <c r="S712" s="65"/>
      <c r="T712" s="65"/>
      <c r="U712" s="65"/>
      <c r="V712" s="65"/>
      <c r="W712" s="65"/>
      <c r="X712" s="65"/>
    </row>
    <row r="713">
      <c r="A713" s="64"/>
      <c r="B713" s="64"/>
      <c r="C713" s="49"/>
      <c r="D713" s="49"/>
      <c r="E713" s="71"/>
      <c r="F713" s="71"/>
      <c r="G713" s="71"/>
      <c r="H713" s="71"/>
      <c r="I713" s="28"/>
      <c r="J713" s="28"/>
      <c r="K713" s="65"/>
      <c r="L713" s="65"/>
      <c r="M713" s="65"/>
      <c r="N713" s="65"/>
      <c r="O713" s="65"/>
      <c r="P713" s="65"/>
      <c r="Q713" s="65"/>
      <c r="R713" s="65"/>
      <c r="S713" s="65"/>
      <c r="T713" s="65"/>
      <c r="U713" s="65"/>
      <c r="V713" s="65"/>
      <c r="W713" s="65"/>
      <c r="X713" s="65"/>
    </row>
    <row r="714">
      <c r="A714" s="64"/>
      <c r="B714" s="64"/>
      <c r="C714" s="49"/>
      <c r="D714" s="49"/>
      <c r="E714" s="71"/>
      <c r="F714" s="71"/>
      <c r="G714" s="71"/>
      <c r="H714" s="71"/>
      <c r="I714" s="28"/>
      <c r="J714" s="28"/>
      <c r="K714" s="65"/>
      <c r="L714" s="65"/>
      <c r="M714" s="65"/>
      <c r="N714" s="65"/>
      <c r="O714" s="65"/>
      <c r="P714" s="65"/>
      <c r="Q714" s="65"/>
      <c r="R714" s="65"/>
      <c r="S714" s="65"/>
      <c r="T714" s="65"/>
      <c r="U714" s="65"/>
      <c r="V714" s="65"/>
      <c r="W714" s="65"/>
      <c r="X714" s="65"/>
    </row>
    <row r="715">
      <c r="A715" s="64"/>
      <c r="B715" s="64"/>
      <c r="C715" s="49"/>
      <c r="D715" s="49"/>
      <c r="E715" s="71"/>
      <c r="F715" s="71"/>
      <c r="G715" s="71"/>
      <c r="H715" s="71"/>
      <c r="I715" s="28"/>
      <c r="J715" s="28"/>
      <c r="K715" s="65"/>
      <c r="L715" s="65"/>
      <c r="M715" s="65"/>
      <c r="N715" s="65"/>
      <c r="O715" s="65"/>
      <c r="P715" s="65"/>
      <c r="Q715" s="65"/>
      <c r="R715" s="65"/>
      <c r="S715" s="65"/>
      <c r="T715" s="65"/>
      <c r="U715" s="65"/>
      <c r="V715" s="65"/>
      <c r="W715" s="65"/>
      <c r="X715" s="65"/>
    </row>
    <row r="716">
      <c r="A716" s="64"/>
      <c r="B716" s="64"/>
      <c r="C716" s="49"/>
      <c r="D716" s="49"/>
      <c r="E716" s="71"/>
      <c r="F716" s="71"/>
      <c r="G716" s="71"/>
      <c r="H716" s="71"/>
      <c r="I716" s="28"/>
      <c r="J716" s="28"/>
      <c r="K716" s="65"/>
      <c r="L716" s="65"/>
      <c r="M716" s="65"/>
      <c r="N716" s="65"/>
      <c r="O716" s="65"/>
      <c r="P716" s="65"/>
      <c r="Q716" s="65"/>
      <c r="R716" s="65"/>
      <c r="S716" s="65"/>
      <c r="T716" s="65"/>
      <c r="U716" s="65"/>
      <c r="V716" s="65"/>
      <c r="W716" s="65"/>
      <c r="X716" s="65"/>
    </row>
    <row r="717">
      <c r="A717" s="64"/>
      <c r="B717" s="64"/>
      <c r="C717" s="49"/>
      <c r="D717" s="49"/>
      <c r="E717" s="71"/>
      <c r="F717" s="71"/>
      <c r="G717" s="71"/>
      <c r="H717" s="71"/>
      <c r="I717" s="28"/>
      <c r="J717" s="28"/>
      <c r="K717" s="65"/>
      <c r="L717" s="65"/>
      <c r="M717" s="65"/>
      <c r="N717" s="65"/>
      <c r="O717" s="65"/>
      <c r="P717" s="65"/>
      <c r="Q717" s="65"/>
      <c r="R717" s="65"/>
      <c r="S717" s="65"/>
      <c r="T717" s="65"/>
      <c r="U717" s="65"/>
      <c r="V717" s="65"/>
      <c r="W717" s="65"/>
      <c r="X717" s="65"/>
    </row>
    <row r="718">
      <c r="A718" s="64"/>
      <c r="B718" s="64"/>
      <c r="C718" s="49"/>
      <c r="D718" s="49"/>
      <c r="E718" s="71"/>
      <c r="F718" s="71"/>
      <c r="G718" s="71"/>
      <c r="H718" s="71"/>
      <c r="I718" s="28"/>
      <c r="J718" s="28"/>
      <c r="K718" s="65"/>
      <c r="L718" s="65"/>
      <c r="M718" s="65"/>
      <c r="N718" s="65"/>
      <c r="O718" s="65"/>
      <c r="P718" s="65"/>
      <c r="Q718" s="65"/>
      <c r="R718" s="65"/>
      <c r="S718" s="65"/>
      <c r="T718" s="65"/>
      <c r="U718" s="65"/>
      <c r="V718" s="65"/>
      <c r="W718" s="65"/>
      <c r="X718" s="65"/>
    </row>
    <row r="719">
      <c r="A719" s="64"/>
      <c r="B719" s="64"/>
      <c r="C719" s="49"/>
      <c r="D719" s="49"/>
      <c r="E719" s="71"/>
      <c r="F719" s="71"/>
      <c r="G719" s="71"/>
      <c r="H719" s="71"/>
      <c r="I719" s="28"/>
      <c r="J719" s="28"/>
      <c r="K719" s="65"/>
      <c r="L719" s="65"/>
      <c r="M719" s="65"/>
      <c r="N719" s="65"/>
      <c r="O719" s="65"/>
      <c r="P719" s="65"/>
      <c r="Q719" s="65"/>
      <c r="R719" s="65"/>
      <c r="S719" s="65"/>
      <c r="T719" s="65"/>
      <c r="U719" s="65"/>
      <c r="V719" s="65"/>
      <c r="W719" s="65"/>
      <c r="X719" s="65"/>
    </row>
    <row r="720">
      <c r="A720" s="64"/>
      <c r="B720" s="64"/>
      <c r="C720" s="49"/>
      <c r="D720" s="49"/>
      <c r="E720" s="71"/>
      <c r="F720" s="71"/>
      <c r="G720" s="71"/>
      <c r="H720" s="71"/>
      <c r="I720" s="28"/>
      <c r="J720" s="28"/>
      <c r="K720" s="65"/>
      <c r="L720" s="65"/>
      <c r="M720" s="65"/>
      <c r="N720" s="65"/>
      <c r="O720" s="65"/>
      <c r="P720" s="65"/>
      <c r="Q720" s="65"/>
      <c r="R720" s="65"/>
      <c r="S720" s="65"/>
      <c r="T720" s="65"/>
      <c r="U720" s="65"/>
      <c r="V720" s="65"/>
      <c r="W720" s="65"/>
      <c r="X720" s="65"/>
    </row>
    <row r="721">
      <c r="A721" s="64"/>
      <c r="B721" s="64"/>
      <c r="C721" s="49"/>
      <c r="D721" s="49"/>
      <c r="E721" s="71"/>
      <c r="F721" s="71"/>
      <c r="G721" s="71"/>
      <c r="H721" s="71"/>
      <c r="I721" s="28"/>
      <c r="J721" s="28"/>
      <c r="K721" s="65"/>
      <c r="L721" s="65"/>
      <c r="M721" s="65"/>
      <c r="N721" s="65"/>
      <c r="O721" s="65"/>
      <c r="P721" s="65"/>
      <c r="Q721" s="65"/>
      <c r="R721" s="65"/>
      <c r="S721" s="65"/>
      <c r="T721" s="65"/>
      <c r="U721" s="65"/>
      <c r="V721" s="65"/>
      <c r="W721" s="65"/>
      <c r="X721" s="65"/>
    </row>
    <row r="722">
      <c r="A722" s="64"/>
      <c r="B722" s="64"/>
      <c r="C722" s="49"/>
      <c r="D722" s="49"/>
      <c r="E722" s="71"/>
      <c r="F722" s="71"/>
      <c r="G722" s="71"/>
      <c r="H722" s="71"/>
      <c r="I722" s="28"/>
      <c r="J722" s="28"/>
      <c r="K722" s="65"/>
      <c r="L722" s="65"/>
      <c r="M722" s="65"/>
      <c r="N722" s="65"/>
      <c r="O722" s="65"/>
      <c r="P722" s="65"/>
      <c r="Q722" s="65"/>
      <c r="R722" s="65"/>
      <c r="S722" s="65"/>
      <c r="T722" s="65"/>
      <c r="U722" s="65"/>
      <c r="V722" s="65"/>
      <c r="W722" s="65"/>
      <c r="X722" s="65"/>
    </row>
    <row r="723">
      <c r="A723" s="64"/>
      <c r="B723" s="64"/>
      <c r="C723" s="49"/>
      <c r="D723" s="49"/>
      <c r="E723" s="71"/>
      <c r="F723" s="71"/>
      <c r="G723" s="71"/>
      <c r="H723" s="71"/>
      <c r="I723" s="28"/>
      <c r="J723" s="28"/>
      <c r="K723" s="65"/>
      <c r="L723" s="65"/>
      <c r="M723" s="65"/>
      <c r="N723" s="65"/>
      <c r="O723" s="65"/>
      <c r="P723" s="65"/>
      <c r="Q723" s="65"/>
      <c r="R723" s="65"/>
      <c r="S723" s="65"/>
      <c r="T723" s="65"/>
      <c r="U723" s="65"/>
      <c r="V723" s="65"/>
      <c r="W723" s="65"/>
      <c r="X723" s="65"/>
    </row>
    <row r="724">
      <c r="A724" s="64"/>
      <c r="B724" s="64"/>
      <c r="C724" s="49"/>
      <c r="D724" s="49"/>
      <c r="E724" s="71"/>
      <c r="F724" s="71"/>
      <c r="G724" s="71"/>
      <c r="H724" s="71"/>
      <c r="I724" s="28"/>
      <c r="J724" s="28"/>
      <c r="K724" s="65"/>
      <c r="L724" s="65"/>
      <c r="M724" s="65"/>
      <c r="N724" s="65"/>
      <c r="O724" s="65"/>
      <c r="P724" s="65"/>
      <c r="Q724" s="65"/>
      <c r="R724" s="65"/>
      <c r="S724" s="65"/>
      <c r="T724" s="65"/>
      <c r="U724" s="65"/>
      <c r="V724" s="65"/>
      <c r="W724" s="65"/>
      <c r="X724" s="65"/>
    </row>
    <row r="725">
      <c r="A725" s="64"/>
      <c r="B725" s="64"/>
      <c r="C725" s="49"/>
      <c r="D725" s="49"/>
      <c r="E725" s="71"/>
      <c r="F725" s="71"/>
      <c r="G725" s="71"/>
      <c r="H725" s="71"/>
      <c r="I725" s="28"/>
      <c r="J725" s="28"/>
      <c r="K725" s="65"/>
      <c r="L725" s="65"/>
      <c r="M725" s="65"/>
      <c r="N725" s="65"/>
      <c r="O725" s="65"/>
      <c r="P725" s="65"/>
      <c r="Q725" s="65"/>
      <c r="R725" s="65"/>
      <c r="S725" s="65"/>
      <c r="T725" s="65"/>
      <c r="U725" s="65"/>
      <c r="V725" s="65"/>
      <c r="W725" s="65"/>
      <c r="X725" s="65"/>
    </row>
    <row r="726">
      <c r="A726" s="64"/>
      <c r="B726" s="64"/>
      <c r="C726" s="49"/>
      <c r="D726" s="49"/>
      <c r="E726" s="71"/>
      <c r="F726" s="71"/>
      <c r="G726" s="71"/>
      <c r="H726" s="71"/>
      <c r="I726" s="28"/>
      <c r="J726" s="28"/>
      <c r="K726" s="65"/>
      <c r="L726" s="65"/>
      <c r="M726" s="65"/>
      <c r="N726" s="65"/>
      <c r="O726" s="65"/>
      <c r="P726" s="65"/>
      <c r="Q726" s="65"/>
      <c r="R726" s="65"/>
      <c r="S726" s="65"/>
      <c r="T726" s="65"/>
      <c r="U726" s="65"/>
      <c r="V726" s="65"/>
      <c r="W726" s="65"/>
      <c r="X726" s="65"/>
    </row>
    <row r="727">
      <c r="A727" s="64"/>
      <c r="B727" s="64"/>
      <c r="C727" s="49"/>
      <c r="D727" s="49"/>
      <c r="E727" s="71"/>
      <c r="F727" s="71"/>
      <c r="G727" s="71"/>
      <c r="H727" s="71"/>
      <c r="I727" s="28"/>
      <c r="J727" s="28"/>
      <c r="K727" s="65"/>
      <c r="L727" s="65"/>
      <c r="M727" s="65"/>
      <c r="N727" s="65"/>
      <c r="O727" s="65"/>
      <c r="P727" s="65"/>
      <c r="Q727" s="65"/>
      <c r="R727" s="65"/>
      <c r="S727" s="65"/>
      <c r="T727" s="65"/>
      <c r="U727" s="65"/>
      <c r="V727" s="65"/>
      <c r="W727" s="65"/>
      <c r="X727" s="65"/>
    </row>
    <row r="728">
      <c r="A728" s="64"/>
      <c r="B728" s="64"/>
      <c r="C728" s="49"/>
      <c r="D728" s="49"/>
      <c r="E728" s="71"/>
      <c r="F728" s="71"/>
      <c r="G728" s="71"/>
      <c r="H728" s="71"/>
      <c r="I728" s="28"/>
      <c r="J728" s="28"/>
      <c r="K728" s="65"/>
      <c r="L728" s="65"/>
      <c r="M728" s="65"/>
      <c r="N728" s="65"/>
      <c r="O728" s="65"/>
      <c r="P728" s="65"/>
      <c r="Q728" s="65"/>
      <c r="R728" s="65"/>
      <c r="S728" s="65"/>
      <c r="T728" s="65"/>
      <c r="U728" s="65"/>
      <c r="V728" s="65"/>
      <c r="W728" s="65"/>
      <c r="X728" s="65"/>
    </row>
    <row r="729">
      <c r="A729" s="64"/>
      <c r="B729" s="64"/>
      <c r="C729" s="49"/>
      <c r="D729" s="49"/>
      <c r="E729" s="71"/>
      <c r="F729" s="71"/>
      <c r="G729" s="71"/>
      <c r="H729" s="71"/>
      <c r="I729" s="28"/>
      <c r="J729" s="28"/>
      <c r="K729" s="65"/>
      <c r="L729" s="65"/>
      <c r="M729" s="65"/>
      <c r="N729" s="65"/>
      <c r="O729" s="65"/>
      <c r="P729" s="65"/>
      <c r="Q729" s="65"/>
      <c r="R729" s="65"/>
      <c r="S729" s="65"/>
      <c r="T729" s="65"/>
      <c r="U729" s="65"/>
      <c r="V729" s="65"/>
      <c r="W729" s="65"/>
      <c r="X729" s="65"/>
    </row>
    <row r="730">
      <c r="A730" s="64"/>
      <c r="B730" s="64"/>
      <c r="C730" s="49"/>
      <c r="D730" s="49"/>
      <c r="E730" s="71"/>
      <c r="F730" s="71"/>
      <c r="G730" s="71"/>
      <c r="H730" s="71"/>
      <c r="I730" s="28"/>
      <c r="J730" s="28"/>
      <c r="K730" s="65"/>
      <c r="L730" s="65"/>
      <c r="M730" s="65"/>
      <c r="N730" s="65"/>
      <c r="O730" s="65"/>
      <c r="P730" s="65"/>
      <c r="Q730" s="65"/>
      <c r="R730" s="65"/>
      <c r="S730" s="65"/>
      <c r="T730" s="65"/>
      <c r="U730" s="65"/>
      <c r="V730" s="65"/>
      <c r="W730" s="65"/>
      <c r="X730" s="65"/>
    </row>
    <row r="731">
      <c r="A731" s="64"/>
      <c r="B731" s="64"/>
      <c r="C731" s="49"/>
      <c r="D731" s="49"/>
      <c r="E731" s="71"/>
      <c r="F731" s="71"/>
      <c r="G731" s="71"/>
      <c r="H731" s="71"/>
      <c r="I731" s="28"/>
      <c r="J731" s="28"/>
      <c r="K731" s="65"/>
      <c r="L731" s="65"/>
      <c r="M731" s="65"/>
      <c r="N731" s="65"/>
      <c r="O731" s="65"/>
      <c r="P731" s="65"/>
      <c r="Q731" s="65"/>
      <c r="R731" s="65"/>
      <c r="S731" s="65"/>
      <c r="T731" s="65"/>
      <c r="U731" s="65"/>
      <c r="V731" s="65"/>
      <c r="W731" s="65"/>
      <c r="X731" s="65"/>
    </row>
    <row r="732">
      <c r="A732" s="64"/>
      <c r="B732" s="64"/>
      <c r="C732" s="49"/>
      <c r="D732" s="49"/>
      <c r="E732" s="71"/>
      <c r="F732" s="71"/>
      <c r="G732" s="71"/>
      <c r="H732" s="71"/>
      <c r="I732" s="28"/>
      <c r="J732" s="28"/>
      <c r="K732" s="65"/>
      <c r="L732" s="65"/>
      <c r="M732" s="65"/>
      <c r="N732" s="65"/>
      <c r="O732" s="65"/>
      <c r="P732" s="65"/>
      <c r="Q732" s="65"/>
      <c r="R732" s="65"/>
      <c r="S732" s="65"/>
      <c r="T732" s="65"/>
      <c r="U732" s="65"/>
      <c r="V732" s="65"/>
      <c r="W732" s="65"/>
      <c r="X732" s="65"/>
    </row>
    <row r="733">
      <c r="A733" s="64"/>
      <c r="B733" s="64"/>
      <c r="C733" s="49"/>
      <c r="D733" s="49"/>
      <c r="E733" s="71"/>
      <c r="F733" s="71"/>
      <c r="G733" s="71"/>
      <c r="H733" s="71"/>
      <c r="I733" s="28"/>
      <c r="J733" s="28"/>
      <c r="K733" s="65"/>
      <c r="L733" s="65"/>
      <c r="M733" s="65"/>
      <c r="N733" s="65"/>
      <c r="O733" s="65"/>
      <c r="P733" s="65"/>
      <c r="Q733" s="65"/>
      <c r="R733" s="65"/>
      <c r="S733" s="65"/>
      <c r="T733" s="65"/>
      <c r="U733" s="65"/>
      <c r="V733" s="65"/>
      <c r="W733" s="65"/>
      <c r="X733" s="65"/>
    </row>
    <row r="734">
      <c r="A734" s="64"/>
      <c r="B734" s="64"/>
      <c r="C734" s="49"/>
      <c r="D734" s="49"/>
      <c r="E734" s="71"/>
      <c r="F734" s="71"/>
      <c r="G734" s="71"/>
      <c r="H734" s="71"/>
      <c r="I734" s="28"/>
      <c r="J734" s="28"/>
      <c r="K734" s="65"/>
      <c r="L734" s="65"/>
      <c r="M734" s="65"/>
      <c r="N734" s="65"/>
      <c r="O734" s="65"/>
      <c r="P734" s="65"/>
      <c r="Q734" s="65"/>
      <c r="R734" s="65"/>
      <c r="S734" s="65"/>
      <c r="T734" s="65"/>
      <c r="U734" s="65"/>
      <c r="V734" s="65"/>
      <c r="W734" s="65"/>
      <c r="X734" s="65"/>
    </row>
    <row r="735">
      <c r="A735" s="64"/>
      <c r="B735" s="64"/>
      <c r="C735" s="49"/>
      <c r="D735" s="49"/>
      <c r="E735" s="71"/>
      <c r="F735" s="71"/>
      <c r="G735" s="71"/>
      <c r="H735" s="71"/>
      <c r="I735" s="28"/>
      <c r="J735" s="28"/>
      <c r="K735" s="65"/>
      <c r="L735" s="65"/>
      <c r="M735" s="65"/>
      <c r="N735" s="65"/>
      <c r="O735" s="65"/>
      <c r="P735" s="65"/>
      <c r="Q735" s="65"/>
      <c r="R735" s="65"/>
      <c r="S735" s="65"/>
      <c r="T735" s="65"/>
      <c r="U735" s="65"/>
      <c r="V735" s="65"/>
      <c r="W735" s="65"/>
      <c r="X735" s="65"/>
    </row>
    <row r="736">
      <c r="A736" s="64"/>
      <c r="B736" s="64"/>
      <c r="C736" s="49"/>
      <c r="D736" s="49"/>
      <c r="E736" s="71"/>
      <c r="F736" s="71"/>
      <c r="G736" s="71"/>
      <c r="H736" s="71"/>
      <c r="I736" s="28"/>
      <c r="J736" s="28"/>
      <c r="K736" s="65"/>
      <c r="L736" s="65"/>
      <c r="M736" s="65"/>
      <c r="N736" s="65"/>
      <c r="O736" s="65"/>
      <c r="P736" s="65"/>
      <c r="Q736" s="65"/>
      <c r="R736" s="65"/>
      <c r="S736" s="65"/>
      <c r="T736" s="65"/>
      <c r="U736" s="65"/>
      <c r="V736" s="65"/>
      <c r="W736" s="65"/>
      <c r="X736" s="65"/>
    </row>
    <row r="737">
      <c r="A737" s="64"/>
      <c r="B737" s="64"/>
      <c r="C737" s="49"/>
      <c r="D737" s="49"/>
      <c r="E737" s="71"/>
      <c r="F737" s="71"/>
      <c r="G737" s="71"/>
      <c r="H737" s="71"/>
      <c r="I737" s="28"/>
      <c r="J737" s="28"/>
      <c r="K737" s="65"/>
      <c r="L737" s="65"/>
      <c r="M737" s="65"/>
      <c r="N737" s="65"/>
      <c r="O737" s="65"/>
      <c r="P737" s="65"/>
      <c r="Q737" s="65"/>
      <c r="R737" s="65"/>
      <c r="S737" s="65"/>
      <c r="T737" s="65"/>
      <c r="U737" s="65"/>
      <c r="V737" s="65"/>
      <c r="W737" s="65"/>
      <c r="X737" s="65"/>
    </row>
    <row r="738">
      <c r="A738" s="64"/>
      <c r="B738" s="64"/>
      <c r="C738" s="49"/>
      <c r="D738" s="49"/>
      <c r="E738" s="71"/>
      <c r="F738" s="71"/>
      <c r="G738" s="71"/>
      <c r="H738" s="71"/>
      <c r="I738" s="28"/>
      <c r="J738" s="28"/>
      <c r="K738" s="65"/>
      <c r="L738" s="65"/>
      <c r="M738" s="65"/>
      <c r="N738" s="65"/>
      <c r="O738" s="65"/>
      <c r="P738" s="65"/>
      <c r="Q738" s="65"/>
      <c r="R738" s="65"/>
      <c r="S738" s="65"/>
      <c r="T738" s="65"/>
      <c r="U738" s="65"/>
      <c r="V738" s="65"/>
      <c r="W738" s="65"/>
      <c r="X738" s="65"/>
    </row>
    <row r="739">
      <c r="A739" s="64"/>
      <c r="B739" s="64"/>
      <c r="C739" s="49"/>
      <c r="D739" s="49"/>
      <c r="E739" s="71"/>
      <c r="F739" s="71"/>
      <c r="G739" s="71"/>
      <c r="H739" s="71"/>
      <c r="I739" s="28"/>
      <c r="J739" s="28"/>
      <c r="K739" s="65"/>
      <c r="L739" s="65"/>
      <c r="M739" s="65"/>
      <c r="N739" s="65"/>
      <c r="O739" s="65"/>
      <c r="P739" s="65"/>
      <c r="Q739" s="65"/>
      <c r="R739" s="65"/>
      <c r="S739" s="65"/>
      <c r="T739" s="65"/>
      <c r="U739" s="65"/>
      <c r="V739" s="65"/>
      <c r="W739" s="65"/>
      <c r="X739" s="65"/>
    </row>
    <row r="740">
      <c r="A740" s="64"/>
      <c r="B740" s="64"/>
      <c r="C740" s="49"/>
      <c r="D740" s="49"/>
      <c r="E740" s="71"/>
      <c r="F740" s="71"/>
      <c r="G740" s="71"/>
      <c r="H740" s="71"/>
      <c r="I740" s="28"/>
      <c r="J740" s="28"/>
      <c r="K740" s="65"/>
      <c r="L740" s="65"/>
      <c r="M740" s="65"/>
      <c r="N740" s="65"/>
      <c r="O740" s="65"/>
      <c r="P740" s="65"/>
      <c r="Q740" s="65"/>
      <c r="R740" s="65"/>
      <c r="S740" s="65"/>
      <c r="T740" s="65"/>
      <c r="U740" s="65"/>
      <c r="V740" s="65"/>
      <c r="W740" s="65"/>
      <c r="X740" s="65"/>
    </row>
    <row r="741">
      <c r="A741" s="64"/>
      <c r="B741" s="64"/>
      <c r="C741" s="49"/>
      <c r="D741" s="49"/>
      <c r="E741" s="71"/>
      <c r="F741" s="71"/>
      <c r="G741" s="71"/>
      <c r="H741" s="71"/>
      <c r="I741" s="28"/>
      <c r="J741" s="28"/>
      <c r="K741" s="65"/>
      <c r="L741" s="65"/>
      <c r="M741" s="65"/>
      <c r="N741" s="65"/>
      <c r="O741" s="65"/>
      <c r="P741" s="65"/>
      <c r="Q741" s="65"/>
      <c r="R741" s="65"/>
      <c r="S741" s="65"/>
      <c r="T741" s="65"/>
      <c r="U741" s="65"/>
      <c r="V741" s="65"/>
      <c r="W741" s="65"/>
      <c r="X741" s="65"/>
    </row>
    <row r="742">
      <c r="A742" s="64"/>
      <c r="B742" s="64"/>
      <c r="C742" s="49"/>
      <c r="D742" s="49"/>
      <c r="E742" s="71"/>
      <c r="F742" s="71"/>
      <c r="G742" s="71"/>
      <c r="H742" s="71"/>
      <c r="I742" s="28"/>
      <c r="J742" s="28"/>
      <c r="K742" s="65"/>
      <c r="L742" s="65"/>
      <c r="M742" s="65"/>
      <c r="N742" s="65"/>
      <c r="O742" s="65"/>
      <c r="P742" s="65"/>
      <c r="Q742" s="65"/>
      <c r="R742" s="65"/>
      <c r="S742" s="65"/>
      <c r="T742" s="65"/>
      <c r="U742" s="65"/>
      <c r="V742" s="65"/>
      <c r="W742" s="65"/>
      <c r="X742" s="65"/>
    </row>
    <row r="743">
      <c r="A743" s="64"/>
      <c r="B743" s="64"/>
      <c r="C743" s="49"/>
      <c r="D743" s="49"/>
      <c r="E743" s="71"/>
      <c r="F743" s="71"/>
      <c r="G743" s="71"/>
      <c r="H743" s="71"/>
      <c r="I743" s="28"/>
      <c r="J743" s="28"/>
      <c r="K743" s="65"/>
      <c r="L743" s="65"/>
      <c r="M743" s="65"/>
      <c r="N743" s="65"/>
      <c r="O743" s="65"/>
      <c r="P743" s="65"/>
      <c r="Q743" s="65"/>
      <c r="R743" s="65"/>
      <c r="S743" s="65"/>
      <c r="T743" s="65"/>
      <c r="U743" s="65"/>
      <c r="V743" s="65"/>
      <c r="W743" s="65"/>
      <c r="X743" s="65"/>
    </row>
    <row r="744">
      <c r="A744" s="64"/>
      <c r="B744" s="64"/>
      <c r="C744" s="49"/>
      <c r="D744" s="49"/>
      <c r="E744" s="71"/>
      <c r="F744" s="71"/>
      <c r="G744" s="71"/>
      <c r="H744" s="71"/>
      <c r="I744" s="28"/>
      <c r="J744" s="28"/>
      <c r="K744" s="65"/>
      <c r="L744" s="65"/>
      <c r="M744" s="65"/>
      <c r="N744" s="65"/>
      <c r="O744" s="65"/>
      <c r="P744" s="65"/>
      <c r="Q744" s="65"/>
      <c r="R744" s="65"/>
      <c r="S744" s="65"/>
      <c r="T744" s="65"/>
      <c r="U744" s="65"/>
      <c r="V744" s="65"/>
      <c r="W744" s="65"/>
      <c r="X744" s="65"/>
    </row>
    <row r="745">
      <c r="A745" s="64"/>
      <c r="B745" s="64"/>
      <c r="C745" s="49"/>
      <c r="D745" s="49"/>
      <c r="E745" s="71"/>
      <c r="F745" s="71"/>
      <c r="G745" s="71"/>
      <c r="H745" s="71"/>
      <c r="I745" s="28"/>
      <c r="J745" s="28"/>
      <c r="K745" s="65"/>
      <c r="L745" s="65"/>
      <c r="M745" s="65"/>
      <c r="N745" s="65"/>
      <c r="O745" s="65"/>
      <c r="P745" s="65"/>
      <c r="Q745" s="65"/>
      <c r="R745" s="65"/>
      <c r="S745" s="65"/>
      <c r="T745" s="65"/>
      <c r="U745" s="65"/>
      <c r="V745" s="65"/>
      <c r="W745" s="65"/>
      <c r="X745" s="65"/>
    </row>
    <row r="746">
      <c r="A746" s="64"/>
      <c r="B746" s="64"/>
      <c r="C746" s="49"/>
      <c r="D746" s="49"/>
      <c r="E746" s="71"/>
      <c r="F746" s="71"/>
      <c r="G746" s="71"/>
      <c r="H746" s="71"/>
      <c r="I746" s="28"/>
      <c r="J746" s="28"/>
      <c r="K746" s="65"/>
      <c r="L746" s="65"/>
      <c r="M746" s="65"/>
      <c r="N746" s="65"/>
      <c r="O746" s="65"/>
      <c r="P746" s="65"/>
      <c r="Q746" s="65"/>
      <c r="R746" s="65"/>
      <c r="S746" s="65"/>
      <c r="T746" s="65"/>
      <c r="U746" s="65"/>
      <c r="V746" s="65"/>
      <c r="W746" s="65"/>
      <c r="X746" s="65"/>
    </row>
    <row r="747">
      <c r="A747" s="64"/>
      <c r="B747" s="64"/>
      <c r="C747" s="49"/>
      <c r="D747" s="49"/>
      <c r="E747" s="71"/>
      <c r="F747" s="71"/>
      <c r="G747" s="71"/>
      <c r="H747" s="71"/>
      <c r="I747" s="28"/>
      <c r="J747" s="28"/>
      <c r="K747" s="65"/>
      <c r="L747" s="65"/>
      <c r="M747" s="65"/>
      <c r="N747" s="65"/>
      <c r="O747" s="65"/>
      <c r="P747" s="65"/>
      <c r="Q747" s="65"/>
      <c r="R747" s="65"/>
      <c r="S747" s="65"/>
      <c r="T747" s="65"/>
      <c r="U747" s="65"/>
      <c r="V747" s="65"/>
      <c r="W747" s="65"/>
      <c r="X747" s="65"/>
    </row>
    <row r="748">
      <c r="A748" s="64"/>
      <c r="B748" s="64"/>
      <c r="C748" s="49"/>
      <c r="D748" s="49"/>
      <c r="E748" s="71"/>
      <c r="F748" s="71"/>
      <c r="G748" s="71"/>
      <c r="H748" s="71"/>
      <c r="I748" s="28"/>
      <c r="J748" s="28"/>
      <c r="K748" s="65"/>
      <c r="L748" s="65"/>
      <c r="M748" s="65"/>
      <c r="N748" s="65"/>
      <c r="O748" s="65"/>
      <c r="P748" s="65"/>
      <c r="Q748" s="65"/>
      <c r="R748" s="65"/>
      <c r="S748" s="65"/>
      <c r="T748" s="65"/>
      <c r="U748" s="65"/>
      <c r="V748" s="65"/>
      <c r="W748" s="65"/>
      <c r="X748" s="65"/>
    </row>
    <row r="749">
      <c r="A749" s="64"/>
      <c r="B749" s="64"/>
      <c r="C749" s="49"/>
      <c r="D749" s="49"/>
      <c r="E749" s="71"/>
      <c r="F749" s="71"/>
      <c r="G749" s="71"/>
      <c r="H749" s="71"/>
      <c r="I749" s="28"/>
      <c r="J749" s="28"/>
      <c r="K749" s="65"/>
      <c r="L749" s="65"/>
      <c r="M749" s="65"/>
      <c r="N749" s="65"/>
      <c r="O749" s="65"/>
      <c r="P749" s="65"/>
      <c r="Q749" s="65"/>
      <c r="R749" s="65"/>
      <c r="S749" s="65"/>
      <c r="T749" s="65"/>
      <c r="U749" s="65"/>
      <c r="V749" s="65"/>
      <c r="W749" s="65"/>
      <c r="X749" s="65"/>
    </row>
    <row r="750">
      <c r="A750" s="64"/>
      <c r="B750" s="64"/>
      <c r="C750" s="49"/>
      <c r="D750" s="49"/>
      <c r="E750" s="71"/>
      <c r="F750" s="71"/>
      <c r="G750" s="71"/>
      <c r="H750" s="71"/>
      <c r="I750" s="28"/>
      <c r="J750" s="28"/>
      <c r="K750" s="65"/>
      <c r="L750" s="65"/>
      <c r="M750" s="65"/>
      <c r="N750" s="65"/>
      <c r="O750" s="65"/>
      <c r="P750" s="65"/>
      <c r="Q750" s="65"/>
      <c r="R750" s="65"/>
      <c r="S750" s="65"/>
      <c r="T750" s="65"/>
      <c r="U750" s="65"/>
      <c r="V750" s="65"/>
      <c r="W750" s="65"/>
      <c r="X750" s="65"/>
    </row>
    <row r="751">
      <c r="A751" s="64"/>
      <c r="B751" s="64"/>
      <c r="C751" s="49"/>
      <c r="D751" s="49"/>
      <c r="E751" s="71"/>
      <c r="F751" s="71"/>
      <c r="G751" s="71"/>
      <c r="H751" s="71"/>
      <c r="I751" s="28"/>
      <c r="J751" s="28"/>
      <c r="K751" s="65"/>
      <c r="L751" s="65"/>
      <c r="M751" s="65"/>
      <c r="N751" s="65"/>
      <c r="O751" s="65"/>
      <c r="P751" s="65"/>
      <c r="Q751" s="65"/>
      <c r="R751" s="65"/>
      <c r="S751" s="65"/>
      <c r="T751" s="65"/>
      <c r="U751" s="65"/>
      <c r="V751" s="65"/>
      <c r="W751" s="65"/>
      <c r="X751" s="65"/>
    </row>
    <row r="752">
      <c r="A752" s="64"/>
      <c r="B752" s="64"/>
      <c r="C752" s="49"/>
      <c r="D752" s="49"/>
      <c r="E752" s="71"/>
      <c r="F752" s="71"/>
      <c r="G752" s="71"/>
      <c r="H752" s="71"/>
      <c r="I752" s="28"/>
      <c r="J752" s="28"/>
      <c r="K752" s="65"/>
      <c r="L752" s="65"/>
      <c r="M752" s="65"/>
      <c r="N752" s="65"/>
      <c r="O752" s="65"/>
      <c r="P752" s="65"/>
      <c r="Q752" s="65"/>
      <c r="R752" s="65"/>
      <c r="S752" s="65"/>
      <c r="T752" s="65"/>
      <c r="U752" s="65"/>
      <c r="V752" s="65"/>
      <c r="W752" s="65"/>
      <c r="X752" s="65"/>
    </row>
    <row r="753">
      <c r="A753" s="64"/>
      <c r="B753" s="64"/>
      <c r="C753" s="49"/>
      <c r="D753" s="49"/>
      <c r="E753" s="71"/>
      <c r="F753" s="71"/>
      <c r="G753" s="71"/>
      <c r="H753" s="71"/>
      <c r="I753" s="28"/>
      <c r="J753" s="28"/>
      <c r="K753" s="65"/>
      <c r="L753" s="65"/>
      <c r="M753" s="65"/>
      <c r="N753" s="65"/>
      <c r="O753" s="65"/>
      <c r="P753" s="65"/>
      <c r="Q753" s="65"/>
      <c r="R753" s="65"/>
      <c r="S753" s="65"/>
      <c r="T753" s="65"/>
      <c r="U753" s="65"/>
      <c r="V753" s="65"/>
      <c r="W753" s="65"/>
      <c r="X753" s="65"/>
    </row>
    <row r="754">
      <c r="A754" s="64"/>
      <c r="B754" s="64"/>
      <c r="C754" s="49"/>
      <c r="D754" s="49"/>
      <c r="E754" s="71"/>
      <c r="F754" s="71"/>
      <c r="G754" s="71"/>
      <c r="H754" s="71"/>
      <c r="I754" s="28"/>
      <c r="J754" s="28"/>
      <c r="K754" s="65"/>
      <c r="L754" s="65"/>
      <c r="M754" s="65"/>
      <c r="N754" s="65"/>
      <c r="O754" s="65"/>
      <c r="P754" s="65"/>
      <c r="Q754" s="65"/>
      <c r="R754" s="65"/>
      <c r="S754" s="65"/>
      <c r="T754" s="65"/>
      <c r="U754" s="65"/>
      <c r="V754" s="65"/>
      <c r="W754" s="65"/>
      <c r="X754" s="65"/>
    </row>
    <row r="755">
      <c r="A755" s="64"/>
      <c r="B755" s="64"/>
      <c r="C755" s="49"/>
      <c r="D755" s="49"/>
      <c r="E755" s="71"/>
      <c r="F755" s="71"/>
      <c r="G755" s="71"/>
      <c r="H755" s="71"/>
      <c r="I755" s="28"/>
      <c r="J755" s="28"/>
      <c r="K755" s="65"/>
      <c r="L755" s="65"/>
      <c r="M755" s="65"/>
      <c r="N755" s="65"/>
      <c r="O755" s="65"/>
      <c r="P755" s="65"/>
      <c r="Q755" s="65"/>
      <c r="R755" s="65"/>
      <c r="S755" s="65"/>
      <c r="T755" s="65"/>
      <c r="U755" s="65"/>
      <c r="V755" s="65"/>
      <c r="W755" s="65"/>
      <c r="X755" s="65"/>
    </row>
    <row r="756">
      <c r="A756" s="64"/>
      <c r="B756" s="64"/>
      <c r="C756" s="49"/>
      <c r="D756" s="49"/>
      <c r="E756" s="71"/>
      <c r="F756" s="71"/>
      <c r="G756" s="71"/>
      <c r="H756" s="71"/>
      <c r="I756" s="28"/>
      <c r="J756" s="28"/>
      <c r="K756" s="65"/>
      <c r="L756" s="65"/>
      <c r="M756" s="65"/>
      <c r="N756" s="65"/>
      <c r="O756" s="65"/>
      <c r="P756" s="65"/>
      <c r="Q756" s="65"/>
      <c r="R756" s="65"/>
      <c r="S756" s="65"/>
      <c r="T756" s="65"/>
      <c r="U756" s="65"/>
      <c r="V756" s="65"/>
      <c r="W756" s="65"/>
      <c r="X756" s="65"/>
    </row>
    <row r="757">
      <c r="A757" s="64"/>
      <c r="B757" s="64"/>
      <c r="C757" s="49"/>
      <c r="D757" s="49"/>
      <c r="E757" s="71"/>
      <c r="F757" s="71"/>
      <c r="G757" s="71"/>
      <c r="H757" s="71"/>
      <c r="I757" s="28"/>
      <c r="J757" s="28"/>
      <c r="K757" s="65"/>
      <c r="L757" s="65"/>
      <c r="M757" s="65"/>
      <c r="N757" s="65"/>
      <c r="O757" s="65"/>
      <c r="P757" s="65"/>
      <c r="Q757" s="65"/>
      <c r="R757" s="65"/>
      <c r="S757" s="65"/>
      <c r="T757" s="65"/>
      <c r="U757" s="65"/>
      <c r="V757" s="65"/>
      <c r="W757" s="65"/>
      <c r="X757" s="65"/>
    </row>
    <row r="758">
      <c r="A758" s="64"/>
      <c r="B758" s="64"/>
      <c r="C758" s="49"/>
      <c r="D758" s="49"/>
      <c r="E758" s="71"/>
      <c r="F758" s="71"/>
      <c r="G758" s="71"/>
      <c r="H758" s="71"/>
      <c r="I758" s="28"/>
      <c r="J758" s="28"/>
      <c r="K758" s="65"/>
      <c r="L758" s="65"/>
      <c r="M758" s="65"/>
      <c r="N758" s="65"/>
      <c r="O758" s="65"/>
      <c r="P758" s="65"/>
      <c r="Q758" s="65"/>
      <c r="R758" s="65"/>
      <c r="S758" s="65"/>
      <c r="T758" s="65"/>
      <c r="U758" s="65"/>
      <c r="V758" s="65"/>
      <c r="W758" s="65"/>
      <c r="X758" s="65"/>
    </row>
    <row r="759">
      <c r="A759" s="64"/>
      <c r="B759" s="64"/>
      <c r="C759" s="49"/>
      <c r="D759" s="49"/>
      <c r="E759" s="71"/>
      <c r="F759" s="71"/>
      <c r="G759" s="71"/>
      <c r="H759" s="71"/>
      <c r="I759" s="28"/>
      <c r="J759" s="28"/>
      <c r="K759" s="65"/>
      <c r="L759" s="65"/>
      <c r="M759" s="65"/>
      <c r="N759" s="65"/>
      <c r="O759" s="65"/>
      <c r="P759" s="65"/>
      <c r="Q759" s="65"/>
      <c r="R759" s="65"/>
      <c r="S759" s="65"/>
      <c r="T759" s="65"/>
      <c r="U759" s="65"/>
      <c r="V759" s="65"/>
      <c r="W759" s="65"/>
      <c r="X759" s="65"/>
    </row>
    <row r="760">
      <c r="A760" s="64"/>
      <c r="B760" s="64"/>
      <c r="C760" s="49"/>
      <c r="D760" s="49"/>
      <c r="E760" s="71"/>
      <c r="F760" s="71"/>
      <c r="G760" s="71"/>
      <c r="H760" s="71"/>
      <c r="I760" s="28"/>
      <c r="J760" s="28"/>
      <c r="K760" s="65"/>
      <c r="L760" s="65"/>
      <c r="M760" s="65"/>
      <c r="N760" s="65"/>
      <c r="O760" s="65"/>
      <c r="P760" s="65"/>
      <c r="Q760" s="65"/>
      <c r="R760" s="65"/>
      <c r="S760" s="65"/>
      <c r="T760" s="65"/>
      <c r="U760" s="65"/>
      <c r="V760" s="65"/>
      <c r="W760" s="65"/>
      <c r="X760" s="65"/>
    </row>
    <row r="761">
      <c r="A761" s="64"/>
      <c r="B761" s="64"/>
      <c r="C761" s="49"/>
      <c r="D761" s="49"/>
      <c r="E761" s="71"/>
      <c r="F761" s="71"/>
      <c r="G761" s="71"/>
      <c r="H761" s="71"/>
      <c r="I761" s="28"/>
      <c r="J761" s="28"/>
      <c r="K761" s="65"/>
      <c r="L761" s="65"/>
      <c r="M761" s="65"/>
      <c r="N761" s="65"/>
      <c r="O761" s="65"/>
      <c r="P761" s="65"/>
      <c r="Q761" s="65"/>
      <c r="R761" s="65"/>
      <c r="S761" s="65"/>
      <c r="T761" s="65"/>
      <c r="U761" s="65"/>
      <c r="V761" s="65"/>
      <c r="W761" s="65"/>
      <c r="X761" s="65"/>
    </row>
    <row r="762">
      <c r="A762" s="64"/>
      <c r="B762" s="64"/>
      <c r="C762" s="49"/>
      <c r="D762" s="49"/>
      <c r="E762" s="71"/>
      <c r="F762" s="71"/>
      <c r="G762" s="71"/>
      <c r="H762" s="71"/>
      <c r="I762" s="28"/>
      <c r="J762" s="28"/>
      <c r="K762" s="65"/>
      <c r="L762" s="65"/>
      <c r="M762" s="65"/>
      <c r="N762" s="65"/>
      <c r="O762" s="65"/>
      <c r="P762" s="65"/>
      <c r="Q762" s="65"/>
      <c r="R762" s="65"/>
      <c r="S762" s="65"/>
      <c r="T762" s="65"/>
      <c r="U762" s="65"/>
      <c r="V762" s="65"/>
      <c r="W762" s="65"/>
      <c r="X762" s="65"/>
    </row>
    <row r="763">
      <c r="A763" s="64"/>
      <c r="B763" s="64"/>
      <c r="C763" s="49"/>
      <c r="D763" s="49"/>
      <c r="E763" s="71"/>
      <c r="F763" s="71"/>
      <c r="G763" s="71"/>
      <c r="H763" s="71"/>
      <c r="I763" s="28"/>
      <c r="J763" s="28"/>
      <c r="K763" s="65"/>
      <c r="L763" s="65"/>
      <c r="M763" s="65"/>
      <c r="N763" s="65"/>
      <c r="O763" s="65"/>
      <c r="P763" s="65"/>
      <c r="Q763" s="65"/>
      <c r="R763" s="65"/>
      <c r="S763" s="65"/>
      <c r="T763" s="65"/>
      <c r="U763" s="65"/>
      <c r="V763" s="65"/>
      <c r="W763" s="65"/>
      <c r="X763" s="65"/>
    </row>
    <row r="764">
      <c r="A764" s="64"/>
      <c r="B764" s="64"/>
      <c r="C764" s="49"/>
      <c r="D764" s="49"/>
      <c r="E764" s="71"/>
      <c r="F764" s="71"/>
      <c r="G764" s="71"/>
      <c r="H764" s="71"/>
      <c r="I764" s="28"/>
      <c r="J764" s="28"/>
      <c r="K764" s="65"/>
      <c r="L764" s="65"/>
      <c r="M764" s="65"/>
      <c r="N764" s="65"/>
      <c r="O764" s="65"/>
      <c r="P764" s="65"/>
      <c r="Q764" s="65"/>
      <c r="R764" s="65"/>
      <c r="S764" s="65"/>
      <c r="T764" s="65"/>
      <c r="U764" s="65"/>
      <c r="V764" s="65"/>
      <c r="W764" s="65"/>
      <c r="X764" s="65"/>
    </row>
    <row r="765">
      <c r="A765" s="64"/>
      <c r="B765" s="64"/>
      <c r="C765" s="49"/>
      <c r="D765" s="49"/>
      <c r="E765" s="71"/>
      <c r="F765" s="71"/>
      <c r="G765" s="71"/>
      <c r="H765" s="71"/>
      <c r="I765" s="28"/>
      <c r="J765" s="28"/>
      <c r="K765" s="65"/>
      <c r="L765" s="65"/>
      <c r="M765" s="65"/>
      <c r="N765" s="65"/>
      <c r="O765" s="65"/>
      <c r="P765" s="65"/>
      <c r="Q765" s="65"/>
      <c r="R765" s="65"/>
      <c r="S765" s="65"/>
      <c r="T765" s="65"/>
      <c r="U765" s="65"/>
      <c r="V765" s="65"/>
      <c r="W765" s="65"/>
      <c r="X765" s="65"/>
    </row>
    <row r="766">
      <c r="A766" s="64"/>
      <c r="B766" s="64"/>
      <c r="C766" s="49"/>
      <c r="D766" s="49"/>
      <c r="E766" s="71"/>
      <c r="F766" s="71"/>
      <c r="G766" s="71"/>
      <c r="H766" s="71"/>
      <c r="I766" s="28"/>
      <c r="J766" s="28"/>
      <c r="K766" s="65"/>
      <c r="L766" s="65"/>
      <c r="M766" s="65"/>
      <c r="N766" s="65"/>
      <c r="O766" s="65"/>
      <c r="P766" s="65"/>
      <c r="Q766" s="65"/>
      <c r="R766" s="65"/>
      <c r="S766" s="65"/>
      <c r="T766" s="65"/>
      <c r="U766" s="65"/>
      <c r="V766" s="65"/>
      <c r="W766" s="65"/>
      <c r="X766" s="65"/>
    </row>
    <row r="767">
      <c r="A767" s="64"/>
      <c r="B767" s="64"/>
      <c r="C767" s="49"/>
      <c r="D767" s="49"/>
      <c r="E767" s="71"/>
      <c r="F767" s="71"/>
      <c r="G767" s="71"/>
      <c r="H767" s="71"/>
      <c r="I767" s="28"/>
      <c r="J767" s="28"/>
      <c r="K767" s="65"/>
      <c r="L767" s="65"/>
      <c r="M767" s="65"/>
      <c r="N767" s="65"/>
      <c r="O767" s="65"/>
      <c r="P767" s="65"/>
      <c r="Q767" s="65"/>
      <c r="R767" s="65"/>
      <c r="S767" s="65"/>
      <c r="T767" s="65"/>
      <c r="U767" s="65"/>
      <c r="V767" s="65"/>
      <c r="W767" s="65"/>
      <c r="X767" s="65"/>
    </row>
    <row r="768">
      <c r="A768" s="64"/>
      <c r="B768" s="64"/>
      <c r="C768" s="49"/>
      <c r="D768" s="49"/>
      <c r="E768" s="71"/>
      <c r="F768" s="71"/>
      <c r="G768" s="71"/>
      <c r="H768" s="71"/>
      <c r="I768" s="28"/>
      <c r="J768" s="28"/>
      <c r="K768" s="65"/>
      <c r="L768" s="65"/>
      <c r="M768" s="65"/>
      <c r="N768" s="65"/>
      <c r="O768" s="65"/>
      <c r="P768" s="65"/>
      <c r="Q768" s="65"/>
      <c r="R768" s="65"/>
      <c r="S768" s="65"/>
      <c r="T768" s="65"/>
      <c r="U768" s="65"/>
      <c r="V768" s="65"/>
      <c r="W768" s="65"/>
      <c r="X768" s="65"/>
    </row>
    <row r="769">
      <c r="A769" s="64"/>
      <c r="B769" s="64"/>
      <c r="C769" s="49"/>
      <c r="D769" s="49"/>
      <c r="E769" s="71"/>
      <c r="F769" s="71"/>
      <c r="G769" s="71"/>
      <c r="H769" s="71"/>
      <c r="I769" s="28"/>
      <c r="J769" s="28"/>
      <c r="K769" s="65"/>
      <c r="L769" s="65"/>
      <c r="M769" s="65"/>
      <c r="N769" s="65"/>
      <c r="O769" s="65"/>
      <c r="P769" s="65"/>
      <c r="Q769" s="65"/>
      <c r="R769" s="65"/>
      <c r="S769" s="65"/>
      <c r="T769" s="65"/>
      <c r="U769" s="65"/>
      <c r="V769" s="65"/>
      <c r="W769" s="65"/>
      <c r="X769" s="65"/>
    </row>
    <row r="770">
      <c r="A770" s="64"/>
      <c r="B770" s="64"/>
      <c r="C770" s="49"/>
      <c r="D770" s="49"/>
      <c r="E770" s="71"/>
      <c r="F770" s="71"/>
      <c r="G770" s="71"/>
      <c r="H770" s="71"/>
      <c r="I770" s="28"/>
      <c r="J770" s="28"/>
      <c r="K770" s="65"/>
      <c r="L770" s="65"/>
      <c r="M770" s="65"/>
      <c r="N770" s="65"/>
      <c r="O770" s="65"/>
      <c r="P770" s="65"/>
      <c r="Q770" s="65"/>
      <c r="R770" s="65"/>
      <c r="S770" s="65"/>
      <c r="T770" s="65"/>
      <c r="U770" s="65"/>
      <c r="V770" s="65"/>
      <c r="W770" s="65"/>
      <c r="X770" s="65"/>
    </row>
    <row r="771">
      <c r="A771" s="64"/>
      <c r="B771" s="64"/>
      <c r="C771" s="49"/>
      <c r="D771" s="49"/>
      <c r="E771" s="71"/>
      <c r="F771" s="71"/>
      <c r="G771" s="71"/>
      <c r="H771" s="71"/>
      <c r="I771" s="28"/>
      <c r="J771" s="28"/>
      <c r="K771" s="65"/>
      <c r="L771" s="65"/>
      <c r="M771" s="65"/>
      <c r="N771" s="65"/>
      <c r="O771" s="65"/>
      <c r="P771" s="65"/>
      <c r="Q771" s="65"/>
      <c r="R771" s="65"/>
      <c r="S771" s="65"/>
      <c r="T771" s="65"/>
      <c r="U771" s="65"/>
      <c r="V771" s="65"/>
      <c r="W771" s="65"/>
      <c r="X771" s="65"/>
    </row>
    <row r="772">
      <c r="A772" s="64"/>
      <c r="B772" s="64"/>
      <c r="C772" s="49"/>
      <c r="D772" s="49"/>
      <c r="E772" s="71"/>
      <c r="F772" s="71"/>
      <c r="G772" s="71"/>
      <c r="H772" s="71"/>
      <c r="I772" s="28"/>
      <c r="J772" s="28"/>
      <c r="K772" s="65"/>
      <c r="L772" s="65"/>
      <c r="M772" s="65"/>
      <c r="N772" s="65"/>
      <c r="O772" s="65"/>
      <c r="P772" s="65"/>
      <c r="Q772" s="65"/>
      <c r="R772" s="65"/>
      <c r="S772" s="65"/>
      <c r="T772" s="65"/>
      <c r="U772" s="65"/>
      <c r="V772" s="65"/>
      <c r="W772" s="65"/>
      <c r="X772" s="65"/>
    </row>
    <row r="773">
      <c r="A773" s="64"/>
      <c r="B773" s="64"/>
      <c r="C773" s="49"/>
      <c r="D773" s="49"/>
      <c r="E773" s="71"/>
      <c r="F773" s="71"/>
      <c r="G773" s="71"/>
      <c r="H773" s="71"/>
      <c r="I773" s="28"/>
      <c r="J773" s="28"/>
      <c r="K773" s="65"/>
      <c r="L773" s="65"/>
      <c r="M773" s="65"/>
      <c r="N773" s="65"/>
      <c r="O773" s="65"/>
      <c r="P773" s="65"/>
      <c r="Q773" s="65"/>
      <c r="R773" s="65"/>
      <c r="S773" s="65"/>
      <c r="T773" s="65"/>
      <c r="U773" s="65"/>
      <c r="V773" s="65"/>
      <c r="W773" s="65"/>
      <c r="X773" s="65"/>
    </row>
    <row r="774">
      <c r="A774" s="64"/>
      <c r="B774" s="64"/>
      <c r="C774" s="49"/>
      <c r="D774" s="49"/>
      <c r="E774" s="71"/>
      <c r="F774" s="71"/>
      <c r="G774" s="71"/>
      <c r="H774" s="71"/>
      <c r="I774" s="28"/>
      <c r="J774" s="28"/>
      <c r="K774" s="65"/>
      <c r="L774" s="65"/>
      <c r="M774" s="65"/>
      <c r="N774" s="65"/>
      <c r="O774" s="65"/>
      <c r="P774" s="65"/>
      <c r="Q774" s="65"/>
      <c r="R774" s="65"/>
      <c r="S774" s="65"/>
      <c r="T774" s="65"/>
      <c r="U774" s="65"/>
      <c r="V774" s="65"/>
      <c r="W774" s="65"/>
      <c r="X774" s="65"/>
    </row>
    <row r="775">
      <c r="A775" s="64"/>
      <c r="B775" s="64"/>
      <c r="C775" s="49"/>
      <c r="D775" s="49"/>
      <c r="E775" s="71"/>
      <c r="F775" s="71"/>
      <c r="G775" s="71"/>
      <c r="H775" s="71"/>
      <c r="I775" s="28"/>
      <c r="J775" s="28"/>
      <c r="K775" s="65"/>
      <c r="L775" s="65"/>
      <c r="M775" s="65"/>
      <c r="N775" s="65"/>
      <c r="O775" s="65"/>
      <c r="P775" s="65"/>
      <c r="Q775" s="65"/>
      <c r="R775" s="65"/>
      <c r="S775" s="65"/>
      <c r="T775" s="65"/>
      <c r="U775" s="65"/>
      <c r="V775" s="65"/>
      <c r="W775" s="65"/>
      <c r="X775" s="65"/>
    </row>
    <row r="776">
      <c r="A776" s="64"/>
      <c r="B776" s="64"/>
      <c r="C776" s="49"/>
      <c r="D776" s="49"/>
      <c r="E776" s="71"/>
      <c r="F776" s="71"/>
      <c r="G776" s="71"/>
      <c r="H776" s="71"/>
      <c r="I776" s="28"/>
      <c r="J776" s="28"/>
      <c r="K776" s="65"/>
      <c r="L776" s="65"/>
      <c r="M776" s="65"/>
      <c r="N776" s="65"/>
      <c r="O776" s="65"/>
      <c r="P776" s="65"/>
      <c r="Q776" s="65"/>
      <c r="R776" s="65"/>
      <c r="S776" s="65"/>
      <c r="T776" s="65"/>
      <c r="U776" s="65"/>
      <c r="V776" s="65"/>
      <c r="W776" s="65"/>
      <c r="X776" s="65"/>
    </row>
    <row r="777">
      <c r="A777" s="64"/>
      <c r="B777" s="64"/>
      <c r="C777" s="49"/>
      <c r="D777" s="49"/>
      <c r="E777" s="71"/>
      <c r="F777" s="71"/>
      <c r="G777" s="71"/>
      <c r="H777" s="71"/>
      <c r="I777" s="28"/>
      <c r="J777" s="28"/>
      <c r="K777" s="65"/>
      <c r="L777" s="65"/>
      <c r="M777" s="65"/>
      <c r="N777" s="65"/>
      <c r="O777" s="65"/>
      <c r="P777" s="65"/>
      <c r="Q777" s="65"/>
      <c r="R777" s="65"/>
      <c r="S777" s="65"/>
      <c r="T777" s="65"/>
      <c r="U777" s="65"/>
      <c r="V777" s="65"/>
      <c r="W777" s="65"/>
      <c r="X777" s="65"/>
    </row>
    <row r="778">
      <c r="A778" s="64"/>
      <c r="B778" s="64"/>
      <c r="C778" s="49"/>
      <c r="D778" s="49"/>
      <c r="E778" s="71"/>
      <c r="F778" s="71"/>
      <c r="G778" s="71"/>
      <c r="H778" s="71"/>
      <c r="I778" s="28"/>
      <c r="J778" s="28"/>
      <c r="K778" s="65"/>
      <c r="L778" s="65"/>
      <c r="M778" s="65"/>
      <c r="N778" s="65"/>
      <c r="O778" s="65"/>
      <c r="P778" s="65"/>
      <c r="Q778" s="65"/>
      <c r="R778" s="65"/>
      <c r="S778" s="65"/>
      <c r="T778" s="65"/>
      <c r="U778" s="65"/>
      <c r="V778" s="65"/>
      <c r="W778" s="65"/>
      <c r="X778" s="65"/>
    </row>
    <row r="779">
      <c r="A779" s="64"/>
      <c r="B779" s="64"/>
      <c r="C779" s="49"/>
      <c r="D779" s="49"/>
      <c r="E779" s="71"/>
      <c r="F779" s="71"/>
      <c r="G779" s="71"/>
      <c r="H779" s="71"/>
      <c r="I779" s="28"/>
      <c r="J779" s="28"/>
      <c r="K779" s="65"/>
      <c r="L779" s="65"/>
      <c r="M779" s="65"/>
      <c r="N779" s="65"/>
      <c r="O779" s="65"/>
      <c r="P779" s="65"/>
      <c r="Q779" s="65"/>
      <c r="R779" s="65"/>
      <c r="S779" s="65"/>
      <c r="T779" s="65"/>
      <c r="U779" s="65"/>
      <c r="V779" s="65"/>
      <c r="W779" s="65"/>
      <c r="X779" s="65"/>
    </row>
    <row r="780">
      <c r="A780" s="64"/>
      <c r="B780" s="64"/>
      <c r="C780" s="49"/>
      <c r="D780" s="49"/>
      <c r="E780" s="71"/>
      <c r="F780" s="71"/>
      <c r="G780" s="71"/>
      <c r="H780" s="71"/>
      <c r="I780" s="28"/>
      <c r="J780" s="28"/>
      <c r="K780" s="65"/>
      <c r="L780" s="65"/>
      <c r="M780" s="65"/>
      <c r="N780" s="65"/>
      <c r="O780" s="65"/>
      <c r="P780" s="65"/>
      <c r="Q780" s="65"/>
      <c r="R780" s="65"/>
      <c r="S780" s="65"/>
      <c r="T780" s="65"/>
      <c r="U780" s="65"/>
      <c r="V780" s="65"/>
      <c r="W780" s="65"/>
      <c r="X780" s="65"/>
    </row>
    <row r="781">
      <c r="A781" s="64"/>
      <c r="B781" s="64"/>
      <c r="C781" s="49"/>
      <c r="D781" s="49"/>
      <c r="E781" s="71"/>
      <c r="F781" s="71"/>
      <c r="G781" s="71"/>
      <c r="H781" s="71"/>
      <c r="I781" s="28"/>
      <c r="J781" s="28"/>
      <c r="K781" s="65"/>
      <c r="L781" s="65"/>
      <c r="M781" s="65"/>
      <c r="N781" s="65"/>
      <c r="O781" s="65"/>
      <c r="P781" s="65"/>
      <c r="Q781" s="65"/>
      <c r="R781" s="65"/>
      <c r="S781" s="65"/>
      <c r="T781" s="65"/>
      <c r="U781" s="65"/>
      <c r="V781" s="65"/>
      <c r="W781" s="65"/>
      <c r="X781" s="65"/>
    </row>
    <row r="782">
      <c r="A782" s="64"/>
      <c r="B782" s="64"/>
      <c r="C782" s="49"/>
      <c r="D782" s="49"/>
      <c r="E782" s="71"/>
      <c r="F782" s="71"/>
      <c r="G782" s="71"/>
      <c r="H782" s="71"/>
      <c r="I782" s="28"/>
      <c r="J782" s="28"/>
      <c r="K782" s="65"/>
      <c r="L782" s="65"/>
      <c r="M782" s="65"/>
      <c r="N782" s="65"/>
      <c r="O782" s="65"/>
      <c r="P782" s="65"/>
      <c r="Q782" s="65"/>
      <c r="R782" s="65"/>
      <c r="S782" s="65"/>
      <c r="T782" s="65"/>
      <c r="U782" s="65"/>
      <c r="V782" s="65"/>
      <c r="W782" s="65"/>
      <c r="X782" s="65"/>
    </row>
    <row r="783">
      <c r="A783" s="64"/>
      <c r="B783" s="64"/>
      <c r="C783" s="49"/>
      <c r="D783" s="49"/>
      <c r="E783" s="71"/>
      <c r="F783" s="71"/>
      <c r="G783" s="71"/>
      <c r="H783" s="71"/>
      <c r="I783" s="28"/>
      <c r="J783" s="28"/>
      <c r="K783" s="65"/>
      <c r="L783" s="65"/>
      <c r="M783" s="65"/>
      <c r="N783" s="65"/>
      <c r="O783" s="65"/>
      <c r="P783" s="65"/>
      <c r="Q783" s="65"/>
      <c r="R783" s="65"/>
      <c r="S783" s="65"/>
      <c r="T783" s="65"/>
      <c r="U783" s="65"/>
      <c r="V783" s="65"/>
      <c r="W783" s="65"/>
      <c r="X783" s="65"/>
    </row>
    <row r="784">
      <c r="A784" s="64"/>
      <c r="B784" s="64"/>
      <c r="C784" s="49"/>
      <c r="D784" s="49"/>
      <c r="E784" s="71"/>
      <c r="F784" s="71"/>
      <c r="G784" s="71"/>
      <c r="H784" s="71"/>
      <c r="I784" s="28"/>
      <c r="J784" s="28"/>
      <c r="K784" s="65"/>
      <c r="L784" s="65"/>
      <c r="M784" s="65"/>
      <c r="N784" s="65"/>
      <c r="O784" s="65"/>
      <c r="P784" s="65"/>
      <c r="Q784" s="65"/>
      <c r="R784" s="65"/>
      <c r="S784" s="65"/>
      <c r="T784" s="65"/>
      <c r="U784" s="65"/>
      <c r="V784" s="65"/>
      <c r="W784" s="65"/>
      <c r="X784" s="65"/>
    </row>
    <row r="785">
      <c r="A785" s="64"/>
      <c r="B785" s="64"/>
      <c r="C785" s="49"/>
      <c r="D785" s="49"/>
      <c r="E785" s="71"/>
      <c r="F785" s="71"/>
      <c r="G785" s="71"/>
      <c r="H785" s="71"/>
      <c r="I785" s="28"/>
      <c r="J785" s="28"/>
      <c r="K785" s="65"/>
      <c r="L785" s="65"/>
      <c r="M785" s="65"/>
      <c r="N785" s="65"/>
      <c r="O785" s="65"/>
      <c r="P785" s="65"/>
      <c r="Q785" s="65"/>
      <c r="R785" s="65"/>
      <c r="S785" s="65"/>
      <c r="T785" s="65"/>
      <c r="U785" s="65"/>
      <c r="V785" s="65"/>
      <c r="W785" s="65"/>
      <c r="X785" s="65"/>
    </row>
    <row r="786">
      <c r="A786" s="64"/>
      <c r="B786" s="64"/>
      <c r="C786" s="49"/>
      <c r="D786" s="49"/>
      <c r="E786" s="71"/>
      <c r="F786" s="71"/>
      <c r="G786" s="71"/>
      <c r="H786" s="71"/>
      <c r="I786" s="28"/>
      <c r="J786" s="28"/>
      <c r="K786" s="65"/>
      <c r="L786" s="65"/>
      <c r="M786" s="65"/>
      <c r="N786" s="65"/>
      <c r="O786" s="65"/>
      <c r="P786" s="65"/>
      <c r="Q786" s="65"/>
      <c r="R786" s="65"/>
      <c r="S786" s="65"/>
      <c r="T786" s="65"/>
      <c r="U786" s="65"/>
      <c r="V786" s="65"/>
      <c r="W786" s="65"/>
      <c r="X786" s="65"/>
    </row>
    <row r="787">
      <c r="A787" s="64"/>
      <c r="B787" s="64"/>
      <c r="C787" s="49"/>
      <c r="D787" s="49"/>
      <c r="E787" s="71"/>
      <c r="F787" s="71"/>
      <c r="G787" s="71"/>
      <c r="H787" s="71"/>
      <c r="I787" s="28"/>
      <c r="J787" s="28"/>
      <c r="K787" s="65"/>
      <c r="L787" s="65"/>
      <c r="M787" s="65"/>
      <c r="N787" s="65"/>
      <c r="O787" s="65"/>
      <c r="P787" s="65"/>
      <c r="Q787" s="65"/>
      <c r="R787" s="65"/>
      <c r="S787" s="65"/>
      <c r="T787" s="65"/>
      <c r="U787" s="65"/>
      <c r="V787" s="65"/>
      <c r="W787" s="65"/>
      <c r="X787" s="65"/>
    </row>
    <row r="788">
      <c r="A788" s="64"/>
      <c r="B788" s="64"/>
      <c r="C788" s="49"/>
      <c r="D788" s="49"/>
      <c r="E788" s="71"/>
      <c r="F788" s="71"/>
      <c r="G788" s="71"/>
      <c r="H788" s="71"/>
      <c r="I788" s="28"/>
      <c r="J788" s="28"/>
      <c r="K788" s="65"/>
      <c r="L788" s="65"/>
      <c r="M788" s="65"/>
      <c r="N788" s="65"/>
      <c r="O788" s="65"/>
      <c r="P788" s="65"/>
      <c r="Q788" s="65"/>
      <c r="R788" s="65"/>
      <c r="S788" s="65"/>
      <c r="T788" s="65"/>
      <c r="U788" s="65"/>
      <c r="V788" s="65"/>
      <c r="W788" s="65"/>
      <c r="X788" s="65"/>
    </row>
    <row r="789">
      <c r="A789" s="64"/>
      <c r="B789" s="64"/>
      <c r="C789" s="49"/>
      <c r="D789" s="49"/>
      <c r="E789" s="71"/>
      <c r="F789" s="71"/>
      <c r="G789" s="71"/>
      <c r="H789" s="71"/>
      <c r="I789" s="28"/>
      <c r="J789" s="28"/>
      <c r="K789" s="65"/>
      <c r="L789" s="65"/>
      <c r="M789" s="65"/>
      <c r="N789" s="65"/>
      <c r="O789" s="65"/>
      <c r="P789" s="65"/>
      <c r="Q789" s="65"/>
      <c r="R789" s="65"/>
      <c r="S789" s="65"/>
      <c r="T789" s="65"/>
      <c r="U789" s="65"/>
      <c r="V789" s="65"/>
      <c r="W789" s="65"/>
      <c r="X789" s="65"/>
    </row>
    <row r="790">
      <c r="A790" s="64"/>
      <c r="B790" s="64"/>
      <c r="C790" s="49"/>
      <c r="D790" s="49"/>
      <c r="E790" s="71"/>
      <c r="F790" s="71"/>
      <c r="G790" s="71"/>
      <c r="H790" s="71"/>
      <c r="I790" s="28"/>
      <c r="J790" s="28"/>
      <c r="K790" s="65"/>
      <c r="L790" s="65"/>
      <c r="M790" s="65"/>
      <c r="N790" s="65"/>
      <c r="O790" s="65"/>
      <c r="P790" s="65"/>
      <c r="Q790" s="65"/>
      <c r="R790" s="65"/>
      <c r="S790" s="65"/>
      <c r="T790" s="65"/>
      <c r="U790" s="65"/>
      <c r="V790" s="65"/>
      <c r="W790" s="65"/>
      <c r="X790" s="65"/>
    </row>
    <row r="791">
      <c r="A791" s="64"/>
      <c r="B791" s="64"/>
      <c r="C791" s="49"/>
      <c r="D791" s="49"/>
      <c r="E791" s="71"/>
      <c r="F791" s="71"/>
      <c r="G791" s="71"/>
      <c r="H791" s="71"/>
      <c r="I791" s="28"/>
      <c r="J791" s="28"/>
      <c r="K791" s="65"/>
      <c r="L791" s="65"/>
      <c r="M791" s="65"/>
      <c r="N791" s="65"/>
      <c r="O791" s="65"/>
      <c r="P791" s="65"/>
      <c r="Q791" s="65"/>
      <c r="R791" s="65"/>
      <c r="S791" s="65"/>
      <c r="T791" s="65"/>
      <c r="U791" s="65"/>
      <c r="V791" s="65"/>
      <c r="W791" s="65"/>
      <c r="X791" s="65"/>
    </row>
    <row r="792">
      <c r="A792" s="64"/>
      <c r="B792" s="64"/>
      <c r="C792" s="49"/>
      <c r="D792" s="49"/>
      <c r="E792" s="71"/>
      <c r="F792" s="71"/>
      <c r="G792" s="71"/>
      <c r="H792" s="71"/>
      <c r="I792" s="28"/>
      <c r="J792" s="28"/>
      <c r="K792" s="65"/>
      <c r="L792" s="65"/>
      <c r="M792" s="65"/>
      <c r="N792" s="65"/>
      <c r="O792" s="65"/>
      <c r="P792" s="65"/>
      <c r="Q792" s="65"/>
      <c r="R792" s="65"/>
      <c r="S792" s="65"/>
      <c r="T792" s="65"/>
      <c r="U792" s="65"/>
      <c r="V792" s="65"/>
      <c r="W792" s="65"/>
      <c r="X792" s="65"/>
    </row>
    <row r="793">
      <c r="A793" s="64"/>
      <c r="B793" s="64"/>
      <c r="C793" s="49"/>
      <c r="D793" s="49"/>
      <c r="E793" s="71"/>
      <c r="F793" s="71"/>
      <c r="G793" s="71"/>
      <c r="H793" s="71"/>
      <c r="I793" s="28"/>
      <c r="J793" s="28"/>
      <c r="K793" s="65"/>
      <c r="L793" s="65"/>
      <c r="M793" s="65"/>
      <c r="N793" s="65"/>
      <c r="O793" s="65"/>
      <c r="P793" s="65"/>
      <c r="Q793" s="65"/>
      <c r="R793" s="65"/>
      <c r="S793" s="65"/>
      <c r="T793" s="65"/>
      <c r="U793" s="65"/>
      <c r="V793" s="65"/>
      <c r="W793" s="65"/>
      <c r="X793" s="65"/>
    </row>
    <row r="794">
      <c r="A794" s="64"/>
      <c r="B794" s="64"/>
      <c r="C794" s="49"/>
      <c r="D794" s="49"/>
      <c r="E794" s="71"/>
      <c r="F794" s="71"/>
      <c r="G794" s="71"/>
      <c r="H794" s="71"/>
      <c r="I794" s="28"/>
      <c r="J794" s="28"/>
      <c r="K794" s="65"/>
      <c r="L794" s="65"/>
      <c r="M794" s="65"/>
      <c r="N794" s="65"/>
      <c r="O794" s="65"/>
      <c r="P794" s="65"/>
      <c r="Q794" s="65"/>
      <c r="R794" s="65"/>
      <c r="S794" s="65"/>
      <c r="T794" s="65"/>
      <c r="U794" s="65"/>
      <c r="V794" s="65"/>
      <c r="W794" s="65"/>
      <c r="X794" s="65"/>
    </row>
    <row r="795">
      <c r="A795" s="64"/>
      <c r="B795" s="64"/>
      <c r="C795" s="49"/>
      <c r="D795" s="49"/>
      <c r="E795" s="71"/>
      <c r="F795" s="71"/>
      <c r="G795" s="71"/>
      <c r="H795" s="71"/>
      <c r="I795" s="28"/>
      <c r="J795" s="28"/>
      <c r="K795" s="65"/>
      <c r="L795" s="65"/>
      <c r="M795" s="65"/>
      <c r="N795" s="65"/>
      <c r="O795" s="65"/>
      <c r="P795" s="65"/>
      <c r="Q795" s="65"/>
      <c r="R795" s="65"/>
      <c r="S795" s="65"/>
      <c r="T795" s="65"/>
      <c r="U795" s="65"/>
      <c r="V795" s="65"/>
      <c r="W795" s="65"/>
      <c r="X795" s="65"/>
    </row>
    <row r="796">
      <c r="A796" s="64"/>
      <c r="B796" s="64"/>
      <c r="C796" s="49"/>
      <c r="D796" s="49"/>
      <c r="E796" s="71"/>
      <c r="F796" s="71"/>
      <c r="G796" s="71"/>
      <c r="H796" s="71"/>
      <c r="I796" s="28"/>
      <c r="J796" s="28"/>
      <c r="K796" s="65"/>
      <c r="L796" s="65"/>
      <c r="M796" s="65"/>
      <c r="N796" s="65"/>
      <c r="O796" s="65"/>
      <c r="P796" s="65"/>
      <c r="Q796" s="65"/>
      <c r="R796" s="65"/>
      <c r="S796" s="65"/>
      <c r="T796" s="65"/>
      <c r="U796" s="65"/>
      <c r="V796" s="65"/>
      <c r="W796" s="65"/>
      <c r="X796" s="65"/>
    </row>
    <row r="797">
      <c r="A797" s="64"/>
      <c r="B797" s="64"/>
      <c r="C797" s="49"/>
      <c r="D797" s="49"/>
      <c r="E797" s="71"/>
      <c r="F797" s="71"/>
      <c r="G797" s="71"/>
      <c r="H797" s="71"/>
      <c r="I797" s="28"/>
      <c r="J797" s="28"/>
      <c r="K797" s="65"/>
      <c r="L797" s="65"/>
      <c r="M797" s="65"/>
      <c r="N797" s="65"/>
      <c r="O797" s="65"/>
      <c r="P797" s="65"/>
      <c r="Q797" s="65"/>
      <c r="R797" s="65"/>
      <c r="S797" s="65"/>
      <c r="T797" s="65"/>
      <c r="U797" s="65"/>
      <c r="V797" s="65"/>
      <c r="W797" s="65"/>
      <c r="X797" s="65"/>
    </row>
    <row r="798">
      <c r="A798" s="64"/>
      <c r="B798" s="64"/>
      <c r="C798" s="49"/>
      <c r="D798" s="49"/>
      <c r="E798" s="71"/>
      <c r="F798" s="71"/>
      <c r="G798" s="71"/>
      <c r="H798" s="71"/>
      <c r="I798" s="28"/>
      <c r="J798" s="28"/>
      <c r="K798" s="65"/>
      <c r="L798" s="65"/>
      <c r="M798" s="65"/>
      <c r="N798" s="65"/>
      <c r="O798" s="65"/>
      <c r="P798" s="65"/>
      <c r="Q798" s="65"/>
      <c r="R798" s="65"/>
      <c r="S798" s="65"/>
      <c r="T798" s="65"/>
      <c r="U798" s="65"/>
      <c r="V798" s="65"/>
      <c r="W798" s="65"/>
      <c r="X798" s="65"/>
    </row>
    <row r="799">
      <c r="A799" s="64"/>
      <c r="B799" s="64"/>
      <c r="C799" s="49"/>
      <c r="D799" s="49"/>
      <c r="E799" s="71"/>
      <c r="F799" s="71"/>
      <c r="G799" s="71"/>
      <c r="H799" s="71"/>
      <c r="I799" s="28"/>
      <c r="J799" s="28"/>
      <c r="K799" s="65"/>
      <c r="L799" s="65"/>
      <c r="M799" s="65"/>
      <c r="N799" s="65"/>
      <c r="O799" s="65"/>
      <c r="P799" s="65"/>
      <c r="Q799" s="65"/>
      <c r="R799" s="65"/>
      <c r="S799" s="65"/>
      <c r="T799" s="65"/>
      <c r="U799" s="65"/>
      <c r="V799" s="65"/>
      <c r="W799" s="65"/>
      <c r="X799" s="65"/>
    </row>
    <row r="800">
      <c r="A800" s="64"/>
      <c r="B800" s="64"/>
      <c r="C800" s="49"/>
      <c r="D800" s="49"/>
      <c r="E800" s="71"/>
      <c r="F800" s="71"/>
      <c r="G800" s="71"/>
      <c r="H800" s="71"/>
      <c r="I800" s="28"/>
      <c r="J800" s="28"/>
      <c r="K800" s="65"/>
      <c r="L800" s="65"/>
      <c r="M800" s="65"/>
      <c r="N800" s="65"/>
      <c r="O800" s="65"/>
      <c r="P800" s="65"/>
      <c r="Q800" s="65"/>
      <c r="R800" s="65"/>
      <c r="S800" s="65"/>
      <c r="T800" s="65"/>
      <c r="U800" s="65"/>
      <c r="V800" s="65"/>
      <c r="W800" s="65"/>
      <c r="X800" s="65"/>
    </row>
    <row r="801">
      <c r="A801" s="64"/>
      <c r="B801" s="64"/>
      <c r="C801" s="49"/>
      <c r="D801" s="49"/>
      <c r="E801" s="71"/>
      <c r="F801" s="71"/>
      <c r="G801" s="71"/>
      <c r="H801" s="71"/>
      <c r="I801" s="28"/>
      <c r="J801" s="28"/>
      <c r="K801" s="65"/>
      <c r="L801" s="65"/>
      <c r="M801" s="65"/>
      <c r="N801" s="65"/>
      <c r="O801" s="65"/>
      <c r="P801" s="65"/>
      <c r="Q801" s="65"/>
      <c r="R801" s="65"/>
      <c r="S801" s="65"/>
      <c r="T801" s="65"/>
      <c r="U801" s="65"/>
      <c r="V801" s="65"/>
      <c r="W801" s="65"/>
      <c r="X801" s="65"/>
    </row>
    <row r="802">
      <c r="A802" s="64"/>
      <c r="B802" s="64"/>
      <c r="C802" s="49"/>
      <c r="D802" s="49"/>
      <c r="E802" s="71"/>
      <c r="F802" s="71"/>
      <c r="G802" s="71"/>
      <c r="H802" s="71"/>
      <c r="I802" s="28"/>
      <c r="J802" s="28"/>
      <c r="K802" s="65"/>
      <c r="L802" s="65"/>
      <c r="M802" s="65"/>
      <c r="N802" s="65"/>
      <c r="O802" s="65"/>
      <c r="P802" s="65"/>
      <c r="Q802" s="65"/>
      <c r="R802" s="65"/>
      <c r="S802" s="65"/>
      <c r="T802" s="65"/>
      <c r="U802" s="65"/>
      <c r="V802" s="65"/>
      <c r="W802" s="65"/>
      <c r="X802" s="65"/>
    </row>
    <row r="803">
      <c r="A803" s="64"/>
      <c r="B803" s="64"/>
      <c r="C803" s="49"/>
      <c r="D803" s="49"/>
      <c r="E803" s="71"/>
      <c r="F803" s="71"/>
      <c r="G803" s="71"/>
      <c r="H803" s="71"/>
      <c r="I803" s="28"/>
      <c r="J803" s="28"/>
      <c r="K803" s="65"/>
      <c r="L803" s="65"/>
      <c r="M803" s="65"/>
      <c r="N803" s="65"/>
      <c r="O803" s="65"/>
      <c r="P803" s="65"/>
      <c r="Q803" s="65"/>
      <c r="R803" s="65"/>
      <c r="S803" s="65"/>
      <c r="T803" s="65"/>
      <c r="U803" s="65"/>
      <c r="V803" s="65"/>
      <c r="W803" s="65"/>
      <c r="X803" s="65"/>
    </row>
    <row r="804">
      <c r="A804" s="64"/>
      <c r="B804" s="64"/>
      <c r="C804" s="49"/>
      <c r="D804" s="49"/>
      <c r="E804" s="71"/>
      <c r="F804" s="71"/>
      <c r="G804" s="71"/>
      <c r="H804" s="71"/>
      <c r="I804" s="28"/>
      <c r="J804" s="28"/>
      <c r="K804" s="65"/>
      <c r="L804" s="65"/>
      <c r="M804" s="65"/>
      <c r="N804" s="65"/>
      <c r="O804" s="65"/>
      <c r="P804" s="65"/>
      <c r="Q804" s="65"/>
      <c r="R804" s="65"/>
      <c r="S804" s="65"/>
      <c r="T804" s="65"/>
      <c r="U804" s="65"/>
      <c r="V804" s="65"/>
      <c r="W804" s="65"/>
      <c r="X804" s="65"/>
    </row>
    <row r="805">
      <c r="A805" s="64"/>
      <c r="B805" s="64"/>
      <c r="C805" s="49"/>
      <c r="D805" s="49"/>
      <c r="E805" s="71"/>
      <c r="F805" s="71"/>
      <c r="G805" s="71"/>
      <c r="H805" s="71"/>
      <c r="I805" s="28"/>
      <c r="J805" s="28"/>
      <c r="K805" s="65"/>
      <c r="L805" s="65"/>
      <c r="M805" s="65"/>
      <c r="N805" s="65"/>
      <c r="O805" s="65"/>
      <c r="P805" s="65"/>
      <c r="Q805" s="65"/>
      <c r="R805" s="65"/>
      <c r="S805" s="65"/>
      <c r="T805" s="65"/>
      <c r="U805" s="65"/>
      <c r="V805" s="65"/>
      <c r="W805" s="65"/>
      <c r="X805" s="65"/>
    </row>
    <row r="806">
      <c r="A806" s="64"/>
      <c r="B806" s="64"/>
      <c r="C806" s="49"/>
      <c r="D806" s="49"/>
      <c r="E806" s="71"/>
      <c r="F806" s="71"/>
      <c r="G806" s="71"/>
      <c r="H806" s="71"/>
      <c r="I806" s="28"/>
      <c r="J806" s="28"/>
      <c r="K806" s="65"/>
      <c r="L806" s="65"/>
      <c r="M806" s="65"/>
      <c r="N806" s="65"/>
      <c r="O806" s="65"/>
      <c r="P806" s="65"/>
      <c r="Q806" s="65"/>
      <c r="R806" s="65"/>
      <c r="S806" s="65"/>
      <c r="T806" s="65"/>
      <c r="U806" s="65"/>
      <c r="V806" s="65"/>
      <c r="W806" s="65"/>
      <c r="X806" s="65"/>
    </row>
    <row r="807">
      <c r="A807" s="64"/>
      <c r="B807" s="64"/>
      <c r="C807" s="49"/>
      <c r="D807" s="49"/>
      <c r="E807" s="71"/>
      <c r="F807" s="71"/>
      <c r="G807" s="71"/>
      <c r="H807" s="71"/>
      <c r="I807" s="28"/>
      <c r="J807" s="28"/>
      <c r="K807" s="65"/>
      <c r="L807" s="65"/>
      <c r="M807" s="65"/>
      <c r="N807" s="65"/>
      <c r="O807" s="65"/>
      <c r="P807" s="65"/>
      <c r="Q807" s="65"/>
      <c r="R807" s="65"/>
      <c r="S807" s="65"/>
      <c r="T807" s="65"/>
      <c r="U807" s="65"/>
      <c r="V807" s="65"/>
      <c r="W807" s="65"/>
      <c r="X807" s="65"/>
    </row>
    <row r="808">
      <c r="A808" s="64"/>
      <c r="B808" s="64"/>
      <c r="C808" s="49"/>
      <c r="D808" s="49"/>
      <c r="E808" s="71"/>
      <c r="F808" s="71"/>
      <c r="G808" s="71"/>
      <c r="H808" s="71"/>
      <c r="I808" s="28"/>
      <c r="J808" s="28"/>
      <c r="K808" s="65"/>
      <c r="L808" s="65"/>
      <c r="M808" s="65"/>
      <c r="N808" s="65"/>
      <c r="O808" s="65"/>
      <c r="P808" s="65"/>
      <c r="Q808" s="65"/>
      <c r="R808" s="65"/>
      <c r="S808" s="65"/>
      <c r="T808" s="65"/>
      <c r="U808" s="65"/>
      <c r="V808" s="65"/>
      <c r="W808" s="65"/>
      <c r="X808" s="65"/>
    </row>
    <row r="809">
      <c r="A809" s="64"/>
      <c r="B809" s="64"/>
      <c r="C809" s="49"/>
      <c r="D809" s="49"/>
      <c r="E809" s="71"/>
      <c r="F809" s="71"/>
      <c r="G809" s="71"/>
      <c r="H809" s="71"/>
      <c r="I809" s="28"/>
      <c r="J809" s="28"/>
      <c r="K809" s="65"/>
      <c r="L809" s="65"/>
      <c r="M809" s="65"/>
      <c r="N809" s="65"/>
      <c r="O809" s="65"/>
      <c r="P809" s="65"/>
      <c r="Q809" s="65"/>
      <c r="R809" s="65"/>
      <c r="S809" s="65"/>
      <c r="T809" s="65"/>
      <c r="U809" s="65"/>
      <c r="V809" s="65"/>
      <c r="W809" s="65"/>
      <c r="X809" s="65"/>
    </row>
    <row r="810">
      <c r="A810" s="64"/>
      <c r="B810" s="64"/>
      <c r="C810" s="49"/>
      <c r="D810" s="49"/>
      <c r="E810" s="71"/>
      <c r="F810" s="71"/>
      <c r="G810" s="71"/>
      <c r="H810" s="71"/>
      <c r="I810" s="28"/>
      <c r="J810" s="28"/>
      <c r="K810" s="65"/>
      <c r="L810" s="65"/>
      <c r="M810" s="65"/>
      <c r="N810" s="65"/>
      <c r="O810" s="65"/>
      <c r="P810" s="65"/>
      <c r="Q810" s="65"/>
      <c r="R810" s="65"/>
      <c r="S810" s="65"/>
      <c r="T810" s="65"/>
      <c r="U810" s="65"/>
      <c r="V810" s="65"/>
      <c r="W810" s="65"/>
      <c r="X810" s="65"/>
    </row>
    <row r="811">
      <c r="A811" s="64"/>
      <c r="B811" s="64"/>
      <c r="C811" s="49"/>
      <c r="D811" s="49"/>
      <c r="E811" s="71"/>
      <c r="F811" s="71"/>
      <c r="G811" s="71"/>
      <c r="H811" s="71"/>
      <c r="I811" s="28"/>
      <c r="J811" s="28"/>
      <c r="K811" s="65"/>
      <c r="L811" s="65"/>
      <c r="M811" s="65"/>
      <c r="N811" s="65"/>
      <c r="O811" s="65"/>
      <c r="P811" s="65"/>
      <c r="Q811" s="65"/>
      <c r="R811" s="65"/>
      <c r="S811" s="65"/>
      <c r="T811" s="65"/>
      <c r="U811" s="65"/>
      <c r="V811" s="65"/>
      <c r="W811" s="65"/>
      <c r="X811" s="65"/>
    </row>
    <row r="812">
      <c r="A812" s="64"/>
      <c r="B812" s="64"/>
      <c r="C812" s="49"/>
      <c r="D812" s="49"/>
      <c r="E812" s="71"/>
      <c r="F812" s="71"/>
      <c r="G812" s="71"/>
      <c r="H812" s="71"/>
      <c r="I812" s="28"/>
      <c r="J812" s="28"/>
      <c r="K812" s="65"/>
      <c r="L812" s="65"/>
      <c r="M812" s="65"/>
      <c r="N812" s="65"/>
      <c r="O812" s="65"/>
      <c r="P812" s="65"/>
      <c r="Q812" s="65"/>
      <c r="R812" s="65"/>
      <c r="S812" s="65"/>
      <c r="T812" s="65"/>
      <c r="U812" s="65"/>
      <c r="V812" s="65"/>
      <c r="W812" s="65"/>
      <c r="X812" s="65"/>
    </row>
    <row r="813">
      <c r="A813" s="64"/>
      <c r="B813" s="64"/>
      <c r="C813" s="49"/>
      <c r="D813" s="49"/>
      <c r="E813" s="71"/>
      <c r="F813" s="71"/>
      <c r="G813" s="71"/>
      <c r="H813" s="71"/>
      <c r="I813" s="28"/>
      <c r="J813" s="28"/>
      <c r="K813" s="65"/>
      <c r="L813" s="65"/>
      <c r="M813" s="65"/>
      <c r="N813" s="65"/>
      <c r="O813" s="65"/>
      <c r="P813" s="65"/>
      <c r="Q813" s="65"/>
      <c r="R813" s="65"/>
      <c r="S813" s="65"/>
      <c r="T813" s="65"/>
      <c r="U813" s="65"/>
      <c r="V813" s="65"/>
      <c r="W813" s="65"/>
      <c r="X813" s="65"/>
    </row>
    <row r="814">
      <c r="A814" s="64"/>
      <c r="B814" s="64"/>
      <c r="C814" s="49"/>
      <c r="D814" s="49"/>
      <c r="E814" s="71"/>
      <c r="F814" s="71"/>
      <c r="G814" s="71"/>
      <c r="H814" s="71"/>
      <c r="I814" s="28"/>
      <c r="J814" s="28"/>
      <c r="K814" s="65"/>
      <c r="L814" s="65"/>
      <c r="M814" s="65"/>
      <c r="N814" s="65"/>
      <c r="O814" s="65"/>
      <c r="P814" s="65"/>
      <c r="Q814" s="65"/>
      <c r="R814" s="65"/>
      <c r="S814" s="65"/>
      <c r="T814" s="65"/>
      <c r="U814" s="65"/>
      <c r="V814" s="65"/>
      <c r="W814" s="65"/>
      <c r="X814" s="65"/>
    </row>
    <row r="815">
      <c r="A815" s="64"/>
      <c r="B815" s="64"/>
      <c r="C815" s="49"/>
      <c r="D815" s="49"/>
      <c r="E815" s="71"/>
      <c r="F815" s="71"/>
      <c r="G815" s="71"/>
      <c r="H815" s="71"/>
      <c r="I815" s="28"/>
      <c r="J815" s="28"/>
      <c r="K815" s="65"/>
      <c r="L815" s="65"/>
      <c r="M815" s="65"/>
      <c r="N815" s="65"/>
      <c r="O815" s="65"/>
      <c r="P815" s="65"/>
      <c r="Q815" s="65"/>
      <c r="R815" s="65"/>
      <c r="S815" s="65"/>
      <c r="T815" s="65"/>
      <c r="U815" s="65"/>
      <c r="V815" s="65"/>
      <c r="W815" s="65"/>
      <c r="X815" s="65"/>
    </row>
    <row r="816">
      <c r="A816" s="64"/>
      <c r="B816" s="64"/>
      <c r="C816" s="49"/>
      <c r="D816" s="49"/>
      <c r="E816" s="71"/>
      <c r="F816" s="71"/>
      <c r="G816" s="71"/>
      <c r="H816" s="71"/>
      <c r="I816" s="28"/>
      <c r="J816" s="28"/>
      <c r="K816" s="65"/>
      <c r="L816" s="65"/>
      <c r="M816" s="65"/>
      <c r="N816" s="65"/>
      <c r="O816" s="65"/>
      <c r="P816" s="65"/>
      <c r="Q816" s="65"/>
      <c r="R816" s="65"/>
      <c r="S816" s="65"/>
      <c r="T816" s="65"/>
      <c r="U816" s="65"/>
      <c r="V816" s="65"/>
      <c r="W816" s="65"/>
      <c r="X816" s="65"/>
    </row>
    <row r="817">
      <c r="A817" s="64"/>
      <c r="B817" s="64"/>
      <c r="C817" s="49"/>
      <c r="D817" s="49"/>
      <c r="E817" s="71"/>
      <c r="F817" s="71"/>
      <c r="G817" s="71"/>
      <c r="H817" s="71"/>
      <c r="I817" s="28"/>
      <c r="J817" s="28"/>
      <c r="K817" s="65"/>
      <c r="L817" s="65"/>
      <c r="M817" s="65"/>
      <c r="N817" s="65"/>
      <c r="O817" s="65"/>
      <c r="P817" s="65"/>
      <c r="Q817" s="65"/>
      <c r="R817" s="65"/>
      <c r="S817" s="65"/>
      <c r="T817" s="65"/>
      <c r="U817" s="65"/>
      <c r="V817" s="65"/>
      <c r="W817" s="65"/>
      <c r="X817" s="65"/>
    </row>
    <row r="818">
      <c r="A818" s="64"/>
      <c r="B818" s="64"/>
      <c r="C818" s="49"/>
      <c r="D818" s="49"/>
      <c r="E818" s="71"/>
      <c r="F818" s="71"/>
      <c r="G818" s="71"/>
      <c r="H818" s="71"/>
      <c r="I818" s="28"/>
      <c r="J818" s="28"/>
      <c r="K818" s="65"/>
      <c r="L818" s="65"/>
      <c r="M818" s="65"/>
      <c r="N818" s="65"/>
      <c r="O818" s="65"/>
      <c r="P818" s="65"/>
      <c r="Q818" s="65"/>
      <c r="R818" s="65"/>
      <c r="S818" s="65"/>
      <c r="T818" s="65"/>
      <c r="U818" s="65"/>
      <c r="V818" s="65"/>
      <c r="W818" s="65"/>
      <c r="X818" s="65"/>
    </row>
    <row r="819">
      <c r="A819" s="64"/>
      <c r="B819" s="64"/>
      <c r="C819" s="49"/>
      <c r="D819" s="49"/>
      <c r="E819" s="71"/>
      <c r="F819" s="71"/>
      <c r="G819" s="71"/>
      <c r="H819" s="71"/>
      <c r="I819" s="28"/>
      <c r="J819" s="28"/>
      <c r="K819" s="65"/>
      <c r="L819" s="65"/>
      <c r="M819" s="65"/>
      <c r="N819" s="65"/>
      <c r="O819" s="65"/>
      <c r="P819" s="65"/>
      <c r="Q819" s="65"/>
      <c r="R819" s="65"/>
      <c r="S819" s="65"/>
      <c r="T819" s="65"/>
      <c r="U819" s="65"/>
      <c r="V819" s="65"/>
      <c r="W819" s="65"/>
      <c r="X819" s="65"/>
    </row>
    <row r="820">
      <c r="A820" s="64"/>
      <c r="B820" s="64"/>
      <c r="C820" s="49"/>
      <c r="D820" s="49"/>
      <c r="E820" s="71"/>
      <c r="F820" s="71"/>
      <c r="G820" s="71"/>
      <c r="H820" s="71"/>
      <c r="I820" s="28"/>
      <c r="J820" s="28"/>
      <c r="K820" s="65"/>
      <c r="L820" s="65"/>
      <c r="M820" s="65"/>
      <c r="N820" s="65"/>
      <c r="O820" s="65"/>
      <c r="P820" s="65"/>
      <c r="Q820" s="65"/>
      <c r="R820" s="65"/>
      <c r="S820" s="65"/>
      <c r="T820" s="65"/>
      <c r="U820" s="65"/>
      <c r="V820" s="65"/>
      <c r="W820" s="65"/>
      <c r="X820" s="65"/>
    </row>
    <row r="821">
      <c r="A821" s="64"/>
      <c r="B821" s="64"/>
      <c r="C821" s="49"/>
      <c r="D821" s="49"/>
      <c r="E821" s="71"/>
      <c r="F821" s="71"/>
      <c r="G821" s="71"/>
      <c r="H821" s="71"/>
      <c r="I821" s="28"/>
      <c r="J821" s="28"/>
      <c r="K821" s="65"/>
      <c r="L821" s="65"/>
      <c r="M821" s="65"/>
      <c r="N821" s="65"/>
      <c r="O821" s="65"/>
      <c r="P821" s="65"/>
      <c r="Q821" s="65"/>
      <c r="R821" s="65"/>
      <c r="S821" s="65"/>
      <c r="T821" s="65"/>
      <c r="U821" s="65"/>
      <c r="V821" s="65"/>
      <c r="W821" s="65"/>
      <c r="X821" s="65"/>
    </row>
    <row r="822">
      <c r="A822" s="64"/>
      <c r="B822" s="64"/>
      <c r="C822" s="49"/>
      <c r="D822" s="49"/>
      <c r="E822" s="71"/>
      <c r="F822" s="71"/>
      <c r="G822" s="71"/>
      <c r="H822" s="71"/>
      <c r="I822" s="28"/>
      <c r="J822" s="28"/>
      <c r="K822" s="65"/>
      <c r="L822" s="65"/>
      <c r="M822" s="65"/>
      <c r="N822" s="65"/>
      <c r="O822" s="65"/>
      <c r="P822" s="65"/>
      <c r="Q822" s="65"/>
      <c r="R822" s="65"/>
      <c r="S822" s="65"/>
      <c r="T822" s="65"/>
      <c r="U822" s="65"/>
      <c r="V822" s="65"/>
      <c r="W822" s="65"/>
      <c r="X822" s="65"/>
    </row>
    <row r="823">
      <c r="A823" s="64"/>
      <c r="B823" s="64"/>
      <c r="C823" s="49"/>
      <c r="D823" s="49"/>
      <c r="E823" s="71"/>
      <c r="F823" s="71"/>
      <c r="G823" s="71"/>
      <c r="H823" s="71"/>
      <c r="I823" s="28"/>
      <c r="J823" s="28"/>
      <c r="K823" s="65"/>
      <c r="L823" s="65"/>
      <c r="M823" s="65"/>
      <c r="N823" s="65"/>
      <c r="O823" s="65"/>
      <c r="P823" s="65"/>
      <c r="Q823" s="65"/>
      <c r="R823" s="65"/>
      <c r="S823" s="65"/>
      <c r="T823" s="65"/>
      <c r="U823" s="65"/>
      <c r="V823" s="65"/>
      <c r="W823" s="65"/>
      <c r="X823" s="65"/>
    </row>
    <row r="824">
      <c r="A824" s="64"/>
      <c r="B824" s="64"/>
      <c r="C824" s="49"/>
      <c r="D824" s="49"/>
      <c r="E824" s="71"/>
      <c r="F824" s="71"/>
      <c r="G824" s="71"/>
      <c r="H824" s="71"/>
      <c r="I824" s="28"/>
      <c r="J824" s="28"/>
      <c r="K824" s="65"/>
      <c r="L824" s="65"/>
      <c r="M824" s="65"/>
      <c r="N824" s="65"/>
      <c r="O824" s="65"/>
      <c r="P824" s="65"/>
      <c r="Q824" s="65"/>
      <c r="R824" s="65"/>
      <c r="S824" s="65"/>
      <c r="T824" s="65"/>
      <c r="U824" s="65"/>
      <c r="V824" s="65"/>
      <c r="W824" s="65"/>
      <c r="X824" s="65"/>
    </row>
    <row r="825">
      <c r="A825" s="64"/>
      <c r="B825" s="64"/>
      <c r="C825" s="49"/>
      <c r="D825" s="49"/>
      <c r="E825" s="71"/>
      <c r="F825" s="71"/>
      <c r="G825" s="71"/>
      <c r="H825" s="71"/>
      <c r="I825" s="28"/>
      <c r="J825" s="28"/>
      <c r="K825" s="65"/>
      <c r="L825" s="65"/>
      <c r="M825" s="65"/>
      <c r="N825" s="65"/>
      <c r="O825" s="65"/>
      <c r="P825" s="65"/>
      <c r="Q825" s="65"/>
      <c r="R825" s="65"/>
      <c r="S825" s="65"/>
      <c r="T825" s="65"/>
      <c r="U825" s="65"/>
      <c r="V825" s="65"/>
      <c r="W825" s="65"/>
      <c r="X825" s="65"/>
    </row>
    <row r="826">
      <c r="A826" s="64"/>
      <c r="B826" s="64"/>
      <c r="C826" s="49"/>
      <c r="D826" s="49"/>
      <c r="E826" s="71"/>
      <c r="F826" s="71"/>
      <c r="G826" s="71"/>
      <c r="H826" s="71"/>
      <c r="I826" s="28"/>
      <c r="J826" s="28"/>
      <c r="K826" s="65"/>
      <c r="L826" s="65"/>
      <c r="M826" s="65"/>
      <c r="N826" s="65"/>
      <c r="O826" s="65"/>
      <c r="P826" s="65"/>
      <c r="Q826" s="65"/>
      <c r="R826" s="65"/>
      <c r="S826" s="65"/>
      <c r="T826" s="65"/>
      <c r="U826" s="65"/>
      <c r="V826" s="65"/>
      <c r="W826" s="65"/>
      <c r="X826" s="65"/>
    </row>
    <row r="827">
      <c r="A827" s="64"/>
      <c r="B827" s="64"/>
      <c r="C827" s="49"/>
      <c r="D827" s="49"/>
      <c r="E827" s="71"/>
      <c r="F827" s="71"/>
      <c r="G827" s="71"/>
      <c r="H827" s="71"/>
      <c r="I827" s="28"/>
      <c r="J827" s="28"/>
      <c r="K827" s="65"/>
      <c r="L827" s="65"/>
      <c r="M827" s="65"/>
      <c r="N827" s="65"/>
      <c r="O827" s="65"/>
      <c r="P827" s="65"/>
      <c r="Q827" s="65"/>
      <c r="R827" s="65"/>
      <c r="S827" s="65"/>
      <c r="T827" s="65"/>
      <c r="U827" s="65"/>
      <c r="V827" s="65"/>
      <c r="W827" s="65"/>
      <c r="X827" s="65"/>
    </row>
    <row r="828">
      <c r="A828" s="64"/>
      <c r="B828" s="64"/>
      <c r="C828" s="49"/>
      <c r="D828" s="49"/>
      <c r="E828" s="71"/>
      <c r="F828" s="71"/>
      <c r="G828" s="71"/>
      <c r="H828" s="71"/>
      <c r="I828" s="28"/>
      <c r="J828" s="28"/>
      <c r="K828" s="65"/>
      <c r="L828" s="65"/>
      <c r="M828" s="65"/>
      <c r="N828" s="65"/>
      <c r="O828" s="65"/>
      <c r="P828" s="65"/>
      <c r="Q828" s="65"/>
      <c r="R828" s="65"/>
      <c r="S828" s="65"/>
      <c r="T828" s="65"/>
      <c r="U828" s="65"/>
      <c r="V828" s="65"/>
      <c r="W828" s="65"/>
      <c r="X828" s="65"/>
    </row>
    <row r="829">
      <c r="A829" s="64"/>
      <c r="B829" s="64"/>
      <c r="C829" s="49"/>
      <c r="D829" s="49"/>
      <c r="E829" s="71"/>
      <c r="F829" s="71"/>
      <c r="G829" s="71"/>
      <c r="H829" s="71"/>
      <c r="I829" s="28"/>
      <c r="J829" s="28"/>
      <c r="K829" s="65"/>
      <c r="L829" s="65"/>
      <c r="M829" s="65"/>
      <c r="N829" s="65"/>
      <c r="O829" s="65"/>
      <c r="P829" s="65"/>
      <c r="Q829" s="65"/>
      <c r="R829" s="65"/>
      <c r="S829" s="65"/>
      <c r="T829" s="65"/>
      <c r="U829" s="65"/>
      <c r="V829" s="65"/>
      <c r="W829" s="65"/>
      <c r="X829" s="65"/>
    </row>
    <row r="830">
      <c r="A830" s="64"/>
      <c r="B830" s="64"/>
      <c r="C830" s="49"/>
      <c r="D830" s="49"/>
      <c r="E830" s="71"/>
      <c r="F830" s="71"/>
      <c r="G830" s="71"/>
      <c r="H830" s="71"/>
      <c r="I830" s="28"/>
      <c r="J830" s="28"/>
      <c r="K830" s="65"/>
      <c r="L830" s="65"/>
      <c r="M830" s="65"/>
      <c r="N830" s="65"/>
      <c r="O830" s="65"/>
      <c r="P830" s="65"/>
      <c r="Q830" s="65"/>
      <c r="R830" s="65"/>
      <c r="S830" s="65"/>
      <c r="T830" s="65"/>
      <c r="U830" s="65"/>
      <c r="V830" s="65"/>
      <c r="W830" s="65"/>
      <c r="X830" s="65"/>
    </row>
    <row r="831">
      <c r="A831" s="64"/>
      <c r="B831" s="64"/>
      <c r="C831" s="49"/>
      <c r="D831" s="49"/>
      <c r="E831" s="71"/>
      <c r="F831" s="71"/>
      <c r="G831" s="71"/>
      <c r="H831" s="71"/>
      <c r="I831" s="28"/>
      <c r="J831" s="28"/>
      <c r="K831" s="65"/>
      <c r="L831" s="65"/>
      <c r="M831" s="65"/>
      <c r="N831" s="65"/>
      <c r="O831" s="65"/>
      <c r="P831" s="65"/>
      <c r="Q831" s="65"/>
      <c r="R831" s="65"/>
      <c r="S831" s="65"/>
      <c r="T831" s="65"/>
      <c r="U831" s="65"/>
      <c r="V831" s="65"/>
      <c r="W831" s="65"/>
      <c r="X831" s="65"/>
    </row>
    <row r="832">
      <c r="A832" s="64"/>
      <c r="B832" s="64"/>
      <c r="C832" s="49"/>
      <c r="D832" s="49"/>
      <c r="E832" s="71"/>
      <c r="F832" s="71"/>
      <c r="G832" s="71"/>
      <c r="H832" s="71"/>
      <c r="I832" s="28"/>
      <c r="J832" s="28"/>
      <c r="K832" s="65"/>
      <c r="L832" s="65"/>
      <c r="M832" s="65"/>
      <c r="N832" s="65"/>
      <c r="O832" s="65"/>
      <c r="P832" s="65"/>
      <c r="Q832" s="65"/>
      <c r="R832" s="65"/>
      <c r="S832" s="65"/>
      <c r="T832" s="65"/>
      <c r="U832" s="65"/>
      <c r="V832" s="65"/>
      <c r="W832" s="65"/>
      <c r="X832" s="65"/>
    </row>
    <row r="833">
      <c r="A833" s="64"/>
      <c r="B833" s="64"/>
      <c r="C833" s="49"/>
      <c r="D833" s="49"/>
      <c r="E833" s="71"/>
      <c r="F833" s="71"/>
      <c r="G833" s="71"/>
      <c r="H833" s="71"/>
      <c r="I833" s="28"/>
      <c r="J833" s="28"/>
      <c r="K833" s="65"/>
      <c r="L833" s="65"/>
      <c r="M833" s="65"/>
      <c r="N833" s="65"/>
      <c r="O833" s="65"/>
      <c r="P833" s="65"/>
      <c r="Q833" s="65"/>
      <c r="R833" s="65"/>
      <c r="S833" s="65"/>
      <c r="T833" s="65"/>
      <c r="U833" s="65"/>
      <c r="V833" s="65"/>
      <c r="W833" s="65"/>
      <c r="X833" s="65"/>
    </row>
    <row r="834">
      <c r="A834" s="64"/>
      <c r="B834" s="64"/>
      <c r="C834" s="49"/>
      <c r="D834" s="49"/>
      <c r="E834" s="71"/>
      <c r="F834" s="71"/>
      <c r="G834" s="71"/>
      <c r="H834" s="71"/>
      <c r="I834" s="28"/>
      <c r="J834" s="28"/>
      <c r="K834" s="65"/>
      <c r="L834" s="65"/>
      <c r="M834" s="65"/>
      <c r="N834" s="65"/>
      <c r="O834" s="65"/>
      <c r="P834" s="65"/>
      <c r="Q834" s="65"/>
      <c r="R834" s="65"/>
      <c r="S834" s="65"/>
      <c r="T834" s="65"/>
      <c r="U834" s="65"/>
      <c r="V834" s="65"/>
      <c r="W834" s="65"/>
      <c r="X834" s="65"/>
    </row>
    <row r="835">
      <c r="A835" s="64"/>
      <c r="B835" s="64"/>
      <c r="C835" s="49"/>
      <c r="D835" s="49"/>
      <c r="E835" s="71"/>
      <c r="F835" s="71"/>
      <c r="G835" s="71"/>
      <c r="H835" s="71"/>
      <c r="I835" s="28"/>
      <c r="J835" s="28"/>
      <c r="K835" s="65"/>
      <c r="L835" s="65"/>
      <c r="M835" s="65"/>
      <c r="N835" s="65"/>
      <c r="O835" s="65"/>
      <c r="P835" s="65"/>
      <c r="Q835" s="65"/>
      <c r="R835" s="65"/>
      <c r="S835" s="65"/>
      <c r="T835" s="65"/>
      <c r="U835" s="65"/>
      <c r="V835" s="65"/>
      <c r="W835" s="65"/>
      <c r="X835" s="65"/>
    </row>
    <row r="836">
      <c r="A836" s="64"/>
      <c r="B836" s="64"/>
      <c r="C836" s="49"/>
      <c r="D836" s="49"/>
      <c r="E836" s="71"/>
      <c r="F836" s="71"/>
      <c r="G836" s="71"/>
      <c r="H836" s="71"/>
      <c r="I836" s="28"/>
      <c r="J836" s="28"/>
      <c r="K836" s="65"/>
      <c r="L836" s="65"/>
      <c r="M836" s="65"/>
      <c r="N836" s="65"/>
      <c r="O836" s="65"/>
      <c r="P836" s="65"/>
      <c r="Q836" s="65"/>
      <c r="R836" s="65"/>
      <c r="S836" s="65"/>
      <c r="T836" s="65"/>
      <c r="U836" s="65"/>
      <c r="V836" s="65"/>
      <c r="W836" s="65"/>
      <c r="X836" s="65"/>
    </row>
    <row r="837">
      <c r="A837" s="64"/>
      <c r="B837" s="64"/>
      <c r="C837" s="49"/>
      <c r="D837" s="49"/>
      <c r="E837" s="71"/>
      <c r="F837" s="71"/>
      <c r="G837" s="71"/>
      <c r="H837" s="71"/>
      <c r="I837" s="28"/>
      <c r="J837" s="28"/>
      <c r="K837" s="65"/>
      <c r="L837" s="65"/>
      <c r="M837" s="65"/>
      <c r="N837" s="65"/>
      <c r="O837" s="65"/>
      <c r="P837" s="65"/>
      <c r="Q837" s="65"/>
      <c r="R837" s="65"/>
      <c r="S837" s="65"/>
      <c r="T837" s="65"/>
      <c r="U837" s="65"/>
      <c r="V837" s="65"/>
      <c r="W837" s="65"/>
      <c r="X837" s="65"/>
    </row>
    <row r="838">
      <c r="A838" s="64"/>
      <c r="B838" s="64"/>
      <c r="C838" s="49"/>
      <c r="D838" s="49"/>
      <c r="E838" s="71"/>
      <c r="F838" s="71"/>
      <c r="G838" s="71"/>
      <c r="H838" s="71"/>
      <c r="I838" s="28"/>
      <c r="J838" s="28"/>
      <c r="K838" s="65"/>
      <c r="L838" s="65"/>
      <c r="M838" s="65"/>
      <c r="N838" s="65"/>
      <c r="O838" s="65"/>
      <c r="P838" s="65"/>
      <c r="Q838" s="65"/>
      <c r="R838" s="65"/>
      <c r="S838" s="65"/>
      <c r="T838" s="65"/>
      <c r="U838" s="65"/>
      <c r="V838" s="65"/>
      <c r="W838" s="65"/>
      <c r="X838" s="65"/>
    </row>
    <row r="839">
      <c r="A839" s="64"/>
      <c r="B839" s="64"/>
      <c r="C839" s="49"/>
      <c r="D839" s="49"/>
      <c r="E839" s="71"/>
      <c r="F839" s="71"/>
      <c r="G839" s="71"/>
      <c r="H839" s="71"/>
      <c r="I839" s="28"/>
      <c r="J839" s="28"/>
      <c r="K839" s="65"/>
      <c r="L839" s="65"/>
      <c r="M839" s="65"/>
      <c r="N839" s="65"/>
      <c r="O839" s="65"/>
      <c r="P839" s="65"/>
      <c r="Q839" s="65"/>
      <c r="R839" s="65"/>
      <c r="S839" s="65"/>
      <c r="T839" s="65"/>
      <c r="U839" s="65"/>
      <c r="V839" s="65"/>
      <c r="W839" s="65"/>
      <c r="X839" s="65"/>
    </row>
    <row r="840">
      <c r="A840" s="64"/>
      <c r="B840" s="64"/>
      <c r="C840" s="49"/>
      <c r="D840" s="49"/>
      <c r="E840" s="71"/>
      <c r="F840" s="71"/>
      <c r="G840" s="71"/>
      <c r="H840" s="71"/>
      <c r="I840" s="28"/>
      <c r="J840" s="28"/>
      <c r="K840" s="65"/>
      <c r="L840" s="65"/>
      <c r="M840" s="65"/>
      <c r="N840" s="65"/>
      <c r="O840" s="65"/>
      <c r="P840" s="65"/>
      <c r="Q840" s="65"/>
      <c r="R840" s="65"/>
      <c r="S840" s="65"/>
      <c r="T840" s="65"/>
      <c r="U840" s="65"/>
      <c r="V840" s="65"/>
      <c r="W840" s="65"/>
      <c r="X840" s="65"/>
    </row>
    <row r="841">
      <c r="A841" s="64"/>
      <c r="B841" s="64"/>
      <c r="C841" s="49"/>
      <c r="D841" s="49"/>
      <c r="E841" s="71"/>
      <c r="F841" s="71"/>
      <c r="G841" s="71"/>
      <c r="H841" s="71"/>
      <c r="I841" s="28"/>
      <c r="J841" s="28"/>
      <c r="K841" s="65"/>
      <c r="L841" s="65"/>
      <c r="M841" s="65"/>
      <c r="N841" s="65"/>
      <c r="O841" s="65"/>
      <c r="P841" s="65"/>
      <c r="Q841" s="65"/>
      <c r="R841" s="65"/>
      <c r="S841" s="65"/>
      <c r="T841" s="65"/>
      <c r="U841" s="65"/>
      <c r="V841" s="65"/>
      <c r="W841" s="65"/>
      <c r="X841" s="65"/>
    </row>
    <row r="842">
      <c r="A842" s="64"/>
      <c r="B842" s="64"/>
      <c r="C842" s="49"/>
      <c r="D842" s="49"/>
      <c r="E842" s="71"/>
      <c r="F842" s="71"/>
      <c r="G842" s="71"/>
      <c r="H842" s="71"/>
      <c r="I842" s="28"/>
      <c r="J842" s="28"/>
      <c r="K842" s="65"/>
      <c r="L842" s="65"/>
      <c r="M842" s="65"/>
      <c r="N842" s="65"/>
      <c r="O842" s="65"/>
      <c r="P842" s="65"/>
      <c r="Q842" s="65"/>
      <c r="R842" s="65"/>
      <c r="S842" s="65"/>
      <c r="T842" s="65"/>
      <c r="U842" s="65"/>
      <c r="V842" s="65"/>
      <c r="W842" s="65"/>
      <c r="X842" s="65"/>
    </row>
    <row r="843">
      <c r="A843" s="64"/>
      <c r="B843" s="64"/>
      <c r="C843" s="49"/>
      <c r="D843" s="49"/>
      <c r="E843" s="71"/>
      <c r="F843" s="71"/>
      <c r="G843" s="71"/>
      <c r="H843" s="71"/>
      <c r="I843" s="28"/>
      <c r="J843" s="28"/>
      <c r="K843" s="65"/>
      <c r="L843" s="65"/>
      <c r="M843" s="65"/>
      <c r="N843" s="65"/>
      <c r="O843" s="65"/>
      <c r="P843" s="65"/>
      <c r="Q843" s="65"/>
      <c r="R843" s="65"/>
      <c r="S843" s="65"/>
      <c r="T843" s="65"/>
      <c r="U843" s="65"/>
      <c r="V843" s="65"/>
      <c r="W843" s="65"/>
      <c r="X843" s="65"/>
    </row>
    <row r="844">
      <c r="A844" s="64"/>
      <c r="B844" s="64"/>
      <c r="C844" s="49"/>
      <c r="D844" s="49"/>
      <c r="E844" s="71"/>
      <c r="F844" s="71"/>
      <c r="G844" s="71"/>
      <c r="H844" s="71"/>
      <c r="I844" s="28"/>
      <c r="J844" s="28"/>
      <c r="K844" s="65"/>
      <c r="L844" s="65"/>
      <c r="M844" s="65"/>
      <c r="N844" s="65"/>
      <c r="O844" s="65"/>
      <c r="P844" s="65"/>
      <c r="Q844" s="65"/>
      <c r="R844" s="65"/>
      <c r="S844" s="65"/>
      <c r="T844" s="65"/>
      <c r="U844" s="65"/>
      <c r="V844" s="65"/>
      <c r="W844" s="65"/>
      <c r="X844" s="65"/>
    </row>
    <row r="845">
      <c r="A845" s="64"/>
      <c r="B845" s="64"/>
      <c r="C845" s="49"/>
      <c r="D845" s="49"/>
      <c r="E845" s="71"/>
      <c r="F845" s="71"/>
      <c r="G845" s="71"/>
      <c r="H845" s="71"/>
      <c r="I845" s="28"/>
      <c r="J845" s="28"/>
      <c r="K845" s="65"/>
      <c r="L845" s="65"/>
      <c r="M845" s="65"/>
      <c r="N845" s="65"/>
      <c r="O845" s="65"/>
      <c r="P845" s="65"/>
      <c r="Q845" s="65"/>
      <c r="R845" s="65"/>
      <c r="S845" s="65"/>
      <c r="T845" s="65"/>
      <c r="U845" s="65"/>
      <c r="V845" s="65"/>
      <c r="W845" s="65"/>
      <c r="X845" s="65"/>
    </row>
    <row r="846">
      <c r="A846" s="64"/>
      <c r="B846" s="64"/>
      <c r="C846" s="49"/>
      <c r="D846" s="49"/>
      <c r="E846" s="71"/>
      <c r="F846" s="71"/>
      <c r="G846" s="71"/>
      <c r="H846" s="71"/>
      <c r="I846" s="28"/>
      <c r="J846" s="28"/>
      <c r="K846" s="65"/>
      <c r="L846" s="65"/>
      <c r="M846" s="65"/>
      <c r="N846" s="65"/>
      <c r="O846" s="65"/>
      <c r="P846" s="65"/>
      <c r="Q846" s="65"/>
      <c r="R846" s="65"/>
      <c r="S846" s="65"/>
      <c r="T846" s="65"/>
      <c r="U846" s="65"/>
      <c r="V846" s="65"/>
      <c r="W846" s="65"/>
      <c r="X846" s="65"/>
    </row>
    <row r="847">
      <c r="A847" s="64"/>
      <c r="B847" s="64"/>
      <c r="C847" s="49"/>
      <c r="D847" s="49"/>
      <c r="E847" s="71"/>
      <c r="F847" s="71"/>
      <c r="G847" s="71"/>
      <c r="H847" s="71"/>
      <c r="I847" s="28"/>
      <c r="J847" s="28"/>
      <c r="K847" s="65"/>
      <c r="L847" s="65"/>
      <c r="M847" s="65"/>
      <c r="N847" s="65"/>
      <c r="O847" s="65"/>
      <c r="P847" s="65"/>
      <c r="Q847" s="65"/>
      <c r="R847" s="65"/>
      <c r="S847" s="65"/>
      <c r="T847" s="65"/>
      <c r="U847" s="65"/>
      <c r="V847" s="65"/>
      <c r="W847" s="65"/>
      <c r="X847" s="65"/>
    </row>
    <row r="848">
      <c r="A848" s="64"/>
      <c r="B848" s="64"/>
      <c r="C848" s="49"/>
      <c r="D848" s="49"/>
      <c r="E848" s="71"/>
      <c r="F848" s="71"/>
      <c r="G848" s="71"/>
      <c r="H848" s="71"/>
      <c r="I848" s="28"/>
      <c r="J848" s="28"/>
      <c r="K848" s="65"/>
      <c r="L848" s="65"/>
      <c r="M848" s="65"/>
      <c r="N848" s="65"/>
      <c r="O848" s="65"/>
      <c r="P848" s="65"/>
      <c r="Q848" s="65"/>
      <c r="R848" s="65"/>
      <c r="S848" s="65"/>
      <c r="T848" s="65"/>
      <c r="U848" s="65"/>
      <c r="V848" s="65"/>
      <c r="W848" s="65"/>
      <c r="X848" s="65"/>
    </row>
    <row r="849">
      <c r="A849" s="64"/>
      <c r="B849" s="64"/>
      <c r="C849" s="49"/>
      <c r="D849" s="49"/>
      <c r="E849" s="71"/>
      <c r="F849" s="71"/>
      <c r="G849" s="71"/>
      <c r="H849" s="71"/>
      <c r="I849" s="28"/>
      <c r="J849" s="28"/>
      <c r="K849" s="65"/>
      <c r="L849" s="65"/>
      <c r="M849" s="65"/>
      <c r="N849" s="65"/>
      <c r="O849" s="65"/>
      <c r="P849" s="65"/>
      <c r="Q849" s="65"/>
      <c r="R849" s="65"/>
      <c r="S849" s="65"/>
      <c r="T849" s="65"/>
      <c r="U849" s="65"/>
      <c r="V849" s="65"/>
      <c r="W849" s="65"/>
      <c r="X849" s="65"/>
    </row>
    <row r="850">
      <c r="A850" s="64"/>
      <c r="B850" s="64"/>
      <c r="C850" s="49"/>
      <c r="D850" s="49"/>
      <c r="E850" s="71"/>
      <c r="F850" s="71"/>
      <c r="G850" s="71"/>
      <c r="H850" s="71"/>
      <c r="I850" s="28"/>
      <c r="J850" s="28"/>
      <c r="K850" s="65"/>
      <c r="L850" s="65"/>
      <c r="M850" s="65"/>
      <c r="N850" s="65"/>
      <c r="O850" s="65"/>
      <c r="P850" s="65"/>
      <c r="Q850" s="65"/>
      <c r="R850" s="65"/>
      <c r="S850" s="65"/>
      <c r="T850" s="65"/>
      <c r="U850" s="65"/>
      <c r="V850" s="65"/>
      <c r="W850" s="65"/>
      <c r="X850" s="65"/>
    </row>
    <row r="851">
      <c r="A851" s="64"/>
      <c r="B851" s="64"/>
      <c r="C851" s="49"/>
      <c r="D851" s="49"/>
      <c r="E851" s="71"/>
      <c r="F851" s="71"/>
      <c r="G851" s="71"/>
      <c r="H851" s="71"/>
      <c r="I851" s="28"/>
      <c r="J851" s="28"/>
      <c r="K851" s="65"/>
      <c r="L851" s="65"/>
      <c r="M851" s="65"/>
      <c r="N851" s="65"/>
      <c r="O851" s="65"/>
      <c r="P851" s="65"/>
      <c r="Q851" s="65"/>
      <c r="R851" s="65"/>
      <c r="S851" s="65"/>
      <c r="T851" s="65"/>
      <c r="U851" s="65"/>
      <c r="V851" s="65"/>
      <c r="W851" s="65"/>
      <c r="X851" s="65"/>
    </row>
    <row r="852">
      <c r="A852" s="64"/>
      <c r="B852" s="64"/>
      <c r="C852" s="49"/>
      <c r="D852" s="49"/>
      <c r="E852" s="71"/>
      <c r="F852" s="71"/>
      <c r="G852" s="71"/>
      <c r="H852" s="71"/>
      <c r="I852" s="28"/>
      <c r="J852" s="28"/>
      <c r="K852" s="65"/>
      <c r="L852" s="65"/>
      <c r="M852" s="65"/>
      <c r="N852" s="65"/>
      <c r="O852" s="65"/>
      <c r="P852" s="65"/>
      <c r="Q852" s="65"/>
      <c r="R852" s="65"/>
      <c r="S852" s="65"/>
      <c r="T852" s="65"/>
      <c r="U852" s="65"/>
      <c r="V852" s="65"/>
      <c r="W852" s="65"/>
      <c r="X852" s="65"/>
    </row>
    <row r="853">
      <c r="A853" s="64"/>
      <c r="B853" s="64"/>
      <c r="C853" s="49"/>
      <c r="D853" s="49"/>
      <c r="E853" s="71"/>
      <c r="F853" s="71"/>
      <c r="G853" s="71"/>
      <c r="H853" s="71"/>
      <c r="I853" s="28"/>
      <c r="J853" s="28"/>
      <c r="K853" s="65"/>
      <c r="L853" s="65"/>
      <c r="M853" s="65"/>
      <c r="N853" s="65"/>
      <c r="O853" s="65"/>
      <c r="P853" s="65"/>
      <c r="Q853" s="65"/>
      <c r="R853" s="65"/>
      <c r="S853" s="65"/>
      <c r="T853" s="65"/>
      <c r="U853" s="65"/>
      <c r="V853" s="65"/>
      <c r="W853" s="65"/>
      <c r="X853" s="65"/>
    </row>
    <row r="854">
      <c r="A854" s="64"/>
      <c r="B854" s="64"/>
      <c r="C854" s="49"/>
      <c r="D854" s="49"/>
      <c r="E854" s="71"/>
      <c r="F854" s="71"/>
      <c r="G854" s="71"/>
      <c r="H854" s="71"/>
      <c r="I854" s="28"/>
      <c r="J854" s="28"/>
      <c r="K854" s="65"/>
      <c r="L854" s="65"/>
      <c r="M854" s="65"/>
      <c r="N854" s="65"/>
      <c r="O854" s="65"/>
      <c r="P854" s="65"/>
      <c r="Q854" s="65"/>
      <c r="R854" s="65"/>
      <c r="S854" s="65"/>
      <c r="T854" s="65"/>
      <c r="U854" s="65"/>
      <c r="V854" s="65"/>
      <c r="W854" s="65"/>
      <c r="X854" s="65"/>
    </row>
    <row r="855">
      <c r="A855" s="64"/>
      <c r="B855" s="64"/>
      <c r="C855" s="49"/>
      <c r="D855" s="49"/>
      <c r="E855" s="71"/>
      <c r="F855" s="71"/>
      <c r="G855" s="71"/>
      <c r="H855" s="71"/>
      <c r="I855" s="28"/>
      <c r="J855" s="28"/>
      <c r="K855" s="65"/>
      <c r="L855" s="65"/>
      <c r="M855" s="65"/>
      <c r="N855" s="65"/>
      <c r="O855" s="65"/>
      <c r="P855" s="65"/>
      <c r="Q855" s="65"/>
      <c r="R855" s="65"/>
      <c r="S855" s="65"/>
      <c r="T855" s="65"/>
      <c r="U855" s="65"/>
      <c r="V855" s="65"/>
      <c r="W855" s="65"/>
      <c r="X855" s="65"/>
    </row>
    <row r="856">
      <c r="A856" s="64"/>
      <c r="B856" s="64"/>
      <c r="C856" s="49"/>
      <c r="D856" s="49"/>
      <c r="E856" s="71"/>
      <c r="F856" s="71"/>
      <c r="G856" s="71"/>
      <c r="H856" s="71"/>
      <c r="I856" s="28"/>
      <c r="J856" s="28"/>
      <c r="K856" s="65"/>
      <c r="L856" s="65"/>
      <c r="M856" s="65"/>
      <c r="N856" s="65"/>
      <c r="O856" s="65"/>
      <c r="P856" s="65"/>
      <c r="Q856" s="65"/>
      <c r="R856" s="65"/>
      <c r="S856" s="65"/>
      <c r="T856" s="65"/>
      <c r="U856" s="65"/>
      <c r="V856" s="65"/>
      <c r="W856" s="65"/>
      <c r="X856" s="65"/>
    </row>
    <row r="857">
      <c r="A857" s="64"/>
      <c r="B857" s="64"/>
      <c r="C857" s="49"/>
      <c r="D857" s="49"/>
      <c r="E857" s="71"/>
      <c r="F857" s="71"/>
      <c r="G857" s="71"/>
      <c r="H857" s="71"/>
      <c r="I857" s="28"/>
      <c r="J857" s="28"/>
      <c r="K857" s="65"/>
      <c r="L857" s="65"/>
      <c r="M857" s="65"/>
      <c r="N857" s="65"/>
      <c r="O857" s="65"/>
      <c r="P857" s="65"/>
      <c r="Q857" s="65"/>
      <c r="R857" s="65"/>
      <c r="S857" s="65"/>
      <c r="T857" s="65"/>
      <c r="U857" s="65"/>
      <c r="V857" s="65"/>
      <c r="W857" s="65"/>
      <c r="X857" s="65"/>
    </row>
    <row r="858">
      <c r="A858" s="64"/>
      <c r="B858" s="64"/>
      <c r="C858" s="49"/>
      <c r="D858" s="49"/>
      <c r="E858" s="71"/>
      <c r="F858" s="71"/>
      <c r="G858" s="71"/>
      <c r="H858" s="71"/>
      <c r="I858" s="28"/>
      <c r="J858" s="28"/>
      <c r="K858" s="65"/>
      <c r="L858" s="65"/>
      <c r="M858" s="65"/>
      <c r="N858" s="65"/>
      <c r="O858" s="65"/>
      <c r="P858" s="65"/>
      <c r="Q858" s="65"/>
      <c r="R858" s="65"/>
      <c r="S858" s="65"/>
      <c r="T858" s="65"/>
      <c r="U858" s="65"/>
      <c r="V858" s="65"/>
      <c r="W858" s="65"/>
      <c r="X858" s="65"/>
    </row>
    <row r="859">
      <c r="A859" s="64"/>
      <c r="B859" s="64"/>
      <c r="C859" s="49"/>
      <c r="D859" s="49"/>
      <c r="E859" s="71"/>
      <c r="F859" s="71"/>
      <c r="G859" s="71"/>
      <c r="H859" s="71"/>
      <c r="I859" s="28"/>
      <c r="J859" s="28"/>
      <c r="K859" s="65"/>
      <c r="L859" s="65"/>
      <c r="M859" s="65"/>
      <c r="N859" s="65"/>
      <c r="O859" s="65"/>
      <c r="P859" s="65"/>
      <c r="Q859" s="65"/>
      <c r="R859" s="65"/>
      <c r="S859" s="65"/>
      <c r="T859" s="65"/>
      <c r="U859" s="65"/>
      <c r="V859" s="65"/>
      <c r="W859" s="65"/>
      <c r="X859" s="65"/>
    </row>
    <row r="860">
      <c r="A860" s="64"/>
      <c r="B860" s="64"/>
      <c r="C860" s="49"/>
      <c r="D860" s="49"/>
      <c r="E860" s="71"/>
      <c r="F860" s="71"/>
      <c r="G860" s="71"/>
      <c r="H860" s="71"/>
      <c r="I860" s="28"/>
      <c r="J860" s="28"/>
      <c r="K860" s="65"/>
      <c r="L860" s="65"/>
      <c r="M860" s="65"/>
      <c r="N860" s="65"/>
      <c r="O860" s="65"/>
      <c r="P860" s="65"/>
      <c r="Q860" s="65"/>
      <c r="R860" s="65"/>
      <c r="S860" s="65"/>
      <c r="T860" s="65"/>
      <c r="U860" s="65"/>
      <c r="V860" s="65"/>
      <c r="W860" s="65"/>
      <c r="X860" s="65"/>
    </row>
    <row r="861">
      <c r="A861" s="64"/>
      <c r="B861" s="64"/>
      <c r="C861" s="49"/>
      <c r="D861" s="49"/>
      <c r="E861" s="71"/>
      <c r="F861" s="71"/>
      <c r="G861" s="71"/>
      <c r="H861" s="71"/>
      <c r="I861" s="28"/>
      <c r="J861" s="28"/>
      <c r="K861" s="65"/>
      <c r="L861" s="65"/>
      <c r="M861" s="65"/>
      <c r="N861" s="65"/>
      <c r="O861" s="65"/>
      <c r="P861" s="65"/>
      <c r="Q861" s="65"/>
      <c r="R861" s="65"/>
      <c r="S861" s="65"/>
      <c r="T861" s="65"/>
      <c r="U861" s="65"/>
      <c r="V861" s="65"/>
      <c r="W861" s="65"/>
      <c r="X861" s="65"/>
    </row>
    <row r="862">
      <c r="A862" s="64"/>
      <c r="B862" s="64"/>
      <c r="C862" s="49"/>
      <c r="D862" s="49"/>
      <c r="E862" s="71"/>
      <c r="F862" s="71"/>
      <c r="G862" s="71"/>
      <c r="H862" s="71"/>
      <c r="I862" s="28"/>
      <c r="J862" s="28"/>
      <c r="K862" s="65"/>
      <c r="L862" s="65"/>
      <c r="M862" s="65"/>
      <c r="N862" s="65"/>
      <c r="O862" s="65"/>
      <c r="P862" s="65"/>
      <c r="Q862" s="65"/>
      <c r="R862" s="65"/>
      <c r="S862" s="65"/>
      <c r="T862" s="65"/>
      <c r="U862" s="65"/>
      <c r="V862" s="65"/>
      <c r="W862" s="65"/>
      <c r="X862" s="65"/>
    </row>
    <row r="863">
      <c r="A863" s="64"/>
      <c r="B863" s="64"/>
      <c r="C863" s="49"/>
      <c r="D863" s="49"/>
      <c r="E863" s="71"/>
      <c r="F863" s="71"/>
      <c r="G863" s="71"/>
      <c r="H863" s="71"/>
      <c r="I863" s="28"/>
      <c r="J863" s="28"/>
      <c r="K863" s="65"/>
      <c r="L863" s="65"/>
      <c r="M863" s="65"/>
      <c r="N863" s="65"/>
      <c r="O863" s="65"/>
      <c r="P863" s="65"/>
      <c r="Q863" s="65"/>
      <c r="R863" s="65"/>
      <c r="S863" s="65"/>
      <c r="T863" s="65"/>
      <c r="U863" s="65"/>
      <c r="V863" s="65"/>
      <c r="W863" s="65"/>
      <c r="X863" s="65"/>
    </row>
    <row r="864">
      <c r="A864" s="64"/>
      <c r="B864" s="64"/>
      <c r="C864" s="49"/>
      <c r="D864" s="49"/>
      <c r="E864" s="71"/>
      <c r="F864" s="71"/>
      <c r="G864" s="71"/>
      <c r="H864" s="71"/>
      <c r="I864" s="28"/>
      <c r="J864" s="28"/>
      <c r="K864" s="65"/>
      <c r="L864" s="65"/>
      <c r="M864" s="65"/>
      <c r="N864" s="65"/>
      <c r="O864" s="65"/>
      <c r="P864" s="65"/>
      <c r="Q864" s="65"/>
      <c r="R864" s="65"/>
      <c r="S864" s="65"/>
      <c r="T864" s="65"/>
      <c r="U864" s="65"/>
      <c r="V864" s="65"/>
      <c r="W864" s="65"/>
      <c r="X864" s="65"/>
    </row>
    <row r="865">
      <c r="A865" s="64"/>
      <c r="B865" s="64"/>
      <c r="C865" s="49"/>
      <c r="D865" s="49"/>
      <c r="E865" s="71"/>
      <c r="F865" s="71"/>
      <c r="G865" s="71"/>
      <c r="H865" s="71"/>
      <c r="I865" s="28"/>
      <c r="J865" s="28"/>
      <c r="K865" s="65"/>
      <c r="L865" s="65"/>
      <c r="M865" s="65"/>
      <c r="N865" s="65"/>
      <c r="O865" s="65"/>
      <c r="P865" s="65"/>
      <c r="Q865" s="65"/>
      <c r="R865" s="65"/>
      <c r="S865" s="65"/>
      <c r="T865" s="65"/>
      <c r="U865" s="65"/>
      <c r="V865" s="65"/>
      <c r="W865" s="65"/>
      <c r="X865" s="65"/>
    </row>
    <row r="866">
      <c r="A866" s="64"/>
      <c r="B866" s="64"/>
      <c r="C866" s="49"/>
      <c r="D866" s="49"/>
      <c r="E866" s="71"/>
      <c r="F866" s="71"/>
      <c r="G866" s="71"/>
      <c r="H866" s="71"/>
      <c r="I866" s="28"/>
      <c r="J866" s="28"/>
      <c r="K866" s="65"/>
      <c r="L866" s="65"/>
      <c r="M866" s="65"/>
      <c r="N866" s="65"/>
      <c r="O866" s="65"/>
      <c r="P866" s="65"/>
      <c r="Q866" s="65"/>
      <c r="R866" s="65"/>
      <c r="S866" s="65"/>
      <c r="T866" s="65"/>
      <c r="U866" s="65"/>
      <c r="V866" s="65"/>
      <c r="W866" s="65"/>
      <c r="X866" s="65"/>
    </row>
    <row r="867">
      <c r="A867" s="64"/>
      <c r="B867" s="64"/>
      <c r="C867" s="49"/>
      <c r="D867" s="49"/>
      <c r="E867" s="71"/>
      <c r="F867" s="71"/>
      <c r="G867" s="71"/>
      <c r="H867" s="71"/>
      <c r="I867" s="28"/>
      <c r="J867" s="28"/>
      <c r="K867" s="65"/>
      <c r="L867" s="65"/>
      <c r="M867" s="65"/>
      <c r="N867" s="65"/>
      <c r="O867" s="65"/>
      <c r="P867" s="65"/>
      <c r="Q867" s="65"/>
      <c r="R867" s="65"/>
      <c r="S867" s="65"/>
      <c r="T867" s="65"/>
      <c r="U867" s="65"/>
      <c r="V867" s="65"/>
      <c r="W867" s="65"/>
      <c r="X867" s="65"/>
    </row>
    <row r="868">
      <c r="A868" s="64"/>
      <c r="B868" s="64"/>
      <c r="C868" s="49"/>
      <c r="D868" s="49"/>
      <c r="E868" s="71"/>
      <c r="F868" s="71"/>
      <c r="G868" s="71"/>
      <c r="H868" s="71"/>
      <c r="I868" s="28"/>
      <c r="J868" s="28"/>
      <c r="K868" s="65"/>
      <c r="L868" s="65"/>
      <c r="M868" s="65"/>
      <c r="N868" s="65"/>
      <c r="O868" s="65"/>
      <c r="P868" s="65"/>
      <c r="Q868" s="65"/>
      <c r="R868" s="65"/>
      <c r="S868" s="65"/>
      <c r="T868" s="65"/>
      <c r="U868" s="65"/>
      <c r="V868" s="65"/>
      <c r="W868" s="65"/>
      <c r="X868" s="65"/>
    </row>
    <row r="869">
      <c r="A869" s="64"/>
      <c r="B869" s="64"/>
      <c r="C869" s="49"/>
      <c r="D869" s="49"/>
      <c r="E869" s="71"/>
      <c r="F869" s="71"/>
      <c r="G869" s="71"/>
      <c r="H869" s="71"/>
      <c r="I869" s="28"/>
      <c r="J869" s="28"/>
      <c r="K869" s="65"/>
      <c r="L869" s="65"/>
      <c r="M869" s="65"/>
      <c r="N869" s="65"/>
      <c r="O869" s="65"/>
      <c r="P869" s="65"/>
      <c r="Q869" s="65"/>
      <c r="R869" s="65"/>
      <c r="S869" s="65"/>
      <c r="T869" s="65"/>
      <c r="U869" s="65"/>
      <c r="V869" s="65"/>
      <c r="W869" s="65"/>
      <c r="X869" s="65"/>
    </row>
    <row r="870">
      <c r="A870" s="64"/>
      <c r="B870" s="64"/>
      <c r="C870" s="49"/>
      <c r="D870" s="49"/>
      <c r="E870" s="71"/>
      <c r="F870" s="71"/>
      <c r="G870" s="71"/>
      <c r="H870" s="71"/>
      <c r="I870" s="28"/>
      <c r="J870" s="28"/>
      <c r="K870" s="65"/>
      <c r="L870" s="65"/>
      <c r="M870" s="65"/>
      <c r="N870" s="65"/>
      <c r="O870" s="65"/>
      <c r="P870" s="65"/>
      <c r="Q870" s="65"/>
      <c r="R870" s="65"/>
      <c r="S870" s="65"/>
      <c r="T870" s="65"/>
      <c r="U870" s="65"/>
      <c r="V870" s="65"/>
      <c r="W870" s="65"/>
      <c r="X870" s="65"/>
    </row>
    <row r="871">
      <c r="A871" s="64"/>
      <c r="B871" s="64"/>
      <c r="C871" s="49"/>
      <c r="D871" s="49"/>
      <c r="E871" s="71"/>
      <c r="F871" s="71"/>
      <c r="G871" s="71"/>
      <c r="H871" s="71"/>
      <c r="I871" s="28"/>
      <c r="J871" s="28"/>
      <c r="K871" s="65"/>
      <c r="L871" s="65"/>
      <c r="M871" s="65"/>
      <c r="N871" s="65"/>
      <c r="O871" s="65"/>
      <c r="P871" s="65"/>
      <c r="Q871" s="65"/>
      <c r="R871" s="65"/>
      <c r="S871" s="65"/>
      <c r="T871" s="65"/>
      <c r="U871" s="65"/>
      <c r="V871" s="65"/>
      <c r="W871" s="65"/>
      <c r="X871" s="65"/>
    </row>
    <row r="872">
      <c r="A872" s="64"/>
      <c r="B872" s="64"/>
      <c r="C872" s="49"/>
      <c r="D872" s="49"/>
      <c r="E872" s="71"/>
      <c r="F872" s="71"/>
      <c r="G872" s="71"/>
      <c r="H872" s="71"/>
      <c r="I872" s="28"/>
      <c r="J872" s="28"/>
      <c r="K872" s="65"/>
      <c r="L872" s="65"/>
      <c r="M872" s="65"/>
      <c r="N872" s="65"/>
      <c r="O872" s="65"/>
      <c r="P872" s="65"/>
      <c r="Q872" s="65"/>
      <c r="R872" s="65"/>
      <c r="S872" s="65"/>
      <c r="T872" s="65"/>
      <c r="U872" s="65"/>
      <c r="V872" s="65"/>
      <c r="W872" s="65"/>
      <c r="X872" s="65"/>
    </row>
    <row r="873">
      <c r="A873" s="64"/>
      <c r="B873" s="64"/>
      <c r="C873" s="49"/>
      <c r="D873" s="49"/>
      <c r="E873" s="71"/>
      <c r="F873" s="71"/>
      <c r="G873" s="71"/>
      <c r="H873" s="71"/>
      <c r="I873" s="28"/>
      <c r="J873" s="28"/>
      <c r="K873" s="65"/>
      <c r="L873" s="65"/>
      <c r="M873" s="65"/>
      <c r="N873" s="65"/>
      <c r="O873" s="65"/>
      <c r="P873" s="65"/>
      <c r="Q873" s="65"/>
      <c r="R873" s="65"/>
      <c r="S873" s="65"/>
      <c r="T873" s="65"/>
      <c r="U873" s="65"/>
      <c r="V873" s="65"/>
      <c r="W873" s="65"/>
      <c r="X873" s="65"/>
    </row>
    <row r="874">
      <c r="A874" s="64"/>
      <c r="B874" s="64"/>
      <c r="C874" s="49"/>
      <c r="D874" s="49"/>
      <c r="E874" s="71"/>
      <c r="F874" s="71"/>
      <c r="G874" s="71"/>
      <c r="H874" s="71"/>
      <c r="I874" s="28"/>
      <c r="J874" s="28"/>
      <c r="K874" s="65"/>
      <c r="L874" s="65"/>
      <c r="M874" s="65"/>
      <c r="N874" s="65"/>
      <c r="O874" s="65"/>
      <c r="P874" s="65"/>
      <c r="Q874" s="65"/>
      <c r="R874" s="65"/>
      <c r="S874" s="65"/>
      <c r="T874" s="65"/>
      <c r="U874" s="65"/>
      <c r="V874" s="65"/>
      <c r="W874" s="65"/>
      <c r="X874" s="65"/>
    </row>
    <row r="875">
      <c r="A875" s="64"/>
      <c r="B875" s="64"/>
      <c r="C875" s="49"/>
      <c r="D875" s="49"/>
      <c r="E875" s="71"/>
      <c r="F875" s="71"/>
      <c r="G875" s="71"/>
      <c r="H875" s="71"/>
      <c r="I875" s="28"/>
      <c r="J875" s="28"/>
      <c r="K875" s="65"/>
      <c r="L875" s="65"/>
      <c r="M875" s="65"/>
      <c r="N875" s="65"/>
      <c r="O875" s="65"/>
      <c r="P875" s="65"/>
      <c r="Q875" s="65"/>
      <c r="R875" s="65"/>
      <c r="S875" s="65"/>
      <c r="T875" s="65"/>
      <c r="U875" s="65"/>
      <c r="V875" s="65"/>
      <c r="W875" s="65"/>
      <c r="X875" s="65"/>
    </row>
    <row r="876">
      <c r="A876" s="64"/>
      <c r="B876" s="64"/>
      <c r="C876" s="49"/>
      <c r="D876" s="49"/>
      <c r="E876" s="71"/>
      <c r="F876" s="71"/>
      <c r="G876" s="71"/>
      <c r="H876" s="71"/>
      <c r="I876" s="28"/>
      <c r="J876" s="28"/>
      <c r="K876" s="65"/>
      <c r="L876" s="65"/>
      <c r="M876" s="65"/>
      <c r="N876" s="65"/>
      <c r="O876" s="65"/>
      <c r="P876" s="65"/>
      <c r="Q876" s="65"/>
      <c r="R876" s="65"/>
      <c r="S876" s="65"/>
      <c r="T876" s="65"/>
      <c r="U876" s="65"/>
      <c r="V876" s="65"/>
      <c r="W876" s="65"/>
      <c r="X876" s="65"/>
    </row>
    <row r="877">
      <c r="A877" s="64"/>
      <c r="B877" s="64"/>
      <c r="C877" s="49"/>
      <c r="D877" s="49"/>
      <c r="E877" s="71"/>
      <c r="F877" s="71"/>
      <c r="G877" s="71"/>
      <c r="H877" s="71"/>
      <c r="I877" s="28"/>
      <c r="J877" s="28"/>
      <c r="K877" s="65"/>
      <c r="L877" s="65"/>
      <c r="M877" s="65"/>
      <c r="N877" s="65"/>
      <c r="O877" s="65"/>
      <c r="P877" s="65"/>
      <c r="Q877" s="65"/>
      <c r="R877" s="65"/>
      <c r="S877" s="65"/>
      <c r="T877" s="65"/>
      <c r="U877" s="65"/>
      <c r="V877" s="65"/>
      <c r="W877" s="65"/>
      <c r="X877" s="65"/>
    </row>
    <row r="878">
      <c r="A878" s="64"/>
      <c r="B878" s="64"/>
      <c r="C878" s="49"/>
      <c r="D878" s="49"/>
      <c r="E878" s="71"/>
      <c r="F878" s="71"/>
      <c r="G878" s="71"/>
      <c r="H878" s="71"/>
      <c r="I878" s="28"/>
      <c r="J878" s="28"/>
      <c r="K878" s="65"/>
      <c r="L878" s="65"/>
      <c r="M878" s="65"/>
      <c r="N878" s="65"/>
      <c r="O878" s="65"/>
      <c r="P878" s="65"/>
      <c r="Q878" s="65"/>
      <c r="R878" s="65"/>
      <c r="S878" s="65"/>
      <c r="T878" s="65"/>
      <c r="U878" s="65"/>
      <c r="V878" s="65"/>
      <c r="W878" s="65"/>
      <c r="X878" s="65"/>
    </row>
    <row r="879">
      <c r="A879" s="64"/>
      <c r="B879" s="64"/>
      <c r="C879" s="49"/>
      <c r="D879" s="49"/>
      <c r="E879" s="71"/>
      <c r="F879" s="71"/>
      <c r="G879" s="71"/>
      <c r="H879" s="71"/>
      <c r="I879" s="28"/>
      <c r="J879" s="28"/>
      <c r="K879" s="65"/>
      <c r="L879" s="65"/>
      <c r="M879" s="65"/>
      <c r="N879" s="65"/>
      <c r="O879" s="65"/>
      <c r="P879" s="65"/>
      <c r="Q879" s="65"/>
      <c r="R879" s="65"/>
      <c r="S879" s="65"/>
      <c r="T879" s="65"/>
      <c r="U879" s="65"/>
      <c r="V879" s="65"/>
      <c r="W879" s="65"/>
      <c r="X879" s="65"/>
    </row>
    <row r="880">
      <c r="A880" s="64"/>
      <c r="B880" s="64"/>
      <c r="C880" s="49"/>
      <c r="D880" s="49"/>
      <c r="E880" s="71"/>
      <c r="F880" s="71"/>
      <c r="G880" s="71"/>
      <c r="H880" s="71"/>
      <c r="I880" s="28"/>
      <c r="J880" s="28"/>
      <c r="K880" s="65"/>
      <c r="L880" s="65"/>
      <c r="M880" s="65"/>
      <c r="N880" s="65"/>
      <c r="O880" s="65"/>
      <c r="P880" s="65"/>
      <c r="Q880" s="65"/>
      <c r="R880" s="65"/>
      <c r="S880" s="65"/>
      <c r="T880" s="65"/>
      <c r="U880" s="65"/>
      <c r="V880" s="65"/>
      <c r="W880" s="65"/>
      <c r="X880" s="65"/>
    </row>
    <row r="881">
      <c r="A881" s="64"/>
      <c r="B881" s="64"/>
      <c r="C881" s="49"/>
      <c r="D881" s="49"/>
      <c r="E881" s="71"/>
      <c r="F881" s="71"/>
      <c r="G881" s="71"/>
      <c r="H881" s="71"/>
      <c r="I881" s="28"/>
      <c r="J881" s="28"/>
      <c r="K881" s="65"/>
      <c r="L881" s="65"/>
      <c r="M881" s="65"/>
      <c r="N881" s="65"/>
      <c r="O881" s="65"/>
      <c r="P881" s="65"/>
      <c r="Q881" s="65"/>
      <c r="R881" s="65"/>
      <c r="S881" s="65"/>
      <c r="T881" s="65"/>
      <c r="U881" s="65"/>
      <c r="V881" s="65"/>
      <c r="W881" s="65"/>
      <c r="X881" s="65"/>
    </row>
    <row r="882">
      <c r="A882" s="64"/>
      <c r="B882" s="64"/>
      <c r="C882" s="49"/>
      <c r="D882" s="49"/>
      <c r="E882" s="71"/>
      <c r="F882" s="71"/>
      <c r="G882" s="71"/>
      <c r="H882" s="71"/>
      <c r="I882" s="28"/>
      <c r="J882" s="28"/>
      <c r="K882" s="65"/>
      <c r="L882" s="65"/>
      <c r="M882" s="65"/>
      <c r="N882" s="65"/>
      <c r="O882" s="65"/>
      <c r="P882" s="65"/>
      <c r="Q882" s="65"/>
      <c r="R882" s="65"/>
      <c r="S882" s="65"/>
      <c r="T882" s="65"/>
      <c r="U882" s="65"/>
      <c r="V882" s="65"/>
      <c r="W882" s="65"/>
      <c r="X882" s="65"/>
    </row>
    <row r="883">
      <c r="A883" s="64"/>
      <c r="B883" s="64"/>
      <c r="C883" s="49"/>
      <c r="D883" s="49"/>
      <c r="E883" s="71"/>
      <c r="F883" s="71"/>
      <c r="G883" s="71"/>
      <c r="H883" s="71"/>
      <c r="I883" s="28"/>
      <c r="J883" s="28"/>
      <c r="K883" s="65"/>
      <c r="L883" s="65"/>
      <c r="M883" s="65"/>
      <c r="N883" s="65"/>
      <c r="O883" s="65"/>
      <c r="P883" s="65"/>
      <c r="Q883" s="65"/>
      <c r="R883" s="65"/>
      <c r="S883" s="65"/>
      <c r="T883" s="65"/>
      <c r="U883" s="65"/>
      <c r="V883" s="65"/>
      <c r="W883" s="65"/>
      <c r="X883" s="65"/>
    </row>
    <row r="884">
      <c r="A884" s="64"/>
      <c r="B884" s="64"/>
      <c r="C884" s="49"/>
      <c r="D884" s="49"/>
      <c r="E884" s="71"/>
      <c r="F884" s="71"/>
      <c r="G884" s="71"/>
      <c r="H884" s="71"/>
      <c r="I884" s="28"/>
      <c r="J884" s="28"/>
      <c r="K884" s="65"/>
      <c r="L884" s="65"/>
      <c r="M884" s="65"/>
      <c r="N884" s="65"/>
      <c r="O884" s="65"/>
      <c r="P884" s="65"/>
      <c r="Q884" s="65"/>
      <c r="R884" s="65"/>
      <c r="S884" s="65"/>
      <c r="T884" s="65"/>
      <c r="U884" s="65"/>
      <c r="V884" s="65"/>
      <c r="W884" s="65"/>
      <c r="X884" s="65"/>
    </row>
    <row r="885">
      <c r="A885" s="64"/>
      <c r="B885" s="64"/>
      <c r="C885" s="49"/>
      <c r="D885" s="49"/>
      <c r="E885" s="71"/>
      <c r="F885" s="71"/>
      <c r="G885" s="71"/>
      <c r="H885" s="71"/>
      <c r="I885" s="28"/>
      <c r="J885" s="28"/>
      <c r="K885" s="65"/>
      <c r="L885" s="65"/>
      <c r="M885" s="65"/>
      <c r="N885" s="65"/>
      <c r="O885" s="65"/>
      <c r="P885" s="65"/>
      <c r="Q885" s="65"/>
      <c r="R885" s="65"/>
      <c r="S885" s="65"/>
      <c r="T885" s="65"/>
      <c r="U885" s="65"/>
      <c r="V885" s="65"/>
      <c r="W885" s="65"/>
      <c r="X885" s="65"/>
    </row>
    <row r="886">
      <c r="A886" s="64"/>
      <c r="B886" s="64"/>
      <c r="C886" s="49"/>
      <c r="D886" s="49"/>
      <c r="E886" s="71"/>
      <c r="F886" s="71"/>
      <c r="G886" s="71"/>
      <c r="H886" s="71"/>
      <c r="I886" s="28"/>
      <c r="J886" s="28"/>
      <c r="K886" s="65"/>
      <c r="L886" s="65"/>
      <c r="M886" s="65"/>
      <c r="N886" s="65"/>
      <c r="O886" s="65"/>
      <c r="P886" s="65"/>
      <c r="Q886" s="65"/>
      <c r="R886" s="65"/>
      <c r="S886" s="65"/>
      <c r="T886" s="65"/>
      <c r="U886" s="65"/>
      <c r="V886" s="65"/>
      <c r="W886" s="65"/>
      <c r="X886" s="65"/>
    </row>
    <row r="887">
      <c r="A887" s="64"/>
      <c r="B887" s="64"/>
      <c r="C887" s="49"/>
      <c r="D887" s="49"/>
      <c r="E887" s="71"/>
      <c r="F887" s="71"/>
      <c r="G887" s="71"/>
      <c r="H887" s="71"/>
      <c r="I887" s="28"/>
      <c r="J887" s="28"/>
      <c r="K887" s="65"/>
      <c r="L887" s="65"/>
      <c r="M887" s="65"/>
      <c r="N887" s="65"/>
      <c r="O887" s="65"/>
      <c r="P887" s="65"/>
      <c r="Q887" s="65"/>
      <c r="R887" s="65"/>
      <c r="S887" s="65"/>
      <c r="T887" s="65"/>
      <c r="U887" s="65"/>
      <c r="V887" s="65"/>
      <c r="W887" s="65"/>
      <c r="X887" s="65"/>
    </row>
    <row r="888">
      <c r="A888" s="64"/>
      <c r="B888" s="64"/>
      <c r="C888" s="49"/>
      <c r="D888" s="49"/>
      <c r="E888" s="71"/>
      <c r="F888" s="71"/>
      <c r="G888" s="71"/>
      <c r="H888" s="71"/>
      <c r="I888" s="28"/>
      <c r="J888" s="28"/>
      <c r="K888" s="65"/>
      <c r="L888" s="65"/>
      <c r="M888" s="65"/>
      <c r="N888" s="65"/>
      <c r="O888" s="65"/>
      <c r="P888" s="65"/>
      <c r="Q888" s="65"/>
      <c r="R888" s="65"/>
      <c r="S888" s="65"/>
      <c r="T888" s="65"/>
      <c r="U888" s="65"/>
      <c r="V888" s="65"/>
      <c r="W888" s="65"/>
      <c r="X888" s="65"/>
    </row>
    <row r="889">
      <c r="A889" s="64"/>
      <c r="B889" s="64"/>
      <c r="C889" s="49"/>
      <c r="D889" s="49"/>
      <c r="E889" s="71"/>
      <c r="F889" s="71"/>
      <c r="G889" s="71"/>
      <c r="H889" s="71"/>
      <c r="I889" s="28"/>
      <c r="J889" s="28"/>
      <c r="K889" s="65"/>
      <c r="L889" s="65"/>
      <c r="M889" s="65"/>
      <c r="N889" s="65"/>
      <c r="O889" s="65"/>
      <c r="P889" s="65"/>
      <c r="Q889" s="65"/>
      <c r="R889" s="65"/>
      <c r="S889" s="65"/>
      <c r="T889" s="65"/>
      <c r="U889" s="65"/>
      <c r="V889" s="65"/>
      <c r="W889" s="65"/>
      <c r="X889" s="65"/>
    </row>
    <row r="890">
      <c r="A890" s="64"/>
      <c r="B890" s="64"/>
      <c r="C890" s="49"/>
      <c r="D890" s="49"/>
      <c r="E890" s="71"/>
      <c r="F890" s="71"/>
      <c r="G890" s="71"/>
      <c r="H890" s="71"/>
      <c r="I890" s="28"/>
      <c r="J890" s="28"/>
      <c r="K890" s="65"/>
      <c r="L890" s="65"/>
      <c r="M890" s="65"/>
      <c r="N890" s="65"/>
      <c r="O890" s="65"/>
      <c r="P890" s="65"/>
      <c r="Q890" s="65"/>
      <c r="R890" s="65"/>
      <c r="S890" s="65"/>
      <c r="T890" s="65"/>
      <c r="U890" s="65"/>
      <c r="V890" s="65"/>
      <c r="W890" s="65"/>
      <c r="X890" s="65"/>
    </row>
    <row r="891">
      <c r="A891" s="64"/>
      <c r="B891" s="64"/>
      <c r="C891" s="49"/>
      <c r="D891" s="49"/>
      <c r="E891" s="71"/>
      <c r="F891" s="71"/>
      <c r="G891" s="71"/>
      <c r="H891" s="71"/>
      <c r="I891" s="28"/>
      <c r="J891" s="28"/>
      <c r="K891" s="65"/>
      <c r="L891" s="65"/>
      <c r="M891" s="65"/>
      <c r="N891" s="65"/>
      <c r="O891" s="65"/>
      <c r="P891" s="65"/>
      <c r="Q891" s="65"/>
      <c r="R891" s="65"/>
      <c r="S891" s="65"/>
      <c r="T891" s="65"/>
      <c r="U891" s="65"/>
      <c r="V891" s="65"/>
      <c r="W891" s="65"/>
      <c r="X891" s="65"/>
    </row>
    <row r="892">
      <c r="A892" s="64"/>
      <c r="B892" s="64"/>
      <c r="C892" s="49"/>
      <c r="D892" s="49"/>
      <c r="E892" s="71"/>
      <c r="F892" s="71"/>
      <c r="G892" s="71"/>
      <c r="H892" s="71"/>
      <c r="I892" s="28"/>
      <c r="J892" s="28"/>
      <c r="K892" s="65"/>
      <c r="L892" s="65"/>
      <c r="M892" s="65"/>
      <c r="N892" s="65"/>
      <c r="O892" s="65"/>
      <c r="P892" s="65"/>
      <c r="Q892" s="65"/>
      <c r="R892" s="65"/>
      <c r="S892" s="65"/>
      <c r="T892" s="65"/>
      <c r="U892" s="65"/>
      <c r="V892" s="65"/>
      <c r="W892" s="65"/>
      <c r="X892" s="65"/>
    </row>
    <row r="893">
      <c r="A893" s="64"/>
      <c r="B893" s="64"/>
      <c r="C893" s="49"/>
      <c r="D893" s="49"/>
      <c r="E893" s="71"/>
      <c r="F893" s="71"/>
      <c r="G893" s="71"/>
      <c r="H893" s="71"/>
      <c r="I893" s="28"/>
      <c r="J893" s="28"/>
      <c r="K893" s="65"/>
      <c r="L893" s="65"/>
      <c r="M893" s="65"/>
      <c r="N893" s="65"/>
      <c r="O893" s="65"/>
      <c r="P893" s="65"/>
      <c r="Q893" s="65"/>
      <c r="R893" s="65"/>
      <c r="S893" s="65"/>
      <c r="T893" s="65"/>
      <c r="U893" s="65"/>
      <c r="V893" s="65"/>
      <c r="W893" s="65"/>
      <c r="X893" s="65"/>
    </row>
    <row r="894">
      <c r="A894" s="64"/>
      <c r="B894" s="64"/>
      <c r="C894" s="49"/>
      <c r="D894" s="49"/>
      <c r="E894" s="71"/>
      <c r="F894" s="71"/>
      <c r="G894" s="71"/>
      <c r="H894" s="71"/>
      <c r="I894" s="28"/>
      <c r="J894" s="28"/>
      <c r="K894" s="65"/>
      <c r="L894" s="65"/>
      <c r="M894" s="65"/>
      <c r="N894" s="65"/>
      <c r="O894" s="65"/>
      <c r="P894" s="65"/>
      <c r="Q894" s="65"/>
      <c r="R894" s="65"/>
      <c r="S894" s="65"/>
      <c r="T894" s="65"/>
      <c r="U894" s="65"/>
      <c r="V894" s="65"/>
      <c r="W894" s="65"/>
      <c r="X894" s="65"/>
    </row>
    <row r="895">
      <c r="A895" s="64"/>
      <c r="B895" s="64"/>
      <c r="C895" s="49"/>
      <c r="D895" s="49"/>
      <c r="E895" s="71"/>
      <c r="F895" s="71"/>
      <c r="G895" s="71"/>
      <c r="H895" s="71"/>
      <c r="I895" s="28"/>
      <c r="J895" s="28"/>
      <c r="K895" s="65"/>
      <c r="L895" s="65"/>
      <c r="M895" s="65"/>
      <c r="N895" s="65"/>
      <c r="O895" s="65"/>
      <c r="P895" s="65"/>
      <c r="Q895" s="65"/>
      <c r="R895" s="65"/>
      <c r="S895" s="65"/>
      <c r="T895" s="65"/>
      <c r="U895" s="65"/>
      <c r="V895" s="65"/>
      <c r="W895" s="65"/>
      <c r="X895" s="65"/>
    </row>
    <row r="896">
      <c r="A896" s="64"/>
      <c r="B896" s="64"/>
      <c r="C896" s="49"/>
      <c r="D896" s="49"/>
      <c r="E896" s="71"/>
      <c r="F896" s="71"/>
      <c r="G896" s="71"/>
      <c r="H896" s="71"/>
      <c r="I896" s="28"/>
      <c r="J896" s="28"/>
      <c r="K896" s="65"/>
      <c r="L896" s="65"/>
      <c r="M896" s="65"/>
      <c r="N896" s="65"/>
      <c r="O896" s="65"/>
      <c r="P896" s="65"/>
      <c r="Q896" s="65"/>
      <c r="R896" s="65"/>
      <c r="S896" s="65"/>
      <c r="T896" s="65"/>
      <c r="U896" s="65"/>
      <c r="V896" s="65"/>
      <c r="W896" s="65"/>
      <c r="X896" s="65"/>
    </row>
    <row r="897">
      <c r="A897" s="64"/>
      <c r="B897" s="64"/>
      <c r="C897" s="49"/>
      <c r="D897" s="49"/>
      <c r="E897" s="71"/>
      <c r="F897" s="71"/>
      <c r="G897" s="71"/>
      <c r="H897" s="71"/>
      <c r="I897" s="28"/>
      <c r="J897" s="28"/>
      <c r="K897" s="65"/>
      <c r="L897" s="65"/>
      <c r="M897" s="65"/>
      <c r="N897" s="65"/>
      <c r="O897" s="65"/>
      <c r="P897" s="65"/>
      <c r="Q897" s="65"/>
      <c r="R897" s="65"/>
      <c r="S897" s="65"/>
      <c r="T897" s="65"/>
      <c r="U897" s="65"/>
      <c r="V897" s="65"/>
      <c r="W897" s="65"/>
      <c r="X897" s="65"/>
    </row>
    <row r="898">
      <c r="A898" s="64"/>
      <c r="B898" s="64"/>
      <c r="C898" s="49"/>
      <c r="D898" s="49"/>
      <c r="E898" s="71"/>
      <c r="F898" s="71"/>
      <c r="G898" s="71"/>
      <c r="H898" s="71"/>
      <c r="I898" s="28"/>
      <c r="J898" s="28"/>
      <c r="K898" s="65"/>
      <c r="L898" s="65"/>
      <c r="M898" s="65"/>
      <c r="N898" s="65"/>
      <c r="O898" s="65"/>
      <c r="P898" s="65"/>
      <c r="Q898" s="65"/>
      <c r="R898" s="65"/>
      <c r="S898" s="65"/>
      <c r="T898" s="65"/>
      <c r="U898" s="65"/>
      <c r="V898" s="65"/>
      <c r="W898" s="65"/>
      <c r="X898" s="65"/>
    </row>
    <row r="899">
      <c r="A899" s="64"/>
      <c r="B899" s="64"/>
      <c r="C899" s="49"/>
      <c r="D899" s="49"/>
      <c r="E899" s="71"/>
      <c r="F899" s="71"/>
      <c r="G899" s="71"/>
      <c r="H899" s="71"/>
      <c r="I899" s="28"/>
      <c r="J899" s="28"/>
      <c r="K899" s="65"/>
      <c r="L899" s="65"/>
      <c r="M899" s="65"/>
      <c r="N899" s="65"/>
      <c r="O899" s="65"/>
      <c r="P899" s="65"/>
      <c r="Q899" s="65"/>
      <c r="R899" s="65"/>
      <c r="S899" s="65"/>
      <c r="T899" s="65"/>
      <c r="U899" s="65"/>
      <c r="V899" s="65"/>
      <c r="W899" s="65"/>
      <c r="X899" s="65"/>
    </row>
    <row r="900">
      <c r="A900" s="64"/>
      <c r="B900" s="64"/>
      <c r="C900" s="49"/>
      <c r="D900" s="49"/>
      <c r="E900" s="71"/>
      <c r="F900" s="71"/>
      <c r="G900" s="71"/>
      <c r="H900" s="71"/>
      <c r="I900" s="28"/>
      <c r="J900" s="28"/>
      <c r="K900" s="65"/>
      <c r="L900" s="65"/>
      <c r="M900" s="65"/>
      <c r="N900" s="65"/>
      <c r="O900" s="65"/>
      <c r="P900" s="65"/>
      <c r="Q900" s="65"/>
      <c r="R900" s="65"/>
      <c r="S900" s="65"/>
      <c r="T900" s="65"/>
      <c r="U900" s="65"/>
      <c r="V900" s="65"/>
      <c r="W900" s="65"/>
      <c r="X900" s="65"/>
    </row>
    <row r="901">
      <c r="A901" s="64"/>
      <c r="B901" s="64"/>
      <c r="C901" s="49"/>
      <c r="D901" s="49"/>
      <c r="E901" s="71"/>
      <c r="F901" s="71"/>
      <c r="G901" s="71"/>
      <c r="H901" s="71"/>
      <c r="I901" s="28"/>
      <c r="J901" s="28"/>
      <c r="K901" s="65"/>
      <c r="L901" s="65"/>
      <c r="M901" s="65"/>
      <c r="N901" s="65"/>
      <c r="O901" s="65"/>
      <c r="P901" s="65"/>
      <c r="Q901" s="65"/>
      <c r="R901" s="65"/>
      <c r="S901" s="65"/>
      <c r="T901" s="65"/>
      <c r="U901" s="65"/>
      <c r="V901" s="65"/>
      <c r="W901" s="65"/>
      <c r="X901" s="65"/>
    </row>
    <row r="902">
      <c r="A902" s="64"/>
      <c r="B902" s="64"/>
      <c r="C902" s="49"/>
      <c r="D902" s="49"/>
      <c r="E902" s="71"/>
      <c r="F902" s="71"/>
      <c r="G902" s="71"/>
      <c r="H902" s="71"/>
      <c r="I902" s="28"/>
      <c r="J902" s="28"/>
      <c r="K902" s="65"/>
      <c r="L902" s="65"/>
      <c r="M902" s="65"/>
      <c r="N902" s="65"/>
      <c r="O902" s="65"/>
      <c r="P902" s="65"/>
      <c r="Q902" s="65"/>
      <c r="R902" s="65"/>
      <c r="S902" s="65"/>
      <c r="T902" s="65"/>
      <c r="U902" s="65"/>
      <c r="V902" s="65"/>
      <c r="W902" s="65"/>
      <c r="X902" s="65"/>
    </row>
    <row r="903">
      <c r="A903" s="64"/>
      <c r="B903" s="64"/>
      <c r="C903" s="49"/>
      <c r="D903" s="49"/>
      <c r="E903" s="71"/>
      <c r="F903" s="71"/>
      <c r="G903" s="71"/>
      <c r="H903" s="71"/>
      <c r="I903" s="28"/>
      <c r="J903" s="28"/>
      <c r="K903" s="65"/>
      <c r="L903" s="65"/>
      <c r="M903" s="65"/>
      <c r="N903" s="65"/>
      <c r="O903" s="65"/>
      <c r="P903" s="65"/>
      <c r="Q903" s="65"/>
      <c r="R903" s="65"/>
      <c r="S903" s="65"/>
      <c r="T903" s="65"/>
      <c r="U903" s="65"/>
      <c r="V903" s="65"/>
      <c r="W903" s="65"/>
      <c r="X903" s="65"/>
    </row>
    <row r="904">
      <c r="A904" s="64"/>
      <c r="B904" s="64"/>
      <c r="C904" s="49"/>
      <c r="D904" s="49"/>
      <c r="E904" s="71"/>
      <c r="F904" s="71"/>
      <c r="G904" s="71"/>
      <c r="H904" s="71"/>
      <c r="I904" s="28"/>
      <c r="J904" s="28"/>
      <c r="K904" s="65"/>
      <c r="L904" s="65"/>
      <c r="M904" s="65"/>
      <c r="N904" s="65"/>
      <c r="O904" s="65"/>
      <c r="P904" s="65"/>
      <c r="Q904" s="65"/>
      <c r="R904" s="65"/>
      <c r="S904" s="65"/>
      <c r="T904" s="65"/>
      <c r="U904" s="65"/>
      <c r="V904" s="65"/>
      <c r="W904" s="65"/>
      <c r="X904" s="65"/>
    </row>
    <row r="905">
      <c r="A905" s="64"/>
      <c r="B905" s="64"/>
      <c r="C905" s="49"/>
      <c r="D905" s="49"/>
      <c r="E905" s="71"/>
      <c r="F905" s="71"/>
      <c r="G905" s="71"/>
      <c r="H905" s="71"/>
      <c r="I905" s="28"/>
      <c r="J905" s="28"/>
      <c r="K905" s="65"/>
      <c r="L905" s="65"/>
      <c r="M905" s="65"/>
      <c r="N905" s="65"/>
      <c r="O905" s="65"/>
      <c r="P905" s="65"/>
      <c r="Q905" s="65"/>
      <c r="R905" s="65"/>
      <c r="S905" s="65"/>
      <c r="T905" s="65"/>
      <c r="U905" s="65"/>
      <c r="V905" s="65"/>
      <c r="W905" s="65"/>
      <c r="X905" s="65"/>
    </row>
    <row r="906">
      <c r="A906" s="64"/>
      <c r="B906" s="64"/>
      <c r="C906" s="49"/>
      <c r="D906" s="49"/>
      <c r="E906" s="71"/>
      <c r="F906" s="71"/>
      <c r="G906" s="71"/>
      <c r="H906" s="71"/>
      <c r="I906" s="28"/>
      <c r="J906" s="28"/>
      <c r="K906" s="65"/>
      <c r="L906" s="65"/>
      <c r="M906" s="65"/>
      <c r="N906" s="65"/>
      <c r="O906" s="65"/>
      <c r="P906" s="65"/>
      <c r="Q906" s="65"/>
      <c r="R906" s="65"/>
      <c r="S906" s="65"/>
      <c r="T906" s="65"/>
      <c r="U906" s="65"/>
      <c r="V906" s="65"/>
      <c r="W906" s="65"/>
      <c r="X906" s="65"/>
    </row>
    <row r="907">
      <c r="A907" s="64"/>
      <c r="B907" s="64"/>
      <c r="C907" s="49"/>
      <c r="D907" s="49"/>
      <c r="E907" s="71"/>
      <c r="F907" s="71"/>
      <c r="G907" s="71"/>
      <c r="H907" s="71"/>
      <c r="I907" s="28"/>
      <c r="J907" s="28"/>
      <c r="K907" s="65"/>
      <c r="L907" s="65"/>
      <c r="M907" s="65"/>
      <c r="N907" s="65"/>
      <c r="O907" s="65"/>
      <c r="P907" s="65"/>
      <c r="Q907" s="65"/>
      <c r="R907" s="65"/>
      <c r="S907" s="65"/>
      <c r="T907" s="65"/>
      <c r="U907" s="65"/>
      <c r="V907" s="65"/>
      <c r="W907" s="65"/>
      <c r="X907" s="65"/>
    </row>
    <row r="908">
      <c r="A908" s="64"/>
      <c r="B908" s="64"/>
      <c r="C908" s="49"/>
      <c r="D908" s="49"/>
      <c r="E908" s="71"/>
      <c r="F908" s="71"/>
      <c r="G908" s="71"/>
      <c r="H908" s="71"/>
      <c r="I908" s="28"/>
      <c r="J908" s="28"/>
      <c r="K908" s="65"/>
      <c r="L908" s="65"/>
      <c r="M908" s="65"/>
      <c r="N908" s="65"/>
      <c r="O908" s="65"/>
      <c r="P908" s="65"/>
      <c r="Q908" s="65"/>
      <c r="R908" s="65"/>
      <c r="S908" s="65"/>
      <c r="T908" s="65"/>
      <c r="U908" s="65"/>
      <c r="V908" s="65"/>
      <c r="W908" s="65"/>
      <c r="X908" s="65"/>
    </row>
    <row r="909">
      <c r="A909" s="64"/>
      <c r="B909" s="64"/>
      <c r="C909" s="49"/>
      <c r="D909" s="49"/>
      <c r="E909" s="71"/>
      <c r="F909" s="71"/>
      <c r="G909" s="71"/>
      <c r="H909" s="71"/>
      <c r="I909" s="28"/>
      <c r="J909" s="28"/>
      <c r="K909" s="65"/>
      <c r="L909" s="65"/>
      <c r="M909" s="65"/>
      <c r="N909" s="65"/>
      <c r="O909" s="65"/>
      <c r="P909" s="65"/>
      <c r="Q909" s="65"/>
      <c r="R909" s="65"/>
      <c r="S909" s="65"/>
      <c r="T909" s="65"/>
      <c r="U909" s="65"/>
      <c r="V909" s="65"/>
      <c r="W909" s="65"/>
      <c r="X909" s="65"/>
    </row>
    <row r="910">
      <c r="A910" s="64"/>
      <c r="B910" s="64"/>
      <c r="C910" s="49"/>
      <c r="D910" s="49"/>
      <c r="E910" s="71"/>
      <c r="F910" s="71"/>
      <c r="G910" s="71"/>
      <c r="H910" s="71"/>
      <c r="I910" s="28"/>
      <c r="J910" s="28"/>
      <c r="K910" s="65"/>
      <c r="L910" s="65"/>
      <c r="M910" s="65"/>
      <c r="N910" s="65"/>
      <c r="O910" s="65"/>
      <c r="P910" s="65"/>
      <c r="Q910" s="65"/>
      <c r="R910" s="65"/>
      <c r="S910" s="65"/>
      <c r="T910" s="65"/>
      <c r="U910" s="65"/>
      <c r="V910" s="65"/>
      <c r="W910" s="65"/>
      <c r="X910" s="65"/>
    </row>
    <row r="911">
      <c r="A911" s="64"/>
      <c r="B911" s="64"/>
      <c r="C911" s="49"/>
      <c r="D911" s="49"/>
      <c r="E911" s="71"/>
      <c r="F911" s="71"/>
      <c r="G911" s="71"/>
      <c r="H911" s="71"/>
      <c r="I911" s="28"/>
      <c r="J911" s="28"/>
      <c r="K911" s="65"/>
      <c r="L911" s="65"/>
      <c r="M911" s="65"/>
      <c r="N911" s="65"/>
      <c r="O911" s="65"/>
      <c r="P911" s="65"/>
      <c r="Q911" s="65"/>
      <c r="R911" s="65"/>
      <c r="S911" s="65"/>
      <c r="T911" s="65"/>
      <c r="U911" s="65"/>
      <c r="V911" s="65"/>
      <c r="W911" s="65"/>
      <c r="X911" s="65"/>
    </row>
    <row r="912">
      <c r="A912" s="64"/>
      <c r="B912" s="64"/>
      <c r="C912" s="49"/>
      <c r="D912" s="49"/>
      <c r="E912" s="71"/>
      <c r="F912" s="71"/>
      <c r="G912" s="71"/>
      <c r="H912" s="71"/>
      <c r="I912" s="28"/>
      <c r="J912" s="28"/>
      <c r="K912" s="65"/>
      <c r="L912" s="65"/>
      <c r="M912" s="65"/>
      <c r="N912" s="65"/>
      <c r="O912" s="65"/>
      <c r="P912" s="65"/>
      <c r="Q912" s="65"/>
      <c r="R912" s="65"/>
      <c r="S912" s="65"/>
      <c r="T912" s="65"/>
      <c r="U912" s="65"/>
      <c r="V912" s="65"/>
      <c r="W912" s="65"/>
      <c r="X912" s="65"/>
    </row>
    <row r="913">
      <c r="A913" s="64"/>
      <c r="B913" s="64"/>
      <c r="C913" s="49"/>
      <c r="D913" s="49"/>
      <c r="E913" s="71"/>
      <c r="F913" s="71"/>
      <c r="G913" s="71"/>
      <c r="H913" s="71"/>
      <c r="I913" s="28"/>
      <c r="J913" s="28"/>
      <c r="K913" s="65"/>
      <c r="L913" s="65"/>
      <c r="M913" s="65"/>
      <c r="N913" s="65"/>
      <c r="O913" s="65"/>
      <c r="P913" s="65"/>
      <c r="Q913" s="65"/>
      <c r="R913" s="65"/>
      <c r="S913" s="65"/>
      <c r="T913" s="65"/>
      <c r="U913" s="65"/>
      <c r="V913" s="65"/>
      <c r="W913" s="65"/>
      <c r="X913" s="65"/>
    </row>
    <row r="914">
      <c r="A914" s="64"/>
      <c r="B914" s="64"/>
      <c r="C914" s="49"/>
      <c r="D914" s="49"/>
      <c r="E914" s="71"/>
      <c r="F914" s="71"/>
      <c r="G914" s="71"/>
      <c r="H914" s="71"/>
      <c r="I914" s="28"/>
      <c r="J914" s="28"/>
      <c r="K914" s="65"/>
      <c r="L914" s="65"/>
      <c r="M914" s="65"/>
      <c r="N914" s="65"/>
      <c r="O914" s="65"/>
      <c r="P914" s="65"/>
      <c r="Q914" s="65"/>
      <c r="R914" s="65"/>
      <c r="S914" s="65"/>
      <c r="T914" s="65"/>
      <c r="U914" s="65"/>
      <c r="V914" s="65"/>
      <c r="W914" s="65"/>
      <c r="X914" s="65"/>
    </row>
    <row r="915">
      <c r="A915" s="64"/>
      <c r="B915" s="64"/>
      <c r="C915" s="49"/>
      <c r="D915" s="49"/>
      <c r="E915" s="71"/>
      <c r="F915" s="71"/>
      <c r="G915" s="71"/>
      <c r="H915" s="71"/>
      <c r="I915" s="28"/>
      <c r="J915" s="28"/>
      <c r="K915" s="65"/>
      <c r="L915" s="65"/>
      <c r="M915" s="65"/>
      <c r="N915" s="65"/>
      <c r="O915" s="65"/>
      <c r="P915" s="65"/>
      <c r="Q915" s="65"/>
      <c r="R915" s="65"/>
      <c r="S915" s="65"/>
      <c r="T915" s="65"/>
      <c r="U915" s="65"/>
      <c r="V915" s="65"/>
      <c r="W915" s="65"/>
      <c r="X915" s="65"/>
    </row>
    <row r="916">
      <c r="A916" s="64"/>
      <c r="B916" s="64"/>
      <c r="C916" s="49"/>
      <c r="D916" s="49"/>
      <c r="E916" s="71"/>
      <c r="F916" s="71"/>
      <c r="G916" s="71"/>
      <c r="H916" s="71"/>
      <c r="I916" s="28"/>
      <c r="J916" s="28"/>
      <c r="K916" s="65"/>
      <c r="L916" s="65"/>
      <c r="M916" s="65"/>
      <c r="N916" s="65"/>
      <c r="O916" s="65"/>
      <c r="P916" s="65"/>
      <c r="Q916" s="65"/>
      <c r="R916" s="65"/>
      <c r="S916" s="65"/>
      <c r="T916" s="65"/>
      <c r="U916" s="65"/>
      <c r="V916" s="65"/>
      <c r="W916" s="65"/>
      <c r="X916" s="65"/>
    </row>
    <row r="917">
      <c r="A917" s="64"/>
      <c r="B917" s="64"/>
      <c r="C917" s="49"/>
      <c r="D917" s="49"/>
      <c r="E917" s="71"/>
      <c r="F917" s="71"/>
      <c r="G917" s="71"/>
      <c r="H917" s="71"/>
      <c r="I917" s="28"/>
      <c r="J917" s="28"/>
      <c r="K917" s="65"/>
      <c r="L917" s="65"/>
      <c r="M917" s="65"/>
      <c r="N917" s="65"/>
      <c r="O917" s="65"/>
      <c r="P917" s="65"/>
      <c r="Q917" s="65"/>
      <c r="R917" s="65"/>
      <c r="S917" s="65"/>
      <c r="T917" s="65"/>
      <c r="U917" s="65"/>
      <c r="V917" s="65"/>
      <c r="W917" s="65"/>
      <c r="X917" s="65"/>
    </row>
    <row r="918">
      <c r="A918" s="64"/>
      <c r="B918" s="64"/>
      <c r="C918" s="49"/>
      <c r="D918" s="49"/>
      <c r="E918" s="71"/>
      <c r="F918" s="71"/>
      <c r="G918" s="71"/>
      <c r="H918" s="71"/>
      <c r="I918" s="28"/>
      <c r="J918" s="28"/>
      <c r="K918" s="65"/>
      <c r="L918" s="65"/>
      <c r="M918" s="65"/>
      <c r="N918" s="65"/>
      <c r="O918" s="65"/>
      <c r="P918" s="65"/>
      <c r="Q918" s="65"/>
      <c r="R918" s="65"/>
      <c r="S918" s="65"/>
      <c r="T918" s="65"/>
      <c r="U918" s="65"/>
      <c r="V918" s="65"/>
      <c r="W918" s="65"/>
      <c r="X918" s="65"/>
    </row>
    <row r="919">
      <c r="A919" s="64"/>
      <c r="B919" s="64"/>
      <c r="C919" s="49"/>
      <c r="D919" s="49"/>
      <c r="E919" s="71"/>
      <c r="F919" s="71"/>
      <c r="G919" s="71"/>
      <c r="H919" s="71"/>
      <c r="I919" s="28"/>
      <c r="J919" s="28"/>
      <c r="K919" s="65"/>
      <c r="L919" s="65"/>
      <c r="M919" s="65"/>
      <c r="N919" s="65"/>
      <c r="O919" s="65"/>
      <c r="P919" s="65"/>
      <c r="Q919" s="65"/>
      <c r="R919" s="65"/>
      <c r="S919" s="65"/>
      <c r="T919" s="65"/>
      <c r="U919" s="65"/>
      <c r="V919" s="65"/>
      <c r="W919" s="65"/>
      <c r="X919" s="65"/>
    </row>
    <row r="920">
      <c r="A920" s="64"/>
      <c r="B920" s="64"/>
      <c r="C920" s="49"/>
      <c r="D920" s="49"/>
      <c r="E920" s="71"/>
      <c r="F920" s="71"/>
      <c r="G920" s="71"/>
      <c r="H920" s="71"/>
      <c r="I920" s="28"/>
      <c r="J920" s="28"/>
      <c r="K920" s="65"/>
      <c r="L920" s="65"/>
      <c r="M920" s="65"/>
      <c r="N920" s="65"/>
      <c r="O920" s="65"/>
      <c r="P920" s="65"/>
      <c r="Q920" s="65"/>
      <c r="R920" s="65"/>
      <c r="S920" s="65"/>
      <c r="T920" s="65"/>
      <c r="U920" s="65"/>
      <c r="V920" s="65"/>
      <c r="W920" s="65"/>
      <c r="X920" s="65"/>
    </row>
    <row r="921">
      <c r="A921" s="64"/>
      <c r="B921" s="64"/>
      <c r="C921" s="49"/>
      <c r="D921" s="49"/>
      <c r="E921" s="71"/>
      <c r="F921" s="71"/>
      <c r="G921" s="71"/>
      <c r="H921" s="71"/>
      <c r="I921" s="28"/>
      <c r="J921" s="28"/>
      <c r="K921" s="65"/>
      <c r="L921" s="65"/>
      <c r="M921" s="65"/>
      <c r="N921" s="65"/>
      <c r="O921" s="65"/>
      <c r="P921" s="65"/>
      <c r="Q921" s="65"/>
      <c r="R921" s="65"/>
      <c r="S921" s="65"/>
      <c r="T921" s="65"/>
      <c r="U921" s="65"/>
      <c r="V921" s="65"/>
      <c r="W921" s="65"/>
      <c r="X921" s="65"/>
    </row>
    <row r="922">
      <c r="A922" s="64"/>
      <c r="B922" s="64"/>
      <c r="C922" s="49"/>
      <c r="D922" s="49"/>
      <c r="E922" s="71"/>
      <c r="F922" s="71"/>
      <c r="G922" s="71"/>
      <c r="H922" s="71"/>
      <c r="I922" s="28"/>
      <c r="J922" s="28"/>
      <c r="K922" s="65"/>
      <c r="L922" s="65"/>
      <c r="M922" s="65"/>
      <c r="N922" s="65"/>
      <c r="O922" s="65"/>
      <c r="P922" s="65"/>
      <c r="Q922" s="65"/>
      <c r="R922" s="65"/>
      <c r="S922" s="65"/>
      <c r="T922" s="65"/>
      <c r="U922" s="65"/>
      <c r="V922" s="65"/>
      <c r="W922" s="65"/>
      <c r="X922" s="65"/>
    </row>
    <row r="923">
      <c r="A923" s="64"/>
      <c r="B923" s="64"/>
      <c r="C923" s="49"/>
      <c r="D923" s="49"/>
      <c r="E923" s="71"/>
      <c r="F923" s="71"/>
      <c r="G923" s="71"/>
      <c r="H923" s="71"/>
      <c r="I923" s="28"/>
      <c r="J923" s="28"/>
      <c r="K923" s="65"/>
      <c r="L923" s="65"/>
      <c r="M923" s="65"/>
      <c r="N923" s="65"/>
      <c r="O923" s="65"/>
      <c r="P923" s="65"/>
      <c r="Q923" s="65"/>
      <c r="R923" s="65"/>
      <c r="S923" s="65"/>
      <c r="T923" s="65"/>
      <c r="U923" s="65"/>
      <c r="V923" s="65"/>
      <c r="W923" s="65"/>
      <c r="X923" s="65"/>
    </row>
    <row r="924">
      <c r="A924" s="64"/>
      <c r="B924" s="64"/>
      <c r="C924" s="49"/>
      <c r="D924" s="49"/>
      <c r="E924" s="71"/>
      <c r="F924" s="71"/>
      <c r="G924" s="71"/>
      <c r="H924" s="71"/>
      <c r="I924" s="28"/>
      <c r="J924" s="28"/>
      <c r="K924" s="65"/>
      <c r="L924" s="65"/>
      <c r="M924" s="65"/>
      <c r="N924" s="65"/>
      <c r="O924" s="65"/>
      <c r="P924" s="65"/>
      <c r="Q924" s="65"/>
      <c r="R924" s="65"/>
      <c r="S924" s="65"/>
      <c r="T924" s="65"/>
      <c r="U924" s="65"/>
      <c r="V924" s="65"/>
      <c r="W924" s="65"/>
      <c r="X924" s="65"/>
    </row>
    <row r="925">
      <c r="A925" s="64"/>
      <c r="B925" s="64"/>
      <c r="C925" s="49"/>
      <c r="D925" s="49"/>
      <c r="E925" s="71"/>
      <c r="F925" s="71"/>
      <c r="G925" s="71"/>
      <c r="H925" s="71"/>
      <c r="I925" s="28"/>
      <c r="J925" s="28"/>
      <c r="K925" s="65"/>
      <c r="L925" s="65"/>
      <c r="M925" s="65"/>
      <c r="N925" s="65"/>
      <c r="O925" s="65"/>
      <c r="P925" s="65"/>
      <c r="Q925" s="65"/>
      <c r="R925" s="65"/>
      <c r="S925" s="65"/>
      <c r="T925" s="65"/>
      <c r="U925" s="65"/>
      <c r="V925" s="65"/>
      <c r="W925" s="65"/>
      <c r="X925" s="65"/>
    </row>
    <row r="926">
      <c r="A926" s="64"/>
      <c r="B926" s="64"/>
      <c r="C926" s="49"/>
      <c r="D926" s="49"/>
      <c r="E926" s="71"/>
      <c r="F926" s="71"/>
      <c r="G926" s="71"/>
      <c r="H926" s="71"/>
      <c r="I926" s="28"/>
      <c r="J926" s="28"/>
      <c r="K926" s="65"/>
      <c r="L926" s="65"/>
      <c r="M926" s="65"/>
      <c r="N926" s="65"/>
      <c r="O926" s="65"/>
      <c r="P926" s="65"/>
      <c r="Q926" s="65"/>
      <c r="R926" s="65"/>
      <c r="S926" s="65"/>
      <c r="T926" s="65"/>
      <c r="U926" s="65"/>
      <c r="V926" s="65"/>
      <c r="W926" s="65"/>
      <c r="X926" s="65"/>
    </row>
    <row r="927">
      <c r="A927" s="64"/>
      <c r="B927" s="64"/>
      <c r="C927" s="49"/>
      <c r="D927" s="49"/>
      <c r="E927" s="71"/>
      <c r="F927" s="71"/>
      <c r="G927" s="71"/>
      <c r="H927" s="71"/>
      <c r="I927" s="28"/>
      <c r="J927" s="28"/>
      <c r="K927" s="65"/>
      <c r="L927" s="65"/>
      <c r="M927" s="65"/>
      <c r="N927" s="65"/>
      <c r="O927" s="65"/>
      <c r="P927" s="65"/>
      <c r="Q927" s="65"/>
      <c r="R927" s="65"/>
      <c r="S927" s="65"/>
      <c r="T927" s="65"/>
      <c r="U927" s="65"/>
      <c r="V927" s="65"/>
      <c r="W927" s="65"/>
      <c r="X927" s="65"/>
    </row>
    <row r="928">
      <c r="A928" s="64"/>
      <c r="B928" s="64"/>
      <c r="C928" s="49"/>
      <c r="D928" s="49"/>
      <c r="E928" s="71"/>
      <c r="F928" s="71"/>
      <c r="G928" s="71"/>
      <c r="H928" s="71"/>
      <c r="I928" s="28"/>
      <c r="J928" s="28"/>
      <c r="K928" s="65"/>
      <c r="L928" s="65"/>
      <c r="M928" s="65"/>
      <c r="N928" s="65"/>
      <c r="O928" s="65"/>
      <c r="P928" s="65"/>
      <c r="Q928" s="65"/>
      <c r="R928" s="65"/>
      <c r="S928" s="65"/>
      <c r="T928" s="65"/>
      <c r="U928" s="65"/>
      <c r="V928" s="65"/>
      <c r="W928" s="65"/>
      <c r="X928" s="65"/>
    </row>
    <row r="929">
      <c r="A929" s="64"/>
      <c r="B929" s="64"/>
      <c r="C929" s="49"/>
      <c r="D929" s="49"/>
      <c r="E929" s="71"/>
      <c r="F929" s="71"/>
      <c r="G929" s="71"/>
      <c r="H929" s="71"/>
      <c r="I929" s="28"/>
      <c r="J929" s="28"/>
      <c r="K929" s="65"/>
      <c r="L929" s="65"/>
      <c r="M929" s="65"/>
      <c r="N929" s="65"/>
      <c r="O929" s="65"/>
      <c r="P929" s="65"/>
      <c r="Q929" s="65"/>
      <c r="R929" s="65"/>
      <c r="S929" s="65"/>
      <c r="T929" s="65"/>
      <c r="U929" s="65"/>
      <c r="V929" s="65"/>
      <c r="W929" s="65"/>
      <c r="X929" s="65"/>
    </row>
    <row r="930">
      <c r="A930" s="64"/>
      <c r="B930" s="64"/>
      <c r="C930" s="49"/>
      <c r="D930" s="49"/>
      <c r="E930" s="71"/>
      <c r="F930" s="71"/>
      <c r="G930" s="71"/>
      <c r="H930" s="71"/>
      <c r="I930" s="28"/>
      <c r="J930" s="28"/>
      <c r="K930" s="65"/>
      <c r="L930" s="65"/>
      <c r="M930" s="65"/>
      <c r="N930" s="65"/>
      <c r="O930" s="65"/>
      <c r="P930" s="65"/>
      <c r="Q930" s="65"/>
      <c r="R930" s="65"/>
      <c r="S930" s="65"/>
      <c r="T930" s="65"/>
      <c r="U930" s="65"/>
      <c r="V930" s="65"/>
      <c r="W930" s="65"/>
      <c r="X930" s="65"/>
    </row>
    <row r="931">
      <c r="A931" s="64"/>
      <c r="B931" s="64"/>
      <c r="C931" s="49"/>
      <c r="D931" s="49"/>
      <c r="E931" s="71"/>
      <c r="F931" s="71"/>
      <c r="G931" s="71"/>
      <c r="H931" s="71"/>
      <c r="I931" s="28"/>
      <c r="J931" s="28"/>
      <c r="K931" s="65"/>
      <c r="L931" s="65"/>
      <c r="M931" s="65"/>
      <c r="N931" s="65"/>
      <c r="O931" s="65"/>
      <c r="P931" s="65"/>
      <c r="Q931" s="65"/>
      <c r="R931" s="65"/>
      <c r="S931" s="65"/>
      <c r="T931" s="65"/>
      <c r="U931" s="65"/>
      <c r="V931" s="65"/>
      <c r="W931" s="65"/>
      <c r="X931" s="65"/>
    </row>
    <row r="932">
      <c r="A932" s="64"/>
      <c r="B932" s="64"/>
      <c r="C932" s="49"/>
      <c r="D932" s="49"/>
      <c r="E932" s="71"/>
      <c r="F932" s="71"/>
      <c r="G932" s="71"/>
      <c r="H932" s="71"/>
      <c r="I932" s="28"/>
      <c r="J932" s="28"/>
      <c r="K932" s="65"/>
      <c r="L932" s="65"/>
      <c r="M932" s="65"/>
      <c r="N932" s="65"/>
      <c r="O932" s="65"/>
      <c r="P932" s="65"/>
      <c r="Q932" s="65"/>
      <c r="R932" s="65"/>
      <c r="S932" s="65"/>
      <c r="T932" s="65"/>
      <c r="U932" s="65"/>
      <c r="V932" s="65"/>
      <c r="W932" s="65"/>
      <c r="X932" s="65"/>
    </row>
    <row r="933">
      <c r="A933" s="64"/>
      <c r="B933" s="64"/>
      <c r="C933" s="49"/>
      <c r="D933" s="49"/>
      <c r="E933" s="71"/>
      <c r="F933" s="71"/>
      <c r="G933" s="71"/>
      <c r="H933" s="71"/>
      <c r="I933" s="28"/>
      <c r="J933" s="28"/>
      <c r="K933" s="65"/>
      <c r="L933" s="65"/>
      <c r="M933" s="65"/>
      <c r="N933" s="65"/>
      <c r="O933" s="65"/>
      <c r="P933" s="65"/>
      <c r="Q933" s="65"/>
      <c r="R933" s="65"/>
      <c r="S933" s="65"/>
      <c r="T933" s="65"/>
      <c r="U933" s="65"/>
      <c r="V933" s="65"/>
      <c r="W933" s="65"/>
      <c r="X933" s="65"/>
    </row>
    <row r="934">
      <c r="A934" s="64"/>
      <c r="B934" s="64"/>
      <c r="C934" s="49"/>
      <c r="D934" s="49"/>
      <c r="E934" s="71"/>
      <c r="F934" s="71"/>
      <c r="G934" s="71"/>
      <c r="H934" s="71"/>
      <c r="I934" s="28"/>
      <c r="J934" s="28"/>
      <c r="K934" s="65"/>
      <c r="L934" s="65"/>
      <c r="M934" s="65"/>
      <c r="N934" s="65"/>
      <c r="O934" s="65"/>
      <c r="P934" s="65"/>
      <c r="Q934" s="65"/>
      <c r="R934" s="65"/>
      <c r="S934" s="65"/>
      <c r="T934" s="65"/>
      <c r="U934" s="65"/>
      <c r="V934" s="65"/>
      <c r="W934" s="65"/>
      <c r="X934" s="65"/>
    </row>
    <row r="935">
      <c r="A935" s="64"/>
      <c r="B935" s="64"/>
      <c r="C935" s="49"/>
      <c r="D935" s="49"/>
      <c r="E935" s="71"/>
      <c r="F935" s="71"/>
      <c r="G935" s="71"/>
      <c r="H935" s="71"/>
      <c r="I935" s="28"/>
      <c r="J935" s="28"/>
      <c r="K935" s="65"/>
      <c r="L935" s="65"/>
      <c r="M935" s="65"/>
      <c r="N935" s="65"/>
      <c r="O935" s="65"/>
      <c r="P935" s="65"/>
      <c r="Q935" s="65"/>
      <c r="R935" s="65"/>
      <c r="S935" s="65"/>
      <c r="T935" s="65"/>
      <c r="U935" s="65"/>
      <c r="V935" s="65"/>
      <c r="W935" s="65"/>
      <c r="X935" s="65"/>
    </row>
    <row r="936">
      <c r="A936" s="64"/>
      <c r="B936" s="64"/>
      <c r="C936" s="49"/>
      <c r="D936" s="49"/>
      <c r="E936" s="71"/>
      <c r="F936" s="71"/>
      <c r="G936" s="71"/>
      <c r="H936" s="71"/>
      <c r="I936" s="28"/>
      <c r="J936" s="28"/>
      <c r="K936" s="65"/>
      <c r="L936" s="65"/>
      <c r="M936" s="65"/>
      <c r="N936" s="65"/>
      <c r="O936" s="65"/>
      <c r="P936" s="65"/>
      <c r="Q936" s="65"/>
      <c r="R936" s="65"/>
      <c r="S936" s="65"/>
      <c r="T936" s="65"/>
      <c r="U936" s="65"/>
      <c r="V936" s="65"/>
      <c r="W936" s="65"/>
      <c r="X936" s="65"/>
    </row>
    <row r="937">
      <c r="A937" s="64"/>
      <c r="B937" s="64"/>
      <c r="C937" s="49"/>
      <c r="D937" s="49"/>
      <c r="E937" s="71"/>
      <c r="F937" s="71"/>
      <c r="G937" s="71"/>
      <c r="H937" s="71"/>
      <c r="I937" s="28"/>
      <c r="J937" s="28"/>
      <c r="K937" s="65"/>
      <c r="L937" s="65"/>
      <c r="M937" s="65"/>
      <c r="N937" s="65"/>
      <c r="O937" s="65"/>
      <c r="P937" s="65"/>
      <c r="Q937" s="65"/>
      <c r="R937" s="65"/>
      <c r="S937" s="65"/>
      <c r="T937" s="65"/>
      <c r="U937" s="65"/>
      <c r="V937" s="65"/>
      <c r="W937" s="65"/>
      <c r="X937" s="65"/>
    </row>
    <row r="938">
      <c r="A938" s="64"/>
      <c r="B938" s="64"/>
      <c r="C938" s="49"/>
      <c r="D938" s="49"/>
      <c r="E938" s="71"/>
      <c r="F938" s="71"/>
      <c r="G938" s="71"/>
      <c r="H938" s="71"/>
      <c r="I938" s="28"/>
      <c r="J938" s="28"/>
      <c r="K938" s="65"/>
      <c r="L938" s="65"/>
      <c r="M938" s="65"/>
      <c r="N938" s="65"/>
      <c r="O938" s="65"/>
      <c r="P938" s="65"/>
      <c r="Q938" s="65"/>
      <c r="R938" s="65"/>
      <c r="S938" s="65"/>
      <c r="T938" s="65"/>
      <c r="U938" s="65"/>
      <c r="V938" s="65"/>
      <c r="W938" s="65"/>
      <c r="X938" s="65"/>
    </row>
    <row r="939">
      <c r="A939" s="64"/>
      <c r="B939" s="64"/>
      <c r="C939" s="49"/>
      <c r="D939" s="49"/>
      <c r="E939" s="71"/>
      <c r="F939" s="71"/>
      <c r="G939" s="71"/>
      <c r="H939" s="71"/>
      <c r="I939" s="28"/>
      <c r="J939" s="28"/>
      <c r="K939" s="65"/>
      <c r="L939" s="65"/>
      <c r="M939" s="65"/>
      <c r="N939" s="65"/>
      <c r="O939" s="65"/>
      <c r="P939" s="65"/>
      <c r="Q939" s="65"/>
      <c r="R939" s="65"/>
      <c r="S939" s="65"/>
      <c r="T939" s="65"/>
      <c r="U939" s="65"/>
      <c r="V939" s="65"/>
      <c r="W939" s="65"/>
      <c r="X939" s="65"/>
    </row>
    <row r="940">
      <c r="A940" s="64"/>
      <c r="B940" s="64"/>
      <c r="C940" s="49"/>
      <c r="D940" s="49"/>
      <c r="E940" s="71"/>
      <c r="F940" s="71"/>
      <c r="G940" s="71"/>
      <c r="H940" s="71"/>
      <c r="I940" s="28"/>
      <c r="J940" s="28"/>
      <c r="K940" s="65"/>
      <c r="L940" s="65"/>
      <c r="M940" s="65"/>
      <c r="N940" s="65"/>
      <c r="O940" s="65"/>
      <c r="P940" s="65"/>
      <c r="Q940" s="65"/>
      <c r="R940" s="65"/>
      <c r="S940" s="65"/>
      <c r="T940" s="65"/>
      <c r="U940" s="65"/>
      <c r="V940" s="65"/>
      <c r="W940" s="65"/>
      <c r="X940" s="65"/>
    </row>
    <row r="941">
      <c r="A941" s="64"/>
      <c r="B941" s="64"/>
      <c r="C941" s="49"/>
      <c r="D941" s="49"/>
      <c r="E941" s="71"/>
      <c r="F941" s="71"/>
      <c r="G941" s="71"/>
      <c r="H941" s="71"/>
      <c r="I941" s="28"/>
      <c r="J941" s="28"/>
      <c r="K941" s="65"/>
      <c r="L941" s="65"/>
      <c r="M941" s="65"/>
      <c r="N941" s="65"/>
      <c r="O941" s="65"/>
      <c r="P941" s="65"/>
      <c r="Q941" s="65"/>
      <c r="R941" s="65"/>
      <c r="S941" s="65"/>
      <c r="T941" s="65"/>
      <c r="U941" s="65"/>
      <c r="V941" s="65"/>
      <c r="W941" s="65"/>
      <c r="X941" s="65"/>
    </row>
    <row r="942">
      <c r="A942" s="64"/>
      <c r="B942" s="64"/>
      <c r="C942" s="49"/>
      <c r="D942" s="49"/>
      <c r="E942" s="71"/>
      <c r="F942" s="71"/>
      <c r="G942" s="71"/>
      <c r="H942" s="71"/>
      <c r="I942" s="28"/>
      <c r="J942" s="28"/>
      <c r="K942" s="65"/>
      <c r="L942" s="65"/>
      <c r="M942" s="65"/>
      <c r="N942" s="65"/>
      <c r="O942" s="65"/>
      <c r="P942" s="65"/>
      <c r="Q942" s="65"/>
      <c r="R942" s="65"/>
      <c r="S942" s="65"/>
      <c r="T942" s="65"/>
      <c r="U942" s="65"/>
      <c r="V942" s="65"/>
      <c r="W942" s="65"/>
      <c r="X942" s="65"/>
    </row>
    <row r="943">
      <c r="A943" s="64"/>
      <c r="B943" s="64"/>
      <c r="C943" s="49"/>
      <c r="D943" s="49"/>
      <c r="E943" s="71"/>
      <c r="F943" s="71"/>
      <c r="G943" s="71"/>
      <c r="H943" s="71"/>
      <c r="I943" s="28"/>
      <c r="J943" s="28"/>
      <c r="K943" s="65"/>
      <c r="L943" s="65"/>
      <c r="M943" s="65"/>
      <c r="N943" s="65"/>
      <c r="O943" s="65"/>
      <c r="P943" s="65"/>
      <c r="Q943" s="65"/>
      <c r="R943" s="65"/>
      <c r="S943" s="65"/>
      <c r="T943" s="65"/>
      <c r="U943" s="65"/>
      <c r="V943" s="65"/>
      <c r="W943" s="65"/>
      <c r="X943" s="65"/>
    </row>
    <row r="944">
      <c r="A944" s="64"/>
      <c r="B944" s="64"/>
      <c r="C944" s="49"/>
      <c r="D944" s="49"/>
      <c r="E944" s="71"/>
      <c r="F944" s="71"/>
      <c r="G944" s="71"/>
      <c r="H944" s="71"/>
      <c r="I944" s="28"/>
      <c r="J944" s="28"/>
      <c r="K944" s="65"/>
      <c r="L944" s="65"/>
      <c r="M944" s="65"/>
      <c r="N944" s="65"/>
      <c r="O944" s="65"/>
      <c r="P944" s="65"/>
      <c r="Q944" s="65"/>
      <c r="R944" s="65"/>
      <c r="S944" s="65"/>
      <c r="T944" s="65"/>
      <c r="U944" s="65"/>
      <c r="V944" s="65"/>
      <c r="W944" s="65"/>
      <c r="X944" s="65"/>
    </row>
    <row r="945">
      <c r="A945" s="64"/>
      <c r="B945" s="64"/>
      <c r="C945" s="49"/>
      <c r="D945" s="49"/>
      <c r="E945" s="71"/>
      <c r="F945" s="71"/>
      <c r="G945" s="71"/>
      <c r="H945" s="71"/>
      <c r="I945" s="28"/>
      <c r="J945" s="28"/>
      <c r="K945" s="65"/>
      <c r="L945" s="65"/>
      <c r="M945" s="65"/>
      <c r="N945" s="65"/>
      <c r="O945" s="65"/>
      <c r="P945" s="65"/>
      <c r="Q945" s="65"/>
      <c r="R945" s="65"/>
      <c r="S945" s="65"/>
      <c r="T945" s="65"/>
      <c r="U945" s="65"/>
      <c r="V945" s="65"/>
      <c r="W945" s="65"/>
      <c r="X945" s="65"/>
    </row>
    <row r="946">
      <c r="A946" s="64"/>
      <c r="B946" s="64"/>
      <c r="C946" s="49"/>
      <c r="D946" s="49"/>
      <c r="E946" s="71"/>
      <c r="F946" s="71"/>
      <c r="G946" s="71"/>
      <c r="H946" s="71"/>
      <c r="I946" s="28"/>
      <c r="J946" s="28"/>
      <c r="K946" s="65"/>
      <c r="L946" s="65"/>
      <c r="M946" s="65"/>
      <c r="N946" s="65"/>
      <c r="O946" s="65"/>
      <c r="P946" s="65"/>
      <c r="Q946" s="65"/>
      <c r="R946" s="65"/>
      <c r="S946" s="65"/>
      <c r="T946" s="65"/>
      <c r="U946" s="65"/>
      <c r="V946" s="65"/>
      <c r="W946" s="65"/>
      <c r="X946" s="65"/>
    </row>
    <row r="947">
      <c r="A947" s="64"/>
      <c r="B947" s="64"/>
      <c r="C947" s="49"/>
      <c r="D947" s="49"/>
      <c r="E947" s="71"/>
      <c r="F947" s="71"/>
      <c r="G947" s="71"/>
      <c r="H947" s="71"/>
      <c r="I947" s="28"/>
      <c r="J947" s="28"/>
      <c r="K947" s="65"/>
      <c r="L947" s="65"/>
      <c r="M947" s="65"/>
      <c r="N947" s="65"/>
      <c r="O947" s="65"/>
      <c r="P947" s="65"/>
      <c r="Q947" s="65"/>
      <c r="R947" s="65"/>
      <c r="S947" s="65"/>
      <c r="T947" s="65"/>
      <c r="U947" s="65"/>
      <c r="V947" s="65"/>
      <c r="W947" s="65"/>
      <c r="X947" s="65"/>
    </row>
    <row r="948">
      <c r="A948" s="64"/>
      <c r="B948" s="64"/>
      <c r="C948" s="49"/>
      <c r="D948" s="49"/>
      <c r="E948" s="71"/>
      <c r="F948" s="71"/>
      <c r="G948" s="71"/>
      <c r="H948" s="71"/>
      <c r="I948" s="28"/>
      <c r="J948" s="28"/>
      <c r="K948" s="65"/>
      <c r="L948" s="65"/>
      <c r="M948" s="65"/>
      <c r="N948" s="65"/>
      <c r="O948" s="65"/>
      <c r="P948" s="65"/>
      <c r="Q948" s="65"/>
      <c r="R948" s="65"/>
      <c r="S948" s="65"/>
      <c r="T948" s="65"/>
      <c r="U948" s="65"/>
      <c r="V948" s="65"/>
      <c r="W948" s="65"/>
      <c r="X948" s="65"/>
    </row>
    <row r="949">
      <c r="A949" s="64"/>
      <c r="B949" s="64"/>
      <c r="C949" s="49"/>
      <c r="D949" s="49"/>
      <c r="E949" s="71"/>
      <c r="F949" s="71"/>
      <c r="G949" s="71"/>
      <c r="H949" s="71"/>
      <c r="I949" s="28"/>
      <c r="J949" s="28"/>
      <c r="K949" s="65"/>
      <c r="L949" s="65"/>
      <c r="M949" s="65"/>
      <c r="N949" s="65"/>
      <c r="O949" s="65"/>
      <c r="P949" s="65"/>
      <c r="Q949" s="65"/>
      <c r="R949" s="65"/>
      <c r="S949" s="65"/>
      <c r="T949" s="65"/>
      <c r="U949" s="65"/>
      <c r="V949" s="65"/>
      <c r="W949" s="65"/>
      <c r="X949" s="65"/>
    </row>
    <row r="950">
      <c r="A950" s="64"/>
      <c r="B950" s="64"/>
      <c r="C950" s="49"/>
      <c r="D950" s="49"/>
      <c r="E950" s="71"/>
      <c r="F950" s="71"/>
      <c r="G950" s="71"/>
      <c r="H950" s="71"/>
      <c r="I950" s="28"/>
      <c r="J950" s="28"/>
      <c r="K950" s="65"/>
      <c r="L950" s="65"/>
      <c r="M950" s="65"/>
      <c r="N950" s="65"/>
      <c r="O950" s="65"/>
      <c r="P950" s="65"/>
      <c r="Q950" s="65"/>
      <c r="R950" s="65"/>
      <c r="S950" s="65"/>
      <c r="T950" s="65"/>
      <c r="U950" s="65"/>
      <c r="V950" s="65"/>
      <c r="W950" s="65"/>
      <c r="X950" s="65"/>
    </row>
    <row r="951">
      <c r="A951" s="64"/>
      <c r="B951" s="64"/>
      <c r="C951" s="49"/>
      <c r="D951" s="49"/>
      <c r="E951" s="71"/>
      <c r="F951" s="71"/>
      <c r="G951" s="71"/>
      <c r="H951" s="71"/>
      <c r="I951" s="28"/>
      <c r="J951" s="28"/>
      <c r="K951" s="65"/>
      <c r="L951" s="65"/>
      <c r="M951" s="65"/>
      <c r="N951" s="65"/>
      <c r="O951" s="65"/>
      <c r="P951" s="65"/>
      <c r="Q951" s="65"/>
      <c r="R951" s="65"/>
      <c r="S951" s="65"/>
      <c r="T951" s="65"/>
      <c r="U951" s="65"/>
      <c r="V951" s="65"/>
      <c r="W951" s="65"/>
      <c r="X951" s="65"/>
    </row>
    <row r="952">
      <c r="A952" s="64"/>
      <c r="B952" s="64"/>
      <c r="C952" s="49"/>
      <c r="D952" s="49"/>
      <c r="E952" s="71"/>
      <c r="F952" s="71"/>
      <c r="G952" s="71"/>
      <c r="H952" s="71"/>
      <c r="I952" s="28"/>
      <c r="J952" s="28"/>
      <c r="K952" s="65"/>
      <c r="L952" s="65"/>
      <c r="M952" s="65"/>
      <c r="N952" s="65"/>
      <c r="O952" s="65"/>
      <c r="P952" s="65"/>
      <c r="Q952" s="65"/>
      <c r="R952" s="65"/>
      <c r="S952" s="65"/>
      <c r="T952" s="65"/>
      <c r="U952" s="65"/>
      <c r="V952" s="65"/>
      <c r="W952" s="65"/>
      <c r="X952" s="65"/>
    </row>
    <row r="953">
      <c r="A953" s="64"/>
      <c r="B953" s="64"/>
      <c r="C953" s="49"/>
      <c r="D953" s="49"/>
      <c r="E953" s="71"/>
      <c r="F953" s="71"/>
      <c r="G953" s="71"/>
      <c r="H953" s="71"/>
      <c r="I953" s="28"/>
      <c r="J953" s="28"/>
      <c r="K953" s="65"/>
      <c r="L953" s="65"/>
      <c r="M953" s="65"/>
      <c r="N953" s="65"/>
      <c r="O953" s="65"/>
      <c r="P953" s="65"/>
      <c r="Q953" s="65"/>
      <c r="R953" s="65"/>
      <c r="S953" s="65"/>
      <c r="T953" s="65"/>
      <c r="U953" s="65"/>
      <c r="V953" s="65"/>
      <c r="W953" s="65"/>
      <c r="X953" s="65"/>
    </row>
    <row r="954">
      <c r="A954" s="64"/>
      <c r="B954" s="64"/>
      <c r="C954" s="49"/>
      <c r="D954" s="49"/>
      <c r="E954" s="71"/>
      <c r="F954" s="71"/>
      <c r="G954" s="71"/>
      <c r="H954" s="71"/>
      <c r="I954" s="28"/>
      <c r="J954" s="28"/>
      <c r="K954" s="65"/>
      <c r="L954" s="65"/>
      <c r="M954" s="65"/>
      <c r="N954" s="65"/>
      <c r="O954" s="65"/>
      <c r="P954" s="65"/>
      <c r="Q954" s="65"/>
      <c r="R954" s="65"/>
      <c r="S954" s="65"/>
      <c r="T954" s="65"/>
      <c r="U954" s="65"/>
      <c r="V954" s="65"/>
      <c r="W954" s="65"/>
      <c r="X954" s="65"/>
    </row>
    <row r="955">
      <c r="A955" s="64"/>
      <c r="B955" s="64"/>
      <c r="C955" s="49"/>
      <c r="D955" s="49"/>
      <c r="E955" s="71"/>
      <c r="F955" s="71"/>
      <c r="G955" s="71"/>
      <c r="H955" s="71"/>
      <c r="I955" s="28"/>
      <c r="J955" s="28"/>
      <c r="K955" s="65"/>
      <c r="L955" s="65"/>
      <c r="M955" s="65"/>
      <c r="N955" s="65"/>
      <c r="O955" s="65"/>
      <c r="P955" s="65"/>
      <c r="Q955" s="65"/>
      <c r="R955" s="65"/>
      <c r="S955" s="65"/>
      <c r="T955" s="65"/>
      <c r="U955" s="65"/>
      <c r="V955" s="65"/>
      <c r="W955" s="65"/>
      <c r="X955" s="65"/>
    </row>
    <row r="956">
      <c r="A956" s="64"/>
      <c r="B956" s="64"/>
      <c r="C956" s="49"/>
      <c r="D956" s="49"/>
      <c r="E956" s="71"/>
      <c r="F956" s="71"/>
      <c r="G956" s="71"/>
      <c r="H956" s="71"/>
      <c r="I956" s="28"/>
      <c r="J956" s="28"/>
      <c r="K956" s="65"/>
      <c r="L956" s="65"/>
      <c r="M956" s="65"/>
      <c r="N956" s="65"/>
      <c r="O956" s="65"/>
      <c r="P956" s="65"/>
      <c r="Q956" s="65"/>
      <c r="R956" s="65"/>
      <c r="S956" s="65"/>
      <c r="T956" s="65"/>
      <c r="U956" s="65"/>
      <c r="V956" s="65"/>
      <c r="W956" s="65"/>
      <c r="X956" s="65"/>
    </row>
    <row r="957">
      <c r="A957" s="64"/>
      <c r="B957" s="64"/>
      <c r="C957" s="49"/>
      <c r="D957" s="49"/>
      <c r="E957" s="71"/>
      <c r="F957" s="71"/>
      <c r="G957" s="71"/>
      <c r="H957" s="71"/>
      <c r="I957" s="28"/>
      <c r="J957" s="28"/>
      <c r="K957" s="65"/>
      <c r="L957" s="65"/>
      <c r="M957" s="65"/>
      <c r="N957" s="65"/>
      <c r="O957" s="65"/>
      <c r="P957" s="65"/>
      <c r="Q957" s="65"/>
      <c r="R957" s="65"/>
      <c r="S957" s="65"/>
      <c r="T957" s="65"/>
      <c r="U957" s="65"/>
      <c r="V957" s="65"/>
      <c r="W957" s="65"/>
      <c r="X957" s="65"/>
    </row>
    <row r="958">
      <c r="A958" s="64"/>
      <c r="B958" s="64"/>
      <c r="C958" s="49"/>
      <c r="D958" s="49"/>
      <c r="E958" s="71"/>
      <c r="F958" s="71"/>
      <c r="G958" s="71"/>
      <c r="H958" s="71"/>
      <c r="I958" s="28"/>
      <c r="J958" s="28"/>
      <c r="K958" s="65"/>
      <c r="L958" s="65"/>
      <c r="M958" s="65"/>
      <c r="N958" s="65"/>
      <c r="O958" s="65"/>
      <c r="P958" s="65"/>
      <c r="Q958" s="65"/>
      <c r="R958" s="65"/>
      <c r="S958" s="65"/>
      <c r="T958" s="65"/>
      <c r="U958" s="65"/>
      <c r="V958" s="65"/>
      <c r="W958" s="65"/>
      <c r="X958" s="65"/>
    </row>
    <row r="959">
      <c r="A959" s="64"/>
      <c r="B959" s="64"/>
      <c r="C959" s="49"/>
      <c r="D959" s="49"/>
      <c r="E959" s="71"/>
      <c r="F959" s="71"/>
      <c r="G959" s="71"/>
      <c r="H959" s="71"/>
      <c r="I959" s="28"/>
      <c r="J959" s="28"/>
      <c r="K959" s="65"/>
      <c r="L959" s="65"/>
      <c r="M959" s="65"/>
      <c r="N959" s="65"/>
      <c r="O959" s="65"/>
      <c r="P959" s="65"/>
      <c r="Q959" s="65"/>
      <c r="R959" s="65"/>
      <c r="S959" s="65"/>
      <c r="T959" s="65"/>
      <c r="U959" s="65"/>
      <c r="V959" s="65"/>
      <c r="W959" s="65"/>
      <c r="X959" s="65"/>
    </row>
    <row r="960">
      <c r="A960" s="64"/>
      <c r="B960" s="64"/>
      <c r="C960" s="49"/>
      <c r="D960" s="49"/>
      <c r="E960" s="71"/>
      <c r="F960" s="71"/>
      <c r="G960" s="71"/>
      <c r="H960" s="71"/>
      <c r="I960" s="28"/>
      <c r="J960" s="28"/>
      <c r="K960" s="65"/>
      <c r="L960" s="65"/>
      <c r="M960" s="65"/>
      <c r="N960" s="65"/>
      <c r="O960" s="65"/>
      <c r="P960" s="65"/>
      <c r="Q960" s="65"/>
      <c r="R960" s="65"/>
      <c r="S960" s="65"/>
      <c r="T960" s="65"/>
      <c r="U960" s="65"/>
      <c r="V960" s="65"/>
      <c r="W960" s="65"/>
      <c r="X960" s="65"/>
    </row>
    <row r="961">
      <c r="A961" s="64"/>
      <c r="B961" s="64"/>
      <c r="C961" s="49"/>
      <c r="D961" s="49"/>
      <c r="E961" s="71"/>
      <c r="F961" s="71"/>
      <c r="G961" s="71"/>
      <c r="H961" s="71"/>
      <c r="I961" s="28"/>
      <c r="J961" s="28"/>
      <c r="K961" s="65"/>
      <c r="L961" s="65"/>
      <c r="M961" s="65"/>
      <c r="N961" s="65"/>
      <c r="O961" s="65"/>
      <c r="P961" s="65"/>
      <c r="Q961" s="65"/>
      <c r="R961" s="65"/>
      <c r="S961" s="65"/>
      <c r="T961" s="65"/>
      <c r="U961" s="65"/>
      <c r="V961" s="65"/>
      <c r="W961" s="65"/>
      <c r="X961" s="65"/>
    </row>
    <row r="962">
      <c r="A962" s="64"/>
      <c r="B962" s="64"/>
      <c r="C962" s="49"/>
      <c r="D962" s="49"/>
      <c r="E962" s="71"/>
      <c r="F962" s="71"/>
      <c r="G962" s="71"/>
      <c r="H962" s="71"/>
      <c r="I962" s="28"/>
      <c r="J962" s="28"/>
      <c r="K962" s="65"/>
      <c r="L962" s="65"/>
      <c r="M962" s="65"/>
      <c r="N962" s="65"/>
      <c r="O962" s="65"/>
      <c r="P962" s="65"/>
      <c r="Q962" s="65"/>
      <c r="R962" s="65"/>
      <c r="S962" s="65"/>
      <c r="T962" s="65"/>
      <c r="U962" s="65"/>
      <c r="V962" s="65"/>
      <c r="W962" s="65"/>
      <c r="X962" s="65"/>
    </row>
    <row r="963">
      <c r="A963" s="64"/>
      <c r="B963" s="64"/>
      <c r="C963" s="49"/>
      <c r="D963" s="49"/>
      <c r="E963" s="71"/>
      <c r="F963" s="71"/>
      <c r="G963" s="71"/>
      <c r="H963" s="71"/>
      <c r="I963" s="28"/>
      <c r="J963" s="28"/>
      <c r="K963" s="65"/>
      <c r="L963" s="65"/>
      <c r="M963" s="65"/>
      <c r="N963" s="65"/>
      <c r="O963" s="65"/>
      <c r="P963" s="65"/>
      <c r="Q963" s="65"/>
      <c r="R963" s="65"/>
      <c r="S963" s="65"/>
      <c r="T963" s="65"/>
      <c r="U963" s="65"/>
      <c r="V963" s="65"/>
      <c r="W963" s="65"/>
      <c r="X963" s="65"/>
    </row>
    <row r="964">
      <c r="A964" s="64"/>
      <c r="B964" s="64"/>
      <c r="C964" s="49"/>
      <c r="D964" s="49"/>
      <c r="E964" s="71"/>
      <c r="F964" s="71"/>
      <c r="G964" s="71"/>
      <c r="H964" s="71"/>
      <c r="I964" s="28"/>
      <c r="J964" s="28"/>
      <c r="K964" s="65"/>
      <c r="L964" s="65"/>
      <c r="M964" s="65"/>
      <c r="N964" s="65"/>
      <c r="O964" s="65"/>
      <c r="P964" s="65"/>
      <c r="Q964" s="65"/>
      <c r="R964" s="65"/>
      <c r="S964" s="65"/>
      <c r="T964" s="65"/>
      <c r="U964" s="65"/>
      <c r="V964" s="65"/>
      <c r="W964" s="65"/>
      <c r="X964" s="65"/>
    </row>
    <row r="965">
      <c r="A965" s="64"/>
      <c r="B965" s="64"/>
      <c r="C965" s="49"/>
      <c r="D965" s="49"/>
      <c r="E965" s="71"/>
      <c r="F965" s="71"/>
      <c r="G965" s="71"/>
      <c r="H965" s="71"/>
      <c r="I965" s="28"/>
      <c r="J965" s="28"/>
      <c r="K965" s="65"/>
      <c r="L965" s="65"/>
      <c r="M965" s="65"/>
      <c r="N965" s="65"/>
      <c r="O965" s="65"/>
      <c r="P965" s="65"/>
      <c r="Q965" s="65"/>
      <c r="R965" s="65"/>
      <c r="S965" s="65"/>
      <c r="T965" s="65"/>
      <c r="U965" s="65"/>
      <c r="V965" s="65"/>
      <c r="W965" s="65"/>
      <c r="X965" s="65"/>
    </row>
    <row r="966">
      <c r="A966" s="64"/>
      <c r="B966" s="64"/>
      <c r="C966" s="49"/>
      <c r="D966" s="49"/>
      <c r="E966" s="71"/>
      <c r="F966" s="71"/>
      <c r="G966" s="71"/>
      <c r="H966" s="71"/>
      <c r="I966" s="28"/>
      <c r="J966" s="28"/>
      <c r="K966" s="65"/>
      <c r="L966" s="65"/>
      <c r="M966" s="65"/>
      <c r="N966" s="65"/>
      <c r="O966" s="65"/>
      <c r="P966" s="65"/>
      <c r="Q966" s="65"/>
      <c r="R966" s="65"/>
      <c r="S966" s="65"/>
      <c r="T966" s="65"/>
      <c r="U966" s="65"/>
      <c r="V966" s="65"/>
      <c r="W966" s="65"/>
      <c r="X966" s="65"/>
    </row>
    <row r="967">
      <c r="A967" s="64"/>
      <c r="B967" s="64"/>
      <c r="C967" s="49"/>
      <c r="D967" s="49"/>
      <c r="E967" s="71"/>
      <c r="F967" s="71"/>
      <c r="G967" s="71"/>
      <c r="H967" s="71"/>
      <c r="I967" s="28"/>
      <c r="J967" s="28"/>
      <c r="K967" s="65"/>
      <c r="L967" s="65"/>
      <c r="M967" s="65"/>
      <c r="N967" s="65"/>
      <c r="O967" s="65"/>
      <c r="P967" s="65"/>
      <c r="Q967" s="65"/>
      <c r="R967" s="65"/>
      <c r="S967" s="65"/>
      <c r="T967" s="65"/>
      <c r="U967" s="65"/>
      <c r="V967" s="65"/>
      <c r="W967" s="65"/>
      <c r="X967" s="65"/>
    </row>
    <row r="968">
      <c r="A968" s="64"/>
      <c r="B968" s="64"/>
      <c r="C968" s="49"/>
      <c r="D968" s="49"/>
      <c r="E968" s="71"/>
      <c r="F968" s="71"/>
      <c r="G968" s="71"/>
      <c r="H968" s="71"/>
      <c r="I968" s="28"/>
      <c r="J968" s="28"/>
      <c r="K968" s="65"/>
      <c r="L968" s="65"/>
      <c r="M968" s="65"/>
      <c r="N968" s="65"/>
      <c r="O968" s="65"/>
      <c r="P968" s="65"/>
      <c r="Q968" s="65"/>
      <c r="R968" s="65"/>
      <c r="S968" s="65"/>
      <c r="T968" s="65"/>
      <c r="U968" s="65"/>
      <c r="V968" s="65"/>
      <c r="W968" s="65"/>
      <c r="X968" s="65"/>
    </row>
    <row r="969">
      <c r="A969" s="64"/>
      <c r="B969" s="64"/>
      <c r="C969" s="49"/>
      <c r="D969" s="49"/>
      <c r="E969" s="71"/>
      <c r="F969" s="71"/>
      <c r="G969" s="71"/>
      <c r="H969" s="71"/>
      <c r="I969" s="28"/>
      <c r="J969" s="28"/>
      <c r="K969" s="65"/>
      <c r="L969" s="65"/>
      <c r="M969" s="65"/>
      <c r="N969" s="65"/>
      <c r="O969" s="65"/>
      <c r="P969" s="65"/>
      <c r="Q969" s="65"/>
      <c r="R969" s="65"/>
      <c r="S969" s="65"/>
      <c r="T969" s="65"/>
      <c r="U969" s="65"/>
      <c r="V969" s="65"/>
      <c r="W969" s="65"/>
      <c r="X969" s="65"/>
    </row>
    <row r="970">
      <c r="A970" s="64"/>
      <c r="B970" s="64"/>
      <c r="C970" s="49"/>
      <c r="D970" s="49"/>
      <c r="E970" s="71"/>
      <c r="F970" s="71"/>
      <c r="G970" s="71"/>
      <c r="H970" s="71"/>
      <c r="I970" s="28"/>
      <c r="J970" s="28"/>
      <c r="K970" s="65"/>
      <c r="L970" s="65"/>
      <c r="M970" s="65"/>
      <c r="N970" s="65"/>
      <c r="O970" s="65"/>
      <c r="P970" s="65"/>
      <c r="Q970" s="65"/>
      <c r="R970" s="65"/>
      <c r="S970" s="65"/>
      <c r="T970" s="65"/>
      <c r="U970" s="65"/>
      <c r="V970" s="65"/>
      <c r="W970" s="65"/>
      <c r="X970" s="65"/>
    </row>
    <row r="971">
      <c r="A971" s="64"/>
      <c r="B971" s="64"/>
      <c r="C971" s="49"/>
      <c r="D971" s="49"/>
      <c r="E971" s="71"/>
      <c r="F971" s="71"/>
      <c r="G971" s="71"/>
      <c r="H971" s="71"/>
      <c r="I971" s="28"/>
      <c r="J971" s="28"/>
      <c r="K971" s="65"/>
      <c r="L971" s="65"/>
      <c r="M971" s="65"/>
      <c r="N971" s="65"/>
      <c r="O971" s="65"/>
      <c r="P971" s="65"/>
      <c r="Q971" s="65"/>
      <c r="R971" s="65"/>
      <c r="S971" s="65"/>
      <c r="T971" s="65"/>
      <c r="U971" s="65"/>
      <c r="V971" s="65"/>
      <c r="W971" s="65"/>
      <c r="X971" s="65"/>
    </row>
    <row r="972">
      <c r="A972" s="64"/>
      <c r="B972" s="64"/>
      <c r="C972" s="49"/>
      <c r="D972" s="49"/>
      <c r="E972" s="71"/>
      <c r="F972" s="71"/>
      <c r="G972" s="71"/>
      <c r="H972" s="71"/>
      <c r="I972" s="28"/>
      <c r="J972" s="28"/>
      <c r="K972" s="65"/>
      <c r="L972" s="65"/>
      <c r="M972" s="65"/>
      <c r="N972" s="65"/>
      <c r="O972" s="65"/>
      <c r="P972" s="65"/>
      <c r="Q972" s="65"/>
      <c r="R972" s="65"/>
      <c r="S972" s="65"/>
      <c r="T972" s="65"/>
      <c r="U972" s="65"/>
      <c r="V972" s="65"/>
      <c r="W972" s="65"/>
      <c r="X972" s="65"/>
    </row>
    <row r="973">
      <c r="A973" s="64"/>
      <c r="B973" s="64"/>
      <c r="C973" s="49"/>
      <c r="D973" s="49"/>
      <c r="E973" s="71"/>
      <c r="F973" s="71"/>
      <c r="G973" s="71"/>
      <c r="H973" s="71"/>
      <c r="I973" s="28"/>
      <c r="J973" s="28"/>
      <c r="K973" s="65"/>
      <c r="L973" s="65"/>
      <c r="M973" s="65"/>
      <c r="N973" s="65"/>
      <c r="O973" s="65"/>
      <c r="P973" s="65"/>
      <c r="Q973" s="65"/>
      <c r="R973" s="65"/>
      <c r="S973" s="65"/>
      <c r="T973" s="65"/>
      <c r="U973" s="65"/>
      <c r="V973" s="65"/>
      <c r="W973" s="65"/>
      <c r="X973" s="65"/>
    </row>
    <row r="974">
      <c r="A974" s="64"/>
      <c r="B974" s="64"/>
      <c r="C974" s="49"/>
      <c r="D974" s="49"/>
      <c r="E974" s="71"/>
      <c r="F974" s="71"/>
      <c r="G974" s="71"/>
      <c r="H974" s="71"/>
      <c r="I974" s="28"/>
      <c r="J974" s="28"/>
      <c r="K974" s="65"/>
      <c r="L974" s="65"/>
      <c r="M974" s="65"/>
      <c r="N974" s="65"/>
      <c r="O974" s="65"/>
      <c r="P974" s="65"/>
      <c r="Q974" s="65"/>
      <c r="R974" s="65"/>
      <c r="S974" s="65"/>
      <c r="T974" s="65"/>
      <c r="U974" s="65"/>
      <c r="V974" s="65"/>
      <c r="W974" s="65"/>
      <c r="X974" s="65"/>
    </row>
    <row r="975">
      <c r="A975" s="64"/>
      <c r="B975" s="64"/>
      <c r="C975" s="49"/>
      <c r="D975" s="49"/>
      <c r="E975" s="71"/>
      <c r="F975" s="71"/>
      <c r="G975" s="71"/>
      <c r="H975" s="71"/>
      <c r="I975" s="28"/>
      <c r="J975" s="28"/>
      <c r="K975" s="65"/>
      <c r="L975" s="65"/>
      <c r="M975" s="65"/>
      <c r="N975" s="65"/>
      <c r="O975" s="65"/>
      <c r="P975" s="65"/>
      <c r="Q975" s="65"/>
      <c r="R975" s="65"/>
      <c r="S975" s="65"/>
      <c r="T975" s="65"/>
      <c r="U975" s="65"/>
      <c r="V975" s="65"/>
      <c r="W975" s="65"/>
      <c r="X975" s="65"/>
    </row>
    <row r="976">
      <c r="A976" s="64"/>
      <c r="B976" s="64"/>
      <c r="C976" s="49"/>
      <c r="D976" s="49"/>
      <c r="E976" s="71"/>
      <c r="F976" s="71"/>
      <c r="G976" s="71"/>
      <c r="H976" s="71"/>
      <c r="I976" s="28"/>
      <c r="J976" s="28"/>
      <c r="K976" s="65"/>
      <c r="L976" s="65"/>
      <c r="M976" s="65"/>
      <c r="N976" s="65"/>
      <c r="O976" s="65"/>
      <c r="P976" s="65"/>
      <c r="Q976" s="65"/>
      <c r="R976" s="65"/>
      <c r="S976" s="65"/>
      <c r="T976" s="65"/>
      <c r="U976" s="65"/>
      <c r="V976" s="65"/>
      <c r="W976" s="65"/>
      <c r="X976" s="65"/>
    </row>
    <row r="977">
      <c r="A977" s="64"/>
      <c r="B977" s="64"/>
      <c r="C977" s="49"/>
      <c r="D977" s="49"/>
      <c r="E977" s="71"/>
      <c r="F977" s="71"/>
      <c r="G977" s="71"/>
      <c r="H977" s="71"/>
      <c r="I977" s="28"/>
      <c r="J977" s="28"/>
      <c r="K977" s="65"/>
      <c r="L977" s="65"/>
      <c r="M977" s="65"/>
      <c r="N977" s="65"/>
      <c r="O977" s="65"/>
      <c r="P977" s="65"/>
      <c r="Q977" s="65"/>
      <c r="R977" s="65"/>
      <c r="S977" s="65"/>
      <c r="T977" s="65"/>
      <c r="U977" s="65"/>
      <c r="V977" s="65"/>
      <c r="W977" s="65"/>
      <c r="X977" s="65"/>
    </row>
    <row r="978">
      <c r="A978" s="64"/>
      <c r="B978" s="64"/>
      <c r="C978" s="49"/>
      <c r="D978" s="49"/>
      <c r="E978" s="71"/>
      <c r="F978" s="71"/>
      <c r="G978" s="71"/>
      <c r="H978" s="71"/>
      <c r="I978" s="28"/>
      <c r="J978" s="28"/>
      <c r="K978" s="65"/>
      <c r="L978" s="65"/>
      <c r="M978" s="65"/>
      <c r="N978" s="65"/>
      <c r="O978" s="65"/>
      <c r="P978" s="65"/>
      <c r="Q978" s="65"/>
      <c r="R978" s="65"/>
      <c r="S978" s="65"/>
      <c r="T978" s="65"/>
      <c r="U978" s="65"/>
      <c r="V978" s="65"/>
      <c r="W978" s="65"/>
      <c r="X978" s="65"/>
    </row>
    <row r="979">
      <c r="A979" s="64"/>
      <c r="B979" s="64"/>
      <c r="C979" s="49"/>
      <c r="D979" s="49"/>
      <c r="E979" s="71"/>
      <c r="F979" s="71"/>
      <c r="G979" s="71"/>
      <c r="H979" s="71"/>
      <c r="I979" s="28"/>
      <c r="J979" s="28"/>
      <c r="K979" s="65"/>
      <c r="L979" s="65"/>
      <c r="M979" s="65"/>
      <c r="N979" s="65"/>
      <c r="O979" s="65"/>
      <c r="P979" s="65"/>
      <c r="Q979" s="65"/>
      <c r="R979" s="65"/>
      <c r="S979" s="65"/>
      <c r="T979" s="65"/>
      <c r="U979" s="65"/>
      <c r="V979" s="65"/>
      <c r="W979" s="65"/>
      <c r="X979" s="65"/>
    </row>
    <row r="980">
      <c r="A980" s="64"/>
      <c r="B980" s="64"/>
      <c r="C980" s="49"/>
      <c r="D980" s="49"/>
      <c r="E980" s="71"/>
      <c r="F980" s="71"/>
      <c r="G980" s="71"/>
      <c r="H980" s="71"/>
      <c r="I980" s="28"/>
      <c r="J980" s="28"/>
      <c r="K980" s="65"/>
      <c r="L980" s="65"/>
      <c r="M980" s="65"/>
      <c r="N980" s="65"/>
      <c r="O980" s="65"/>
      <c r="P980" s="65"/>
      <c r="Q980" s="65"/>
      <c r="R980" s="65"/>
      <c r="S980" s="65"/>
      <c r="T980" s="65"/>
      <c r="U980" s="65"/>
      <c r="V980" s="65"/>
      <c r="W980" s="65"/>
      <c r="X980" s="65"/>
    </row>
    <row r="981">
      <c r="A981" s="64"/>
      <c r="B981" s="64"/>
      <c r="C981" s="49"/>
      <c r="D981" s="49"/>
      <c r="E981" s="71"/>
      <c r="F981" s="71"/>
      <c r="G981" s="71"/>
      <c r="H981" s="71"/>
      <c r="I981" s="28"/>
      <c r="J981" s="28"/>
      <c r="K981" s="65"/>
      <c r="L981" s="65"/>
      <c r="M981" s="65"/>
      <c r="N981" s="65"/>
      <c r="O981" s="65"/>
      <c r="P981" s="65"/>
      <c r="Q981" s="65"/>
      <c r="R981" s="65"/>
      <c r="S981" s="65"/>
      <c r="T981" s="65"/>
      <c r="U981" s="65"/>
      <c r="V981" s="65"/>
      <c r="W981" s="65"/>
      <c r="X981" s="65"/>
    </row>
    <row r="982">
      <c r="A982" s="64"/>
      <c r="B982" s="64"/>
      <c r="C982" s="49"/>
      <c r="D982" s="49"/>
      <c r="E982" s="71"/>
      <c r="F982" s="71"/>
      <c r="G982" s="71"/>
      <c r="H982" s="71"/>
      <c r="I982" s="28"/>
      <c r="J982" s="28"/>
      <c r="K982" s="65"/>
      <c r="L982" s="65"/>
      <c r="M982" s="65"/>
      <c r="N982" s="65"/>
      <c r="O982" s="65"/>
      <c r="P982" s="65"/>
      <c r="Q982" s="65"/>
      <c r="R982" s="65"/>
      <c r="S982" s="65"/>
      <c r="T982" s="65"/>
      <c r="U982" s="65"/>
      <c r="V982" s="65"/>
      <c r="W982" s="65"/>
      <c r="X982" s="65"/>
    </row>
    <row r="983">
      <c r="A983" s="64"/>
      <c r="B983" s="64"/>
      <c r="C983" s="49"/>
      <c r="D983" s="49"/>
      <c r="E983" s="71"/>
      <c r="F983" s="71"/>
      <c r="G983" s="71"/>
      <c r="H983" s="71"/>
      <c r="I983" s="28"/>
      <c r="J983" s="28"/>
      <c r="K983" s="65"/>
      <c r="L983" s="65"/>
      <c r="M983" s="65"/>
      <c r="N983" s="65"/>
      <c r="O983" s="65"/>
      <c r="P983" s="65"/>
      <c r="Q983" s="65"/>
      <c r="R983" s="65"/>
      <c r="S983" s="65"/>
      <c r="T983" s="65"/>
      <c r="U983" s="65"/>
      <c r="V983" s="65"/>
      <c r="W983" s="65"/>
      <c r="X983" s="65"/>
    </row>
    <row r="984">
      <c r="A984" s="64"/>
      <c r="B984" s="64"/>
      <c r="C984" s="49"/>
      <c r="D984" s="49"/>
      <c r="E984" s="71"/>
      <c r="F984" s="71"/>
      <c r="G984" s="71"/>
      <c r="H984" s="71"/>
      <c r="I984" s="28"/>
      <c r="J984" s="28"/>
      <c r="K984" s="65"/>
      <c r="L984" s="65"/>
      <c r="M984" s="65"/>
      <c r="N984" s="65"/>
      <c r="O984" s="65"/>
      <c r="P984" s="65"/>
      <c r="Q984" s="65"/>
      <c r="R984" s="65"/>
      <c r="S984" s="65"/>
      <c r="T984" s="65"/>
      <c r="U984" s="65"/>
      <c r="V984" s="65"/>
      <c r="W984" s="65"/>
      <c r="X984" s="65"/>
    </row>
    <row r="985">
      <c r="A985" s="64"/>
      <c r="B985" s="64"/>
      <c r="C985" s="49"/>
      <c r="D985" s="49"/>
      <c r="E985" s="71"/>
      <c r="F985" s="71"/>
      <c r="G985" s="71"/>
      <c r="H985" s="71"/>
      <c r="I985" s="28"/>
      <c r="J985" s="28"/>
      <c r="K985" s="65"/>
      <c r="L985" s="65"/>
      <c r="M985" s="65"/>
      <c r="N985" s="65"/>
      <c r="O985" s="65"/>
      <c r="P985" s="65"/>
      <c r="Q985" s="65"/>
      <c r="R985" s="65"/>
      <c r="S985" s="65"/>
      <c r="T985" s="65"/>
      <c r="U985" s="65"/>
      <c r="V985" s="65"/>
      <c r="W985" s="65"/>
      <c r="X985" s="65"/>
    </row>
    <row r="986">
      <c r="A986" s="64"/>
      <c r="B986" s="64"/>
      <c r="C986" s="49"/>
      <c r="D986" s="49"/>
      <c r="E986" s="71"/>
      <c r="F986" s="71"/>
      <c r="G986" s="71"/>
      <c r="H986" s="71"/>
      <c r="I986" s="28"/>
      <c r="J986" s="28"/>
      <c r="K986" s="65"/>
      <c r="L986" s="65"/>
      <c r="M986" s="65"/>
      <c r="N986" s="65"/>
      <c r="O986" s="65"/>
      <c r="P986" s="65"/>
      <c r="Q986" s="65"/>
      <c r="R986" s="65"/>
      <c r="S986" s="65"/>
      <c r="T986" s="65"/>
      <c r="U986" s="65"/>
      <c r="V986" s="65"/>
      <c r="W986" s="65"/>
      <c r="X986" s="65"/>
    </row>
    <row r="987">
      <c r="A987" s="64"/>
      <c r="B987" s="64"/>
      <c r="C987" s="49"/>
      <c r="D987" s="49"/>
      <c r="E987" s="71"/>
      <c r="F987" s="71"/>
      <c r="G987" s="71"/>
      <c r="H987" s="71"/>
      <c r="I987" s="28"/>
      <c r="J987" s="28"/>
      <c r="K987" s="65"/>
      <c r="L987" s="65"/>
      <c r="M987" s="65"/>
      <c r="N987" s="65"/>
      <c r="O987" s="65"/>
      <c r="P987" s="65"/>
      <c r="Q987" s="65"/>
      <c r="R987" s="65"/>
      <c r="S987" s="65"/>
      <c r="T987" s="65"/>
      <c r="U987" s="65"/>
      <c r="V987" s="65"/>
      <c r="W987" s="65"/>
      <c r="X987" s="65"/>
    </row>
    <row r="988">
      <c r="A988" s="64"/>
      <c r="B988" s="64"/>
      <c r="C988" s="49"/>
      <c r="D988" s="49"/>
      <c r="E988" s="71"/>
      <c r="F988" s="71"/>
      <c r="G988" s="71"/>
      <c r="H988" s="71"/>
      <c r="I988" s="28"/>
      <c r="J988" s="28"/>
      <c r="K988" s="65"/>
      <c r="L988" s="65"/>
      <c r="M988" s="65"/>
      <c r="N988" s="65"/>
      <c r="O988" s="65"/>
      <c r="P988" s="65"/>
      <c r="Q988" s="65"/>
      <c r="R988" s="65"/>
      <c r="S988" s="65"/>
      <c r="T988" s="65"/>
      <c r="U988" s="65"/>
      <c r="V988" s="65"/>
      <c r="W988" s="65"/>
      <c r="X988" s="65"/>
    </row>
    <row r="989">
      <c r="A989" s="64"/>
      <c r="B989" s="64"/>
      <c r="C989" s="49"/>
      <c r="D989" s="49"/>
      <c r="E989" s="71"/>
      <c r="F989" s="71"/>
      <c r="G989" s="71"/>
      <c r="H989" s="71"/>
      <c r="I989" s="28"/>
      <c r="J989" s="28"/>
      <c r="K989" s="65"/>
      <c r="L989" s="65"/>
      <c r="M989" s="65"/>
      <c r="N989" s="65"/>
      <c r="O989" s="65"/>
      <c r="P989" s="65"/>
      <c r="Q989" s="65"/>
      <c r="R989" s="65"/>
      <c r="S989" s="65"/>
      <c r="T989" s="65"/>
      <c r="U989" s="65"/>
      <c r="V989" s="65"/>
      <c r="W989" s="65"/>
      <c r="X989" s="65"/>
    </row>
    <row r="990">
      <c r="A990" s="64"/>
      <c r="B990" s="64"/>
      <c r="C990" s="49"/>
      <c r="D990" s="49"/>
      <c r="E990" s="71"/>
      <c r="F990" s="71"/>
      <c r="G990" s="71"/>
      <c r="H990" s="71"/>
      <c r="I990" s="28"/>
      <c r="J990" s="28"/>
      <c r="K990" s="65"/>
      <c r="L990" s="65"/>
      <c r="M990" s="65"/>
      <c r="N990" s="65"/>
      <c r="O990" s="65"/>
      <c r="P990" s="65"/>
      <c r="Q990" s="65"/>
      <c r="R990" s="65"/>
      <c r="S990" s="65"/>
      <c r="T990" s="65"/>
      <c r="U990" s="65"/>
      <c r="V990" s="65"/>
      <c r="W990" s="65"/>
      <c r="X990" s="65"/>
    </row>
    <row r="991">
      <c r="A991" s="64"/>
      <c r="B991" s="64"/>
      <c r="C991" s="49"/>
      <c r="D991" s="49"/>
      <c r="E991" s="71"/>
      <c r="F991" s="71"/>
      <c r="G991" s="71"/>
      <c r="H991" s="71"/>
      <c r="I991" s="28"/>
      <c r="J991" s="28"/>
      <c r="K991" s="65"/>
      <c r="L991" s="65"/>
      <c r="M991" s="65"/>
      <c r="N991" s="65"/>
      <c r="O991" s="65"/>
      <c r="P991" s="65"/>
      <c r="Q991" s="65"/>
      <c r="R991" s="65"/>
      <c r="S991" s="65"/>
      <c r="T991" s="65"/>
      <c r="U991" s="65"/>
      <c r="V991" s="65"/>
      <c r="W991" s="65"/>
      <c r="X991" s="65"/>
    </row>
    <row r="992">
      <c r="A992" s="64"/>
      <c r="B992" s="64"/>
      <c r="C992" s="49"/>
      <c r="D992" s="49"/>
      <c r="E992" s="71"/>
      <c r="F992" s="71"/>
      <c r="G992" s="71"/>
      <c r="H992" s="71"/>
      <c r="I992" s="28"/>
      <c r="J992" s="28"/>
      <c r="K992" s="65"/>
      <c r="L992" s="65"/>
      <c r="M992" s="65"/>
      <c r="N992" s="65"/>
      <c r="O992" s="65"/>
      <c r="P992" s="65"/>
      <c r="Q992" s="65"/>
      <c r="R992" s="65"/>
      <c r="S992" s="65"/>
      <c r="T992" s="65"/>
      <c r="U992" s="65"/>
      <c r="V992" s="65"/>
      <c r="W992" s="65"/>
      <c r="X992" s="65"/>
    </row>
    <row r="993">
      <c r="A993" s="64"/>
      <c r="B993" s="64"/>
      <c r="C993" s="49"/>
      <c r="D993" s="49"/>
      <c r="E993" s="71"/>
      <c r="F993" s="71"/>
      <c r="G993" s="71"/>
      <c r="H993" s="71"/>
      <c r="I993" s="28"/>
      <c r="J993" s="28"/>
      <c r="K993" s="65"/>
      <c r="L993" s="65"/>
      <c r="M993" s="65"/>
      <c r="N993" s="65"/>
      <c r="O993" s="65"/>
      <c r="P993" s="65"/>
      <c r="Q993" s="65"/>
      <c r="R993" s="65"/>
      <c r="S993" s="65"/>
      <c r="T993" s="65"/>
      <c r="U993" s="65"/>
      <c r="V993" s="65"/>
      <c r="W993" s="65"/>
      <c r="X993" s="65"/>
    </row>
    <row r="994">
      <c r="A994" s="64"/>
      <c r="B994" s="64"/>
      <c r="C994" s="49"/>
      <c r="D994" s="49"/>
      <c r="E994" s="71"/>
      <c r="F994" s="71"/>
      <c r="G994" s="71"/>
      <c r="H994" s="71"/>
      <c r="I994" s="28"/>
      <c r="J994" s="28"/>
      <c r="K994" s="65"/>
      <c r="L994" s="65"/>
      <c r="M994" s="65"/>
      <c r="N994" s="65"/>
      <c r="O994" s="65"/>
      <c r="P994" s="65"/>
      <c r="Q994" s="65"/>
      <c r="R994" s="65"/>
      <c r="S994" s="65"/>
      <c r="T994" s="65"/>
      <c r="U994" s="65"/>
      <c r="V994" s="65"/>
      <c r="W994" s="65"/>
      <c r="X994" s="65"/>
    </row>
    <row r="995">
      <c r="A995" s="64"/>
      <c r="B995" s="64"/>
      <c r="C995" s="49"/>
      <c r="D995" s="49"/>
      <c r="E995" s="71"/>
      <c r="F995" s="71"/>
      <c r="G995" s="71"/>
      <c r="H995" s="71"/>
      <c r="I995" s="28"/>
      <c r="J995" s="28"/>
      <c r="K995" s="65"/>
      <c r="L995" s="65"/>
      <c r="M995" s="65"/>
      <c r="N995" s="65"/>
      <c r="O995" s="65"/>
      <c r="P995" s="65"/>
      <c r="Q995" s="65"/>
      <c r="R995" s="65"/>
      <c r="S995" s="65"/>
      <c r="T995" s="65"/>
      <c r="U995" s="65"/>
      <c r="V995" s="65"/>
      <c r="W995" s="65"/>
      <c r="X995" s="65"/>
    </row>
    <row r="996">
      <c r="A996" s="64"/>
      <c r="B996" s="64"/>
      <c r="C996" s="49"/>
      <c r="D996" s="49"/>
      <c r="E996" s="71"/>
      <c r="F996" s="71"/>
      <c r="G996" s="71"/>
      <c r="H996" s="71"/>
      <c r="I996" s="28"/>
      <c r="J996" s="28"/>
      <c r="K996" s="65"/>
      <c r="L996" s="65"/>
      <c r="M996" s="65"/>
      <c r="N996" s="65"/>
      <c r="O996" s="65"/>
      <c r="P996" s="65"/>
      <c r="Q996" s="65"/>
      <c r="R996" s="65"/>
      <c r="S996" s="65"/>
      <c r="T996" s="65"/>
      <c r="U996" s="65"/>
      <c r="V996" s="65"/>
      <c r="W996" s="65"/>
      <c r="X996" s="65"/>
    </row>
    <row r="997">
      <c r="A997" s="64"/>
      <c r="B997" s="64"/>
      <c r="C997" s="49"/>
      <c r="D997" s="49"/>
      <c r="E997" s="71"/>
      <c r="F997" s="71"/>
      <c r="G997" s="71"/>
      <c r="H997" s="71"/>
      <c r="I997" s="28"/>
      <c r="J997" s="28"/>
      <c r="K997" s="65"/>
      <c r="L997" s="65"/>
      <c r="M997" s="65"/>
      <c r="N997" s="65"/>
      <c r="O997" s="65"/>
      <c r="P997" s="65"/>
      <c r="Q997" s="65"/>
      <c r="R997" s="65"/>
      <c r="S997" s="65"/>
      <c r="T997" s="65"/>
      <c r="U997" s="65"/>
      <c r="V997" s="65"/>
      <c r="W997" s="65"/>
      <c r="X997" s="65"/>
    </row>
    <row r="998">
      <c r="A998" s="64"/>
      <c r="B998" s="64"/>
      <c r="C998" s="49"/>
      <c r="D998" s="49"/>
      <c r="E998" s="71"/>
      <c r="F998" s="71"/>
      <c r="G998" s="71"/>
      <c r="H998" s="71"/>
      <c r="I998" s="28"/>
      <c r="J998" s="28"/>
      <c r="K998" s="65"/>
      <c r="L998" s="65"/>
      <c r="M998" s="65"/>
      <c r="N998" s="65"/>
      <c r="O998" s="65"/>
      <c r="P998" s="65"/>
      <c r="Q998" s="65"/>
      <c r="R998" s="65"/>
      <c r="S998" s="65"/>
      <c r="T998" s="65"/>
      <c r="U998" s="65"/>
      <c r="V998" s="65"/>
      <c r="W998" s="65"/>
      <c r="X998" s="65"/>
    </row>
    <row r="999">
      <c r="A999" s="64"/>
      <c r="B999" s="64"/>
      <c r="C999" s="49"/>
      <c r="D999" s="49"/>
      <c r="E999" s="71"/>
      <c r="F999" s="71"/>
      <c r="G999" s="71"/>
      <c r="H999" s="71"/>
      <c r="I999" s="28"/>
      <c r="J999" s="28"/>
      <c r="K999" s="65"/>
      <c r="L999" s="65"/>
      <c r="M999" s="65"/>
      <c r="N999" s="65"/>
      <c r="O999" s="65"/>
      <c r="P999" s="65"/>
      <c r="Q999" s="65"/>
      <c r="R999" s="65"/>
      <c r="S999" s="65"/>
      <c r="T999" s="65"/>
      <c r="U999" s="65"/>
      <c r="V999" s="65"/>
      <c r="W999" s="65"/>
      <c r="X999" s="65"/>
    </row>
    <row r="1000">
      <c r="A1000" s="64"/>
      <c r="B1000" s="64"/>
      <c r="C1000" s="49"/>
      <c r="D1000" s="49"/>
      <c r="E1000" s="71"/>
      <c r="F1000" s="71"/>
      <c r="G1000" s="71"/>
      <c r="H1000" s="71"/>
      <c r="I1000" s="28"/>
      <c r="J1000" s="28"/>
      <c r="K1000" s="65"/>
      <c r="L1000" s="65"/>
      <c r="M1000" s="65"/>
      <c r="N1000" s="65"/>
      <c r="O1000" s="65"/>
      <c r="P1000" s="65"/>
      <c r="Q1000" s="65"/>
      <c r="R1000" s="65"/>
      <c r="S1000" s="65"/>
      <c r="T1000" s="65"/>
      <c r="U1000" s="65"/>
      <c r="V1000" s="65"/>
      <c r="W1000" s="65"/>
      <c r="X1000" s="65"/>
    </row>
    <row r="1001">
      <c r="A1001" s="64"/>
      <c r="B1001" s="64"/>
      <c r="C1001" s="49"/>
      <c r="D1001" s="49"/>
      <c r="E1001" s="71"/>
      <c r="F1001" s="71"/>
      <c r="G1001" s="71"/>
      <c r="H1001" s="71"/>
      <c r="I1001" s="28"/>
      <c r="J1001" s="28"/>
      <c r="K1001" s="65"/>
      <c r="L1001" s="65"/>
      <c r="M1001" s="65"/>
      <c r="N1001" s="65"/>
      <c r="O1001" s="65"/>
      <c r="P1001" s="65"/>
      <c r="Q1001" s="65"/>
      <c r="R1001" s="65"/>
      <c r="S1001" s="65"/>
      <c r="T1001" s="65"/>
      <c r="U1001" s="65"/>
      <c r="V1001" s="65"/>
      <c r="W1001" s="65"/>
      <c r="X1001" s="65"/>
    </row>
    <row r="1002">
      <c r="A1002" s="64"/>
      <c r="B1002" s="64"/>
      <c r="C1002" s="49"/>
      <c r="D1002" s="49"/>
      <c r="E1002" s="71"/>
      <c r="F1002" s="71"/>
      <c r="G1002" s="71"/>
      <c r="H1002" s="71"/>
      <c r="I1002" s="28"/>
      <c r="J1002" s="28"/>
      <c r="K1002" s="65"/>
      <c r="L1002" s="65"/>
      <c r="M1002" s="65"/>
      <c r="N1002" s="65"/>
      <c r="O1002" s="65"/>
      <c r="P1002" s="65"/>
      <c r="Q1002" s="65"/>
      <c r="R1002" s="65"/>
      <c r="S1002" s="65"/>
      <c r="T1002" s="65"/>
      <c r="U1002" s="65"/>
      <c r="V1002" s="65"/>
      <c r="W1002" s="65"/>
      <c r="X1002" s="65"/>
    </row>
    <row r="1003">
      <c r="A1003" s="64"/>
      <c r="B1003" s="64"/>
      <c r="C1003" s="49"/>
      <c r="D1003" s="49"/>
      <c r="E1003" s="71"/>
      <c r="F1003" s="71"/>
      <c r="G1003" s="71"/>
      <c r="H1003" s="71"/>
      <c r="I1003" s="28"/>
      <c r="J1003" s="28"/>
      <c r="K1003" s="65"/>
      <c r="L1003" s="65"/>
      <c r="M1003" s="65"/>
      <c r="N1003" s="65"/>
      <c r="O1003" s="65"/>
      <c r="P1003" s="65"/>
      <c r="Q1003" s="65"/>
      <c r="R1003" s="65"/>
      <c r="S1003" s="65"/>
      <c r="T1003" s="65"/>
      <c r="U1003" s="65"/>
      <c r="V1003" s="65"/>
      <c r="W1003" s="65"/>
      <c r="X1003" s="65"/>
    </row>
    <row r="1004">
      <c r="A1004" s="64"/>
      <c r="B1004" s="64"/>
      <c r="C1004" s="49"/>
      <c r="D1004" s="49"/>
      <c r="E1004" s="71"/>
      <c r="F1004" s="71"/>
      <c r="G1004" s="71"/>
      <c r="H1004" s="71"/>
      <c r="I1004" s="28"/>
      <c r="J1004" s="28"/>
      <c r="K1004" s="65"/>
      <c r="L1004" s="65"/>
      <c r="M1004" s="65"/>
      <c r="N1004" s="65"/>
      <c r="O1004" s="65"/>
      <c r="P1004" s="65"/>
      <c r="Q1004" s="65"/>
      <c r="R1004" s="65"/>
      <c r="S1004" s="65"/>
      <c r="T1004" s="65"/>
      <c r="U1004" s="65"/>
      <c r="V1004" s="65"/>
      <c r="W1004" s="65"/>
      <c r="X1004" s="65"/>
    </row>
    <row r="1005">
      <c r="A1005" s="64"/>
      <c r="B1005" s="64"/>
      <c r="C1005" s="49"/>
      <c r="D1005" s="49"/>
      <c r="E1005" s="71"/>
      <c r="F1005" s="71"/>
      <c r="G1005" s="71"/>
      <c r="H1005" s="71"/>
      <c r="I1005" s="28"/>
      <c r="J1005" s="28"/>
      <c r="K1005" s="65"/>
      <c r="L1005" s="65"/>
      <c r="M1005" s="65"/>
      <c r="N1005" s="65"/>
      <c r="O1005" s="65"/>
      <c r="P1005" s="65"/>
      <c r="Q1005" s="65"/>
      <c r="R1005" s="65"/>
      <c r="S1005" s="65"/>
      <c r="T1005" s="65"/>
      <c r="U1005" s="65"/>
      <c r="V1005" s="65"/>
      <c r="W1005" s="65"/>
      <c r="X1005" s="65"/>
    </row>
    <row r="1006">
      <c r="A1006" s="64"/>
      <c r="B1006" s="64"/>
      <c r="C1006" s="49"/>
      <c r="D1006" s="49"/>
      <c r="E1006" s="71"/>
      <c r="F1006" s="71"/>
      <c r="G1006" s="71"/>
      <c r="H1006" s="71"/>
      <c r="I1006" s="28"/>
      <c r="J1006" s="28"/>
      <c r="K1006" s="65"/>
      <c r="L1006" s="65"/>
      <c r="M1006" s="65"/>
      <c r="N1006" s="65"/>
      <c r="O1006" s="65"/>
      <c r="P1006" s="65"/>
      <c r="Q1006" s="65"/>
      <c r="R1006" s="65"/>
      <c r="S1006" s="65"/>
      <c r="T1006" s="65"/>
      <c r="U1006" s="65"/>
      <c r="V1006" s="65"/>
      <c r="W1006" s="65"/>
      <c r="X1006" s="65"/>
    </row>
    <row r="1007">
      <c r="A1007" s="64"/>
      <c r="B1007" s="64"/>
      <c r="C1007" s="49"/>
      <c r="D1007" s="49"/>
      <c r="E1007" s="71"/>
      <c r="F1007" s="71"/>
      <c r="G1007" s="71"/>
      <c r="H1007" s="71"/>
      <c r="I1007" s="28"/>
      <c r="J1007" s="28"/>
      <c r="K1007" s="65"/>
      <c r="L1007" s="65"/>
      <c r="M1007" s="65"/>
      <c r="N1007" s="65"/>
      <c r="O1007" s="65"/>
      <c r="P1007" s="65"/>
      <c r="Q1007" s="65"/>
      <c r="R1007" s="65"/>
      <c r="S1007" s="65"/>
      <c r="T1007" s="65"/>
      <c r="U1007" s="65"/>
      <c r="V1007" s="65"/>
      <c r="W1007" s="65"/>
      <c r="X1007" s="65"/>
    </row>
    <row r="1008">
      <c r="A1008" s="64"/>
      <c r="B1008" s="64"/>
      <c r="C1008" s="49"/>
      <c r="D1008" s="49"/>
      <c r="E1008" s="71"/>
      <c r="F1008" s="71"/>
      <c r="G1008" s="71"/>
      <c r="H1008" s="71"/>
      <c r="I1008" s="28"/>
      <c r="J1008" s="28"/>
      <c r="K1008" s="65"/>
      <c r="L1008" s="65"/>
      <c r="M1008" s="65"/>
      <c r="N1008" s="65"/>
      <c r="O1008" s="65"/>
      <c r="P1008" s="65"/>
      <c r="Q1008" s="65"/>
      <c r="R1008" s="65"/>
      <c r="S1008" s="65"/>
      <c r="T1008" s="65"/>
      <c r="U1008" s="65"/>
      <c r="V1008" s="65"/>
      <c r="W1008" s="65"/>
      <c r="X1008" s="65"/>
    </row>
    <row r="1009">
      <c r="A1009" s="64"/>
      <c r="B1009" s="64"/>
      <c r="C1009" s="49"/>
      <c r="D1009" s="49"/>
      <c r="E1009" s="71"/>
      <c r="F1009" s="71"/>
      <c r="G1009" s="71"/>
      <c r="H1009" s="71"/>
      <c r="I1009" s="28"/>
      <c r="J1009" s="28"/>
      <c r="K1009" s="65"/>
      <c r="L1009" s="65"/>
      <c r="M1009" s="65"/>
      <c r="N1009" s="65"/>
      <c r="O1009" s="65"/>
      <c r="P1009" s="65"/>
      <c r="Q1009" s="65"/>
      <c r="R1009" s="65"/>
      <c r="S1009" s="65"/>
      <c r="T1009" s="65"/>
      <c r="U1009" s="65"/>
      <c r="V1009" s="65"/>
      <c r="W1009" s="65"/>
      <c r="X1009" s="65"/>
    </row>
    <row r="1010">
      <c r="A1010" s="64"/>
      <c r="B1010" s="64"/>
      <c r="C1010" s="49"/>
      <c r="D1010" s="49"/>
      <c r="E1010" s="71"/>
      <c r="F1010" s="71"/>
      <c r="G1010" s="71"/>
      <c r="H1010" s="71"/>
      <c r="I1010" s="28"/>
      <c r="J1010" s="28"/>
      <c r="K1010" s="65"/>
      <c r="L1010" s="65"/>
      <c r="M1010" s="65"/>
      <c r="N1010" s="65"/>
      <c r="O1010" s="65"/>
      <c r="P1010" s="65"/>
      <c r="Q1010" s="65"/>
      <c r="R1010" s="65"/>
      <c r="S1010" s="65"/>
      <c r="T1010" s="65"/>
      <c r="U1010" s="65"/>
      <c r="V1010" s="65"/>
      <c r="W1010" s="65"/>
      <c r="X1010" s="65"/>
    </row>
    <row r="1011">
      <c r="A1011" s="64"/>
      <c r="B1011" s="64"/>
      <c r="C1011" s="49"/>
      <c r="D1011" s="49"/>
      <c r="E1011" s="71"/>
      <c r="F1011" s="71"/>
      <c r="G1011" s="71"/>
      <c r="H1011" s="71"/>
      <c r="I1011" s="28"/>
      <c r="J1011" s="28"/>
      <c r="K1011" s="65"/>
      <c r="L1011" s="65"/>
      <c r="M1011" s="65"/>
      <c r="N1011" s="65"/>
      <c r="O1011" s="65"/>
      <c r="P1011" s="65"/>
      <c r="Q1011" s="65"/>
      <c r="R1011" s="65"/>
      <c r="S1011" s="65"/>
      <c r="T1011" s="65"/>
      <c r="U1011" s="65"/>
      <c r="V1011" s="65"/>
      <c r="W1011" s="65"/>
      <c r="X1011" s="65"/>
    </row>
    <row r="1012">
      <c r="A1012" s="64"/>
      <c r="B1012" s="64"/>
      <c r="C1012" s="49"/>
      <c r="D1012" s="49"/>
      <c r="E1012" s="71"/>
      <c r="F1012" s="71"/>
      <c r="G1012" s="71"/>
      <c r="H1012" s="71"/>
      <c r="I1012" s="28"/>
      <c r="J1012" s="28"/>
      <c r="K1012" s="65"/>
      <c r="L1012" s="65"/>
      <c r="M1012" s="65"/>
      <c r="N1012" s="65"/>
      <c r="O1012" s="65"/>
      <c r="P1012" s="65"/>
      <c r="Q1012" s="65"/>
      <c r="R1012" s="65"/>
      <c r="S1012" s="65"/>
      <c r="T1012" s="65"/>
      <c r="U1012" s="65"/>
      <c r="V1012" s="65"/>
      <c r="W1012" s="65"/>
      <c r="X1012" s="65"/>
    </row>
    <row r="1013">
      <c r="A1013" s="64"/>
      <c r="B1013" s="64"/>
      <c r="C1013" s="49"/>
      <c r="D1013" s="49"/>
      <c r="E1013" s="71"/>
      <c r="F1013" s="71"/>
      <c r="G1013" s="71"/>
      <c r="H1013" s="71"/>
      <c r="I1013" s="28"/>
      <c r="J1013" s="28"/>
      <c r="K1013" s="65"/>
      <c r="L1013" s="65"/>
      <c r="M1013" s="65"/>
      <c r="N1013" s="65"/>
      <c r="O1013" s="65"/>
      <c r="P1013" s="65"/>
      <c r="Q1013" s="65"/>
      <c r="R1013" s="65"/>
      <c r="S1013" s="65"/>
      <c r="T1013" s="65"/>
      <c r="U1013" s="65"/>
      <c r="V1013" s="65"/>
      <c r="W1013" s="65"/>
      <c r="X1013" s="65"/>
    </row>
    <row r="1014">
      <c r="A1014" s="64"/>
      <c r="B1014" s="64"/>
      <c r="C1014" s="49"/>
      <c r="D1014" s="49"/>
      <c r="E1014" s="71"/>
      <c r="F1014" s="71"/>
      <c r="G1014" s="71"/>
      <c r="H1014" s="71"/>
      <c r="I1014" s="28"/>
      <c r="J1014" s="28"/>
      <c r="K1014" s="65"/>
      <c r="L1014" s="65"/>
      <c r="M1014" s="65"/>
      <c r="N1014" s="65"/>
      <c r="O1014" s="65"/>
      <c r="P1014" s="65"/>
      <c r="Q1014" s="65"/>
      <c r="R1014" s="65"/>
      <c r="S1014" s="65"/>
      <c r="T1014" s="65"/>
      <c r="U1014" s="65"/>
      <c r="V1014" s="65"/>
      <c r="W1014" s="65"/>
      <c r="X1014" s="65"/>
    </row>
    <row r="1015">
      <c r="A1015" s="64"/>
      <c r="B1015" s="64"/>
      <c r="C1015" s="49"/>
      <c r="D1015" s="49"/>
      <c r="E1015" s="71"/>
      <c r="F1015" s="71"/>
      <c r="G1015" s="71"/>
      <c r="H1015" s="71"/>
      <c r="I1015" s="28"/>
      <c r="J1015" s="28"/>
      <c r="K1015" s="65"/>
      <c r="L1015" s="65"/>
      <c r="M1015" s="65"/>
      <c r="N1015" s="65"/>
      <c r="O1015" s="65"/>
      <c r="P1015" s="65"/>
      <c r="Q1015" s="65"/>
      <c r="R1015" s="65"/>
      <c r="S1015" s="65"/>
      <c r="T1015" s="65"/>
      <c r="U1015" s="65"/>
      <c r="V1015" s="65"/>
      <c r="W1015" s="65"/>
      <c r="X1015" s="65"/>
    </row>
    <row r="1016">
      <c r="A1016" s="64"/>
      <c r="B1016" s="64"/>
      <c r="C1016" s="49"/>
      <c r="D1016" s="49"/>
      <c r="E1016" s="71"/>
      <c r="F1016" s="71"/>
      <c r="G1016" s="71"/>
      <c r="H1016" s="71"/>
      <c r="I1016" s="28"/>
      <c r="J1016" s="28"/>
      <c r="K1016" s="65"/>
      <c r="L1016" s="65"/>
      <c r="M1016" s="65"/>
      <c r="N1016" s="65"/>
      <c r="O1016" s="65"/>
      <c r="P1016" s="65"/>
      <c r="Q1016" s="65"/>
      <c r="R1016" s="65"/>
      <c r="S1016" s="65"/>
      <c r="T1016" s="65"/>
      <c r="U1016" s="65"/>
      <c r="V1016" s="65"/>
      <c r="W1016" s="65"/>
      <c r="X1016" s="65"/>
    </row>
    <row r="1017">
      <c r="A1017" s="64"/>
      <c r="B1017" s="64"/>
      <c r="C1017" s="49"/>
      <c r="D1017" s="49"/>
      <c r="E1017" s="71"/>
      <c r="F1017" s="71"/>
      <c r="G1017" s="71"/>
      <c r="H1017" s="71"/>
      <c r="I1017" s="28"/>
      <c r="J1017" s="28"/>
      <c r="K1017" s="65"/>
      <c r="L1017" s="65"/>
      <c r="M1017" s="65"/>
      <c r="N1017" s="65"/>
      <c r="O1017" s="65"/>
      <c r="P1017" s="65"/>
      <c r="Q1017" s="65"/>
      <c r="R1017" s="65"/>
      <c r="S1017" s="65"/>
      <c r="T1017" s="65"/>
      <c r="U1017" s="65"/>
      <c r="V1017" s="65"/>
      <c r="W1017" s="65"/>
      <c r="X1017" s="65"/>
    </row>
    <row r="1018">
      <c r="A1018" s="64"/>
      <c r="B1018" s="64"/>
      <c r="C1018" s="49"/>
      <c r="D1018" s="49"/>
      <c r="E1018" s="71"/>
      <c r="F1018" s="71"/>
      <c r="G1018" s="71"/>
      <c r="H1018" s="71"/>
      <c r="I1018" s="28"/>
      <c r="J1018" s="28"/>
      <c r="K1018" s="65"/>
      <c r="L1018" s="65"/>
      <c r="M1018" s="65"/>
      <c r="N1018" s="65"/>
      <c r="O1018" s="65"/>
      <c r="P1018" s="65"/>
      <c r="Q1018" s="65"/>
      <c r="R1018" s="65"/>
      <c r="S1018" s="65"/>
      <c r="T1018" s="65"/>
      <c r="U1018" s="65"/>
      <c r="V1018" s="65"/>
      <c r="W1018" s="65"/>
      <c r="X1018" s="65"/>
    </row>
    <row r="1019">
      <c r="A1019" s="64"/>
      <c r="B1019" s="64"/>
      <c r="C1019" s="49"/>
      <c r="D1019" s="49"/>
      <c r="E1019" s="71"/>
      <c r="F1019" s="71"/>
      <c r="G1019" s="71"/>
      <c r="H1019" s="71"/>
      <c r="I1019" s="64"/>
      <c r="J1019" s="64"/>
      <c r="K1019" s="65"/>
      <c r="L1019" s="65"/>
      <c r="M1019" s="65"/>
      <c r="N1019" s="65"/>
      <c r="O1019" s="65"/>
      <c r="P1019" s="65"/>
      <c r="Q1019" s="65"/>
      <c r="R1019" s="65"/>
      <c r="S1019" s="65"/>
      <c r="T1019" s="65"/>
      <c r="U1019" s="65"/>
      <c r="V1019" s="65"/>
      <c r="W1019" s="65"/>
      <c r="X1019" s="65"/>
    </row>
    <row r="1020">
      <c r="A1020" s="64"/>
      <c r="B1020" s="64"/>
      <c r="C1020" s="49"/>
      <c r="D1020" s="49"/>
      <c r="E1020" s="71"/>
      <c r="F1020" s="71"/>
      <c r="G1020" s="71"/>
      <c r="H1020" s="71"/>
      <c r="I1020" s="64"/>
      <c r="J1020" s="64"/>
      <c r="K1020" s="65"/>
      <c r="L1020" s="65"/>
      <c r="M1020" s="65"/>
      <c r="N1020" s="65"/>
      <c r="O1020" s="65"/>
      <c r="P1020" s="65"/>
      <c r="Q1020" s="65"/>
      <c r="R1020" s="65"/>
      <c r="S1020" s="65"/>
      <c r="T1020" s="65"/>
      <c r="U1020" s="65"/>
      <c r="V1020" s="65"/>
      <c r="W1020" s="65"/>
      <c r="X1020" s="65"/>
    </row>
    <row r="1021">
      <c r="A1021" s="64"/>
      <c r="B1021" s="64"/>
      <c r="C1021" s="49"/>
      <c r="D1021" s="49"/>
      <c r="E1021" s="71"/>
      <c r="F1021" s="71"/>
      <c r="G1021" s="71"/>
      <c r="H1021" s="71"/>
      <c r="I1021" s="64"/>
      <c r="J1021" s="64"/>
      <c r="K1021" s="65"/>
      <c r="L1021" s="65"/>
      <c r="M1021" s="65"/>
      <c r="N1021" s="65"/>
      <c r="O1021" s="65"/>
      <c r="P1021" s="65"/>
      <c r="Q1021" s="65"/>
      <c r="R1021" s="65"/>
      <c r="S1021" s="65"/>
      <c r="T1021" s="65"/>
      <c r="U1021" s="65"/>
      <c r="V1021" s="65"/>
      <c r="W1021" s="65"/>
      <c r="X1021" s="65"/>
    </row>
    <row r="1022">
      <c r="A1022" s="64"/>
      <c r="B1022" s="64"/>
      <c r="C1022" s="49"/>
      <c r="D1022" s="49"/>
      <c r="E1022" s="71"/>
      <c r="F1022" s="71"/>
      <c r="G1022" s="71"/>
      <c r="H1022" s="71"/>
      <c r="I1022" s="64"/>
      <c r="J1022" s="64"/>
      <c r="K1022" s="65"/>
      <c r="L1022" s="65"/>
      <c r="M1022" s="65"/>
      <c r="N1022" s="65"/>
      <c r="O1022" s="65"/>
      <c r="P1022" s="65"/>
      <c r="Q1022" s="65"/>
      <c r="R1022" s="65"/>
      <c r="S1022" s="65"/>
      <c r="T1022" s="65"/>
      <c r="U1022" s="65"/>
      <c r="V1022" s="65"/>
      <c r="W1022" s="65"/>
      <c r="X1022" s="65"/>
    </row>
    <row r="1023">
      <c r="A1023" s="64"/>
      <c r="B1023" s="64"/>
      <c r="C1023" s="49"/>
      <c r="D1023" s="49"/>
      <c r="E1023" s="71"/>
      <c r="F1023" s="71"/>
      <c r="G1023" s="71"/>
      <c r="H1023" s="71"/>
      <c r="I1023" s="64"/>
      <c r="J1023" s="64"/>
      <c r="K1023" s="65"/>
      <c r="L1023" s="65"/>
      <c r="M1023" s="65"/>
      <c r="N1023" s="65"/>
      <c r="O1023" s="65"/>
      <c r="P1023" s="65"/>
      <c r="Q1023" s="65"/>
      <c r="R1023" s="65"/>
      <c r="S1023" s="65"/>
      <c r="T1023" s="65"/>
      <c r="U1023" s="65"/>
      <c r="V1023" s="65"/>
      <c r="W1023" s="65"/>
      <c r="X1023" s="65"/>
    </row>
    <row r="1024">
      <c r="A1024" s="64"/>
      <c r="B1024" s="64"/>
      <c r="C1024" s="49"/>
      <c r="D1024" s="49"/>
      <c r="E1024" s="71"/>
      <c r="F1024" s="71"/>
      <c r="G1024" s="71"/>
      <c r="H1024" s="71"/>
      <c r="I1024" s="64"/>
      <c r="J1024" s="64"/>
      <c r="K1024" s="65"/>
      <c r="L1024" s="65"/>
      <c r="M1024" s="65"/>
      <c r="N1024" s="65"/>
      <c r="O1024" s="65"/>
      <c r="P1024" s="65"/>
      <c r="Q1024" s="65"/>
      <c r="R1024" s="65"/>
      <c r="S1024" s="65"/>
      <c r="T1024" s="65"/>
      <c r="U1024" s="65"/>
      <c r="V1024" s="65"/>
      <c r="W1024" s="65"/>
      <c r="X1024" s="65"/>
    </row>
    <row r="1025">
      <c r="A1025" s="64"/>
      <c r="B1025" s="64"/>
      <c r="C1025" s="49"/>
      <c r="D1025" s="49"/>
      <c r="E1025" s="71"/>
      <c r="F1025" s="71"/>
      <c r="G1025" s="71"/>
      <c r="H1025" s="71"/>
      <c r="I1025" s="64"/>
      <c r="J1025" s="64"/>
      <c r="K1025" s="65"/>
      <c r="L1025" s="65"/>
      <c r="M1025" s="65"/>
      <c r="N1025" s="65"/>
      <c r="O1025" s="65"/>
      <c r="P1025" s="65"/>
      <c r="Q1025" s="65"/>
      <c r="R1025" s="65"/>
      <c r="S1025" s="65"/>
      <c r="T1025" s="65"/>
      <c r="U1025" s="65"/>
      <c r="V1025" s="65"/>
      <c r="W1025" s="65"/>
      <c r="X1025" s="65"/>
    </row>
    <row r="1026">
      <c r="A1026" s="64"/>
      <c r="B1026" s="64"/>
      <c r="C1026" s="49"/>
      <c r="D1026" s="49"/>
      <c r="E1026" s="71"/>
      <c r="F1026" s="71"/>
      <c r="G1026" s="71"/>
      <c r="H1026" s="71"/>
      <c r="I1026" s="64"/>
      <c r="J1026" s="64"/>
      <c r="K1026" s="65"/>
      <c r="L1026" s="65"/>
      <c r="M1026" s="65"/>
      <c r="N1026" s="65"/>
      <c r="O1026" s="65"/>
      <c r="P1026" s="65"/>
      <c r="Q1026" s="65"/>
      <c r="R1026" s="65"/>
      <c r="S1026" s="65"/>
      <c r="T1026" s="65"/>
      <c r="U1026" s="65"/>
      <c r="V1026" s="65"/>
      <c r="W1026" s="65"/>
      <c r="X1026" s="65"/>
    </row>
    <row r="1027">
      <c r="A1027" s="64"/>
      <c r="B1027" s="64"/>
      <c r="C1027" s="49"/>
      <c r="D1027" s="49"/>
      <c r="E1027" s="71"/>
      <c r="F1027" s="71"/>
      <c r="G1027" s="71"/>
      <c r="H1027" s="71"/>
      <c r="I1027" s="64"/>
      <c r="J1027" s="64"/>
      <c r="K1027" s="65"/>
      <c r="L1027" s="65"/>
      <c r="M1027" s="65"/>
      <c r="N1027" s="65"/>
      <c r="O1027" s="65"/>
      <c r="P1027" s="65"/>
      <c r="Q1027" s="65"/>
      <c r="R1027" s="65"/>
      <c r="S1027" s="65"/>
      <c r="T1027" s="65"/>
      <c r="U1027" s="65"/>
      <c r="V1027" s="65"/>
      <c r="W1027" s="65"/>
      <c r="X1027" s="65"/>
    </row>
    <row r="1028">
      <c r="A1028" s="64"/>
      <c r="B1028" s="64"/>
      <c r="C1028" s="49"/>
      <c r="D1028" s="49"/>
      <c r="E1028" s="71"/>
      <c r="F1028" s="71"/>
      <c r="G1028" s="71"/>
      <c r="H1028" s="71"/>
      <c r="I1028" s="64"/>
      <c r="J1028" s="64"/>
      <c r="K1028" s="65"/>
      <c r="L1028" s="65"/>
      <c r="M1028" s="65"/>
      <c r="N1028" s="65"/>
      <c r="O1028" s="65"/>
      <c r="P1028" s="65"/>
      <c r="Q1028" s="65"/>
      <c r="R1028" s="65"/>
      <c r="S1028" s="65"/>
      <c r="T1028" s="65"/>
      <c r="U1028" s="65"/>
      <c r="V1028" s="65"/>
      <c r="W1028" s="65"/>
      <c r="X1028" s="65"/>
    </row>
    <row r="1029">
      <c r="A1029" s="64"/>
      <c r="B1029" s="64"/>
      <c r="C1029" s="49"/>
      <c r="D1029" s="49"/>
      <c r="E1029" s="71"/>
      <c r="F1029" s="71"/>
      <c r="G1029" s="71"/>
      <c r="H1029" s="71"/>
      <c r="I1029" s="64"/>
      <c r="J1029" s="64"/>
      <c r="K1029" s="65"/>
      <c r="L1029" s="65"/>
      <c r="M1029" s="65"/>
      <c r="N1029" s="65"/>
      <c r="O1029" s="65"/>
      <c r="P1029" s="65"/>
      <c r="Q1029" s="65"/>
      <c r="R1029" s="65"/>
      <c r="S1029" s="65"/>
      <c r="T1029" s="65"/>
      <c r="U1029" s="65"/>
      <c r="V1029" s="65"/>
      <c r="W1029" s="65"/>
      <c r="X1029" s="65"/>
    </row>
    <row r="1030">
      <c r="A1030" s="64"/>
      <c r="B1030" s="64"/>
      <c r="C1030" s="49"/>
      <c r="D1030" s="49"/>
      <c r="E1030" s="71"/>
      <c r="F1030" s="71"/>
      <c r="G1030" s="71"/>
      <c r="H1030" s="71"/>
      <c r="I1030" s="64"/>
      <c r="J1030" s="64"/>
      <c r="K1030" s="65"/>
      <c r="L1030" s="65"/>
      <c r="M1030" s="65"/>
      <c r="N1030" s="65"/>
      <c r="O1030" s="65"/>
      <c r="P1030" s="65"/>
      <c r="Q1030" s="65"/>
      <c r="R1030" s="65"/>
      <c r="S1030" s="65"/>
      <c r="T1030" s="65"/>
      <c r="U1030" s="65"/>
      <c r="V1030" s="65"/>
      <c r="W1030" s="65"/>
      <c r="X1030" s="65"/>
    </row>
    <row r="1031">
      <c r="A1031" s="64"/>
      <c r="B1031" s="64"/>
      <c r="C1031" s="49"/>
      <c r="D1031" s="49"/>
      <c r="E1031" s="71"/>
      <c r="F1031" s="71"/>
      <c r="G1031" s="71"/>
      <c r="H1031" s="71"/>
      <c r="I1031" s="64"/>
      <c r="J1031" s="64"/>
      <c r="K1031" s="65"/>
      <c r="L1031" s="65"/>
      <c r="M1031" s="65"/>
      <c r="N1031" s="65"/>
      <c r="O1031" s="65"/>
      <c r="P1031" s="65"/>
      <c r="Q1031" s="65"/>
      <c r="R1031" s="65"/>
      <c r="S1031" s="65"/>
      <c r="T1031" s="65"/>
      <c r="U1031" s="65"/>
      <c r="V1031" s="65"/>
      <c r="W1031" s="65"/>
      <c r="X1031" s="65"/>
    </row>
    <row r="1032">
      <c r="A1032" s="64"/>
      <c r="B1032" s="64"/>
      <c r="C1032" s="49"/>
      <c r="D1032" s="49"/>
      <c r="E1032" s="71"/>
      <c r="F1032" s="71"/>
      <c r="G1032" s="71"/>
      <c r="H1032" s="71"/>
      <c r="I1032" s="64"/>
      <c r="J1032" s="64"/>
      <c r="K1032" s="65"/>
      <c r="L1032" s="65"/>
      <c r="M1032" s="65"/>
      <c r="N1032" s="65"/>
      <c r="O1032" s="65"/>
      <c r="P1032" s="65"/>
      <c r="Q1032" s="65"/>
      <c r="R1032" s="65"/>
      <c r="S1032" s="65"/>
      <c r="T1032" s="65"/>
      <c r="U1032" s="65"/>
      <c r="V1032" s="65"/>
      <c r="W1032" s="65"/>
      <c r="X1032" s="65"/>
    </row>
    <row r="1033">
      <c r="A1033" s="64"/>
      <c r="B1033" s="64"/>
      <c r="C1033" s="49"/>
      <c r="D1033" s="49"/>
      <c r="E1033" s="71"/>
      <c r="F1033" s="71"/>
      <c r="G1033" s="71"/>
      <c r="H1033" s="71"/>
      <c r="I1033" s="64"/>
      <c r="J1033" s="64"/>
      <c r="K1033" s="65"/>
      <c r="L1033" s="65"/>
      <c r="M1033" s="65"/>
      <c r="N1033" s="65"/>
      <c r="O1033" s="65"/>
      <c r="P1033" s="65"/>
      <c r="Q1033" s="65"/>
      <c r="R1033" s="65"/>
      <c r="S1033" s="65"/>
      <c r="T1033" s="65"/>
      <c r="U1033" s="65"/>
      <c r="V1033" s="65"/>
      <c r="W1033" s="65"/>
      <c r="X1033" s="65"/>
    </row>
    <row r="1034">
      <c r="A1034" s="64"/>
      <c r="B1034" s="64"/>
      <c r="C1034" s="49"/>
      <c r="D1034" s="49"/>
      <c r="E1034" s="71"/>
      <c r="F1034" s="71"/>
      <c r="G1034" s="71"/>
      <c r="H1034" s="71"/>
      <c r="I1034" s="64"/>
      <c r="J1034" s="64"/>
      <c r="K1034" s="65"/>
      <c r="L1034" s="65"/>
      <c r="M1034" s="65"/>
      <c r="N1034" s="65"/>
      <c r="O1034" s="65"/>
      <c r="P1034" s="65"/>
      <c r="Q1034" s="65"/>
      <c r="R1034" s="65"/>
      <c r="S1034" s="65"/>
      <c r="T1034" s="65"/>
      <c r="U1034" s="65"/>
      <c r="V1034" s="65"/>
      <c r="W1034" s="65"/>
      <c r="X1034" s="65"/>
    </row>
    <row r="1035">
      <c r="A1035" s="64"/>
      <c r="B1035" s="64"/>
      <c r="C1035" s="49"/>
      <c r="D1035" s="49"/>
      <c r="E1035" s="71"/>
      <c r="F1035" s="71"/>
      <c r="G1035" s="71"/>
      <c r="H1035" s="71"/>
      <c r="I1035" s="64"/>
      <c r="J1035" s="64"/>
      <c r="K1035" s="65"/>
      <c r="L1035" s="65"/>
      <c r="M1035" s="65"/>
      <c r="N1035" s="65"/>
      <c r="O1035" s="65"/>
      <c r="P1035" s="65"/>
      <c r="Q1035" s="65"/>
      <c r="R1035" s="65"/>
      <c r="S1035" s="65"/>
      <c r="T1035" s="65"/>
      <c r="U1035" s="65"/>
      <c r="V1035" s="65"/>
      <c r="W1035" s="65"/>
      <c r="X1035" s="65"/>
    </row>
    <row r="1036">
      <c r="A1036" s="64"/>
      <c r="B1036" s="64"/>
      <c r="C1036" s="49"/>
      <c r="D1036" s="49"/>
      <c r="E1036" s="71"/>
      <c r="F1036" s="71"/>
      <c r="G1036" s="71"/>
      <c r="H1036" s="71"/>
      <c r="I1036" s="64"/>
      <c r="J1036" s="64"/>
      <c r="K1036" s="65"/>
      <c r="L1036" s="65"/>
      <c r="M1036" s="65"/>
      <c r="N1036" s="65"/>
      <c r="O1036" s="65"/>
      <c r="P1036" s="65"/>
      <c r="Q1036" s="65"/>
      <c r="R1036" s="65"/>
      <c r="S1036" s="65"/>
      <c r="T1036" s="65"/>
      <c r="U1036" s="65"/>
      <c r="V1036" s="65"/>
      <c r="W1036" s="65"/>
      <c r="X1036" s="65"/>
    </row>
    <row r="1037">
      <c r="A1037" s="64"/>
      <c r="B1037" s="64"/>
      <c r="C1037" s="49"/>
      <c r="D1037" s="49"/>
      <c r="E1037" s="71"/>
      <c r="F1037" s="71"/>
      <c r="G1037" s="71"/>
      <c r="H1037" s="71"/>
      <c r="I1037" s="64"/>
      <c r="J1037" s="64"/>
      <c r="K1037" s="65"/>
      <c r="L1037" s="65"/>
      <c r="M1037" s="65"/>
      <c r="N1037" s="65"/>
      <c r="O1037" s="65"/>
      <c r="P1037" s="65"/>
      <c r="Q1037" s="65"/>
      <c r="R1037" s="65"/>
      <c r="S1037" s="65"/>
      <c r="T1037" s="65"/>
      <c r="U1037" s="65"/>
      <c r="V1037" s="65"/>
      <c r="W1037" s="65"/>
      <c r="X1037" s="65"/>
    </row>
    <row r="1038">
      <c r="A1038" s="64"/>
      <c r="B1038" s="64"/>
      <c r="C1038" s="49"/>
      <c r="D1038" s="49"/>
      <c r="E1038" s="71"/>
      <c r="F1038" s="71"/>
      <c r="G1038" s="71"/>
      <c r="H1038" s="71"/>
      <c r="I1038" s="64"/>
      <c r="J1038" s="64"/>
      <c r="K1038" s="65"/>
      <c r="L1038" s="65"/>
      <c r="M1038" s="65"/>
      <c r="N1038" s="65"/>
      <c r="O1038" s="65"/>
      <c r="P1038" s="65"/>
      <c r="Q1038" s="65"/>
      <c r="R1038" s="65"/>
      <c r="S1038" s="65"/>
      <c r="T1038" s="65"/>
      <c r="U1038" s="65"/>
      <c r="V1038" s="65"/>
      <c r="W1038" s="65"/>
      <c r="X1038" s="65"/>
    </row>
    <row r="1039">
      <c r="A1039" s="64"/>
      <c r="B1039" s="64"/>
      <c r="C1039" s="49"/>
      <c r="D1039" s="49"/>
      <c r="E1039" s="71"/>
      <c r="F1039" s="71"/>
      <c r="G1039" s="71"/>
      <c r="H1039" s="71"/>
      <c r="I1039" s="64"/>
      <c r="J1039" s="64"/>
      <c r="K1039" s="65"/>
      <c r="L1039" s="65"/>
      <c r="M1039" s="65"/>
      <c r="N1039" s="65"/>
      <c r="O1039" s="65"/>
      <c r="P1039" s="65"/>
      <c r="Q1039" s="65"/>
      <c r="R1039" s="65"/>
      <c r="S1039" s="65"/>
      <c r="T1039" s="65"/>
      <c r="U1039" s="65"/>
      <c r="V1039" s="65"/>
      <c r="W1039" s="65"/>
      <c r="X1039" s="65"/>
    </row>
    <row r="1040">
      <c r="A1040" s="64"/>
      <c r="B1040" s="64"/>
      <c r="C1040" s="49"/>
      <c r="D1040" s="49"/>
      <c r="E1040" s="71"/>
      <c r="F1040" s="71"/>
      <c r="G1040" s="71"/>
      <c r="H1040" s="71"/>
      <c r="I1040" s="64"/>
      <c r="J1040" s="64"/>
      <c r="K1040" s="65"/>
      <c r="L1040" s="65"/>
      <c r="M1040" s="65"/>
      <c r="N1040" s="65"/>
      <c r="O1040" s="65"/>
      <c r="P1040" s="65"/>
      <c r="Q1040" s="65"/>
      <c r="R1040" s="65"/>
      <c r="S1040" s="65"/>
      <c r="T1040" s="65"/>
      <c r="U1040" s="65"/>
      <c r="V1040" s="65"/>
      <c r="W1040" s="65"/>
      <c r="X1040" s="65"/>
    </row>
    <row r="1041">
      <c r="A1041" s="64"/>
      <c r="B1041" s="64"/>
      <c r="C1041" s="49"/>
      <c r="D1041" s="49"/>
      <c r="E1041" s="71"/>
      <c r="F1041" s="71"/>
      <c r="G1041" s="71"/>
      <c r="H1041" s="71"/>
      <c r="I1041" s="64"/>
      <c r="J1041" s="64"/>
      <c r="K1041" s="65"/>
      <c r="L1041" s="65"/>
      <c r="M1041" s="65"/>
      <c r="N1041" s="65"/>
      <c r="O1041" s="65"/>
      <c r="P1041" s="65"/>
      <c r="Q1041" s="65"/>
      <c r="R1041" s="65"/>
      <c r="S1041" s="65"/>
      <c r="T1041" s="65"/>
      <c r="U1041" s="65"/>
      <c r="V1041" s="65"/>
      <c r="W1041" s="65"/>
      <c r="X1041" s="65"/>
    </row>
    <row r="1042">
      <c r="A1042" s="64"/>
      <c r="B1042" s="64"/>
      <c r="C1042" s="49"/>
      <c r="D1042" s="49"/>
      <c r="E1042" s="71"/>
      <c r="F1042" s="71"/>
      <c r="G1042" s="71"/>
      <c r="H1042" s="71"/>
      <c r="I1042" s="64"/>
      <c r="J1042" s="64"/>
      <c r="K1042" s="65"/>
      <c r="L1042" s="65"/>
      <c r="M1042" s="65"/>
      <c r="N1042" s="65"/>
      <c r="O1042" s="65"/>
      <c r="P1042" s="65"/>
      <c r="Q1042" s="65"/>
      <c r="R1042" s="65"/>
      <c r="S1042" s="65"/>
      <c r="T1042" s="65"/>
      <c r="U1042" s="65"/>
      <c r="V1042" s="65"/>
      <c r="W1042" s="65"/>
      <c r="X1042" s="65"/>
    </row>
    <row r="1043">
      <c r="A1043" s="64"/>
      <c r="B1043" s="64"/>
      <c r="C1043" s="49"/>
      <c r="D1043" s="49"/>
      <c r="E1043" s="71"/>
      <c r="F1043" s="71"/>
      <c r="G1043" s="71"/>
      <c r="H1043" s="71"/>
      <c r="I1043" s="64"/>
      <c r="J1043" s="64"/>
      <c r="K1043" s="65"/>
      <c r="L1043" s="65"/>
      <c r="M1043" s="65"/>
      <c r="N1043" s="65"/>
      <c r="O1043" s="65"/>
      <c r="P1043" s="65"/>
      <c r="Q1043" s="65"/>
      <c r="R1043" s="65"/>
      <c r="S1043" s="65"/>
      <c r="T1043" s="65"/>
      <c r="U1043" s="65"/>
      <c r="V1043" s="65"/>
      <c r="W1043" s="65"/>
      <c r="X1043" s="65"/>
    </row>
    <row r="1044">
      <c r="A1044" s="64"/>
      <c r="B1044" s="64"/>
      <c r="C1044" s="49"/>
      <c r="D1044" s="49"/>
      <c r="E1044" s="71"/>
      <c r="F1044" s="71"/>
      <c r="G1044" s="71"/>
      <c r="H1044" s="71"/>
      <c r="I1044" s="64"/>
      <c r="J1044" s="64"/>
      <c r="K1044" s="65"/>
      <c r="L1044" s="65"/>
      <c r="M1044" s="65"/>
      <c r="N1044" s="65"/>
      <c r="O1044" s="65"/>
      <c r="P1044" s="65"/>
      <c r="Q1044" s="65"/>
      <c r="R1044" s="65"/>
      <c r="S1044" s="65"/>
      <c r="T1044" s="65"/>
      <c r="U1044" s="65"/>
      <c r="V1044" s="65"/>
      <c r="W1044" s="65"/>
      <c r="X1044" s="65"/>
    </row>
    <row r="1045">
      <c r="A1045" s="64"/>
      <c r="B1045" s="64"/>
      <c r="C1045" s="49"/>
      <c r="D1045" s="49"/>
      <c r="E1045" s="71"/>
      <c r="F1045" s="71"/>
      <c r="G1045" s="71"/>
      <c r="H1045" s="71"/>
      <c r="I1045" s="64"/>
      <c r="J1045" s="64"/>
      <c r="K1045" s="65"/>
      <c r="L1045" s="65"/>
      <c r="M1045" s="65"/>
      <c r="N1045" s="65"/>
      <c r="O1045" s="65"/>
      <c r="P1045" s="65"/>
      <c r="Q1045" s="65"/>
      <c r="R1045" s="65"/>
      <c r="S1045" s="65"/>
      <c r="T1045" s="65"/>
      <c r="U1045" s="65"/>
      <c r="V1045" s="65"/>
      <c r="W1045" s="65"/>
      <c r="X1045" s="65"/>
    </row>
    <row r="1046">
      <c r="A1046" s="64"/>
      <c r="B1046" s="64"/>
      <c r="C1046" s="49"/>
      <c r="D1046" s="49"/>
      <c r="E1046" s="71"/>
      <c r="F1046" s="71"/>
      <c r="G1046" s="71"/>
      <c r="H1046" s="71"/>
      <c r="I1046" s="64"/>
      <c r="J1046" s="64"/>
      <c r="K1046" s="65"/>
      <c r="L1046" s="65"/>
      <c r="M1046" s="65"/>
      <c r="N1046" s="65"/>
      <c r="O1046" s="65"/>
      <c r="P1046" s="65"/>
      <c r="Q1046" s="65"/>
      <c r="R1046" s="65"/>
      <c r="S1046" s="65"/>
      <c r="T1046" s="65"/>
      <c r="U1046" s="65"/>
      <c r="V1046" s="65"/>
      <c r="W1046" s="65"/>
      <c r="X1046" s="65"/>
    </row>
    <row r="1047">
      <c r="A1047" s="64"/>
      <c r="B1047" s="64"/>
      <c r="C1047" s="49"/>
      <c r="D1047" s="49"/>
      <c r="E1047" s="71"/>
      <c r="F1047" s="71"/>
      <c r="G1047" s="71"/>
      <c r="H1047" s="71"/>
      <c r="I1047" s="64"/>
      <c r="J1047" s="64"/>
      <c r="K1047" s="65"/>
      <c r="L1047" s="65"/>
      <c r="M1047" s="65"/>
      <c r="N1047" s="65"/>
      <c r="O1047" s="65"/>
      <c r="P1047" s="65"/>
      <c r="Q1047" s="65"/>
      <c r="R1047" s="65"/>
      <c r="S1047" s="65"/>
      <c r="T1047" s="65"/>
      <c r="U1047" s="65"/>
      <c r="V1047" s="65"/>
      <c r="W1047" s="65"/>
      <c r="X1047" s="65"/>
    </row>
    <row r="1048">
      <c r="A1048" s="64"/>
      <c r="B1048" s="64"/>
      <c r="C1048" s="49"/>
      <c r="D1048" s="49"/>
      <c r="E1048" s="71"/>
      <c r="F1048" s="71"/>
      <c r="G1048" s="71"/>
      <c r="H1048" s="71"/>
      <c r="I1048" s="64"/>
      <c r="J1048" s="64"/>
      <c r="K1048" s="65"/>
      <c r="L1048" s="65"/>
      <c r="M1048" s="65"/>
      <c r="N1048" s="65"/>
      <c r="O1048" s="65"/>
      <c r="P1048" s="65"/>
      <c r="Q1048" s="65"/>
      <c r="R1048" s="65"/>
      <c r="S1048" s="65"/>
      <c r="T1048" s="65"/>
      <c r="U1048" s="65"/>
      <c r="V1048" s="65"/>
      <c r="W1048" s="65"/>
      <c r="X1048" s="65"/>
    </row>
    <row r="1049">
      <c r="A1049" s="64"/>
      <c r="B1049" s="64"/>
      <c r="C1049" s="49"/>
      <c r="D1049" s="49"/>
      <c r="E1049" s="71"/>
      <c r="F1049" s="71"/>
      <c r="G1049" s="71"/>
      <c r="H1049" s="71"/>
      <c r="I1049" s="64"/>
      <c r="J1049" s="64"/>
      <c r="K1049" s="65"/>
      <c r="L1049" s="65"/>
      <c r="M1049" s="65"/>
      <c r="N1049" s="65"/>
      <c r="O1049" s="65"/>
      <c r="P1049" s="65"/>
      <c r="Q1049" s="65"/>
      <c r="R1049" s="65"/>
      <c r="S1049" s="65"/>
      <c r="T1049" s="65"/>
      <c r="U1049" s="65"/>
      <c r="V1049" s="65"/>
      <c r="W1049" s="65"/>
      <c r="X1049" s="65"/>
    </row>
    <row r="1050">
      <c r="A1050" s="64"/>
      <c r="B1050" s="64"/>
      <c r="C1050" s="49"/>
      <c r="D1050" s="49"/>
      <c r="E1050" s="71"/>
      <c r="F1050" s="71"/>
      <c r="G1050" s="71"/>
      <c r="H1050" s="71"/>
      <c r="I1050" s="64"/>
      <c r="J1050" s="64"/>
      <c r="K1050" s="65"/>
      <c r="L1050" s="65"/>
      <c r="M1050" s="65"/>
      <c r="N1050" s="65"/>
      <c r="O1050" s="65"/>
      <c r="P1050" s="65"/>
      <c r="Q1050" s="65"/>
      <c r="R1050" s="65"/>
      <c r="S1050" s="65"/>
      <c r="T1050" s="65"/>
      <c r="U1050" s="65"/>
      <c r="V1050" s="65"/>
      <c r="W1050" s="65"/>
      <c r="X1050" s="65"/>
    </row>
    <row r="1051">
      <c r="A1051" s="64"/>
      <c r="B1051" s="64"/>
      <c r="C1051" s="49"/>
      <c r="D1051" s="49"/>
      <c r="E1051" s="71"/>
      <c r="F1051" s="71"/>
      <c r="G1051" s="71"/>
      <c r="H1051" s="71"/>
      <c r="I1051" s="64"/>
      <c r="J1051" s="64"/>
      <c r="K1051" s="65"/>
      <c r="L1051" s="65"/>
      <c r="M1051" s="65"/>
      <c r="N1051" s="65"/>
      <c r="O1051" s="65"/>
      <c r="P1051" s="65"/>
      <c r="Q1051" s="65"/>
      <c r="R1051" s="65"/>
      <c r="S1051" s="65"/>
      <c r="T1051" s="65"/>
      <c r="U1051" s="65"/>
      <c r="V1051" s="65"/>
      <c r="W1051" s="65"/>
      <c r="X1051" s="65"/>
    </row>
    <row r="1052">
      <c r="A1052" s="64"/>
      <c r="B1052" s="64"/>
      <c r="C1052" s="49"/>
      <c r="D1052" s="49"/>
      <c r="E1052" s="71"/>
      <c r="F1052" s="71"/>
      <c r="G1052" s="71"/>
      <c r="H1052" s="71"/>
      <c r="I1052" s="64"/>
      <c r="J1052" s="64"/>
      <c r="K1052" s="65"/>
      <c r="L1052" s="65"/>
      <c r="M1052" s="65"/>
      <c r="N1052" s="65"/>
      <c r="O1052" s="65"/>
      <c r="P1052" s="65"/>
      <c r="Q1052" s="65"/>
      <c r="R1052" s="65"/>
      <c r="S1052" s="65"/>
      <c r="T1052" s="65"/>
      <c r="U1052" s="65"/>
      <c r="V1052" s="65"/>
      <c r="W1052" s="65"/>
      <c r="X1052" s="65"/>
    </row>
    <row r="1053">
      <c r="A1053" s="64"/>
      <c r="B1053" s="64"/>
      <c r="C1053" s="49"/>
      <c r="D1053" s="49"/>
      <c r="E1053" s="71"/>
      <c r="F1053" s="71"/>
      <c r="G1053" s="71"/>
      <c r="H1053" s="71"/>
      <c r="I1053" s="64"/>
      <c r="J1053" s="64"/>
      <c r="K1053" s="65"/>
      <c r="L1053" s="65"/>
      <c r="M1053" s="65"/>
      <c r="N1053" s="65"/>
      <c r="O1053" s="65"/>
      <c r="P1053" s="65"/>
      <c r="Q1053" s="65"/>
      <c r="R1053" s="65"/>
      <c r="S1053" s="65"/>
      <c r="T1053" s="65"/>
      <c r="U1053" s="65"/>
      <c r="V1053" s="65"/>
      <c r="W1053" s="65"/>
      <c r="X1053" s="65"/>
    </row>
    <row r="1054">
      <c r="A1054" s="64"/>
      <c r="B1054" s="64"/>
      <c r="C1054" s="49"/>
      <c r="D1054" s="49"/>
      <c r="E1054" s="71"/>
      <c r="F1054" s="71"/>
      <c r="G1054" s="71"/>
      <c r="H1054" s="71"/>
      <c r="I1054" s="64"/>
      <c r="J1054" s="64"/>
      <c r="K1054" s="65"/>
      <c r="L1054" s="65"/>
      <c r="M1054" s="65"/>
      <c r="N1054" s="65"/>
      <c r="O1054" s="65"/>
      <c r="P1054" s="65"/>
      <c r="Q1054" s="65"/>
      <c r="R1054" s="65"/>
      <c r="S1054" s="65"/>
      <c r="T1054" s="65"/>
      <c r="U1054" s="65"/>
      <c r="V1054" s="65"/>
      <c r="W1054" s="65"/>
      <c r="X1054" s="65"/>
    </row>
    <row r="1055">
      <c r="A1055" s="64"/>
      <c r="B1055" s="64"/>
      <c r="C1055" s="49"/>
      <c r="D1055" s="49"/>
      <c r="E1055" s="71"/>
      <c r="F1055" s="71"/>
      <c r="G1055" s="71"/>
      <c r="H1055" s="71"/>
      <c r="I1055" s="64"/>
      <c r="J1055" s="64"/>
      <c r="K1055" s="65"/>
      <c r="L1055" s="65"/>
      <c r="M1055" s="65"/>
      <c r="N1055" s="65"/>
      <c r="O1055" s="65"/>
      <c r="P1055" s="65"/>
      <c r="Q1055" s="65"/>
      <c r="R1055" s="65"/>
      <c r="S1055" s="65"/>
      <c r="T1055" s="65"/>
      <c r="U1055" s="65"/>
      <c r="V1055" s="65"/>
      <c r="W1055" s="65"/>
      <c r="X1055" s="65"/>
    </row>
    <row r="1056">
      <c r="A1056" s="64"/>
      <c r="B1056" s="64"/>
      <c r="C1056" s="49"/>
      <c r="D1056" s="49"/>
      <c r="E1056" s="71"/>
      <c r="F1056" s="71"/>
      <c r="G1056" s="71"/>
      <c r="H1056" s="71"/>
      <c r="I1056" s="64"/>
      <c r="J1056" s="64"/>
      <c r="K1056" s="65"/>
      <c r="L1056" s="65"/>
      <c r="M1056" s="65"/>
      <c r="N1056" s="65"/>
      <c r="O1056" s="65"/>
      <c r="P1056" s="65"/>
      <c r="Q1056" s="65"/>
      <c r="R1056" s="65"/>
      <c r="S1056" s="65"/>
      <c r="T1056" s="65"/>
      <c r="U1056" s="65"/>
      <c r="V1056" s="65"/>
      <c r="W1056" s="65"/>
      <c r="X1056" s="65"/>
    </row>
    <row r="1057">
      <c r="A1057" s="64"/>
      <c r="B1057" s="64"/>
      <c r="C1057" s="49"/>
      <c r="D1057" s="49"/>
      <c r="E1057" s="71"/>
      <c r="F1057" s="71"/>
      <c r="G1057" s="71"/>
      <c r="H1057" s="71"/>
      <c r="I1057" s="64"/>
      <c r="J1057" s="64"/>
      <c r="K1057" s="65"/>
      <c r="L1057" s="65"/>
      <c r="M1057" s="65"/>
      <c r="N1057" s="65"/>
      <c r="O1057" s="65"/>
      <c r="P1057" s="65"/>
      <c r="Q1057" s="65"/>
      <c r="R1057" s="65"/>
      <c r="S1057" s="65"/>
      <c r="T1057" s="65"/>
      <c r="U1057" s="65"/>
      <c r="V1057" s="65"/>
      <c r="W1057" s="65"/>
      <c r="X1057" s="65"/>
    </row>
    <row r="1058">
      <c r="A1058" s="64"/>
      <c r="B1058" s="64"/>
      <c r="C1058" s="49"/>
      <c r="D1058" s="49"/>
      <c r="E1058" s="71"/>
      <c r="F1058" s="71"/>
      <c r="G1058" s="71"/>
      <c r="H1058" s="71"/>
      <c r="I1058" s="64"/>
      <c r="J1058" s="64"/>
      <c r="K1058" s="65"/>
      <c r="L1058" s="65"/>
      <c r="M1058" s="65"/>
      <c r="N1058" s="65"/>
      <c r="O1058" s="65"/>
      <c r="P1058" s="65"/>
      <c r="Q1058" s="65"/>
      <c r="R1058" s="65"/>
      <c r="S1058" s="65"/>
      <c r="T1058" s="65"/>
      <c r="U1058" s="65"/>
      <c r="V1058" s="65"/>
      <c r="W1058" s="65"/>
      <c r="X1058" s="65"/>
    </row>
    <row r="1059">
      <c r="A1059" s="64"/>
      <c r="B1059" s="64"/>
      <c r="C1059" s="49"/>
      <c r="D1059" s="49"/>
      <c r="E1059" s="71"/>
      <c r="F1059" s="71"/>
      <c r="G1059" s="71"/>
      <c r="H1059" s="71"/>
      <c r="I1059" s="64"/>
      <c r="J1059" s="64"/>
      <c r="K1059" s="65"/>
      <c r="L1059" s="65"/>
      <c r="M1059" s="65"/>
      <c r="N1059" s="65"/>
      <c r="O1059" s="65"/>
      <c r="P1059" s="65"/>
      <c r="Q1059" s="65"/>
      <c r="R1059" s="65"/>
      <c r="S1059" s="65"/>
      <c r="T1059" s="65"/>
      <c r="U1059" s="65"/>
      <c r="V1059" s="65"/>
      <c r="W1059" s="65"/>
      <c r="X1059" s="65"/>
    </row>
    <row r="1060">
      <c r="A1060" s="64"/>
      <c r="B1060" s="64"/>
      <c r="C1060" s="49"/>
      <c r="D1060" s="49"/>
      <c r="E1060" s="71"/>
      <c r="F1060" s="71"/>
      <c r="G1060" s="71"/>
      <c r="H1060" s="71"/>
      <c r="I1060" s="64"/>
      <c r="J1060" s="64"/>
      <c r="K1060" s="65"/>
      <c r="L1060" s="65"/>
      <c r="M1060" s="65"/>
      <c r="N1060" s="65"/>
      <c r="O1060" s="65"/>
      <c r="P1060" s="65"/>
      <c r="Q1060" s="65"/>
      <c r="R1060" s="65"/>
      <c r="S1060" s="65"/>
      <c r="T1060" s="65"/>
      <c r="U1060" s="65"/>
      <c r="V1060" s="65"/>
      <c r="W1060" s="65"/>
      <c r="X1060" s="65"/>
    </row>
    <row r="1061">
      <c r="A1061" s="64"/>
      <c r="B1061" s="64"/>
      <c r="C1061" s="49"/>
      <c r="D1061" s="49"/>
      <c r="E1061" s="71"/>
      <c r="F1061" s="71"/>
      <c r="G1061" s="71"/>
      <c r="H1061" s="71"/>
      <c r="I1061" s="64"/>
      <c r="J1061" s="64"/>
      <c r="K1061" s="65"/>
      <c r="L1061" s="65"/>
      <c r="M1061" s="65"/>
      <c r="N1061" s="65"/>
      <c r="O1061" s="65"/>
      <c r="P1061" s="65"/>
      <c r="Q1061" s="65"/>
      <c r="R1061" s="65"/>
      <c r="S1061" s="65"/>
      <c r="T1061" s="65"/>
      <c r="U1061" s="65"/>
      <c r="V1061" s="65"/>
      <c r="W1061" s="65"/>
      <c r="X1061" s="65"/>
    </row>
    <row r="1062">
      <c r="A1062" s="64"/>
      <c r="B1062" s="64"/>
      <c r="C1062" s="49"/>
      <c r="D1062" s="49"/>
      <c r="E1062" s="71"/>
      <c r="F1062" s="71"/>
      <c r="G1062" s="71"/>
      <c r="H1062" s="71"/>
      <c r="I1062" s="64"/>
      <c r="J1062" s="64"/>
      <c r="K1062" s="65"/>
      <c r="L1062" s="65"/>
      <c r="M1062" s="65"/>
      <c r="N1062" s="65"/>
      <c r="O1062" s="65"/>
      <c r="P1062" s="65"/>
      <c r="Q1062" s="65"/>
      <c r="R1062" s="65"/>
      <c r="S1062" s="65"/>
      <c r="T1062" s="65"/>
      <c r="U1062" s="65"/>
      <c r="V1062" s="65"/>
      <c r="W1062" s="65"/>
      <c r="X1062" s="65"/>
    </row>
    <row r="1063">
      <c r="A1063" s="64"/>
      <c r="B1063" s="64"/>
      <c r="C1063" s="49"/>
      <c r="D1063" s="49"/>
      <c r="E1063" s="71"/>
      <c r="F1063" s="71"/>
      <c r="G1063" s="71"/>
      <c r="H1063" s="71"/>
      <c r="I1063" s="64"/>
      <c r="J1063" s="64"/>
      <c r="K1063" s="65"/>
      <c r="L1063" s="65"/>
      <c r="M1063" s="65"/>
      <c r="N1063" s="65"/>
      <c r="O1063" s="65"/>
      <c r="P1063" s="65"/>
      <c r="Q1063" s="65"/>
      <c r="R1063" s="65"/>
      <c r="S1063" s="65"/>
      <c r="T1063" s="65"/>
      <c r="U1063" s="65"/>
      <c r="V1063" s="65"/>
      <c r="W1063" s="65"/>
      <c r="X1063" s="65"/>
    </row>
    <row r="1064">
      <c r="A1064" s="64"/>
      <c r="B1064" s="64"/>
      <c r="C1064" s="49"/>
      <c r="D1064" s="49"/>
      <c r="E1064" s="71"/>
      <c r="F1064" s="71"/>
      <c r="G1064" s="71"/>
      <c r="H1064" s="71"/>
      <c r="I1064" s="64"/>
      <c r="J1064" s="64"/>
      <c r="K1064" s="65"/>
      <c r="L1064" s="65"/>
      <c r="M1064" s="65"/>
      <c r="N1064" s="65"/>
      <c r="O1064" s="65"/>
      <c r="P1064" s="65"/>
      <c r="Q1064" s="65"/>
      <c r="R1064" s="65"/>
      <c r="S1064" s="65"/>
      <c r="T1064" s="65"/>
      <c r="U1064" s="65"/>
      <c r="V1064" s="65"/>
      <c r="W1064" s="65"/>
      <c r="X1064" s="65"/>
    </row>
    <row r="1065">
      <c r="A1065" s="64"/>
      <c r="B1065" s="64"/>
      <c r="C1065" s="49"/>
      <c r="D1065" s="49"/>
      <c r="E1065" s="71"/>
      <c r="F1065" s="71"/>
      <c r="G1065" s="71"/>
      <c r="H1065" s="71"/>
      <c r="I1065" s="64"/>
      <c r="J1065" s="64"/>
      <c r="K1065" s="65"/>
      <c r="L1065" s="65"/>
      <c r="M1065" s="65"/>
      <c r="N1065" s="65"/>
      <c r="O1065" s="65"/>
      <c r="P1065" s="65"/>
      <c r="Q1065" s="65"/>
      <c r="R1065" s="65"/>
      <c r="S1065" s="65"/>
      <c r="T1065" s="65"/>
      <c r="U1065" s="65"/>
      <c r="V1065" s="65"/>
      <c r="W1065" s="65"/>
      <c r="X1065" s="65"/>
    </row>
    <row r="1066">
      <c r="A1066" s="64"/>
      <c r="B1066" s="64"/>
      <c r="C1066" s="49"/>
      <c r="D1066" s="49"/>
      <c r="E1066" s="71"/>
      <c r="F1066" s="71"/>
      <c r="G1066" s="71"/>
      <c r="H1066" s="71"/>
      <c r="I1066" s="64"/>
      <c r="J1066" s="64"/>
      <c r="K1066" s="65"/>
      <c r="L1066" s="65"/>
      <c r="M1066" s="65"/>
      <c r="N1066" s="65"/>
      <c r="O1066" s="65"/>
      <c r="P1066" s="65"/>
      <c r="Q1066" s="65"/>
      <c r="R1066" s="65"/>
      <c r="S1066" s="65"/>
      <c r="T1066" s="65"/>
      <c r="U1066" s="65"/>
      <c r="V1066" s="65"/>
      <c r="W1066" s="65"/>
      <c r="X1066" s="65"/>
    </row>
    <row r="1067">
      <c r="A1067" s="64"/>
      <c r="B1067" s="64"/>
      <c r="C1067" s="49"/>
      <c r="D1067" s="49"/>
      <c r="E1067" s="71"/>
      <c r="F1067" s="71"/>
      <c r="G1067" s="71"/>
      <c r="H1067" s="71"/>
      <c r="I1067" s="64"/>
      <c r="J1067" s="64"/>
      <c r="K1067" s="65"/>
      <c r="L1067" s="65"/>
      <c r="M1067" s="65"/>
      <c r="N1067" s="65"/>
      <c r="O1067" s="65"/>
      <c r="P1067" s="65"/>
      <c r="Q1067" s="65"/>
      <c r="R1067" s="65"/>
      <c r="S1067" s="65"/>
      <c r="T1067" s="65"/>
      <c r="U1067" s="65"/>
      <c r="V1067" s="65"/>
      <c r="W1067" s="65"/>
      <c r="X1067" s="65"/>
    </row>
    <row r="1068">
      <c r="A1068" s="64"/>
      <c r="B1068" s="64"/>
      <c r="C1068" s="49"/>
      <c r="D1068" s="49"/>
      <c r="E1068" s="71"/>
      <c r="F1068" s="71"/>
      <c r="G1068" s="71"/>
      <c r="H1068" s="71"/>
      <c r="I1068" s="64"/>
      <c r="J1068" s="64"/>
      <c r="K1068" s="65"/>
      <c r="L1068" s="65"/>
      <c r="M1068" s="65"/>
      <c r="N1068" s="65"/>
      <c r="O1068" s="65"/>
      <c r="P1068" s="65"/>
      <c r="Q1068" s="65"/>
      <c r="R1068" s="65"/>
      <c r="S1068" s="65"/>
      <c r="T1068" s="65"/>
      <c r="U1068" s="65"/>
      <c r="V1068" s="65"/>
      <c r="W1068" s="65"/>
      <c r="X1068" s="65"/>
    </row>
    <row r="1069">
      <c r="A1069" s="64"/>
      <c r="B1069" s="64"/>
      <c r="C1069" s="49"/>
      <c r="D1069" s="49"/>
      <c r="E1069" s="71"/>
      <c r="F1069" s="71"/>
      <c r="G1069" s="71"/>
      <c r="H1069" s="71"/>
      <c r="I1069" s="64"/>
      <c r="J1069" s="64"/>
      <c r="K1069" s="65"/>
      <c r="L1069" s="65"/>
      <c r="M1069" s="65"/>
      <c r="N1069" s="65"/>
      <c r="O1069" s="65"/>
      <c r="P1069" s="65"/>
      <c r="Q1069" s="65"/>
      <c r="R1069" s="65"/>
      <c r="S1069" s="65"/>
      <c r="T1069" s="65"/>
      <c r="U1069" s="65"/>
      <c r="V1069" s="65"/>
      <c r="W1069" s="65"/>
      <c r="X1069" s="65"/>
    </row>
    <row r="1070">
      <c r="A1070" s="64"/>
      <c r="B1070" s="64"/>
      <c r="C1070" s="49"/>
      <c r="D1070" s="49"/>
      <c r="E1070" s="71"/>
      <c r="F1070" s="71"/>
      <c r="G1070" s="71"/>
      <c r="H1070" s="71"/>
      <c r="I1070" s="64"/>
      <c r="J1070" s="64"/>
      <c r="K1070" s="65"/>
      <c r="L1070" s="65"/>
      <c r="M1070" s="65"/>
      <c r="N1070" s="65"/>
      <c r="O1070" s="65"/>
      <c r="P1070" s="65"/>
      <c r="Q1070" s="65"/>
      <c r="R1070" s="65"/>
      <c r="S1070" s="65"/>
      <c r="T1070" s="65"/>
      <c r="U1070" s="65"/>
      <c r="V1070" s="65"/>
      <c r="W1070" s="65"/>
      <c r="X1070" s="65"/>
    </row>
    <row r="1071">
      <c r="A1071" s="64"/>
      <c r="B1071" s="64"/>
      <c r="C1071" s="49"/>
      <c r="D1071" s="49"/>
      <c r="E1071" s="71"/>
      <c r="F1071" s="71"/>
      <c r="G1071" s="71"/>
      <c r="H1071" s="71"/>
      <c r="I1071" s="64"/>
      <c r="J1071" s="64"/>
      <c r="K1071" s="65"/>
      <c r="L1071" s="65"/>
      <c r="M1071" s="65"/>
      <c r="N1071" s="65"/>
      <c r="O1071" s="65"/>
      <c r="P1071" s="65"/>
      <c r="Q1071" s="65"/>
      <c r="R1071" s="65"/>
      <c r="S1071" s="65"/>
      <c r="T1071" s="65"/>
      <c r="U1071" s="65"/>
      <c r="V1071" s="65"/>
      <c r="W1071" s="65"/>
      <c r="X1071" s="65"/>
    </row>
    <row r="1072">
      <c r="A1072" s="64"/>
      <c r="B1072" s="64"/>
      <c r="C1072" s="49"/>
      <c r="D1072" s="49"/>
      <c r="E1072" s="71"/>
      <c r="F1072" s="71"/>
      <c r="G1072" s="71"/>
      <c r="H1072" s="71"/>
      <c r="I1072" s="64"/>
      <c r="J1072" s="64"/>
      <c r="K1072" s="65"/>
      <c r="L1072" s="65"/>
      <c r="M1072" s="65"/>
      <c r="N1072" s="65"/>
      <c r="O1072" s="65"/>
      <c r="P1072" s="65"/>
      <c r="Q1072" s="65"/>
      <c r="R1072" s="65"/>
      <c r="S1072" s="65"/>
      <c r="T1072" s="65"/>
      <c r="U1072" s="65"/>
      <c r="V1072" s="65"/>
      <c r="W1072" s="65"/>
      <c r="X1072" s="65"/>
    </row>
    <row r="1073">
      <c r="A1073" s="64"/>
      <c r="B1073" s="64"/>
      <c r="C1073" s="49"/>
      <c r="D1073" s="49"/>
      <c r="E1073" s="71"/>
      <c r="F1073" s="71"/>
      <c r="G1073" s="71"/>
      <c r="H1073" s="71"/>
      <c r="I1073" s="64"/>
      <c r="J1073" s="64"/>
      <c r="K1073" s="65"/>
      <c r="L1073" s="65"/>
      <c r="M1073" s="65"/>
      <c r="N1073" s="65"/>
      <c r="O1073" s="65"/>
      <c r="P1073" s="65"/>
      <c r="Q1073" s="65"/>
      <c r="R1073" s="65"/>
      <c r="S1073" s="65"/>
      <c r="T1073" s="65"/>
      <c r="U1073" s="65"/>
      <c r="V1073" s="65"/>
      <c r="W1073" s="65"/>
      <c r="X1073" s="65"/>
    </row>
    <row r="1074">
      <c r="A1074" s="64"/>
      <c r="B1074" s="64"/>
      <c r="C1074" s="49"/>
      <c r="D1074" s="49"/>
      <c r="E1074" s="71"/>
      <c r="F1074" s="71"/>
      <c r="G1074" s="71"/>
      <c r="H1074" s="71"/>
      <c r="I1074" s="64"/>
      <c r="J1074" s="64"/>
      <c r="K1074" s="65"/>
      <c r="L1074" s="65"/>
      <c r="M1074" s="65"/>
      <c r="N1074" s="65"/>
      <c r="O1074" s="65"/>
      <c r="P1074" s="65"/>
      <c r="Q1074" s="65"/>
      <c r="R1074" s="65"/>
      <c r="S1074" s="65"/>
      <c r="T1074" s="65"/>
      <c r="U1074" s="65"/>
      <c r="V1074" s="65"/>
      <c r="W1074" s="65"/>
      <c r="X1074" s="65"/>
    </row>
    <row r="1075">
      <c r="A1075" s="64"/>
      <c r="B1075" s="64"/>
      <c r="C1075" s="49"/>
      <c r="D1075" s="49"/>
      <c r="E1075" s="71"/>
      <c r="F1075" s="71"/>
      <c r="G1075" s="71"/>
      <c r="H1075" s="71"/>
      <c r="I1075" s="64"/>
      <c r="J1075" s="64"/>
      <c r="K1075" s="65"/>
      <c r="L1075" s="65"/>
      <c r="M1075" s="65"/>
      <c r="N1075" s="65"/>
      <c r="O1075" s="65"/>
      <c r="P1075" s="65"/>
      <c r="Q1075" s="65"/>
      <c r="R1075" s="65"/>
      <c r="S1075" s="65"/>
      <c r="T1075" s="65"/>
      <c r="U1075" s="65"/>
      <c r="V1075" s="65"/>
      <c r="W1075" s="65"/>
      <c r="X1075" s="65"/>
    </row>
    <row r="1076">
      <c r="A1076" s="64"/>
      <c r="B1076" s="64"/>
      <c r="C1076" s="49"/>
      <c r="D1076" s="49"/>
      <c r="E1076" s="71"/>
      <c r="F1076" s="71"/>
      <c r="G1076" s="71"/>
      <c r="H1076" s="71"/>
      <c r="I1076" s="64"/>
      <c r="J1076" s="64"/>
      <c r="K1076" s="65"/>
      <c r="L1076" s="65"/>
      <c r="M1076" s="65"/>
      <c r="N1076" s="65"/>
      <c r="O1076" s="65"/>
      <c r="P1076" s="65"/>
      <c r="Q1076" s="65"/>
      <c r="R1076" s="65"/>
      <c r="S1076" s="65"/>
      <c r="T1076" s="65"/>
      <c r="U1076" s="65"/>
      <c r="V1076" s="65"/>
      <c r="W1076" s="65"/>
      <c r="X1076" s="65"/>
    </row>
    <row r="1077">
      <c r="A1077" s="64"/>
      <c r="B1077" s="64"/>
      <c r="C1077" s="49"/>
      <c r="D1077" s="49"/>
      <c r="E1077" s="71"/>
      <c r="F1077" s="71"/>
      <c r="G1077" s="71"/>
      <c r="H1077" s="71"/>
      <c r="I1077" s="64"/>
      <c r="J1077" s="64"/>
      <c r="K1077" s="65"/>
      <c r="L1077" s="65"/>
      <c r="M1077" s="65"/>
      <c r="N1077" s="65"/>
      <c r="O1077" s="65"/>
      <c r="P1077" s="65"/>
      <c r="Q1077" s="65"/>
      <c r="R1077" s="65"/>
      <c r="S1077" s="65"/>
      <c r="T1077" s="65"/>
      <c r="U1077" s="65"/>
      <c r="V1077" s="65"/>
      <c r="W1077" s="65"/>
      <c r="X1077" s="65"/>
    </row>
    <row r="1078">
      <c r="A1078" s="64"/>
      <c r="B1078" s="64"/>
      <c r="C1078" s="49"/>
      <c r="D1078" s="49"/>
      <c r="E1078" s="71"/>
      <c r="F1078" s="71"/>
      <c r="G1078" s="71"/>
      <c r="H1078" s="71"/>
      <c r="I1078" s="64"/>
      <c r="J1078" s="64"/>
      <c r="K1078" s="65"/>
      <c r="L1078" s="65"/>
      <c r="M1078" s="65"/>
      <c r="N1078" s="65"/>
      <c r="O1078" s="65"/>
      <c r="P1078" s="65"/>
      <c r="Q1078" s="65"/>
      <c r="R1078" s="65"/>
      <c r="S1078" s="65"/>
      <c r="T1078" s="65"/>
      <c r="U1078" s="65"/>
      <c r="V1078" s="65"/>
      <c r="W1078" s="65"/>
      <c r="X1078" s="65"/>
    </row>
    <row r="1079">
      <c r="A1079" s="64"/>
      <c r="B1079" s="64"/>
      <c r="C1079" s="49"/>
      <c r="D1079" s="49"/>
      <c r="E1079" s="71"/>
      <c r="F1079" s="71"/>
      <c r="G1079" s="71"/>
      <c r="H1079" s="71"/>
      <c r="I1079" s="64"/>
      <c r="J1079" s="64"/>
      <c r="K1079" s="65"/>
      <c r="L1079" s="65"/>
      <c r="M1079" s="65"/>
      <c r="N1079" s="65"/>
      <c r="O1079" s="65"/>
      <c r="P1079" s="65"/>
      <c r="Q1079" s="65"/>
      <c r="R1079" s="65"/>
      <c r="S1079" s="65"/>
      <c r="T1079" s="65"/>
      <c r="U1079" s="65"/>
      <c r="V1079" s="65"/>
      <c r="W1079" s="65"/>
      <c r="X1079" s="65"/>
    </row>
    <row r="1080">
      <c r="A1080" s="64"/>
      <c r="B1080" s="64"/>
      <c r="C1080" s="49"/>
      <c r="D1080" s="49"/>
      <c r="E1080" s="71"/>
      <c r="F1080" s="71"/>
      <c r="G1080" s="71"/>
      <c r="H1080" s="71"/>
      <c r="I1080" s="64"/>
      <c r="J1080" s="64"/>
      <c r="K1080" s="65"/>
      <c r="L1080" s="65"/>
      <c r="M1080" s="65"/>
      <c r="N1080" s="65"/>
      <c r="O1080" s="65"/>
      <c r="P1080" s="65"/>
      <c r="Q1080" s="65"/>
      <c r="R1080" s="65"/>
      <c r="S1080" s="65"/>
      <c r="T1080" s="65"/>
      <c r="U1080" s="65"/>
      <c r="V1080" s="65"/>
      <c r="W1080" s="65"/>
      <c r="X1080" s="65"/>
    </row>
    <row r="1081">
      <c r="A1081" s="64"/>
      <c r="B1081" s="64"/>
      <c r="C1081" s="49"/>
      <c r="D1081" s="49"/>
      <c r="E1081" s="71"/>
      <c r="F1081" s="71"/>
      <c r="G1081" s="71"/>
      <c r="H1081" s="71"/>
      <c r="I1081" s="64"/>
      <c r="J1081" s="64"/>
      <c r="K1081" s="65"/>
      <c r="L1081" s="65"/>
      <c r="M1081" s="65"/>
      <c r="N1081" s="65"/>
      <c r="O1081" s="65"/>
      <c r="P1081" s="65"/>
      <c r="Q1081" s="65"/>
      <c r="R1081" s="65"/>
      <c r="S1081" s="65"/>
      <c r="T1081" s="65"/>
      <c r="U1081" s="65"/>
      <c r="V1081" s="65"/>
      <c r="W1081" s="65"/>
      <c r="X1081" s="65"/>
    </row>
    <row r="1082">
      <c r="A1082" s="64"/>
      <c r="B1082" s="64"/>
      <c r="C1082" s="49"/>
      <c r="D1082" s="49"/>
      <c r="E1082" s="71"/>
      <c r="F1082" s="71"/>
      <c r="G1082" s="71"/>
      <c r="H1082" s="71"/>
      <c r="I1082" s="64"/>
      <c r="J1082" s="64"/>
      <c r="K1082" s="65"/>
      <c r="L1082" s="65"/>
      <c r="M1082" s="65"/>
      <c r="N1082" s="65"/>
      <c r="O1082" s="65"/>
      <c r="P1082" s="65"/>
      <c r="Q1082" s="65"/>
      <c r="R1082" s="65"/>
      <c r="S1082" s="65"/>
      <c r="T1082" s="65"/>
      <c r="U1082" s="65"/>
      <c r="V1082" s="65"/>
      <c r="W1082" s="65"/>
      <c r="X1082" s="65"/>
    </row>
    <row r="1083">
      <c r="A1083" s="64"/>
      <c r="B1083" s="64"/>
      <c r="C1083" s="49"/>
      <c r="D1083" s="49"/>
      <c r="E1083" s="71"/>
      <c r="F1083" s="71"/>
      <c r="G1083" s="71"/>
      <c r="H1083" s="71"/>
      <c r="I1083" s="64"/>
      <c r="J1083" s="64"/>
      <c r="K1083" s="65"/>
      <c r="L1083" s="65"/>
      <c r="M1083" s="65"/>
      <c r="N1083" s="65"/>
      <c r="O1083" s="65"/>
      <c r="P1083" s="65"/>
      <c r="Q1083" s="65"/>
      <c r="R1083" s="65"/>
      <c r="S1083" s="65"/>
      <c r="T1083" s="65"/>
      <c r="U1083" s="65"/>
      <c r="V1083" s="65"/>
      <c r="W1083" s="65"/>
      <c r="X1083" s="65"/>
    </row>
    <row r="1084">
      <c r="A1084" s="64"/>
      <c r="B1084" s="64"/>
      <c r="C1084" s="49"/>
      <c r="D1084" s="49"/>
      <c r="E1084" s="71"/>
      <c r="F1084" s="71"/>
      <c r="G1084" s="71"/>
      <c r="H1084" s="71"/>
      <c r="I1084" s="64"/>
      <c r="J1084" s="64"/>
      <c r="K1084" s="65"/>
      <c r="L1084" s="65"/>
      <c r="M1084" s="65"/>
      <c r="N1084" s="65"/>
      <c r="O1084" s="65"/>
      <c r="P1084" s="65"/>
      <c r="Q1084" s="65"/>
      <c r="R1084" s="65"/>
      <c r="S1084" s="65"/>
      <c r="T1084" s="65"/>
      <c r="U1084" s="65"/>
      <c r="V1084" s="65"/>
      <c r="W1084" s="65"/>
      <c r="X1084" s="65"/>
    </row>
    <row r="1085">
      <c r="A1085" s="64"/>
      <c r="B1085" s="64"/>
      <c r="C1085" s="49"/>
      <c r="D1085" s="49"/>
      <c r="E1085" s="71"/>
      <c r="F1085" s="71"/>
      <c r="G1085" s="71"/>
      <c r="H1085" s="71"/>
      <c r="I1085" s="64"/>
      <c r="J1085" s="64"/>
      <c r="K1085" s="65"/>
      <c r="L1085" s="65"/>
      <c r="M1085" s="65"/>
      <c r="N1085" s="65"/>
      <c r="O1085" s="65"/>
      <c r="P1085" s="65"/>
      <c r="Q1085" s="65"/>
      <c r="R1085" s="65"/>
      <c r="S1085" s="65"/>
      <c r="T1085" s="65"/>
      <c r="U1085" s="65"/>
      <c r="V1085" s="65"/>
      <c r="W1085" s="65"/>
      <c r="X1085" s="65"/>
    </row>
    <row r="1086">
      <c r="A1086" s="64"/>
      <c r="B1086" s="64"/>
      <c r="C1086" s="49"/>
      <c r="D1086" s="49"/>
      <c r="E1086" s="71"/>
      <c r="F1086" s="71"/>
      <c r="G1086" s="71"/>
      <c r="H1086" s="71"/>
      <c r="I1086" s="64"/>
      <c r="J1086" s="64"/>
      <c r="K1086" s="65"/>
      <c r="L1086" s="65"/>
      <c r="M1086" s="65"/>
      <c r="N1086" s="65"/>
      <c r="O1086" s="65"/>
      <c r="P1086" s="65"/>
      <c r="Q1086" s="65"/>
      <c r="R1086" s="65"/>
      <c r="S1086" s="65"/>
      <c r="T1086" s="65"/>
      <c r="U1086" s="65"/>
      <c r="V1086" s="65"/>
      <c r="W1086" s="65"/>
      <c r="X1086" s="65"/>
    </row>
    <row r="1087">
      <c r="A1087" s="64"/>
      <c r="B1087" s="64"/>
      <c r="C1087" s="49"/>
      <c r="D1087" s="49"/>
      <c r="E1087" s="71"/>
      <c r="F1087" s="71"/>
      <c r="G1087" s="71"/>
      <c r="H1087" s="71"/>
      <c r="I1087" s="64"/>
      <c r="J1087" s="64"/>
      <c r="K1087" s="65"/>
      <c r="L1087" s="65"/>
      <c r="M1087" s="65"/>
      <c r="N1087" s="65"/>
      <c r="O1087" s="65"/>
      <c r="P1087" s="65"/>
      <c r="Q1087" s="65"/>
      <c r="R1087" s="65"/>
      <c r="S1087" s="65"/>
      <c r="T1087" s="65"/>
      <c r="U1087" s="65"/>
      <c r="V1087" s="65"/>
      <c r="W1087" s="65"/>
      <c r="X1087" s="65"/>
    </row>
    <row r="1088">
      <c r="A1088" s="64"/>
      <c r="B1088" s="64"/>
      <c r="C1088" s="49"/>
      <c r="D1088" s="49"/>
      <c r="E1088" s="71"/>
      <c r="F1088" s="71"/>
      <c r="G1088" s="71"/>
      <c r="H1088" s="71"/>
      <c r="I1088" s="64"/>
      <c r="J1088" s="64"/>
      <c r="K1088" s="65"/>
      <c r="L1088" s="65"/>
      <c r="M1088" s="65"/>
      <c r="N1088" s="65"/>
      <c r="O1088" s="65"/>
      <c r="P1088" s="65"/>
      <c r="Q1088" s="65"/>
      <c r="R1088" s="65"/>
      <c r="S1088" s="65"/>
      <c r="T1088" s="65"/>
      <c r="U1088" s="65"/>
      <c r="V1088" s="65"/>
      <c r="W1088" s="65"/>
      <c r="X1088" s="65"/>
    </row>
    <row r="1089">
      <c r="A1089" s="64"/>
      <c r="B1089" s="64"/>
      <c r="C1089" s="49"/>
      <c r="D1089" s="49"/>
      <c r="E1089" s="71"/>
      <c r="F1089" s="71"/>
      <c r="G1089" s="71"/>
      <c r="H1089" s="71"/>
      <c r="I1089" s="64"/>
      <c r="J1089" s="64"/>
      <c r="K1089" s="65"/>
      <c r="L1089" s="65"/>
      <c r="M1089" s="65"/>
      <c r="N1089" s="65"/>
      <c r="O1089" s="65"/>
      <c r="P1089" s="65"/>
      <c r="Q1089" s="65"/>
      <c r="R1089" s="65"/>
      <c r="S1089" s="65"/>
      <c r="T1089" s="65"/>
      <c r="U1089" s="65"/>
      <c r="V1089" s="65"/>
      <c r="W1089" s="65"/>
      <c r="X1089" s="65"/>
    </row>
    <row r="1090">
      <c r="A1090" s="64"/>
      <c r="B1090" s="64"/>
      <c r="C1090" s="49"/>
      <c r="D1090" s="49"/>
      <c r="E1090" s="71"/>
      <c r="F1090" s="71"/>
      <c r="G1090" s="71"/>
      <c r="H1090" s="71"/>
      <c r="I1090" s="64"/>
      <c r="J1090" s="64"/>
      <c r="K1090" s="65"/>
      <c r="L1090" s="65"/>
      <c r="M1090" s="65"/>
      <c r="N1090" s="65"/>
      <c r="O1090" s="65"/>
      <c r="P1090" s="65"/>
      <c r="Q1090" s="65"/>
      <c r="R1090" s="65"/>
      <c r="S1090" s="65"/>
      <c r="T1090" s="65"/>
      <c r="U1090" s="65"/>
      <c r="V1090" s="65"/>
      <c r="W1090" s="65"/>
      <c r="X1090" s="65"/>
    </row>
    <row r="1091">
      <c r="A1091" s="64"/>
      <c r="B1091" s="64"/>
      <c r="C1091" s="49"/>
      <c r="D1091" s="49"/>
      <c r="E1091" s="71"/>
      <c r="F1091" s="71"/>
      <c r="G1091" s="71"/>
      <c r="H1091" s="71"/>
      <c r="I1091" s="64"/>
      <c r="J1091" s="64"/>
      <c r="K1091" s="65"/>
      <c r="L1091" s="65"/>
      <c r="M1091" s="65"/>
      <c r="N1091" s="65"/>
      <c r="O1091" s="65"/>
      <c r="P1091" s="65"/>
      <c r="Q1091" s="65"/>
      <c r="R1091" s="65"/>
      <c r="S1091" s="65"/>
      <c r="T1091" s="65"/>
      <c r="U1091" s="65"/>
      <c r="V1091" s="65"/>
      <c r="W1091" s="65"/>
      <c r="X1091" s="65"/>
    </row>
    <row r="1092">
      <c r="A1092" s="64"/>
      <c r="B1092" s="64"/>
      <c r="C1092" s="49"/>
      <c r="D1092" s="49"/>
      <c r="E1092" s="71"/>
      <c r="F1092" s="71"/>
      <c r="G1092" s="71"/>
      <c r="H1092" s="71"/>
      <c r="I1092" s="64"/>
      <c r="J1092" s="64"/>
      <c r="K1092" s="65"/>
      <c r="L1092" s="65"/>
      <c r="M1092" s="65"/>
      <c r="N1092" s="65"/>
      <c r="O1092" s="65"/>
      <c r="P1092" s="65"/>
      <c r="Q1092" s="65"/>
      <c r="R1092" s="65"/>
      <c r="S1092" s="65"/>
      <c r="T1092" s="65"/>
      <c r="U1092" s="65"/>
      <c r="V1092" s="65"/>
      <c r="W1092" s="65"/>
      <c r="X1092" s="65"/>
    </row>
    <row r="1093">
      <c r="A1093" s="64"/>
      <c r="B1093" s="64"/>
      <c r="C1093" s="49"/>
      <c r="D1093" s="49"/>
      <c r="E1093" s="71"/>
      <c r="F1093" s="71"/>
      <c r="G1093" s="71"/>
      <c r="H1093" s="71"/>
      <c r="I1093" s="64"/>
      <c r="J1093" s="64"/>
      <c r="K1093" s="65"/>
      <c r="L1093" s="65"/>
      <c r="M1093" s="65"/>
      <c r="N1093" s="65"/>
      <c r="O1093" s="65"/>
      <c r="P1093" s="65"/>
      <c r="Q1093" s="65"/>
      <c r="R1093" s="65"/>
      <c r="S1093" s="65"/>
      <c r="T1093" s="65"/>
      <c r="U1093" s="65"/>
      <c r="V1093" s="65"/>
      <c r="W1093" s="65"/>
      <c r="X1093" s="65"/>
    </row>
    <row r="1094">
      <c r="A1094" s="64"/>
      <c r="B1094" s="64"/>
      <c r="C1094" s="49"/>
      <c r="D1094" s="49"/>
      <c r="E1094" s="71"/>
      <c r="F1094" s="71"/>
      <c r="G1094" s="71"/>
      <c r="H1094" s="71"/>
      <c r="I1094" s="64"/>
      <c r="J1094" s="64"/>
      <c r="K1094" s="65"/>
      <c r="L1094" s="65"/>
      <c r="M1094" s="65"/>
      <c r="N1094" s="65"/>
      <c r="O1094" s="65"/>
      <c r="P1094" s="65"/>
      <c r="Q1094" s="65"/>
      <c r="R1094" s="65"/>
      <c r="S1094" s="65"/>
      <c r="T1094" s="65"/>
      <c r="U1094" s="65"/>
      <c r="V1094" s="65"/>
      <c r="W1094" s="65"/>
      <c r="X1094" s="65"/>
    </row>
    <row r="1095">
      <c r="A1095" s="64"/>
      <c r="B1095" s="64"/>
      <c r="C1095" s="49"/>
      <c r="D1095" s="49"/>
      <c r="E1095" s="71"/>
      <c r="F1095" s="71"/>
      <c r="G1095" s="71"/>
      <c r="H1095" s="71"/>
      <c r="I1095" s="64"/>
      <c r="J1095" s="64"/>
      <c r="K1095" s="65"/>
      <c r="L1095" s="65"/>
      <c r="M1095" s="65"/>
      <c r="N1095" s="65"/>
      <c r="O1095" s="65"/>
      <c r="P1095" s="65"/>
      <c r="Q1095" s="65"/>
      <c r="R1095" s="65"/>
      <c r="S1095" s="65"/>
      <c r="T1095" s="65"/>
      <c r="U1095" s="65"/>
      <c r="V1095" s="65"/>
      <c r="W1095" s="65"/>
      <c r="X1095" s="65"/>
    </row>
    <row r="1096">
      <c r="A1096" s="64"/>
      <c r="B1096" s="64"/>
      <c r="C1096" s="49"/>
      <c r="D1096" s="49"/>
      <c r="E1096" s="71"/>
      <c r="F1096" s="71"/>
      <c r="G1096" s="71"/>
      <c r="H1096" s="71"/>
      <c r="I1096" s="64"/>
      <c r="J1096" s="64"/>
      <c r="K1096" s="65"/>
      <c r="L1096" s="65"/>
      <c r="M1096" s="65"/>
      <c r="N1096" s="65"/>
      <c r="O1096" s="65"/>
      <c r="P1096" s="65"/>
      <c r="Q1096" s="65"/>
      <c r="R1096" s="65"/>
      <c r="S1096" s="65"/>
      <c r="T1096" s="65"/>
      <c r="U1096" s="65"/>
      <c r="V1096" s="65"/>
      <c r="W1096" s="65"/>
      <c r="X1096" s="65"/>
    </row>
    <row r="1097">
      <c r="A1097" s="64"/>
      <c r="B1097" s="64"/>
      <c r="C1097" s="49"/>
      <c r="D1097" s="49"/>
      <c r="E1097" s="71"/>
      <c r="F1097" s="71"/>
      <c r="G1097" s="71"/>
      <c r="H1097" s="71"/>
      <c r="I1097" s="64"/>
      <c r="J1097" s="64"/>
      <c r="K1097" s="65"/>
      <c r="L1097" s="65"/>
      <c r="M1097" s="65"/>
      <c r="N1097" s="65"/>
      <c r="O1097" s="65"/>
      <c r="P1097" s="65"/>
      <c r="Q1097" s="65"/>
      <c r="R1097" s="65"/>
      <c r="S1097" s="65"/>
      <c r="T1097" s="65"/>
      <c r="U1097" s="65"/>
      <c r="V1097" s="65"/>
      <c r="W1097" s="65"/>
      <c r="X1097" s="65"/>
    </row>
    <row r="1098">
      <c r="A1098" s="64"/>
      <c r="B1098" s="64"/>
      <c r="C1098" s="49"/>
      <c r="D1098" s="49"/>
      <c r="E1098" s="71"/>
      <c r="F1098" s="71"/>
      <c r="G1098" s="71"/>
      <c r="H1098" s="71"/>
      <c r="I1098" s="64"/>
      <c r="J1098" s="64"/>
      <c r="K1098" s="65"/>
      <c r="L1098" s="65"/>
      <c r="M1098" s="65"/>
      <c r="N1098" s="65"/>
      <c r="O1098" s="65"/>
      <c r="P1098" s="65"/>
      <c r="Q1098" s="65"/>
      <c r="R1098" s="65"/>
      <c r="S1098" s="65"/>
      <c r="T1098" s="65"/>
      <c r="U1098" s="65"/>
      <c r="V1098" s="65"/>
      <c r="W1098" s="65"/>
      <c r="X1098" s="65"/>
    </row>
    <row r="1099">
      <c r="A1099" s="64"/>
      <c r="B1099" s="64"/>
      <c r="C1099" s="49"/>
      <c r="D1099" s="49"/>
      <c r="E1099" s="71"/>
      <c r="F1099" s="71"/>
      <c r="G1099" s="71"/>
      <c r="H1099" s="71"/>
      <c r="I1099" s="64"/>
      <c r="J1099" s="64"/>
      <c r="K1099" s="65"/>
      <c r="L1099" s="65"/>
      <c r="M1099" s="65"/>
      <c r="N1099" s="65"/>
      <c r="O1099" s="65"/>
      <c r="P1099" s="65"/>
      <c r="Q1099" s="65"/>
      <c r="R1099" s="65"/>
      <c r="S1099" s="65"/>
      <c r="T1099" s="65"/>
      <c r="U1099" s="65"/>
      <c r="V1099" s="65"/>
      <c r="W1099" s="65"/>
      <c r="X1099" s="65"/>
    </row>
    <row r="1100">
      <c r="A1100" s="64"/>
      <c r="B1100" s="64"/>
      <c r="C1100" s="49"/>
      <c r="D1100" s="49"/>
      <c r="E1100" s="71"/>
      <c r="F1100" s="71"/>
      <c r="G1100" s="71"/>
      <c r="H1100" s="71"/>
      <c r="I1100" s="64"/>
      <c r="J1100" s="64"/>
      <c r="K1100" s="65"/>
      <c r="L1100" s="65"/>
      <c r="M1100" s="65"/>
      <c r="N1100" s="65"/>
      <c r="O1100" s="65"/>
      <c r="P1100" s="65"/>
      <c r="Q1100" s="65"/>
      <c r="R1100" s="65"/>
      <c r="S1100" s="65"/>
      <c r="T1100" s="65"/>
      <c r="U1100" s="65"/>
      <c r="V1100" s="65"/>
      <c r="W1100" s="65"/>
      <c r="X1100" s="65"/>
    </row>
    <row r="1101">
      <c r="A1101" s="64"/>
      <c r="B1101" s="64"/>
      <c r="C1101" s="49"/>
      <c r="D1101" s="49"/>
      <c r="E1101" s="71"/>
      <c r="F1101" s="71"/>
      <c r="G1101" s="71"/>
      <c r="H1101" s="71"/>
      <c r="I1101" s="64"/>
      <c r="J1101" s="64"/>
      <c r="K1101" s="65"/>
      <c r="L1101" s="65"/>
      <c r="M1101" s="65"/>
      <c r="N1101" s="65"/>
      <c r="O1101" s="65"/>
      <c r="P1101" s="65"/>
      <c r="Q1101" s="65"/>
      <c r="R1101" s="65"/>
      <c r="S1101" s="65"/>
      <c r="T1101" s="65"/>
      <c r="U1101" s="65"/>
      <c r="V1101" s="65"/>
      <c r="W1101" s="65"/>
      <c r="X1101" s="65"/>
    </row>
    <row r="1102">
      <c r="A1102" s="64"/>
      <c r="B1102" s="64"/>
      <c r="C1102" s="49"/>
      <c r="D1102" s="49"/>
      <c r="E1102" s="71"/>
      <c r="F1102" s="71"/>
      <c r="G1102" s="71"/>
      <c r="H1102" s="71"/>
      <c r="I1102" s="64"/>
      <c r="J1102" s="64"/>
      <c r="K1102" s="65"/>
      <c r="L1102" s="65"/>
      <c r="M1102" s="65"/>
      <c r="N1102" s="65"/>
      <c r="O1102" s="65"/>
      <c r="P1102" s="65"/>
      <c r="Q1102" s="65"/>
      <c r="R1102" s="65"/>
      <c r="S1102" s="65"/>
      <c r="T1102" s="65"/>
      <c r="U1102" s="65"/>
      <c r="V1102" s="65"/>
      <c r="W1102" s="65"/>
      <c r="X1102" s="65"/>
    </row>
    <row r="1103">
      <c r="A1103" s="64"/>
      <c r="B1103" s="64"/>
      <c r="C1103" s="49"/>
      <c r="D1103" s="49"/>
      <c r="E1103" s="71"/>
      <c r="F1103" s="71"/>
      <c r="G1103" s="71"/>
      <c r="H1103" s="71"/>
      <c r="I1103" s="64"/>
      <c r="J1103" s="64"/>
      <c r="K1103" s="65"/>
      <c r="L1103" s="65"/>
      <c r="M1103" s="65"/>
      <c r="N1103" s="65"/>
      <c r="O1103" s="65"/>
      <c r="P1103" s="65"/>
      <c r="Q1103" s="65"/>
      <c r="R1103" s="65"/>
      <c r="S1103" s="65"/>
      <c r="T1103" s="65"/>
      <c r="U1103" s="65"/>
      <c r="V1103" s="65"/>
      <c r="W1103" s="65"/>
      <c r="X1103" s="65"/>
    </row>
    <row r="1104">
      <c r="A1104" s="64"/>
      <c r="B1104" s="64"/>
      <c r="C1104" s="49"/>
      <c r="D1104" s="49"/>
      <c r="E1104" s="71"/>
      <c r="F1104" s="71"/>
      <c r="G1104" s="71"/>
      <c r="H1104" s="71"/>
      <c r="I1104" s="64"/>
      <c r="J1104" s="64"/>
      <c r="K1104" s="65"/>
      <c r="L1104" s="65"/>
      <c r="M1104" s="65"/>
      <c r="N1104" s="65"/>
      <c r="O1104" s="65"/>
      <c r="P1104" s="65"/>
      <c r="Q1104" s="65"/>
      <c r="R1104" s="65"/>
      <c r="S1104" s="65"/>
      <c r="T1104" s="65"/>
      <c r="U1104" s="65"/>
      <c r="V1104" s="65"/>
      <c r="W1104" s="65"/>
      <c r="X1104" s="65"/>
    </row>
    <row r="1105">
      <c r="A1105" s="64"/>
      <c r="B1105" s="64"/>
      <c r="C1105" s="49"/>
      <c r="D1105" s="49"/>
      <c r="E1105" s="71"/>
      <c r="F1105" s="71"/>
      <c r="G1105" s="71"/>
      <c r="H1105" s="71"/>
      <c r="I1105" s="64"/>
      <c r="J1105" s="64"/>
      <c r="K1105" s="65"/>
      <c r="L1105" s="65"/>
      <c r="M1105" s="65"/>
      <c r="N1105" s="65"/>
      <c r="O1105" s="65"/>
      <c r="P1105" s="65"/>
      <c r="Q1105" s="65"/>
      <c r="R1105" s="65"/>
      <c r="S1105" s="65"/>
      <c r="T1105" s="65"/>
      <c r="U1105" s="65"/>
      <c r="V1105" s="65"/>
      <c r="W1105" s="65"/>
      <c r="X1105" s="65"/>
    </row>
    <row r="1106">
      <c r="A1106" s="64"/>
      <c r="B1106" s="64"/>
      <c r="C1106" s="49"/>
      <c r="D1106" s="49"/>
      <c r="E1106" s="71"/>
      <c r="F1106" s="71"/>
      <c r="G1106" s="71"/>
      <c r="H1106" s="71"/>
      <c r="I1106" s="64"/>
      <c r="J1106" s="64"/>
      <c r="K1106" s="65"/>
      <c r="L1106" s="65"/>
      <c r="M1106" s="65"/>
      <c r="N1106" s="65"/>
      <c r="O1106" s="65"/>
      <c r="P1106" s="65"/>
      <c r="Q1106" s="65"/>
      <c r="R1106" s="65"/>
      <c r="S1106" s="65"/>
      <c r="T1106" s="65"/>
      <c r="U1106" s="65"/>
      <c r="V1106" s="65"/>
      <c r="W1106" s="65"/>
      <c r="X1106" s="65"/>
    </row>
    <row r="1107">
      <c r="A1107" s="64"/>
      <c r="B1107" s="64"/>
      <c r="C1107" s="49"/>
      <c r="D1107" s="49"/>
      <c r="E1107" s="71"/>
      <c r="F1107" s="71"/>
      <c r="G1107" s="71"/>
      <c r="H1107" s="71"/>
      <c r="I1107" s="64"/>
      <c r="J1107" s="64"/>
      <c r="K1107" s="65"/>
      <c r="L1107" s="65"/>
      <c r="M1107" s="65"/>
      <c r="N1107" s="65"/>
      <c r="O1107" s="65"/>
      <c r="P1107" s="65"/>
      <c r="Q1107" s="65"/>
      <c r="R1107" s="65"/>
      <c r="S1107" s="65"/>
      <c r="T1107" s="65"/>
      <c r="U1107" s="65"/>
      <c r="V1107" s="65"/>
      <c r="W1107" s="65"/>
      <c r="X1107" s="65"/>
    </row>
    <row r="1108">
      <c r="A1108" s="64"/>
      <c r="B1108" s="64"/>
      <c r="C1108" s="49"/>
      <c r="D1108" s="49"/>
      <c r="E1108" s="71"/>
      <c r="F1108" s="71"/>
      <c r="G1108" s="71"/>
      <c r="H1108" s="71"/>
      <c r="I1108" s="64"/>
      <c r="J1108" s="64"/>
      <c r="K1108" s="65"/>
      <c r="L1108" s="65"/>
      <c r="M1108" s="65"/>
      <c r="N1108" s="65"/>
      <c r="O1108" s="65"/>
      <c r="P1108" s="65"/>
      <c r="Q1108" s="65"/>
      <c r="R1108" s="65"/>
      <c r="S1108" s="65"/>
      <c r="T1108" s="65"/>
      <c r="U1108" s="65"/>
      <c r="V1108" s="65"/>
      <c r="W1108" s="65"/>
      <c r="X1108" s="65"/>
    </row>
    <row r="1109">
      <c r="A1109" s="64"/>
      <c r="B1109" s="64"/>
      <c r="C1109" s="49"/>
      <c r="D1109" s="49"/>
      <c r="E1109" s="71"/>
      <c r="F1109" s="71"/>
      <c r="G1109" s="71"/>
      <c r="H1109" s="71"/>
      <c r="I1109" s="64"/>
      <c r="J1109" s="64"/>
      <c r="K1109" s="65"/>
      <c r="L1109" s="65"/>
      <c r="M1109" s="65"/>
      <c r="N1109" s="65"/>
      <c r="O1109" s="65"/>
      <c r="P1109" s="65"/>
      <c r="Q1109" s="65"/>
      <c r="R1109" s="65"/>
      <c r="S1109" s="65"/>
      <c r="T1109" s="65"/>
      <c r="U1109" s="65"/>
      <c r="V1109" s="65"/>
      <c r="W1109" s="65"/>
      <c r="X1109" s="65"/>
    </row>
    <row r="1110">
      <c r="A1110" s="64"/>
      <c r="B1110" s="64"/>
      <c r="C1110" s="49"/>
      <c r="D1110" s="49"/>
      <c r="E1110" s="71"/>
      <c r="F1110" s="71"/>
      <c r="G1110" s="71"/>
      <c r="H1110" s="71"/>
      <c r="I1110" s="64"/>
      <c r="J1110" s="64"/>
      <c r="K1110" s="65"/>
      <c r="L1110" s="65"/>
      <c r="M1110" s="65"/>
      <c r="N1110" s="65"/>
      <c r="O1110" s="65"/>
      <c r="P1110" s="65"/>
      <c r="Q1110" s="65"/>
      <c r="R1110" s="65"/>
      <c r="S1110" s="65"/>
      <c r="T1110" s="65"/>
      <c r="U1110" s="65"/>
      <c r="V1110" s="65"/>
      <c r="W1110" s="65"/>
      <c r="X1110" s="65"/>
    </row>
    <row r="1111">
      <c r="A1111" s="64"/>
      <c r="B1111" s="64"/>
      <c r="C1111" s="49"/>
      <c r="D1111" s="49"/>
      <c r="E1111" s="71"/>
      <c r="F1111" s="71"/>
      <c r="G1111" s="71"/>
      <c r="H1111" s="71"/>
      <c r="I1111" s="64"/>
      <c r="J1111" s="64"/>
      <c r="K1111" s="65"/>
      <c r="L1111" s="65"/>
      <c r="M1111" s="65"/>
      <c r="N1111" s="65"/>
      <c r="O1111" s="65"/>
      <c r="P1111" s="65"/>
      <c r="Q1111" s="65"/>
      <c r="R1111" s="65"/>
      <c r="S1111" s="65"/>
      <c r="T1111" s="65"/>
      <c r="U1111" s="65"/>
      <c r="V1111" s="65"/>
      <c r="W1111" s="65"/>
      <c r="X1111" s="65"/>
    </row>
    <row r="1112">
      <c r="A1112" s="64"/>
      <c r="B1112" s="64"/>
      <c r="C1112" s="49"/>
      <c r="D1112" s="49"/>
      <c r="E1112" s="71"/>
      <c r="F1112" s="71"/>
      <c r="G1112" s="71"/>
      <c r="H1112" s="71"/>
      <c r="I1112" s="64"/>
      <c r="J1112" s="64"/>
      <c r="K1112" s="65"/>
      <c r="L1112" s="65"/>
      <c r="M1112" s="65"/>
      <c r="N1112" s="65"/>
      <c r="O1112" s="65"/>
      <c r="P1112" s="65"/>
      <c r="Q1112" s="65"/>
      <c r="R1112" s="65"/>
      <c r="S1112" s="65"/>
      <c r="T1112" s="65"/>
      <c r="U1112" s="65"/>
      <c r="V1112" s="65"/>
      <c r="W1112" s="65"/>
      <c r="X1112" s="65"/>
    </row>
    <row r="1113">
      <c r="A1113" s="64"/>
      <c r="B1113" s="64"/>
      <c r="C1113" s="49"/>
      <c r="D1113" s="49"/>
      <c r="E1113" s="71"/>
      <c r="F1113" s="71"/>
      <c r="G1113" s="71"/>
      <c r="H1113" s="71"/>
      <c r="I1113" s="64"/>
      <c r="J1113" s="64"/>
      <c r="K1113" s="65"/>
      <c r="L1113" s="65"/>
      <c r="M1113" s="65"/>
      <c r="N1113" s="65"/>
      <c r="O1113" s="65"/>
      <c r="P1113" s="65"/>
      <c r="Q1113" s="65"/>
      <c r="R1113" s="65"/>
      <c r="S1113" s="65"/>
      <c r="T1113" s="65"/>
      <c r="U1113" s="65"/>
      <c r="V1113" s="65"/>
      <c r="W1113" s="65"/>
      <c r="X1113" s="65"/>
    </row>
    <row r="1114">
      <c r="A1114" s="64"/>
      <c r="B1114" s="64"/>
      <c r="C1114" s="49"/>
      <c r="D1114" s="49"/>
      <c r="E1114" s="71"/>
      <c r="F1114" s="71"/>
      <c r="G1114" s="71"/>
      <c r="H1114" s="71"/>
      <c r="I1114" s="64"/>
      <c r="J1114" s="64"/>
      <c r="K1114" s="65"/>
      <c r="L1114" s="65"/>
      <c r="M1114" s="65"/>
      <c r="N1114" s="65"/>
      <c r="O1114" s="65"/>
      <c r="P1114" s="65"/>
      <c r="Q1114" s="65"/>
      <c r="R1114" s="65"/>
      <c r="S1114" s="65"/>
      <c r="T1114" s="65"/>
      <c r="U1114" s="65"/>
      <c r="V1114" s="65"/>
      <c r="W1114" s="65"/>
      <c r="X1114" s="65"/>
    </row>
    <row r="1115">
      <c r="A1115" s="64"/>
      <c r="B1115" s="64"/>
      <c r="C1115" s="49"/>
      <c r="D1115" s="49"/>
      <c r="E1115" s="71"/>
      <c r="F1115" s="71"/>
      <c r="G1115" s="71"/>
      <c r="H1115" s="71"/>
      <c r="I1115" s="64"/>
      <c r="J1115" s="64"/>
      <c r="K1115" s="65"/>
      <c r="L1115" s="65"/>
      <c r="M1115" s="65"/>
      <c r="N1115" s="65"/>
      <c r="O1115" s="65"/>
      <c r="P1115" s="65"/>
      <c r="Q1115" s="65"/>
      <c r="R1115" s="65"/>
      <c r="S1115" s="65"/>
      <c r="T1115" s="65"/>
      <c r="U1115" s="65"/>
      <c r="V1115" s="65"/>
      <c r="W1115" s="65"/>
      <c r="X1115" s="65"/>
    </row>
    <row r="1116">
      <c r="A1116" s="64"/>
      <c r="B1116" s="64"/>
      <c r="C1116" s="49"/>
      <c r="D1116" s="49"/>
      <c r="E1116" s="71"/>
      <c r="F1116" s="71"/>
      <c r="G1116" s="71"/>
      <c r="H1116" s="71"/>
      <c r="I1116" s="64"/>
      <c r="J1116" s="64"/>
      <c r="K1116" s="65"/>
      <c r="L1116" s="65"/>
      <c r="M1116" s="65"/>
      <c r="N1116" s="65"/>
      <c r="O1116" s="65"/>
      <c r="P1116" s="65"/>
      <c r="Q1116" s="65"/>
      <c r="R1116" s="65"/>
      <c r="S1116" s="65"/>
      <c r="T1116" s="65"/>
      <c r="U1116" s="65"/>
      <c r="V1116" s="65"/>
      <c r="W1116" s="65"/>
      <c r="X1116" s="65"/>
    </row>
    <row r="1117">
      <c r="A1117" s="64"/>
      <c r="B1117" s="64"/>
      <c r="C1117" s="49"/>
      <c r="D1117" s="49"/>
      <c r="E1117" s="71"/>
      <c r="F1117" s="71"/>
      <c r="G1117" s="71"/>
      <c r="H1117" s="71"/>
      <c r="I1117" s="64"/>
      <c r="J1117" s="64"/>
      <c r="K1117" s="65"/>
      <c r="L1117" s="65"/>
      <c r="M1117" s="65"/>
      <c r="N1117" s="65"/>
      <c r="O1117" s="65"/>
      <c r="P1117" s="65"/>
      <c r="Q1117" s="65"/>
      <c r="R1117" s="65"/>
      <c r="S1117" s="65"/>
      <c r="T1117" s="65"/>
      <c r="U1117" s="65"/>
      <c r="V1117" s="65"/>
      <c r="W1117" s="65"/>
      <c r="X1117" s="65"/>
    </row>
    <row r="1118">
      <c r="A1118" s="64"/>
      <c r="B1118" s="64"/>
      <c r="C1118" s="49"/>
      <c r="D1118" s="49"/>
      <c r="E1118" s="71"/>
      <c r="F1118" s="71"/>
      <c r="G1118" s="71"/>
      <c r="H1118" s="71"/>
      <c r="I1118" s="64"/>
      <c r="J1118" s="64"/>
      <c r="K1118" s="65"/>
      <c r="L1118" s="65"/>
      <c r="M1118" s="65"/>
      <c r="N1118" s="65"/>
      <c r="O1118" s="65"/>
      <c r="P1118" s="65"/>
      <c r="Q1118" s="65"/>
      <c r="R1118" s="65"/>
      <c r="S1118" s="65"/>
      <c r="T1118" s="65"/>
      <c r="U1118" s="65"/>
      <c r="V1118" s="65"/>
      <c r="W1118" s="65"/>
      <c r="X1118" s="65"/>
    </row>
  </sheetData>
  <hyperlinks>
    <hyperlink r:id="rId2" ref="A1"/>
    <hyperlink r:id="rId3" ref="B1"/>
    <hyperlink r:id="rId4" ref="C1"/>
    <hyperlink r:id="rId5" ref="D1"/>
    <hyperlink r:id="rId6" ref="E1"/>
    <hyperlink r:id="rId7" ref="G1"/>
    <hyperlink r:id="rId8" ref="H1"/>
    <hyperlink r:id="rId9" ref="I1"/>
    <hyperlink r:id="rId10" ref="J1"/>
    <hyperlink r:id="rId11" ref="A7"/>
    <hyperlink r:id="rId12" ref="I7"/>
    <hyperlink r:id="rId13" ref="A8"/>
    <hyperlink r:id="rId14" ref="B8"/>
    <hyperlink r:id="rId15" ref="C8"/>
    <hyperlink r:id="rId16" ref="D8"/>
    <hyperlink r:id="rId17" ref="E8"/>
    <hyperlink r:id="rId18" ref="F8"/>
    <hyperlink r:id="rId19" ref="G8"/>
    <hyperlink r:id="rId20" ref="H8"/>
    <hyperlink r:id="rId21" ref="I8"/>
    <hyperlink r:id="rId22" ref="J8"/>
    <hyperlink r:id="rId23" ref="A9"/>
    <hyperlink r:id="rId24" ref="B9"/>
    <hyperlink r:id="rId25" ref="C9"/>
    <hyperlink r:id="rId26" ref="D9"/>
    <hyperlink r:id="rId27" ref="E9"/>
    <hyperlink r:id="rId28" ref="F9"/>
    <hyperlink r:id="rId29" ref="G9"/>
    <hyperlink r:id="rId30" ref="H9"/>
    <hyperlink r:id="rId31" ref="I9"/>
    <hyperlink r:id="rId32" ref="A10"/>
    <hyperlink r:id="rId33" ref="D10"/>
    <hyperlink r:id="rId34" ref="E10"/>
    <hyperlink r:id="rId35" ref="A11"/>
    <hyperlink r:id="rId36" ref="B11"/>
    <hyperlink r:id="rId37" ref="C11"/>
    <hyperlink r:id="rId38" ref="D11"/>
    <hyperlink r:id="rId39" ref="E11"/>
    <hyperlink r:id="rId40" ref="F11"/>
    <hyperlink r:id="rId41" ref="G11"/>
    <hyperlink r:id="rId42" ref="H11"/>
    <hyperlink r:id="rId43" ref="I11"/>
    <hyperlink r:id="rId44" ref="A12"/>
    <hyperlink r:id="rId45" ref="B12"/>
    <hyperlink r:id="rId46" ref="C12"/>
    <hyperlink r:id="rId47" ref="D12"/>
    <hyperlink r:id="rId48" ref="E12"/>
    <hyperlink r:id="rId49" ref="F12"/>
    <hyperlink r:id="rId50" ref="G12"/>
    <hyperlink r:id="rId51" ref="H12"/>
    <hyperlink r:id="rId52" ref="I12"/>
    <hyperlink r:id="rId53" ref="A13"/>
    <hyperlink r:id="rId54" ref="B13"/>
    <hyperlink r:id="rId55" ref="C13"/>
    <hyperlink r:id="rId56" ref="D13"/>
    <hyperlink r:id="rId57" ref="E13"/>
    <hyperlink r:id="rId58" ref="F13"/>
    <hyperlink r:id="rId59" ref="G13"/>
    <hyperlink r:id="rId60" ref="H13"/>
    <hyperlink r:id="rId61" ref="I13"/>
    <hyperlink r:id="rId62"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6"/>
  </hyperlinks>
  <drawing r:id="rId63"/>
  <legacyDrawing r:id="rId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38"/>
    <col customWidth="1" min="38" max="38" width="18.5"/>
    <col customWidth="1" min="39" max="39" width="45.63"/>
    <col customWidth="1" min="40" max="41" width="23.75"/>
  </cols>
  <sheetData>
    <row r="1" ht="34.5" customHeight="1">
      <c r="A1" s="72" t="s">
        <v>233</v>
      </c>
      <c r="E1" s="72" t="s">
        <v>233</v>
      </c>
      <c r="I1" s="72" t="s">
        <v>234</v>
      </c>
      <c r="M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4" t="str">
        <f>IFERROR(__xludf.DUMMYFUNCTION("GOOGLETRANSLATE(M1,""zh-tw"",""KO"")"),"공식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5" t="s">
        <v>235</v>
      </c>
      <c r="AC1" s="7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75" t="s">
        <v>236</v>
      </c>
      <c r="AK1" s="76" t="s">
        <v>237</v>
      </c>
      <c r="AO1" s="72"/>
    </row>
    <row r="2" ht="34.5" customHeight="1">
      <c r="AO2" s="72"/>
    </row>
    <row r="3">
      <c r="A3" s="77" t="s">
        <v>238</v>
      </c>
      <c r="B3" s="78" t="s">
        <v>239</v>
      </c>
      <c r="C3" s="79" t="s">
        <v>240</v>
      </c>
      <c r="D3" s="80" t="s">
        <v>241</v>
      </c>
      <c r="E3" s="77" t="s">
        <v>238</v>
      </c>
      <c r="F3" s="78" t="str">
        <f>IFERROR(__xludf.DUMMYFUNCTION("GOOGLETRANSLATE(B3,""zh-tw"",""ja"")"),"SLG事件")</f>
        <v>SLG事件</v>
      </c>
      <c r="G3" s="79" t="str">
        <f>IFERROR(__xludf.DUMMYFUNCTION("GOOGLETRANSLATE(C3,""zh-tw"",""ja"")"),"説明する")</f>
        <v>説明する</v>
      </c>
      <c r="H3" s="80" t="str">
        <f>IFERROR(__xludf.DUMMYFUNCTION("GOOGLETRANSLATE(D3,""zh-tw"",""ja"")"),"結果")</f>
        <v>結果</v>
      </c>
      <c r="I3" s="77" t="s">
        <v>238</v>
      </c>
      <c r="J3" s="78" t="s">
        <v>242</v>
      </c>
      <c r="K3" s="79" t="s">
        <v>243</v>
      </c>
      <c r="L3" s="80" t="s">
        <v>244</v>
      </c>
      <c r="M3" s="81" t="str">
        <f>IFERROR(__xludf.DUMMYFUNCTION("GOOGLETRANSLATE(E3,""zh-tw"",""en"")"),"NO.")</f>
        <v>NO.</v>
      </c>
      <c r="N3" s="82" t="str">
        <f>IFERROR(__xludf.DUMMYFUNCTION("GOOGLETRANSLATE(B3,""zh-tw"",""zh"")"),"SLG事件")</f>
        <v>SLG事件</v>
      </c>
      <c r="O3" s="83" t="str">
        <f>IFERROR(__xludf.DUMMYFUNCTION("GOOGLETRANSLATE(C3,""zh-tw"",""zh"")"),"说明")</f>
        <v>说明</v>
      </c>
      <c r="P3" s="84" t="str">
        <f>IFERROR(__xludf.DUMMYFUNCTION("GOOGLETRANSLATE(D3,""zh-tw"",""zh"")"),"结果")</f>
        <v>结果</v>
      </c>
      <c r="Q3" s="81" t="s">
        <v>238</v>
      </c>
      <c r="R3" s="85" t="s">
        <v>245</v>
      </c>
      <c r="S3" s="86" t="s">
        <v>246</v>
      </c>
      <c r="T3" s="87" t="s">
        <v>247</v>
      </c>
      <c r="U3" s="81" t="s">
        <v>238</v>
      </c>
      <c r="V3" s="82" t="str">
        <f>IFERROR(__xludf.DUMMYFUNCTION("GOOGLETRANSLATE(B3,""zh-tw"",""KO"")"),"SLG 사건")</f>
        <v>SLG 사건</v>
      </c>
      <c r="W3" s="83" t="str">
        <f>IFERROR(__xludf.DUMMYFUNCTION("GOOGLETRANSLATE(C3,""zh-tw"",""KO"")"),"설명하다")</f>
        <v>설명하다</v>
      </c>
      <c r="X3" s="84" t="str">
        <f>IFERROR(__xludf.DUMMYFUNCTION("GOOGLETRANSLATE(D3,""zh-tw"",""KO"")"),"결과")</f>
        <v>결과</v>
      </c>
      <c r="Y3" s="77" t="s">
        <v>238</v>
      </c>
      <c r="Z3" s="78" t="s">
        <v>248</v>
      </c>
      <c r="AA3" s="79" t="s">
        <v>249</v>
      </c>
      <c r="AB3" s="80" t="s">
        <v>250</v>
      </c>
      <c r="AC3" s="77" t="s">
        <v>238</v>
      </c>
      <c r="AD3" s="85" t="s">
        <v>251</v>
      </c>
      <c r="AE3" s="79" t="s">
        <v>252</v>
      </c>
      <c r="AF3" s="87" t="s">
        <v>253</v>
      </c>
      <c r="AG3" s="88" t="s">
        <v>254</v>
      </c>
      <c r="AH3" s="89" t="s">
        <v>255</v>
      </c>
      <c r="AI3" s="90" t="s">
        <v>256</v>
      </c>
      <c r="AJ3" s="91" t="s">
        <v>257</v>
      </c>
      <c r="AK3" s="77" t="s">
        <v>238</v>
      </c>
      <c r="AL3" s="78" t="s">
        <v>258</v>
      </c>
      <c r="AM3" s="79" t="s">
        <v>259</v>
      </c>
      <c r="AN3" s="80" t="s">
        <v>247</v>
      </c>
      <c r="AO3" s="80"/>
    </row>
    <row r="4">
      <c r="A4" s="92"/>
      <c r="B4" s="93"/>
      <c r="C4" s="93"/>
      <c r="D4" s="93"/>
      <c r="E4" s="92"/>
      <c r="F4" s="93"/>
      <c r="G4" s="93"/>
      <c r="H4" s="93"/>
      <c r="I4" s="92"/>
      <c r="J4" s="93"/>
      <c r="K4" s="93"/>
      <c r="L4" s="93"/>
      <c r="M4" s="30"/>
      <c r="N4" s="65"/>
      <c r="O4" s="65"/>
      <c r="P4" s="93"/>
      <c r="Q4" s="30"/>
      <c r="R4" s="93"/>
      <c r="S4" s="65"/>
      <c r="T4" s="65"/>
      <c r="U4" s="30"/>
      <c r="V4" s="93"/>
      <c r="W4" s="93"/>
      <c r="X4" s="93"/>
      <c r="Y4" s="92"/>
      <c r="Z4" s="93"/>
      <c r="AA4" s="93"/>
      <c r="AB4" s="93"/>
      <c r="AC4" s="92"/>
      <c r="AD4" s="93"/>
      <c r="AE4" s="93"/>
      <c r="AF4" s="93"/>
      <c r="AG4" s="93"/>
      <c r="AH4" s="92"/>
      <c r="AI4" s="93"/>
      <c r="AJ4" s="93"/>
      <c r="AK4" s="94"/>
      <c r="AL4" s="94"/>
      <c r="AM4" s="94"/>
      <c r="AN4" s="94"/>
      <c r="AO4" s="93"/>
    </row>
    <row r="5">
      <c r="A5" s="95" t="s">
        <v>260</v>
      </c>
      <c r="B5" s="96" t="s">
        <v>261</v>
      </c>
      <c r="E5" s="95" t="s">
        <v>260</v>
      </c>
      <c r="F5" s="95" t="s">
        <v>262</v>
      </c>
      <c r="I5" s="95" t="s">
        <v>260</v>
      </c>
      <c r="J5" s="95" t="s">
        <v>263</v>
      </c>
      <c r="M5" s="95" t="s">
        <v>260</v>
      </c>
      <c r="N5" s="96" t="str">
        <f>IFERROR(__xludf.DUMMYFUNCTION("GOOGLETRANSLATE(B5,""zh-tw"",""zh"")"),"平时相关")</f>
        <v>平时相关</v>
      </c>
      <c r="Q5" s="95" t="s">
        <v>260</v>
      </c>
      <c r="R5" s="95" t="s">
        <v>264</v>
      </c>
      <c r="U5" s="95" t="s">
        <v>260</v>
      </c>
      <c r="V5" s="95" t="s">
        <v>265</v>
      </c>
      <c r="Y5" s="95" t="s">
        <v>260</v>
      </c>
      <c r="Z5" s="95" t="s">
        <v>266</v>
      </c>
      <c r="AC5" s="95" t="s">
        <v>260</v>
      </c>
      <c r="AD5" s="95" t="s">
        <v>267</v>
      </c>
      <c r="AG5" s="97" t="s">
        <v>260</v>
      </c>
      <c r="AH5" s="96" t="s">
        <v>268</v>
      </c>
      <c r="AK5" s="96" t="s">
        <v>260</v>
      </c>
      <c r="AL5" s="96" t="s">
        <v>269</v>
      </c>
      <c r="AO5" s="96"/>
    </row>
    <row r="6">
      <c r="A6" s="98">
        <v>1.0</v>
      </c>
      <c r="B6" s="99" t="s">
        <v>270</v>
      </c>
      <c r="C6" s="100" t="s">
        <v>271</v>
      </c>
      <c r="D6" s="101" t="s">
        <v>272</v>
      </c>
      <c r="E6" s="98">
        <v>1.0</v>
      </c>
      <c r="F6" s="99" t="s">
        <v>273</v>
      </c>
      <c r="G6" s="100" t="str">
        <f>IFERROR(__xludf.DUMMYFUNCTION("GOOGLETRANSLATE(C6,""zh-tw"",""ja"")"),"妹を抱きしめて")</f>
        <v>妹を抱きしめて</v>
      </c>
      <c r="H6" s="101" t="s">
        <v>274</v>
      </c>
      <c r="I6" s="98">
        <v>1.0</v>
      </c>
      <c r="J6" s="99" t="s">
        <v>275</v>
      </c>
      <c r="K6" s="100" t="s">
        <v>276</v>
      </c>
      <c r="L6" s="101" t="s">
        <v>277</v>
      </c>
      <c r="M6" s="98">
        <v>1.0</v>
      </c>
      <c r="N6" s="102" t="str">
        <f>IFERROR(__xludf.DUMMYFUNCTION("GOOGLETRANSLATE(B6,""zh-tw"",""zh"")"),"开局选项")</f>
        <v>开局选项</v>
      </c>
      <c r="O6" s="103" t="str">
        <f>IFERROR(__xludf.DUMMYFUNCTION("GOOGLETRANSLATE(C6,""zh-tw"",""zh"")"),"抱住妹妹")</f>
        <v>抱住妹妹</v>
      </c>
      <c r="P6" s="71" t="s">
        <v>278</v>
      </c>
      <c r="Q6" s="98">
        <v>1.0</v>
      </c>
      <c r="R6" s="99" t="s">
        <v>279</v>
      </c>
      <c r="S6" s="103" t="str">
        <f>IFERROR(__xludf.DUMMYFUNCTION("GOOGLETRANSLATE(C6,""zh-tw"",""es-MX"")"),"Abraza a mi hermana")</f>
        <v>Abraza a mi hermana</v>
      </c>
      <c r="T6" s="69" t="s">
        <v>280</v>
      </c>
      <c r="U6" s="98">
        <v>1.0</v>
      </c>
      <c r="V6" s="99" t="s">
        <v>281</v>
      </c>
      <c r="W6" s="100" t="s">
        <v>282</v>
      </c>
      <c r="X6" s="101" t="s">
        <v>283</v>
      </c>
      <c r="Y6" s="98">
        <v>1.0</v>
      </c>
      <c r="Z6" s="104" t="s">
        <v>284</v>
      </c>
      <c r="AA6" s="105" t="s">
        <v>285</v>
      </c>
      <c r="AB6" s="63" t="s">
        <v>286</v>
      </c>
      <c r="AC6" s="98">
        <v>1.0</v>
      </c>
      <c r="AD6" s="99" t="s">
        <v>287</v>
      </c>
      <c r="AE6" s="100" t="s">
        <v>288</v>
      </c>
      <c r="AF6" s="101" t="s">
        <v>289</v>
      </c>
      <c r="AG6" s="98">
        <v>1.0</v>
      </c>
      <c r="AH6" s="106" t="s">
        <v>290</v>
      </c>
      <c r="AI6" s="100" t="s">
        <v>291</v>
      </c>
      <c r="AJ6" s="101" t="s">
        <v>292</v>
      </c>
      <c r="AK6" s="98">
        <v>1.0</v>
      </c>
      <c r="AL6" s="107" t="s">
        <v>293</v>
      </c>
      <c r="AM6" s="108" t="s">
        <v>294</v>
      </c>
      <c r="AN6" s="67" t="s">
        <v>295</v>
      </c>
      <c r="AO6" s="101"/>
    </row>
    <row r="7">
      <c r="C7" s="100" t="s">
        <v>296</v>
      </c>
      <c r="D7" s="101" t="s">
        <v>297</v>
      </c>
      <c r="G7" s="100" t="s">
        <v>298</v>
      </c>
      <c r="H7" s="101" t="s">
        <v>299</v>
      </c>
      <c r="K7" s="100" t="s">
        <v>300</v>
      </c>
      <c r="L7" s="101" t="s">
        <v>301</v>
      </c>
      <c r="O7" s="103" t="str">
        <f>IFERROR(__xludf.DUMMYFUNCTION("GOOGLETRANSLATE(C7,""zh-tw"",""zh"")"),"没事-&gt;小时候")</f>
        <v>没事-&gt;小时候</v>
      </c>
      <c r="P7" s="71" t="str">
        <f>IFERROR(__xludf.DUMMYFUNCTION("GOOGLETRANSLATE(D7,""zh-tw"",""zh"")"),"获得随机部分武器")</f>
        <v>获得随机部分武器</v>
      </c>
      <c r="S7" s="103" t="str">
        <f>IFERROR(__xludf.DUMMYFUNCTION("GOOGLETRANSLATE(C7,""zh-tw"",""es-MX"")"),"Está bien -&gt; cuando era niño")</f>
        <v>Está bien -&gt; cuando era niño</v>
      </c>
      <c r="T7" s="69" t="s">
        <v>302</v>
      </c>
      <c r="W7" s="109" t="s">
        <v>303</v>
      </c>
      <c r="X7" s="69" t="s">
        <v>304</v>
      </c>
      <c r="AA7" s="105" t="s">
        <v>305</v>
      </c>
      <c r="AB7" s="63" t="s">
        <v>306</v>
      </c>
      <c r="AE7" s="100" t="s">
        <v>307</v>
      </c>
      <c r="AF7" s="101" t="s">
        <v>308</v>
      </c>
      <c r="AI7" s="100" t="s">
        <v>309</v>
      </c>
      <c r="AJ7" s="101" t="s">
        <v>310</v>
      </c>
      <c r="AM7" s="108" t="s">
        <v>311</v>
      </c>
      <c r="AN7" s="67" t="s">
        <v>312</v>
      </c>
      <c r="AO7" s="101"/>
    </row>
    <row r="8">
      <c r="C8" s="100" t="s">
        <v>313</v>
      </c>
      <c r="D8" s="101" t="s">
        <v>314</v>
      </c>
      <c r="G8" s="100" t="s">
        <v>315</v>
      </c>
      <c r="H8" s="101" t="s">
        <v>316</v>
      </c>
      <c r="K8" s="100" t="s">
        <v>317</v>
      </c>
      <c r="L8" s="101" t="s">
        <v>318</v>
      </c>
      <c r="O8" s="103" t="str">
        <f>IFERROR(__xludf.DUMMYFUNCTION("GOOGLETRANSLATE(C8,""zh-tw"",""zh"")"),"没事-&gt;牛排餐")</f>
        <v>没事-&gt;牛排餐</v>
      </c>
      <c r="P8" s="71" t="str">
        <f>IFERROR(__xludf.DUMMYFUNCTION("GOOGLETRANSLATE(D8,""zh-tw"",""zh"")"),"约定:肉料理")</f>
        <v>约定:肉料理</v>
      </c>
      <c r="S8" s="103" t="str">
        <f>IFERROR(__xludf.DUMMYFUNCTION("GOOGLETRANSLATE(C8,""zh-tw"",""es-MX"")"),"Nada -&gt; Comida de bistec")</f>
        <v>Nada -&gt; Comida de bistec</v>
      </c>
      <c r="T8" s="69" t="s">
        <v>319</v>
      </c>
      <c r="W8" s="109" t="s">
        <v>320</v>
      </c>
      <c r="X8" s="69" t="s">
        <v>321</v>
      </c>
      <c r="AA8" s="105" t="s">
        <v>322</v>
      </c>
      <c r="AB8" s="63" t="s">
        <v>323</v>
      </c>
      <c r="AE8" s="100" t="s">
        <v>324</v>
      </c>
      <c r="AF8" s="101" t="s">
        <v>325</v>
      </c>
      <c r="AI8" s="100" t="s">
        <v>326</v>
      </c>
      <c r="AJ8" s="101" t="s">
        <v>327</v>
      </c>
      <c r="AM8" s="108" t="s">
        <v>328</v>
      </c>
      <c r="AN8" s="67" t="s">
        <v>329</v>
      </c>
      <c r="AO8" s="101"/>
    </row>
    <row r="9">
      <c r="C9" s="100" t="s">
        <v>330</v>
      </c>
      <c r="D9" s="101" t="s">
        <v>331</v>
      </c>
      <c r="G9" s="100" t="s">
        <v>332</v>
      </c>
      <c r="H9" s="101" t="s">
        <v>333</v>
      </c>
      <c r="K9" s="100" t="s">
        <v>334</v>
      </c>
      <c r="L9" s="101" t="s">
        <v>335</v>
      </c>
      <c r="O9" s="103" t="str">
        <f>IFERROR(__xludf.DUMMYFUNCTION("GOOGLETRANSLATE(C9,""zh-tw"",""zh"")"),"没事-&gt;忘光光")</f>
        <v>没事-&gt;忘光光</v>
      </c>
      <c r="P9" s="101" t="str">
        <f>IFERROR(__xludf.DUMMYFUNCTION("GOOGLETRANSLATE(D9,""zh-tw"",""zh"")"),"获得状态:总有一天会想起")</f>
        <v>获得状态:总有一天会想起</v>
      </c>
      <c r="S9" s="103" t="str">
        <f>IFERROR(__xludf.DUMMYFUNCTION("GOOGLETRANSLATE(C9,""zh-tw"",""es-MX"")"),"Está bien -&gt; Olvidé todo")</f>
        <v>Está bien -&gt; Olvidé todo</v>
      </c>
      <c r="T9" s="110" t="s">
        <v>336</v>
      </c>
      <c r="W9" s="109" t="s">
        <v>337</v>
      </c>
      <c r="X9" s="69" t="s">
        <v>338</v>
      </c>
      <c r="AA9" s="105" t="s">
        <v>339</v>
      </c>
      <c r="AB9" s="111" t="s">
        <v>340</v>
      </c>
      <c r="AE9" s="100" t="s">
        <v>341</v>
      </c>
      <c r="AF9" s="101" t="s">
        <v>342</v>
      </c>
      <c r="AI9" s="100" t="s">
        <v>343</v>
      </c>
      <c r="AJ9" s="101" t="s">
        <v>344</v>
      </c>
      <c r="AM9" s="108" t="s">
        <v>345</v>
      </c>
      <c r="AN9" s="67" t="s">
        <v>346</v>
      </c>
      <c r="AO9" s="101"/>
    </row>
    <row r="10">
      <c r="A10" s="98">
        <v>2.0</v>
      </c>
      <c r="B10" s="99" t="s">
        <v>347</v>
      </c>
      <c r="C10" s="100" t="s">
        <v>348</v>
      </c>
      <c r="D10" s="101" t="s">
        <v>349</v>
      </c>
      <c r="E10" s="98">
        <v>2.0</v>
      </c>
      <c r="F10" s="99" t="s">
        <v>350</v>
      </c>
      <c r="G10" s="100" t="s">
        <v>351</v>
      </c>
      <c r="H10" s="101" t="s">
        <v>352</v>
      </c>
      <c r="I10" s="98">
        <v>2.0</v>
      </c>
      <c r="J10" s="99" t="s">
        <v>353</v>
      </c>
      <c r="K10" s="100" t="s">
        <v>354</v>
      </c>
      <c r="L10" s="101" t="s">
        <v>355</v>
      </c>
      <c r="M10" s="98">
        <v>2.0</v>
      </c>
      <c r="N10" s="99" t="str">
        <f>IFERROR(__xludf.DUMMYFUNCTION("GOOGLETRANSLATE(B10,""zh-tw"",""zh"")"),"第一次的探险")</f>
        <v>第一次的探险</v>
      </c>
      <c r="O10" s="103" t="str">
        <f>IFERROR(__xludf.DUMMYFUNCTION("GOOGLETRANSLATE(C10,""zh-tw"",""zh"")"),"第一次开始探险时，妹妹会有特殊的对话")</f>
        <v>第一次开始探险时，妹妹会有特殊的对话</v>
      </c>
      <c r="P10" s="71" t="str">
        <f>IFERROR(__xludf.DUMMYFUNCTION("GOOGLETRANSLATE(D10,""zh-tw"",""zh"")"),"特殊对话")</f>
        <v>特殊对话</v>
      </c>
      <c r="Q10" s="98">
        <v>2.0</v>
      </c>
      <c r="R10" s="102" t="str">
        <f>IFERROR(__xludf.DUMMYFUNCTION("GOOGLETRANSLATE(B10,""zh-tw"",""es-MX"")"),"Primera expedición")</f>
        <v>Primera expedición</v>
      </c>
      <c r="S10" s="100" t="str">
        <f>IFERROR(__xludf.DUMMYFUNCTION("GOOGLETRANSLATE(C10,""zh-tw"",""es-MX"")"),"La hermana menor tendrá un diálogo especial cuando la aventura comience por primera vez.")</f>
        <v>La hermana menor tendrá un diálogo especial cuando la aventura comience por primera vez.</v>
      </c>
      <c r="T10" s="69" t="s">
        <v>356</v>
      </c>
      <c r="U10" s="98">
        <v>2.0</v>
      </c>
      <c r="V10" s="102" t="s">
        <v>357</v>
      </c>
      <c r="W10" s="109" t="s">
        <v>358</v>
      </c>
      <c r="X10" s="69" t="s">
        <v>359</v>
      </c>
      <c r="Y10" s="98">
        <v>2.0</v>
      </c>
      <c r="Z10" s="104" t="s">
        <v>360</v>
      </c>
      <c r="AA10" s="105" t="s">
        <v>361</v>
      </c>
      <c r="AB10" s="111" t="s">
        <v>362</v>
      </c>
      <c r="AC10" s="98">
        <v>2.0</v>
      </c>
      <c r="AD10" s="99" t="s">
        <v>363</v>
      </c>
      <c r="AE10" s="100" t="s">
        <v>364</v>
      </c>
      <c r="AF10" s="101" t="s">
        <v>365</v>
      </c>
      <c r="AG10" s="98">
        <v>2.0</v>
      </c>
      <c r="AH10" s="106" t="s">
        <v>366</v>
      </c>
      <c r="AI10" s="100" t="s">
        <v>367</v>
      </c>
      <c r="AJ10" s="101" t="s">
        <v>368</v>
      </c>
      <c r="AK10" s="98">
        <v>2.0</v>
      </c>
      <c r="AL10" s="107" t="s">
        <v>369</v>
      </c>
      <c r="AM10" s="108" t="s">
        <v>370</v>
      </c>
      <c r="AN10" s="67" t="s">
        <v>371</v>
      </c>
      <c r="AO10" s="101"/>
    </row>
    <row r="11">
      <c r="A11" s="98">
        <v>3.0</v>
      </c>
      <c r="B11" s="99" t="s">
        <v>314</v>
      </c>
      <c r="C11" s="100" t="s">
        <v>372</v>
      </c>
      <c r="D11" s="101" t="s">
        <v>373</v>
      </c>
      <c r="E11" s="98">
        <v>3.0</v>
      </c>
      <c r="F11" s="99" t="s">
        <v>374</v>
      </c>
      <c r="G11" s="100" t="s">
        <v>375</v>
      </c>
      <c r="H11" s="101" t="s">
        <v>376</v>
      </c>
      <c r="I11" s="98">
        <v>3.0</v>
      </c>
      <c r="J11" s="99" t="s">
        <v>377</v>
      </c>
      <c r="K11" s="100" t="s">
        <v>378</v>
      </c>
      <c r="L11" s="101" t="s">
        <v>379</v>
      </c>
      <c r="M11" s="98">
        <v>3.0</v>
      </c>
      <c r="N11" s="99" t="str">
        <f>IFERROR(__xludf.DUMMYFUNCTION("GOOGLETRANSLATE(B11,""zh-tw"",""zh"")"),"约定:肉料理")</f>
        <v>约定:肉料理</v>
      </c>
      <c r="O11" s="100" t="str">
        <f>IFERROR(__xludf.DUMMYFUNCTION("GOOGLETRANSLATE(C11,""zh-tw"",""zh"")"),"制作肉料理")</f>
        <v>制作肉料理</v>
      </c>
      <c r="P11" s="71" t="str">
        <f>IFERROR(__xludf.DUMMYFUNCTION("GOOGLETRANSLATE(D11,""zh-tw"",""zh"")"),"获得""少女的笑容""装备")</f>
        <v>获得"少女的笑容"装备</v>
      </c>
      <c r="Q11" s="98">
        <v>3.0</v>
      </c>
      <c r="R11" s="102" t="str">
        <f>IFERROR(__xludf.DUMMYFUNCTION("GOOGLETRANSLATE(B11,""zh-tw"",""es-MX"")"),"Acuerdo: Platos de carne")</f>
        <v>Acuerdo: Platos de carne</v>
      </c>
      <c r="S11" s="103" t="str">
        <f>IFERROR(__xludf.DUMMYFUNCTION("GOOGLETRANSLATE(C11,""zh-tw"",""es-MX"")"),"Preparar platos de carne")</f>
        <v>Preparar platos de carne</v>
      </c>
      <c r="T11" s="69" t="s">
        <v>380</v>
      </c>
      <c r="U11" s="98">
        <v>3.0</v>
      </c>
      <c r="V11" s="112" t="s">
        <v>381</v>
      </c>
      <c r="W11" s="109" t="s">
        <v>382</v>
      </c>
      <c r="X11" s="101" t="s">
        <v>383</v>
      </c>
      <c r="Y11" s="98">
        <v>3.0</v>
      </c>
      <c r="Z11" s="113" t="s">
        <v>384</v>
      </c>
      <c r="AA11" s="105" t="s">
        <v>385</v>
      </c>
      <c r="AB11" s="63" t="s">
        <v>386</v>
      </c>
      <c r="AC11" s="98">
        <v>3.0</v>
      </c>
      <c r="AD11" s="99" t="s">
        <v>387</v>
      </c>
      <c r="AE11" s="100" t="s">
        <v>388</v>
      </c>
      <c r="AF11" s="101" t="s">
        <v>389</v>
      </c>
      <c r="AG11" s="98">
        <v>3.0</v>
      </c>
      <c r="AH11" s="106" t="s">
        <v>390</v>
      </c>
      <c r="AI11" s="100" t="s">
        <v>391</v>
      </c>
      <c r="AJ11" s="101" t="s">
        <v>392</v>
      </c>
      <c r="AK11" s="98">
        <v>3.0</v>
      </c>
      <c r="AL11" s="107" t="s">
        <v>393</v>
      </c>
      <c r="AM11" s="108" t="s">
        <v>394</v>
      </c>
      <c r="AN11" s="67" t="s">
        <v>395</v>
      </c>
      <c r="AO11" s="101"/>
    </row>
    <row r="12">
      <c r="A12" s="98">
        <v>4.0</v>
      </c>
      <c r="B12" s="99" t="s">
        <v>396</v>
      </c>
      <c r="C12" s="100" t="s">
        <v>397</v>
      </c>
      <c r="D12" s="101" t="s">
        <v>398</v>
      </c>
      <c r="E12" s="98">
        <v>4.0</v>
      </c>
      <c r="F12" s="99" t="s">
        <v>399</v>
      </c>
      <c r="G12" s="100"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101" t="s">
        <v>400</v>
      </c>
      <c r="I12" s="98">
        <v>4.0</v>
      </c>
      <c r="J12" s="99" t="s">
        <v>401</v>
      </c>
      <c r="K12" s="100" t="s">
        <v>402</v>
      </c>
      <c r="L12" s="101" t="s">
        <v>403</v>
      </c>
      <c r="M12" s="98">
        <v>4.0</v>
      </c>
      <c r="N12" s="99" t="str">
        <f>IFERROR(__xludf.DUMMYFUNCTION("GOOGLETRANSLATE(B12,""zh-tw"",""zh"")"),"约定:别受伤")</f>
        <v>约定:别受伤</v>
      </c>
      <c r="O12" s="103"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101" t="str">
        <f>IFERROR(__xludf.DUMMYFUNCTION("GOOGLETRANSLATE(D12,""zh-tw"",""zh"")"),"获得""什么都行券""道具
后续未实装")</f>
        <v>获得"什么都行券"道具
后续未实装</v>
      </c>
      <c r="Q12" s="98">
        <v>4.0</v>
      </c>
      <c r="R12" s="99" t="str">
        <f>IFERROR(__xludf.DUMMYFUNCTION("GOOGLETRANSLATE(B12,""zh-tw"",""es-MX"")"),"Acuerdo: No te lastimes")</f>
        <v>Acuerdo: No te lastimes</v>
      </c>
      <c r="S12" s="103" t="s">
        <v>404</v>
      </c>
      <c r="T12" s="69" t="s">
        <v>405</v>
      </c>
      <c r="U12" s="98">
        <v>4.0</v>
      </c>
      <c r="V12" s="99" t="str">
        <f>IFERROR(__xludf.DUMMYFUNCTION("GOOGLETRANSLATE(B12,""zh-tw"",""KO"")"),"동의: 다치지 마세요")</f>
        <v>동의: 다치지 마세요</v>
      </c>
      <c r="W12" s="100" t="s">
        <v>406</v>
      </c>
      <c r="X12" s="101" t="s">
        <v>407</v>
      </c>
      <c r="Y12" s="98">
        <v>4.0</v>
      </c>
      <c r="Z12" s="104" t="s">
        <v>408</v>
      </c>
      <c r="AA12" s="105" t="s">
        <v>409</v>
      </c>
      <c r="AB12" s="63" t="s">
        <v>410</v>
      </c>
      <c r="AC12" s="98">
        <v>4.0</v>
      </c>
      <c r="AD12" s="99" t="s">
        <v>411</v>
      </c>
      <c r="AE12" s="100" t="s">
        <v>412</v>
      </c>
      <c r="AF12" s="101" t="s">
        <v>413</v>
      </c>
      <c r="AG12" s="98">
        <v>4.0</v>
      </c>
      <c r="AH12" s="106" t="s">
        <v>414</v>
      </c>
      <c r="AI12" s="100" t="s">
        <v>415</v>
      </c>
      <c r="AJ12" s="101" t="s">
        <v>416</v>
      </c>
      <c r="AK12" s="98">
        <v>4.0</v>
      </c>
      <c r="AL12" s="107" t="s">
        <v>417</v>
      </c>
      <c r="AM12" s="108" t="s">
        <v>418</v>
      </c>
      <c r="AN12" s="67" t="s">
        <v>419</v>
      </c>
      <c r="AO12" s="101"/>
    </row>
    <row r="13">
      <c r="A13" s="98">
        <v>5.0</v>
      </c>
      <c r="B13" s="99" t="s">
        <v>420</v>
      </c>
      <c r="C13" s="100" t="s">
        <v>421</v>
      </c>
      <c r="D13" s="101" t="s">
        <v>422</v>
      </c>
      <c r="E13" s="98">
        <v>5.0</v>
      </c>
      <c r="F13" s="99" t="s">
        <v>423</v>
      </c>
      <c r="G13" s="100" t="s">
        <v>424</v>
      </c>
      <c r="H13" s="101" t="s">
        <v>425</v>
      </c>
      <c r="I13" s="98">
        <v>5.0</v>
      </c>
      <c r="J13" s="99" t="s">
        <v>426</v>
      </c>
      <c r="K13" s="109" t="s">
        <v>427</v>
      </c>
      <c r="L13" s="69" t="s">
        <v>428</v>
      </c>
      <c r="M13" s="98">
        <v>5.0</v>
      </c>
      <c r="N13" s="99" t="str">
        <f>IFERROR(__xludf.DUMMYFUNCTION("GOOGLETRANSLATE(B13,""zh-tw"",""zh"")"),"约定:草莓牛奶")</f>
        <v>约定:草莓牛奶</v>
      </c>
      <c r="O13" s="103"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101" t="str">
        <f>IFERROR(__xludf.DUMMYFUNCTION("GOOGLETRANSLATE(D13,""zh-tw"",""zh"")"),"需要在一日之内达成约定的承诺，否则妹妹的❤️ 会转为🖤
(未实装)")</f>
        <v>需要在一日之内达成约定的承诺，否则妹妹的❤️ 会转为🖤
(未实装)</v>
      </c>
      <c r="Q13" s="98">
        <v>5.0</v>
      </c>
      <c r="R13" s="99" t="s">
        <v>429</v>
      </c>
      <c r="S13" s="109" t="s">
        <v>430</v>
      </c>
      <c r="T13" s="69" t="s">
        <v>431</v>
      </c>
      <c r="U13" s="98">
        <v>5.0</v>
      </c>
      <c r="V13" s="102" t="str">
        <f>IFERROR(__xludf.DUMMYFUNCTION("GOOGLETRANSLATE(B13,""zh-tw"",""KO"")"),"계약: 딸기우유")</f>
        <v>계약: 딸기우유</v>
      </c>
      <c r="W13" s="103" t="str">
        <f>IFERROR(__xludf.DUMMYFUNCTION("GOOGLETRANSLATE(C13,""zh-tw"",""KO"")"),"언니가 하기 싫어하는 일을 해주고 싶을 때, 딸기우유 1병, 10병, 100병으로 뇌물을 줄 수 있습니다. 뇌물 액수가 높을수록 언니가 동의할 가능성이 높아집니다 (이 방식은 ""무엇이든 가능"" 쿠폰과 비슷합니다).")</f>
        <v>언니가 하기 싫어하는 일을 해주고 싶을 때, 딸기우유 1병, 10병, 100병으로 뇌물을 줄 수 있습니다. 뇌물 액수가 높을수록 언니가 동의할 가능성이 높아집니다 (이 방식은 "무엇이든 가능" 쿠폰과 비슷합니다).</v>
      </c>
      <c r="X13" s="71"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98">
        <v>5.0</v>
      </c>
      <c r="Z13" s="113" t="s">
        <v>432</v>
      </c>
      <c r="AA13" s="105" t="s">
        <v>433</v>
      </c>
      <c r="AB13" s="63" t="s">
        <v>434</v>
      </c>
      <c r="AC13" s="98">
        <v>5.0</v>
      </c>
      <c r="AD13" s="99" t="s">
        <v>435</v>
      </c>
      <c r="AE13" s="100" t="s">
        <v>436</v>
      </c>
      <c r="AF13" s="101" t="s">
        <v>437</v>
      </c>
      <c r="AG13" s="98">
        <v>5.0</v>
      </c>
      <c r="AH13" s="106" t="s">
        <v>438</v>
      </c>
      <c r="AI13" s="109" t="s">
        <v>439</v>
      </c>
      <c r="AJ13" s="101" t="s">
        <v>440</v>
      </c>
      <c r="AK13" s="98">
        <v>5.0</v>
      </c>
      <c r="AL13" s="107" t="s">
        <v>441</v>
      </c>
      <c r="AM13" s="108" t="s">
        <v>442</v>
      </c>
      <c r="AN13" s="67" t="s">
        <v>443</v>
      </c>
      <c r="AO13" s="101"/>
    </row>
    <row r="14" ht="69.0" customHeight="1">
      <c r="A14" s="98">
        <v>6.0</v>
      </c>
      <c r="B14" s="99" t="s">
        <v>444</v>
      </c>
      <c r="C14" s="100" t="s">
        <v>445</v>
      </c>
      <c r="D14" s="101" t="s">
        <v>446</v>
      </c>
      <c r="E14" s="98">
        <v>6.0</v>
      </c>
      <c r="F14" s="99" t="s">
        <v>447</v>
      </c>
      <c r="G14" s="100" t="s">
        <v>448</v>
      </c>
      <c r="H14" s="101" t="s">
        <v>449</v>
      </c>
      <c r="I14" s="98">
        <v>6.0</v>
      </c>
      <c r="J14" s="99" t="s">
        <v>450</v>
      </c>
      <c r="K14" s="100" t="s">
        <v>451</v>
      </c>
      <c r="L14" s="101" t="s">
        <v>452</v>
      </c>
      <c r="M14" s="98">
        <v>6.0</v>
      </c>
      <c r="N14" s="99" t="str">
        <f>IFERROR(__xludf.DUMMYFUNCTION("GOOGLETRANSLATE(B14,""zh-tw"",""zh"")"),"第一次带饮料")</f>
        <v>第一次带饮料</v>
      </c>
      <c r="O14" s="103" t="s">
        <v>453</v>
      </c>
      <c r="P14" s="71" t="str">
        <f>IFERROR(__xludf.DUMMYFUNCTION("GOOGLETRANSLATE(D14,""zh-tw"",""zh"")"),"解锁""喝点什么""选项")</f>
        <v>解锁"喝点什么"选项</v>
      </c>
      <c r="Q14" s="98">
        <v>6.0</v>
      </c>
      <c r="R14" s="102" t="str">
        <f>IFERROR(__xludf.DUMMYFUNCTION("GOOGLETRANSLATE(B14,""zh-tw"",""es-MX"")"),"Primera vez trayendo bebidas")</f>
        <v>Primera vez trayendo bebidas</v>
      </c>
      <c r="S14" s="103" t="str">
        <f>IFERROR(__xludf.DUMMYFUNCTION("GOOGLETRANSLATE(C14,""zh-tw"",""es-MX"")"),"Hay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4" s="69" t="s">
        <v>454</v>
      </c>
      <c r="U14" s="98">
        <v>6.0</v>
      </c>
      <c r="V14" s="99" t="s">
        <v>455</v>
      </c>
      <c r="W14" s="109" t="s">
        <v>456</v>
      </c>
      <c r="X14" s="101" t="s">
        <v>457</v>
      </c>
      <c r="Y14" s="98">
        <v>6.0</v>
      </c>
      <c r="Z14" s="113" t="s">
        <v>458</v>
      </c>
      <c r="AA14" s="114" t="s">
        <v>459</v>
      </c>
      <c r="AB14" s="64" t="s">
        <v>460</v>
      </c>
      <c r="AC14" s="98">
        <v>6.0</v>
      </c>
      <c r="AD14" s="99" t="s">
        <v>461</v>
      </c>
      <c r="AE14" s="100" t="s">
        <v>462</v>
      </c>
      <c r="AF14" s="101" t="s">
        <v>463</v>
      </c>
      <c r="AG14" s="98">
        <v>6.0</v>
      </c>
      <c r="AH14" s="106" t="s">
        <v>464</v>
      </c>
      <c r="AI14" s="100" t="s">
        <v>465</v>
      </c>
      <c r="AJ14" s="101" t="s">
        <v>466</v>
      </c>
      <c r="AK14" s="98">
        <v>6.0</v>
      </c>
      <c r="AL14" s="107" t="s">
        <v>467</v>
      </c>
      <c r="AM14" s="108" t="s">
        <v>468</v>
      </c>
      <c r="AN14" s="67" t="s">
        <v>469</v>
      </c>
      <c r="AO14" s="101"/>
    </row>
    <row r="15">
      <c r="A15" s="98">
        <v>7.0</v>
      </c>
      <c r="B15" s="99" t="s">
        <v>470</v>
      </c>
      <c r="C15" s="100" t="s">
        <v>471</v>
      </c>
      <c r="D15" s="101" t="s">
        <v>472</v>
      </c>
      <c r="E15" s="98">
        <v>7.0</v>
      </c>
      <c r="F15" s="99" t="s">
        <v>473</v>
      </c>
      <c r="G15" s="100" t="s">
        <v>474</v>
      </c>
      <c r="H15" s="101" t="s">
        <v>475</v>
      </c>
      <c r="I15" s="98">
        <v>7.0</v>
      </c>
      <c r="J15" s="99" t="s">
        <v>476</v>
      </c>
      <c r="K15" s="100" t="s">
        <v>477</v>
      </c>
      <c r="L15" s="101" t="s">
        <v>478</v>
      </c>
      <c r="M15" s="98">
        <v>7.0</v>
      </c>
      <c r="N15" s="99" t="str">
        <f>IFERROR(__xludf.DUMMYFUNCTION("GOOGLETRANSLATE(B15,""zh-tw"",""zh"")"),"第一次死亡")</f>
        <v>第一次死亡</v>
      </c>
      <c r="O15" s="100" t="str">
        <f>IFERROR(__xludf.DUMMYFUNCTION("GOOGLETRANSLATE(C15,""zh-tw"",""zh"")"),"第一次死亡后，吃到妹妹料理")</f>
        <v>第一次死亡后，吃到妹妹料理</v>
      </c>
      <c r="P15" s="71" t="s">
        <v>479</v>
      </c>
      <c r="Q15" s="98">
        <v>7.0</v>
      </c>
      <c r="R15" s="102" t="s">
        <v>480</v>
      </c>
      <c r="S15" s="103" t="str">
        <f>IFERROR(__xludf.DUMMYFUNCTION("GOOGLETRANSLATE(C15,""zh-tw"",""es-MX"")"),"Después de morir por primera vez, comí la comida de mi hermana.")</f>
        <v>Después de morir por primera vez, comí la comida de mi hermana.</v>
      </c>
      <c r="T15" s="71" t="str">
        <f>IFERROR(__xludf.DUMMYFUNCTION("GOOGLETRANSLATE(D15,""zh-tw"",""es-MX"")"),"*Evento único* Una secuencia de sueños especial que te otorga la opción de pedirle a tu hermana que cocine para ti.")</f>
        <v>*Evento único* Una secuencia de sueños especial que te otorga la opción de pedirle a tu hermana que cocine para ti.</v>
      </c>
      <c r="U15" s="98">
        <v>7.0</v>
      </c>
      <c r="V15" s="102" t="s">
        <v>481</v>
      </c>
      <c r="W15" s="109" t="s">
        <v>482</v>
      </c>
      <c r="X15" s="69" t="s">
        <v>483</v>
      </c>
      <c r="Y15" s="98">
        <v>7.0</v>
      </c>
      <c r="Z15" s="104" t="s">
        <v>484</v>
      </c>
      <c r="AA15" s="114" t="s">
        <v>485</v>
      </c>
      <c r="AB15" s="111" t="s">
        <v>486</v>
      </c>
      <c r="AC15" s="98">
        <v>7.0</v>
      </c>
      <c r="AD15" s="99" t="s">
        <v>487</v>
      </c>
      <c r="AE15" s="100" t="s">
        <v>488</v>
      </c>
      <c r="AF15" s="101" t="s">
        <v>489</v>
      </c>
      <c r="AG15" s="98">
        <v>7.0</v>
      </c>
      <c r="AH15" s="106" t="s">
        <v>490</v>
      </c>
      <c r="AI15" s="109" t="s">
        <v>491</v>
      </c>
      <c r="AJ15" s="101" t="s">
        <v>492</v>
      </c>
      <c r="AK15" s="98">
        <v>7.0</v>
      </c>
      <c r="AL15" s="107" t="s">
        <v>493</v>
      </c>
      <c r="AM15" s="115" t="s">
        <v>494</v>
      </c>
      <c r="AN15" s="67" t="s">
        <v>495</v>
      </c>
      <c r="AO15" s="101"/>
    </row>
    <row r="16">
      <c r="A16" s="98">
        <v>8.0</v>
      </c>
      <c r="B16" s="99" t="s">
        <v>496</v>
      </c>
      <c r="C16" s="100" t="s">
        <v>497</v>
      </c>
      <c r="D16" s="101" t="s">
        <v>498</v>
      </c>
      <c r="E16" s="98">
        <v>8.0</v>
      </c>
      <c r="F16" s="99" t="s">
        <v>499</v>
      </c>
      <c r="G16" s="100" t="s">
        <v>500</v>
      </c>
      <c r="H16" s="101" t="s">
        <v>501</v>
      </c>
      <c r="I16" s="98">
        <v>8.0</v>
      </c>
      <c r="J16" s="99" t="s">
        <v>502</v>
      </c>
      <c r="K16" s="100" t="s">
        <v>503</v>
      </c>
      <c r="L16" s="69" t="s">
        <v>504</v>
      </c>
      <c r="M16" s="98">
        <v>8.0</v>
      </c>
      <c r="N16" s="99" t="str">
        <f>IFERROR(__xludf.DUMMYFUNCTION("GOOGLETRANSLATE(B16,""zh-tw"",""zh"")"),"妹妹的料理")</f>
        <v>妹妹的料理</v>
      </c>
      <c r="O16" s="103"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101" t="str">
        <f>IFERROR(__xludf.DUMMYFUNCTION("GOOGLETRANSLATE(D16,""zh-tw"",""zh"")"),"产生料理
P.S.想要吃掉你的选项，未实装")</f>
        <v>产生料理
P.S.想要吃掉你的选项，未实装</v>
      </c>
      <c r="Q16" s="98">
        <v>8.0</v>
      </c>
      <c r="R16" s="102" t="str">
        <f>IFERROR(__xludf.DUMMYFUNCTION("GOOGLETRANSLATE(B16,""zh-tw"",""es-MX"")"),"La cocina de mi hermana")</f>
        <v>La cocina de mi hermana</v>
      </c>
      <c r="S16" s="103" t="str">
        <f>IFERROR(__xludf.DUMMYFUNCTION("GOOGLETRANSLATE(C16,""zh-tw"",""es-MX"")"),"La elección de la comida que tu hermana cocinará depende de las opciones disponibles.
Además, hay algunas reglas:
1. Selección aleatoria de los ingredientes restantes.
2. Tu hermana no elegirá chiles ni comida chatarra.
3. La carne generalmente tiene "&amp;"mayor prioridad.
4. El plato se preparará según las recetas habituales.
5. Existe la posibilidad de activar un ""Gran Milagro"": incluso si la cocción falla, puede resultar en un plato exitoso.
6. La estadística de suerte de tu hermano aumenta la proba"&amp;"bilidad de que tu hermana active un ""Gran Milagro"".
7. Tu hermana no cocinará cuando esté de mal humor.
8. Cuando tenga muchos corazones morados, tu hermana añadirá ingredientes en secreto (aún no implementado).")</f>
        <v>La elección de la comida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6" s="71" t="str">
        <f>IFERROR(__xludf.DUMMYFUNCTION("GOOGLETRANSLATE(D16,""zh-tw"",""es-MX"")"),"Se generará comida.
P. D.: La opción ""Quiero comerte"" aún no está implementada.")</f>
        <v>Se generará comida.
P. D.: La opción "Quiero comerte" aún no está implementada.</v>
      </c>
      <c r="U16" s="98">
        <v>8.0</v>
      </c>
      <c r="V16" s="102" t="str">
        <f>IFERROR(__xludf.DUMMYFUNCTION("GOOGLETRANSLATE(B16,""zh-tw"",""KO"")"),"언니가 요리해요")</f>
        <v>언니가 요리해요</v>
      </c>
      <c r="W16" s="103" t="str">
        <f>IFERROR(__xludf.DUMMYFUNCTION("GOOGLETRANSLATE(C16,""zh-tw"",""KO"")"),"여동생이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"""&amp;"대기적""을 발동할 확률을 높입니다.
7. 여동생은 기분이 좋지 않을 때는 요리하지 않습니다.
8. 여동생의 퍼플 하트가 높으면, 여동생은 몰래 재료를 추가합니다(아직 구현되지 않음).")</f>
        <v>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여동생은 몰래 재료를 추가합니다(아직 구현되지 않음).</v>
      </c>
      <c r="X16" s="71" t="str">
        <f>IFERROR(__xludf.DUMMYFUNCTION("GOOGLETRANSLATE(D16,""zh-tw"",""KO"")"),"음식이 생성됩니다.
추신: ""당신을 먹고 싶어"" 옵션은 아직 구현되지 않았습니다.")</f>
        <v>음식이 생성됩니다.
추신: "당신을 먹고 싶어" 옵션은 아직 구현되지 않았습니다.</v>
      </c>
      <c r="Y16" s="98">
        <v>8.0</v>
      </c>
      <c r="Z16" s="116" t="str">
        <f>IFERROR(__xludf.DUMMYFUNCTION("IF(J16="""", """", GOOGLETRANSLATE(
J16,""en"",""ru""))"),"Кулинария Имото")</f>
        <v>Кулинария Имото</v>
      </c>
      <c r="AA16" s="117"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64"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98">
        <v>8.0</v>
      </c>
      <c r="AD16" s="99" t="s">
        <v>505</v>
      </c>
      <c r="AE16" s="100" t="s">
        <v>506</v>
      </c>
      <c r="AF16" s="101" t="s">
        <v>507</v>
      </c>
      <c r="AG16" s="98">
        <v>8.0</v>
      </c>
      <c r="AH16" s="118" t="s">
        <v>508</v>
      </c>
      <c r="AI16" s="100" t="s">
        <v>509</v>
      </c>
      <c r="AJ16" s="69" t="s">
        <v>510</v>
      </c>
      <c r="AK16" s="98">
        <v>8.0</v>
      </c>
      <c r="AL16" s="107" t="s">
        <v>511</v>
      </c>
      <c r="AM16" s="115" t="s">
        <v>512</v>
      </c>
      <c r="AN16" s="66" t="s">
        <v>513</v>
      </c>
      <c r="AO16" s="101"/>
    </row>
    <row r="17">
      <c r="A17" s="98">
        <v>9.0</v>
      </c>
      <c r="B17" s="99" t="s">
        <v>514</v>
      </c>
      <c r="C17" s="100" t="s">
        <v>515</v>
      </c>
      <c r="D17" s="101" t="s">
        <v>516</v>
      </c>
      <c r="E17" s="98">
        <v>9.0</v>
      </c>
      <c r="F17" s="99" t="s">
        <v>517</v>
      </c>
      <c r="G17" s="100" t="s">
        <v>518</v>
      </c>
      <c r="H17" s="101" t="s">
        <v>519</v>
      </c>
      <c r="I17" s="98">
        <v>9.0</v>
      </c>
      <c r="J17" s="99" t="s">
        <v>520</v>
      </c>
      <c r="K17" s="100" t="s">
        <v>521</v>
      </c>
      <c r="L17" s="101" t="s">
        <v>522</v>
      </c>
      <c r="M17" s="98">
        <v>9.0</v>
      </c>
      <c r="N17" s="99" t="str">
        <f>IFERROR(__xludf.DUMMYFUNCTION("GOOGLETRANSLATE(B17,""zh-tw"",""zh"")"),"制作辣料理")</f>
        <v>制作辣料理</v>
      </c>
      <c r="O17" s="103" t="str">
        <f>IFERROR(__xludf.DUMMYFUNCTION("GOOGLETRANSLATE(C17,""zh-tw"",""zh"")"),"妹妹被辣哭")</f>
        <v>妹妹被辣哭</v>
      </c>
      <c r="P17" s="101" t="str">
        <f>IFERROR(__xludf.DUMMYFUNCTION("GOOGLETRANSLATE(D17,""zh-tw"",""zh"")"),"触发被辣哭的剧情")</f>
        <v>触发被辣哭的剧情</v>
      </c>
      <c r="Q17" s="98">
        <v>9.0</v>
      </c>
      <c r="R17" s="99" t="s">
        <v>523</v>
      </c>
      <c r="S17" s="100" t="s">
        <v>524</v>
      </c>
      <c r="T17" s="71" t="s">
        <v>525</v>
      </c>
      <c r="U17" s="98">
        <v>9.0</v>
      </c>
      <c r="V17" s="102" t="str">
        <f>IFERROR(__xludf.DUMMYFUNCTION("GOOGLETRANSLATE(B17,""zh-tw"",""KO"")"),"매운 요리 만들기")</f>
        <v>매운 요리 만들기</v>
      </c>
      <c r="W17" s="103" t="str">
        <f>IFERROR(__xludf.DUMMYFUNCTION("GOOGLETRANSLATE(C17,""zh-tw"",""KO"")"),"언니는 매운맛 때문에 울었어요.")</f>
        <v>언니는 매운맛 때문에 울었어요.</v>
      </c>
      <c r="X17" s="71" t="str">
        <f>IFERROR(__xludf.DUMMYFUNCTION("GOOGLETRANSLATE(D17,""zh-tw"",""KO"")"),"매콤함에 울먹이는 장면이 연출됨")</f>
        <v>매콤함에 울먹이는 장면이 연출됨</v>
      </c>
      <c r="Y17" s="98">
        <v>9.0</v>
      </c>
      <c r="Z17" s="113" t="s">
        <v>526</v>
      </c>
      <c r="AA17" s="105" t="s">
        <v>527</v>
      </c>
      <c r="AB17" s="63" t="s">
        <v>528</v>
      </c>
      <c r="AC17" s="98">
        <v>9.0</v>
      </c>
      <c r="AD17" s="99" t="s">
        <v>529</v>
      </c>
      <c r="AE17" s="100" t="s">
        <v>530</v>
      </c>
      <c r="AF17" s="101" t="s">
        <v>531</v>
      </c>
      <c r="AG17" s="98">
        <v>9.0</v>
      </c>
      <c r="AH17" s="106" t="s">
        <v>532</v>
      </c>
      <c r="AI17" s="100" t="s">
        <v>533</v>
      </c>
      <c r="AJ17" s="101" t="s">
        <v>534</v>
      </c>
      <c r="AK17" s="98">
        <v>9.0</v>
      </c>
      <c r="AL17" s="107" t="s">
        <v>535</v>
      </c>
      <c r="AM17" s="108" t="s">
        <v>536</v>
      </c>
      <c r="AN17" s="67" t="s">
        <v>537</v>
      </c>
      <c r="AO17" s="101"/>
    </row>
    <row r="18">
      <c r="A18" s="98">
        <v>10.0</v>
      </c>
      <c r="B18" s="99" t="s">
        <v>538</v>
      </c>
      <c r="C18" s="109" t="s">
        <v>539</v>
      </c>
      <c r="D18" s="101" t="s">
        <v>540</v>
      </c>
      <c r="E18" s="98">
        <v>10.0</v>
      </c>
      <c r="F18" s="99" t="s">
        <v>541</v>
      </c>
      <c r="G18" s="100" t="s">
        <v>542</v>
      </c>
      <c r="H18" s="101" t="s">
        <v>543</v>
      </c>
      <c r="I18" s="98">
        <v>10.0</v>
      </c>
      <c r="J18" s="99" t="s">
        <v>544</v>
      </c>
      <c r="K18" s="100" t="s">
        <v>545</v>
      </c>
      <c r="L18" s="101" t="s">
        <v>546</v>
      </c>
      <c r="M18" s="98">
        <v>10.0</v>
      </c>
      <c r="N18" s="99" t="str">
        <f>IFERROR(__xludf.DUMMYFUNCTION("GOOGLETRANSLATE(B18,""zh-tw"",""zh"")"),"解除辣味危机")</f>
        <v>解除辣味危机</v>
      </c>
      <c r="O18" s="103" t="str">
        <f>IFERROR(__xludf.DUMMYFUNCTION("GOOGLETRANSLATE(C18,""zh-tw"",""zh"")"),"妹妹会被辣到趴在床上，需要解除辣味")</f>
        <v>妹妹会被辣到趴在床上，需要解除辣味</v>
      </c>
      <c r="P18" s="101" t="str">
        <f>IFERROR(__xludf.DUMMYFUNCTION("GOOGLETRANSLATE(D18,""zh-tw"",""zh"")"),"触发解除辣味的选项")</f>
        <v>触发解除辣味的选项</v>
      </c>
      <c r="Q18" s="98">
        <v>10.0</v>
      </c>
      <c r="R18" s="99" t="s">
        <v>547</v>
      </c>
      <c r="S18" s="100" t="s">
        <v>548</v>
      </c>
      <c r="T18" s="71" t="s">
        <v>549</v>
      </c>
      <c r="U18" s="98">
        <v>10.0</v>
      </c>
      <c r="V18" s="102" t="str">
        <f>IFERROR(__xludf.DUMMYFUNCTION("GOOGLETRANSLATE(B18,""zh-tw"",""KO"")"),"매운맛 위기를 없애다")</f>
        <v>매운맛 위기를 없애다</v>
      </c>
      <c r="W18" s="103" t="str">
        <f>IFERROR(__xludf.DUMMYFUNCTION("GOOGLETRANSLATE(C18,""zh-tw"",""KO"")"),"제 여동생은 너무 매운 음식을 좋아해서 침대에 누워서 식혀야 합니다.")</f>
        <v>제 여동생은 너무 매운 음식을 좋아해서 침대에 누워서 식혀야 합니다.</v>
      </c>
      <c r="X18" s="71" t="str">
        <f>IFERROR(__xludf.DUMMYFUNCTION("GOOGLETRANSLATE(D18,""zh-tw"",""KO"")"),"매운맛을 제거하는 옵션을 활성화합니다.")</f>
        <v>매운맛을 제거하는 옵션을 활성화합니다.</v>
      </c>
      <c r="Y18" s="98">
        <v>10.0</v>
      </c>
      <c r="Z18" s="113" t="s">
        <v>550</v>
      </c>
      <c r="AA18" s="105" t="s">
        <v>551</v>
      </c>
      <c r="AB18" s="63" t="s">
        <v>552</v>
      </c>
      <c r="AC18" s="98">
        <v>10.0</v>
      </c>
      <c r="AD18" s="99" t="s">
        <v>553</v>
      </c>
      <c r="AE18" s="100" t="s">
        <v>554</v>
      </c>
      <c r="AF18" s="101" t="s">
        <v>555</v>
      </c>
      <c r="AG18" s="98">
        <v>10.0</v>
      </c>
      <c r="AH18" s="106" t="s">
        <v>556</v>
      </c>
      <c r="AI18" s="100" t="s">
        <v>557</v>
      </c>
      <c r="AJ18" s="101" t="s">
        <v>558</v>
      </c>
      <c r="AK18" s="98">
        <v>10.0</v>
      </c>
      <c r="AL18" s="107" t="s">
        <v>559</v>
      </c>
      <c r="AM18" s="108" t="s">
        <v>560</v>
      </c>
      <c r="AN18" s="67" t="s">
        <v>561</v>
      </c>
      <c r="AO18" s="101"/>
    </row>
    <row r="19">
      <c r="A19" s="98">
        <v>11.0</v>
      </c>
      <c r="B19" s="99" t="s">
        <v>562</v>
      </c>
      <c r="C19" s="100" t="s">
        <v>563</v>
      </c>
      <c r="D19" s="101" t="s">
        <v>564</v>
      </c>
      <c r="E19" s="98">
        <v>11.0</v>
      </c>
      <c r="F19" s="99" t="s">
        <v>565</v>
      </c>
      <c r="G19" s="100" t="s">
        <v>566</v>
      </c>
      <c r="H19" s="101" t="s">
        <v>567</v>
      </c>
      <c r="I19" s="98">
        <v>11.0</v>
      </c>
      <c r="J19" s="99" t="s">
        <v>568</v>
      </c>
      <c r="K19" s="100" t="s">
        <v>569</v>
      </c>
      <c r="L19" s="101" t="s">
        <v>570</v>
      </c>
      <c r="M19" s="98">
        <v>11.0</v>
      </c>
      <c r="N19" s="99" t="str">
        <f>IFERROR(__xludf.DUMMYFUNCTION("GOOGLETRANSLATE(B19,""zh-tw"",""zh"")"),"红肿的小嘴-1")</f>
        <v>红肿的小嘴-1</v>
      </c>
      <c r="O19" s="103" t="str">
        <f>IFERROR(__xludf.DUMMYFUNCTION("GOOGLETRANSLATE(C19,""zh-tw"",""zh"")"),"解除了妹妹辣哭了状态后，可以进一步提出口腔检查请求，妹妹紫心低于3时会拒绝")</f>
        <v>解除了妹妹辣哭了状态后，可以进一步提出口腔检查请求，妹妹紫心低于3时会拒绝</v>
      </c>
      <c r="P19" s="101" t="str">
        <f>IFERROR(__xludf.DUMMYFUNCTION("GOOGLETRANSLATE(D19,""zh-tw"",""zh"")"),"触发被拒绝检查口腔的剧情")</f>
        <v>触发被拒绝检查口腔的剧情</v>
      </c>
      <c r="Q19" s="98">
        <v>11.0</v>
      </c>
      <c r="R19" s="99" t="s">
        <v>571</v>
      </c>
      <c r="S19" s="100" t="s">
        <v>572</v>
      </c>
      <c r="T19" s="71" t="s">
        <v>573</v>
      </c>
      <c r="U19" s="98">
        <v>11.0</v>
      </c>
      <c r="V19" s="102" t="str">
        <f>IFERROR(__xludf.DUMMYFUNCTION("GOOGLETRANSLATE(B19,""zh-tw"",""KO"")"),"부어오른 작은 입 - 1")</f>
        <v>부어오른 작은 입 - 1</v>
      </c>
      <c r="W19" s="103" t="str">
        <f>IFERROR(__xludf.DUMMYFUNCTION("GOOGLETRANSLATE(C19,""zh-tw"",""KO"")"),"언니가 매운맛 때문에 울음을 그치게 한 후, 구강 검진을 요청하실 수 있습니다. 단, 언니의 심박수가 3회 미만이면 검진 요청이 거부됩니다.")</f>
        <v>언니가 매운맛 때문에 울음을 그치게 한 후, 구강 검진을 요청하실 수 있습니다. 단, 언니의 심박수가 3회 미만이면 검진 요청이 거부됩니다.</v>
      </c>
      <c r="X19" s="71" t="str">
        <f>IFERROR(__xludf.DUMMYFUNCTION("GOOGLETRANSLATE(D19,""zh-tw"",""KO"")"),"치과 검진을 거부당하는 스토리를 시작하세요.")</f>
        <v>치과 검진을 거부당하는 스토리를 시작하세요.</v>
      </c>
      <c r="Y19" s="98">
        <v>11.0</v>
      </c>
      <c r="Z19" s="113" t="s">
        <v>574</v>
      </c>
      <c r="AA19" s="105" t="s">
        <v>575</v>
      </c>
      <c r="AB19" s="63" t="s">
        <v>576</v>
      </c>
      <c r="AC19" s="98">
        <v>11.0</v>
      </c>
      <c r="AD19" s="99" t="s">
        <v>577</v>
      </c>
      <c r="AE19" s="100" t="s">
        <v>578</v>
      </c>
      <c r="AF19" s="101" t="s">
        <v>579</v>
      </c>
      <c r="AG19" s="98">
        <v>11.0</v>
      </c>
      <c r="AH19" s="106" t="s">
        <v>580</v>
      </c>
      <c r="AI19" s="100" t="s">
        <v>581</v>
      </c>
      <c r="AJ19" s="101" t="s">
        <v>582</v>
      </c>
      <c r="AK19" s="98">
        <v>11.0</v>
      </c>
      <c r="AL19" s="107" t="s">
        <v>583</v>
      </c>
      <c r="AM19" s="115" t="s">
        <v>584</v>
      </c>
      <c r="AN19" s="67" t="s">
        <v>585</v>
      </c>
      <c r="AO19" s="101"/>
    </row>
    <row r="20">
      <c r="A20" s="98">
        <v>12.0</v>
      </c>
      <c r="B20" s="99" t="s">
        <v>586</v>
      </c>
      <c r="C20" s="100" t="s">
        <v>587</v>
      </c>
      <c r="D20" s="101" t="s">
        <v>588</v>
      </c>
      <c r="E20" s="98">
        <v>12.0</v>
      </c>
      <c r="F20" s="99" t="s">
        <v>589</v>
      </c>
      <c r="G20" s="100" t="s">
        <v>590</v>
      </c>
      <c r="H20" s="101" t="s">
        <v>591</v>
      </c>
      <c r="I20" s="98">
        <v>12.0</v>
      </c>
      <c r="J20" s="99" t="s">
        <v>592</v>
      </c>
      <c r="K20" s="100" t="s">
        <v>593</v>
      </c>
      <c r="L20" s="69" t="s">
        <v>594</v>
      </c>
      <c r="M20" s="98">
        <v>12.0</v>
      </c>
      <c r="N20" s="99" t="str">
        <f>IFERROR(__xludf.DUMMYFUNCTION("GOOGLETRANSLATE(B20,""zh-tw"",""zh"")"),"红肿的小嘴-2")</f>
        <v>红肿的小嘴-2</v>
      </c>
      <c r="O20" s="103" t="str">
        <f>IFERROR(__xludf.DUMMYFUNCTION("GOOGLETRANSLATE(C20,""zh-tw"",""zh"")"),"同上，妹妹紫心高于3时，可以触发口腔检查的后续剧情")</f>
        <v>同上，妹妹紫心高于3时，可以触发口腔检查的后续剧情</v>
      </c>
      <c r="P20" s="101" t="str">
        <f>IFERROR(__xludf.DUMMYFUNCTION("GOOGLETRANSLATE(D20,""zh-tw"",""zh"")"),"触发检查口腔的剧情")</f>
        <v>触发检查口腔的剧情</v>
      </c>
      <c r="Q20" s="98">
        <v>12.0</v>
      </c>
      <c r="R20" s="99" t="s">
        <v>595</v>
      </c>
      <c r="S20" s="100" t="s">
        <v>596</v>
      </c>
      <c r="T20" s="71" t="s">
        <v>597</v>
      </c>
      <c r="U20" s="98">
        <v>12.0</v>
      </c>
      <c r="V20" s="102" t="str">
        <f>IFERROR(__xludf.DUMMYFUNCTION("GOOGLETRANSLATE(B20,""zh-tw"",""KO"")"),"부어오른 작은 입 - 2")</f>
        <v>부어오른 작은 입 - 2</v>
      </c>
      <c r="W20" s="103" t="str">
        <f>IFERROR(__xludf.DUMMYFUNCTION("GOOGLETRANSLATE(C20,""zh-tw"",""KO"")"),"마찬가지로 여동생의 퍼플 하트 점수가 3점 이상이면, 이후 구두 시험의 줄거리가 발동될 수 있습니다.")</f>
        <v>마찬가지로 여동생의 퍼플 하트 점수가 3점 이상이면, 이후 구두 시험의 줄거리가 발동될 수 있습니다.</v>
      </c>
      <c r="X20" s="71" t="str">
        <f>IFERROR(__xludf.DUMMYFUNCTION("GOOGLETRANSLATE(D20,""zh-tw"",""KO"")"),"구강 검사 플롯을 트리거합니다.")</f>
        <v>구강 검사 플롯을 트리거합니다.</v>
      </c>
      <c r="Y20" s="98">
        <v>12.0</v>
      </c>
      <c r="Z20" s="113" t="s">
        <v>598</v>
      </c>
      <c r="AA20" s="105" t="s">
        <v>599</v>
      </c>
      <c r="AB20" s="63" t="s">
        <v>600</v>
      </c>
      <c r="AC20" s="98">
        <v>12.0</v>
      </c>
      <c r="AD20" s="99" t="s">
        <v>601</v>
      </c>
      <c r="AE20" s="100" t="s">
        <v>602</v>
      </c>
      <c r="AF20" s="101" t="s">
        <v>603</v>
      </c>
      <c r="AG20" s="98">
        <v>12.0</v>
      </c>
      <c r="AH20" s="106" t="s">
        <v>604</v>
      </c>
      <c r="AI20" s="100" t="s">
        <v>605</v>
      </c>
      <c r="AJ20" s="101" t="s">
        <v>606</v>
      </c>
      <c r="AK20" s="98">
        <v>12.0</v>
      </c>
      <c r="AL20" s="107" t="s">
        <v>607</v>
      </c>
      <c r="AM20" s="108" t="s">
        <v>608</v>
      </c>
      <c r="AN20" s="67" t="s">
        <v>609</v>
      </c>
      <c r="AO20" s="101"/>
    </row>
    <row r="21">
      <c r="A21" s="98">
        <v>13.0</v>
      </c>
      <c r="B21" s="99" t="s">
        <v>610</v>
      </c>
      <c r="C21" s="109" t="s">
        <v>611</v>
      </c>
      <c r="D21" s="101" t="s">
        <v>612</v>
      </c>
      <c r="E21" s="98">
        <v>13.0</v>
      </c>
      <c r="F21" s="99" t="s">
        <v>613</v>
      </c>
      <c r="G21" s="100" t="s">
        <v>614</v>
      </c>
      <c r="H21" s="101" t="s">
        <v>615</v>
      </c>
      <c r="I21" s="98">
        <v>13.0</v>
      </c>
      <c r="J21" s="99" t="s">
        <v>616</v>
      </c>
      <c r="K21" s="109" t="s">
        <v>617</v>
      </c>
      <c r="L21" s="101" t="s">
        <v>618</v>
      </c>
      <c r="M21" s="98">
        <v>13.0</v>
      </c>
      <c r="N21" s="99" t="str">
        <f>IFERROR(__xludf.DUMMYFUNCTION("GOOGLETRANSLATE(B21,""zh-tw"",""zh"")"),"呆毛")</f>
        <v>呆毛</v>
      </c>
      <c r="O21" s="103"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71" t="s">
        <v>619</v>
      </c>
      <c r="Q21" s="98">
        <v>13.0</v>
      </c>
      <c r="R21" s="102" t="s">
        <v>616</v>
      </c>
      <c r="S21" s="103" t="s">
        <v>620</v>
      </c>
      <c r="T21" s="69" t="s">
        <v>621</v>
      </c>
      <c r="U21" s="98">
        <v>13.0</v>
      </c>
      <c r="V21" s="99" t="s">
        <v>622</v>
      </c>
      <c r="W21" s="109" t="s">
        <v>623</v>
      </c>
      <c r="X21" s="69" t="s">
        <v>624</v>
      </c>
      <c r="Y21" s="98">
        <v>13.0</v>
      </c>
      <c r="Z21" s="104" t="s">
        <v>625</v>
      </c>
      <c r="AA21" s="105" t="s">
        <v>626</v>
      </c>
      <c r="AB21" s="63" t="s">
        <v>627</v>
      </c>
      <c r="AC21" s="98">
        <v>13.0</v>
      </c>
      <c r="AD21" s="99" t="s">
        <v>628</v>
      </c>
      <c r="AE21" s="100" t="s">
        <v>629</v>
      </c>
      <c r="AF21" s="101" t="s">
        <v>630</v>
      </c>
      <c r="AG21" s="98">
        <v>13.0</v>
      </c>
      <c r="AH21" s="106" t="s">
        <v>616</v>
      </c>
      <c r="AI21" s="109" t="s">
        <v>631</v>
      </c>
      <c r="AJ21" s="101" t="s">
        <v>632</v>
      </c>
      <c r="AK21" s="98">
        <v>13.0</v>
      </c>
      <c r="AL21" s="107" t="s">
        <v>616</v>
      </c>
      <c r="AM21" s="115" t="s">
        <v>633</v>
      </c>
      <c r="AN21" s="67" t="s">
        <v>634</v>
      </c>
      <c r="AO21" s="101"/>
    </row>
    <row r="22">
      <c r="A22" s="98">
        <v>14.0</v>
      </c>
      <c r="B22" s="99" t="s">
        <v>635</v>
      </c>
      <c r="C22" s="100" t="s">
        <v>636</v>
      </c>
      <c r="D22" s="101" t="s">
        <v>637</v>
      </c>
      <c r="E22" s="98">
        <v>14.0</v>
      </c>
      <c r="F22" s="99" t="s">
        <v>638</v>
      </c>
      <c r="G22" s="100" t="s">
        <v>639</v>
      </c>
      <c r="H22" s="101" t="s">
        <v>640</v>
      </c>
      <c r="I22" s="98">
        <v>14.0</v>
      </c>
      <c r="J22" s="99" t="s">
        <v>641</v>
      </c>
      <c r="K22" s="100" t="s">
        <v>642</v>
      </c>
      <c r="L22" s="101" t="s">
        <v>643</v>
      </c>
      <c r="M22" s="98">
        <v>14.0</v>
      </c>
      <c r="N22" s="99" t="str">
        <f>IFERROR(__xludf.DUMMYFUNCTION("GOOGLETRANSLATE(B22,""zh-tw"",""zh"")"),"浑身恶臭-1")</f>
        <v>浑身恶臭-1</v>
      </c>
      <c r="O22" s="103" t="str">
        <f>IFERROR(__xludf.DUMMYFUNCTION("GOOGLETRANSLATE(C22,""zh-tw"",""zh"")"),"装备""臭鱼骨""回家时可触发")</f>
        <v>装备"臭鱼骨"回家时可触发</v>
      </c>
      <c r="P22" s="101" t="str">
        <f>IFERROR(__xludf.DUMMYFUNCTION("GOOGLETRANSLATE(D22,""zh-tw"",""zh"")"),"触发""哥哥好臭""事件")</f>
        <v>触发"哥哥好臭"事件</v>
      </c>
      <c r="Q22" s="98">
        <v>14.0</v>
      </c>
      <c r="R22" s="102" t="s">
        <v>644</v>
      </c>
      <c r="S22" s="103" t="str">
        <f>IFERROR(__xludf.DUMMYFUNCTION("GOOGLETRANSLATE(C22,""zh-tw"",""es-MX"")"),"Equipar ""Stinky Fishbone"" puede activar un determinado evento al regresar a casa.")</f>
        <v>Equipar "Stinky Fishbone" puede activar un determinado evento al regresar a casa.</v>
      </c>
      <c r="T22" s="71" t="str">
        <f>IFERROR(__xludf.DUMMYFUNCTION("GOOGLETRANSLATE(D22,""zh-tw"",""es-MX"")"),"Activación del evento ""Hermano huele mal""")</f>
        <v>Activación del evento "Hermano huele mal"</v>
      </c>
      <c r="U22" s="98">
        <v>14.0</v>
      </c>
      <c r="V22" s="112" t="s">
        <v>645</v>
      </c>
      <c r="W22" s="109" t="s">
        <v>646</v>
      </c>
      <c r="X22" s="69" t="s">
        <v>647</v>
      </c>
      <c r="Y22" s="98">
        <v>14.0</v>
      </c>
      <c r="Z22" s="104" t="s">
        <v>648</v>
      </c>
      <c r="AA22" s="105" t="s">
        <v>649</v>
      </c>
      <c r="AB22" s="63" t="s">
        <v>650</v>
      </c>
      <c r="AC22" s="98">
        <v>14.0</v>
      </c>
      <c r="AD22" s="99" t="s">
        <v>651</v>
      </c>
      <c r="AE22" s="100" t="s">
        <v>652</v>
      </c>
      <c r="AF22" s="101" t="s">
        <v>653</v>
      </c>
      <c r="AG22" s="98">
        <v>14.0</v>
      </c>
      <c r="AH22" s="106" t="s">
        <v>654</v>
      </c>
      <c r="AI22" s="100" t="s">
        <v>655</v>
      </c>
      <c r="AJ22" s="101" t="s">
        <v>656</v>
      </c>
      <c r="AK22" s="98">
        <v>14.0</v>
      </c>
      <c r="AL22" s="107" t="s">
        <v>657</v>
      </c>
      <c r="AM22" s="108" t="s">
        <v>658</v>
      </c>
      <c r="AN22" s="67" t="s">
        <v>659</v>
      </c>
      <c r="AO22" s="101"/>
    </row>
    <row r="23">
      <c r="A23" s="98">
        <v>15.0</v>
      </c>
      <c r="B23" s="99" t="s">
        <v>660</v>
      </c>
      <c r="C23" s="100" t="s">
        <v>661</v>
      </c>
      <c r="D23" s="101" t="s">
        <v>662</v>
      </c>
      <c r="E23" s="98">
        <v>15.0</v>
      </c>
      <c r="F23" s="99" t="s">
        <v>663</v>
      </c>
      <c r="G23" s="100" t="s">
        <v>664</v>
      </c>
      <c r="H23" s="101" t="s">
        <v>665</v>
      </c>
      <c r="I23" s="98">
        <v>15.0</v>
      </c>
      <c r="J23" s="99" t="s">
        <v>666</v>
      </c>
      <c r="K23" s="100" t="s">
        <v>667</v>
      </c>
      <c r="L23" s="101" t="s">
        <v>668</v>
      </c>
      <c r="M23" s="98">
        <v>15.0</v>
      </c>
      <c r="N23" s="99" t="str">
        <f>IFERROR(__xludf.DUMMYFUNCTION("GOOGLETRANSLATE(B23,""zh-tw"",""zh"")"),"浑身恶臭-2")</f>
        <v>浑身恶臭-2</v>
      </c>
      <c r="O23" s="103" t="str">
        <f>IFERROR(__xludf.DUMMYFUNCTION("GOOGLETRANSLATE(C23,""zh-tw"",""zh"")"),"哥哥不洗澡一段时间")</f>
        <v>哥哥不洗澡一段时间</v>
      </c>
      <c r="P23" s="71" t="str">
        <f>IFERROR(__xludf.DUMMYFUNCTION("GOOGLETRANSLATE(D23,""zh-tw"",""zh"")"),"未实装")</f>
        <v>未实装</v>
      </c>
      <c r="Q23" s="98">
        <v>15.0</v>
      </c>
      <c r="R23" s="99" t="s">
        <v>669</v>
      </c>
      <c r="S23" s="109" t="s">
        <v>670</v>
      </c>
      <c r="T23" s="69" t="s">
        <v>671</v>
      </c>
      <c r="U23" s="98">
        <v>15.0</v>
      </c>
      <c r="V23" s="112" t="s">
        <v>672</v>
      </c>
      <c r="W23" s="109" t="s">
        <v>673</v>
      </c>
      <c r="X23" s="119" t="s">
        <v>674</v>
      </c>
      <c r="Y23" s="98">
        <v>15.0</v>
      </c>
      <c r="Z23" s="104" t="s">
        <v>675</v>
      </c>
      <c r="AA23" s="114" t="s">
        <v>676</v>
      </c>
      <c r="AB23" s="63" t="s">
        <v>677</v>
      </c>
      <c r="AC23" s="98">
        <v>15.0</v>
      </c>
      <c r="AD23" s="99" t="s">
        <v>678</v>
      </c>
      <c r="AE23" s="100" t="s">
        <v>679</v>
      </c>
      <c r="AF23" s="101" t="s">
        <v>680</v>
      </c>
      <c r="AG23" s="98">
        <v>15.0</v>
      </c>
      <c r="AH23" s="106" t="s">
        <v>681</v>
      </c>
      <c r="AI23" s="100" t="s">
        <v>682</v>
      </c>
      <c r="AJ23" s="101" t="s">
        <v>683</v>
      </c>
      <c r="AK23" s="98">
        <v>15.0</v>
      </c>
      <c r="AL23" s="107" t="s">
        <v>684</v>
      </c>
      <c r="AM23" s="108" t="s">
        <v>685</v>
      </c>
      <c r="AN23" s="67" t="s">
        <v>686</v>
      </c>
      <c r="AO23" s="101"/>
    </row>
    <row r="24">
      <c r="A24" s="98">
        <v>16.0</v>
      </c>
      <c r="B24" s="99" t="s">
        <v>687</v>
      </c>
      <c r="C24" s="100" t="s">
        <v>688</v>
      </c>
      <c r="D24" s="101" t="s">
        <v>689</v>
      </c>
      <c r="E24" s="98">
        <v>16.0</v>
      </c>
      <c r="F24" s="99" t="s">
        <v>690</v>
      </c>
      <c r="G24" s="100" t="s">
        <v>691</v>
      </c>
      <c r="H24" s="101" t="s">
        <v>692</v>
      </c>
      <c r="I24" s="98">
        <v>16.0</v>
      </c>
      <c r="J24" s="99" t="s">
        <v>693</v>
      </c>
      <c r="K24" s="100" t="s">
        <v>694</v>
      </c>
      <c r="L24" s="101" t="s">
        <v>695</v>
      </c>
      <c r="M24" s="98">
        <v>16.0</v>
      </c>
      <c r="N24" s="99" t="str">
        <f>IFERROR(__xludf.DUMMYFUNCTION("GOOGLETRANSLATE(B24,""zh-tw"",""zh"")"),"洗完澡来喝点")</f>
        <v>洗完澡来喝点</v>
      </c>
      <c r="O24" s="103" t="str">
        <f>IFERROR(__xludf.DUMMYFUNCTION("GOOGLETRANSLATE(C24,""zh-tw"",""zh"")"),"当身上有牛奶时，洗澡后机率触发喝牛奶")</f>
        <v>当身上有牛奶时，洗澡后机率触发喝牛奶</v>
      </c>
      <c r="P24" s="71" t="str">
        <f>IFERROR(__xludf.DUMMYFUNCTION("GOOGLETRANSLATE(D24,""zh-tw"",""zh"")"),"特殊动画")</f>
        <v>特殊动画</v>
      </c>
      <c r="Q24" s="98">
        <v>16.0</v>
      </c>
      <c r="R24" s="112" t="s">
        <v>696</v>
      </c>
      <c r="S24" s="103" t="s">
        <v>697</v>
      </c>
      <c r="T24" s="69" t="s">
        <v>698</v>
      </c>
      <c r="U24" s="98">
        <v>16.0</v>
      </c>
      <c r="V24" s="112" t="s">
        <v>699</v>
      </c>
      <c r="W24" s="109" t="s">
        <v>700</v>
      </c>
      <c r="X24" s="69" t="s">
        <v>701</v>
      </c>
      <c r="Y24" s="98">
        <v>16.0</v>
      </c>
      <c r="Z24" s="104" t="s">
        <v>702</v>
      </c>
      <c r="AA24" s="105" t="s">
        <v>703</v>
      </c>
      <c r="AB24" s="63" t="s">
        <v>704</v>
      </c>
      <c r="AC24" s="98">
        <v>16.0</v>
      </c>
      <c r="AD24" s="99" t="s">
        <v>705</v>
      </c>
      <c r="AE24" s="100" t="s">
        <v>706</v>
      </c>
      <c r="AF24" s="101" t="s">
        <v>707</v>
      </c>
      <c r="AG24" s="98">
        <v>16.0</v>
      </c>
      <c r="AH24" s="106" t="s">
        <v>708</v>
      </c>
      <c r="AI24" s="100" t="s">
        <v>709</v>
      </c>
      <c r="AJ24" s="101" t="s">
        <v>710</v>
      </c>
      <c r="AK24" s="98">
        <v>16.0</v>
      </c>
      <c r="AL24" s="107" t="s">
        <v>711</v>
      </c>
      <c r="AM24" s="108" t="s">
        <v>712</v>
      </c>
      <c r="AN24" s="66" t="s">
        <v>713</v>
      </c>
      <c r="AO24" s="101"/>
    </row>
    <row r="25">
      <c r="A25" s="98">
        <v>17.0</v>
      </c>
      <c r="B25" s="99" t="s">
        <v>714</v>
      </c>
      <c r="C25" s="100" t="s">
        <v>715</v>
      </c>
      <c r="D25" s="101" t="s">
        <v>716</v>
      </c>
      <c r="E25" s="98">
        <v>17.0</v>
      </c>
      <c r="F25" s="99" t="s">
        <v>717</v>
      </c>
      <c r="G25" s="100" t="s">
        <v>718</v>
      </c>
      <c r="H25" s="101" t="s">
        <v>719</v>
      </c>
      <c r="I25" s="98">
        <v>17.0</v>
      </c>
      <c r="J25" s="99" t="s">
        <v>720</v>
      </c>
      <c r="K25" s="100" t="s">
        <v>721</v>
      </c>
      <c r="L25" s="101" t="s">
        <v>722</v>
      </c>
      <c r="M25" s="98">
        <v>17.0</v>
      </c>
      <c r="N25" s="99" t="str">
        <f>IFERROR(__xludf.DUMMYFUNCTION("GOOGLETRANSLATE(B25,""zh-tw"",""zh"")"),"喧嚣的风儿")</f>
        <v>喧嚣的风儿</v>
      </c>
      <c r="O25" s="103" t="str">
        <f>IFERROR(__xludf.DUMMYFUNCTION("GOOGLETRANSLATE(C25,""zh-tw"",""zh"")"),"第一次与妹妹共浴之后，可以帮妹妹吹头发")</f>
        <v>第一次与妹妹共浴之后，可以帮妹妹吹头发</v>
      </c>
      <c r="P25" s="101" t="str">
        <f>IFERROR(__xludf.DUMMYFUNCTION("GOOGLETRANSLATE(D25,""zh-tw"",""zh"")"),"解锁""吹头发""选项")</f>
        <v>解锁"吹头发"选项</v>
      </c>
      <c r="Q25" s="98">
        <v>17.0</v>
      </c>
      <c r="R25" s="99" t="s">
        <v>723</v>
      </c>
      <c r="S25" s="109" t="s">
        <v>724</v>
      </c>
      <c r="T25" s="69" t="s">
        <v>725</v>
      </c>
      <c r="U25" s="98">
        <v>17.0</v>
      </c>
      <c r="V25" s="120" t="s">
        <v>726</v>
      </c>
      <c r="W25" s="109" t="s">
        <v>727</v>
      </c>
      <c r="X25" s="69" t="s">
        <v>728</v>
      </c>
      <c r="Y25" s="98">
        <v>17.0</v>
      </c>
      <c r="Z25" s="104" t="s">
        <v>729</v>
      </c>
      <c r="AA25" s="114" t="s">
        <v>730</v>
      </c>
      <c r="AB25" s="63" t="s">
        <v>731</v>
      </c>
      <c r="AC25" s="98">
        <v>17.0</v>
      </c>
      <c r="AD25" s="99" t="s">
        <v>732</v>
      </c>
      <c r="AE25" s="100" t="s">
        <v>733</v>
      </c>
      <c r="AF25" s="101" t="s">
        <v>734</v>
      </c>
      <c r="AG25" s="98">
        <v>17.0</v>
      </c>
      <c r="AH25" s="106" t="s">
        <v>735</v>
      </c>
      <c r="AI25" s="100" t="s">
        <v>736</v>
      </c>
      <c r="AJ25" s="101" t="s">
        <v>737</v>
      </c>
      <c r="AK25" s="98">
        <v>17.0</v>
      </c>
      <c r="AL25" s="107" t="s">
        <v>738</v>
      </c>
      <c r="AM25" s="108" t="s">
        <v>739</v>
      </c>
      <c r="AN25" s="67" t="s">
        <v>740</v>
      </c>
      <c r="AO25" s="101"/>
    </row>
    <row r="26">
      <c r="A26" s="98">
        <v>18.0</v>
      </c>
      <c r="B26" s="99" t="s">
        <v>741</v>
      </c>
      <c r="C26" s="100" t="s">
        <v>742</v>
      </c>
      <c r="D26" s="101" t="s">
        <v>743</v>
      </c>
      <c r="E26" s="98">
        <v>18.0</v>
      </c>
      <c r="F26" s="99" t="s">
        <v>744</v>
      </c>
      <c r="G26" s="100" t="s">
        <v>745</v>
      </c>
      <c r="H26" s="101" t="s">
        <v>746</v>
      </c>
      <c r="I26" s="98">
        <v>18.0</v>
      </c>
      <c r="J26" s="99" t="s">
        <v>747</v>
      </c>
      <c r="K26" s="100" t="s">
        <v>748</v>
      </c>
      <c r="L26" s="69" t="s">
        <v>749</v>
      </c>
      <c r="M26" s="98">
        <v>18.0</v>
      </c>
      <c r="N26" s="99" t="str">
        <f>IFERROR(__xludf.DUMMYFUNCTION("GOOGLETRANSLATE(B26,""zh-tw"",""zh"")"),"哥困了")</f>
        <v>哥困了</v>
      </c>
      <c r="O26" s="103" t="str">
        <f>IFERROR(__xludf.DUMMYFUNCTION("GOOGLETRANSLATE(C26,""zh-tw"",""zh"")"),"提前睡觉")</f>
        <v>提前睡觉</v>
      </c>
      <c r="P26" s="71" t="s">
        <v>750</v>
      </c>
      <c r="Q26" s="98">
        <v>18.0</v>
      </c>
      <c r="R26" s="112" t="s">
        <v>751</v>
      </c>
      <c r="S26" s="109" t="s">
        <v>752</v>
      </c>
      <c r="T26" s="69" t="s">
        <v>753</v>
      </c>
      <c r="U26" s="98">
        <v>18.0</v>
      </c>
      <c r="V26" s="120" t="s">
        <v>754</v>
      </c>
      <c r="W26" s="109" t="s">
        <v>755</v>
      </c>
      <c r="X26" s="69" t="s">
        <v>756</v>
      </c>
      <c r="Y26" s="98">
        <v>18.0</v>
      </c>
      <c r="Z26" s="113" t="s">
        <v>757</v>
      </c>
      <c r="AA26" s="114" t="s">
        <v>758</v>
      </c>
      <c r="AB26" s="63" t="s">
        <v>759</v>
      </c>
      <c r="AC26" s="98">
        <v>18.0</v>
      </c>
      <c r="AD26" s="99" t="s">
        <v>760</v>
      </c>
      <c r="AE26" s="100" t="s">
        <v>761</v>
      </c>
      <c r="AF26" s="101" t="s">
        <v>762</v>
      </c>
      <c r="AG26" s="98">
        <v>18.0</v>
      </c>
      <c r="AH26" s="106" t="s">
        <v>763</v>
      </c>
      <c r="AI26" s="100" t="s">
        <v>764</v>
      </c>
      <c r="AJ26" s="101" t="s">
        <v>765</v>
      </c>
      <c r="AK26" s="98">
        <v>18.0</v>
      </c>
      <c r="AL26" s="107" t="s">
        <v>766</v>
      </c>
      <c r="AM26" s="108" t="s">
        <v>767</v>
      </c>
      <c r="AN26" s="67" t="s">
        <v>768</v>
      </c>
      <c r="AO26" s="101"/>
    </row>
    <row r="27">
      <c r="A27" s="98">
        <v>19.0</v>
      </c>
      <c r="B27" s="99" t="s">
        <v>769</v>
      </c>
      <c r="C27" s="100" t="s">
        <v>770</v>
      </c>
      <c r="D27" s="101" t="s">
        <v>771</v>
      </c>
      <c r="E27" s="98">
        <v>19.0</v>
      </c>
      <c r="F27" s="99" t="s">
        <v>772</v>
      </c>
      <c r="G27" s="100" t="s">
        <v>773</v>
      </c>
      <c r="H27" s="101" t="s">
        <v>774</v>
      </c>
      <c r="I27" s="98">
        <v>19.0</v>
      </c>
      <c r="J27" s="99" t="s">
        <v>775</v>
      </c>
      <c r="K27" s="100" t="s">
        <v>776</v>
      </c>
      <c r="L27" s="101" t="s">
        <v>777</v>
      </c>
      <c r="M27" s="98">
        <v>19.0</v>
      </c>
      <c r="N27" s="99" t="str">
        <f>IFERROR(__xludf.DUMMYFUNCTION("GOOGLETRANSLATE(B27,""zh-tw"",""zh"")"),"起床啰")</f>
        <v>起床啰</v>
      </c>
      <c r="O27" s="103"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71" t="str">
        <f>IFERROR(__xludf.DUMMYFUNCTION("GOOGLETRANSLATE(D27,""zh-tw"",""zh"")"),"机率解锁""强行叫醒""动画
被强行叫醒的妹妹，不会彻底醒来，而是会重新回去睡")</f>
        <v>机率解锁"强行叫醒"动画
被强行叫醒的妹妹，不会彻底醒来，而是会重新回去睡</v>
      </c>
      <c r="Q27" s="98">
        <v>19.0</v>
      </c>
      <c r="R27" s="112" t="s">
        <v>778</v>
      </c>
      <c r="S27" s="103" t="s">
        <v>779</v>
      </c>
      <c r="T27" s="110" t="s">
        <v>780</v>
      </c>
      <c r="U27" s="98">
        <v>19.0</v>
      </c>
      <c r="V27" s="102" t="str">
        <f>IFERROR(__xludf.DUMMYFUNCTION("GOOGLETRANSLATE(B27,""zh-tw"",""KO"")"),"일어날 시간이에요!")</f>
        <v>일어날 시간이에요!</v>
      </c>
      <c r="W27" s="103"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71" t="str">
        <f>IFERROR(__xludf.DUMMYFUNCTION("GOOGLETRANSLATE(D27,""zh-tw"",""KO"")"),"""강제 깨우기"" 애니메이션 잠금 해제 기회
강제로 깨워진 여동생은 완전히 깨어나지 않고 다시 잠에 들게 됩니다.")</f>
        <v>"강제 깨우기" 애니메이션 잠금 해제 기회
강제로 깨워진 여동생은 완전히 깨어나지 않고 다시 잠에 들게 됩니다.</v>
      </c>
      <c r="Y27" s="98">
        <v>19.0</v>
      </c>
      <c r="Z27" s="104" t="s">
        <v>781</v>
      </c>
      <c r="AA27" s="105" t="s">
        <v>782</v>
      </c>
      <c r="AB27" s="63" t="s">
        <v>783</v>
      </c>
      <c r="AC27" s="98">
        <v>19.0</v>
      </c>
      <c r="AD27" s="99" t="s">
        <v>784</v>
      </c>
      <c r="AE27" s="100" t="s">
        <v>785</v>
      </c>
      <c r="AF27" s="101" t="s">
        <v>786</v>
      </c>
      <c r="AG27" s="98">
        <v>19.0</v>
      </c>
      <c r="AH27" s="106" t="s">
        <v>787</v>
      </c>
      <c r="AI27" s="100" t="s">
        <v>788</v>
      </c>
      <c r="AJ27" s="101" t="s">
        <v>789</v>
      </c>
      <c r="AK27" s="98">
        <v>19.0</v>
      </c>
      <c r="AL27" s="107" t="s">
        <v>790</v>
      </c>
      <c r="AM27" s="108" t="s">
        <v>791</v>
      </c>
      <c r="AN27" s="67" t="s">
        <v>792</v>
      </c>
      <c r="AO27" s="101"/>
    </row>
    <row r="28">
      <c r="A28" s="98">
        <v>20.0</v>
      </c>
      <c r="B28" s="99" t="s">
        <v>793</v>
      </c>
      <c r="C28" s="109" t="s">
        <v>794</v>
      </c>
      <c r="D28" s="101" t="s">
        <v>795</v>
      </c>
      <c r="E28" s="98">
        <v>20.0</v>
      </c>
      <c r="F28" s="99" t="str">
        <f>IFERROR(__xludf.DUMMYFUNCTION("GOOGLETRANSLATE(B28,""zh-tw"",""ja"")"),"最初の癒し")</f>
        <v>最初の癒し</v>
      </c>
      <c r="G28" s="109" t="s">
        <v>796</v>
      </c>
      <c r="H28" s="101" t="s">
        <v>797</v>
      </c>
      <c r="I28" s="98">
        <v>20.0</v>
      </c>
      <c r="J28" s="99" t="s">
        <v>798</v>
      </c>
      <c r="K28" s="109" t="s">
        <v>799</v>
      </c>
      <c r="L28" s="101" t="s">
        <v>800</v>
      </c>
      <c r="M28" s="98">
        <v>20.0</v>
      </c>
      <c r="N28" s="99" t="str">
        <f>IFERROR(__xludf.DUMMYFUNCTION("GOOGLETRANSLATE(B28,""zh-tw"",""zh"")"),"第一次治愈")</f>
        <v>第一次治愈</v>
      </c>
      <c r="O28" s="103" t="str">
        <f>IFERROR(__xludf.DUMMYFUNCTION("GOOGLETRANSLATE(C28,""zh-tw"",""zh"")"),"""喝点什么""
可以让妹妹喝下""红髓液""，进行治愈
P.S.只能治愈一次，请参考RPG事件")</f>
        <v>"喝点什么"
可以让妹妹喝下"红髓液"，进行治愈
P.S.只能治愈一次，请参考RPG事件</v>
      </c>
      <c r="P28" s="71"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98">
        <v>20.0</v>
      </c>
      <c r="R28" s="99" t="s">
        <v>801</v>
      </c>
      <c r="S28" s="103" t="str">
        <f>IFERROR(__xludf.DUMMYFUNCTION("GOOGLETRANSLATE(C28,""zh-tw"",""es-MX"")"),"""¿Qué te gustaría beber?"" Esto permite que tu hermana beba ""Elixir de Médula Roja"" para sanar.
P. D.: Esto solo se cura una vez; consulta los eventos del juego de rol.")</f>
        <v>"¿Qué te gustaría beber?" Esto permite que tu hermana beba "Elixir de Médula Roja" para sanar.
P. D.: Esto solo se cura una vez; consulta los eventos del juego de rol.</v>
      </c>
      <c r="T28" s="71" t="str">
        <f>IFERROR(__xludf.DUMMYFUNCTION("GOOGLETRANSLATE(D28,""zh-tw"",""es-MX"")"),"Se ha eliminado el mecanismo de ""despertar forzado"".
Después de curarte, puedes despertar a tu hermana por la mañana para iniciar la historia. Aún existe la posibilidad de fallar después de la primera vez.")</f>
        <v>Se ha eliminado el mecanismo de "despertar forzado".
Después de curarte, puedes despertar a tu hermana por la mañana para iniciar la historia. Aún existe la posibilidad de fallar después de la primera vez.</v>
      </c>
      <c r="U28" s="98">
        <v>20.0</v>
      </c>
      <c r="V28" s="102" t="str">
        <f>IFERROR(__xludf.DUMMYFUNCTION("GOOGLETRANSLATE(B28,""zh-tw"",""KO"")"),"첫 번째 치유")</f>
        <v>첫 번째 치유</v>
      </c>
      <c r="W28" s="103" t="str">
        <f>IFERROR(__xludf.DUMMYFUNCTION("GOOGLETRANSLATE(C28,""zh-tw"",""KO"")"),"""뭐 마실래?"" 이렇게 하면 여동생이 ""붉은 골수 비약""을 마셔서 체력을 회복할 수 있습니다.
추신: 이 효과는 한 번만 회복됩니다. RPG 이벤트를 참고하세요.")</f>
        <v>"뭐 마실래?" 이렇게 하면 여동생이 "붉은 골수 비약"을 마셔서 체력을 회복할 수 있습니다.
추신: 이 효과는 한 번만 회복됩니다. RPG 이벤트를 참고하세요.</v>
      </c>
      <c r="X28" s="71" t="str">
        <f>IFERROR(__xludf.DUMMYFUNCTION("GOOGLETRANSLATE(D28,""zh-tw"",""KO"")"),"""강제 깨우기"" 메커니즘이 제거되었습니다.
치료 후 아침에 여동생을 깨우면 스토리가 시작됩니다. 단, 첫 번째 시도 이후에는 실패할 가능성이 있습니다.")</f>
        <v>"강제 깨우기" 메커니즘이 제거되었습니다.
치료 후 아침에 여동생을 깨우면 스토리가 시작됩니다. 단, 첫 번째 시도 이후에는 실패할 가능성이 있습니다.</v>
      </c>
      <c r="Y28" s="98">
        <v>20.0</v>
      </c>
      <c r="Z28" s="104" t="str">
        <f>IFERROR(__xludf.DUMMYFUNCTION("IF(J28="""", """", GOOGLETRANSLATE(
J28,""en"",""ru""))"),"Первое лекарство")</f>
        <v>Первое лекарство</v>
      </c>
      <c r="AA28" s="105" t="s">
        <v>802</v>
      </c>
      <c r="AB28" s="63" t="s">
        <v>803</v>
      </c>
      <c r="AC28" s="98">
        <v>20.0</v>
      </c>
      <c r="AD28" s="99" t="s">
        <v>804</v>
      </c>
      <c r="AE28" s="109" t="s">
        <v>805</v>
      </c>
      <c r="AF28" s="101" t="s">
        <v>806</v>
      </c>
      <c r="AG28" s="98">
        <v>20.0</v>
      </c>
      <c r="AH28" s="106" t="s">
        <v>807</v>
      </c>
      <c r="AI28" s="109" t="s">
        <v>808</v>
      </c>
      <c r="AJ28" s="101" t="s">
        <v>809</v>
      </c>
      <c r="AK28" s="98">
        <v>20.0</v>
      </c>
      <c r="AL28" s="107" t="s">
        <v>810</v>
      </c>
      <c r="AM28" s="108" t="s">
        <v>811</v>
      </c>
      <c r="AN28" s="67" t="s">
        <v>812</v>
      </c>
      <c r="AO28" s="101"/>
    </row>
    <row r="29">
      <c r="A29" s="98">
        <v>21.0</v>
      </c>
      <c r="B29" s="112" t="s">
        <v>813</v>
      </c>
      <c r="C29" s="100" t="s">
        <v>814</v>
      </c>
      <c r="D29" s="101" t="s">
        <v>662</v>
      </c>
      <c r="E29" s="98">
        <v>21.0</v>
      </c>
      <c r="F29" s="112" t="s">
        <v>813</v>
      </c>
      <c r="G29" s="100" t="s">
        <v>815</v>
      </c>
      <c r="H29" s="101" t="s">
        <v>665</v>
      </c>
      <c r="I29" s="98">
        <v>21.0</v>
      </c>
      <c r="J29" s="112" t="s">
        <v>813</v>
      </c>
      <c r="K29" s="100" t="s">
        <v>816</v>
      </c>
      <c r="L29" s="69" t="s">
        <v>817</v>
      </c>
      <c r="M29" s="98">
        <v>21.0</v>
      </c>
      <c r="N29" s="99" t="str">
        <f>IFERROR(__xludf.DUMMYFUNCTION("GOOGLETRANSLATE(B29,""zh-tw"",""zh"")"),"-")</f>
        <v>-</v>
      </c>
      <c r="O29" s="103" t="str">
        <f>IFERROR(__xludf.DUMMYFUNCTION("GOOGLETRANSLATE(C29,""zh-tw"",""zh"")"),"「喝点什么」给妹妹喂一颗""蓝色金平糖""和一颗""粉色金平糖""后，会使妹妹进入??状态")</f>
        <v>「喝点什么」给妹妹喂一颗"蓝色金平糖"和一颗"粉色金平糖"后，会使妹妹进入??状态</v>
      </c>
      <c r="P29" s="71" t="str">
        <f>IFERROR(__xludf.DUMMYFUNCTION("GOOGLETRANSLATE(D29,""zh-tw"",""zh"")"),"未实装")</f>
        <v>未实装</v>
      </c>
      <c r="Q29" s="98">
        <v>21.0</v>
      </c>
      <c r="R29" s="112" t="s">
        <v>813</v>
      </c>
      <c r="S29" s="103" t="str">
        <f>IFERROR(__xludf.DUMMYFUNCTION("GOOGLETRANSLATE(C29,""zh-tw"",""es-MX"")"),"Después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9" s="71" t="str">
        <f>IFERROR(__xludf.DUMMYFUNCTION("GOOGLETRANSLATE(D29,""zh-tw"",""es-MX"")"),"No implementado")</f>
        <v>No implementado</v>
      </c>
      <c r="U29" s="98">
        <v>21.0</v>
      </c>
      <c r="V29" s="102" t="str">
        <f>IFERROR(__xludf.DUMMYFUNCTION("GOOGLETRANSLATE(B29,""zh-tw"",""KO"")"),"-")</f>
        <v>-</v>
      </c>
      <c r="W29" s="103"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71" t="str">
        <f>IFERROR(__xludf.DUMMYFUNCTION("GOOGLETRANSLATE(D29,""zh-tw"",""KO"")"),"구현되지 않음")</f>
        <v>구현되지 않음</v>
      </c>
      <c r="Y29" s="98">
        <v>21.0</v>
      </c>
      <c r="Z29" s="113" t="s">
        <v>813</v>
      </c>
      <c r="AA29" s="114" t="s">
        <v>818</v>
      </c>
      <c r="AB29" s="63" t="s">
        <v>819</v>
      </c>
      <c r="AC29" s="98">
        <v>21.0</v>
      </c>
      <c r="AD29" s="112" t="s">
        <v>813</v>
      </c>
      <c r="AE29" s="100" t="s">
        <v>820</v>
      </c>
      <c r="AF29" s="101" t="s">
        <v>680</v>
      </c>
      <c r="AG29" s="98">
        <v>21.0</v>
      </c>
      <c r="AH29" s="106" t="s">
        <v>813</v>
      </c>
      <c r="AI29" s="100" t="s">
        <v>821</v>
      </c>
      <c r="AJ29" s="101" t="s">
        <v>822</v>
      </c>
      <c r="AK29" s="98">
        <v>21.0</v>
      </c>
      <c r="AL29" s="107" t="s">
        <v>813</v>
      </c>
      <c r="AM29" s="108" t="s">
        <v>823</v>
      </c>
      <c r="AN29" s="67" t="s">
        <v>686</v>
      </c>
      <c r="AO29" s="101"/>
    </row>
    <row r="30">
      <c r="A30" s="98">
        <v>22.0</v>
      </c>
      <c r="B30" s="99" t="s">
        <v>824</v>
      </c>
      <c r="C30" s="100" t="s">
        <v>825</v>
      </c>
      <c r="D30" s="101" t="s">
        <v>826</v>
      </c>
      <c r="E30" s="98">
        <v>22.0</v>
      </c>
      <c r="F30" s="99" t="s">
        <v>827</v>
      </c>
      <c r="G30" s="109" t="s">
        <v>828</v>
      </c>
      <c r="H30" s="101" t="s">
        <v>829</v>
      </c>
      <c r="I30" s="98">
        <v>22.0</v>
      </c>
      <c r="J30" s="99" t="s">
        <v>830</v>
      </c>
      <c r="K30" s="109" t="s">
        <v>831</v>
      </c>
      <c r="L30" s="101" t="s">
        <v>832</v>
      </c>
      <c r="M30" s="98">
        <v>22.0</v>
      </c>
      <c r="N30" s="99" t="str">
        <f>IFERROR(__xludf.DUMMYFUNCTION("GOOGLETRANSLATE(B30,""zh-tw"",""zh"")"),"恶梦")</f>
        <v>恶梦</v>
      </c>
      <c r="O30" s="103"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71" t="str">
        <f>IFERROR(__xludf.DUMMYFUNCTION("GOOGLETRANSLATE(D30,""zh-tw"",""zh"")"),"触发恶梦动画")</f>
        <v>触发恶梦动画</v>
      </c>
      <c r="Q30" s="98">
        <v>22.0</v>
      </c>
      <c r="R30" s="102" t="s">
        <v>833</v>
      </c>
      <c r="S30" s="109" t="s">
        <v>834</v>
      </c>
      <c r="T30" s="71" t="s">
        <v>835</v>
      </c>
      <c r="U30" s="98">
        <v>22.0</v>
      </c>
      <c r="V30" s="112" t="s">
        <v>836</v>
      </c>
      <c r="W30" s="109" t="s">
        <v>837</v>
      </c>
      <c r="X30" s="69" t="s">
        <v>838</v>
      </c>
      <c r="Y30" s="98">
        <v>22.0</v>
      </c>
      <c r="Z30" s="113" t="s">
        <v>839</v>
      </c>
      <c r="AA30" s="105" t="s">
        <v>840</v>
      </c>
      <c r="AB30" s="63" t="s">
        <v>841</v>
      </c>
      <c r="AC30" s="98">
        <v>22.0</v>
      </c>
      <c r="AD30" s="99" t="s">
        <v>842</v>
      </c>
      <c r="AE30" s="109" t="s">
        <v>843</v>
      </c>
      <c r="AF30" s="69" t="s">
        <v>844</v>
      </c>
      <c r="AG30" s="98">
        <v>22.0</v>
      </c>
      <c r="AH30" s="106" t="s">
        <v>845</v>
      </c>
      <c r="AI30" s="100" t="s">
        <v>846</v>
      </c>
      <c r="AJ30" s="101" t="s">
        <v>847</v>
      </c>
      <c r="AK30" s="98">
        <v>22.0</v>
      </c>
      <c r="AL30" s="107" t="s">
        <v>848</v>
      </c>
      <c r="AM30" s="108" t="s">
        <v>849</v>
      </c>
      <c r="AN30" s="67" t="s">
        <v>850</v>
      </c>
      <c r="AO30" s="101"/>
    </row>
    <row r="31">
      <c r="A31" s="121">
        <v>23.0</v>
      </c>
      <c r="B31" s="99" t="s">
        <v>851</v>
      </c>
      <c r="C31" s="100" t="s">
        <v>852</v>
      </c>
      <c r="D31" s="101" t="s">
        <v>853</v>
      </c>
      <c r="E31" s="121">
        <v>23.0</v>
      </c>
      <c r="F31" s="99" t="s">
        <v>854</v>
      </c>
      <c r="G31" s="100" t="s">
        <v>855</v>
      </c>
      <c r="H31" s="101" t="s">
        <v>856</v>
      </c>
      <c r="I31" s="121">
        <v>23.0</v>
      </c>
      <c r="J31" s="99" t="s">
        <v>857</v>
      </c>
      <c r="K31" s="100" t="s">
        <v>858</v>
      </c>
      <c r="L31" s="101" t="s">
        <v>859</v>
      </c>
      <c r="M31" s="121">
        <v>23.0</v>
      </c>
      <c r="N31" s="99" t="str">
        <f>IFERROR(__xludf.DUMMYFUNCTION("GOOGLETRANSLATE(B31,""zh-tw"",""zh"")"),"和妹妹撒娇")</f>
        <v>和妹妹撒娇</v>
      </c>
      <c r="O31" s="103" t="str">
        <f>IFERROR(__xludf.DUMMYFUNCTION("GOOGLETRANSLATE(C31,""zh-tw"",""zh"")"),"拥有""什么都行券""，平时要和""妹妹做点什么""时，会新增一个选项")</f>
        <v>拥有"什么都行券"，平时要和"妹妹做点什么"时，会新增一个选项</v>
      </c>
      <c r="P31" s="71" t="str">
        <f>IFERROR(__xludf.DUMMYFUNCTION("GOOGLETRANSLATE(D31,""zh-tw"",""zh"")"),"新增选项：向妹妹撒娇吧！
*目前尚无后续")</f>
        <v>新增选项：向妹妹撒娇吧！
*目前尚无后续</v>
      </c>
      <c r="Q31" s="121">
        <v>23.0</v>
      </c>
      <c r="R31" s="102" t="str">
        <f>IFERROR(__xludf.DUMMYFUNCTION("GOOGLETRANSLATE(B31,""zh-tw"",""es-MX"")"),"Actuando linda con mi hermana menor")</f>
        <v>Actuando linda con mi hermana menor</v>
      </c>
      <c r="S31" s="103" t="str">
        <f>IFERROR(__xludf.DUMMYFUNCTION("GOOGLETRANSLATE(C31,""zh-tw"",""es-MX"")"),"Tener el cupón “Todo Vale” agrega una nueva opción cuando quieres “hacer algo con tu hermana”.")</f>
        <v>Tener el cupón “Todo Vale” agrega una nueva opción cuando quieres “hacer algo con tu hermana”.</v>
      </c>
      <c r="T31" s="71" t="str">
        <f>IFERROR(__xludf.DUMMYFUNCTION("GOOGLETRANSLATE(D31,""zh-tw"",""es-MX"")"),"Nueva opción: ¡Sé cariñoso con tu hermana!
*Sin actualizaciones por ahora.")</f>
        <v>Nueva opción: ¡Sé cariñoso con tu hermana!
*Sin actualizaciones por ahora.</v>
      </c>
      <c r="U31" s="121">
        <v>23.0</v>
      </c>
      <c r="V31" s="102" t="str">
        <f>IFERROR(__xludf.DUMMYFUNCTION("GOOGLETRANSLATE(B31,""zh-tw"",""KO"")"),"여동생에게 귀엽게 행동하다")</f>
        <v>여동생에게 귀엽게 행동하다</v>
      </c>
      <c r="W31" s="103" t="str">
        <f>IFERROR(__xludf.DUMMYFUNCTION("GOOGLETRANSLATE(C31,""zh-tw"",""KO"")"),"""무엇이든 가능"" 쿠폰이 있으면 ""여동생과 함께 무언가를 하고 싶을 때"" 새로운 옵션이 추가됩니다.")</f>
        <v>"무엇이든 가능" 쿠폰이 있으면 "여동생과 함께 무언가를 하고 싶을 때" 새로운 옵션이 추가됩니다.</v>
      </c>
      <c r="X31" s="71" t="str">
        <f>IFERROR(__xludf.DUMMYFUNCTION("GOOGLETRANSLATE(D31,""zh-tw"",""KO"")"),"새로운 옵션: 여동생에게 애정을 표현하세요!
*아직 업데이트가 없습니다.")</f>
        <v>새로운 옵션: 여동생에게 애정을 표현하세요!
*아직 업데이트가 없습니다.</v>
      </c>
      <c r="Y31" s="121">
        <v>23.0</v>
      </c>
      <c r="Z31" s="116" t="str">
        <f>IFERROR(__xludf.DUMMYFUNCTION("IF(J31="""", """", GOOGLETRANSLATE(
J31,""en"",""ru""))"),"Побалуйте меня!")</f>
        <v>Побалуйте меня!</v>
      </c>
      <c r="AA31" s="117" t="str">
        <f>IFERROR(__xludf.DUMMYFUNCTION("IF(K31="""", """", GOOGLETRANSLATE(K31,""en"",""RU""))"),"Если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1" s="64" t="str">
        <f>IFERROR(__xludf.DUMMYFUNCTION("IF(L31="""", """", GOOGLETRANSLATE(L31, ""en"", ""ru""))
"),"Новая опция: Побалуйте меня!
Пока нет продолжения")</f>
        <v>Новая опция: Побалуйте меня!
Пока нет продолжения</v>
      </c>
      <c r="AC31" s="121">
        <v>23.0</v>
      </c>
      <c r="AD31" s="99" t="s">
        <v>860</v>
      </c>
      <c r="AE31" s="100" t="s">
        <v>861</v>
      </c>
      <c r="AF31" s="101" t="s">
        <v>862</v>
      </c>
      <c r="AG31" s="121">
        <v>23.0</v>
      </c>
      <c r="AH31" s="106" t="s">
        <v>863</v>
      </c>
      <c r="AI31" s="103" t="s">
        <v>864</v>
      </c>
      <c r="AJ31" s="101" t="s">
        <v>865</v>
      </c>
      <c r="AK31" s="121">
        <v>23.0</v>
      </c>
      <c r="AL31" s="107" t="s">
        <v>866</v>
      </c>
      <c r="AM31" s="108" t="s">
        <v>867</v>
      </c>
      <c r="AN31" s="67" t="s">
        <v>868</v>
      </c>
      <c r="AO31" s="101"/>
    </row>
    <row r="32">
      <c r="A32" s="98">
        <v>24.0</v>
      </c>
      <c r="B32" s="107" t="s">
        <v>869</v>
      </c>
      <c r="C32" s="108" t="s">
        <v>870</v>
      </c>
      <c r="D32" s="67" t="s">
        <v>871</v>
      </c>
      <c r="E32" s="98">
        <v>24.0</v>
      </c>
      <c r="F32" s="106" t="s">
        <v>872</v>
      </c>
      <c r="G32" s="122" t="s">
        <v>873</v>
      </c>
      <c r="H32" s="51" t="s">
        <v>874</v>
      </c>
      <c r="I32" s="98">
        <v>24.0</v>
      </c>
      <c r="J32" s="99" t="s">
        <v>875</v>
      </c>
      <c r="K32" s="122" t="s">
        <v>876</v>
      </c>
      <c r="L32" s="51" t="s">
        <v>877</v>
      </c>
      <c r="M32" s="98">
        <v>24.0</v>
      </c>
      <c r="N32" s="107" t="s">
        <v>878</v>
      </c>
      <c r="O32" s="123" t="s">
        <v>879</v>
      </c>
      <c r="P32" s="124" t="s">
        <v>880</v>
      </c>
      <c r="Q32" s="98">
        <v>24.0</v>
      </c>
      <c r="R32" s="125" t="str">
        <f>IFERROR(__xludf.DUMMYFUNCTION("GOOGLETRANSLATE(B32,""zh-tw"",""es-MX"")"),"dormilón")</f>
        <v>dormilón</v>
      </c>
      <c r="S32" s="123" t="str">
        <f>IFERROR(__xludf.DUMMYFUNCTION("GOOGLETRANSLATE(C32,""zh-tw"",""es-MX"")"),"Si el jugador no interactúa con el personaje durante un tiempo, la hermana menor se quedará dormida en la silla.")</f>
        <v>Si el jugador no interactúa con el personaje durante un tiempo, la hermana menor se quedará dormida en la silla.</v>
      </c>
      <c r="T32" s="124" t="str">
        <f>IFERROR(__xludf.DUMMYFUNCTION("GOOGLETRANSLATE(D32,""zh-tw"",""es-MX"")"),"Puedes interactuar con tu hermana dormida (actualmente solo se puede interactuar con su cara).")</f>
        <v>Puedes interactuar con tu hermana dormida (actualmente solo se puede interactuar con su cara).</v>
      </c>
      <c r="U32" s="98">
        <v>24.0</v>
      </c>
      <c r="V32" s="125" t="str">
        <f>IFERROR(__xludf.DUMMYFUNCTION("GOOGLETRANSLATE(B32,""zh-tw"",""KO"")"),"잠꾸러기")</f>
        <v>잠꾸러기</v>
      </c>
      <c r="W32" s="123" t="str">
        <f>IFERROR(__xludf.DUMMYFUNCTION("GOOGLETRANSLATE(C32,""zh-tw"",""KO"")"),"플레이어가 캐릭터와 잠시 상호작용하지 않으면 여동생은 의자에 앉아 잠들게 됩니다.")</f>
        <v>플레이어가 캐릭터와 잠시 상호작용하지 않으면 여동생은 의자에 앉아 잠들게 됩니다.</v>
      </c>
      <c r="X32" s="124" t="str">
        <f>IFERROR(__xludf.DUMMYFUNCTION("GOOGLETRANSLATE(D32,""zh-tw"",""KO"")"),"잠자는 여동생과 상호작용할 수 있습니다(현재는 얼굴만 상호작용이 가능합니다).")</f>
        <v>잠자는 여동생과 상호작용할 수 있습니다(현재는 얼굴만 상호작용이 가능합니다).</v>
      </c>
      <c r="Y32" s="98">
        <v>24.0</v>
      </c>
      <c r="Z32" s="126" t="str">
        <f>IFERROR(__xludf.DUMMYFUNCTION("IF(J32="""", """", GOOGLETRANSLATE(J32,""en"",""RU""))"),"Соня")</f>
        <v>Соня</v>
      </c>
      <c r="AA32" s="127" t="str">
        <f>IFERROR(__xludf.DUMMYFUNCTION("IF(K32="""", """", GOOGLETRANSLATE(K32,""en"",""RU""))"),"Если вы останетесь в комнате Имото и ни с чем не будете взаимодействовать, она уснет.")</f>
        <v>Если вы останетесь в комнате Имото и ни с чем не будете взаимодействовать, она уснет.</v>
      </c>
      <c r="AB32" s="128" t="str">
        <f>IFERROR(__xludf.DUMMYFUNCTION("IF(L32="""", """", GOOGLETRANSLATE(L32, ""en"", ""ru""))
"),"Вы можете взаимодействовать со спящей Имото.
(В настоящее время интерактивно только её лицо.)")</f>
        <v>Вы можете взаимодействовать со спящей Имото.
(В настоящее время интерактивно только её лицо.)</v>
      </c>
      <c r="AC32" s="98">
        <v>24.0</v>
      </c>
      <c r="AD32" s="106" t="s">
        <v>881</v>
      </c>
      <c r="AE32" s="122" t="s">
        <v>882</v>
      </c>
      <c r="AF32" s="51" t="s">
        <v>883</v>
      </c>
      <c r="AG32" s="98">
        <v>24.0</v>
      </c>
      <c r="AH32" s="129" t="s">
        <v>884</v>
      </c>
      <c r="AI32" s="130" t="s">
        <v>885</v>
      </c>
      <c r="AJ32" s="131" t="s">
        <v>886</v>
      </c>
      <c r="AK32" s="98">
        <v>24.0</v>
      </c>
      <c r="AL32" s="107" t="s">
        <v>887</v>
      </c>
      <c r="AM32" s="108" t="s">
        <v>888</v>
      </c>
      <c r="AN32" s="67" t="s">
        <v>889</v>
      </c>
      <c r="AO32" s="67"/>
    </row>
    <row r="33">
      <c r="A33" s="121">
        <v>25.0</v>
      </c>
      <c r="B33" s="107" t="s">
        <v>890</v>
      </c>
      <c r="C33" s="108" t="s">
        <v>891</v>
      </c>
      <c r="D33" s="67" t="s">
        <v>892</v>
      </c>
      <c r="E33" s="121">
        <v>25.0</v>
      </c>
      <c r="F33" s="132" t="s">
        <v>893</v>
      </c>
      <c r="G33" s="115" t="s">
        <v>894</v>
      </c>
      <c r="H33" s="66" t="s">
        <v>895</v>
      </c>
      <c r="I33" s="121">
        <v>25.0</v>
      </c>
      <c r="J33" s="99" t="s">
        <v>896</v>
      </c>
      <c r="K33" s="122" t="s">
        <v>897</v>
      </c>
      <c r="L33" s="51" t="s">
        <v>898</v>
      </c>
      <c r="M33" s="121">
        <v>25.0</v>
      </c>
      <c r="N33" s="107" t="s">
        <v>899</v>
      </c>
      <c r="O33" s="123" t="s">
        <v>900</v>
      </c>
      <c r="P33" s="124" t="s">
        <v>901</v>
      </c>
      <c r="Q33" s="121">
        <v>25.0</v>
      </c>
      <c r="R33" s="125" t="str">
        <f>IFERROR(__xludf.DUMMYFUNCTION("GOOGLETRANSLATE(B33,""zh-tw"",""es-MX"")"),"¡Mi hermano se está arruinando!")</f>
        <v>¡Mi hermano se está arruinando!</v>
      </c>
      <c r="S33" s="123" t="str">
        <f>IFERROR(__xludf.DUMMYFUNCTION("GOOGLETRANSLATE(C33,""zh-tw"",""es-MX"")"),"1.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3" s="124" t="str">
        <f>IFERROR(__xludf.DUMMYFUNCTION("GOOGLETRANSLATE(D33,""zh-tw"",""es-MX"")"),"Si se desencadena la quiebra, la hermana menor comenzará a resentirse con su hermano mayor por no ser frugal.")</f>
        <v>Si se desencadena la quiebra, la hermana menor comenzará a resentirse con su hermano mayor por no ser frugal.</v>
      </c>
      <c r="U33" s="121">
        <v>25.0</v>
      </c>
      <c r="V33" s="125" t="str">
        <f>IFERROR(__xludf.DUMMYFUNCTION("GOOGLETRANSLATE(B33,""zh-tw"",""KO"")"),"내 동생이 파산하게 됐어요!")</f>
        <v>내 동생이 파산하게 됐어요!</v>
      </c>
      <c r="W33" s="123" t="str">
        <f>IFERROR(__xludf.DUMMYFUNCTION("GOOGLETRANSLATE(C33,""zh-tw"",""KO"")"),"1.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f>
        <v>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v>
      </c>
      <c r="X33" s="124" t="str">
        <f>IFERROR(__xludf.DUMMYFUNCTION("GOOGLETRANSLATE(D33,""zh-tw"",""KO"")"),"파산이 촉발되면 여동생은 오빠가 검소하지 않다고 원망하기 시작할 것입니다.")</f>
        <v>파산이 촉발되면 여동생은 오빠가 검소하지 않다고 원망하기 시작할 것입니다.</v>
      </c>
      <c r="Y33" s="121">
        <v>25.0</v>
      </c>
      <c r="Z33" s="126" t="str">
        <f>IFERROR(__xludf.DUMMYFUNCTION("IF(J33="""", """", GOOGLETRANSLATE(J33,""en"",""RU""))"),"Онии-чан разорился!")</f>
        <v>Онии-чан разорился!</v>
      </c>
      <c r="AA33" s="127" t="str">
        <f>IFERROR(__xludf.DUMMYFUNCTION("IF(K33="""", """", GOOGLETRANSLATE(K33,""en"",""RU""))"),"Чтобы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расхо"&amp;"ды превышают 50 000 иен, это событие может активироваться без полного разорения.")</f>
        <v>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расходы превышают 50 000 иен, это событие может активироваться без полного разорения.</v>
      </c>
      <c r="AB33" s="128" t="str">
        <f>IFERROR(__xludf.DUMMYFUNCTION("IF(L33="""", """", GOOGLETRANSLATE(L33, ""en"", ""ru""))
"),"Если это событие произойдет, Имото начнет возмущаться тобой за то, что ты невнимателен к своим деньгам и за то, что ты зависим от гачи.")</f>
        <v>Если это событие произойдет, Имото начнет возмущаться тобой за то, что ты невнимателен к своим деньгам и за то, что ты зависим от гачи.</v>
      </c>
      <c r="AC33" s="121">
        <v>25.0</v>
      </c>
      <c r="AD33" s="133" t="s">
        <v>902</v>
      </c>
      <c r="AE33" s="134" t="s">
        <v>903</v>
      </c>
      <c r="AF33" s="47" t="s">
        <v>904</v>
      </c>
      <c r="AG33" s="121">
        <v>25.0</v>
      </c>
      <c r="AH33" s="118" t="s">
        <v>905</v>
      </c>
      <c r="AI33" s="135" t="s">
        <v>906</v>
      </c>
      <c r="AJ33" s="66" t="s">
        <v>907</v>
      </c>
      <c r="AK33" s="121">
        <v>25.0</v>
      </c>
      <c r="AL33" s="118" t="s">
        <v>908</v>
      </c>
      <c r="AM33" s="135" t="s">
        <v>909</v>
      </c>
      <c r="AN33" s="136" t="s">
        <v>910</v>
      </c>
      <c r="AO33" s="67"/>
    </row>
    <row r="34">
      <c r="A34" s="98">
        <v>26.0</v>
      </c>
      <c r="B34" s="107" t="s">
        <v>911</v>
      </c>
      <c r="C34" s="115" t="s">
        <v>912</v>
      </c>
      <c r="D34" s="67" t="s">
        <v>913</v>
      </c>
      <c r="E34" s="98">
        <v>26.0</v>
      </c>
      <c r="F34" s="132" t="s">
        <v>914</v>
      </c>
      <c r="G34" s="115" t="s">
        <v>915</v>
      </c>
      <c r="H34" s="66" t="s">
        <v>916</v>
      </c>
      <c r="I34" s="98">
        <v>26.0</v>
      </c>
      <c r="J34" s="99" t="s">
        <v>917</v>
      </c>
      <c r="K34" s="135" t="s">
        <v>918</v>
      </c>
      <c r="L34" s="136" t="s">
        <v>919</v>
      </c>
      <c r="M34" s="98">
        <v>26.0</v>
      </c>
      <c r="N34" s="107" t="s">
        <v>920</v>
      </c>
      <c r="O34" s="115" t="s">
        <v>921</v>
      </c>
      <c r="P34" s="66" t="s">
        <v>922</v>
      </c>
      <c r="Q34" s="98">
        <v>26.0</v>
      </c>
      <c r="R34" s="125" t="str">
        <f>IFERROR(__xludf.DUMMYFUNCTION("GOOGLETRANSLATE(B34,""zh-tw"",""es-MX"")"),"Dale dinero de bolsillo a mi hermana menor")</f>
        <v>Dale dinero de bolsillo a mi hermana menor</v>
      </c>
      <c r="S34" s="123" t="str">
        <f>IFERROR(__xludf.DUMMYFUNCTION("GOOGLETRANSLATE(C34,""zh-tw"",""es-MX"")"),"Un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4" s="124" t="str">
        <f>IFERROR(__xludf.DUMMYFUNCTION("GOOGLETRANSLATE(D34,""zh-tw"",""es-MX"")"),"Actualmente,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4" s="98">
        <v>26.0</v>
      </c>
      <c r="V34" s="125" t="str">
        <f>IFERROR(__xludf.DUMMYFUNCTION("GOOGLETRANSLATE(B34,""zh-tw"",""KO"")"),"여동생에게 용돈을 주다")</f>
        <v>여동생에게 용돈을 주다</v>
      </c>
      <c r="W34" s="123" t="str">
        <f>IFERROR(__xludf.DUMMYFUNCTION("GOOGLETRANSLATE(C34,""zh-tw"",""KO"")"),"비어 있는 하트 상자는 노란색 하트로 변환할 수 있지만, 이미 빨간색이나 보라색 하트가 들어 있는 경우 금도금 테두리가 제공되며 해당 날짜에만 사용할 수 있습니다.")</f>
        <v>비어 있는 하트 상자는 노란색 하트로 변환할 수 있지만, 이미 빨간색이나 보라색 하트가 들어 있는 경우 금도금 테두리가 제공되며 해당 날짜에만 사용할 수 있습니다.</v>
      </c>
      <c r="X34" s="124" t="str">
        <f>IFERROR(__xludf.DUMMYFUNCTION("GOOGLETRANSLATE(D34,""zh-tw"",""KO"")"),"현재 노란색 하트는 실질적으로 사용되지 않습니다. 아직 그 기능이 구현되지 않았습니다. 현재 노란색 하트 하나는 빨간색 하트 하나와 같습니다.")</f>
        <v>현재 노란색 하트는 실질적으로 사용되지 않습니다. 아직 그 기능이 구현되지 않았습니다. 현재 노란색 하트 하나는 빨간색 하트 하나와 같습니다.</v>
      </c>
      <c r="Y34" s="98">
        <v>26.0</v>
      </c>
      <c r="Z34" s="126" t="str">
        <f>IFERROR(__xludf.DUMMYFUNCTION("IF(J34="""", """", GOOGLETRANSLATE(J34,""en"",""RU""))"),"""Имуто Деньги""")</f>
        <v>"Имуто Деньги"</v>
      </c>
      <c r="AA34" s="127" t="str">
        <f>IFERROR(__xludf.DUMMYFUNCTION("IF(K34="""", """", GOOGLETRANSLATE(K34,""en"",""RU""))"),"Даёт взятку Имото деньгами. При этом пустое сердце станет полным жёлтым. Если сердце уже существует, у него будет жёлтый контур. Жёлтые сердца считаются фиолетовыми (пока красными) и исчезнут на следующий день.")</f>
        <v>Даёт взятку Имото деньгами. При этом пустое сердце станет полным жёлтым. Если сердце уже существует, у него будет жёлтый контур. Жёлтые сердца считаются фиолетовыми (пока красными) и исчезнут на следующий день.</v>
      </c>
      <c r="AB34" s="128" t="str">
        <f>IFERROR(__xludf.DUMMYFUNCTION("IF(L34="""", """", GOOGLETRANSLATE(L34, ""en"", ""ru""))
"),"В настоящее время жёлтое сердце бесполезно. Его функции пока не реализованы, и пока что 1 жёлтое сердце = 1 красное.")</f>
        <v>В настоящее время жёлтое сердце бесполезно. Его функции пока не реализованы, и пока что 1 жёлтое сердце = 1 красное.</v>
      </c>
      <c r="AC34" s="98">
        <v>26.0</v>
      </c>
      <c r="AD34" s="133" t="s">
        <v>923</v>
      </c>
      <c r="AE34" s="134" t="s">
        <v>924</v>
      </c>
      <c r="AF34" s="128" t="str">
        <f>IFERROR(__xludf.DUMMYFUNCTION("IF(P34="""", """", GOOGLETRANSLATE(L34,""en"",""DE""))"),"Aktuell hat das gelbe Herz keine Verwendung. Seine Funktion ist noch nicht implementiert und momentan entspricht 1 gelbes Herz 1 rotem Herz.")</f>
        <v>Aktuell hat das gelbe Herz keine Verwendung. Seine Funktion ist noch nicht implementiert und momentan entspricht 1 gelbes Herz 1 rotem Herz.</v>
      </c>
      <c r="AG34" s="98">
        <v>26.0</v>
      </c>
      <c r="AH34" s="118" t="s">
        <v>925</v>
      </c>
      <c r="AI34" s="115" t="s">
        <v>926</v>
      </c>
      <c r="AJ34" s="66" t="s">
        <v>927</v>
      </c>
      <c r="AK34" s="98">
        <v>26.0</v>
      </c>
      <c r="AL34" s="118" t="s">
        <v>928</v>
      </c>
      <c r="AM34" s="135" t="s">
        <v>929</v>
      </c>
      <c r="AN34" s="136" t="s">
        <v>930</v>
      </c>
      <c r="AO34" s="67"/>
    </row>
    <row r="35">
      <c r="A35" s="92"/>
      <c r="B35" s="93"/>
      <c r="C35" s="93"/>
      <c r="D35" s="93"/>
      <c r="E35" s="92"/>
      <c r="F35" s="93"/>
      <c r="G35" s="93"/>
      <c r="H35" s="93"/>
      <c r="I35" s="92"/>
      <c r="J35" s="93"/>
      <c r="K35" s="93"/>
      <c r="L35" s="93"/>
      <c r="M35" s="92"/>
      <c r="N35" s="93"/>
      <c r="O35" s="65"/>
      <c r="P35" s="65"/>
      <c r="Q35" s="92"/>
      <c r="R35" s="65"/>
      <c r="S35" s="93"/>
      <c r="T35" s="65"/>
      <c r="U35" s="92"/>
      <c r="V35" s="65"/>
      <c r="W35" s="65"/>
      <c r="X35" s="65"/>
      <c r="Y35" s="92"/>
      <c r="Z35" s="93"/>
      <c r="AA35" s="93"/>
      <c r="AB35" s="93"/>
      <c r="AC35" s="92"/>
      <c r="AD35" s="93"/>
      <c r="AE35" s="93"/>
      <c r="AF35" s="93"/>
      <c r="AG35" s="92"/>
      <c r="AH35" s="92"/>
      <c r="AI35" s="93"/>
      <c r="AJ35" s="93"/>
      <c r="AK35" s="94"/>
      <c r="AL35" s="94"/>
      <c r="AM35" s="94"/>
      <c r="AN35" s="94"/>
      <c r="AO35" s="93"/>
    </row>
    <row r="36">
      <c r="A36" s="95" t="s">
        <v>931</v>
      </c>
      <c r="B36" s="96" t="s">
        <v>932</v>
      </c>
      <c r="E36" s="95" t="s">
        <v>931</v>
      </c>
      <c r="F36" s="95" t="s">
        <v>933</v>
      </c>
      <c r="I36" s="95" t="s">
        <v>931</v>
      </c>
      <c r="J36" s="95" t="s">
        <v>934</v>
      </c>
      <c r="M36" s="95" t="s">
        <v>931</v>
      </c>
      <c r="N36" s="96" t="str">
        <f>IFERROR(__xludf.DUMMYFUNCTION("GOOGLETRANSLATE(B36,""zh-tw"",""zh"")"),"厕所相关")</f>
        <v>厕所相关</v>
      </c>
      <c r="Q36" s="95" t="s">
        <v>931</v>
      </c>
      <c r="R36" s="95" t="s">
        <v>935</v>
      </c>
      <c r="U36" s="95" t="s">
        <v>931</v>
      </c>
      <c r="V36" s="95" t="s">
        <v>936</v>
      </c>
      <c r="Y36" s="95" t="s">
        <v>931</v>
      </c>
      <c r="Z36" s="95" t="s">
        <v>937</v>
      </c>
      <c r="AC36" s="95" t="s">
        <v>931</v>
      </c>
      <c r="AD36" s="95" t="s">
        <v>938</v>
      </c>
      <c r="AG36" s="95" t="s">
        <v>931</v>
      </c>
      <c r="AH36" s="96" t="s">
        <v>939</v>
      </c>
      <c r="AK36" s="96" t="s">
        <v>931</v>
      </c>
      <c r="AL36" s="95" t="s">
        <v>940</v>
      </c>
      <c r="AO36" s="96"/>
    </row>
    <row r="37">
      <c r="A37" s="98">
        <v>1.0</v>
      </c>
      <c r="B37" s="99" t="s">
        <v>941</v>
      </c>
      <c r="C37" s="100" t="s">
        <v>942</v>
      </c>
      <c r="D37" s="101" t="s">
        <v>943</v>
      </c>
      <c r="E37" s="98">
        <v>1.0</v>
      </c>
      <c r="F37" s="99" t="s">
        <v>944</v>
      </c>
      <c r="G37" s="100" t="s">
        <v>945</v>
      </c>
      <c r="H37" s="101" t="s">
        <v>946</v>
      </c>
      <c r="I37" s="98">
        <v>1.0</v>
      </c>
      <c r="J37" s="99" t="s">
        <v>947</v>
      </c>
      <c r="K37" s="100" t="s">
        <v>948</v>
      </c>
      <c r="L37" s="101" t="s">
        <v>949</v>
      </c>
      <c r="M37" s="98">
        <v>1.0</v>
      </c>
      <c r="N37" s="99" t="str">
        <f>IFERROR(__xludf.DUMMYFUNCTION("GOOGLETRANSLATE(B37,""zh-tw"",""zh"")"),"哥要加油")</f>
        <v>哥要加油</v>
      </c>
      <c r="O37" s="103" t="str">
        <f>IFERROR(__xludf.DUMMYFUNCTION("GOOGLETRANSLATE(C37,""zh-tw"",""zh"")"),"于厕所待的时间过长，并持续N天")</f>
        <v>于厕所待的时间过长，并持续N天</v>
      </c>
      <c r="P37" s="71" t="s">
        <v>950</v>
      </c>
      <c r="Q37" s="98">
        <v>1.0</v>
      </c>
      <c r="R37" s="99" t="s">
        <v>951</v>
      </c>
      <c r="S37" s="109" t="s">
        <v>952</v>
      </c>
      <c r="T37" s="71" t="str">
        <f>IFERROR(__xludf.DUMMYFUNCTION("GOOGLETRANSLATE(D37,""zh-tw"",""es-MX"")"),"Alrededor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7" s="98">
        <v>1.0</v>
      </c>
      <c r="V37" s="102" t="s">
        <v>953</v>
      </c>
      <c r="W37" s="103" t="s">
        <v>954</v>
      </c>
      <c r="X37" s="71" t="s">
        <v>955</v>
      </c>
      <c r="Y37" s="98">
        <v>1.0</v>
      </c>
      <c r="Z37" s="113" t="s">
        <v>956</v>
      </c>
      <c r="AA37" s="114" t="s">
        <v>957</v>
      </c>
      <c r="AB37" s="63" t="s">
        <v>958</v>
      </c>
      <c r="AC37" s="98">
        <v>1.0</v>
      </c>
      <c r="AD37" s="99" t="s">
        <v>959</v>
      </c>
      <c r="AE37" s="100" t="s">
        <v>960</v>
      </c>
      <c r="AF37" s="101" t="s">
        <v>961</v>
      </c>
      <c r="AG37" s="98">
        <v>1.0</v>
      </c>
      <c r="AH37" s="106" t="s">
        <v>962</v>
      </c>
      <c r="AI37" s="100" t="s">
        <v>963</v>
      </c>
      <c r="AJ37" s="101" t="s">
        <v>964</v>
      </c>
      <c r="AK37" s="98">
        <v>1.0</v>
      </c>
      <c r="AL37" s="107" t="s">
        <v>965</v>
      </c>
      <c r="AM37" s="115" t="s">
        <v>966</v>
      </c>
      <c r="AN37" s="67" t="s">
        <v>967</v>
      </c>
      <c r="AO37" s="101"/>
    </row>
    <row r="38">
      <c r="A38" s="121">
        <v>2.0</v>
      </c>
      <c r="B38" s="99" t="s">
        <v>968</v>
      </c>
      <c r="C38" s="100" t="s">
        <v>969</v>
      </c>
      <c r="D38" s="101" t="s">
        <v>970</v>
      </c>
      <c r="E38" s="121">
        <v>2.0</v>
      </c>
      <c r="F38" s="99" t="s">
        <v>971</v>
      </c>
      <c r="G38" s="100" t="s">
        <v>972</v>
      </c>
      <c r="H38" s="101" t="s">
        <v>973</v>
      </c>
      <c r="I38" s="121">
        <v>2.0</v>
      </c>
      <c r="J38" s="99" t="s">
        <v>974</v>
      </c>
      <c r="K38" s="100" t="s">
        <v>975</v>
      </c>
      <c r="L38" s="101" t="s">
        <v>976</v>
      </c>
      <c r="M38" s="121">
        <v>2.0</v>
      </c>
      <c r="N38" s="99" t="str">
        <f>IFERROR(__xludf.DUMMYFUNCTION("GOOGLETRANSLATE(B38,""zh-tw"",""zh"")"),"发情的妹妹-1")</f>
        <v>发情的妹妹-1</v>
      </c>
      <c r="O38" s="103" t="str">
        <f>IFERROR(__xludf.DUMMYFUNCTION("GOOGLETRANSLATE(C38,""zh-tw"",""zh"")"),"「喝点什么」给妹妹喂「粉色金平糖」后，第一次必定触发，然后请点选空白处回到召唤妹妹的画面，会触发剧情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8" s="71" t="str">
        <f>IFERROR(__xludf.DUMMYFUNCTION("GOOGLETRANSLATE(D38,""zh-tw"",""zh"")"),"触发妹妹在厕所解决需求的剧情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8" s="121">
        <v>2.0</v>
      </c>
      <c r="R38" s="99" t="s">
        <v>977</v>
      </c>
      <c r="S38" s="103" t="s">
        <v>978</v>
      </c>
      <c r="T38" s="71" t="s">
        <v>979</v>
      </c>
      <c r="U38" s="121">
        <v>2.0</v>
      </c>
      <c r="V38" s="112" t="s">
        <v>980</v>
      </c>
      <c r="W38" s="109" t="s">
        <v>981</v>
      </c>
      <c r="X38" s="69" t="s">
        <v>982</v>
      </c>
      <c r="Y38" s="121">
        <v>2.0</v>
      </c>
      <c r="Z38" s="113" t="s">
        <v>983</v>
      </c>
      <c r="AA38" s="105" t="s">
        <v>984</v>
      </c>
      <c r="AB38" s="63" t="s">
        <v>985</v>
      </c>
      <c r="AC38" s="121">
        <v>2.0</v>
      </c>
      <c r="AD38" s="112" t="s">
        <v>986</v>
      </c>
      <c r="AE38" s="100" t="s">
        <v>987</v>
      </c>
      <c r="AF38" s="101" t="s">
        <v>988</v>
      </c>
      <c r="AG38" s="121">
        <v>2.0</v>
      </c>
      <c r="AH38" s="106" t="s">
        <v>989</v>
      </c>
      <c r="AI38" s="100" t="s">
        <v>990</v>
      </c>
      <c r="AJ38" s="101" t="s">
        <v>991</v>
      </c>
      <c r="AK38" s="98">
        <v>2.0</v>
      </c>
      <c r="AL38" s="107" t="s">
        <v>992</v>
      </c>
      <c r="AM38" s="115" t="s">
        <v>993</v>
      </c>
      <c r="AN38" s="66" t="s">
        <v>994</v>
      </c>
      <c r="AO38" s="101"/>
    </row>
    <row r="39">
      <c r="A39" s="98">
        <v>3.0</v>
      </c>
      <c r="B39" s="99" t="s">
        <v>995</v>
      </c>
      <c r="C39" s="100" t="s">
        <v>996</v>
      </c>
      <c r="D39" s="101" t="s">
        <v>997</v>
      </c>
      <c r="E39" s="98">
        <v>3.0</v>
      </c>
      <c r="F39" s="99" t="s">
        <v>998</v>
      </c>
      <c r="G39" s="100" t="s">
        <v>999</v>
      </c>
      <c r="H39" s="101" t="s">
        <v>1000</v>
      </c>
      <c r="I39" s="98">
        <v>3.0</v>
      </c>
      <c r="J39" s="99" t="s">
        <v>1001</v>
      </c>
      <c r="K39" s="109" t="s">
        <v>1002</v>
      </c>
      <c r="L39" s="101" t="s">
        <v>1003</v>
      </c>
      <c r="M39" s="98">
        <v>3.0</v>
      </c>
      <c r="N39" s="99" t="str">
        <f>IFERROR(__xludf.DUMMYFUNCTION("GOOGLETRANSLATE(B39,""zh-tw"",""zh"")"),"发情的妹妹-2")</f>
        <v>发情的妹妹-2</v>
      </c>
      <c r="O39" s="103" t="str">
        <f>IFERROR(__xludf.DUMMYFUNCTION("GOOGLETRANSLATE(C39,""zh-tw"",""zh"")"),"承上，当紫心达到一定程度后，哥哥能进入并且让妹妹服务。")</f>
        <v>承上，当紫心达到一定程度后，哥哥能进入并且让妹妹服务。</v>
      </c>
      <c r="P39" s="71" t="str">
        <f>IFERROR(__xludf.DUMMYFUNCTION("GOOGLETRANSLATE(D39,""zh-tw"",""zh"")"),"使用手部进行特殊剧情")</f>
        <v>使用手部进行特殊剧情</v>
      </c>
      <c r="Q39" s="98">
        <v>3.0</v>
      </c>
      <c r="R39" s="102" t="s">
        <v>1004</v>
      </c>
      <c r="S39" s="100" t="s">
        <v>1005</v>
      </c>
      <c r="T39" s="71" t="s">
        <v>1006</v>
      </c>
      <c r="U39" s="98">
        <v>3.0</v>
      </c>
      <c r="V39" s="112" t="s">
        <v>1007</v>
      </c>
      <c r="W39" s="109" t="s">
        <v>1008</v>
      </c>
      <c r="X39" s="69" t="s">
        <v>1009</v>
      </c>
      <c r="Y39" s="98">
        <v>3.0</v>
      </c>
      <c r="Z39" s="113" t="s">
        <v>1010</v>
      </c>
      <c r="AA39" s="114" t="str">
        <f>IFERROR(__xludf.DUMMYFUNCTION("IF(K39="""", """", GOOGLETRANSLATE(K39,""en"",""RU""))"),"То же, что и выше. Когда пурпурное сердце сестры достигает определённого уровня, брат может пойти в туалет и попросить сестру об услуге.")</f>
        <v>То же, что и выше. Когда пурпурное сердце сестры достигает определённого уровня, брат может пойти в туалет и попросить сестру об услуге.</v>
      </c>
      <c r="AB39" s="111" t="str">
        <f>IFERROR(__xludf.DUMMYFUNCTION("IF(L39="""", """", GOOGLETRANSLATE(L39, ""en"", ""ru""))
"),"Руки будут использоваться для запуска специальных сцен.")</f>
        <v>Руки будут использоваться для запуска специальных сцен.</v>
      </c>
      <c r="AC39" s="98">
        <v>3.0</v>
      </c>
      <c r="AD39" s="112" t="s">
        <v>1011</v>
      </c>
      <c r="AE39" s="100" t="s">
        <v>1012</v>
      </c>
      <c r="AF39" s="101" t="s">
        <v>1013</v>
      </c>
      <c r="AG39" s="98">
        <v>3.0</v>
      </c>
      <c r="AH39" s="106" t="s">
        <v>1014</v>
      </c>
      <c r="AI39" s="100" t="s">
        <v>1015</v>
      </c>
      <c r="AJ39" s="101" t="s">
        <v>1016</v>
      </c>
      <c r="AK39" s="98">
        <v>3.0</v>
      </c>
      <c r="AL39" s="107" t="s">
        <v>1017</v>
      </c>
      <c r="AM39" s="115" t="s">
        <v>1018</v>
      </c>
      <c r="AN39" s="67" t="s">
        <v>1019</v>
      </c>
      <c r="AO39" s="101"/>
    </row>
    <row r="40">
      <c r="A40" s="121">
        <v>4.0</v>
      </c>
      <c r="B40" s="99" t="s">
        <v>1020</v>
      </c>
      <c r="C40" s="100" t="s">
        <v>1021</v>
      </c>
      <c r="D40" s="69" t="s">
        <v>1022</v>
      </c>
      <c r="E40" s="121">
        <v>4.0</v>
      </c>
      <c r="F40" s="99" t="s">
        <v>1023</v>
      </c>
      <c r="G40" s="100" t="s">
        <v>1024</v>
      </c>
      <c r="H40" s="101" t="s">
        <v>1025</v>
      </c>
      <c r="I40" s="121">
        <v>4.0</v>
      </c>
      <c r="J40" s="99" t="s">
        <v>1026</v>
      </c>
      <c r="K40" s="100" t="s">
        <v>1027</v>
      </c>
      <c r="L40" s="69" t="s">
        <v>1028</v>
      </c>
      <c r="M40" s="121">
        <v>4.0</v>
      </c>
      <c r="N40" s="99" t="str">
        <f>IFERROR(__xludf.DUMMYFUNCTION("GOOGLETRANSLATE(B40,""zh-tw"",""zh"")"),"发情的妹妹-3")</f>
        <v>发情的妹妹-3</v>
      </c>
      <c r="O40" s="103" t="str">
        <f>IFERROR(__xludf.DUMMYFUNCTION("GOOGLETRANSLATE(C40,""zh-tw"",""zh"")"),"承第1点，若此时遇到蟑螂的突击，触发一种分歧")</f>
        <v>承第1点，若此时遇到蟑螂的突击，触发一种分歧</v>
      </c>
      <c r="P40" s="71" t="str">
        <f>IFERROR(__xludf.DUMMYFUNCTION("GOOGLETRANSLATE(D40,""zh-tw"",""zh"")"),"触发打蟑螂剧情
备注：无须发现Z的前置操作
(未实装)")</f>
        <v>触发打蟑螂剧情
备注：无须发现Z的前置操作
(未实装)</v>
      </c>
      <c r="Q40" s="121">
        <v>4.0</v>
      </c>
      <c r="R40" s="102" t="s">
        <v>1029</v>
      </c>
      <c r="S40" s="100" t="s">
        <v>1030</v>
      </c>
      <c r="T40" s="71" t="s">
        <v>1031</v>
      </c>
      <c r="U40" s="121">
        <v>4.0</v>
      </c>
      <c r="V40" s="112" t="s">
        <v>1032</v>
      </c>
      <c r="W40" s="109" t="s">
        <v>1033</v>
      </c>
      <c r="X40" s="69" t="s">
        <v>1034</v>
      </c>
      <c r="Y40" s="121">
        <v>4.0</v>
      </c>
      <c r="Z40" s="113" t="s">
        <v>1035</v>
      </c>
      <c r="AA40" s="114" t="str">
        <f>IFERROR(__xludf.DUMMYFUNCTION("IF(K40="""", """", GOOGLETRANSLATE(K40,""en"",""RU""))"),"Основываясь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40" s="111" t="str">
        <f>IFERROR(__xludf.DUMMYFUNCTION("IF(L40="""", """", GOOGLETRANSLATE(L40, ""en"", ""ru""))
"),"Запускает событие убийства «С». Приведёт к минету у Fapping Sister.
Примечание: Вам не нужно заранее искать «С».
(Пока не реализовано)")</f>
        <v>Запускает событие убийства «С». Приведёт к минету у Fapping Sister.
Примечание: Вам не нужно заранее искать «С».
(Пока не реализовано)</v>
      </c>
      <c r="AC40" s="121">
        <v>4.0</v>
      </c>
      <c r="AD40" s="112" t="s">
        <v>1036</v>
      </c>
      <c r="AE40" s="100" t="s">
        <v>1037</v>
      </c>
      <c r="AF40" s="101" t="s">
        <v>1038</v>
      </c>
      <c r="AG40" s="121">
        <v>4.0</v>
      </c>
      <c r="AH40" s="106" t="s">
        <v>1039</v>
      </c>
      <c r="AI40" s="100" t="s">
        <v>1040</v>
      </c>
      <c r="AJ40" s="101" t="s">
        <v>1041</v>
      </c>
      <c r="AK40" s="98">
        <v>4.0</v>
      </c>
      <c r="AL40" s="107" t="s">
        <v>1042</v>
      </c>
      <c r="AM40" s="108" t="s">
        <v>1043</v>
      </c>
      <c r="AN40" s="67" t="s">
        <v>1044</v>
      </c>
      <c r="AO40" s="69"/>
    </row>
    <row r="41">
      <c r="A41" s="98">
        <v>5.0</v>
      </c>
      <c r="B41" s="99" t="s">
        <v>1045</v>
      </c>
      <c r="C41" s="100" t="s">
        <v>1046</v>
      </c>
      <c r="D41" s="101" t="s">
        <v>1047</v>
      </c>
      <c r="E41" s="98">
        <v>5.0</v>
      </c>
      <c r="F41" s="99" t="s">
        <v>1048</v>
      </c>
      <c r="G41" s="100" t="s">
        <v>1049</v>
      </c>
      <c r="H41" s="101" t="s">
        <v>1050</v>
      </c>
      <c r="I41" s="98">
        <v>5.0</v>
      </c>
      <c r="J41" s="99" t="s">
        <v>1051</v>
      </c>
      <c r="K41" s="100" t="s">
        <v>1052</v>
      </c>
      <c r="L41" s="101" t="s">
        <v>1053</v>
      </c>
      <c r="M41" s="98">
        <v>5.0</v>
      </c>
      <c r="N41" s="99" t="str">
        <f>IFERROR(__xludf.DUMMYFUNCTION("GOOGLETRANSLATE(B41,""zh-tw"",""zh"")"),"憋不住了-1")</f>
        <v>憋不住了-1</v>
      </c>
      <c r="O41" s="103" t="str">
        <f>IFERROR(__xludf.DUMMYFUNCTION("GOOGLETRANSLATE(C41,""zh-tw"",""zh"")"),"部分食材，(例如：垃圾、紫丁香蘑菇、月夜茸)，做成料理后，都有相当的概率让哥哥进入食物中毒状态")</f>
        <v>部分食材，(例如：垃圾、紫丁香蘑菇、月夜茸)，做成料理后，都有相当的概率让哥哥进入食物中毒状态</v>
      </c>
      <c r="P41" s="71" t="str">
        <f>IFERROR(__xludf.DUMMYFUNCTION("GOOGLETRANSLATE(D41,""zh-tw"",""zh"")"),"一段时间后强制触发腹泻事件，大量损失体力并减少夜晚的自由活动时间。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1" s="98">
        <v>5.0</v>
      </c>
      <c r="R41" s="99" t="s">
        <v>1054</v>
      </c>
      <c r="S41" s="103" t="str">
        <f>IFERROR(__xludf.DUMMYFUNCTION("GOOGLETRANSLATE(C41,""zh-tw"",""es-MX"")"),"Algunos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1" s="71" t="str">
        <f>IFERROR(__xludf.DUMMYFUNCTION("GOOGLETRANSLATE(D41,""zh-tw"",""es-MX"")"),"Tras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1" s="98">
        <v>5.0</v>
      </c>
      <c r="V41" s="102" t="str">
        <f>IFERROR(__xludf.DUMMYFUNCTION("GOOGLETRANSLATE(B41,""zh-tw"",""KO"")"),"더 이상 참을 수 없어 -1")</f>
        <v>더 이상 참을 수 없어 -1</v>
      </c>
      <c r="W41" s="109" t="s">
        <v>1055</v>
      </c>
      <c r="X41" s="69" t="s">
        <v>1056</v>
      </c>
      <c r="Y41" s="98">
        <v>5.0</v>
      </c>
      <c r="Z41" s="104" t="str">
        <f>IFERROR(__xludf.DUMMYFUNCTION("IF(J41="""", """", GOOGLETRANSLATE(
J41,""en"",""ru""))"),"Я больше не могу... - 1")</f>
        <v>Я больше не могу... - 1</v>
      </c>
      <c r="AA41" s="114" t="str">
        <f>IFERROR(__xludf.DUMMYFUNCTION("IF(K41="""", """", GOOGLETRANSLATE(K41,""en"",""RU""))"),"Некоторые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41" s="111" t="str">
        <f>IFERROR(__xludf.DUMMYFUNCTION("IF(L41="""", """", GOOGLETRANSLATE(L41,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41" s="98">
        <v>5.0</v>
      </c>
      <c r="AD41" s="99" t="s">
        <v>1057</v>
      </c>
      <c r="AE41" s="100" t="s">
        <v>1058</v>
      </c>
      <c r="AF41" s="101" t="s">
        <v>1059</v>
      </c>
      <c r="AG41" s="98">
        <v>5.0</v>
      </c>
      <c r="AH41" s="106" t="s">
        <v>1060</v>
      </c>
      <c r="AI41" s="100" t="s">
        <v>1061</v>
      </c>
      <c r="AJ41" s="101" t="s">
        <v>1062</v>
      </c>
      <c r="AK41" s="98">
        <v>5.0</v>
      </c>
      <c r="AL41" s="107" t="s">
        <v>1063</v>
      </c>
      <c r="AM41" s="108" t="s">
        <v>1064</v>
      </c>
      <c r="AN41" s="67" t="s">
        <v>1065</v>
      </c>
      <c r="AO41" s="101"/>
    </row>
    <row r="42">
      <c r="A42" s="121">
        <v>6.0</v>
      </c>
      <c r="B42" s="99" t="s">
        <v>1066</v>
      </c>
      <c r="C42" s="100" t="s">
        <v>1067</v>
      </c>
      <c r="D42" s="101" t="s">
        <v>1068</v>
      </c>
      <c r="E42" s="121">
        <v>6.0</v>
      </c>
      <c r="F42" s="99" t="s">
        <v>1069</v>
      </c>
      <c r="G42" s="100" t="s">
        <v>1070</v>
      </c>
      <c r="H42" s="101" t="s">
        <v>1071</v>
      </c>
      <c r="I42" s="121">
        <v>6.0</v>
      </c>
      <c r="J42" s="99" t="s">
        <v>1072</v>
      </c>
      <c r="K42" s="100" t="s">
        <v>1073</v>
      </c>
      <c r="L42" s="101" t="s">
        <v>1074</v>
      </c>
      <c r="M42" s="121">
        <v>6.0</v>
      </c>
      <c r="N42" s="99" t="str">
        <f>IFERROR(__xludf.DUMMYFUNCTION("GOOGLETRANSLATE(B42,""zh-tw"",""zh"")"),"憋不住了-2")</f>
        <v>憋不住了-2</v>
      </c>
      <c r="O42" s="103" t="str">
        <f>IFERROR(__xludf.DUMMYFUNCTION("GOOGLETRANSLATE(C42,""zh-tw"",""zh"")"),"如果食材还混入了辣椒，会进一步强化腹泻的副作用")</f>
        <v>如果食材还混入了辣椒，会进一步强化腹泻的副作用</v>
      </c>
      <c r="P42" s="71" t="str">
        <f>IFERROR(__xludf.DUMMYFUNCTION("GOOGLETRANSLATE(D42,""zh-tw"",""zh"")"),"隔天冒险时，哥哥会因为屁股痛无法奔跑。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2" s="121">
        <v>6.0</v>
      </c>
      <c r="R42" s="99" t="s">
        <v>1075</v>
      </c>
      <c r="S42" s="103" t="str">
        <f>IFERROR(__xludf.DUMMYFUNCTION("GOOGLETRANSLATE(C42,""zh-tw"",""es-MX"")"),"Si también se mezclan chiles en la comida, agravarán aún más los efectos secundarios de la diarrea.")</f>
        <v>Si también se mezclan chiles en la comida, agravarán aún más los efectos secundarios de la diarrea.</v>
      </c>
      <c r="T42" s="71" t="str">
        <f>IFERROR(__xludf.DUMMYFUNCTION("GOOGLETRANSLATE(D42,""zh-tw"",""es-MX"")"),"Al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2" s="121">
        <v>6.0</v>
      </c>
      <c r="V42" s="102" t="str">
        <f>IFERROR(__xludf.DUMMYFUNCTION("GOOGLETRANSLATE(B42,""zh-tw"",""KO"")"),"더 이상 참을 수 없어 -2")</f>
        <v>더 이상 참을 수 없어 -2</v>
      </c>
      <c r="W42" s="109" t="s">
        <v>1076</v>
      </c>
      <c r="X42" s="69" t="s">
        <v>1077</v>
      </c>
      <c r="Y42" s="121">
        <v>6.0</v>
      </c>
      <c r="Z42" s="104" t="str">
        <f>IFERROR(__xludf.DUMMYFUNCTION("IF(J42="""", """", GOOGLETRANSLATE(
J42,""en"",""ru""))"),"Я больше не могу... - 2")</f>
        <v>Я больше не могу... - 2</v>
      </c>
      <c r="AA42" s="114" t="str">
        <f>IFERROR(__xludf.DUMMYFUNCTION("IF(K42="""", """", GOOGLETRANSLATE(K42,""en"",""RU""))"),"Помимо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2" s="111" t="str">
        <f>IFERROR(__xludf.DUMMYFUNCTION("IF(L42="""", """", GOOGLETRANSLATE(L42,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v>
      </c>
      <c r="AC42" s="121">
        <v>6.0</v>
      </c>
      <c r="AD42" s="99" t="s">
        <v>1078</v>
      </c>
      <c r="AE42" s="100" t="s">
        <v>1079</v>
      </c>
      <c r="AF42" s="101" t="s">
        <v>1080</v>
      </c>
      <c r="AG42" s="121">
        <v>6.0</v>
      </c>
      <c r="AH42" s="106" t="s">
        <v>1081</v>
      </c>
      <c r="AI42" s="100" t="s">
        <v>1082</v>
      </c>
      <c r="AJ42" s="101" t="s">
        <v>1083</v>
      </c>
      <c r="AK42" s="98">
        <v>6.0</v>
      </c>
      <c r="AL42" s="107" t="s">
        <v>1084</v>
      </c>
      <c r="AM42" s="108" t="s">
        <v>1085</v>
      </c>
      <c r="AN42" s="67" t="s">
        <v>1086</v>
      </c>
      <c r="AO42" s="101"/>
    </row>
    <row r="43">
      <c r="A43" s="98">
        <v>7.0</v>
      </c>
      <c r="B43" s="99" t="s">
        <v>1087</v>
      </c>
      <c r="C43" s="100" t="s">
        <v>1088</v>
      </c>
      <c r="D43" s="101" t="s">
        <v>662</v>
      </c>
      <c r="E43" s="98">
        <v>7.0</v>
      </c>
      <c r="F43" s="99" t="s">
        <v>1089</v>
      </c>
      <c r="G43" s="100" t="s">
        <v>1090</v>
      </c>
      <c r="H43" s="101" t="s">
        <v>665</v>
      </c>
      <c r="I43" s="98">
        <v>7.0</v>
      </c>
      <c r="J43" s="99" t="s">
        <v>1091</v>
      </c>
      <c r="K43" s="100" t="s">
        <v>1092</v>
      </c>
      <c r="L43" s="101" t="s">
        <v>1093</v>
      </c>
      <c r="M43" s="98">
        <v>7.0</v>
      </c>
      <c r="N43" s="99" t="str">
        <f>IFERROR(__xludf.DUMMYFUNCTION("GOOGLETRANSLATE(B43,""zh-tw"",""zh"")"),"气息消除-4")</f>
        <v>气息消除-4</v>
      </c>
      <c r="O43" s="103" t="str">
        <f>IFERROR(__xludf.DUMMYFUNCTION("GOOGLETRANSLATE(C43,""zh-tw"",""zh"")"),"厕所门改造")</f>
        <v>厕所门改造</v>
      </c>
      <c r="P43" s="71" t="str">
        <f>IFERROR(__xludf.DUMMYFUNCTION("GOOGLETRANSLATE(D43,""zh-tw"",""zh"")"),"未实装")</f>
        <v>未实装</v>
      </c>
      <c r="Q43" s="98">
        <v>7.0</v>
      </c>
      <c r="R43" s="99" t="str">
        <f>IFERROR(__xludf.DUMMYFUNCTION("GOOGLETRANSLATE(B43,""zh-tw"",""es-MX"")"),"Eliminación de olores -4")</f>
        <v>Eliminación de olores -4</v>
      </c>
      <c r="S43" s="103" t="str">
        <f>IFERROR(__xludf.DUMMYFUNCTION("GOOGLETRANSLATE(C43,""zh-tw"",""es-MX"")"),"Renovación de la puerta del baño")</f>
        <v>Renovación de la puerta del baño</v>
      </c>
      <c r="T43" s="71" t="str">
        <f>IFERROR(__xludf.DUMMYFUNCTION("GOOGLETRANSLATE(D43,""zh-tw"",""es-MX"")"),"No implementado")</f>
        <v>No implementado</v>
      </c>
      <c r="U43" s="98">
        <v>7.0</v>
      </c>
      <c r="V43" s="112" t="s">
        <v>1094</v>
      </c>
      <c r="W43" s="109" t="s">
        <v>1095</v>
      </c>
      <c r="X43" s="69" t="s">
        <v>674</v>
      </c>
      <c r="Y43" s="98">
        <v>7.0</v>
      </c>
      <c r="Z43" s="104" t="str">
        <f>IFERROR(__xludf.DUMMYFUNCTION("IF(J43="""", """", GOOGLETRANSLATE(J43,""en"",""RU""))"),"Сокрытие дыхания - 4")</f>
        <v>Сокрытие дыхания - 4</v>
      </c>
      <c r="AA43" s="114" t="str">
        <f>IFERROR(__xludf.DUMMYFUNCTION("IF(K43="""", """", GOOGLETRANSLATE(K43,""en"",""RU""))"),"Онии-тян также может превратить дверь туалета в еще одну дверь ниндзя.")</f>
        <v>Онии-тян также может превратить дверь туалета в еще одну дверь ниндзя.</v>
      </c>
      <c r="AB43" s="111" t="str">
        <f>IFERROR(__xludf.DUMMYFUNCTION("IF(L43="""", """", GOOGLETRANSLATE(L43, ""en"", ""ru""))
"),"*Еще не реализовано.")</f>
        <v>*Еще не реализовано.</v>
      </c>
      <c r="AC43" s="98">
        <v>7.0</v>
      </c>
      <c r="AD43" s="99" t="s">
        <v>1096</v>
      </c>
      <c r="AE43" s="100" t="s">
        <v>1097</v>
      </c>
      <c r="AF43" s="101" t="s">
        <v>1098</v>
      </c>
      <c r="AG43" s="98">
        <v>7.0</v>
      </c>
      <c r="AH43" s="106" t="s">
        <v>1099</v>
      </c>
      <c r="AI43" s="100" t="s">
        <v>1100</v>
      </c>
      <c r="AJ43" s="101" t="s">
        <v>1101</v>
      </c>
      <c r="AK43" s="98">
        <v>7.0</v>
      </c>
      <c r="AL43" s="107" t="s">
        <v>1102</v>
      </c>
      <c r="AM43" s="115" t="s">
        <v>1103</v>
      </c>
      <c r="AN43" s="67" t="s">
        <v>1104</v>
      </c>
      <c r="AO43" s="101"/>
    </row>
    <row r="44">
      <c r="A44" s="121">
        <v>8.0</v>
      </c>
      <c r="B44" s="99" t="s">
        <v>1105</v>
      </c>
      <c r="C44" s="100" t="s">
        <v>1106</v>
      </c>
      <c r="D44" s="69" t="s">
        <v>1107</v>
      </c>
      <c r="E44" s="121">
        <v>8.0</v>
      </c>
      <c r="F44" s="99" t="s">
        <v>1108</v>
      </c>
      <c r="G44" s="100" t="s">
        <v>1109</v>
      </c>
      <c r="H44" s="69" t="s">
        <v>1110</v>
      </c>
      <c r="I44" s="121">
        <v>8.0</v>
      </c>
      <c r="J44" s="99" t="s">
        <v>1111</v>
      </c>
      <c r="K44" s="100" t="s">
        <v>1112</v>
      </c>
      <c r="L44" s="69" t="s">
        <v>1113</v>
      </c>
      <c r="M44" s="121">
        <v>8.0</v>
      </c>
      <c r="N44" s="99" t="str">
        <f>IFERROR(__xludf.DUMMYFUNCTION("GOOGLETRANSLATE(B44,""zh-tw"",""zh"")"),"想上厕所...1")</f>
        <v>想上厕所...1</v>
      </c>
      <c r="O44" s="103" t="str">
        <f>IFERROR(__xludf.DUMMYFUNCTION("GOOGLETRANSLATE(C44,""zh-tw"",""zh"")"),"冒险回家后前往厕所-&gt;翻找-&gt;找到类似蟑螂的生物(Z)。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4" s="71" t="str">
        <f>IFERROR(__xludf.DUMMYFUNCTION("GOOGLETRANSLATE(D44,""zh-tw"",""zh"")"),"妹妹在不同紫心时，触发后会有不同演出
※只能触发一次※")</f>
        <v>妹妹在不同紫心时，触发后会有不同演出
※只能触发一次※</v>
      </c>
      <c r="Q44" s="121">
        <v>8.0</v>
      </c>
      <c r="R44" s="102" t="s">
        <v>1114</v>
      </c>
      <c r="S44" s="103" t="s">
        <v>1115</v>
      </c>
      <c r="T44" s="71" t="s">
        <v>1116</v>
      </c>
      <c r="U44" s="121">
        <v>8.0</v>
      </c>
      <c r="V44" s="112" t="s">
        <v>1117</v>
      </c>
      <c r="W44" s="109" t="s">
        <v>1118</v>
      </c>
      <c r="X44" s="69" t="s">
        <v>1119</v>
      </c>
      <c r="Y44" s="121">
        <v>8.0</v>
      </c>
      <c r="Z44" s="104" t="str">
        <f>IFERROR(__xludf.DUMMYFUNCTION("IF(J44="""", """", GOOGLETRANSLATE(J44,""en"",""RU""))"),"Мне нужно в туалет... - 1")</f>
        <v>Мне нужно в туалет... - 1</v>
      </c>
      <c r="AA44" s="114" t="str">
        <f>IFERROR(__xludf.DUMMYFUNCTION("IF(K44="""", """", GOOGLETRANSLATE(K44,""en"",""RU""))"),"Вернувшись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4" s="111" t="str">
        <f>IFERROR(__xludf.DUMMYFUNCTION("IF(L44="""", """", GOOGLETRANSLATE(L44,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4" s="121">
        <v>8.0</v>
      </c>
      <c r="AD44" s="99" t="s">
        <v>1120</v>
      </c>
      <c r="AE44" s="100" t="s">
        <v>1121</v>
      </c>
      <c r="AF44" s="69" t="s">
        <v>1122</v>
      </c>
      <c r="AG44" s="121">
        <v>8.0</v>
      </c>
      <c r="AH44" s="106" t="s">
        <v>1123</v>
      </c>
      <c r="AI44" s="100" t="s">
        <v>1124</v>
      </c>
      <c r="AJ44" s="101" t="s">
        <v>1125</v>
      </c>
      <c r="AK44" s="98">
        <v>8.0</v>
      </c>
      <c r="AL44" s="107" t="s">
        <v>1126</v>
      </c>
      <c r="AM44" s="115" t="s">
        <v>1127</v>
      </c>
      <c r="AN44" s="66" t="s">
        <v>1128</v>
      </c>
      <c r="AO44" s="69"/>
    </row>
    <row r="45">
      <c r="A45" s="98">
        <v>9.0</v>
      </c>
      <c r="B45" s="99" t="s">
        <v>1129</v>
      </c>
      <c r="C45" s="100" t="s">
        <v>1130</v>
      </c>
      <c r="D45" s="69" t="s">
        <v>1131</v>
      </c>
      <c r="E45" s="98">
        <v>9.0</v>
      </c>
      <c r="F45" s="99" t="s">
        <v>1132</v>
      </c>
      <c r="G45" s="100" t="s">
        <v>1133</v>
      </c>
      <c r="H45" s="69" t="s">
        <v>1134</v>
      </c>
      <c r="I45" s="98">
        <v>9.0</v>
      </c>
      <c r="J45" s="99" t="s">
        <v>1135</v>
      </c>
      <c r="K45" s="100" t="s">
        <v>1136</v>
      </c>
      <c r="L45" s="69" t="s">
        <v>1137</v>
      </c>
      <c r="M45" s="98">
        <v>9.0</v>
      </c>
      <c r="N45" s="99" t="str">
        <f>IFERROR(__xludf.DUMMYFUNCTION("GOOGLETRANSLATE(B45,""zh-tw"",""zh"")"),"想上厕所...2")</f>
        <v>想上厕所...2</v>
      </c>
      <c r="O45" s="103" t="str">
        <f>IFERROR(__xludf.DUMMYFUNCTION("GOOGLETRANSLATE(C45,""zh-tw"",""zh"")"),"妹妹平常时，有小概率触发上厕所的事件，喝饮料的话会增加概率。")</f>
        <v>妹妹平常时，有小概率触发上厕所的事件，喝饮料的话会增加概率。</v>
      </c>
      <c r="P45" s="71" t="str">
        <f>IFERROR(__xludf.DUMMYFUNCTION("GOOGLETRANSLATE(D45,""zh-tw"",""zh"")"),"触发是否前往厕所偷看的选项
※未实装")</f>
        <v>触发是否前往厕所偷看的选项
※未实装</v>
      </c>
      <c r="Q45" s="98">
        <v>9.0</v>
      </c>
      <c r="R45" s="102" t="s">
        <v>1138</v>
      </c>
      <c r="S45" s="103" t="s">
        <v>1139</v>
      </c>
      <c r="T45" s="69" t="s">
        <v>1140</v>
      </c>
      <c r="U45" s="98">
        <v>9.0</v>
      </c>
      <c r="V45" s="112" t="s">
        <v>1141</v>
      </c>
      <c r="W45" s="109" t="s">
        <v>1142</v>
      </c>
      <c r="X45" s="69" t="s">
        <v>1143</v>
      </c>
      <c r="Y45" s="98">
        <v>9.0</v>
      </c>
      <c r="Z45" s="104" t="str">
        <f>IFERROR(__xludf.DUMMYFUNCTION("IF(J45="""", """", GOOGLETRANSLATE(J45,""en"",""RU""))"),"Мне нужно в туалет... - 2")</f>
        <v>Мне нужно в туалет... - 2</v>
      </c>
      <c r="AA45" s="114" t="str">
        <f>IFERROR(__xludf.DUMMYFUNCTION("IF(K45="""", """", GOOGLETRANSLATE(K45,""en"",""RU""))"),"Обычно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5" s="111" t="str">
        <f>IFERROR(__xludf.DUMMYFUNCTION("IF(L45="""", """", GOOGLETRANSLATE(L45, ""en"", ""ru""))
"),"Позволяет активировать опцию «заглянуть в туалет».
*Пока не реализовано.
")</f>
        <v>Позволяет активировать опцию «заглянуть в туалет».
*Пока не реализовано.
</v>
      </c>
      <c r="AC45" s="98">
        <v>9.0</v>
      </c>
      <c r="AD45" s="99" t="s">
        <v>1144</v>
      </c>
      <c r="AE45" s="100" t="s">
        <v>1145</v>
      </c>
      <c r="AF45" s="101" t="s">
        <v>1146</v>
      </c>
      <c r="AG45" s="98">
        <v>9.0</v>
      </c>
      <c r="AH45" s="106" t="s">
        <v>1147</v>
      </c>
      <c r="AI45" s="100" t="s">
        <v>1148</v>
      </c>
      <c r="AJ45" s="101" t="s">
        <v>1149</v>
      </c>
      <c r="AK45" s="98">
        <v>9.0</v>
      </c>
      <c r="AL45" s="107" t="s">
        <v>1150</v>
      </c>
      <c r="AM45" s="115" t="s">
        <v>1151</v>
      </c>
      <c r="AN45" s="66" t="s">
        <v>1152</v>
      </c>
      <c r="AO45" s="69"/>
    </row>
    <row r="46">
      <c r="A46" s="121">
        <v>10.0</v>
      </c>
      <c r="B46" s="99" t="s">
        <v>1153</v>
      </c>
      <c r="C46" s="109" t="s">
        <v>1154</v>
      </c>
      <c r="D46" s="69" t="s">
        <v>1155</v>
      </c>
      <c r="E46" s="121">
        <v>10.0</v>
      </c>
      <c r="F46" s="99" t="s">
        <v>1156</v>
      </c>
      <c r="G46" s="100" t="s">
        <v>1157</v>
      </c>
      <c r="H46" s="69" t="s">
        <v>1158</v>
      </c>
      <c r="I46" s="121">
        <v>10.0</v>
      </c>
      <c r="J46" s="99" t="s">
        <v>1159</v>
      </c>
      <c r="K46" s="109" t="s">
        <v>1160</v>
      </c>
      <c r="L46" s="69" t="s">
        <v>1161</v>
      </c>
      <c r="M46" s="121">
        <v>10.0</v>
      </c>
      <c r="N46" s="99" t="str">
        <f>IFERROR(__xludf.DUMMYFUNCTION("GOOGLETRANSLATE(B46,""zh-tw"",""zh"")"),"厕所Plpy-1")</f>
        <v>厕所Plpy-1</v>
      </c>
      <c r="O46" s="109" t="s">
        <v>1162</v>
      </c>
      <c r="P46" s="71" t="str">
        <f>IFERROR(__xludf.DUMMYFUNCTION("GOOGLETRANSLATE(D46,""zh-tw"",""zh"")"),"触发剧情
※目前尚未实装被发现的相关剧情")</f>
        <v>触发剧情
※目前尚未实装被发现的相关剧情</v>
      </c>
      <c r="Q46" s="121">
        <v>10.0</v>
      </c>
      <c r="R46" s="102" t="s">
        <v>1163</v>
      </c>
      <c r="S46" s="103" t="s">
        <v>1164</v>
      </c>
      <c r="T46" s="71" t="s">
        <v>1165</v>
      </c>
      <c r="U46" s="121">
        <v>10.0</v>
      </c>
      <c r="V46" s="112" t="s">
        <v>1166</v>
      </c>
      <c r="W46" s="109" t="s">
        <v>1167</v>
      </c>
      <c r="X46" s="69" t="s">
        <v>1168</v>
      </c>
      <c r="Y46" s="121">
        <v>10.0</v>
      </c>
      <c r="Z46" s="104" t="str">
        <f>IFERROR(__xludf.DUMMYFUNCTION("IF(J46="""", """", GOOGLETRANSLATE(J46,""en"",""RU""))"),"Сестра-дрочила - 1")</f>
        <v>Сестра-дрочила - 1</v>
      </c>
      <c r="AA46" s="114" t="str">
        <f>IFERROR(__xludf.DUMMYFUNCTION("IF(K46="""", """", GOOGLETRANSLATE(K46,""en"",""RU""))"),"Запустится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f>
        <v>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v>
      </c>
      <c r="AB46" s="111" t="str">
        <f>IFERROR(__xludf.DUMMYFUNCTION("IF(L46="""", """", GOOGLETRANSLATE(L46, ""en"", ""ru""))
"),"Запускает событие «заглядывание в туалет».")</f>
        <v>Запускает событие «заглядывание в туалет».</v>
      </c>
      <c r="AC46" s="121">
        <v>10.0</v>
      </c>
      <c r="AD46" s="112" t="s">
        <v>1169</v>
      </c>
      <c r="AE46" s="100" t="s">
        <v>1170</v>
      </c>
      <c r="AF46" s="101" t="s">
        <v>1171</v>
      </c>
      <c r="AG46" s="121">
        <v>10.0</v>
      </c>
      <c r="AH46" s="106" t="s">
        <v>1172</v>
      </c>
      <c r="AI46" s="100" t="s">
        <v>1173</v>
      </c>
      <c r="AJ46" s="101" t="s">
        <v>1174</v>
      </c>
      <c r="AK46" s="98">
        <v>10.0</v>
      </c>
      <c r="AL46" s="107" t="s">
        <v>1175</v>
      </c>
      <c r="AM46" s="115" t="s">
        <v>1176</v>
      </c>
      <c r="AN46" s="66" t="s">
        <v>1177</v>
      </c>
      <c r="AO46" s="69"/>
    </row>
    <row r="47">
      <c r="A47" s="98">
        <v>11.0</v>
      </c>
      <c r="B47" s="112" t="s">
        <v>1178</v>
      </c>
      <c r="C47" s="109" t="s">
        <v>1179</v>
      </c>
      <c r="D47" s="69" t="s">
        <v>1180</v>
      </c>
      <c r="E47" s="98">
        <v>11.0</v>
      </c>
      <c r="F47" s="112" t="s">
        <v>1181</v>
      </c>
      <c r="G47" s="109" t="s">
        <v>1182</v>
      </c>
      <c r="H47" s="69" t="s">
        <v>1183</v>
      </c>
      <c r="I47" s="98">
        <v>11.0</v>
      </c>
      <c r="J47" s="112" t="s">
        <v>1184</v>
      </c>
      <c r="K47" s="109" t="s">
        <v>1185</v>
      </c>
      <c r="L47" s="69" t="s">
        <v>1186</v>
      </c>
      <c r="M47" s="98">
        <v>11.0</v>
      </c>
      <c r="N47" s="99" t="str">
        <f>IFERROR(__xludf.DUMMYFUNCTION("GOOGLETRANSLATE(B47,""zh-tw"",""zh"")"),"厕所Plpy-2")</f>
        <v>厕所Plpy-2</v>
      </c>
      <c r="O47" s="103" t="str">
        <f>IFERROR(__xludf.DUMMYFUNCTION("GOOGLETRANSLATE(C47,""zh-tw"",""zh"")"),"同上
若哥哥打手枪时被发现，且妹妹处于低紫心的状态，触发一种分歧")</f>
        <v>同上
若哥哥打手枪时被发现，且妹妹处于低紫心的状态，触发一种分歧</v>
      </c>
      <c r="P47" s="71" t="str">
        <f>IFERROR(__xludf.DUMMYFUNCTION("GOOGLETRANSLATE(D47,""zh-tw"",""zh"")"),"触发相关剧情
※目前尚未实装被发现的相关剧情")</f>
        <v>触发相关剧情
※目前尚未实装被发现的相关剧情</v>
      </c>
      <c r="Q47" s="98">
        <v>11.0</v>
      </c>
      <c r="R47" s="112" t="s">
        <v>1187</v>
      </c>
      <c r="S47" s="103" t="s">
        <v>1188</v>
      </c>
      <c r="T47" s="71" t="s">
        <v>1189</v>
      </c>
      <c r="U47" s="98">
        <v>11.0</v>
      </c>
      <c r="V47" s="112" t="s">
        <v>1190</v>
      </c>
      <c r="W47" s="109" t="s">
        <v>1191</v>
      </c>
      <c r="X47" s="69" t="s">
        <v>1192</v>
      </c>
      <c r="Y47" s="98">
        <v>11.0</v>
      </c>
      <c r="Z47" s="104" t="str">
        <f>IFERROR(__xludf.DUMMYFUNCTION("IF(J47="""", """", GOOGLETRANSLATE(J47,""en"",""RU""))"),"Сестра-дрочила - 2")</f>
        <v>Сестра-дрочила - 2</v>
      </c>
      <c r="AA47" s="114" t="str">
        <f>IFERROR(__xludf.DUMMYFUNCTION("IF(K47="""", """", GOOGLETRANSLATE(K47,""en"",""RU""))"),"Ответвление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7" s="111" t="str">
        <f>IFERROR(__xludf.DUMMYFUNCTION("IF(L47="""", """", GOOGLETRANSLATE(L47,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7" s="98">
        <v>11.0</v>
      </c>
      <c r="AD47" s="112" t="s">
        <v>1193</v>
      </c>
      <c r="AE47" s="100" t="s">
        <v>1194</v>
      </c>
      <c r="AF47" s="101" t="s">
        <v>1195</v>
      </c>
      <c r="AG47" s="98">
        <v>11.0</v>
      </c>
      <c r="AH47" s="106" t="s">
        <v>1196</v>
      </c>
      <c r="AI47" s="100" t="s">
        <v>1197</v>
      </c>
      <c r="AJ47" s="101" t="s">
        <v>1198</v>
      </c>
      <c r="AK47" s="98">
        <v>11.0</v>
      </c>
      <c r="AL47" s="107" t="s">
        <v>1199</v>
      </c>
      <c r="AM47" s="115" t="s">
        <v>1200</v>
      </c>
      <c r="AN47" s="67" t="s">
        <v>1201</v>
      </c>
      <c r="AO47" s="69"/>
    </row>
    <row r="48">
      <c r="A48" s="121">
        <v>12.0</v>
      </c>
      <c r="B48" s="112" t="s">
        <v>1202</v>
      </c>
      <c r="C48" s="109" t="s">
        <v>1203</v>
      </c>
      <c r="D48" s="69" t="s">
        <v>1204</v>
      </c>
      <c r="E48" s="121">
        <v>12.0</v>
      </c>
      <c r="F48" s="112" t="s">
        <v>1205</v>
      </c>
      <c r="G48" s="100" t="s">
        <v>1206</v>
      </c>
      <c r="H48" s="69" t="s">
        <v>1207</v>
      </c>
      <c r="I48" s="121">
        <v>12.0</v>
      </c>
      <c r="J48" s="112" t="s">
        <v>1208</v>
      </c>
      <c r="K48" s="109" t="s">
        <v>1209</v>
      </c>
      <c r="L48" s="69" t="s">
        <v>1210</v>
      </c>
      <c r="M48" s="121">
        <v>12.0</v>
      </c>
      <c r="N48" s="99" t="str">
        <f>IFERROR(__xludf.DUMMYFUNCTION("GOOGLETRANSLATE(B48,""zh-tw"",""zh"")"),"厕所Plpy-3")</f>
        <v>厕所Plpy-3</v>
      </c>
      <c r="O48" s="103" t="str">
        <f>IFERROR(__xludf.DUMMYFUNCTION("GOOGLETRANSLATE(C48,""zh-tw"",""zh"")"),"同-1
若此时遇到Z的突击，触发一种分歧")</f>
        <v>同-1
若此时遇到Z的突击，触发一种分歧</v>
      </c>
      <c r="P48" s="71" t="str">
        <f>IFERROR(__xludf.DUMMYFUNCTION("GOOGLETRANSLATE(D48,""zh-tw"",""zh"")"),"50%机率，出现打死Z剧情
备注：无须发现Z的前置操作")</f>
        <v>50%机率，出现打死Z剧情
备注：无须发现Z的前置操作</v>
      </c>
      <c r="Q48" s="121">
        <v>12.0</v>
      </c>
      <c r="R48" s="112" t="s">
        <v>1211</v>
      </c>
      <c r="S48" s="103" t="s">
        <v>1212</v>
      </c>
      <c r="T48" s="71" t="s">
        <v>1031</v>
      </c>
      <c r="U48" s="121">
        <v>12.0</v>
      </c>
      <c r="V48" s="112" t="s">
        <v>1213</v>
      </c>
      <c r="W48" s="109" t="s">
        <v>1214</v>
      </c>
      <c r="X48" s="69" t="s">
        <v>1215</v>
      </c>
      <c r="Y48" s="121">
        <v>12.0</v>
      </c>
      <c r="Z48" s="104" t="str">
        <f>IFERROR(__xludf.DUMMYFUNCTION("IF(J48="""", """", GOOGLETRANSLATE(J48,""en"",""RU""))"),"Сестра-дрочила - 3")</f>
        <v>Сестра-дрочила - 3</v>
      </c>
      <c r="AA48" s="114" t="str">
        <f>IFERROR(__xludf.DUMMYFUNCTION("IF(K48="""", """", GOOGLETRANSLATE(K48,""en"",""RU""))"),"Продолжая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8" s="111" t="str">
        <f>IFERROR(__xludf.DUMMYFUNCTION("IF(L48="""", """", GOOGLETRANSLATE(L48,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8" s="121">
        <v>12.0</v>
      </c>
      <c r="AD48" s="112" t="s">
        <v>1216</v>
      </c>
      <c r="AE48" s="100" t="s">
        <v>1217</v>
      </c>
      <c r="AF48" s="101" t="s">
        <v>1013</v>
      </c>
      <c r="AG48" s="121">
        <v>12.0</v>
      </c>
      <c r="AH48" s="106" t="s">
        <v>1218</v>
      </c>
      <c r="AI48" s="100" t="s">
        <v>1219</v>
      </c>
      <c r="AJ48" s="101" t="s">
        <v>1220</v>
      </c>
      <c r="AK48" s="98">
        <v>12.0</v>
      </c>
      <c r="AL48" s="107" t="s">
        <v>1221</v>
      </c>
      <c r="AM48" s="108" t="s">
        <v>1222</v>
      </c>
      <c r="AN48" s="67" t="s">
        <v>1223</v>
      </c>
      <c r="AO48" s="69"/>
    </row>
    <row r="49">
      <c r="A49" s="98">
        <v>13.0</v>
      </c>
      <c r="B49" s="99" t="s">
        <v>1224</v>
      </c>
      <c r="C49" s="109" t="s">
        <v>1225</v>
      </c>
      <c r="D49" s="69" t="s">
        <v>1226</v>
      </c>
      <c r="E49" s="98">
        <v>13.0</v>
      </c>
      <c r="F49" s="99" t="s">
        <v>1227</v>
      </c>
      <c r="G49" s="109" t="s">
        <v>1228</v>
      </c>
      <c r="H49" s="101" t="s">
        <v>1229</v>
      </c>
      <c r="I49" s="98">
        <v>13.0</v>
      </c>
      <c r="J49" s="99" t="s">
        <v>1230</v>
      </c>
      <c r="K49" s="109" t="s">
        <v>1231</v>
      </c>
      <c r="L49" s="101" t="s">
        <v>1232</v>
      </c>
      <c r="M49" s="98">
        <v>13.0</v>
      </c>
      <c r="N49" s="99" t="str">
        <f>IFERROR(__xludf.DUMMYFUNCTION("GOOGLETRANSLATE(B49,""zh-tw"",""zh"")"),"厕所Plpy-4")</f>
        <v>厕所Plpy-4</v>
      </c>
      <c r="O49" s="103" t="str">
        <f>IFERROR(__xludf.DUMMYFUNCTION("GOOGLETRANSLATE(C49,""zh-tw"",""zh"")"),"同上
若妹妹处于高紫心的状态，且哥哥已经触发过Z突击的剧情，选择闯入厕所，触发另一种分歧")</f>
        <v>同上
若妹妹处于高紫心的状态，且哥哥已经触发过Z突击的剧情，选择闯入厕所，触发另一种分歧</v>
      </c>
      <c r="P49" s="71" t="str">
        <f>IFERROR(__xludf.DUMMYFUNCTION("GOOGLETRANSLATE(D49,""zh-tw"",""zh"")"),"触发使用嘴巴服务的相关剧情
*三种差分，分为蹲式、躺式，坐式待更新")</f>
        <v>触发使用嘴巴服务的相关剧情
*三种差分，分为蹲式、躺式，坐式待更新</v>
      </c>
      <c r="Q49" s="98">
        <v>13.0</v>
      </c>
      <c r="R49" s="102" t="s">
        <v>1233</v>
      </c>
      <c r="S49" s="103" t="s">
        <v>1234</v>
      </c>
      <c r="T49" s="71" t="s">
        <v>1235</v>
      </c>
      <c r="U49" s="98">
        <v>13.0</v>
      </c>
      <c r="V49" s="112" t="s">
        <v>1236</v>
      </c>
      <c r="W49" s="109" t="s">
        <v>1237</v>
      </c>
      <c r="X49" s="69" t="s">
        <v>1238</v>
      </c>
      <c r="Y49" s="98">
        <v>13.0</v>
      </c>
      <c r="Z49" s="104" t="str">
        <f>IFERROR(__xludf.DUMMYFUNCTION("IF(J49="""", """", GOOGLETRANSLATE(J49,""en"",""RU""))"),"Сестра-дрочила - 4")</f>
        <v>Сестра-дрочила - 4</v>
      </c>
      <c r="AA49" s="114" t="str">
        <f>IFERROR(__xludf.DUMMYFUNCTION("IF(K49="""", """", GOOGLETRANSLATE(K49,""en"",""RU""))"),"Продолжая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49" s="111" t="str">
        <f>IFERROR(__xludf.DUMMYFUNCTION("IF(L49="""", """", GOOGLETRANSLATE(L49,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49" s="98">
        <v>13.0</v>
      </c>
      <c r="AD49" s="112" t="s">
        <v>1239</v>
      </c>
      <c r="AE49" s="100" t="s">
        <v>1240</v>
      </c>
      <c r="AF49" s="101" t="s">
        <v>1241</v>
      </c>
      <c r="AG49" s="98">
        <v>13.0</v>
      </c>
      <c r="AH49" s="106" t="s">
        <v>1242</v>
      </c>
      <c r="AI49" s="100" t="s">
        <v>1243</v>
      </c>
      <c r="AJ49" s="101" t="s">
        <v>1244</v>
      </c>
      <c r="AK49" s="98">
        <v>13.0</v>
      </c>
      <c r="AL49" s="107" t="s">
        <v>1245</v>
      </c>
      <c r="AM49" s="115" t="s">
        <v>1246</v>
      </c>
      <c r="AN49" s="67" t="s">
        <v>1247</v>
      </c>
      <c r="AO49" s="69"/>
    </row>
    <row r="50">
      <c r="A50" s="92"/>
      <c r="B50" s="93"/>
      <c r="C50" s="93"/>
      <c r="D50" s="93"/>
      <c r="E50" s="92"/>
      <c r="F50" s="93"/>
      <c r="G50" s="93"/>
      <c r="H50" s="93"/>
      <c r="I50" s="92"/>
      <c r="J50" s="93"/>
      <c r="K50" s="93"/>
      <c r="L50" s="93"/>
      <c r="M50" s="92"/>
      <c r="N50" s="93"/>
      <c r="O50" s="65"/>
      <c r="P50" s="93"/>
      <c r="Q50" s="92"/>
      <c r="R50" s="65"/>
      <c r="S50" s="65"/>
      <c r="T50" s="65"/>
      <c r="U50" s="92"/>
      <c r="V50" s="65"/>
      <c r="W50" s="65"/>
      <c r="X50" s="65"/>
      <c r="Y50" s="92"/>
      <c r="Z50" s="93"/>
      <c r="AA50" s="93"/>
      <c r="AB50" s="93"/>
      <c r="AC50" s="92"/>
      <c r="AD50" s="93"/>
      <c r="AE50" s="93"/>
      <c r="AF50" s="93"/>
      <c r="AG50" s="92"/>
      <c r="AH50" s="92"/>
      <c r="AI50" s="93"/>
      <c r="AJ50" s="93"/>
      <c r="AK50" s="93"/>
      <c r="AL50" s="92"/>
      <c r="AM50" s="93"/>
      <c r="AN50" s="93"/>
      <c r="AO50" s="93"/>
    </row>
    <row r="51" ht="23.25" customHeight="1">
      <c r="A51" s="95" t="s">
        <v>1248</v>
      </c>
      <c r="B51" s="95" t="s">
        <v>1249</v>
      </c>
      <c r="E51" s="95" t="s">
        <v>1248</v>
      </c>
      <c r="F51" s="95" t="s">
        <v>1250</v>
      </c>
      <c r="I51" s="95" t="s">
        <v>1248</v>
      </c>
      <c r="J51" s="95" t="s">
        <v>1251</v>
      </c>
      <c r="M51" s="95" t="s">
        <v>1248</v>
      </c>
      <c r="N51" s="96" t="str">
        <f>IFERROR(__xludf.DUMMYFUNCTION("GOOGLETRANSLATE(B51,""zh-tw"",""zh"")"),"浴室相关")</f>
        <v>浴室相关</v>
      </c>
      <c r="Q51" s="95" t="s">
        <v>1248</v>
      </c>
      <c r="R51" s="95" t="s">
        <v>1252</v>
      </c>
      <c r="U51" s="95" t="s">
        <v>1248</v>
      </c>
      <c r="V51" s="95" t="s">
        <v>1253</v>
      </c>
      <c r="Y51" s="95" t="s">
        <v>1248</v>
      </c>
      <c r="Z51" s="95" t="s">
        <v>1254</v>
      </c>
      <c r="AC51" s="95" t="s">
        <v>1248</v>
      </c>
      <c r="AD51" s="95" t="s">
        <v>1255</v>
      </c>
      <c r="AG51" s="95" t="s">
        <v>1248</v>
      </c>
      <c r="AH51" s="95" t="s">
        <v>1256</v>
      </c>
      <c r="AK51" s="96" t="s">
        <v>1248</v>
      </c>
      <c r="AL51" s="95" t="s">
        <v>1257</v>
      </c>
      <c r="AO51" s="95"/>
    </row>
    <row r="52">
      <c r="A52" s="98">
        <v>1.0</v>
      </c>
      <c r="B52" s="99" t="s">
        <v>1258</v>
      </c>
      <c r="C52" s="100" t="s">
        <v>1259</v>
      </c>
      <c r="D52" s="101" t="s">
        <v>1260</v>
      </c>
      <c r="E52" s="98">
        <v>1.0</v>
      </c>
      <c r="F52" s="99" t="str">
        <f>IFERROR(__xludf.DUMMYFUNCTION("GOOGLETRANSLATE(B52,""zh-tw"",""ja"")"),"シャンプー")</f>
        <v>シャンプー</v>
      </c>
      <c r="G52" s="100" t="s">
        <v>1261</v>
      </c>
      <c r="H52" s="101" t="s">
        <v>1262</v>
      </c>
      <c r="I52" s="98">
        <v>1.0</v>
      </c>
      <c r="J52" s="99" t="str">
        <f>IFERROR(__xludf.DUMMYFUNCTION("GOOGLETRANSLATE(B52,""zh-tw"",""en"")"),"Shampoo")</f>
        <v>Shampoo</v>
      </c>
      <c r="K52" s="100" t="s">
        <v>1263</v>
      </c>
      <c r="L52" s="101" t="s">
        <v>1264</v>
      </c>
      <c r="M52" s="98">
        <v>1.0</v>
      </c>
      <c r="N52" s="99" t="str">
        <f>IFERROR(__xludf.DUMMYFUNCTION("GOOGLETRANSLATE(B52,""zh-tw"",""zh"")"),"洗发乳")</f>
        <v>洗发乳</v>
      </c>
      <c r="O52" s="103" t="str">
        <f>IFERROR(__xludf.DUMMYFUNCTION("GOOGLETRANSLATE(C52,""zh-tw"",""zh"")"),"洗澡大约7天会消耗光，并在不偷窥的情况下机率性触发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2" s="71" t="str">
        <f>IFERROR(__xludf.DUMMYFUNCTION("GOOGLETRANSLATE(D52,""zh-tw"",""zh"")"),"机率触发浴室摔倒事件")</f>
        <v>机率触发浴室摔倒事件</v>
      </c>
      <c r="Q52" s="98">
        <v>1.0</v>
      </c>
      <c r="R52" s="99" t="str">
        <f>IFERROR(__xludf.DUMMYFUNCTION("GOOGLETRANSLATE(B52,""zh-tw"",""es-MX"")"),"Champú")</f>
        <v>Champú</v>
      </c>
      <c r="S52" s="103" t="str">
        <f>IFERROR(__xludf.DUMMYFUNCTION("GOOGLETRANSLATE(C52,""zh-tw"",""es-MX"")"),"La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2" s="71" t="str">
        <f>IFERROR(__xludf.DUMMYFUNCTION("GOOGLETRANSLATE(D52,""zh-tw"",""es-MX"")"),"Posibilidad de provocar un resbalón y caída en el baño")</f>
        <v>Posibilidad de provocar un resbalón y caída en el baño</v>
      </c>
      <c r="U52" s="98">
        <v>1.0</v>
      </c>
      <c r="V52" s="102" t="str">
        <f>IFERROR(__xludf.DUMMYFUNCTION("GOOGLETRANSLATE(B52,""zh-tw"",""KO"")"),"샴푸")</f>
        <v>샴푸</v>
      </c>
      <c r="W52" s="103" t="str">
        <f>IFERROR(__xludf.DUMMYFUNCTION("GOOGLETRANSLATE(C52,""zh-tw"",""KO"")"),"목욕 능력은 약 7일 후에 모든 능력을 소모하며, 엿보지 않으면 발동될 확률이 있습니다.
형제가 혼자 목욕을 하면 더 일찍 사용할 수 있습니다.
아니면 속옷을 훔칠 때 발동될 확률이 있습니다.")</f>
        <v>목욕 능력은 약 7일 후에 모든 능력을 소모하며, 엿보지 않으면 발동될 확률이 있습니다.
형제가 혼자 목욕을 하면 더 일찍 사용할 수 있습니다.
아니면 속옷을 훔칠 때 발동될 확률이 있습니다.</v>
      </c>
      <c r="X52" s="71" t="str">
        <f>IFERROR(__xludf.DUMMYFUNCTION("GOOGLETRANSLATE(D52,""zh-tw"",""KO"")"),"욕실 미끄러짐 및 넘어짐 사고가 발생할 가능성")</f>
        <v>욕실 미끄러짐 및 넘어짐 사고가 발생할 가능성</v>
      </c>
      <c r="Y52" s="98">
        <v>1.0</v>
      </c>
      <c r="Z52" s="104" t="str">
        <f>IFERROR(__xludf.DUMMYFUNCTION("GOOGLETRANSLATE(B52,""zh-tw"",""ru"")"),"Шампунь")</f>
        <v>Шампунь</v>
      </c>
      <c r="AA52" s="114" t="s">
        <v>1265</v>
      </c>
      <c r="AB52" s="111" t="s">
        <v>1266</v>
      </c>
      <c r="AC52" s="98">
        <v>1.0</v>
      </c>
      <c r="AD52" s="99" t="s">
        <v>1267</v>
      </c>
      <c r="AE52" s="100" t="s">
        <v>1268</v>
      </c>
      <c r="AF52" s="101" t="s">
        <v>1269</v>
      </c>
      <c r="AG52" s="98">
        <v>1.0</v>
      </c>
      <c r="AH52" s="106" t="s">
        <v>1270</v>
      </c>
      <c r="AI52" s="100" t="s">
        <v>1271</v>
      </c>
      <c r="AJ52" s="101" t="s">
        <v>1272</v>
      </c>
      <c r="AK52" s="98">
        <v>1.0</v>
      </c>
      <c r="AL52" s="107" t="s">
        <v>1267</v>
      </c>
      <c r="AM52" s="108" t="s">
        <v>1273</v>
      </c>
      <c r="AN52" s="67" t="s">
        <v>1274</v>
      </c>
      <c r="AO52" s="101"/>
    </row>
    <row r="53">
      <c r="A53" s="121">
        <v>2.0</v>
      </c>
      <c r="B53" s="99" t="s">
        <v>1275</v>
      </c>
      <c r="C53" s="100" t="s">
        <v>1276</v>
      </c>
      <c r="D53" s="101" t="s">
        <v>1277</v>
      </c>
      <c r="E53" s="121">
        <v>2.0</v>
      </c>
      <c r="F53" s="99" t="s">
        <v>1278</v>
      </c>
      <c r="G53" s="100" t="s">
        <v>1279</v>
      </c>
      <c r="H53" s="101" t="s">
        <v>1280</v>
      </c>
      <c r="I53" s="121">
        <v>2.0</v>
      </c>
      <c r="J53" s="99" t="s">
        <v>1281</v>
      </c>
      <c r="K53" s="100" t="s">
        <v>1282</v>
      </c>
      <c r="L53" s="101" t="s">
        <v>1283</v>
      </c>
      <c r="M53" s="121">
        <v>2.0</v>
      </c>
      <c r="N53" s="99" t="str">
        <f>IFERROR(__xludf.DUMMYFUNCTION("GOOGLETRANSLATE(B53,""zh-tw"",""zh"")"),"要等妹妹洗澡吗")</f>
        <v>要等妹妹洗澡吗</v>
      </c>
      <c r="O53" s="103" t="str">
        <f>IFERROR(__xludf.DUMMYFUNCTION("GOOGLETRANSLATE(C53,""zh-tw"",""zh"")"),"当哥哥性欲足够时，独自洗澡后可以前往潜入洗面所")</f>
        <v>当哥哥性欲足够时，独自洗澡后可以前往潜入洗面所</v>
      </c>
      <c r="P53" s="71" t="str">
        <f>IFERROR(__xludf.DUMMYFUNCTION("GOOGLETRANSLATE(D53,""zh-tw"",""zh"")"),"出现前往的选项
1.现在就去
2.再等会
3.算了吧")</f>
        <v>出现前往的选项
1.现在就去
2.再等会
3.算了吧</v>
      </c>
      <c r="Q53" s="121">
        <v>2.0</v>
      </c>
      <c r="R53" s="99" t="s">
        <v>1284</v>
      </c>
      <c r="S53" s="103" t="s">
        <v>1285</v>
      </c>
      <c r="T53" s="71" t="s">
        <v>1286</v>
      </c>
      <c r="U53" s="121">
        <v>2.0</v>
      </c>
      <c r="V53" s="102" t="str">
        <f>IFERROR(__xludf.DUMMYFUNCTION("GOOGLETRANSLATE(B53,""zh-tw"",""KO"")"),"언니가 목욕할 때까지 기다려야 하나요?")</f>
        <v>언니가 목욕할 때까지 기다려야 하나요?</v>
      </c>
      <c r="W53" s="103" t="str">
        <f>IFERROR(__xludf.DUMMYFUNCTION("GOOGLETRANSLATE(C53,""zh-tw"",""KO"")"),"형의 성욕이 충분하면, 혼자 목욕을 한 뒤 목욕탕에 갈 수도 있다.")</f>
        <v>형의 성욕이 충분하면, 혼자 목욕을 한 뒤 목욕탕에 갈 수도 있다.</v>
      </c>
      <c r="X53" s="71" t="str">
        <f>IFERROR(__xludf.DUMMYFUNCTION("GOOGLETRANSLATE(D53,""zh-tw"",""KO"")"),"다음 옵션이 나타납니다.
1. 지금 시작
2. 잠시 기다리기
3. 잊어버리기")</f>
        <v>다음 옵션이 나타납니다.
1. 지금 시작
2. 잠시 기다리기
3. 잊어버리기</v>
      </c>
      <c r="Y53" s="121">
        <v>2.0</v>
      </c>
      <c r="Z53" s="116" t="str">
        <f>IFERROR(__xludf.DUMMYFUNCTION("IF(J53="""", """", GOOGLETRANSLATE(
J53,""en"",""ru""))"),"Подождать, пока Имото закончит купаться?")</f>
        <v>Подождать, пока Имото закончит купаться?</v>
      </c>
      <c r="AA53" s="117" t="str">
        <f>IFERROR(__xludf.DUMMYFUNCTION("IF(K53="""", """", GOOGLETRANSLATE(K53,""en"",""RU""))"),"Когда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3" s="64" t="str">
        <f>IFERROR(__xludf.DUMMYFUNCTION("IF(L53="""", """", GOOGLETRANSLATE(L53, ""en"", ""ru""))
"),"Появятся следующие варианты:
1. Идти сейчас!
2. Подождать ещё
3. Забыть")</f>
        <v>Появятся следующие варианты:
1. Идти сейчас!
2. Подождать ещё
3. Забыть</v>
      </c>
      <c r="AC53" s="121">
        <v>2.0</v>
      </c>
      <c r="AD53" s="99" t="s">
        <v>1287</v>
      </c>
      <c r="AE53" s="100" t="s">
        <v>1288</v>
      </c>
      <c r="AF53" s="101" t="s">
        <v>1289</v>
      </c>
      <c r="AG53" s="121">
        <v>2.0</v>
      </c>
      <c r="AH53" s="106" t="s">
        <v>1290</v>
      </c>
      <c r="AI53" s="100" t="s">
        <v>1291</v>
      </c>
      <c r="AJ53" s="101" t="s">
        <v>1292</v>
      </c>
      <c r="AK53" s="98">
        <v>2.0</v>
      </c>
      <c r="AL53" s="107" t="s">
        <v>1293</v>
      </c>
      <c r="AM53" s="108" t="s">
        <v>1294</v>
      </c>
      <c r="AN53" s="67" t="s">
        <v>1295</v>
      </c>
      <c r="AO53" s="101"/>
    </row>
    <row r="54">
      <c r="A54" s="98">
        <v>3.0</v>
      </c>
      <c r="B54" s="99" t="s">
        <v>1296</v>
      </c>
      <c r="C54" s="100" t="s">
        <v>1297</v>
      </c>
      <c r="D54" s="101" t="s">
        <v>1298</v>
      </c>
      <c r="E54" s="98">
        <v>3.0</v>
      </c>
      <c r="F54" s="99" t="s">
        <v>1299</v>
      </c>
      <c r="G54" s="100" t="s">
        <v>1300</v>
      </c>
      <c r="H54" s="101" t="s">
        <v>1301</v>
      </c>
      <c r="I54" s="98">
        <v>3.0</v>
      </c>
      <c r="J54" s="99" t="s">
        <v>1302</v>
      </c>
      <c r="K54" s="100" t="s">
        <v>1303</v>
      </c>
      <c r="L54" s="101" t="s">
        <v>1304</v>
      </c>
      <c r="M54" s="98">
        <v>3.0</v>
      </c>
      <c r="N54" s="99" t="str">
        <f>IFERROR(__xludf.DUMMYFUNCTION("GOOGLETRANSLATE(B54,""zh-tw"",""zh"")"),"现在就去-1")</f>
        <v>现在就去-1</v>
      </c>
      <c r="O54" s="103" t="str">
        <f>IFERROR(__xludf.DUMMYFUNCTION("GOOGLETRANSLATE(C54,""zh-tw"",""zh"")"),"触发偷窥换衣事件，拉门越大越容易被发现")</f>
        <v>触发偷窥换衣事件，拉门越大越容易被发现</v>
      </c>
      <c r="P54" s="71" t="str">
        <f>IFERROR(__xludf.DUMMYFUNCTION("GOOGLETRANSLATE(D54,""zh-tw"",""zh"")"),"1.安全潜入洗面所
2.被妹妹发现")</f>
        <v>1.安全潜入洗面所
2.被妹妹发现</v>
      </c>
      <c r="Q54" s="98">
        <v>3.0</v>
      </c>
      <c r="R54" s="99" t="s">
        <v>1305</v>
      </c>
      <c r="S54" s="103" t="s">
        <v>1306</v>
      </c>
      <c r="T54" s="71" t="s">
        <v>1307</v>
      </c>
      <c r="U54" s="98">
        <v>3.0</v>
      </c>
      <c r="V54" s="102" t="str">
        <f>IFERROR(__xludf.DUMMYFUNCTION("GOOGLETRANSLATE(B54,""zh-tw"",""KO"")"),"지금 -1로 이동")</f>
        <v>지금 -1로 이동</v>
      </c>
      <c r="W54" s="103" t="str">
        <f>IFERROR(__xludf.DUMMYFUNCTION("GOOGLETRANSLATE(C54,""zh-tw"",""KO"")"),"슬라이딩 도어가 클수록 누군가 옷을 갈아입을 때 엿볼 때 발견되기 쉽습니다.")</f>
        <v>슬라이딩 도어가 클수록 누군가 옷을 갈아입을 때 엿볼 때 발견되기 쉽습니다.</v>
      </c>
      <c r="X54" s="71" t="str">
        <f>IFERROR(__xludf.DUMMYFUNCTION("GOOGLETRANSLATE(D54,""zh-tw"",""KO"")"),"1. 얼굴 치료 센터에 성공적으로 침투했습니다.
2. 여동생에게 발각되었습니다.")</f>
        <v>1. 얼굴 치료 센터에 성공적으로 침투했습니다.
2. 여동생에게 발각되었습니다.</v>
      </c>
      <c r="Y54" s="98">
        <v>3.0</v>
      </c>
      <c r="Z54" s="116" t="str">
        <f>IFERROR(__xludf.DUMMYFUNCTION("IF(J54="""", """", GOOGLETRANSLATE(
J54,""en"",""ru""))"),"Иди сейчас! - 1")</f>
        <v>Иди сейчас! - 1</v>
      </c>
      <c r="AA54" s="117" t="str">
        <f>IFERROR(__xludf.DUMMYFUNCTION("IF(K54="""", """", GOOGLETRANSLATE(K54,""en"",""RU""))"),"Запускает событие «Подглядывание». Если вы выберете «Уходи!», вы сможете подглядывать за Имото, пока она раздевается. Чем чаще вы открываете дверь, тем выше вероятность, что она вас заметит.")</f>
        <v>Запускает событие «Подглядывание». Если вы выберете «Уходи!», вы сможете подглядывать за Имото, пока она раздевается. Чем чаще вы открываете дверь, тем выше вероятность, что она вас заметит.</v>
      </c>
      <c r="AB54" s="64" t="str">
        <f>IFERROR(__xludf.DUMMYFUNCTION("IF(L54="""", """", GOOGLETRANSLATE(L54, ""en"", ""ru""))
"),"Будет два исхода:
1. Благополучно пробрались в туалет.
2. Пойманы Имото.")</f>
        <v>Будет два исхода:
1. Благополучно пробрались в туалет.
2. Пойманы Имото.</v>
      </c>
      <c r="AC54" s="98">
        <v>3.0</v>
      </c>
      <c r="AD54" s="99" t="s">
        <v>1308</v>
      </c>
      <c r="AE54" s="100" t="s">
        <v>1309</v>
      </c>
      <c r="AF54" s="101" t="s">
        <v>1310</v>
      </c>
      <c r="AG54" s="98">
        <v>3.0</v>
      </c>
      <c r="AH54" s="106" t="s">
        <v>1311</v>
      </c>
      <c r="AI54" s="100" t="s">
        <v>1312</v>
      </c>
      <c r="AJ54" s="101" t="s">
        <v>1313</v>
      </c>
      <c r="AK54" s="98">
        <v>3.0</v>
      </c>
      <c r="AL54" s="107" t="s">
        <v>1314</v>
      </c>
      <c r="AM54" s="108" t="s">
        <v>1315</v>
      </c>
      <c r="AN54" s="67" t="s">
        <v>1316</v>
      </c>
      <c r="AO54" s="101"/>
    </row>
    <row r="55">
      <c r="A55" s="98">
        <v>4.0</v>
      </c>
      <c r="B55" s="99" t="s">
        <v>1317</v>
      </c>
      <c r="C55" s="100" t="s">
        <v>1318</v>
      </c>
      <c r="D55" s="101" t="s">
        <v>1319</v>
      </c>
      <c r="E55" s="98">
        <v>4.0</v>
      </c>
      <c r="F55" s="99" t="s">
        <v>1320</v>
      </c>
      <c r="G55" s="100" t="s">
        <v>1321</v>
      </c>
      <c r="H55" s="101" t="s">
        <v>1322</v>
      </c>
      <c r="I55" s="98">
        <v>4.0</v>
      </c>
      <c r="J55" s="99" t="s">
        <v>1323</v>
      </c>
      <c r="K55" s="100" t="s">
        <v>1324</v>
      </c>
      <c r="L55" s="101" t="s">
        <v>1325</v>
      </c>
      <c r="M55" s="98">
        <v>4.0</v>
      </c>
      <c r="N55" s="99" t="str">
        <f>IFERROR(__xludf.DUMMYFUNCTION("GOOGLETRANSLATE(B55,""zh-tw"",""zh"")"),"现在就去-2")</f>
        <v>现在就去-2</v>
      </c>
      <c r="O55" s="103" t="str">
        <f>IFERROR(__xludf.DUMMYFUNCTION("GOOGLETRANSLATE(C55,""zh-tw"",""zh"")"),"触发偷窥换衣事件，当好感度高于2时，拉门未完全开启，可触发被发现的选项")</f>
        <v>触发偷窥换衣事件，当好感度高于2时，拉门未完全开启，可触发被发现的选项</v>
      </c>
      <c r="P55" s="71" t="str">
        <f>IFERROR(__xludf.DUMMYFUNCTION("GOOGLETRANSLATE(D55,""zh-tw"",""zh"")"),"出现三个选项(包含-让我看看)")</f>
        <v>出现三个选项(包含-让我看看)</v>
      </c>
      <c r="Q55" s="98">
        <v>4.0</v>
      </c>
      <c r="R55" s="99" t="s">
        <v>1326</v>
      </c>
      <c r="S55" s="103" t="s">
        <v>1327</v>
      </c>
      <c r="T55" s="71" t="s">
        <v>1328</v>
      </c>
      <c r="U55" s="98">
        <v>4.0</v>
      </c>
      <c r="V55" s="102" t="str">
        <f>IFERROR(__xludf.DUMMYFUNCTION("GOOGLETRANSLATE(B55,""zh-tw"",""KO"")"),"지금 -2로 가세요")</f>
        <v>지금 -2로 가세요</v>
      </c>
      <c r="W55" s="103" t="str">
        <f>IFERROR(__xludf.DUMMYFUNCTION("GOOGLETRANSLATE(C55,""zh-tw"",""KO"")"),"옷을 갈아입을 때 엿보는 사건 유발: 애정 레벨이 2 이상이고 슬라이딩 도어가 완전히 열리지 않은 경우, 발견 옵션이 유발될 수 있습니다.")</f>
        <v>옷을 갈아입을 때 엿보는 사건 유발: 애정 레벨이 2 이상이고 슬라이딩 도어가 완전히 열리지 않은 경우, 발견 옵션이 유발될 수 있습니다.</v>
      </c>
      <c r="X55" s="71" t="str">
        <f>IFERROR(__xludf.DUMMYFUNCTION("GOOGLETRANSLATE(D55,""zh-tw"",""KO"")"),"세 가지 옵션이 나타납니다(""한번 살펴보겠습니다"" 포함).")</f>
        <v>세 가지 옵션이 나타납니다("한번 살펴보겠습니다" 포함).</v>
      </c>
      <c r="Y55" s="98">
        <v>4.0</v>
      </c>
      <c r="Z55" s="116" t="str">
        <f>IFERROR(__xludf.DUMMYFUNCTION("IF(J55="""", """", GOOGLETRANSLATE(
J55,""en"",""ru""))"),"Иди сейчас! - 2")</f>
        <v>Иди сейчас! - 2</v>
      </c>
      <c r="AA55" s="117" t="str">
        <f>IFERROR(__xludf.DUMMYFUNCTION("IF(K55="""", """", GOOGLETRANSLATE(K55,""en"",""RU""))"),"То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5" s="64" t="str">
        <f>IFERROR(__xludf.DUMMYFUNCTION("IF(L55="""", """", GOOGLETRANSLATE(L55,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5" s="98">
        <v>4.0</v>
      </c>
      <c r="AD55" s="99" t="s">
        <v>1329</v>
      </c>
      <c r="AE55" s="100" t="s">
        <v>1330</v>
      </c>
      <c r="AF55" s="101" t="s">
        <v>1331</v>
      </c>
      <c r="AG55" s="98">
        <v>4.0</v>
      </c>
      <c r="AH55" s="106" t="s">
        <v>1332</v>
      </c>
      <c r="AI55" s="100" t="s">
        <v>1333</v>
      </c>
      <c r="AJ55" s="101" t="s">
        <v>1334</v>
      </c>
      <c r="AK55" s="98">
        <v>4.0</v>
      </c>
      <c r="AL55" s="107" t="s">
        <v>1335</v>
      </c>
      <c r="AM55" s="115" t="s">
        <v>1336</v>
      </c>
      <c r="AN55" s="67" t="s">
        <v>1337</v>
      </c>
      <c r="AO55" s="101"/>
    </row>
    <row r="56">
      <c r="A56" s="121">
        <v>5.0</v>
      </c>
      <c r="B56" s="99" t="s">
        <v>1338</v>
      </c>
      <c r="C56" s="100" t="s">
        <v>1339</v>
      </c>
      <c r="D56" s="101" t="s">
        <v>1340</v>
      </c>
      <c r="E56" s="121">
        <v>5.0</v>
      </c>
      <c r="F56" s="99" t="s">
        <v>1341</v>
      </c>
      <c r="G56" s="100" t="s">
        <v>1342</v>
      </c>
      <c r="H56" s="101" t="s">
        <v>1343</v>
      </c>
      <c r="I56" s="121">
        <v>5.0</v>
      </c>
      <c r="J56" s="99" t="s">
        <v>1344</v>
      </c>
      <c r="K56" s="100" t="s">
        <v>1345</v>
      </c>
      <c r="L56" s="101" t="s">
        <v>1346</v>
      </c>
      <c r="M56" s="121">
        <v>5.0</v>
      </c>
      <c r="N56" s="99" t="str">
        <f>IFERROR(__xludf.DUMMYFUNCTION("GOOGLETRANSLATE(B56,""zh-tw"",""zh"")"),"现在就去-3")</f>
        <v>现在就去-3</v>
      </c>
      <c r="O56" s="103" t="str">
        <f>IFERROR(__xludf.DUMMYFUNCTION("GOOGLETRANSLATE(C56,""zh-tw"",""zh"")"),"触发偷窥换衣事件，当好感度高于2时，拉门未完全开启，(出现三个选项都不选)，此时点击""鼠标右键""，即出现特殊选项")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6" s="71" t="str">
        <f>IFERROR(__xludf.DUMMYFUNCTION("GOOGLETRANSLATE(D56,""zh-tw"",""zh"")"),"出现特殊选项")</f>
        <v>出现特殊选项</v>
      </c>
      <c r="Q56" s="121">
        <v>5.0</v>
      </c>
      <c r="R56" s="99" t="s">
        <v>1347</v>
      </c>
      <c r="S56" s="103" t="s">
        <v>1348</v>
      </c>
      <c r="T56" s="71" t="s">
        <v>1349</v>
      </c>
      <c r="U56" s="121">
        <v>5.0</v>
      </c>
      <c r="V56" s="102" t="str">
        <f>IFERROR(__xludf.DUMMYFUNCTION("GOOGLETRANSLATE(B56,""zh-tw"",""KO"")"),"지금 -3으로 가세요")</f>
        <v>지금 -3으로 가세요</v>
      </c>
      <c r="W56" s="103" t="str">
        <f>IFERROR(__xludf.DUMMYFUNCTION("GOOGLETRANSLATE(C56,""zh-tw"",""KO"")"),"옷을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6" s="71" t="str">
        <f>IFERROR(__xludf.DUMMYFUNCTION("GOOGLETRANSLATE(D56,""zh-tw"",""KO"")"),"특별 옵션이 나타납니다")</f>
        <v>특별 옵션이 나타납니다</v>
      </c>
      <c r="Y56" s="121">
        <v>5.0</v>
      </c>
      <c r="Z56" s="116" t="str">
        <f>IFERROR(__xludf.DUMMYFUNCTION("IF(J56="""", """", GOOGLETRANSLATE(
J56,""en"",""ru""))"),"Иди сейчас! - 3")</f>
        <v>Иди сейчас! - 3</v>
      </c>
      <c r="AA56" s="117" t="str">
        <f>IFERROR(__xludf.DUMMYFUNCTION("IF(K56="""", """", GOOGLETRANSLATE(K56,""en"",""RU""))"),"То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6" s="64" t="str">
        <f>IFERROR(__xludf.DUMMYFUNCTION("IF(L56="""", """", GOOGLETRANSLATE(L56, ""en"", ""ru""))
"),"Появляется скрытый вариант:
Крайний вариант")</f>
        <v>Появляется скрытый вариант:
Крайний вариант</v>
      </c>
      <c r="AC56" s="121">
        <v>5.0</v>
      </c>
      <c r="AD56" s="99" t="s">
        <v>1350</v>
      </c>
      <c r="AE56" s="100" t="s">
        <v>1351</v>
      </c>
      <c r="AF56" s="101" t="s">
        <v>1352</v>
      </c>
      <c r="AG56" s="121">
        <v>5.0</v>
      </c>
      <c r="AH56" s="106" t="s">
        <v>1353</v>
      </c>
      <c r="AI56" s="100" t="s">
        <v>1354</v>
      </c>
      <c r="AJ56" s="101" t="s">
        <v>1355</v>
      </c>
      <c r="AK56" s="98">
        <v>5.0</v>
      </c>
      <c r="AL56" s="107" t="s">
        <v>1356</v>
      </c>
      <c r="AM56" s="108" t="s">
        <v>1357</v>
      </c>
      <c r="AN56" s="67" t="s">
        <v>1358</v>
      </c>
      <c r="AO56" s="101"/>
    </row>
    <row r="57">
      <c r="A57" s="98">
        <v>6.0</v>
      </c>
      <c r="B57" s="99" t="s">
        <v>1359</v>
      </c>
      <c r="C57" s="100" t="s">
        <v>1360</v>
      </c>
      <c r="D57" s="101" t="s">
        <v>1361</v>
      </c>
      <c r="E57" s="98">
        <v>6.0</v>
      </c>
      <c r="F57" s="99" t="s">
        <v>1362</v>
      </c>
      <c r="G57" s="100" t="s">
        <v>1363</v>
      </c>
      <c r="H57" s="101" t="s">
        <v>1364</v>
      </c>
      <c r="I57" s="98">
        <v>6.0</v>
      </c>
      <c r="J57" s="99" t="s">
        <v>1365</v>
      </c>
      <c r="K57" s="100" t="s">
        <v>1366</v>
      </c>
      <c r="L57" s="101" t="s">
        <v>1367</v>
      </c>
      <c r="M57" s="98">
        <v>6.0</v>
      </c>
      <c r="N57" s="99" t="str">
        <f>IFERROR(__xludf.DUMMYFUNCTION("GOOGLETRANSLATE(B57,""zh-tw"",""zh"")"),"现在就去-4")</f>
        <v>现在就去-4</v>
      </c>
      <c r="O57" s="103" t="str">
        <f>IFERROR(__xludf.DUMMYFUNCTION("GOOGLETRANSLATE(C57,""zh-tw"",""zh"")"),"触发偷窥换衣事件，拉门完全开启，触发唯一选项")</f>
        <v>触发偷窥换衣事件，拉门完全开启，触发唯一选项</v>
      </c>
      <c r="P57" s="71" t="str">
        <f>IFERROR(__xludf.DUMMYFUNCTION("GOOGLETRANSLATE(D57,""zh-tw"",""zh"")"),"触发黑色选项(让我看看)")</f>
        <v>触发黑色选项(让我看看)</v>
      </c>
      <c r="Q57" s="98">
        <v>6.0</v>
      </c>
      <c r="R57" s="99" t="s">
        <v>1368</v>
      </c>
      <c r="S57" s="103" t="s">
        <v>1369</v>
      </c>
      <c r="T57" s="71" t="s">
        <v>1370</v>
      </c>
      <c r="U57" s="98">
        <v>6.0</v>
      </c>
      <c r="V57" s="102" t="str">
        <f>IFERROR(__xludf.DUMMYFUNCTION("GOOGLETRANSLATE(B57,""zh-tw"",""KO"")"),"지금 -4로 가세요")</f>
        <v>지금 -4로 가세요</v>
      </c>
      <c r="W57" s="103" t="str">
        <f>IFERROR(__xludf.DUMMYFUNCTION("GOOGLETRANSLATE(C57,""zh-tw"",""KO"")"),"옷을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7" s="71" t="str">
        <f>IFERROR(__xludf.DUMMYFUNCTION("GOOGLETRANSLATE(D57,""zh-tw"",""KO"")"),"검은색 옵션을 선택합니다(확인해 보겠습니다).")</f>
        <v>검은색 옵션을 선택합니다(확인해 보겠습니다).</v>
      </c>
      <c r="Y57" s="98">
        <v>6.0</v>
      </c>
      <c r="Z57" s="116" t="str">
        <f>IFERROR(__xludf.DUMMYFUNCTION("IF(J57="""", """", GOOGLETRANSLATE(
J57,""en"",""ru""))"),"Иди сейчас! - 4")</f>
        <v>Иди сейчас! - 4</v>
      </c>
      <c r="AA57" s="117" t="str">
        <f>IFERROR(__xludf.DUMMYFUNCTION("IF(K57="""", """", GOOGLETRANSLATE(K57,""en"",""RU""))"),"То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7" s="64" t="str">
        <f>IFERROR(__xludf.DUMMYFUNCTION("IF(L57="""", """", GOOGLETRANSLATE(L57, ""en"", ""ru""))
"),"Появится только один вариант:
Дай посмотреть!")</f>
        <v>Появится только один вариант:
Дай посмотреть!</v>
      </c>
      <c r="AC57" s="98">
        <v>6.0</v>
      </c>
      <c r="AD57" s="99" t="s">
        <v>1371</v>
      </c>
      <c r="AE57" s="100" t="s">
        <v>1372</v>
      </c>
      <c r="AF57" s="101" t="s">
        <v>1373</v>
      </c>
      <c r="AG57" s="98">
        <v>6.0</v>
      </c>
      <c r="AH57" s="106" t="s">
        <v>1374</v>
      </c>
      <c r="AI57" s="100" t="s">
        <v>1375</v>
      </c>
      <c r="AJ57" s="101" t="s">
        <v>1376</v>
      </c>
      <c r="AK57" s="98">
        <v>6.0</v>
      </c>
      <c r="AL57" s="107" t="s">
        <v>1377</v>
      </c>
      <c r="AM57" s="108" t="s">
        <v>1378</v>
      </c>
      <c r="AN57" s="67" t="s">
        <v>1379</v>
      </c>
      <c r="AO57" s="101"/>
    </row>
    <row r="58">
      <c r="A58" s="98">
        <v>7.0</v>
      </c>
      <c r="B58" s="99" t="s">
        <v>1380</v>
      </c>
      <c r="C58" s="109" t="s">
        <v>1381</v>
      </c>
      <c r="D58" s="69" t="s">
        <v>1382</v>
      </c>
      <c r="E58" s="98">
        <v>7.0</v>
      </c>
      <c r="F58" s="112" t="s">
        <v>1383</v>
      </c>
      <c r="G58" s="109" t="s">
        <v>1384</v>
      </c>
      <c r="H58" s="69" t="s">
        <v>1385</v>
      </c>
      <c r="I58" s="98">
        <v>7.0</v>
      </c>
      <c r="J58" s="112" t="s">
        <v>1386</v>
      </c>
      <c r="K58" s="109" t="s">
        <v>1387</v>
      </c>
      <c r="L58" s="69" t="s">
        <v>1388</v>
      </c>
      <c r="M58" s="98">
        <v>7.0</v>
      </c>
      <c r="N58" s="99" t="str">
        <f>IFERROR(__xludf.DUMMYFUNCTION("GOOGLETRANSLATE(B58,""zh-tw"",""zh"")"),"现在就去-5")</f>
        <v>现在就去-5</v>
      </c>
      <c r="O58" s="103" t="str">
        <f>IFERROR(__xludf.DUMMYFUNCTION("GOOGLETRANSLATE(C58,""zh-tw"",""zh"")"),"同上，拉门完全开启后，马上将门再次关闭")</f>
        <v>同上，拉门完全开启后，马上将门再次关闭</v>
      </c>
      <c r="P58" s="71" t="str">
        <f>IFERROR(__xludf.DUMMYFUNCTION("GOOGLETRANSLATE(D58,""zh-tw"",""zh"")"),"触发不同的对话
出现三个选项(包含-让我看看)")</f>
        <v>触发不同的对话
出现三个选项(包含-让我看看)</v>
      </c>
      <c r="Q58" s="98">
        <v>7.0</v>
      </c>
      <c r="R58" s="99"/>
      <c r="S58" s="103"/>
      <c r="T58" s="71"/>
      <c r="U58" s="98">
        <v>7.0</v>
      </c>
      <c r="V58" s="102" t="str">
        <f>IFERROR(__xludf.DUMMYFUNCTION("GOOGLETRANSLATE(B58,""zh-tw"",""KO"")"),"지금 -5로 가세요")</f>
        <v>지금 -5로 가세요</v>
      </c>
      <c r="W58" s="103" t="str">
        <f>IFERROR(__xludf.DUMMYFUNCTION("GOOGLETRANSLATE(C58,""zh-tw"",""KO"")"),"위와 같이 슬라이딩 도어가 완전히 열린 후 즉시 다시 닫으세요.")</f>
        <v>위와 같이 슬라이딩 도어가 완전히 열린 후 즉시 다시 닫으세요.</v>
      </c>
      <c r="X58" s="71" t="str">
        <f>IFERROR(__xludf.DUMMYFUNCTION("GOOGLETRANSLATE(D58,""zh-tw"",""KO"")"),"이렇게 하면 다양한 대화가 시작되고 세 가지 옵션(""한번 살펴보겠습니다"" 포함)이 제시됩니다.")</f>
        <v>이렇게 하면 다양한 대화가 시작되고 세 가지 옵션("한번 살펴보겠습니다" 포함)이 제시됩니다.</v>
      </c>
      <c r="Y58" s="98">
        <v>7.0</v>
      </c>
      <c r="Z58" s="116" t="str">
        <f>IFERROR(__xludf.DUMMYFUNCTION("IF(J58="""", """", GOOGLETRANSLATE(
J58,""en"",""ru""))"),"Иди сейчас! - 5")</f>
        <v>Иди сейчас! - 5</v>
      </c>
      <c r="AA58" s="117" t="str">
        <f>IFERROR(__xludf.DUMMYFUNCTION("IF(K58="""", """", GOOGLETRANSLATE(K58,""en"",""RU""))"),"То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8" s="64" t="str">
        <f>IFERROR(__xludf.DUMMYFUNCTION("IF(L58="""", """", GOOGLETRANSLATE(L58, ""en"", ""ru""))
"),"Открывает другой диалог. Появятся три варианта.")</f>
        <v>Открывает другой диалог. Появятся три варианта.</v>
      </c>
      <c r="AC58" s="98">
        <v>7.0</v>
      </c>
      <c r="AD58" s="112" t="s">
        <v>1389</v>
      </c>
      <c r="AE58" s="109" t="s">
        <v>1390</v>
      </c>
      <c r="AF58" s="69" t="s">
        <v>1391</v>
      </c>
      <c r="AG58" s="98">
        <v>7.0</v>
      </c>
      <c r="AH58" s="106" t="s">
        <v>1392</v>
      </c>
      <c r="AI58" s="100" t="s">
        <v>1393</v>
      </c>
      <c r="AJ58" s="101" t="s">
        <v>1394</v>
      </c>
      <c r="AK58" s="98">
        <v>7.0</v>
      </c>
      <c r="AL58" s="107" t="s">
        <v>1395</v>
      </c>
      <c r="AM58" s="108" t="s">
        <v>1396</v>
      </c>
      <c r="AN58" s="67" t="s">
        <v>1397</v>
      </c>
      <c r="AO58" s="69"/>
    </row>
    <row r="59">
      <c r="A59" s="121">
        <v>8.0</v>
      </c>
      <c r="B59" s="99" t="s">
        <v>1398</v>
      </c>
      <c r="C59" s="109" t="s">
        <v>1399</v>
      </c>
      <c r="D59" s="101" t="s">
        <v>1400</v>
      </c>
      <c r="E59" s="121">
        <v>8.0</v>
      </c>
      <c r="F59" s="99" t="s">
        <v>1401</v>
      </c>
      <c r="G59" s="100" t="s">
        <v>1402</v>
      </c>
      <c r="H59" s="101" t="s">
        <v>1403</v>
      </c>
      <c r="I59" s="121">
        <v>8.0</v>
      </c>
      <c r="J59" s="99" t="s">
        <v>1404</v>
      </c>
      <c r="K59" s="100" t="s">
        <v>1405</v>
      </c>
      <c r="L59" s="101" t="s">
        <v>1406</v>
      </c>
      <c r="M59" s="121">
        <v>8.0</v>
      </c>
      <c r="N59" s="99" t="str">
        <f>IFERROR(__xludf.DUMMYFUNCTION("GOOGLETRANSLATE(B59,""zh-tw"",""zh"")"),"让我看看...-1")</f>
        <v>让我看看...-1</v>
      </c>
      <c r="O59" s="103" t="str">
        <f>IFERROR(__xludf.DUMMYFUNCTION("GOOGLETRANSLATE(C59,""zh-tw"",""zh"")"),"被妹妹拒绝")</f>
        <v>被妹妹拒绝</v>
      </c>
      <c r="P59" s="71" t="str">
        <f>IFERROR(__xludf.DUMMYFUNCTION("GOOGLETRANSLATE(D59,""zh-tw"",""zh"")"),"哥哥是笨蛋！")</f>
        <v>哥哥是笨蛋！</v>
      </c>
      <c r="Q59" s="121">
        <v>8.0</v>
      </c>
      <c r="R59" s="99" t="s">
        <v>1407</v>
      </c>
      <c r="S59" s="103" t="s">
        <v>1408</v>
      </c>
      <c r="T59" s="71" t="s">
        <v>1409</v>
      </c>
      <c r="U59" s="121">
        <v>8.0</v>
      </c>
      <c r="V59" s="102" t="str">
        <f>IFERROR(__xludf.DUMMYFUNCTION("GOOGLETRANSLATE(B59,""zh-tw"",""KO"")"),"한번 보자...-1")</f>
        <v>한번 보자...-1</v>
      </c>
      <c r="W59" s="103" t="str">
        <f>IFERROR(__xludf.DUMMYFUNCTION("GOOGLETRANSLATE(C59,""zh-tw"",""KO"")"),"언니에게 거절당함")</f>
        <v>언니에게 거절당함</v>
      </c>
      <c r="X59" s="71" t="str">
        <f>IFERROR(__xludf.DUMMYFUNCTION("GOOGLETRANSLATE(D59,""zh-tw"",""KO"")"),"내 동생은 바보야!")</f>
        <v>내 동생은 바보야!</v>
      </c>
      <c r="Y59" s="121">
        <v>8.0</v>
      </c>
      <c r="Z59" s="116" t="str">
        <f>IFERROR(__xludf.DUMMYFUNCTION("IF(J59="""", """", GOOGLETRANSLATE(
J59,""en"",""ru""))"),"Дай-ка подумать... - 1")</f>
        <v>Дай-ка подумать... - 1</v>
      </c>
      <c r="AA59" s="117" t="str">
        <f>IFERROR(__xludf.DUMMYFUNCTION("IF(K59="""", """", GOOGLETRANSLATE(K59,""en"",""RU""))"),"Если ваша благосклонность ниже 2, вам будет отказано.")</f>
        <v>Если ваша благосклонность ниже 2, вам будет отказано.</v>
      </c>
      <c r="AB59" s="64" t="str">
        <f>IFERROR(__xludf.DUMMYFUNCTION("IF(L59="""", """", GOOGLETRANSLATE(L59, ""en"", ""ru""))
"),"Братик, ты бака!! (бака = идиот/дурак)")</f>
        <v>Братик, ты бака!! (бака = идиот/дурак)</v>
      </c>
      <c r="AC59" s="121">
        <v>8.0</v>
      </c>
      <c r="AD59" s="99" t="s">
        <v>1410</v>
      </c>
      <c r="AE59" s="100" t="s">
        <v>1411</v>
      </c>
      <c r="AF59" s="101" t="s">
        <v>1412</v>
      </c>
      <c r="AG59" s="121">
        <v>8.0</v>
      </c>
      <c r="AH59" s="106" t="s">
        <v>1413</v>
      </c>
      <c r="AI59" s="100" t="s">
        <v>1414</v>
      </c>
      <c r="AJ59" s="101" t="s">
        <v>1415</v>
      </c>
      <c r="AK59" s="98">
        <v>8.0</v>
      </c>
      <c r="AL59" s="107" t="s">
        <v>1416</v>
      </c>
      <c r="AM59" s="115" t="s">
        <v>1417</v>
      </c>
      <c r="AN59" s="67" t="s">
        <v>1418</v>
      </c>
      <c r="AO59" s="101"/>
    </row>
    <row r="60">
      <c r="A60" s="98">
        <v>9.0</v>
      </c>
      <c r="B60" s="112" t="s">
        <v>1419</v>
      </c>
      <c r="C60" s="109" t="s">
        <v>1420</v>
      </c>
      <c r="D60" s="69" t="s">
        <v>1421</v>
      </c>
      <c r="E60" s="98">
        <v>9.0</v>
      </c>
      <c r="F60" s="99" t="s">
        <v>1422</v>
      </c>
      <c r="G60" s="100" t="s">
        <v>1423</v>
      </c>
      <c r="H60" s="101" t="s">
        <v>1424</v>
      </c>
      <c r="I60" s="98">
        <v>9.0</v>
      </c>
      <c r="J60" s="99" t="s">
        <v>1425</v>
      </c>
      <c r="K60" s="100" t="s">
        <v>1426</v>
      </c>
      <c r="L60" s="69" t="s">
        <v>1427</v>
      </c>
      <c r="M60" s="98">
        <v>9.0</v>
      </c>
      <c r="N60" s="99" t="str">
        <f>IFERROR(__xludf.DUMMYFUNCTION("GOOGLETRANSLATE(B60,""zh-tw"",""zh"")"),"让我看看...-2
""想要色色""")</f>
        <v>让我看看...-2
"想要色色"</v>
      </c>
      <c r="O60" s="103" t="str">
        <f>IFERROR(__xludf.DUMMYFUNCTION("GOOGLETRANSLATE(C60,""zh-tw"",""zh"")"),"将门完全打开时，有机率出现""想要色色""
若此时你的爱心数量不足，则可以使用""约定:草莓牛奶""或金币")</f>
        <v>将门完全打开时，有机率出现"想要色色"
若此时你的爱心数量不足，则可以使用"约定:草莓牛奶"或金币</v>
      </c>
      <c r="P60" s="71" t="str">
        <f>IFERROR(__xludf.DUMMYFUNCTION("GOOGLETRANSLATE(D60,""zh-tw"",""zh"")"),"执行""想要色色""选项
后续依照贿络结果，触发后续剧情(贿络未实装)")</f>
        <v>执行"想要色色"选项
后续依照贿络结果，触发后续剧情(贿络未实装)</v>
      </c>
      <c r="Q60" s="98">
        <v>9.0</v>
      </c>
      <c r="R60" s="102" t="s">
        <v>1428</v>
      </c>
      <c r="S60" s="109" t="s">
        <v>1429</v>
      </c>
      <c r="T60" s="69" t="s">
        <v>1430</v>
      </c>
      <c r="U60" s="98">
        <v>9.0</v>
      </c>
      <c r="V60" s="102" t="str">
        <f>IFERROR(__xludf.DUMMYFUNCTION("GOOGLETRANSLATE(B60,""zh-tw"",""KO"")"),"어디 보자... -2
""섹스하고 싶어""")</f>
        <v>어디 보자... -2
"섹스하고 싶어"</v>
      </c>
      <c r="W60" s="103" t="str">
        <f>IFERROR(__xludf.DUMMYFUNCTION("GOOGLETRANSLATE(C60,""zh-tw"",""KO"")"),"문이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60" s="71" t="str">
        <f>IFERROR(__xludf.DUMMYFUNCTION("GOOGLETRANSLATE(D60,""zh-tw"",""KO"")"),"""섹스하고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60" s="98">
        <v>9.0</v>
      </c>
      <c r="Z60" s="116" t="str">
        <f>IFERROR(__xludf.DUMMYFUNCTION("IF(J60="""", """", GOOGLETRANSLATE(
J60,""en"",""ru""))"),"Дай-ка подумать... - 2")</f>
        <v>Дай-ка подумать... - 2</v>
      </c>
      <c r="AA60" s="117" t="str">
        <f>IFERROR(__xludf.DUMMYFUNCTION("IF(K60="""", """", GOOGLETRANSLATE(K60,""en"",""RU""))"),"То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60" s="64" t="str">
        <f>IFERROR(__xludf.DUMMYFUNCTION("IF(L60="""", """", GOOGLETRANSLATE(L60,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60" s="98">
        <v>9.0</v>
      </c>
      <c r="AD60" s="99" t="s">
        <v>1431</v>
      </c>
      <c r="AE60" s="100" t="s">
        <v>1432</v>
      </c>
      <c r="AF60" s="101" t="s">
        <v>1433</v>
      </c>
      <c r="AG60" s="98">
        <v>9.0</v>
      </c>
      <c r="AH60" s="106" t="s">
        <v>1434</v>
      </c>
      <c r="AI60" s="100" t="s">
        <v>1435</v>
      </c>
      <c r="AJ60" s="101" t="s">
        <v>1436</v>
      </c>
      <c r="AK60" s="98">
        <v>9.0</v>
      </c>
      <c r="AL60" s="107" t="s">
        <v>1437</v>
      </c>
      <c r="AM60" s="108" t="s">
        <v>1438</v>
      </c>
      <c r="AN60" s="67" t="s">
        <v>1439</v>
      </c>
      <c r="AO60" s="69"/>
    </row>
    <row r="61">
      <c r="A61" s="98">
        <v>10.0</v>
      </c>
      <c r="B61" s="112" t="s">
        <v>1440</v>
      </c>
      <c r="C61" s="100" t="s">
        <v>1441</v>
      </c>
      <c r="D61" s="69" t="s">
        <v>1442</v>
      </c>
      <c r="E61" s="98">
        <v>10.0</v>
      </c>
      <c r="F61" s="99" t="s">
        <v>1443</v>
      </c>
      <c r="G61" s="100" t="s">
        <v>1444</v>
      </c>
      <c r="H61" s="101" t="s">
        <v>1445</v>
      </c>
      <c r="I61" s="98">
        <v>10.0</v>
      </c>
      <c r="J61" s="99" t="s">
        <v>1446</v>
      </c>
      <c r="K61" s="100" t="s">
        <v>1447</v>
      </c>
      <c r="L61" s="101" t="s">
        <v>1448</v>
      </c>
      <c r="M61" s="98">
        <v>10.0</v>
      </c>
      <c r="N61" s="99" t="str">
        <f>IFERROR(__xludf.DUMMYFUNCTION("GOOGLETRANSLATE(B61,""zh-tw"",""zh"")"),"让我看看...-3
""想要色色""")</f>
        <v>让我看看...-3
"想要色色"</v>
      </c>
      <c r="O61" s="103" t="str">
        <f>IFERROR(__xludf.DUMMYFUNCTION("GOOGLETRANSLATE(C61,""zh-tw"",""zh"")"),"同上，被拒绝时，使用""什么都行券""")</f>
        <v>同上，被拒绝时，使用"什么都行券"</v>
      </c>
      <c r="P61" s="71" t="str">
        <f>IFERROR(__xludf.DUMMYFUNCTION("GOOGLETRANSLATE(D61,""zh-tw"",""zh"")"),"执行""想要色色""选项
后续使用""什么都行券""必定可以触发后续剧情(未实装)")</f>
        <v>执行"想要色色"选项
后续使用"什么都行券"必定可以触发后续剧情(未实装)</v>
      </c>
      <c r="Q61" s="98">
        <v>10.0</v>
      </c>
      <c r="R61" s="102" t="s">
        <v>1449</v>
      </c>
      <c r="S61" s="109" t="s">
        <v>1450</v>
      </c>
      <c r="T61" s="69" t="s">
        <v>1451</v>
      </c>
      <c r="U61" s="98">
        <v>10.0</v>
      </c>
      <c r="V61" s="102" t="str">
        <f>IFERROR(__xludf.DUMMYFUNCTION("GOOGLETRANSLATE(B61,""zh-tw"",""KO"")"),"어디 보자... -3
""섹시해지고 싶어""")</f>
        <v>어디 보자... -3
"섹시해지고 싶어"</v>
      </c>
      <c r="W61" s="103" t="str">
        <f>IFERROR(__xludf.DUMMYFUNCTION("GOOGLETRANSLATE(C61,""zh-tw"",""KO"")"),"마찬가지로, 거부된 경우 ""무엇이든 허용"" 쿠폰을 사용하세요.")</f>
        <v>마찬가지로, 거부된 경우 "무엇이든 허용" 쿠폰을 사용하세요.</v>
      </c>
      <c r="X61" s="71" t="str">
        <f>IFERROR(__xludf.DUMMYFUNCTION("GOOGLETRANSLATE(D61,""zh-tw"",""KO"")"),"""섹스하고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61" s="98">
        <v>10.0</v>
      </c>
      <c r="Z61" s="116" t="str">
        <f>IFERROR(__xludf.DUMMYFUNCTION("IF(J61="""", """", GOOGLETRANSLATE(
J61,""en"",""ru""))"),"Дай-ка подумать... - 3")</f>
        <v>Дай-ка подумать... - 3</v>
      </c>
      <c r="AA61" s="117" t="str">
        <f>IFERROR(__xludf.DUMMYFUNCTION("IF(K61="""", """", GOOGLETRANSLATE(K61,""en"",""RU""))"),"То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61" s="64" t="str">
        <f>IFERROR(__xludf.DUMMYFUNCTION("IF(L61="""", """", GOOGLETRANSLATE(L61, ""en"", ""ru""))
"),"Запускает связанные события. (Пока не реализовано)")</f>
        <v>Запускает связанные события. (Пока не реализовано)</v>
      </c>
      <c r="AC61" s="98">
        <v>10.0</v>
      </c>
      <c r="AD61" s="99" t="s">
        <v>1452</v>
      </c>
      <c r="AE61" s="100" t="s">
        <v>1453</v>
      </c>
      <c r="AF61" s="101" t="s">
        <v>1454</v>
      </c>
      <c r="AG61" s="98">
        <v>10.0</v>
      </c>
      <c r="AH61" s="106" t="s">
        <v>1455</v>
      </c>
      <c r="AI61" s="100" t="s">
        <v>1456</v>
      </c>
      <c r="AJ61" s="101" t="s">
        <v>1457</v>
      </c>
      <c r="AK61" s="98">
        <v>10.0</v>
      </c>
      <c r="AL61" s="107" t="s">
        <v>1458</v>
      </c>
      <c r="AM61" s="108" t="s">
        <v>1459</v>
      </c>
      <c r="AN61" s="67" t="s">
        <v>1460</v>
      </c>
      <c r="AO61" s="69"/>
    </row>
    <row r="62">
      <c r="A62" s="121">
        <v>11.0</v>
      </c>
      <c r="B62" s="112" t="s">
        <v>1461</v>
      </c>
      <c r="C62" s="109" t="s">
        <v>1462</v>
      </c>
      <c r="D62" s="69" t="s">
        <v>1463</v>
      </c>
      <c r="E62" s="121">
        <v>11.0</v>
      </c>
      <c r="F62" s="99" t="s">
        <v>1464</v>
      </c>
      <c r="G62" s="100" t="s">
        <v>1465</v>
      </c>
      <c r="H62" s="69" t="s">
        <v>1466</v>
      </c>
      <c r="I62" s="121">
        <v>11.0</v>
      </c>
      <c r="J62" s="112" t="s">
        <v>1467</v>
      </c>
      <c r="K62" s="109" t="s">
        <v>1468</v>
      </c>
      <c r="L62" s="69" t="s">
        <v>1469</v>
      </c>
      <c r="M62" s="121">
        <v>11.0</v>
      </c>
      <c r="N62" s="99" t="str">
        <f>IFERROR(__xludf.DUMMYFUNCTION("GOOGLETRANSLATE(B62,""zh-tw"",""zh"")"),"让我看看...-4
""想要色色""")</f>
        <v>让我看看...-4
"想要色色"</v>
      </c>
      <c r="O62" s="103" t="str">
        <f>IFERROR(__xludf.DUMMYFUNCTION("GOOGLETRANSLATE(C62,""zh-tw"",""zh"")"),"同上，当紫心1以上、红心2以上，可以触发剧情")</f>
        <v>同上，当紫心1以上、红心2以上，可以触发剧情</v>
      </c>
      <c r="P62" s="71" t="str">
        <f>IFERROR(__xludf.DUMMYFUNCTION("GOOGLETRANSLATE(D62,""zh-tw"",""zh"")"),"执行""想要色色""选项
触发用手服务的剧情")</f>
        <v>执行"想要色色"选项
触发用手服务的剧情</v>
      </c>
      <c r="Q62" s="121">
        <v>11.0</v>
      </c>
      <c r="R62" s="102" t="s">
        <v>1470</v>
      </c>
      <c r="S62" s="109" t="s">
        <v>1471</v>
      </c>
      <c r="T62" s="69" t="s">
        <v>1472</v>
      </c>
      <c r="U62" s="121">
        <v>11.0</v>
      </c>
      <c r="V62" s="102" t="str">
        <f>IFERROR(__xludf.DUMMYFUNCTION("GOOGLETRANSLATE(B62,""zh-tw"",""KO"")"),"어디 보자... -4
""섹시해지고 싶어""")</f>
        <v>어디 보자... -4
"섹시해지고 싶어"</v>
      </c>
      <c r="W62" s="103" t="str">
        <f>IFERROR(__xludf.DUMMYFUNCTION("GOOGLETRANSLATE(C62,""zh-tw"",""KO"")"),"마찬가지로, 보라색 하트가 1개 이상, 빨간색 하트가 2개 이상 있는 경우 이벤트가 발생할 수 있습니다.")</f>
        <v>마찬가지로, 보라색 하트가 1개 이상, 빨간색 하트가 2개 이상 있는 경우 이벤트가 발생할 수 있습니다.</v>
      </c>
      <c r="X62" s="71" t="str">
        <f>IFERROR(__xludf.DUMMYFUNCTION("GOOGLETRANSLATE(D62,""zh-tw"",""KO"")"),"""에로티시즘을 원해"" 옵션을 실행하세요.
손을 사용하여 성관계를 하는 장면이 트리거됩니다.")</f>
        <v>"에로티시즘을 원해" 옵션을 실행하세요.
손을 사용하여 성관계를 하는 장면이 트리거됩니다.</v>
      </c>
      <c r="Y62" s="121">
        <v>11.0</v>
      </c>
      <c r="Z62" s="116" t="str">
        <f>IFERROR(__xludf.DUMMYFUNCTION("IF(J62="""", """", GOOGLETRANSLATE(
J62,""en"",""ru""))"),"Хочу похотливого")</f>
        <v>Хочу похотливого</v>
      </c>
      <c r="AA62" s="117" t="str">
        <f>IFERROR(__xludf.DUMMYFUNCTION("IF(K62="""", """", GOOGLETRANSLATE(K62,""en"",""RU""))"),"Если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2" s="64" t="str">
        <f>IFERROR(__xludf.DUMMYFUNCTION("IF(L62="""", """", GOOGLETRANSLATE(L62,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2" s="121">
        <v>11.0</v>
      </c>
      <c r="AD62" s="99" t="s">
        <v>1473</v>
      </c>
      <c r="AE62" s="100" t="s">
        <v>1474</v>
      </c>
      <c r="AF62" s="101" t="s">
        <v>1475</v>
      </c>
      <c r="AG62" s="121">
        <v>11.0</v>
      </c>
      <c r="AH62" s="106" t="s">
        <v>1476</v>
      </c>
      <c r="AI62" s="109" t="s">
        <v>1477</v>
      </c>
      <c r="AJ62" s="101" t="s">
        <v>1478</v>
      </c>
      <c r="AK62" s="98">
        <v>11.0</v>
      </c>
      <c r="AL62" s="107" t="s">
        <v>1479</v>
      </c>
      <c r="AM62" s="115" t="s">
        <v>1480</v>
      </c>
      <c r="AN62" s="67" t="s">
        <v>1481</v>
      </c>
      <c r="AO62" s="69"/>
    </row>
    <row r="63">
      <c r="A63" s="98">
        <v>12.0</v>
      </c>
      <c r="B63" s="99" t="s">
        <v>1482</v>
      </c>
      <c r="C63" s="100" t="s">
        <v>1483</v>
      </c>
      <c r="D63" s="101" t="s">
        <v>1484</v>
      </c>
      <c r="E63" s="98">
        <v>12.0</v>
      </c>
      <c r="F63" s="99" t="s">
        <v>1485</v>
      </c>
      <c r="G63" s="100" t="s">
        <v>1486</v>
      </c>
      <c r="H63" s="101" t="s">
        <v>1487</v>
      </c>
      <c r="I63" s="98">
        <v>12.0</v>
      </c>
      <c r="J63" s="112" t="s">
        <v>1488</v>
      </c>
      <c r="K63" s="109" t="s">
        <v>1489</v>
      </c>
      <c r="L63" s="69" t="s">
        <v>1490</v>
      </c>
      <c r="M63" s="98">
        <v>12.0</v>
      </c>
      <c r="N63" s="99" t="str">
        <f>IFERROR(__xludf.DUMMYFUNCTION("GOOGLETRANSLATE(B63,""zh-tw"",""zh"")"),"再等会")</f>
        <v>再等会</v>
      </c>
      <c r="O63" s="103" t="str">
        <f>IFERROR(__xludf.DUMMYFUNCTION("GOOGLETRANSLATE(C63,""zh-tw"",""zh"")"),"跳过偷窥换衣事件，保证安全潜入洗面所")</f>
        <v>跳过偷窥换衣事件，保证安全潜入洗面所</v>
      </c>
      <c r="P63" s="71" t="str">
        <f>IFERROR(__xludf.DUMMYFUNCTION("GOOGLETRANSLATE(D63,""zh-tw"",""zh"")"),"安全潜入洗面所")</f>
        <v>安全潜入洗面所</v>
      </c>
      <c r="Q63" s="98">
        <v>12.0</v>
      </c>
      <c r="R63" s="112" t="s">
        <v>1491</v>
      </c>
      <c r="S63" s="109" t="s">
        <v>1492</v>
      </c>
      <c r="T63" s="69" t="s">
        <v>1493</v>
      </c>
      <c r="U63" s="98">
        <v>12.0</v>
      </c>
      <c r="V63" s="102" t="str">
        <f>IFERROR(__xludf.DUMMYFUNCTION("GOOGLETRANSLATE(B63,""zh-tw"",""KO"")"),"잠깐만 기다려요")</f>
        <v>잠깐만 기다려요</v>
      </c>
      <c r="W63" s="103" t="str">
        <f>IFERROR(__xludf.DUMMYFUNCTION("GOOGLETRANSLATE(C63,""zh-tw"",""KO"")"),"옷을 갈아입을 때 엿보는 일이 없도록 하여 목욕탕에 안전하게 침투할 수 있습니다.")</f>
        <v>옷을 갈아입을 때 엿보는 일이 없도록 하여 목욕탕에 안전하게 침투할 수 있습니다.</v>
      </c>
      <c r="X63" s="71" t="str">
        <f>IFERROR(__xludf.DUMMYFUNCTION("GOOGLETRANSLATE(D63,""zh-tw"",""KO"")"),"세안제에 안전하게 침투")</f>
        <v>세안제에 안전하게 침투</v>
      </c>
      <c r="Y63" s="98">
        <v>12.0</v>
      </c>
      <c r="Z63" s="116" t="str">
        <f>IFERROR(__xludf.DUMMYFUNCTION("IF(J63="""", """", GOOGLETRANSLATE(
J63,""en"",""ru""))"),"Подожди немного")</f>
        <v>Подожди немного</v>
      </c>
      <c r="AA63" s="117" t="str">
        <f>IFERROR(__xludf.DUMMYFUNCTION("IF(K63="""", """", GOOGLETRANSLATE(K63,""en"",""RU""))"),"Пропускает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3" s="64" t="str">
        <f>IFERROR(__xludf.DUMMYFUNCTION("IF(L63="""", """", GOOGLETRANSLATE(L63, ""en"", ""ru""))
"),"Безопасно пробраться в туалет")</f>
        <v>Безопасно пробраться в туалет</v>
      </c>
      <c r="AC63" s="98">
        <v>12.0</v>
      </c>
      <c r="AD63" s="99" t="s">
        <v>1494</v>
      </c>
      <c r="AE63" s="100" t="s">
        <v>1495</v>
      </c>
      <c r="AF63" s="101" t="s">
        <v>1496</v>
      </c>
      <c r="AG63" s="98">
        <v>12.0</v>
      </c>
      <c r="AH63" s="106" t="s">
        <v>1497</v>
      </c>
      <c r="AI63" s="100" t="s">
        <v>1498</v>
      </c>
      <c r="AJ63" s="101" t="s">
        <v>1499</v>
      </c>
      <c r="AK63" s="98">
        <v>12.0</v>
      </c>
      <c r="AL63" s="107" t="s">
        <v>1500</v>
      </c>
      <c r="AM63" s="108" t="s">
        <v>1501</v>
      </c>
      <c r="AN63" s="66" t="s">
        <v>1502</v>
      </c>
      <c r="AO63" s="101"/>
    </row>
    <row r="64">
      <c r="A64" s="98">
        <v>13.0</v>
      </c>
      <c r="B64" s="99" t="s">
        <v>1503</v>
      </c>
      <c r="C64" s="100" t="s">
        <v>1504</v>
      </c>
      <c r="D64" s="101" t="s">
        <v>1505</v>
      </c>
      <c r="E64" s="98">
        <v>13.0</v>
      </c>
      <c r="F64" s="99" t="str">
        <f>IFERROR(__xludf.DUMMYFUNCTION("GOOGLETRANSLATE(B64,""zh-tw"",""ja"")"),"最初の侵入")</f>
        <v>最初の侵入</v>
      </c>
      <c r="G64" s="100" t="s">
        <v>1506</v>
      </c>
      <c r="H64" s="101" t="s">
        <v>1507</v>
      </c>
      <c r="I64" s="98">
        <v>13.0</v>
      </c>
      <c r="J64" s="99" t="s">
        <v>1508</v>
      </c>
      <c r="K64" s="100" t="s">
        <v>1509</v>
      </c>
      <c r="L64" s="101" t="s">
        <v>1510</v>
      </c>
      <c r="M64" s="98">
        <v>13.0</v>
      </c>
      <c r="N64" s="99" t="str">
        <f>IFERROR(__xludf.DUMMYFUNCTION("GOOGLETRANSLATE(B64,""zh-tw"",""zh"")"),"第一次潜入")</f>
        <v>第一次潜入</v>
      </c>
      <c r="O64" s="103" t="str">
        <f>IFERROR(__xludf.DUMMYFUNCTION("GOOGLETRANSLATE(C64,""zh-tw"",""zh"")"),"第一次于洗面所潜入，属于特殊剧情")</f>
        <v>第一次于洗面所潜入，属于特殊剧情</v>
      </c>
      <c r="P64" s="71" t="str">
        <f>IFERROR(__xludf.DUMMYFUNCTION("GOOGLETRANSLATE(D64,""zh-tw"",""zh"")"),"※一次性事件
只能探索一下就必须离开")</f>
        <v>※一次性事件
只能探索一下就必须离开</v>
      </c>
      <c r="Q64" s="98">
        <v>13.0</v>
      </c>
      <c r="R64" s="102" t="s">
        <v>1511</v>
      </c>
      <c r="S64" s="103" t="str">
        <f>IFERROR(__xludf.DUMMYFUNCTION("GOOGLETRANSLATE(C64,""zh-tw"",""es-MX"")"),"La primera infiltración en el baño es parte de una historia especial.")</f>
        <v>La primera infiltración en el baño es parte de una historia especial.</v>
      </c>
      <c r="T64" s="71" t="s">
        <v>1512</v>
      </c>
      <c r="U64" s="98">
        <v>13.0</v>
      </c>
      <c r="V64" s="102" t="str">
        <f>IFERROR(__xludf.DUMMYFUNCTION("GOOGLETRANSLATE(B64,""zh-tw"",""KO"")"),"첫 번째 침투")</f>
        <v>첫 번째 침투</v>
      </c>
      <c r="W64" s="103" t="s">
        <v>1513</v>
      </c>
      <c r="X64" s="71" t="s">
        <v>1514</v>
      </c>
      <c r="Y64" s="98">
        <v>13.0</v>
      </c>
      <c r="Z64" s="116" t="s">
        <v>1515</v>
      </c>
      <c r="AA64" s="117" t="s">
        <v>1516</v>
      </c>
      <c r="AB64" s="64" t="s">
        <v>1517</v>
      </c>
      <c r="AC64" s="98">
        <v>13.0</v>
      </c>
      <c r="AD64" s="99" t="s">
        <v>1518</v>
      </c>
      <c r="AE64" s="100" t="s">
        <v>1519</v>
      </c>
      <c r="AF64" s="101" t="s">
        <v>1520</v>
      </c>
      <c r="AG64" s="98">
        <v>13.0</v>
      </c>
      <c r="AH64" s="106" t="s">
        <v>1521</v>
      </c>
      <c r="AI64" s="100" t="s">
        <v>1522</v>
      </c>
      <c r="AJ64" s="101" t="s">
        <v>1523</v>
      </c>
      <c r="AK64" s="98">
        <v>13.0</v>
      </c>
      <c r="AL64" s="107" t="s">
        <v>1524</v>
      </c>
      <c r="AM64" s="115" t="s">
        <v>1525</v>
      </c>
      <c r="AN64" s="67" t="s">
        <v>1526</v>
      </c>
      <c r="AO64" s="101"/>
    </row>
    <row r="65">
      <c r="A65" s="121">
        <v>14.0</v>
      </c>
      <c r="B65" s="99" t="s">
        <v>1527</v>
      </c>
      <c r="C65" s="100" t="s">
        <v>1528</v>
      </c>
      <c r="D65" s="101" t="s">
        <v>1529</v>
      </c>
      <c r="E65" s="121">
        <v>14.0</v>
      </c>
      <c r="F65" s="99" t="s">
        <v>1530</v>
      </c>
      <c r="G65" s="100" t="s">
        <v>1531</v>
      </c>
      <c r="H65" s="101" t="s">
        <v>1532</v>
      </c>
      <c r="I65" s="121">
        <v>14.0</v>
      </c>
      <c r="J65" s="99" t="s">
        <v>1533</v>
      </c>
      <c r="K65" s="100" t="s">
        <v>1534</v>
      </c>
      <c r="L65" s="101" t="s">
        <v>1535</v>
      </c>
      <c r="M65" s="121">
        <v>14.0</v>
      </c>
      <c r="N65" s="99" t="str">
        <f>IFERROR(__xludf.DUMMYFUNCTION("GOOGLETRANSLATE(B65,""zh-tw"",""zh"")"),"胖次！")</f>
        <v>胖次！</v>
      </c>
      <c r="O65" s="103" t="str">
        <f>IFERROR(__xludf.DUMMYFUNCTION("GOOGLETRANSLATE(C65,""zh-tw"",""zh"")"),"潜入时，偷拿内裤，并被发现")</f>
        <v>潜入时，偷拿内裤，并被发现</v>
      </c>
      <c r="P65" s="71" t="str">
        <f>IFERROR(__xludf.DUMMYFUNCTION("GOOGLETRANSLATE(D65,""zh-tw"",""zh"")"),"特殊剧情
获得道具:妹妹脱下的内裤")</f>
        <v>特殊剧情
获得道具:妹妹脱下的内裤</v>
      </c>
      <c r="Q65" s="121">
        <v>14.0</v>
      </c>
      <c r="R65" s="102" t="s">
        <v>1536</v>
      </c>
      <c r="S65" s="103" t="s">
        <v>1537</v>
      </c>
      <c r="T65" s="71" t="s">
        <v>1538</v>
      </c>
      <c r="U65" s="121">
        <v>14.0</v>
      </c>
      <c r="V65" s="102" t="str">
        <f>IFERROR(__xludf.DUMMYFUNCTION("GOOGLETRANSLATE(B65,""zh-tw"",""KO"")"),"팬티!")</f>
        <v>팬티!</v>
      </c>
      <c r="W65" s="103" t="str">
        <f>IFERROR(__xludf.DUMMYFUNCTION("GOOGLETRANSLATE(C65,""zh-tw"",""KO"")"),"그는 집에 침입하여 속옷을 훔쳤고 발각되었습니다.")</f>
        <v>그는 집에 침입하여 속옷을 훔쳤고 발각되었습니다.</v>
      </c>
      <c r="X65" s="71" t="str">
        <f>IFERROR(__xludf.DUMMYFUNCTION("GOOGLETRANSLATE(D65,""zh-tw"",""KO"")"),"특별 이벤트
획득 아이템: 언니의 속옷")</f>
        <v>특별 이벤트
획득 아이템: 언니의 속옷</v>
      </c>
      <c r="Y65" s="121">
        <v>14.0</v>
      </c>
      <c r="Z65" s="116" t="str">
        <f>IFERROR(__xludf.DUMMYFUNCTION("IF(J65="""", """", GOOGLETRANSLATE(
J65,""en"",""ru""))"),"Трусики!")</f>
        <v>Трусики!</v>
      </c>
      <c r="AA65" s="117" t="str">
        <f>IFERROR(__xludf.DUMMYFUNCTION("IF(K65="""", """", GOOGLETRANSLATE(K65,""en"",""RU""))"),"Прокрадитесь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5" s="64" t="str">
        <f>IFERROR(__xludf.DUMMYFUNCTION("IF(L65="""", """", GOOGLETRANSLATE(L65, ""en"", ""ru""))
"),"Событие активируется
Получить снаряжение «Трусики Имуто».")</f>
        <v>Событие активируется
Получить снаряжение «Трусики Имуто».</v>
      </c>
      <c r="AC65" s="121">
        <v>14.0</v>
      </c>
      <c r="AD65" s="99" t="s">
        <v>1539</v>
      </c>
      <c r="AE65" s="100" t="s">
        <v>1540</v>
      </c>
      <c r="AF65" s="101" t="s">
        <v>1541</v>
      </c>
      <c r="AG65" s="121">
        <v>14.0</v>
      </c>
      <c r="AH65" s="106" t="s">
        <v>1542</v>
      </c>
      <c r="AI65" s="100" t="s">
        <v>1543</v>
      </c>
      <c r="AJ65" s="101" t="s">
        <v>1544</v>
      </c>
      <c r="AK65" s="98">
        <v>14.0</v>
      </c>
      <c r="AL65" s="107" t="s">
        <v>1545</v>
      </c>
      <c r="AM65" s="115" t="s">
        <v>1546</v>
      </c>
      <c r="AN65" s="67" t="s">
        <v>1547</v>
      </c>
      <c r="AO65" s="101"/>
    </row>
    <row r="66">
      <c r="A66" s="98">
        <v>15.0</v>
      </c>
      <c r="B66" s="99" t="s">
        <v>1548</v>
      </c>
      <c r="C66" s="100" t="s">
        <v>1549</v>
      </c>
      <c r="D66" s="101" t="s">
        <v>1550</v>
      </c>
      <c r="E66" s="98">
        <v>15.0</v>
      </c>
      <c r="F66" s="99" t="s">
        <v>1551</v>
      </c>
      <c r="G66" s="100" t="s">
        <v>1552</v>
      </c>
      <c r="H66" s="101" t="s">
        <v>1553</v>
      </c>
      <c r="I66" s="98">
        <v>15.0</v>
      </c>
      <c r="J66" s="99" t="s">
        <v>1554</v>
      </c>
      <c r="K66" s="109" t="s">
        <v>1555</v>
      </c>
      <c r="L66" s="101" t="s">
        <v>1556</v>
      </c>
      <c r="M66" s="98">
        <v>15.0</v>
      </c>
      <c r="N66" s="99" t="str">
        <f>IFERROR(__xludf.DUMMYFUNCTION("GOOGLETRANSLATE(B66,""zh-tw"",""zh"")"),"手的温度-1")</f>
        <v>手的温度-1</v>
      </c>
      <c r="O66" s="103" t="str">
        <f>IFERROR(__xludf.DUMMYFUNCTION("GOOGLETRANSLATE(C66,""zh-tw"",""zh"")"),"第二次偷内衣时被发现，并且当爱心达到6，即可触发。")</f>
        <v>第二次偷内衣时被发现，并且当爱心达到6，即可触发。</v>
      </c>
      <c r="P66" s="71" t="str">
        <f>IFERROR(__xludf.DUMMYFUNCTION("GOOGLETRANSLATE(D66,""zh-tw"",""zh"")"),"妹妹用手来服务的特殊剧情
*目前实装3种内裤")</f>
        <v>妹妹用手来服务的特殊剧情
*目前实装3种内裤</v>
      </c>
      <c r="Q66" s="98">
        <v>15.0</v>
      </c>
      <c r="R66" s="102" t="s">
        <v>1557</v>
      </c>
      <c r="S66" s="103" t="s">
        <v>1558</v>
      </c>
      <c r="T66" s="71" t="str">
        <f>IFERROR(__xludf.DUMMYFUNCTION("GOOGLETRANSLATE(D66,""zh-tw"",""es-MX"")"),"Historia especial que involucra a la hermana menor usando sus manos.
*Actualmente se implementan 3 tipos de ropa interior.")</f>
        <v>Historia especial que involucra a la hermana menor usando sus manos.
*Actualmente se implementan 3 tipos de ropa interior.</v>
      </c>
      <c r="U66" s="98">
        <v>15.0</v>
      </c>
      <c r="V66" s="102" t="str">
        <f>IFERROR(__xludf.DUMMYFUNCTION("GOOGLETRANSLATE(B66,""zh-tw"",""KO"")"),"손 온도 -1")</f>
        <v>손 온도 -1</v>
      </c>
      <c r="W66" s="103" t="str">
        <f>IFERROR(__xludf.DUMMYFUNCTION("GOOGLETRANSLATE(C66,""zh-tw"",""KO"")"),"두 번째로 속옷을 훔친 것이 적발되고 하트 수가 6에 도달하면 이벤트가 발생합니다.")</f>
        <v>두 번째로 속옷을 훔친 것이 적발되고 하트 수가 6에 도달하면 이벤트가 발생합니다.</v>
      </c>
      <c r="X66" s="71" t="str">
        <f>IFERROR(__xludf.DUMMYFUNCTION("GOOGLETRANSLATE(D66,""zh-tw"",""KO"")"),"여동생이 손을 사용하는 특별한 스토리
*현재 3가지 종류의 속옷이 구현되어 있습니다.")</f>
        <v>여동생이 손을 사용하는 특별한 스토리
*현재 3가지 종류의 속옷이 구현되어 있습니다.</v>
      </c>
      <c r="Y66" s="98">
        <v>15.0</v>
      </c>
      <c r="Z66" s="116" t="s">
        <v>1559</v>
      </c>
      <c r="AA66" s="117" t="s">
        <v>1560</v>
      </c>
      <c r="AB66" s="64" t="s">
        <v>1561</v>
      </c>
      <c r="AC66" s="98">
        <v>15.0</v>
      </c>
      <c r="AD66" s="99" t="s">
        <v>1562</v>
      </c>
      <c r="AE66" s="100" t="s">
        <v>1563</v>
      </c>
      <c r="AF66" s="101" t="s">
        <v>1564</v>
      </c>
      <c r="AG66" s="98">
        <v>15.0</v>
      </c>
      <c r="AH66" s="106" t="s">
        <v>1565</v>
      </c>
      <c r="AI66" s="100" t="s">
        <v>1566</v>
      </c>
      <c r="AJ66" s="101" t="s">
        <v>1567</v>
      </c>
      <c r="AK66" s="98">
        <v>15.0</v>
      </c>
      <c r="AL66" s="107" t="s">
        <v>1568</v>
      </c>
      <c r="AM66" s="108" t="s">
        <v>1569</v>
      </c>
      <c r="AN66" s="67" t="s">
        <v>1570</v>
      </c>
      <c r="AO66" s="101"/>
    </row>
    <row r="67">
      <c r="A67" s="98">
        <v>16.0</v>
      </c>
      <c r="B67" s="99" t="s">
        <v>1571</v>
      </c>
      <c r="C67" s="100" t="s">
        <v>1572</v>
      </c>
      <c r="D67" s="101" t="s">
        <v>1573</v>
      </c>
      <c r="E67" s="98">
        <v>16.0</v>
      </c>
      <c r="F67" s="99" t="s">
        <v>1574</v>
      </c>
      <c r="G67" s="100" t="s">
        <v>1575</v>
      </c>
      <c r="H67" s="101" t="s">
        <v>1576</v>
      </c>
      <c r="I67" s="98">
        <v>16.0</v>
      </c>
      <c r="J67" s="99" t="s">
        <v>1577</v>
      </c>
      <c r="K67" s="100" t="s">
        <v>1578</v>
      </c>
      <c r="L67" s="101" t="s">
        <v>1579</v>
      </c>
      <c r="M67" s="98">
        <v>16.0</v>
      </c>
      <c r="N67" s="99" t="str">
        <f>IFERROR(__xludf.DUMMYFUNCTION("GOOGLETRANSLATE(B67,""zh-tw"",""zh"")"),"手的温度-2")</f>
        <v>手的温度-2</v>
      </c>
      <c r="O67" s="103" t="str">
        <f>IFERROR(__xludf.DUMMYFUNCTION("GOOGLETRANSLATE(C67,""zh-tw"",""zh"")"),"承上，紫心达到3，可以不用隔着衣物")</f>
        <v>承上，紫心达到3，可以不用隔着衣物</v>
      </c>
      <c r="P67" s="71" t="str">
        <f>IFERROR(__xludf.DUMMYFUNCTION("GOOGLETRANSLATE(D67,""zh-tw"",""zh"")"),"妹妹用手来服务的特殊剧情")</f>
        <v>妹妹用手来服务的特殊剧情</v>
      </c>
      <c r="Q67" s="98">
        <v>16.0</v>
      </c>
      <c r="R67" s="102" t="s">
        <v>1580</v>
      </c>
      <c r="S67" s="103" t="str">
        <f>IFERROR(__xludf.DUMMYFUNCTION("GOOGLETRANSLATE(C67,""zh-tw"",""es-MX"")"),"Continuando desde arriba, una vez que alcances el nivel 3 de corazón púrpura, podrás jugar sin usar ropa.")</f>
        <v>Continuando desde arriba, una vez que alcances el nivel 3 de corazón púrpura, podrás jugar sin usar ropa.</v>
      </c>
      <c r="T67" s="71" t="str">
        <f>IFERROR(__xludf.DUMMYFUNCTION("GOOGLETRANSLATE(D67,""zh-tw"",""es-MX"")"),"La trama especial de la hermana menor usando sus manos para servir.")</f>
        <v>La trama especial de la hermana menor usando sus manos para servir.</v>
      </c>
      <c r="U67" s="98">
        <v>16.0</v>
      </c>
      <c r="V67" s="102" t="str">
        <f>IFERROR(__xludf.DUMMYFUNCTION("GOOGLETRANSLATE(B67,""zh-tw"",""KO"")"),"손 온도 -2")</f>
        <v>손 온도 -2</v>
      </c>
      <c r="W67" s="103" t="str">
        <f>IFERROR(__xludf.DUMMYFUNCTION("GOOGLETRANSLATE(C67,""zh-tw"",""KO"")"),"위에서 언급한 대로, 퍼플 하트 레벨 3에 도달하면 옷을 입지 않고도 플레이할 수 있습니다.")</f>
        <v>위에서 언급한 대로, 퍼플 하트 레벨 3에 도달하면 옷을 입지 않고도 플레이할 수 있습니다.</v>
      </c>
      <c r="X67" s="71" t="str">
        <f>IFERROR(__xludf.DUMMYFUNCTION("GOOGLETRANSLATE(D67,""zh-tw"",""KO"")"),"여동생이 손을 이용해 봉사하는 특별한 줄거리.")</f>
        <v>여동생이 손을 이용해 봉사하는 특별한 줄거리.</v>
      </c>
      <c r="Y67" s="98">
        <v>16.0</v>
      </c>
      <c r="Z67" s="116" t="s">
        <v>1581</v>
      </c>
      <c r="AA67" s="117" t="s">
        <v>1582</v>
      </c>
      <c r="AB67" s="64" t="s">
        <v>1583</v>
      </c>
      <c r="AC67" s="98">
        <v>16.0</v>
      </c>
      <c r="AD67" s="99" t="s">
        <v>1584</v>
      </c>
      <c r="AE67" s="100" t="s">
        <v>1585</v>
      </c>
      <c r="AF67" s="101" t="s">
        <v>1586</v>
      </c>
      <c r="AG67" s="98">
        <v>16.0</v>
      </c>
      <c r="AH67" s="106" t="s">
        <v>1587</v>
      </c>
      <c r="AI67" s="100" t="s">
        <v>1588</v>
      </c>
      <c r="AJ67" s="101" t="s">
        <v>1589</v>
      </c>
      <c r="AK67" s="98">
        <v>16.0</v>
      </c>
      <c r="AL67" s="107" t="s">
        <v>1590</v>
      </c>
      <c r="AM67" s="115" t="s">
        <v>1591</v>
      </c>
      <c r="AN67" s="67" t="s">
        <v>1592</v>
      </c>
      <c r="AO67" s="101"/>
    </row>
    <row r="68">
      <c r="A68" s="121">
        <v>17.0</v>
      </c>
      <c r="B68" s="99" t="s">
        <v>1593</v>
      </c>
      <c r="C68" s="100" t="s">
        <v>1594</v>
      </c>
      <c r="D68" s="101" t="s">
        <v>1595</v>
      </c>
      <c r="E68" s="121">
        <v>17.0</v>
      </c>
      <c r="F68" s="99" t="s">
        <v>1596</v>
      </c>
      <c r="G68" s="100" t="s">
        <v>1597</v>
      </c>
      <c r="H68" s="101" t="s">
        <v>1598</v>
      </c>
      <c r="I68" s="121">
        <v>17.0</v>
      </c>
      <c r="J68" s="99" t="s">
        <v>1599</v>
      </c>
      <c r="K68" s="100" t="s">
        <v>1600</v>
      </c>
      <c r="L68" s="101" t="s">
        <v>1601</v>
      </c>
      <c r="M68" s="121">
        <v>17.0</v>
      </c>
      <c r="N68" s="99" t="str">
        <f>IFERROR(__xludf.DUMMYFUNCTION("GOOGLETRANSLATE(B68,""zh-tw"",""zh"")"),"气息消除-1")</f>
        <v>气息消除-1</v>
      </c>
      <c r="O68" s="103" t="str">
        <f>IFERROR(__xludf.DUMMYFUNCTION("GOOGLETRANSLATE(C68,""zh-tw"",""zh"")"),"在习得""气息消除""后，于妹妹洗澡时潜入洗面所，可以使用忍者跳舞选项")</f>
        <v>在习得"气息消除"后，于妹妹洗澡时潜入洗面所，可以使用忍者跳舞选项</v>
      </c>
      <c r="P68" s="71" t="str">
        <f>IFERROR(__xludf.DUMMYFUNCTION("GOOGLETRANSLATE(D68,""zh-tw"",""zh"")"),"使用特殊选项")</f>
        <v>使用特殊选项</v>
      </c>
      <c r="Q68" s="121">
        <v>17.0</v>
      </c>
      <c r="R68" s="102" t="str">
        <f>IFERROR(__xludf.DUMMYFUNCTION("GOOGLETRANSLATE(B68,""zh-tw"",""es-MX"")"),"Eliminación de aura -1")</f>
        <v>Eliminación de aura -1</v>
      </c>
      <c r="S68" s="103" t="str">
        <f>IFERROR(__xludf.DUMMYFUNCTION("GOOGLETRANSLATE(C68,""zh-tw"",""es-MX"")"),"Después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8" s="71" t="str">
        <f>IFERROR(__xludf.DUMMYFUNCTION("GOOGLETRANSLATE(D68,""zh-tw"",""es-MX"")"),"Utilice opciones especiales")</f>
        <v>Utilice opciones especiales</v>
      </c>
      <c r="U68" s="121">
        <v>17.0</v>
      </c>
      <c r="V68" s="102" t="str">
        <f>IFERROR(__xludf.DUMMYFUNCTION("GOOGLETRANSLATE(B68,""zh-tw"",""KO"")"),"오라 제거 -1")</f>
        <v>오라 제거 -1</v>
      </c>
      <c r="W68" s="103" t="str">
        <f>IFERROR(__xludf.DUMMYFUNCTION("GOOGLETRANSLATE(C68,""zh-tw"",""KO"")"),"""오라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8" s="71" t="str">
        <f>IFERROR(__xludf.DUMMYFUNCTION("GOOGLETRANSLATE(D68,""zh-tw"",""KO"")"),"특수 옵션 사용")</f>
        <v>특수 옵션 사용</v>
      </c>
      <c r="Y68" s="121">
        <v>17.0</v>
      </c>
      <c r="Z68" s="116" t="str">
        <f>IFERROR(__xludf.DUMMYFUNCTION("IF(J68="""", """", GOOGLETRANSLATE(
J68,""en"",""ru""))"),"Сокрытие дыхания-1")</f>
        <v>Сокрытие дыхания-1</v>
      </c>
      <c r="AA68" s="117" t="str">
        <f>IFERROR(__xludf.DUMMYFUNCTION("IF(K68="""", """", GOOGLETRANSLATE(K68,""en"",""RU""))"),"Изучив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8" s="64" t="str">
        <f>IFERROR(__xludf.DUMMYFUNCTION("IF(L68="""", """", GOOGLETRANSLATE(L68, ""en"", ""ru""))
"),"Позволяет использовать специальную опцию")</f>
        <v>Позволяет использовать специальную опцию</v>
      </c>
      <c r="AC68" s="121">
        <v>17.0</v>
      </c>
      <c r="AD68" s="99" t="s">
        <v>1602</v>
      </c>
      <c r="AE68" s="100" t="s">
        <v>1603</v>
      </c>
      <c r="AF68" s="101" t="s">
        <v>1604</v>
      </c>
      <c r="AG68" s="121">
        <v>17.0</v>
      </c>
      <c r="AH68" s="106" t="s">
        <v>1605</v>
      </c>
      <c r="AI68" s="100" t="s">
        <v>1606</v>
      </c>
      <c r="AJ68" s="101" t="s">
        <v>1607</v>
      </c>
      <c r="AK68" s="98">
        <v>17.0</v>
      </c>
      <c r="AL68" s="107" t="s">
        <v>1608</v>
      </c>
      <c r="AM68" s="115" t="s">
        <v>1609</v>
      </c>
      <c r="AN68" s="67" t="s">
        <v>1610</v>
      </c>
      <c r="AO68" s="101"/>
    </row>
    <row r="69">
      <c r="A69" s="98">
        <v>18.0</v>
      </c>
      <c r="B69" s="99" t="s">
        <v>1611</v>
      </c>
      <c r="C69" s="100" t="s">
        <v>1612</v>
      </c>
      <c r="D69" s="101" t="s">
        <v>1613</v>
      </c>
      <c r="E69" s="98">
        <v>18.0</v>
      </c>
      <c r="F69" s="99" t="s">
        <v>1614</v>
      </c>
      <c r="G69" s="100" t="s">
        <v>1615</v>
      </c>
      <c r="H69" s="101" t="s">
        <v>1616</v>
      </c>
      <c r="I69" s="98">
        <v>18.0</v>
      </c>
      <c r="J69" s="99" t="s">
        <v>1617</v>
      </c>
      <c r="K69" s="100" t="s">
        <v>1618</v>
      </c>
      <c r="L69" s="101" t="s">
        <v>1619</v>
      </c>
      <c r="M69" s="98">
        <v>18.0</v>
      </c>
      <c r="N69" s="99" t="str">
        <f>IFERROR(__xludf.DUMMYFUNCTION("GOOGLETRANSLATE(B69,""zh-tw"",""zh"")"),"透明的门-1")</f>
        <v>透明的门-1</v>
      </c>
      <c r="O69" s="103" t="str">
        <f>IFERROR(__xludf.DUMMYFUNCTION("GOOGLETRANSLATE(C69,""zh-tw"",""zh"")"),"可以在妹妹独自洗澡时进行偷窥")</f>
        <v>可以在妹妹独自洗澡时进行偷窥</v>
      </c>
      <c r="P69" s="71" t="str">
        <f>IFERROR(__xludf.DUMMYFUNCTION("GOOGLETRANSLATE(D69,""zh-tw"",""zh"")"),"可以看到妹妹洗头、胸的场景
目前无偷窥失败、好感爱心的分歧，待制作。")</f>
        <v>可以看到妹妹洗头、胸的场景
目前无偷窥失败、好感爱心的分歧，待制作。</v>
      </c>
      <c r="Q69" s="98">
        <v>18.0</v>
      </c>
      <c r="R69" s="102" t="s">
        <v>1620</v>
      </c>
      <c r="S69" s="103" t="str">
        <f>IFERROR(__xludf.DUMMYFUNCTION("GOOGLETRANSLATE(C69,""zh-tw"",""es-MX"")"),"Es posible espiar a tu hermana mientras se baña sola.")</f>
        <v>Es posible espiar a tu hermana mientras se baña sola.</v>
      </c>
      <c r="T69" s="71" t="str">
        <f>IFERROR(__xludf.DUMMYFUNCTION("GOOGLETRANSLATE(D69,""zh-tw"",""es-MX"")"),"Se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9" s="98">
        <v>18.0</v>
      </c>
      <c r="V69" s="102" t="str">
        <f>IFERROR(__xludf.DUMMYFUNCTION("GOOGLETRANSLATE(B69,""zh-tw"",""KO"")"),"투명문-1")</f>
        <v>투명문-1</v>
      </c>
      <c r="W69" s="103" t="str">
        <f>IFERROR(__xludf.DUMMYFUNCTION("GOOGLETRANSLATE(C69,""zh-tw"",""KO"")"),"여동생이 혼자 목욕하는 모습을 엿볼 수도 있다.")</f>
        <v>여동생이 혼자 목욕하는 모습을 엿볼 수도 있다.</v>
      </c>
      <c r="X69" s="71" t="str">
        <f>IFERROR(__xludf.DUMMYFUNCTION("GOOGLETRANSLATE(D69,""zh-tw"",""KO"")"),"여동생이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69" s="98">
        <v>18.0</v>
      </c>
      <c r="Z69" s="116" t="str">
        <f>IFERROR(__xludf.DUMMYFUNCTION("IF(J69="""", """", GOOGLETRANSLATE(
J69,""en"",""ru""))"),"Прозрачная дверь - 1")</f>
        <v>Прозрачная дверь - 1</v>
      </c>
      <c r="AA69" s="117" t="s">
        <v>1621</v>
      </c>
      <c r="AB69" s="64" t="s">
        <v>1622</v>
      </c>
      <c r="AC69" s="98">
        <v>18.0</v>
      </c>
      <c r="AD69" s="99" t="s">
        <v>1623</v>
      </c>
      <c r="AE69" s="100" t="s">
        <v>1624</v>
      </c>
      <c r="AF69" s="101" t="s">
        <v>1625</v>
      </c>
      <c r="AG69" s="98">
        <v>18.0</v>
      </c>
      <c r="AH69" s="106" t="s">
        <v>1626</v>
      </c>
      <c r="AI69" s="100" t="s">
        <v>1627</v>
      </c>
      <c r="AJ69" s="101" t="s">
        <v>1628</v>
      </c>
      <c r="AK69" s="98">
        <v>18.0</v>
      </c>
      <c r="AL69" s="107" t="s">
        <v>1629</v>
      </c>
      <c r="AM69" s="108" t="s">
        <v>1630</v>
      </c>
      <c r="AN69" s="66" t="s">
        <v>1631</v>
      </c>
      <c r="AO69" s="101"/>
    </row>
    <row r="70">
      <c r="A70" s="98">
        <v>19.0</v>
      </c>
      <c r="B70" s="99" t="s">
        <v>1632</v>
      </c>
      <c r="C70" s="100" t="s">
        <v>1633</v>
      </c>
      <c r="D70" s="101" t="s">
        <v>1634</v>
      </c>
      <c r="E70" s="98">
        <v>19.0</v>
      </c>
      <c r="F70" s="99" t="s">
        <v>1635</v>
      </c>
      <c r="G70" s="100" t="s">
        <v>1636</v>
      </c>
      <c r="H70" s="101" t="s">
        <v>1637</v>
      </c>
      <c r="I70" s="98">
        <v>19.0</v>
      </c>
      <c r="J70" s="99" t="s">
        <v>1638</v>
      </c>
      <c r="K70" s="100" t="s">
        <v>1639</v>
      </c>
      <c r="L70" s="101" t="s">
        <v>1640</v>
      </c>
      <c r="M70" s="98">
        <v>19.0</v>
      </c>
      <c r="N70" s="99" t="str">
        <f>IFERROR(__xludf.DUMMYFUNCTION("GOOGLETRANSLATE(B70,""zh-tw"",""zh"")"),"透明的门-2")</f>
        <v>透明的门-2</v>
      </c>
      <c r="O70" s="103" t="str">
        <f>IFERROR(__xludf.DUMMYFUNCTION("GOOGLETRANSLATE(C70,""zh-tw"",""zh"")"),"在妹妹独自洗澡时，进行时间消耗，直到浴室门没有妹妹的身影，再进到浴室中偷窥，可以看到泡澡时的样子")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0" s="71" t="str">
        <f>IFERROR(__xludf.DUMMYFUNCTION("GOOGLETRANSLATE(D70,""zh-tw"",""zh"")"),"有无黄色小鸭有不同画面
(目前还没有制作无小鸭的场景，近期应该会更新)
目前无偷窥失败的场景")</f>
        <v>有无黄色小鸭有不同画面
(目前还没有制作无小鸭的场景，近期应该会更新)
目前无偷窥失败的场景</v>
      </c>
      <c r="Q70" s="98">
        <v>19.0</v>
      </c>
      <c r="R70" s="102" t="s">
        <v>1641</v>
      </c>
      <c r="S70" s="103" t="s">
        <v>1642</v>
      </c>
      <c r="T70" s="71" t="str">
        <f>IFERROR(__xludf.DUMMYFUNCTION("GOOGLETRANSLATE(D70,""zh-tw"",""es-MX"")"),"La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0" s="98">
        <v>19.0</v>
      </c>
      <c r="V70" s="102" t="str">
        <f>IFERROR(__xludf.DUMMYFUNCTION("GOOGLETRANSLATE(B70,""zh-tw"",""KO"")"),"투명문-2")</f>
        <v>투명문-2</v>
      </c>
      <c r="W70" s="103" t="str">
        <f>IFERROR(__xludf.DUMMYFUNCTION("GOOGLETRANSLATE(C70,""zh-tw"",""KO"")"),"여동생이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70" s="71" t="str">
        <f>IFERROR(__xludf.DUMMYFUNCTION("GOOGLETRANSLATE(D70,""zh-tw"",""KO"")"),"고무 오리의 존재 여부에 따라 시각적인 효과가 달라집니다.
(오리가 없는 장면은 아직 제작되지 않았습니다. 곧 업데이트될 예정입니다.)
현재는 엿보기 시도가 실패한 장면을 보여주는 장면이 없습니다.")</f>
        <v>고무 오리의 존재 여부에 따라 시각적인 효과가 달라집니다.
(오리가 없는 장면은 아직 제작되지 않았습니다. 곧 업데이트될 예정입니다.)
현재는 엿보기 시도가 실패한 장면을 보여주는 장면이 없습니다.</v>
      </c>
      <c r="Y70" s="98">
        <v>19.0</v>
      </c>
      <c r="Z70" s="116" t="str">
        <f>IFERROR(__xludf.DUMMYFUNCTION("IF(J70="""", """", GOOGLETRANSLATE(
J70,""en"",""ru""))"),"Прозрачная дверь - 2")</f>
        <v>Прозрачная дверь - 2</v>
      </c>
      <c r="AA70" s="117" t="s">
        <v>1643</v>
      </c>
      <c r="AB70" s="64" t="s">
        <v>1644</v>
      </c>
      <c r="AC70" s="98">
        <v>19.0</v>
      </c>
      <c r="AD70" s="99" t="s">
        <v>1645</v>
      </c>
      <c r="AE70" s="100" t="s">
        <v>1646</v>
      </c>
      <c r="AF70" s="101" t="s">
        <v>1647</v>
      </c>
      <c r="AG70" s="98">
        <v>19.0</v>
      </c>
      <c r="AH70" s="106" t="s">
        <v>1648</v>
      </c>
      <c r="AI70" s="100" t="s">
        <v>1649</v>
      </c>
      <c r="AJ70" s="101" t="s">
        <v>1650</v>
      </c>
      <c r="AK70" s="98">
        <v>19.0</v>
      </c>
      <c r="AL70" s="107" t="s">
        <v>1651</v>
      </c>
      <c r="AM70" s="115" t="s">
        <v>1652</v>
      </c>
      <c r="AN70" s="67" t="s">
        <v>1653</v>
      </c>
      <c r="AO70" s="101"/>
    </row>
    <row r="71">
      <c r="A71" s="121">
        <v>20.0</v>
      </c>
      <c r="B71" s="99" t="s">
        <v>1654</v>
      </c>
      <c r="C71" s="100" t="s">
        <v>1655</v>
      </c>
      <c r="D71" s="101" t="s">
        <v>1656</v>
      </c>
      <c r="E71" s="121">
        <v>20.0</v>
      </c>
      <c r="F71" s="99" t="s">
        <v>1657</v>
      </c>
      <c r="G71" s="100" t="s">
        <v>1658</v>
      </c>
      <c r="H71" s="101" t="s">
        <v>1659</v>
      </c>
      <c r="I71" s="121">
        <v>20.0</v>
      </c>
      <c r="J71" s="99" t="s">
        <v>1660</v>
      </c>
      <c r="K71" s="100" t="s">
        <v>1661</v>
      </c>
      <c r="L71" s="101" t="s">
        <v>1662</v>
      </c>
      <c r="M71" s="121">
        <v>20.0</v>
      </c>
      <c r="N71" s="99" t="str">
        <f>IFERROR(__xludf.DUMMYFUNCTION("GOOGLETRANSLATE(B71,""zh-tw"",""zh"")"),"透明的门-3")</f>
        <v>透明的门-3</v>
      </c>
      <c r="O71" s="103" t="str">
        <f>IFERROR(__xludf.DUMMYFUNCTION("GOOGLETRANSLATE(C71,""zh-tw"",""zh"")"),"在习得""气息消除""后，哥哥会在一个人洗澡时偷偷改造浴室门，使其变成忍者门。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1" s="71" t="str">
        <f>IFERROR(__xludf.DUMMYFUNCTION("GOOGLETRANSLATE(D71,""zh-tw"",""zh"")"),"特殊视角观看演出")</f>
        <v>特殊视角观看演出</v>
      </c>
      <c r="Q71" s="121">
        <v>20.0</v>
      </c>
      <c r="R71" s="102" t="s">
        <v>1663</v>
      </c>
      <c r="S71" s="103" t="s">
        <v>1664</v>
      </c>
      <c r="T71" s="71" t="s">
        <v>1665</v>
      </c>
      <c r="U71" s="121">
        <v>20.0</v>
      </c>
      <c r="V71" s="102" t="str">
        <f>IFERROR(__xludf.DUMMYFUNCTION("GOOGLETRANSLATE(B71,""zh-tw"",""KO"")"),"투명문-3")</f>
        <v>투명문-3</v>
      </c>
      <c r="W71" s="103" t="str">
        <f>IFERROR(__xludf.DUMMYFUNCTION("GOOGLETRANSLATE(C71,""zh-tw"",""KO"")"),"""냄새 제거""를 배운 오빠는 혼자 샤워할 때 욕실 문을 몰래 개조하여 닌자 문으로 만들어 버립니다.
닌자 문 사용 옵션은 세 번째 스테이지에서 오빠가 샤워하는 여동생을 엿볼 때 활성화됩니다.")</f>
        <v>"냄새 제거"를 배운 오빠는 혼자 샤워할 때 욕실 문을 몰래 개조하여 닌자 문으로 만들어 버립니다.
닌자 문 사용 옵션은 세 번째 스테이지에서 오빠가 샤워하는 여동생을 엿볼 때 활성화됩니다.</v>
      </c>
      <c r="X71" s="71" t="str">
        <f>IFERROR(__xludf.DUMMYFUNCTION("GOOGLETRANSLATE(D71,""zh-tw"",""KO"")"),"특별한 관점에서 공연을 보다")</f>
        <v>특별한 관점에서 공연을 보다</v>
      </c>
      <c r="Y71" s="121">
        <v>20.0</v>
      </c>
      <c r="Z71" s="116" t="str">
        <f>IFERROR(__xludf.DUMMYFUNCTION("IF(J71="""", """", GOOGLETRANSLATE(
J71,""en"",""ru""))"),"Прозрачная дверь - 3")</f>
        <v>Прозрачная дверь - 3</v>
      </c>
      <c r="AA71" s="117" t="str">
        <f>IFERROR(__xludf.DUMMYFUNCTION("IF(K71="""", """", GOOGLETRANSLATE(K71,""en"",""RU""))"),"Онии-тян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71" s="64" t="str">
        <f>IFERROR(__xludf.DUMMYFUNCTION("IF(L71="""", """", GOOGLETRANSLATE(L71, ""en"", ""ru""))
"),"Вы можете понаблюдать за принимающей душ сестрой с другого ракурса.")</f>
        <v>Вы можете понаблюдать за принимающей душ сестрой с другого ракурса.</v>
      </c>
      <c r="AC71" s="121">
        <v>20.0</v>
      </c>
      <c r="AD71" s="99" t="s">
        <v>1666</v>
      </c>
      <c r="AE71" s="100" t="s">
        <v>1667</v>
      </c>
      <c r="AF71" s="101" t="s">
        <v>1668</v>
      </c>
      <c r="AG71" s="121">
        <v>20.0</v>
      </c>
      <c r="AH71" s="106" t="s">
        <v>1669</v>
      </c>
      <c r="AI71" s="100" t="s">
        <v>1670</v>
      </c>
      <c r="AJ71" s="101" t="s">
        <v>1671</v>
      </c>
      <c r="AK71" s="98">
        <v>20.0</v>
      </c>
      <c r="AL71" s="107" t="s">
        <v>1672</v>
      </c>
      <c r="AM71" s="108" t="s">
        <v>1673</v>
      </c>
      <c r="AN71" s="67" t="s">
        <v>1674</v>
      </c>
      <c r="AO71" s="101"/>
    </row>
    <row r="72" ht="41.25" customHeight="1">
      <c r="A72" s="98">
        <v>21.0</v>
      </c>
      <c r="B72" s="99" t="s">
        <v>1675</v>
      </c>
      <c r="C72" s="100" t="s">
        <v>1676</v>
      </c>
      <c r="D72" s="101" t="s">
        <v>1677</v>
      </c>
      <c r="E72" s="98">
        <v>21.0</v>
      </c>
      <c r="F72" s="99" t="s">
        <v>1678</v>
      </c>
      <c r="G72" s="100" t="s">
        <v>1679</v>
      </c>
      <c r="H72" s="101" t="s">
        <v>1680</v>
      </c>
      <c r="I72" s="98">
        <v>21.0</v>
      </c>
      <c r="J72" s="99" t="s">
        <v>1681</v>
      </c>
      <c r="K72" s="100" t="s">
        <v>1682</v>
      </c>
      <c r="L72" s="101" t="s">
        <v>1683</v>
      </c>
      <c r="M72" s="98">
        <v>21.0</v>
      </c>
      <c r="N72" s="99" t="str">
        <f>IFERROR(__xludf.DUMMYFUNCTION("GOOGLETRANSLATE(B72,""zh-tw"",""zh"")"),"一起洗澡")</f>
        <v>一起洗澡</v>
      </c>
      <c r="O72" s="103" t="str">
        <f>IFERROR(__xludf.DUMMYFUNCTION("GOOGLETRANSLATE(C72,""zh-tw"",""zh"")"),"当好感度大于2时")</f>
        <v>当好感度大于2时</v>
      </c>
      <c r="P72" s="71" t="str">
        <f>IFERROR(__xludf.DUMMYFUNCTION("GOOGLETRANSLATE(D72,""zh-tw"",""zh"")"),"可以和妹妹一起洗澡")</f>
        <v>可以和妹妹一起洗澡</v>
      </c>
      <c r="Q72" s="98">
        <v>21.0</v>
      </c>
      <c r="R72" s="99" t="s">
        <v>1684</v>
      </c>
      <c r="S72" s="103" t="s">
        <v>1685</v>
      </c>
      <c r="T72" s="71" t="s">
        <v>1686</v>
      </c>
      <c r="U72" s="98">
        <v>21.0</v>
      </c>
      <c r="V72" s="102" t="str">
        <f>IFERROR(__xludf.DUMMYFUNCTION("GOOGLETRANSLATE(B72,""zh-tw"",""KO"")"),"같이 목욕해요")</f>
        <v>같이 목욕해요</v>
      </c>
      <c r="W72" s="103" t="str">
        <f>IFERROR(__xludf.DUMMYFUNCTION("GOOGLETRANSLATE(C72,""zh-tw"",""KO"")"),"호감도가 2보다 큰 경우")</f>
        <v>호감도가 2보다 큰 경우</v>
      </c>
      <c r="X72" s="71" t="str">
        <f>IFERROR(__xludf.DUMMYFUNCTION("GOOGLETRANSLATE(D72,""zh-tw"",""KO"")"),"여동생과 함께 목욕을 할 수 있어요.")</f>
        <v>여동생과 함께 목욕을 할 수 있어요.</v>
      </c>
      <c r="Y72" s="98">
        <v>21.0</v>
      </c>
      <c r="Z72" s="116" t="str">
        <f>IFERROR(__xludf.DUMMYFUNCTION("IF(J72="""", """", GOOGLETRANSLATE(
J72,""en"",""ru""))"),"Давайте купаться вместе")</f>
        <v>Давайте купаться вместе</v>
      </c>
      <c r="AA72" s="117" t="str">
        <f>IFERROR(__xludf.DUMMYFUNCTION("IF(K72="""", """", GOOGLETRANSLATE(K72,""en"",""RU""))"),"Открывается, когда благосклонность достигает уровня 2.")</f>
        <v>Открывается, когда благосклонность достигает уровня 2.</v>
      </c>
      <c r="AB72" s="64" t="str">
        <f>IFERROR(__xludf.DUMMYFUNCTION("IF(L72="""", """", GOOGLETRANSLATE(L72, ""en"", ""ru""))
"),"Позволяет купаться вместе с Имото")</f>
        <v>Позволяет купаться вместе с Имото</v>
      </c>
      <c r="AC72" s="98">
        <v>21.0</v>
      </c>
      <c r="AD72" s="99" t="s">
        <v>1687</v>
      </c>
      <c r="AE72" s="100" t="s">
        <v>1688</v>
      </c>
      <c r="AF72" s="101" t="s">
        <v>1689</v>
      </c>
      <c r="AG72" s="98">
        <v>21.0</v>
      </c>
      <c r="AH72" s="106" t="s">
        <v>1690</v>
      </c>
      <c r="AI72" s="100" t="s">
        <v>1691</v>
      </c>
      <c r="AJ72" s="101" t="s">
        <v>1692</v>
      </c>
      <c r="AK72" s="98">
        <v>21.0</v>
      </c>
      <c r="AL72" s="107" t="s">
        <v>1693</v>
      </c>
      <c r="AM72" s="115" t="s">
        <v>1694</v>
      </c>
      <c r="AN72" s="67" t="s">
        <v>1695</v>
      </c>
      <c r="AO72" s="101"/>
    </row>
    <row r="73">
      <c r="A73" s="98">
        <v>22.0</v>
      </c>
      <c r="B73" s="99" t="s">
        <v>1696</v>
      </c>
      <c r="C73" s="100" t="s">
        <v>1697</v>
      </c>
      <c r="D73" s="101" t="s">
        <v>1698</v>
      </c>
      <c r="E73" s="98">
        <v>22.0</v>
      </c>
      <c r="F73" s="99" t="s">
        <v>1699</v>
      </c>
      <c r="G73" s="100" t="s">
        <v>1700</v>
      </c>
      <c r="H73" s="101" t="s">
        <v>1701</v>
      </c>
      <c r="I73" s="98">
        <v>22.0</v>
      </c>
      <c r="J73" s="99" t="s">
        <v>1702</v>
      </c>
      <c r="K73" s="100" t="s">
        <v>1703</v>
      </c>
      <c r="L73" s="101" t="s">
        <v>1704</v>
      </c>
      <c r="M73" s="98">
        <v>22.0</v>
      </c>
      <c r="N73" s="99" t="str">
        <f>IFERROR(__xludf.DUMMYFUNCTION("GOOGLETRANSLATE(B73,""zh-tw"",""zh"")"),"拜托一起洗")</f>
        <v>拜托一起洗</v>
      </c>
      <c r="O73" s="103" t="str">
        <f>IFERROR(__xludf.DUMMYFUNCTION("GOOGLETRANSLATE(C73,""zh-tw"",""zh"")"),"已经满足和妹妹一起洗澡的条件，但妹妹心情低落")</f>
        <v>已经满足和妹妹一起洗澡的条件，但妹妹心情低落</v>
      </c>
      <c r="P73" s="71" t="str">
        <f>IFERROR(__xludf.DUMMYFUNCTION("GOOGLETRANSLATE(D73,""zh-tw"",""zh"")"),"特殊选项")</f>
        <v>特殊选项</v>
      </c>
      <c r="Q73" s="98">
        <v>22.0</v>
      </c>
      <c r="R73" s="99" t="s">
        <v>1705</v>
      </c>
      <c r="S73" s="103" t="str">
        <f>IFERROR(__xludf.DUMMYFUNCTION("GOOGLETRANSLATE(C73,""zh-tw"",""es-MX"")"),"Se cumplen las condiciones para tomar un baño juntos, pero mi hermana está de mal humor.")</f>
        <v>Se cumplen las condiciones para tomar un baño juntos, pero mi hermana está de mal humor.</v>
      </c>
      <c r="T73" s="71" t="str">
        <f>IFERROR(__xludf.DUMMYFUNCTION("GOOGLETRANSLATE(D73,""zh-tw"",""es-MX"")"),"Opciones especiales")</f>
        <v>Opciones especiales</v>
      </c>
      <c r="U73" s="98">
        <v>22.0</v>
      </c>
      <c r="V73" s="102" t="str">
        <f>IFERROR(__xludf.DUMMYFUNCTION("GOOGLETRANSLATE(B73,""zh-tw"",""KO"")"),"함께 세탁해주세요")</f>
        <v>함께 세탁해주세요</v>
      </c>
      <c r="W73" s="103" t="str">
        <f>IFERROR(__xludf.DUMMYFUNCTION("GOOGLETRANSLATE(C73,""zh-tw"",""KO"")"),"함께 목욕할 조건은 충족되었지만, 언니는 기분이 좋지 않아요.")</f>
        <v>함께 목욕할 조건은 충족되었지만, 언니는 기분이 좋지 않아요.</v>
      </c>
      <c r="X73" s="71" t="str">
        <f>IFERROR(__xludf.DUMMYFUNCTION("GOOGLETRANSLATE(D73,""zh-tw"",""KO"")"),"특별 옵션")</f>
        <v>특별 옵션</v>
      </c>
      <c r="Y73" s="98">
        <v>22.0</v>
      </c>
      <c r="Z73" s="104" t="s">
        <v>1706</v>
      </c>
      <c r="AA73" s="114" t="s">
        <v>1707</v>
      </c>
      <c r="AB73" s="111" t="s">
        <v>1708</v>
      </c>
      <c r="AC73" s="98">
        <v>22.0</v>
      </c>
      <c r="AD73" s="99" t="s">
        <v>1709</v>
      </c>
      <c r="AE73" s="100" t="s">
        <v>1710</v>
      </c>
      <c r="AF73" s="101" t="s">
        <v>1711</v>
      </c>
      <c r="AG73" s="98">
        <v>22.0</v>
      </c>
      <c r="AH73" s="106" t="s">
        <v>1712</v>
      </c>
      <c r="AI73" s="100" t="s">
        <v>1713</v>
      </c>
      <c r="AJ73" s="101" t="s">
        <v>1714</v>
      </c>
      <c r="AK73" s="98">
        <v>22.0</v>
      </c>
      <c r="AL73" s="107" t="s">
        <v>1715</v>
      </c>
      <c r="AM73" s="108" t="s">
        <v>1716</v>
      </c>
      <c r="AN73" s="67" t="s">
        <v>1717</v>
      </c>
      <c r="AO73" s="101"/>
    </row>
    <row r="74">
      <c r="A74" s="121">
        <v>23.0</v>
      </c>
      <c r="B74" s="99" t="s">
        <v>1718</v>
      </c>
      <c r="C74" s="100" t="s">
        <v>1719</v>
      </c>
      <c r="D74" s="101" t="s">
        <v>1720</v>
      </c>
      <c r="E74" s="121">
        <v>23.0</v>
      </c>
      <c r="F74" s="99" t="s">
        <v>1721</v>
      </c>
      <c r="G74" s="100" t="s">
        <v>1722</v>
      </c>
      <c r="H74" s="101" t="s">
        <v>1723</v>
      </c>
      <c r="I74" s="121">
        <v>23.0</v>
      </c>
      <c r="J74" s="99" t="s">
        <v>1724</v>
      </c>
      <c r="K74" s="100" t="s">
        <v>1725</v>
      </c>
      <c r="L74" s="101" t="s">
        <v>1726</v>
      </c>
      <c r="M74" s="121">
        <v>23.0</v>
      </c>
      <c r="N74" s="99" t="str">
        <f>IFERROR(__xludf.DUMMYFUNCTION("GOOGLETRANSLATE(B74,""zh-tw"",""zh"")"),"快要热晕了-1")</f>
        <v>快要热晕了-1</v>
      </c>
      <c r="O74" s="103" t="str">
        <f>IFERROR(__xludf.DUMMYFUNCTION("GOOGLETRANSLATE(C74,""zh-tw"",""zh"")"),"在没有紫心的情况下，与妹妹一起泡澡时，如果一直摸妹妹，妹妹会逃跑")</f>
        <v>在没有紫心的情况下，与妹妹一起泡澡时，如果一直摸妹妹，妹妹会逃跑</v>
      </c>
      <c r="P74" s="71" t="str">
        <f>IFERROR(__xludf.DUMMYFUNCTION("GOOGLETRANSLATE(D74,""zh-tw"",""zh"")"),"妹妹逃跑了")</f>
        <v>妹妹逃跑了</v>
      </c>
      <c r="Q74" s="121">
        <v>23.0</v>
      </c>
      <c r="R74" s="99" t="str">
        <f>IFERROR(__xludf.DUMMYFUNCTION("GOOGLETRANSLATE(B74,""zh-tw"",""es-MX"")"),"Estoy a punto de desmayarme por el calor -1")</f>
        <v>Estoy a punto de desmayarme por el calor -1</v>
      </c>
      <c r="S74" s="100" t="str">
        <f>IFERROR(__xludf.DUMMYFUNCTION("GOOGLETRANSLATE(C74,""zh-tw"",""es-MX"")"),"Si sigues tocando a tu hermana menor mientras te bañas con ella (sin un corazón morado), ella huirá.")</f>
        <v>Si sigues tocando a tu hermana menor mientras te bañas con ella (sin un corazón morado), ella huirá.</v>
      </c>
      <c r="T74" s="71" t="str">
        <f>IFERROR(__xludf.DUMMYFUNCTION("GOOGLETRANSLATE(D74,""zh-tw"",""es-MX"")"),"Mi hermana se escapó.")</f>
        <v>Mi hermana se escapó.</v>
      </c>
      <c r="U74" s="121">
        <v>23.0</v>
      </c>
      <c r="V74" s="102" t="str">
        <f>IFERROR(__xludf.DUMMYFUNCTION("GOOGLETRANSLATE(B74,""zh-tw"",""KO"")"),"더위에 기절할 것 같아요 -1")</f>
        <v>더위에 기절할 것 같아요 -1</v>
      </c>
      <c r="W74" s="103" t="str">
        <f>IFERROR(__xludf.DUMMYFUNCTION("GOOGLETRANSLATE(C74,""zh-tw"",""KO"")"),"여동생(보라색 하트가 없는)과 함께 목욕을 하면서 계속 만지면, 여동생은 도망갈 것입니다.")</f>
        <v>여동생(보라색 하트가 없는)과 함께 목욕을 하면서 계속 만지면, 여동생은 도망갈 것입니다.</v>
      </c>
      <c r="X74" s="71" t="str">
        <f>IFERROR(__xludf.DUMMYFUNCTION("GOOGLETRANSLATE(D74,""zh-tw"",""KO"")"),"내 여동생은 도망갔어요.")</f>
        <v>내 여동생은 도망갔어요.</v>
      </c>
      <c r="Y74" s="121">
        <v>23.0</v>
      </c>
      <c r="Z74" s="116" t="str">
        <f>IFERROR(__xludf.DUMMYFUNCTION("IF(J74="""", """", GOOGLETRANSLATE(
J74,""en"",""ru""))"),"Почти потерял сознание - 1")</f>
        <v>Почти потерял сознание - 1</v>
      </c>
      <c r="AA74" s="117" t="str">
        <f>IFERROR(__xludf.DUMMYFUNCTION("IF(K74="""", """", GOOGLETRANSLATE(K74,""en"",""RU""))"),"Если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4" s="64" t="str">
        <f>IFERROR(__xludf.DUMMYFUNCTION("IF(L74="""", """", GOOGLETRANSLATE(L74, ""en"", ""ru""))
"),"«Имуто сбежал»")</f>
        <v>«Имуто сбежал»</v>
      </c>
      <c r="AC74" s="121">
        <v>23.0</v>
      </c>
      <c r="AD74" s="99" t="s">
        <v>1727</v>
      </c>
      <c r="AE74" s="100" t="s">
        <v>1728</v>
      </c>
      <c r="AF74" s="101" t="s">
        <v>1729</v>
      </c>
      <c r="AG74" s="121">
        <v>23.0</v>
      </c>
      <c r="AH74" s="106" t="s">
        <v>1730</v>
      </c>
      <c r="AI74" s="100" t="s">
        <v>1731</v>
      </c>
      <c r="AJ74" s="101" t="s">
        <v>1732</v>
      </c>
      <c r="AK74" s="98">
        <v>23.0</v>
      </c>
      <c r="AL74" s="107" t="s">
        <v>1733</v>
      </c>
      <c r="AM74" s="115" t="s">
        <v>1734</v>
      </c>
      <c r="AN74" s="67" t="s">
        <v>1735</v>
      </c>
      <c r="AO74" s="101"/>
    </row>
    <row r="75">
      <c r="A75" s="98">
        <v>24.0</v>
      </c>
      <c r="B75" s="99" t="s">
        <v>1736</v>
      </c>
      <c r="C75" s="100" t="s">
        <v>1737</v>
      </c>
      <c r="D75" s="101" t="s">
        <v>1738</v>
      </c>
      <c r="E75" s="98">
        <v>24.0</v>
      </c>
      <c r="F75" s="99" t="s">
        <v>1739</v>
      </c>
      <c r="G75" s="100" t="s">
        <v>1740</v>
      </c>
      <c r="H75" s="101" t="s">
        <v>1741</v>
      </c>
      <c r="I75" s="98">
        <v>24.0</v>
      </c>
      <c r="J75" s="99" t="s">
        <v>1724</v>
      </c>
      <c r="K75" s="100" t="s">
        <v>1742</v>
      </c>
      <c r="L75" s="101" t="s">
        <v>1743</v>
      </c>
      <c r="M75" s="98">
        <v>24.0</v>
      </c>
      <c r="N75" s="99" t="str">
        <f>IFERROR(__xludf.DUMMYFUNCTION("GOOGLETRANSLATE(B75,""zh-tw"",""zh"")"),"快要热晕了-2")</f>
        <v>快要热晕了-2</v>
      </c>
      <c r="O75" s="103" t="str">
        <f>IFERROR(__xludf.DUMMYFUNCTION("GOOGLETRANSLATE(C75,""zh-tw"",""zh"")"),"有至少一颗紫心时，一直摸妹妹，妹妹会热到晕倒")</f>
        <v>有至少一颗紫心时，一直摸妹妹，妹妹会热到晕倒</v>
      </c>
      <c r="P75" s="71" t="str">
        <f>IFERROR(__xludf.DUMMYFUNCTION("GOOGLETRANSLATE(D75,""zh-tw"",""zh"")"),"妹妹热晕了
*此为一次性事件")</f>
        <v>妹妹热晕了
*此为一次性事件</v>
      </c>
      <c r="Q75" s="98">
        <v>24.0</v>
      </c>
      <c r="R75" s="99" t="str">
        <f>IFERROR(__xludf.DUMMYFUNCTION("GOOGLETRANSLATE(B75,""zh-tw"",""es-MX"")"),"Estoy a punto de desmayarme por el calor -2")</f>
        <v>Estoy a punto de desmayarme por el calor -2</v>
      </c>
      <c r="S75" s="100" t="str">
        <f>IFERROR(__xludf.DUMMYFUNCTION("GOOGLETRANSLATE(C75,""zh-tw"",""es-MX"")"),"Si sigues tocando a tu hermana cuando tiene al menos un corazón morado, se pondrá tan caliente que se desmayará.")</f>
        <v>Si sigues tocando a tu hermana cuando tiene al menos un corazón morado, se pondrá tan caliente que se desmayará.</v>
      </c>
      <c r="T75" s="71" t="str">
        <f>IFERROR(__xludf.DUMMYFUNCTION("GOOGLETRANSLATE(D75,""zh-tw"",""es-MX"")"),"Mi hermana se desmayó por el calor.
*Esto es algo que ocurrió una sola vez.")</f>
        <v>Mi hermana se desmayó por el calor.
*Esto es algo que ocurrió una sola vez.</v>
      </c>
      <c r="U75" s="98">
        <v>24.0</v>
      </c>
      <c r="V75" s="102" t="str">
        <f>IFERROR(__xludf.DUMMYFUNCTION("GOOGLETRANSLATE(B75,""zh-tw"",""KO"")"),"더위로 기절할 것 같아요 -2")</f>
        <v>더위로 기절할 것 같아요 -2</v>
      </c>
      <c r="W75" s="103" t="str">
        <f>IFERROR(__xludf.DUMMYFUNCTION("GOOGLETRANSLATE(C75,""zh-tw"",""KO"")"),"여동생이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5" s="71" t="str">
        <f>IFERROR(__xludf.DUMMYFUNCTION("GOOGLETRANSLATE(D75,""zh-tw"",""KO"")"),"언니가 더위 때문에 기절했어요.
*이건 일회성 사건이에요.")</f>
        <v>언니가 더위 때문에 기절했어요.
*이건 일회성 사건이에요.</v>
      </c>
      <c r="Y75" s="98">
        <v>24.0</v>
      </c>
      <c r="Z75" s="116" t="str">
        <f>IFERROR(__xludf.DUMMYFUNCTION("IF(J75="""", """", GOOGLETRANSLATE(
J75,""en"",""ru""))"),"Почти потерял сознание - 1")</f>
        <v>Почти потерял сознание - 1</v>
      </c>
      <c r="AA75" s="117" t="str">
        <f>IFERROR(__xludf.DUMMYFUNCTION("IF(K75="""", """", GOOGLETRANSLATE(K75,""en"",""RU""))"),"Подобно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5" s="64" t="str">
        <f>IFERROR(__xludf.DUMMYFUNCTION("IF(L75="""", """", GOOGLETRANSLATE(L75, ""en"", ""ru""))
"),"«Имуто потеряла сознание от жары»
*Разовое событие")</f>
        <v>«Имуто потеряла сознание от жары»
*Разовое событие</v>
      </c>
      <c r="AC75" s="98">
        <v>24.0</v>
      </c>
      <c r="AD75" s="99" t="s">
        <v>1744</v>
      </c>
      <c r="AE75" s="100" t="s">
        <v>1745</v>
      </c>
      <c r="AF75" s="101" t="s">
        <v>1746</v>
      </c>
      <c r="AG75" s="98">
        <v>24.0</v>
      </c>
      <c r="AH75" s="106" t="s">
        <v>1747</v>
      </c>
      <c r="AI75" s="100" t="s">
        <v>1748</v>
      </c>
      <c r="AJ75" s="101" t="s">
        <v>1749</v>
      </c>
      <c r="AK75" s="98">
        <v>24.0</v>
      </c>
      <c r="AL75" s="107" t="s">
        <v>1750</v>
      </c>
      <c r="AM75" s="115" t="s">
        <v>1751</v>
      </c>
      <c r="AN75" s="67" t="s">
        <v>1752</v>
      </c>
      <c r="AO75" s="101"/>
    </row>
    <row r="76">
      <c r="A76" s="98">
        <v>25.0</v>
      </c>
      <c r="B76" s="99" t="s">
        <v>1753</v>
      </c>
      <c r="C76" s="100" t="s">
        <v>1754</v>
      </c>
      <c r="D76" s="101" t="s">
        <v>1755</v>
      </c>
      <c r="E76" s="98">
        <v>25.0</v>
      </c>
      <c r="F76" s="99" t="s">
        <v>1756</v>
      </c>
      <c r="G76" s="100" t="s">
        <v>1757</v>
      </c>
      <c r="H76" s="101" t="s">
        <v>1755</v>
      </c>
      <c r="I76" s="98">
        <v>25.0</v>
      </c>
      <c r="J76" s="99" t="s">
        <v>1724</v>
      </c>
      <c r="K76" s="100" t="s">
        <v>1758</v>
      </c>
      <c r="L76" s="101" t="s">
        <v>1759</v>
      </c>
      <c r="M76" s="98">
        <v>25.0</v>
      </c>
      <c r="N76" s="99" t="str">
        <f>IFERROR(__xludf.DUMMYFUNCTION("GOOGLETRANSLATE(B76,""zh-tw"",""zh"")"),"快要热晕了-3")</f>
        <v>快要热晕了-3</v>
      </c>
      <c r="O76" s="103" t="str">
        <f>IFERROR(__xludf.DUMMYFUNCTION("GOOGLETRANSLATE(C76,""zh-tw"",""zh"")"),"同上，第二次进入热晕环节前，会进入特殊画面")</f>
        <v>同上，第二次进入热晕环节前，会进入特殊画面</v>
      </c>
      <c r="P76" s="71" t="str">
        <f>IFERROR(__xludf.DUMMYFUNCTION("GOOGLETRANSLATE(D76,""zh-tw"",""zh"")"),"CG演出")</f>
        <v>CG演出</v>
      </c>
      <c r="Q76" s="98">
        <v>25.0</v>
      </c>
      <c r="R76" s="99" t="str">
        <f>IFERROR(__xludf.DUMMYFUNCTION("GOOGLETRANSLATE(B76,""zh-tw"",""es-MX"")"),"Estoy a punto de desmayarme por el calor -3")</f>
        <v>Estoy a punto de desmayarme por el calor -3</v>
      </c>
      <c r="S76" s="100" t="str">
        <f>IFERROR(__xludf.DUMMYFUNCTION("GOOGLETRANSLATE(C76,""zh-tw"",""es-MX"")"),"Como se mencionó anteriormente, se reproducirá una escena especial antes de la segunda fase de insolación.")</f>
        <v>Como se mencionó anteriormente, se reproducirá una escena especial antes de la segunda fase de insolación.</v>
      </c>
      <c r="T76" s="71" t="str">
        <f>IFERROR(__xludf.DUMMYFUNCTION("GOOGLETRANSLATE(D76,""zh-tw"",""es-MX"")"),"Rendimiento de CG")</f>
        <v>Rendimiento de CG</v>
      </c>
      <c r="U76" s="98">
        <v>25.0</v>
      </c>
      <c r="V76" s="102" t="str">
        <f>IFERROR(__xludf.DUMMYFUNCTION("GOOGLETRANSLATE(B76,""zh-tw"",""KO"")"),"더위로 기절할 것 같아요 -3")</f>
        <v>더위로 기절할 것 같아요 -3</v>
      </c>
      <c r="W76" s="103" t="str">
        <f>IFERROR(__xludf.DUMMYFUNCTION("GOOGLETRANSLATE(C76,""zh-tw"",""KO"")"),"위와 같이, 두 번째 열사병 단계 전에는 특별한 장면이 재생됩니다.")</f>
        <v>위와 같이, 두 번째 열사병 단계 전에는 특별한 장면이 재생됩니다.</v>
      </c>
      <c r="X76" s="71" t="str">
        <f>IFERROR(__xludf.DUMMYFUNCTION("GOOGLETRANSLATE(D76,""zh-tw"",""KO"")"),"CG 성능")</f>
        <v>CG 성능</v>
      </c>
      <c r="Y76" s="98">
        <v>25.0</v>
      </c>
      <c r="Z76" s="116" t="str">
        <f>IFERROR(__xludf.DUMMYFUNCTION("IF(J76="""", """", GOOGLETRANSLATE(
J76,""en"",""ru""))"),"Почти потерял сознание - 1")</f>
        <v>Почти потерял сознание - 1</v>
      </c>
      <c r="AA76" s="117" t="str">
        <f>IFERROR(__xludf.DUMMYFUNCTION("IF(K76="""", """", GOOGLETRANSLATE(K76,""en"",""RU""))"),"Подобно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6" s="64" t="str">
        <f>IFERROR(__xludf.DUMMYFUNCTION("IF(L76="""", """", GOOGLETRANSLATE(L76, ""en"", ""ru""))
"),"Появится специальная компьютерная графика")</f>
        <v>Появится специальная компьютерная графика</v>
      </c>
      <c r="AC76" s="98">
        <v>25.0</v>
      </c>
      <c r="AD76" s="99" t="s">
        <v>1760</v>
      </c>
      <c r="AE76" s="100" t="s">
        <v>1761</v>
      </c>
      <c r="AF76" s="101" t="s">
        <v>1762</v>
      </c>
      <c r="AG76" s="98">
        <v>25.0</v>
      </c>
      <c r="AH76" s="106" t="s">
        <v>1763</v>
      </c>
      <c r="AI76" s="100" t="s">
        <v>1764</v>
      </c>
      <c r="AJ76" s="101" t="s">
        <v>1765</v>
      </c>
      <c r="AK76" s="98">
        <v>25.0</v>
      </c>
      <c r="AL76" s="107" t="s">
        <v>1766</v>
      </c>
      <c r="AM76" s="108" t="s">
        <v>1767</v>
      </c>
      <c r="AN76" s="67" t="s">
        <v>1768</v>
      </c>
      <c r="AO76" s="101"/>
    </row>
    <row r="77">
      <c r="A77" s="121">
        <v>26.0</v>
      </c>
      <c r="B77" s="99" t="s">
        <v>1769</v>
      </c>
      <c r="C77" s="100" t="s">
        <v>1770</v>
      </c>
      <c r="D77" s="101" t="s">
        <v>1771</v>
      </c>
      <c r="E77" s="121">
        <v>26.0</v>
      </c>
      <c r="F77" s="99" t="s">
        <v>1772</v>
      </c>
      <c r="G77" s="100" t="s">
        <v>1773</v>
      </c>
      <c r="H77" s="101" t="s">
        <v>1774</v>
      </c>
      <c r="I77" s="121">
        <v>26.0</v>
      </c>
      <c r="J77" s="99" t="s">
        <v>1775</v>
      </c>
      <c r="K77" s="100" t="s">
        <v>1776</v>
      </c>
      <c r="L77" s="101" t="s">
        <v>1777</v>
      </c>
      <c r="M77" s="121">
        <v>26.0</v>
      </c>
      <c r="N77" s="99" t="str">
        <f>IFERROR(__xludf.DUMMYFUNCTION("GOOGLETRANSLATE(B77,""zh-tw"",""zh"")"),"请妹妹帮忙洗-1")</f>
        <v>请妹妹帮忙洗-1</v>
      </c>
      <c r="O77" s="103" t="str">
        <f>IFERROR(__xludf.DUMMYFUNCTION("GOOGLETRANSLATE(C77,""zh-tw"",""zh"")"),"在和妹妹共浴时，请妹妹帮忙擦背")</f>
        <v>在和妹妹共浴时，请妹妹帮忙擦背</v>
      </c>
      <c r="P77" s="71" t="str">
        <f>IFERROR(__xludf.DUMMYFUNCTION("GOOGLETRANSLATE(D77,""zh-tw"",""zh"")"),"触发一段剧情
并于下一次时新增一个选项：清洗前方")</f>
        <v>触发一段剧情
并于下一次时新增一个选项：清洗前方</v>
      </c>
      <c r="Q77" s="121">
        <v>26.0</v>
      </c>
      <c r="R77" s="99" t="str">
        <f>IFERROR(__xludf.DUMMYFUNCTION("GOOGLETRANSLATE(B77,""zh-tw"",""es-MX"")"),"Por favor pídele a mi hermana que me ayude a lavar -1")</f>
        <v>Por favor pídele a mi hermana que me ayude a lavar -1</v>
      </c>
      <c r="S77" s="100" t="str">
        <f>IFERROR(__xludf.DUMMYFUNCTION("GOOGLETRANSLATE(C77,""zh-tw"",""es-MX"")"),"Cuando me estaba bañando con mi hermana menor, le pedí que me ayudara a frotarme la espalda.")</f>
        <v>Cuando me estaba bañando con mi hermana menor, le pedí que me ayudara a frotarme la espalda.</v>
      </c>
      <c r="T77" s="71" t="str">
        <f>IFERROR(__xludf.DUMMYFUNCTION("GOOGLETRANSLATE(D77,""zh-tw"",""es-MX"")"),"Esto activa una escena y agrega una nueva opción la próxima vez: limpiar el área que se avecina.")</f>
        <v>Esto activa una escena y agrega una nueva opción la próxima vez: limpiar el área que se avecina.</v>
      </c>
      <c r="U77" s="121">
        <v>26.0</v>
      </c>
      <c r="V77" s="102" t="str">
        <f>IFERROR(__xludf.DUMMYFUNCTION("GOOGLETRANSLATE(B77,""zh-tw"",""KO"")"),"언니한테 씻는거 도와달라고 부탁해 -1")</f>
        <v>언니한테 씻는거 도와달라고 부탁해 -1</v>
      </c>
      <c r="W77" s="103" t="str">
        <f>IFERROR(__xludf.DUMMYFUNCTION("GOOGLETRANSLATE(C77,""zh-tw"",""KO"")"),"여동생과 함께 목욕을 할 때, 등을 닦는 것을 도와달라고 부탁했습니다.")</f>
        <v>여동생과 함께 목욕을 할 때, 등을 닦는 것을 도와달라고 부탁했습니다.</v>
      </c>
      <c r="X77" s="71" t="str">
        <f>IFERROR(__xludf.DUMMYFUNCTION("GOOGLETRANSLATE(D77,""zh-tw"",""KO"")"),"이렇게 하면 컷신이 시작되고 다음 번에는 새로운 옵션이 추가됩니다: 앞의 구역을 정리하세요.")</f>
        <v>이렇게 하면 컷신이 시작되고 다음 번에는 새로운 옵션이 추가됩니다: 앞의 구역을 정리하세요.</v>
      </c>
      <c r="Y77" s="121">
        <v>26.0</v>
      </c>
      <c r="Z77" s="116" t="str">
        <f>IFERROR(__xludf.DUMMYFUNCTION("IF(J77="""", """", GOOGLETRANSLATE(
J77,""en"",""ru""))"),"Стирка Имото - 1")</f>
        <v>Стирка Имото - 1</v>
      </c>
      <c r="AA77" s="117" t="str">
        <f>IFERROR(__xludf.DUMMYFUNCTION("IF(K77="""", """", GOOGLETRANSLATE(K77,""en"",""RU""))"),"Когда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7" s="64" t="str">
        <f>IFERROR(__xludf.DUMMYFUNCTION("IF(L77="""", """", GOOGLETRANSLATE(L77, ""en"", ""ru""))
"),"Запускается новая сцена.
Добавлена ​​новая опция: «Мойка фасада».")</f>
        <v>Запускается новая сцена.
Добавлена ​​новая опция: «Мойка фасада».</v>
      </c>
      <c r="AC77" s="121">
        <v>26.0</v>
      </c>
      <c r="AD77" s="99" t="s">
        <v>1778</v>
      </c>
      <c r="AE77" s="100" t="s">
        <v>1779</v>
      </c>
      <c r="AF77" s="101" t="s">
        <v>1780</v>
      </c>
      <c r="AG77" s="121">
        <v>26.0</v>
      </c>
      <c r="AH77" s="106" t="s">
        <v>1781</v>
      </c>
      <c r="AI77" s="100" t="s">
        <v>1782</v>
      </c>
      <c r="AJ77" s="101" t="s">
        <v>1783</v>
      </c>
      <c r="AK77" s="98">
        <v>26.0</v>
      </c>
      <c r="AL77" s="107" t="s">
        <v>1784</v>
      </c>
      <c r="AM77" s="108" t="s">
        <v>1785</v>
      </c>
      <c r="AN77" s="67" t="s">
        <v>1786</v>
      </c>
      <c r="AO77" s="101"/>
    </row>
    <row r="78">
      <c r="A78" s="98">
        <v>27.0</v>
      </c>
      <c r="B78" s="99" t="s">
        <v>1787</v>
      </c>
      <c r="C78" s="100" t="s">
        <v>1788</v>
      </c>
      <c r="D78" s="101" t="s">
        <v>1789</v>
      </c>
      <c r="E78" s="98">
        <v>27.0</v>
      </c>
      <c r="F78" s="99" t="s">
        <v>1790</v>
      </c>
      <c r="G78" s="100" t="s">
        <v>1791</v>
      </c>
      <c r="H78" s="101" t="s">
        <v>1792</v>
      </c>
      <c r="I78" s="98">
        <v>27.0</v>
      </c>
      <c r="J78" s="99" t="s">
        <v>1793</v>
      </c>
      <c r="K78" s="100" t="s">
        <v>1794</v>
      </c>
      <c r="L78" s="101" t="s">
        <v>1795</v>
      </c>
      <c r="M78" s="98">
        <v>27.0</v>
      </c>
      <c r="N78" s="99" t="str">
        <f>IFERROR(__xludf.DUMMYFUNCTION("GOOGLETRANSLATE(B78,""zh-tw"",""zh"")"),"请妹妹帮忙洗-2")</f>
        <v>请妹妹帮忙洗-2</v>
      </c>
      <c r="O78" s="103" t="str">
        <f>IFERROR(__xludf.DUMMYFUNCTION("GOOGLETRANSLATE(C78,""zh-tw"",""zh"")"),"同上，第二次选择帮忙清洗前方，且未达4颗紫心时")</f>
        <v>同上，第二次选择帮忙清洗前方，且未达4颗紫心时</v>
      </c>
      <c r="P78" s="71" t="str">
        <f>IFERROR(__xludf.DUMMYFUNCTION("GOOGLETRANSLATE(D78,""zh-tw"",""zh"")"),"妹妹会拒绝帮忙")</f>
        <v>妹妹会拒绝帮忙</v>
      </c>
      <c r="Q78" s="98">
        <v>27.0</v>
      </c>
      <c r="R78" s="99" t="str">
        <f>IFERROR(__xludf.DUMMYFUNCTION("GOOGLETRANSLATE(B78,""zh-tw"",""es-MX"")"),"Por favor pídele a mi hermana que me ayude a lavar -2")</f>
        <v>Por favor pídele a mi hermana que me ayude a lavar -2</v>
      </c>
      <c r="S78" s="100" t="str">
        <f>IFERROR(__xludf.DUMMYFUNCTION("GOOGLETRANSLATE(C78,""zh-tw"",""es-MX"")"),"Al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8" s="71" t="str">
        <f>IFERROR(__xludf.DUMMYFUNCTION("GOOGLETRANSLATE(D78,""zh-tw"",""es-MX"")"),"Mi hermana se negará a ayudar.")</f>
        <v>Mi hermana se negará a ayudar.</v>
      </c>
      <c r="U78" s="98">
        <v>27.0</v>
      </c>
      <c r="V78" s="102" t="str">
        <f>IFERROR(__xludf.DUMMYFUNCTION("GOOGLETRANSLATE(B78,""zh-tw"",""KO"")"),"언니한테 씻는거 도와달라고 부탁해 -2")</f>
        <v>언니한테 씻는거 도와달라고 부탁해 -2</v>
      </c>
      <c r="W78" s="103" t="str">
        <f>IFERROR(__xludf.DUMMYFUNCTION("GOOGLETRANSLATE(C78,""zh-tw"",""KO"")"),"위와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8" s="71" t="str">
        <f>IFERROR(__xludf.DUMMYFUNCTION("GOOGLETRANSLATE(D78,""zh-tw"",""KO"")"),"내 여동생은 도와주기를 거부할 거야.")</f>
        <v>내 여동생은 도와주기를 거부할 거야.</v>
      </c>
      <c r="Y78" s="98">
        <v>27.0</v>
      </c>
      <c r="Z78" s="116" t="str">
        <f>IFERROR(__xludf.DUMMYFUNCTION("IF(J78="""", """", GOOGLETRANSLATE(
J78,""en"",""ru""))"),"Стирка Имото - 2")</f>
        <v>Стирка Имото - 2</v>
      </c>
      <c r="AA78" s="117" t="str">
        <f>IFERROR(__xludf.DUMMYFUNCTION("IF(K78="""", """", GOOGLETRANSLATE(K78,""en"",""RU""))"),"Аналогично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8" s="64" t="str">
        <f>IFERROR(__xludf.DUMMYFUNCTION("IF(L78="""", """", GOOGLETRANSLATE(L78, ""en"", ""ru""))
"),"Имуту отклонит ваш запрос")</f>
        <v>Имуту отклонит ваш запрос</v>
      </c>
      <c r="AC78" s="98">
        <v>27.0</v>
      </c>
      <c r="AD78" s="99" t="s">
        <v>1796</v>
      </c>
      <c r="AE78" s="100" t="s">
        <v>1797</v>
      </c>
      <c r="AF78" s="101" t="s">
        <v>1798</v>
      </c>
      <c r="AG78" s="98">
        <v>27.0</v>
      </c>
      <c r="AH78" s="106" t="s">
        <v>1799</v>
      </c>
      <c r="AI78" s="100" t="s">
        <v>1800</v>
      </c>
      <c r="AJ78" s="101" t="s">
        <v>1801</v>
      </c>
      <c r="AK78" s="98">
        <v>27.0</v>
      </c>
      <c r="AL78" s="107" t="s">
        <v>1802</v>
      </c>
      <c r="AM78" s="115" t="s">
        <v>1803</v>
      </c>
      <c r="AN78" s="67" t="s">
        <v>1804</v>
      </c>
      <c r="AO78" s="101"/>
    </row>
    <row r="79">
      <c r="A79" s="98">
        <v>28.0</v>
      </c>
      <c r="B79" s="99" t="s">
        <v>1805</v>
      </c>
      <c r="C79" s="100" t="s">
        <v>1806</v>
      </c>
      <c r="D79" s="101" t="s">
        <v>1807</v>
      </c>
      <c r="E79" s="98">
        <v>28.0</v>
      </c>
      <c r="F79" s="99" t="s">
        <v>1808</v>
      </c>
      <c r="G79" s="100" t="s">
        <v>1809</v>
      </c>
      <c r="H79" s="101" t="s">
        <v>1810</v>
      </c>
      <c r="I79" s="98">
        <v>28.0</v>
      </c>
      <c r="J79" s="99" t="s">
        <v>1811</v>
      </c>
      <c r="K79" s="100" t="s">
        <v>1812</v>
      </c>
      <c r="L79" s="101" t="s">
        <v>1813</v>
      </c>
      <c r="M79" s="98">
        <v>28.0</v>
      </c>
      <c r="N79" s="99" t="str">
        <f>IFERROR(__xludf.DUMMYFUNCTION("GOOGLETRANSLATE(B79,""zh-tw"",""zh"")"),"请妹妹帮忙洗-3")</f>
        <v>请妹妹帮忙洗-3</v>
      </c>
      <c r="O79" s="103" t="str">
        <f>IFERROR(__xludf.DUMMYFUNCTION("GOOGLETRANSLATE(C79,""zh-tw"",""zh"")"),"同上，若达到4颗紫心时")</f>
        <v>同上，若达到4颗紫心时</v>
      </c>
      <c r="P79" s="71" t="str">
        <f>IFERROR(__xludf.DUMMYFUNCTION("GOOGLETRANSLATE(D79,""zh-tw"",""zh"")"),"第一段素股画面演出")</f>
        <v>第一段素股画面演出</v>
      </c>
      <c r="Q79" s="98">
        <v>28.0</v>
      </c>
      <c r="R79" s="99" t="str">
        <f>IFERROR(__xludf.DUMMYFUNCTION("GOOGLETRANSLATE(B79,""zh-tw"",""es-MX"")"),"Por favor pídele a mi hermana que me ayude a lavar - 3")</f>
        <v>Por favor pídele a mi hermana que me ayude a lavar - 3</v>
      </c>
      <c r="S79" s="100" t="str">
        <f>IFERROR(__xludf.DUMMYFUNCTION("GOOGLETRANSLATE(C79,""zh-tw"",""es-MX"")"),"Del mismo modo, si alcanzas 4 corazones morados...")</f>
        <v>Del mismo modo, si alcanzas 4 corazones morados...</v>
      </c>
      <c r="T79" s="71" t="str">
        <f>IFERROR(__xludf.DUMMYFUNCTION("GOOGLETRANSLATE(D79,""zh-tw"",""es-MX"")"),"La primera parte de la representación de la escena de las medias sencillas.")</f>
        <v>La primera parte de la representación de la escena de las medias sencillas.</v>
      </c>
      <c r="U79" s="98">
        <v>28.0</v>
      </c>
      <c r="V79" s="102" t="str">
        <f>IFERROR(__xludf.DUMMYFUNCTION("GOOGLETRANSLATE(B79,""zh-tw"",""KO"")"),"언니한테 씻는 거 도와달라고 부탁해 - 3")</f>
        <v>언니한테 씻는 거 도와달라고 부탁해 - 3</v>
      </c>
      <c r="W79" s="103" t="str">
        <f>IFERROR(__xludf.DUMMYFUNCTION("GOOGLETRANSLATE(C79,""zh-tw"",""KO"")"),"마찬가지로, 보라색 하트가 4개 모이면...")</f>
        <v>마찬가지로, 보라색 하트가 4개 모이면...</v>
      </c>
      <c r="X79" s="71" t="str">
        <f>IFERROR(__xludf.DUMMYFUNCTION("GOOGLETRANSLATE(D79,""zh-tw"",""KO"")"),"플레인 스타킹 씬 퍼포먼스의 첫 번째 부분")</f>
        <v>플레인 스타킹 씬 퍼포먼스의 첫 번째 부분</v>
      </c>
      <c r="Y79" s="98">
        <v>28.0</v>
      </c>
      <c r="Z79" s="116" t="str">
        <f>IFERROR(__xludf.DUMMYFUNCTION("IF(J79="""", """", GOOGLETRANSLATE(
J79,""en"",""ru""))"),"Стирка Имото - 3")</f>
        <v>Стирка Имото - 3</v>
      </c>
      <c r="AA79" s="117" t="str">
        <f>IFERROR(__xludf.DUMMYFUNCTION("IF(K79="""", """", GOOGLETRANSLATE(K79,""en"",""RU""))"),"Аналогично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79" s="64" t="str">
        <f>IFERROR(__xludf.DUMMYFUNCTION("IF(L79="""", """", GOOGLETRANSLATE(L79, ""en"", ""ru""))
"),"Первая сцена суматы")</f>
        <v>Первая сцена суматы</v>
      </c>
      <c r="AC79" s="98">
        <v>28.0</v>
      </c>
      <c r="AD79" s="99" t="s">
        <v>1814</v>
      </c>
      <c r="AE79" s="100" t="s">
        <v>1815</v>
      </c>
      <c r="AF79" s="101" t="s">
        <v>1816</v>
      </c>
      <c r="AG79" s="98">
        <v>28.0</v>
      </c>
      <c r="AH79" s="106" t="s">
        <v>1817</v>
      </c>
      <c r="AI79" s="100" t="s">
        <v>1818</v>
      </c>
      <c r="AJ79" s="101" t="s">
        <v>1819</v>
      </c>
      <c r="AK79" s="98">
        <v>28.0</v>
      </c>
      <c r="AL79" s="107" t="s">
        <v>1820</v>
      </c>
      <c r="AM79" s="115" t="s">
        <v>1821</v>
      </c>
      <c r="AN79" s="67" t="s">
        <v>1822</v>
      </c>
      <c r="AO79" s="101"/>
    </row>
    <row r="80">
      <c r="A80" s="121">
        <v>29.0</v>
      </c>
      <c r="B80" s="99" t="s">
        <v>1823</v>
      </c>
      <c r="C80" s="100" t="s">
        <v>1824</v>
      </c>
      <c r="D80" s="101" t="s">
        <v>1825</v>
      </c>
      <c r="E80" s="121">
        <v>29.0</v>
      </c>
      <c r="F80" s="99" t="s">
        <v>1826</v>
      </c>
      <c r="G80" s="100" t="s">
        <v>1827</v>
      </c>
      <c r="H80" s="101" t="s">
        <v>1828</v>
      </c>
      <c r="I80" s="121">
        <v>29.0</v>
      </c>
      <c r="J80" s="99" t="s">
        <v>1829</v>
      </c>
      <c r="K80" s="100" t="s">
        <v>1830</v>
      </c>
      <c r="L80" s="101" t="s">
        <v>1831</v>
      </c>
      <c r="M80" s="121">
        <v>29.0</v>
      </c>
      <c r="N80" s="99" t="str">
        <f>IFERROR(__xludf.DUMMYFUNCTION("GOOGLETRANSLATE(B80,""zh-tw"",""zh"")"),"请妹妹帮忙洗-4")</f>
        <v>请妹妹帮忙洗-4</v>
      </c>
      <c r="O80" s="103" t="str">
        <f>IFERROR(__xludf.DUMMYFUNCTION("GOOGLETRANSLATE(C80,""zh-tw"",""zh"")"),"同上，若达到5颗紫心时")</f>
        <v>同上，若达到5颗紫心时</v>
      </c>
      <c r="P80" s="71" t="str">
        <f>IFERROR(__xludf.DUMMYFUNCTION("GOOGLETRANSLATE(D80,""zh-tw"",""zh"")"),"第二段素股画面演出")</f>
        <v>第二段素股画面演出</v>
      </c>
      <c r="Q80" s="121">
        <v>29.0</v>
      </c>
      <c r="R80" s="99" t="str">
        <f>IFERROR(__xludf.DUMMYFUNCTION("GOOGLETRANSLATE(B80,""zh-tw"",""es-MX"")"),"Por favor pídele a mi hermana que me ayude a lavar -4")</f>
        <v>Por favor pídele a mi hermana que me ayude a lavar -4</v>
      </c>
      <c r="S80" s="100" t="str">
        <f>IFERROR(__xludf.DUMMYFUNCTION("GOOGLETRANSLATE(C80,""zh-tw"",""es-MX"")"),"Del mismo modo, si alcanzas 5 corazones morados...")</f>
        <v>Del mismo modo, si alcanzas 5 corazones morados...</v>
      </c>
      <c r="T80" s="71" t="str">
        <f>IFERROR(__xludf.DUMMYFUNCTION("GOOGLETRANSLATE(D80,""zh-tw"",""es-MX"")"),"El segundo segmento de la representación de la escena de las medias.")</f>
        <v>El segundo segmento de la representación de la escena de las medias.</v>
      </c>
      <c r="U80" s="121">
        <v>29.0</v>
      </c>
      <c r="V80" s="102" t="str">
        <f>IFERROR(__xludf.DUMMYFUNCTION("GOOGLETRANSLATE(B80,""zh-tw"",""KO"")"),"언니한테 씻는거 도와달라고 부탁해 -4")</f>
        <v>언니한테 씻는거 도와달라고 부탁해 -4</v>
      </c>
      <c r="W80" s="103" t="str">
        <f>IFERROR(__xludf.DUMMYFUNCTION("GOOGLETRANSLATE(C80,""zh-tw"",""KO"")"),"마찬가지로, 보라색 하트가 5개 모이면...")</f>
        <v>마찬가지로, 보라색 하트가 5개 모이면...</v>
      </c>
      <c r="X80" s="71" t="str">
        <f>IFERROR(__xludf.DUMMYFUNCTION("GOOGLETRANSLATE(D80,""zh-tw"",""KO"")"),"스타킹 신 퍼포먼스의 두 번째 부분")</f>
        <v>스타킹 신 퍼포먼스의 두 번째 부분</v>
      </c>
      <c r="Y80" s="121">
        <v>29.0</v>
      </c>
      <c r="Z80" s="116" t="str">
        <f>IFERROR(__xludf.DUMMYFUNCTION("IF(J80="""", """", GOOGLETRANSLATE(
J80,""en"",""ru""))"),"Стирка Имото - 4")</f>
        <v>Стирка Имото - 4</v>
      </c>
      <c r="AA80" s="117" t="str">
        <f>IFERROR(__xludf.DUMMYFUNCTION("IF(K80="""", """", GOOGLETRANSLATE(K80,""en"",""RU""))"),"Аналогично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80" s="64" t="str">
        <f>IFERROR(__xludf.DUMMYFUNCTION("IF(L80="""", """", GOOGLETRANSLATE(L80, ""en"", ""ru""))
"),"Вторая сцена суматы")</f>
        <v>Вторая сцена суматы</v>
      </c>
      <c r="AC80" s="121">
        <v>29.0</v>
      </c>
      <c r="AD80" s="99" t="s">
        <v>1832</v>
      </c>
      <c r="AE80" s="100" t="s">
        <v>1833</v>
      </c>
      <c r="AF80" s="101" t="s">
        <v>1834</v>
      </c>
      <c r="AG80" s="121">
        <v>29.0</v>
      </c>
      <c r="AH80" s="106" t="s">
        <v>1835</v>
      </c>
      <c r="AI80" s="100" t="s">
        <v>1836</v>
      </c>
      <c r="AJ80" s="101" t="s">
        <v>1837</v>
      </c>
      <c r="AK80" s="98">
        <v>29.0</v>
      </c>
      <c r="AL80" s="107" t="s">
        <v>1838</v>
      </c>
      <c r="AM80" s="108" t="s">
        <v>1839</v>
      </c>
      <c r="AN80" s="67" t="s">
        <v>1840</v>
      </c>
      <c r="AO80" s="101"/>
    </row>
    <row r="81">
      <c r="A81" s="98">
        <v>30.0</v>
      </c>
      <c r="B81" s="107" t="s">
        <v>1841</v>
      </c>
      <c r="C81" s="108" t="s">
        <v>1842</v>
      </c>
      <c r="D81" s="67" t="s">
        <v>1843</v>
      </c>
      <c r="E81" s="98">
        <v>30.0</v>
      </c>
      <c r="F81" s="106" t="s">
        <v>1844</v>
      </c>
      <c r="G81" s="122" t="s">
        <v>1845</v>
      </c>
      <c r="H81" s="51" t="s">
        <v>1846</v>
      </c>
      <c r="I81" s="98">
        <v>30.0</v>
      </c>
      <c r="J81" s="106" t="s">
        <v>1847</v>
      </c>
      <c r="K81" s="122" t="s">
        <v>1848</v>
      </c>
      <c r="L81" s="51" t="s">
        <v>1849</v>
      </c>
      <c r="M81" s="98">
        <v>30.0</v>
      </c>
      <c r="N81" s="107" t="s">
        <v>1841</v>
      </c>
      <c r="O81" s="123" t="s">
        <v>1850</v>
      </c>
      <c r="P81" s="124" t="s">
        <v>1851</v>
      </c>
      <c r="Q81" s="98">
        <v>30.0</v>
      </c>
      <c r="R81" s="125" t="str">
        <f>IFERROR(__xludf.DUMMYFUNCTION("GOOGLETRANSLATE(B81,""zh-tw"",""es-MX"")"),"Barra de meditación")</f>
        <v>Barra de meditación</v>
      </c>
      <c r="S81" s="123" t="str">
        <f>IFERROR(__xludf.DUMMYFUNCTION("GOOGLETRANSLATE(C81,""zh-tw"",""es-MX"")"),"Mientras su hermana menor se bañaba sola, la libido del hermano mayor superó los 50 y entró al baño.")</f>
        <v>Mientras su hermana menor se bañaba sola, la libido del hermano mayor superó los 50 y entró al baño.</v>
      </c>
      <c r="T81" s="124" t="str">
        <f>IFERROR(__xludf.DUMMYFUNCTION("GOOGLETRANSLATE(D81,""zh-tw"",""es-MX"")"),"Se activa la opción de cambiar la meditación a delirio. Tras la selección, se realizará una actuación de la hermana amante del delirio.")</f>
        <v>Se activa la opción de cambiar la meditación a delirio. Tras la selección, se realizará una actuación de la hermana amante del delirio.</v>
      </c>
      <c r="U81" s="98">
        <v>30.0</v>
      </c>
      <c r="V81" s="125" t="str">
        <f>IFERROR(__xludf.DUMMYFUNCTION("GOOGLETRANSLATE(B81,""zh-tw"",""KO"")"),"명상 바")</f>
        <v>명상 바</v>
      </c>
      <c r="W81" s="123" t="str">
        <f>IFERROR(__xludf.DUMMYFUNCTION("GOOGLETRANSLATE(C81,""zh-tw"",""KO"")"),"여동생이 혼자 목욕을 하고 있는 사이, 형의 성욕이 50을 넘어 욕실로 들어갔다.")</f>
        <v>여동생이 혼자 목욕을 하고 있는 사이, 형의 성욕이 50을 넘어 욕실로 들어갔다.</v>
      </c>
      <c r="X81" s="124" t="str">
        <f>IFERROR(__xludf.DUMMYFUNCTION("GOOGLETRANSLATE(D81,""zh-tw"",""KO"")"),"명상을 망상으로 바꾸는 옵션이 활성화됩니다. 선택 후, 망상을 사랑하는 자매의 공연이 펼쳐집니다.")</f>
        <v>명상을 망상으로 바꾸는 옵션이 활성화됩니다. 선택 후, 망상을 사랑하는 자매의 공연이 펼쳐집니다.</v>
      </c>
      <c r="Y81" s="98">
        <v>30.0</v>
      </c>
      <c r="Z81" s="126" t="str">
        <f>IFERROR(__xludf.DUMMYFUNCTION("IF(J81="""", """", GOOGLETRANSLATE(J81,""en"",""RU""))"),"Фантазировать")</f>
        <v>Фантазировать</v>
      </c>
      <c r="AA81" s="127" t="str">
        <f>IFERROR(__xludf.DUMMYFUNCTION("IF(K81="""", """", GOOGLETRANSLATE(K81,""en"",""RU""))"),"Когда уровень возбуждения Онии-чана превышает 50% и он заходит в туалет, чтобы подглядеть за Имоуто, опция «Медитировать» сменяется на «Фантазировать».")</f>
        <v>Когда уровень возбуждения Онии-чана превышает 50% и он заходит в туалет, чтобы подглядеть за Имоуто, опция «Медитировать» сменяется на «Фантазировать».</v>
      </c>
      <c r="AB81" s="128" t="str">
        <f>IFERROR(__xludf.DUMMYFUNCTION("IF(L81="""", """", GOOGLETRANSLATE(L81, ""en"", ""ru""))
"),"Изменяет опцию «Медитировать» на «Фантазировать».
Выбор этой опции вызовет диалоги с Имото, которые вы можете вообразить.")</f>
        <v>Изменяет опцию «Медитировать» на «Фантазировать».
Выбор этой опции вызовет диалоги с Имото, которые вы можете вообразить.</v>
      </c>
      <c r="AC81" s="98">
        <v>30.0</v>
      </c>
      <c r="AD81" s="106" t="s">
        <v>1852</v>
      </c>
      <c r="AE81" s="122" t="s">
        <v>1853</v>
      </c>
      <c r="AF81" s="51" t="s">
        <v>1854</v>
      </c>
      <c r="AG81" s="98">
        <v>30.0</v>
      </c>
      <c r="AH81" s="129" t="s">
        <v>1855</v>
      </c>
      <c r="AI81" s="130" t="s">
        <v>1856</v>
      </c>
      <c r="AJ81" s="131" t="s">
        <v>1857</v>
      </c>
      <c r="AK81" s="98">
        <v>30.0</v>
      </c>
      <c r="AL81" s="107" t="s">
        <v>1858</v>
      </c>
      <c r="AM81" s="108" t="s">
        <v>1859</v>
      </c>
      <c r="AN81" s="67" t="s">
        <v>1860</v>
      </c>
      <c r="AO81" s="67"/>
    </row>
    <row r="82">
      <c r="A82" s="92"/>
      <c r="B82" s="93"/>
      <c r="C82" s="93"/>
      <c r="D82" s="93"/>
      <c r="E82" s="92"/>
      <c r="F82" s="93"/>
      <c r="G82" s="93"/>
      <c r="H82" s="93"/>
      <c r="I82" s="92"/>
      <c r="J82" s="93"/>
      <c r="K82" s="93"/>
      <c r="L82" s="93"/>
      <c r="M82" s="30"/>
      <c r="N82" s="93"/>
      <c r="O82" s="65"/>
      <c r="P82" s="65"/>
      <c r="Q82" s="30"/>
      <c r="R82" s="65"/>
      <c r="S82" s="65"/>
      <c r="T82" s="65"/>
      <c r="U82" s="30"/>
      <c r="V82" s="65"/>
      <c r="W82" s="65"/>
      <c r="X82" s="65"/>
      <c r="Y82" s="92"/>
      <c r="Z82" s="65"/>
      <c r="AA82" s="65"/>
      <c r="AB82" s="65"/>
      <c r="AC82" s="92"/>
      <c r="AD82" s="93"/>
      <c r="AE82" s="93"/>
      <c r="AF82" s="93"/>
      <c r="AG82" s="93"/>
      <c r="AH82" s="92"/>
      <c r="AI82" s="93"/>
      <c r="AJ82" s="93"/>
      <c r="AK82" s="94"/>
      <c r="AL82" s="94"/>
      <c r="AM82" s="94"/>
      <c r="AN82" s="94"/>
      <c r="AO82" s="93"/>
    </row>
    <row r="83">
      <c r="A83" s="95" t="s">
        <v>1861</v>
      </c>
      <c r="B83" s="96" t="s">
        <v>1862</v>
      </c>
      <c r="E83" s="95" t="s">
        <v>1861</v>
      </c>
      <c r="F83" s="95" t="s">
        <v>1863</v>
      </c>
      <c r="I83" s="95" t="s">
        <v>1861</v>
      </c>
      <c r="J83" s="95" t="s">
        <v>1864</v>
      </c>
      <c r="M83" s="95" t="s">
        <v>1861</v>
      </c>
      <c r="N83" s="96" t="str">
        <f>IFERROR(__xludf.DUMMYFUNCTION("GOOGLETRANSLATE(B83,""zh-tw"",""zh"")"),"游戏机相关剧情")</f>
        <v>游戏机相关剧情</v>
      </c>
      <c r="Q83" s="95" t="s">
        <v>1861</v>
      </c>
      <c r="R83" s="95" t="s">
        <v>1865</v>
      </c>
      <c r="U83" s="95" t="s">
        <v>1861</v>
      </c>
      <c r="V83" s="95" t="s">
        <v>1866</v>
      </c>
      <c r="Y83" s="95" t="s">
        <v>1861</v>
      </c>
      <c r="Z83" s="95" t="s">
        <v>1867</v>
      </c>
      <c r="AC83" s="95" t="s">
        <v>1861</v>
      </c>
      <c r="AD83" s="95" t="s">
        <v>1868</v>
      </c>
      <c r="AG83" s="97" t="s">
        <v>1861</v>
      </c>
      <c r="AH83" s="96" t="s">
        <v>1869</v>
      </c>
      <c r="AK83" s="96" t="s">
        <v>1861</v>
      </c>
      <c r="AL83" s="96" t="s">
        <v>1870</v>
      </c>
      <c r="AO83" s="96"/>
    </row>
    <row r="84">
      <c r="A84" s="98">
        <v>1.0</v>
      </c>
      <c r="B84" s="99" t="s">
        <v>1871</v>
      </c>
      <c r="C84" s="100" t="s">
        <v>1872</v>
      </c>
      <c r="D84" s="101" t="s">
        <v>1873</v>
      </c>
      <c r="E84" s="98">
        <v>1.0</v>
      </c>
      <c r="F84" s="99" t="s">
        <v>1874</v>
      </c>
      <c r="G84" s="100" t="s">
        <v>1875</v>
      </c>
      <c r="H84" s="101" t="s">
        <v>1876</v>
      </c>
      <c r="I84" s="98">
        <v>1.0</v>
      </c>
      <c r="J84" s="99" t="s">
        <v>1877</v>
      </c>
      <c r="K84" s="100" t="s">
        <v>1878</v>
      </c>
      <c r="L84" s="101" t="s">
        <v>1879</v>
      </c>
      <c r="M84" s="137">
        <v>1.0</v>
      </c>
      <c r="N84" s="99" t="str">
        <f>IFERROR(__xludf.DUMMYFUNCTION("GOOGLETRANSLATE(B84,""zh-tw"",""zh"")"),"第一次游戏中的恶作剧")</f>
        <v>第一次游戏中的恶作剧</v>
      </c>
      <c r="O84" s="103" t="str">
        <f>IFERROR(__xludf.DUMMYFUNCTION("GOOGLETRANSLATE(C84,""zh-tw"",""zh"")"),"在拥有游戏机后，第一次对正在独自一人玩游戏的妹妹，使用一起游玩的恶作剧")</f>
        <v>在拥有游戏机后，第一次对正在独自一人玩游戏的妹妹，使用一起游玩的恶作剧</v>
      </c>
      <c r="P84" s="71" t="str">
        <f>IFERROR(__xludf.DUMMYFUNCTION("GOOGLETRANSLATE(D84,""zh-tw"",""zh"")"),"有一段的特殊对话，并且之后可以对游戏中的妹妹恶作剧")</f>
        <v>有一段的特殊对话，并且之后可以对游戏中的妹妹恶作剧</v>
      </c>
      <c r="Q84" s="137">
        <v>1.0</v>
      </c>
      <c r="R84" s="112" t="s">
        <v>1880</v>
      </c>
      <c r="S84" s="109" t="s">
        <v>1881</v>
      </c>
      <c r="T84" s="69" t="s">
        <v>1882</v>
      </c>
      <c r="U84" s="137">
        <v>1.0</v>
      </c>
      <c r="V84" s="102" t="s">
        <v>1883</v>
      </c>
      <c r="W84" s="103" t="s">
        <v>1884</v>
      </c>
      <c r="X84" s="71" t="s">
        <v>1885</v>
      </c>
      <c r="Y84" s="98">
        <v>1.0</v>
      </c>
      <c r="Z84" s="116" t="s">
        <v>1886</v>
      </c>
      <c r="AA84" s="117" t="s">
        <v>1887</v>
      </c>
      <c r="AB84" s="64" t="s">
        <v>1888</v>
      </c>
      <c r="AC84" s="98">
        <v>1.0</v>
      </c>
      <c r="AD84" s="99" t="s">
        <v>1889</v>
      </c>
      <c r="AE84" s="100" t="s">
        <v>1890</v>
      </c>
      <c r="AF84" s="101" t="s">
        <v>1891</v>
      </c>
      <c r="AG84" s="98">
        <v>1.0</v>
      </c>
      <c r="AH84" s="106" t="s">
        <v>1892</v>
      </c>
      <c r="AI84" s="100" t="s">
        <v>1893</v>
      </c>
      <c r="AJ84" s="101" t="s">
        <v>1894</v>
      </c>
      <c r="AK84" s="98">
        <v>1.0</v>
      </c>
      <c r="AL84" s="107" t="s">
        <v>1895</v>
      </c>
      <c r="AM84" s="108" t="s">
        <v>1896</v>
      </c>
      <c r="AN84" s="67" t="s">
        <v>1897</v>
      </c>
      <c r="AO84" s="101"/>
    </row>
    <row r="85">
      <c r="A85" s="98">
        <v>2.0</v>
      </c>
      <c r="B85" s="99" t="s">
        <v>1898</v>
      </c>
      <c r="C85" s="100" t="s">
        <v>1899</v>
      </c>
      <c r="D85" s="101" t="s">
        <v>1900</v>
      </c>
      <c r="E85" s="98">
        <v>2.0</v>
      </c>
      <c r="F85" s="99" t="s">
        <v>1901</v>
      </c>
      <c r="G85" s="100" t="s">
        <v>1902</v>
      </c>
      <c r="H85" s="101" t="s">
        <v>1903</v>
      </c>
      <c r="I85" s="98">
        <v>2.0</v>
      </c>
      <c r="J85" s="99" t="s">
        <v>1904</v>
      </c>
      <c r="K85" s="100" t="s">
        <v>1905</v>
      </c>
      <c r="L85" s="101" t="s">
        <v>1906</v>
      </c>
      <c r="M85" s="137">
        <v>2.0</v>
      </c>
      <c r="N85" s="99" t="str">
        <f>IFERROR(__xludf.DUMMYFUNCTION("GOOGLETRANSLATE(B85,""zh-tw"",""zh"")"),"夜晚的发现")</f>
        <v>夜晚的发现</v>
      </c>
      <c r="O85" s="103" t="str">
        <f>IFERROR(__xludf.DUMMYFUNCTION("GOOGLETRANSLATE(C85,""zh-tw"",""zh"")"),"在拥有游戏机后，第一次夜袭时，妹妹会因偷玩游戏被哥哥抓到")</f>
        <v>在拥有游戏机后，第一次夜袭时，妹妹会因偷玩游戏被哥哥抓到</v>
      </c>
      <c r="P85" s="71" t="s">
        <v>1907</v>
      </c>
      <c r="Q85" s="137">
        <v>2.0</v>
      </c>
      <c r="R85" s="112" t="s">
        <v>1908</v>
      </c>
      <c r="S85" s="109" t="s">
        <v>1909</v>
      </c>
      <c r="T85" s="69" t="s">
        <v>1910</v>
      </c>
      <c r="U85" s="137">
        <v>2.0</v>
      </c>
      <c r="V85" s="102" t="s">
        <v>1911</v>
      </c>
      <c r="W85" s="103" t="s">
        <v>1912</v>
      </c>
      <c r="X85" s="71" t="s">
        <v>1913</v>
      </c>
      <c r="Y85" s="98">
        <v>2.0</v>
      </c>
      <c r="Z85" s="116" t="s">
        <v>1914</v>
      </c>
      <c r="AA85" s="117" t="s">
        <v>1915</v>
      </c>
      <c r="AB85" s="64" t="s">
        <v>1916</v>
      </c>
      <c r="AC85" s="98">
        <v>2.0</v>
      </c>
      <c r="AD85" s="99" t="s">
        <v>1917</v>
      </c>
      <c r="AE85" s="100" t="s">
        <v>1918</v>
      </c>
      <c r="AF85" s="101" t="s">
        <v>1919</v>
      </c>
      <c r="AG85" s="98">
        <v>2.0</v>
      </c>
      <c r="AH85" s="106" t="s">
        <v>1920</v>
      </c>
      <c r="AI85" s="100" t="s">
        <v>1921</v>
      </c>
      <c r="AJ85" s="101" t="s">
        <v>1922</v>
      </c>
      <c r="AK85" s="137">
        <v>2.0</v>
      </c>
      <c r="AL85" s="125" t="s">
        <v>1923</v>
      </c>
      <c r="AM85" s="123" t="s">
        <v>1924</v>
      </c>
      <c r="AN85" s="124" t="s">
        <v>1925</v>
      </c>
      <c r="AO85" s="101"/>
    </row>
    <row r="86">
      <c r="A86" s="137">
        <v>3.0</v>
      </c>
      <c r="B86" s="102" t="s">
        <v>1926</v>
      </c>
      <c r="C86" s="103" t="s">
        <v>1927</v>
      </c>
      <c r="D86" s="71" t="s">
        <v>1928</v>
      </c>
      <c r="E86" s="137">
        <v>3.0</v>
      </c>
      <c r="F86" s="102" t="s">
        <v>1929</v>
      </c>
      <c r="G86" s="103" t="s">
        <v>1930</v>
      </c>
      <c r="H86" s="71" t="s">
        <v>1931</v>
      </c>
      <c r="I86" s="137">
        <v>3.0</v>
      </c>
      <c r="J86" s="102" t="s">
        <v>1932</v>
      </c>
      <c r="K86" s="103" t="s">
        <v>1933</v>
      </c>
      <c r="L86" s="71" t="s">
        <v>1934</v>
      </c>
      <c r="M86" s="137">
        <v>3.0</v>
      </c>
      <c r="N86" s="102" t="str">
        <f>IFERROR(__xludf.DUMMYFUNCTION("GOOGLETRANSLATE(B86,""zh-tw"",""zh"")"),"游戏中的干扰")</f>
        <v>游戏中的干扰</v>
      </c>
      <c r="O86" s="103" t="str">
        <f>IFERROR(__xludf.DUMMYFUNCTION("GOOGLETRANSLATE(C86,""zh-tw"",""zh"")"),"在妹妹独自一人玩游戏时，若进行干扰，妹妹会生气")</f>
        <v>在妹妹独自一人玩游戏时，若进行干扰，妹妹会生气</v>
      </c>
      <c r="P86" s="71" t="str">
        <f>IFERROR(__xludf.DUMMYFUNCTION("GOOGLETRANSLATE(D86,""zh-tw"",""zh"")"),"生气之后安抚好，会获得随机的肉料理、别受伤的约定")</f>
        <v>生气之后安抚好，会获得随机的肉料理、别受伤的约定</v>
      </c>
      <c r="Q86" s="137">
        <v>3.0</v>
      </c>
      <c r="R86" s="102" t="s">
        <v>1935</v>
      </c>
      <c r="S86" s="109" t="s">
        <v>1936</v>
      </c>
      <c r="T86" s="69" t="s">
        <v>1937</v>
      </c>
      <c r="U86" s="137">
        <v>3.0</v>
      </c>
      <c r="V86" s="102" t="s">
        <v>1938</v>
      </c>
      <c r="W86" s="103" t="s">
        <v>1939</v>
      </c>
      <c r="X86" s="71" t="s">
        <v>1940</v>
      </c>
      <c r="Y86" s="137">
        <v>3.0</v>
      </c>
      <c r="Z86" s="116" t="s">
        <v>1941</v>
      </c>
      <c r="AA86" s="117" t="s">
        <v>1942</v>
      </c>
      <c r="AB86" s="64" t="s">
        <v>1943</v>
      </c>
      <c r="AC86" s="137">
        <v>3.0</v>
      </c>
      <c r="AD86" s="102" t="s">
        <v>1944</v>
      </c>
      <c r="AE86" s="103" t="s">
        <v>1945</v>
      </c>
      <c r="AF86" s="71" t="s">
        <v>1946</v>
      </c>
      <c r="AG86" s="137">
        <v>3.0</v>
      </c>
      <c r="AH86" s="138" t="s">
        <v>1947</v>
      </c>
      <c r="AI86" s="103" t="s">
        <v>1948</v>
      </c>
      <c r="AJ86" s="71" t="s">
        <v>1949</v>
      </c>
      <c r="AK86" s="137">
        <v>3.0</v>
      </c>
      <c r="AL86" s="125" t="s">
        <v>1950</v>
      </c>
      <c r="AM86" s="123" t="s">
        <v>1951</v>
      </c>
      <c r="AN86" s="124" t="s">
        <v>1952</v>
      </c>
      <c r="AO86" s="71"/>
    </row>
    <row r="87">
      <c r="A87" s="137">
        <v>4.0</v>
      </c>
      <c r="B87" s="102" t="s">
        <v>1953</v>
      </c>
      <c r="C87" s="103" t="s">
        <v>1954</v>
      </c>
      <c r="D87" s="71" t="s">
        <v>1955</v>
      </c>
      <c r="E87" s="137">
        <v>4.0</v>
      </c>
      <c r="F87" s="102" t="s">
        <v>1956</v>
      </c>
      <c r="G87" s="103" t="s">
        <v>1957</v>
      </c>
      <c r="H87" s="71" t="s">
        <v>1958</v>
      </c>
      <c r="I87" s="137">
        <v>4.0</v>
      </c>
      <c r="J87" s="102" t="s">
        <v>1959</v>
      </c>
      <c r="K87" s="103" t="s">
        <v>1960</v>
      </c>
      <c r="L87" s="71" t="s">
        <v>1961</v>
      </c>
      <c r="M87" s="137">
        <v>4.0</v>
      </c>
      <c r="N87" s="102" t="str">
        <f>IFERROR(__xludf.DUMMYFUNCTION("GOOGLETRANSLATE(B87,""zh-tw"",""zh"")"),"游戏中的干扰-1")</f>
        <v>游戏中的干扰-1</v>
      </c>
      <c r="O87" s="103" t="str">
        <f>IFERROR(__xludf.DUMMYFUNCTION("GOOGLETRANSLATE(C87,""zh-tw"",""zh"")"),"同上，若拥有暗影之魂-DLC后，即可触发其他选项")</f>
        <v>同上，若拥有暗影之魂-DLC后，即可触发其他选项</v>
      </c>
      <c r="P87" s="71" t="str">
        <f>IFERROR(__xludf.DUMMYFUNCTION("GOOGLETRANSLATE(D87,""zh-tw"",""zh"")"),"新增其他选项")</f>
        <v>新增其他选项</v>
      </c>
      <c r="Q87" s="137">
        <v>4.0</v>
      </c>
      <c r="R87" s="112" t="s">
        <v>1962</v>
      </c>
      <c r="S87" s="109" t="s">
        <v>1963</v>
      </c>
      <c r="T87" s="71" t="str">
        <f>IFERROR(__xludf.DUMMYFUNCTION("GOOGLETRANSLATE(D87,""zh-tw"",""es-MX"")"),"Añadir otras opciones")</f>
        <v>Añadir otras opciones</v>
      </c>
      <c r="U87" s="137">
        <v>4.0</v>
      </c>
      <c r="V87" s="102" t="s">
        <v>1964</v>
      </c>
      <c r="W87" s="103" t="s">
        <v>1965</v>
      </c>
      <c r="X87" s="71" t="str">
        <f>IFERROR(__xludf.DUMMYFUNCTION("GOOGLETRANSLATE(D87,""zh-tw"",""KO"")"),"다른 옵션 추가")</f>
        <v>다른 옵션 추가</v>
      </c>
      <c r="Y87" s="137">
        <v>4.0</v>
      </c>
      <c r="Z87" s="116" t="s">
        <v>1966</v>
      </c>
      <c r="AA87" s="117" t="s">
        <v>1967</v>
      </c>
      <c r="AB87" s="64" t="s">
        <v>1968</v>
      </c>
      <c r="AC87" s="137">
        <v>4.0</v>
      </c>
      <c r="AD87" s="102" t="s">
        <v>1969</v>
      </c>
      <c r="AE87" s="103" t="s">
        <v>1970</v>
      </c>
      <c r="AF87" s="71" t="s">
        <v>1971</v>
      </c>
      <c r="AG87" s="137">
        <v>4.0</v>
      </c>
      <c r="AH87" s="138" t="s">
        <v>1972</v>
      </c>
      <c r="AI87" s="103" t="s">
        <v>1973</v>
      </c>
      <c r="AJ87" s="71" t="s">
        <v>1974</v>
      </c>
      <c r="AK87" s="137">
        <v>4.0</v>
      </c>
      <c r="AL87" s="125" t="s">
        <v>1975</v>
      </c>
      <c r="AM87" s="123" t="s">
        <v>1976</v>
      </c>
      <c r="AN87" s="124" t="s">
        <v>1977</v>
      </c>
      <c r="AO87" s="71"/>
    </row>
    <row r="88">
      <c r="A88" s="137">
        <v>5.0</v>
      </c>
      <c r="B88" s="102" t="s">
        <v>1978</v>
      </c>
      <c r="C88" s="103" t="s">
        <v>1979</v>
      </c>
      <c r="D88" s="71" t="s">
        <v>1980</v>
      </c>
      <c r="E88" s="137">
        <v>5.0</v>
      </c>
      <c r="F88" s="102" t="s">
        <v>1981</v>
      </c>
      <c r="G88" s="103" t="s">
        <v>1982</v>
      </c>
      <c r="H88" s="71" t="s">
        <v>1983</v>
      </c>
      <c r="I88" s="137">
        <v>5.0</v>
      </c>
      <c r="J88" s="102" t="s">
        <v>1984</v>
      </c>
      <c r="K88" s="103" t="s">
        <v>1985</v>
      </c>
      <c r="L88" s="71" t="s">
        <v>1986</v>
      </c>
      <c r="M88" s="137">
        <v>5.0</v>
      </c>
      <c r="N88" s="102" t="str">
        <f>IFERROR(__xludf.DUMMYFUNCTION("GOOGLETRANSLATE(B88,""zh-tw"",""zh"")"),"Zzz -1")</f>
        <v>Zzz -1</v>
      </c>
      <c r="O88" s="103" t="str">
        <f>IFERROR(__xludf.DUMMYFUNCTION("GOOGLETRANSLATE(C88,""zh-tw"",""zh"")"),"「喝点什么」给妹妹喂一颗""蓝色金平糖""后，会处发妹妹想睡觉的放松状态")</f>
        <v>「喝点什么」给妹妹喂一颗"蓝色金平糖"后，会处发妹妹想睡觉的放松状态</v>
      </c>
      <c r="P88" s="71" t="str">
        <f>IFERROR(__xludf.DUMMYFUNCTION("GOOGLETRANSLATE(D88,""zh-tw"",""zh"")"),"放松戒心，偷窥不容易被发现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8" s="137">
        <v>5.0</v>
      </c>
      <c r="R88" s="102" t="s">
        <v>1987</v>
      </c>
      <c r="S88" s="109" t="s">
        <v>1988</v>
      </c>
      <c r="T88" s="69" t="s">
        <v>1989</v>
      </c>
      <c r="U88" s="137">
        <v>5.0</v>
      </c>
      <c r="V88" s="102" t="str">
        <f>IFERROR(__xludf.DUMMYFUNCTION("GOOGLETRANSLATE(B88,""zh-tw"",""KO"")"),"zz -1")</f>
        <v>zz -1</v>
      </c>
      <c r="W88" s="103" t="str">
        <f>IFERROR(__xludf.DUMMYFUNCTION("GOOGLETRANSLATE(C88,""zh-tw"",""KO"")"),"여동생에게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8" s="71" t="str">
        <f>IFERROR(__xludf.DUMMYFUNCTION("GOOGLETRANSLATE(D88,""zh-tw"",""KO"")"),"방심하면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8" s="137">
        <v>5.0</v>
      </c>
      <c r="Z88" s="116" t="s">
        <v>1990</v>
      </c>
      <c r="AA88" s="117" t="s">
        <v>1991</v>
      </c>
      <c r="AB88" s="64" t="s">
        <v>1992</v>
      </c>
      <c r="AC88" s="137">
        <v>5.0</v>
      </c>
      <c r="AD88" s="102" t="s">
        <v>1993</v>
      </c>
      <c r="AE88" s="103" t="s">
        <v>1994</v>
      </c>
      <c r="AF88" s="71" t="s">
        <v>1995</v>
      </c>
      <c r="AG88" s="137">
        <v>5.0</v>
      </c>
      <c r="AH88" s="138" t="s">
        <v>1996</v>
      </c>
      <c r="AI88" s="109" t="s">
        <v>1997</v>
      </c>
      <c r="AJ88" s="69" t="s">
        <v>1998</v>
      </c>
      <c r="AK88" s="137">
        <v>5.0</v>
      </c>
      <c r="AL88" s="125" t="s">
        <v>1999</v>
      </c>
      <c r="AM88" s="123" t="s">
        <v>2000</v>
      </c>
      <c r="AN88" s="124" t="s">
        <v>2001</v>
      </c>
      <c r="AO88" s="71"/>
    </row>
    <row r="89">
      <c r="A89" s="30"/>
      <c r="B89" s="65"/>
      <c r="C89" s="65"/>
      <c r="D89" s="65"/>
      <c r="E89" s="30"/>
      <c r="F89" s="65"/>
      <c r="G89" s="65"/>
      <c r="H89" s="65"/>
      <c r="I89" s="30"/>
      <c r="J89" s="65"/>
      <c r="K89" s="65"/>
      <c r="L89" s="65"/>
      <c r="M89" s="30"/>
      <c r="N89" s="65"/>
      <c r="O89" s="65"/>
      <c r="P89" s="65"/>
      <c r="Q89" s="30"/>
      <c r="R89" s="65"/>
      <c r="S89" s="65"/>
      <c r="T89" s="65"/>
      <c r="U89" s="30"/>
      <c r="V89" s="65"/>
      <c r="W89" s="65"/>
      <c r="X89" s="65"/>
      <c r="Y89" s="30"/>
      <c r="Z89" s="65"/>
      <c r="AA89" s="65"/>
      <c r="AB89" s="65"/>
      <c r="AC89" s="30"/>
      <c r="AD89" s="65"/>
      <c r="AE89" s="65"/>
      <c r="AF89" s="65"/>
      <c r="AG89" s="65"/>
      <c r="AH89" s="30"/>
      <c r="AI89" s="65"/>
      <c r="AJ89" s="65"/>
      <c r="AK89" s="65"/>
      <c r="AL89" s="65"/>
      <c r="AM89" s="65"/>
      <c r="AN89" s="65"/>
      <c r="AO89" s="65"/>
    </row>
    <row r="90">
      <c r="A90" s="95" t="s">
        <v>2002</v>
      </c>
      <c r="B90" s="139" t="s">
        <v>2003</v>
      </c>
      <c r="E90" s="95" t="s">
        <v>2002</v>
      </c>
      <c r="F90" s="95" t="s">
        <v>2004</v>
      </c>
      <c r="I90" s="95" t="s">
        <v>2002</v>
      </c>
      <c r="J90" s="95" t="s">
        <v>2005</v>
      </c>
      <c r="M90" s="95" t="s">
        <v>2002</v>
      </c>
      <c r="N90" s="96" t="str">
        <f>IFERROR(__xludf.DUMMYFUNCTION("GOOGLETRANSLATE(B90,""zh-tw"",""zh"")"),"特殊天气相关")</f>
        <v>特殊天气相关</v>
      </c>
      <c r="Q90" s="95" t="s">
        <v>2002</v>
      </c>
      <c r="R90" s="95" t="s">
        <v>2006</v>
      </c>
      <c r="U90" s="95" t="s">
        <v>2002</v>
      </c>
      <c r="V90" s="95" t="s">
        <v>2007</v>
      </c>
      <c r="Y90" s="95" t="s">
        <v>2002</v>
      </c>
      <c r="Z90" s="95" t="s">
        <v>2008</v>
      </c>
      <c r="AC90" s="95" t="s">
        <v>2002</v>
      </c>
      <c r="AD90" s="95" t="s">
        <v>2009</v>
      </c>
      <c r="AG90" s="97" t="s">
        <v>2002</v>
      </c>
      <c r="AH90" s="139" t="s">
        <v>2010</v>
      </c>
      <c r="AK90" s="139" t="s">
        <v>2002</v>
      </c>
      <c r="AL90" s="139" t="s">
        <v>2011</v>
      </c>
      <c r="AO90" s="139"/>
    </row>
    <row r="91">
      <c r="A91" s="137">
        <v>1.0</v>
      </c>
      <c r="B91" s="102" t="s">
        <v>2012</v>
      </c>
      <c r="C91" s="103" t="s">
        <v>2013</v>
      </c>
      <c r="D91" s="71" t="s">
        <v>2014</v>
      </c>
      <c r="E91" s="137">
        <v>1.0</v>
      </c>
      <c r="F91" s="102" t="s">
        <v>2015</v>
      </c>
      <c r="G91" s="103" t="s">
        <v>2016</v>
      </c>
      <c r="H91" s="71" t="s">
        <v>2017</v>
      </c>
      <c r="I91" s="137">
        <v>1.0</v>
      </c>
      <c r="J91" s="102" t="s">
        <v>2018</v>
      </c>
      <c r="K91" s="103" t="s">
        <v>2019</v>
      </c>
      <c r="L91" s="71" t="s">
        <v>2020</v>
      </c>
      <c r="M91" s="137">
        <v>1.0</v>
      </c>
      <c r="N91" s="102" t="str">
        <f>IFERROR(__xludf.DUMMYFUNCTION("GOOGLETRANSLATE(B91,""zh-tw"",""zh"")"),"炎热的消暑-1")</f>
        <v>炎热的消暑-1</v>
      </c>
      <c r="O91" s="103" t="str">
        <f>IFERROR(__xludf.DUMMYFUNCTION("GOOGLETRANSLATE(C91,""zh-tw"",""zh"")"),"于炎热天气时，递给妹妹喝逆流可乐")</f>
        <v>于炎热天气时，递给妹妹喝逆流可乐</v>
      </c>
      <c r="P91" s="71" t="str">
        <f>IFERROR(__xludf.DUMMYFUNCTION("GOOGLETRANSLATE(D91,""zh-tw"",""zh"")"),"特殊动画、妹妹的心情+10好感+20")</f>
        <v>特殊动画、妹妹的心情+10好感+20</v>
      </c>
      <c r="Q91" s="137">
        <v>1.0</v>
      </c>
      <c r="R91" s="102" t="s">
        <v>2021</v>
      </c>
      <c r="S91" s="109" t="s">
        <v>2022</v>
      </c>
      <c r="T91" s="71" t="str">
        <f>IFERROR(__xludf.DUMMYFUNCTION("GOOGLETRANSLATE(D91,""zh-tw"",""es-MX"")"),"Animación especial, estado de ánimo de la hermana +10, afecto +20")</f>
        <v>Animación especial, estado de ánimo de la hermana +10, afecto +20</v>
      </c>
      <c r="U91" s="137">
        <v>1.0</v>
      </c>
      <c r="V91" s="102" t="str">
        <f>IFERROR(__xludf.DUMMYFUNCTION("GOOGLETRANSLATE(B91,""zh-tw"",""KO"")"),"더운 날씨에 시원하게 식히기 - 1부")</f>
        <v>더운 날씨에 시원하게 식히기 - 1부</v>
      </c>
      <c r="W91" s="103" t="str">
        <f>IFERROR(__xludf.DUMMYFUNCTION("GOOGLETRANSLATE(C91,""zh-tw"",""KO"")"),"더운 어느 날, 나는 여동생에게 거꾸로 흘러내리는 콜라를 건넸다.")</f>
        <v>더운 어느 날, 나는 여동생에게 거꾸로 흘러내리는 콜라를 건넸다.</v>
      </c>
      <c r="X91" s="71" t="str">
        <f>IFERROR(__xludf.DUMMYFUNCTION("GOOGLETRANSLATE(D91,""zh-tw"",""KO"")"),"특수 애니메이션, 자매 기분 +10, 애정도 +20")</f>
        <v>특수 애니메이션, 자매 기분 +10, 애정도 +20</v>
      </c>
      <c r="Y91" s="137">
        <v>1.0</v>
      </c>
      <c r="Z91" s="116" t="s">
        <v>2023</v>
      </c>
      <c r="AA91" s="117" t="s">
        <v>2024</v>
      </c>
      <c r="AB91" s="64" t="s">
        <v>2025</v>
      </c>
      <c r="AC91" s="137">
        <v>1.0</v>
      </c>
      <c r="AD91" s="102" t="s">
        <v>2026</v>
      </c>
      <c r="AE91" s="103" t="s">
        <v>2027</v>
      </c>
      <c r="AF91" s="71" t="s">
        <v>2028</v>
      </c>
      <c r="AG91" s="137">
        <v>1.0</v>
      </c>
      <c r="AH91" s="138" t="s">
        <v>2029</v>
      </c>
      <c r="AI91" s="103" t="s">
        <v>2030</v>
      </c>
      <c r="AJ91" s="71" t="s">
        <v>2031</v>
      </c>
      <c r="AK91" s="137">
        <v>1.0</v>
      </c>
      <c r="AL91" s="125" t="s">
        <v>2032</v>
      </c>
      <c r="AM91" s="123" t="s">
        <v>2033</v>
      </c>
      <c r="AN91" s="66" t="s">
        <v>2034</v>
      </c>
      <c r="AO91" s="71"/>
    </row>
    <row r="92">
      <c r="A92" s="137">
        <v>2.0</v>
      </c>
      <c r="B92" s="102" t="s">
        <v>2035</v>
      </c>
      <c r="C92" s="103" t="s">
        <v>2036</v>
      </c>
      <c r="D92" s="71" t="s">
        <v>2037</v>
      </c>
      <c r="E92" s="137">
        <v>2.0</v>
      </c>
      <c r="F92" s="102" t="s">
        <v>2038</v>
      </c>
      <c r="G92" s="103" t="s">
        <v>2039</v>
      </c>
      <c r="H92" s="71" t="s">
        <v>2040</v>
      </c>
      <c r="I92" s="137">
        <v>2.0</v>
      </c>
      <c r="J92" s="102" t="s">
        <v>2041</v>
      </c>
      <c r="K92" s="103" t="s">
        <v>2042</v>
      </c>
      <c r="L92" s="71" t="s">
        <v>2043</v>
      </c>
      <c r="M92" s="137">
        <v>2.0</v>
      </c>
      <c r="N92" s="102" t="str">
        <f>IFERROR(__xludf.DUMMYFUNCTION("GOOGLETRANSLATE(B92,""zh-tw"",""zh"")"),"炎热的消暑-2")</f>
        <v>炎热的消暑-2</v>
      </c>
      <c r="O92" s="103" t="str">
        <f>IFERROR(__xludf.DUMMYFUNCTION("GOOGLETRANSLATE(C92,""zh-tw"",""zh"")"),"于炎热天气时，摇一摇后给妹妹喝""逆流可乐""")</f>
        <v>于炎热天气时，摇一摇后给妹妹喝"逆流可乐"</v>
      </c>
      <c r="P92" s="71" t="str">
        <f>IFERROR(__xludf.DUMMYFUNCTION("GOOGLETRANSLATE(D92,""zh-tw"",""zh"")"),"特殊动画、妹妹的心情会固定剩20点")</f>
        <v>特殊动画、妹妹的心情会固定剩20点</v>
      </c>
      <c r="Q92" s="137">
        <v>2.0</v>
      </c>
      <c r="R92" s="102" t="s">
        <v>2044</v>
      </c>
      <c r="S92" s="109" t="s">
        <v>2045</v>
      </c>
      <c r="T92" s="71" t="str">
        <f>IFERROR(__xludf.DUMMYFUNCTION("GOOGLETRANSLATE(D92,""zh-tw"",""es-MX"")"),"Animaciones especiales; el estado de ánimo de la hermana menor siempre tendrá 20 puntos restantes.")</f>
        <v>Animaciones especiales; el estado de ánimo de la hermana menor siempre tendrá 20 puntos restantes.</v>
      </c>
      <c r="U92" s="137">
        <v>2.0</v>
      </c>
      <c r="V92" s="102" t="str">
        <f>IFERROR(__xludf.DUMMYFUNCTION("GOOGLETRANSLATE(B92,""zh-tw"",""KO"")"),"더운 날씨에 시원하게 식히기 - 2부")</f>
        <v>더운 날씨에 시원하게 식히기 - 2부</v>
      </c>
      <c r="W92" s="103" t="str">
        <f>IFERROR(__xludf.DUMMYFUNCTION("GOOGLETRANSLATE(C92,""zh-tw"",""KO"")"),"더운 날에는 여동생에게 ""리버스 콜라""라고 마시게 하기 전에 캔을 흔들어 줍니다.")</f>
        <v>더운 날에는 여동생에게 "리버스 콜라"라고 마시게 하기 전에 캔을 흔들어 줍니다.</v>
      </c>
      <c r="X92" s="71" t="str">
        <f>IFERROR(__xludf.DUMMYFUNCTION("GOOGLETRANSLATE(D92,""zh-tw"",""KO"")"),"특별 애니메이션; 여동생의 기분은 항상 20포인트 남습니다.")</f>
        <v>특별 애니메이션; 여동생의 기분은 항상 20포인트 남습니다.</v>
      </c>
      <c r="Y92" s="137">
        <v>2.0</v>
      </c>
      <c r="Z92" s="116" t="s">
        <v>2046</v>
      </c>
      <c r="AA92" s="117" t="s">
        <v>2047</v>
      </c>
      <c r="AB92" s="64" t="s">
        <v>2048</v>
      </c>
      <c r="AC92" s="137">
        <v>2.0</v>
      </c>
      <c r="AD92" s="102" t="s">
        <v>2049</v>
      </c>
      <c r="AE92" s="103" t="s">
        <v>2050</v>
      </c>
      <c r="AF92" s="71" t="s">
        <v>2051</v>
      </c>
      <c r="AG92" s="137">
        <v>2.0</v>
      </c>
      <c r="AH92" s="138" t="s">
        <v>2052</v>
      </c>
      <c r="AI92" s="103" t="s">
        <v>2053</v>
      </c>
      <c r="AJ92" s="71" t="s">
        <v>2054</v>
      </c>
      <c r="AK92" s="137">
        <v>2.0</v>
      </c>
      <c r="AL92" s="125" t="s">
        <v>2055</v>
      </c>
      <c r="AM92" s="123" t="s">
        <v>2056</v>
      </c>
      <c r="AN92" s="124" t="s">
        <v>2057</v>
      </c>
      <c r="AO92" s="71"/>
    </row>
    <row r="93">
      <c r="A93" s="137">
        <v>3.0</v>
      </c>
      <c r="B93" s="102" t="s">
        <v>2058</v>
      </c>
      <c r="C93" s="103" t="s">
        <v>2059</v>
      </c>
      <c r="D93" s="71" t="s">
        <v>2037</v>
      </c>
      <c r="E93" s="137">
        <v>3.0</v>
      </c>
      <c r="F93" s="102" t="s">
        <v>2060</v>
      </c>
      <c r="G93" s="103" t="s">
        <v>2061</v>
      </c>
      <c r="H93" s="71" t="s">
        <v>2040</v>
      </c>
      <c r="I93" s="137">
        <v>3.0</v>
      </c>
      <c r="J93" s="102" t="s">
        <v>2062</v>
      </c>
      <c r="K93" s="103" t="s">
        <v>2063</v>
      </c>
      <c r="L93" s="71" t="s">
        <v>2043</v>
      </c>
      <c r="M93" s="137">
        <v>3.0</v>
      </c>
      <c r="N93" s="102" t="str">
        <f>IFERROR(__xludf.DUMMYFUNCTION("GOOGLETRANSLATE(B93,""zh-tw"",""zh"")"),"炎热的消暑-3")</f>
        <v>炎热的消暑-3</v>
      </c>
      <c r="O93" s="103" t="str">
        <f>IFERROR(__xludf.DUMMYFUNCTION("GOOGLETRANSLATE(C93,""zh-tw"",""zh"")"),"同上，第二次之后有70%概率触发另一段剧情")</f>
        <v>同上，第二次之后有70%概率触发另一段剧情</v>
      </c>
      <c r="P93" s="71" t="str">
        <f>IFERROR(__xludf.DUMMYFUNCTION("GOOGLETRANSLATE(D93,""zh-tw"",""zh"")"),"特殊动画、妹妹的心情会固定剩20点")</f>
        <v>特殊动画、妹妹的心情会固定剩20点</v>
      </c>
      <c r="Q93" s="137">
        <v>3.0</v>
      </c>
      <c r="R93" s="102" t="s">
        <v>2064</v>
      </c>
      <c r="S93" s="109" t="s">
        <v>2065</v>
      </c>
      <c r="T93" s="71" t="str">
        <f>IFERROR(__xludf.DUMMYFUNCTION("GOOGLETRANSLATE(D93,""zh-tw"",""es-MX"")"),"Animaciones especiales; el estado de ánimo de la hermana menor siempre tendrá 20 puntos restantes.")</f>
        <v>Animaciones especiales; el estado de ánimo de la hermana menor siempre tendrá 20 puntos restantes.</v>
      </c>
      <c r="U93" s="137">
        <v>3.0</v>
      </c>
      <c r="V93" s="102" t="str">
        <f>IFERROR(__xludf.DUMMYFUNCTION("GOOGLETRANSLATE(B93,""zh-tw"",""KO"")"),"더운 날씨에 시원하게 식히기 - 3")</f>
        <v>더운 날씨에 시원하게 식히기 - 3</v>
      </c>
      <c r="W93" s="103" t="str">
        <f>IFERROR(__xludf.DUMMYFUNCTION("GOOGLETRANSLATE(C93,""zh-tw"",""KO"")"),"위와 같이 두 번째 이후에 또 다른 플롯 세그먼트가 시작될 확률은 70%입니다.")</f>
        <v>위와 같이 두 번째 이후에 또 다른 플롯 세그먼트가 시작될 확률은 70%입니다.</v>
      </c>
      <c r="X93" s="71" t="str">
        <f>IFERROR(__xludf.DUMMYFUNCTION("GOOGLETRANSLATE(D93,""zh-tw"",""KO"")"),"특별 애니메이션; 여동생의 기분은 항상 20포인트 남습니다.")</f>
        <v>특별 애니메이션; 여동생의 기분은 항상 20포인트 남습니다.</v>
      </c>
      <c r="Y93" s="137">
        <v>3.0</v>
      </c>
      <c r="Z93" s="116" t="s">
        <v>2066</v>
      </c>
      <c r="AA93" s="117" t="s">
        <v>2067</v>
      </c>
      <c r="AB93" s="64" t="s">
        <v>2048</v>
      </c>
      <c r="AC93" s="137">
        <v>3.0</v>
      </c>
      <c r="AD93" s="102" t="s">
        <v>2068</v>
      </c>
      <c r="AE93" s="103" t="s">
        <v>2069</v>
      </c>
      <c r="AF93" s="71" t="s">
        <v>2051</v>
      </c>
      <c r="AG93" s="137">
        <v>3.0</v>
      </c>
      <c r="AH93" s="138" t="s">
        <v>2070</v>
      </c>
      <c r="AI93" s="103" t="s">
        <v>2071</v>
      </c>
      <c r="AJ93" s="71" t="s">
        <v>2054</v>
      </c>
      <c r="AK93" s="137">
        <v>3.0</v>
      </c>
      <c r="AL93" s="125" t="s">
        <v>2072</v>
      </c>
      <c r="AM93" s="123" t="s">
        <v>2073</v>
      </c>
      <c r="AN93" s="124" t="s">
        <v>2074</v>
      </c>
      <c r="AO93" s="71"/>
    </row>
    <row r="94">
      <c r="A94" s="137">
        <v>4.0</v>
      </c>
      <c r="B94" s="102" t="s">
        <v>2075</v>
      </c>
      <c r="C94" s="103" t="s">
        <v>2076</v>
      </c>
      <c r="D94" s="71" t="s">
        <v>2077</v>
      </c>
      <c r="E94" s="137">
        <v>4.0</v>
      </c>
      <c r="F94" s="102" t="s">
        <v>2078</v>
      </c>
      <c r="G94" s="103" t="s">
        <v>2079</v>
      </c>
      <c r="H94" s="71" t="s">
        <v>2080</v>
      </c>
      <c r="I94" s="137">
        <v>4.0</v>
      </c>
      <c r="J94" s="102" t="s">
        <v>2081</v>
      </c>
      <c r="K94" s="103" t="s">
        <v>2082</v>
      </c>
      <c r="L94" s="71" t="s">
        <v>2083</v>
      </c>
      <c r="M94" s="137">
        <v>4.0</v>
      </c>
      <c r="N94" s="102" t="str">
        <f>IFERROR(__xludf.DUMMYFUNCTION("GOOGLETRANSLATE(B94,""zh-tw"",""zh"")"),"掀起来看看")</f>
        <v>掀起来看看</v>
      </c>
      <c r="O94" s="103" t="str">
        <f>IFERROR(__xludf.DUMMYFUNCTION("GOOGLETRANSLATE(C94,""zh-tw"",""zh"")"),"妹妹穿游戏衣服，进行亲密互动时，可以进行掀衣服等操作。")</f>
        <v>妹妹穿游戏衣服，进行亲密互动时，可以进行掀衣服等操作。</v>
      </c>
      <c r="P94" s="71" t="str">
        <f>IFERROR(__xludf.DUMMYFUNCTION("GOOGLETRANSLATE(D94,""zh-tw"",""zh"")"),"特殊互动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4" s="137">
        <v>4.0</v>
      </c>
      <c r="R94" s="102" t="s">
        <v>2084</v>
      </c>
      <c r="S94" s="109" t="s">
        <v>2085</v>
      </c>
      <c r="T94" s="69" t="s">
        <v>2086</v>
      </c>
      <c r="U94" s="137">
        <v>4.0</v>
      </c>
      <c r="V94" s="102" t="str">
        <f>IFERROR(__xludf.DUMMYFUNCTION("GOOGLETRANSLATE(B94,""zh-tw"",""KO"")"),"들어 올려서 살펴보세요.")</f>
        <v>들어 올려서 살펴보세요.</v>
      </c>
      <c r="W94" s="103" t="str">
        <f>IFERROR(__xludf.DUMMYFUNCTION("GOOGLETRANSLATE(C94,""zh-tw"",""KO"")"),"여동생이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4" s="71" t="str">
        <f>IFERROR(__xludf.DUMMYFUNCTION("GOOGLETRANSLATE(D94,""zh-tw"",""KO"")"),"특별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f>
        <v>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v>
      </c>
      <c r="Y94" s="137">
        <v>4.0</v>
      </c>
      <c r="Z94" s="116" t="str">
        <f>IFERROR(__xludf.DUMMYFUNCTION("IF(J94="""", """", GOOGLETRANSLATE(
J94,""en"",""ru""))"),"Поднимаюсь и смотрю")</f>
        <v>Поднимаюсь и смотрю</v>
      </c>
      <c r="AA94" s="117" t="str">
        <f>IFERROR(__xludf.DUMMYFUNCTION("IF(K94="""", """", GOOGLETRANSLATE(K94,""en"",""RU""))"),"Когда Имото носит футболку, подаренную Странным Рыцарем, вы можете поднять ее и сделать с ней что-нибудь другое, находясь с ней в контакте.")</f>
        <v>Когда Имото носит футболку, подаренную Странным Рыцарем, вы можете поднять ее и сделать с ней что-нибудь другое, находясь с ней в контакте.</v>
      </c>
      <c r="AB94" s="64" t="str">
        <f>IFERROR(__xludf.DUMMYFUNCTION("IF(L94="""", """", GOOGLETRANSLATE(L94, ""en"", ""ru""))
"),"Особые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фут"&amp;"болка,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футболка, срабатывать можно будет и ночью.</v>
      </c>
      <c r="AC94" s="137">
        <v>4.0</v>
      </c>
      <c r="AD94" s="102" t="s">
        <v>2087</v>
      </c>
      <c r="AE94" s="103" t="s">
        <v>2088</v>
      </c>
      <c r="AF94" s="71" t="s">
        <v>2089</v>
      </c>
      <c r="AG94" s="137">
        <v>4.0</v>
      </c>
      <c r="AH94" s="138" t="s">
        <v>2090</v>
      </c>
      <c r="AI94" s="103" t="s">
        <v>2091</v>
      </c>
      <c r="AJ94" s="71" t="s">
        <v>2092</v>
      </c>
      <c r="AK94" s="137">
        <v>4.0</v>
      </c>
      <c r="AL94" s="107" t="s">
        <v>2093</v>
      </c>
      <c r="AM94" s="108" t="s">
        <v>2094</v>
      </c>
      <c r="AN94" s="67" t="s">
        <v>2095</v>
      </c>
      <c r="AO94" s="71"/>
    </row>
    <row r="95">
      <c r="A95" s="137">
        <v>5.0</v>
      </c>
      <c r="B95" s="112" t="s">
        <v>2096</v>
      </c>
      <c r="C95" s="109" t="s">
        <v>2097</v>
      </c>
      <c r="D95" s="69" t="s">
        <v>2098</v>
      </c>
      <c r="E95" s="137">
        <v>5.0</v>
      </c>
      <c r="F95" s="112" t="s">
        <v>2099</v>
      </c>
      <c r="G95" s="109" t="s">
        <v>2100</v>
      </c>
      <c r="H95" s="69" t="s">
        <v>2101</v>
      </c>
      <c r="I95" s="137">
        <v>5.0</v>
      </c>
      <c r="J95" s="112" t="s">
        <v>2102</v>
      </c>
      <c r="K95" s="109" t="s">
        <v>2103</v>
      </c>
      <c r="L95" s="69" t="s">
        <v>2104</v>
      </c>
      <c r="M95" s="137">
        <v>5.0</v>
      </c>
      <c r="N95" s="102" t="str">
        <f>IFERROR(__xludf.DUMMYFUNCTION("GOOGLETRANSLATE(B95,""zh-tw"",""zh"")"),"提前回家也是件好事-1")</f>
        <v>提前回家也是件好事-1</v>
      </c>
      <c r="O95" s="103" t="str">
        <f>IFERROR(__xludf.DUMMYFUNCTION("GOOGLETRANSLATE(C95,""zh-tw"",""zh"")"),"炎热天气并且拥有电风扇时，提前回家后选择去偷看妹妹")</f>
        <v>炎热天气并且拥有电风扇时，提前回家后选择去偷看妹妹</v>
      </c>
      <c r="P95" s="71" t="str">
        <f>IFERROR(__xludf.DUMMYFUNCTION("GOOGLETRANSLATE(D95,""zh-tw"",""zh"")"),"妹妹穿着服饰吹电风扇")</f>
        <v>妹妹穿着服饰吹电风扇</v>
      </c>
      <c r="Q95" s="137">
        <v>5.0</v>
      </c>
      <c r="R95" s="102" t="str">
        <f>IFERROR(__xludf.DUMMYFUNCTION("GOOGLETRANSLATE(B95,""zh-tw"",""es-mx"")"),"Volver a casa temprano también es bueno -1")</f>
        <v>Volver a casa temprano también es bueno -1</v>
      </c>
      <c r="S95" s="103" t="str">
        <f>IFERROR(__xludf.DUMMYFUNCTION("GOOGLETRANSLATE(C95,""zh-tw"",""es-mx"")"),"Cuando hace calor y hay un ventilador eléctrico, vuelvo a casa temprano y echo un vistazo a mi hermana menor.")</f>
        <v>Cuando hace calor y hay un ventilador eléctrico, vuelvo a casa temprano y echo un vistazo a mi hermana menor.</v>
      </c>
      <c r="T95" s="71" t="str">
        <f>IFERROR(__xludf.DUMMYFUNCTION("GOOGLETRANSLATE(D95,""zh-tw"",""es-mx"")"),"Mi hermana menor llevaba ropa y soplaba un ventilador eléctrico.")</f>
        <v>Mi hermana menor llevaba ropa y soplaba un ventilador eléctrico.</v>
      </c>
      <c r="U95" s="137">
        <v>5.0</v>
      </c>
      <c r="V95" s="102" t="str">
        <f>IFERROR(__xludf.DUMMYFUNCTION("GOOGLETRANSLATE(B95,""zh-tw"",""KO"")"),"일찍 집에 가는 것도 좋은 일이에요 -1")</f>
        <v>일찍 집에 가는 것도 좋은 일이에요 -1</v>
      </c>
      <c r="W95" s="103" t="str">
        <f>IFERROR(__xludf.DUMMYFUNCTION("GOOGLETRANSLATE(C95,""zh-tw"",""KO"")"),"날씨가 더워서 선풍기가 있으면 일찍 집에 가서 여동생을 몰래 엿보곤 했습니다.")</f>
        <v>날씨가 더워서 선풍기가 있으면 일찍 집에 가서 여동생을 몰래 엿보곤 했습니다.</v>
      </c>
      <c r="X95" s="71" t="str">
        <f>IFERROR(__xludf.DUMMYFUNCTION("GOOGLETRANSLATE(D95,""zh-tw"",""KO"")"),"내 여동생은 옷을 입고 선풍기를 불고 있었습니다.")</f>
        <v>내 여동생은 옷을 입고 선풍기를 불고 있었습니다.</v>
      </c>
      <c r="Y95" s="137">
        <v>5.0</v>
      </c>
      <c r="Z95" s="116" t="str">
        <f>IFERROR(__xludf.DUMMYFUNCTION("IF(J95="""", """", GOOGLETRANSLATE(
J95,""en"",""ru""))"),"Возвращаюсь домой пораньше - 1")</f>
        <v>Возвращаюсь домой пораньше - 1</v>
      </c>
      <c r="AA95" s="117" t="str">
        <f>IFERROR(__xludf.DUMMYFUNCTION("IF(K95="""", """", GOOGLETRANSLATE(K95,""en"",""RU""))"),"В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5" s="64" t="str">
        <f>IFERROR(__xludf.DUMMYFUNCTION("IF(L95="""", """", GOOGLETRANSLATE(L95, ""en"", ""ru""))
"),"Имото носит футболку и использует электрический вентилятор.")</f>
        <v>Имото носит футболку и использует электрический вентилятор.</v>
      </c>
      <c r="AC95" s="137">
        <v>5.0</v>
      </c>
      <c r="AD95" s="112" t="s">
        <v>2105</v>
      </c>
      <c r="AE95" s="109" t="s">
        <v>2106</v>
      </c>
      <c r="AF95" s="69" t="s">
        <v>2107</v>
      </c>
      <c r="AG95" s="137">
        <v>5.0</v>
      </c>
      <c r="AH95" s="118" t="s">
        <v>2108</v>
      </c>
      <c r="AI95" s="109" t="s">
        <v>2109</v>
      </c>
      <c r="AJ95" s="69" t="s">
        <v>2110</v>
      </c>
      <c r="AK95" s="137">
        <v>5.0</v>
      </c>
      <c r="AL95" s="107" t="s">
        <v>2111</v>
      </c>
      <c r="AM95" s="108" t="s">
        <v>2112</v>
      </c>
      <c r="AN95" s="67" t="s">
        <v>2113</v>
      </c>
      <c r="AO95" s="71"/>
    </row>
    <row r="96">
      <c r="A96" s="137">
        <v>6.0</v>
      </c>
      <c r="B96" s="112" t="s">
        <v>2114</v>
      </c>
      <c r="C96" s="109" t="s">
        <v>2115</v>
      </c>
      <c r="D96" s="69" t="s">
        <v>2116</v>
      </c>
      <c r="E96" s="137">
        <v>6.0</v>
      </c>
      <c r="F96" s="112" t="s">
        <v>2117</v>
      </c>
      <c r="G96" s="109" t="s">
        <v>2118</v>
      </c>
      <c r="H96" s="69" t="s">
        <v>2119</v>
      </c>
      <c r="I96" s="137">
        <v>6.0</v>
      </c>
      <c r="J96" s="112" t="s">
        <v>2120</v>
      </c>
      <c r="K96" s="109" t="s">
        <v>2121</v>
      </c>
      <c r="L96" s="69" t="s">
        <v>2122</v>
      </c>
      <c r="M96" s="137">
        <v>6.0</v>
      </c>
      <c r="N96" s="102" t="str">
        <f>IFERROR(__xludf.DUMMYFUNCTION("GOOGLETRANSLATE(B96,""zh-tw"",""zh"")"),"提前回家也是件好事-2")</f>
        <v>提前回家也是件好事-2</v>
      </c>
      <c r="O96" s="103" t="str">
        <f>IFERROR(__xludf.DUMMYFUNCTION("GOOGLETRANSLATE(C96,""zh-tw"",""zh"")"),"同上，偷看妹妹时，有机率出现")</f>
        <v>同上，偷看妹妹时，有机率出现</v>
      </c>
      <c r="P96" s="71" t="str">
        <f>IFERROR(__xludf.DUMMYFUNCTION("GOOGLETRANSLATE(D96,""zh-tw"",""zh"")"),"妹妹无穿着底裤吹电风扇")</f>
        <v>妹妹无穿着底裤吹电风扇</v>
      </c>
      <c r="Q96" s="137">
        <v>6.0</v>
      </c>
      <c r="R96" s="102" t="str">
        <f>IFERROR(__xludf.DUMMYFUNCTION("GOOGLETRANSLATE(B96,""zh-tw"",""es-mx"")"),"Volver a casa temprano también es bueno - 2")</f>
        <v>Volver a casa temprano también es bueno - 2</v>
      </c>
      <c r="S96" s="103" t="str">
        <f>IFERROR(__xludf.DUMMYFUNCTION("GOOGLETRANSLATE(C96,""zh-tw"",""es-mx"")"),"De la misma manera, cuando mira fijamente a su hermana menor, existe la posibilidad de que...")</f>
        <v>De la misma manera, cuando mira fijamente a su hermana menor, existe la posibilidad de que...</v>
      </c>
      <c r="T96" s="71" t="str">
        <f>IFERROR(__xludf.DUMMYFUNCTION("GOOGLETRANSLATE(D96,""zh-tw"",""es-mx"")"),"Mi hermana menor no llevaba ropa interior mientras la abanicaban con un ventilador eléctrico.")</f>
        <v>Mi hermana menor no llevaba ropa interior mientras la abanicaban con un ventilador eléctrico.</v>
      </c>
      <c r="U96" s="137">
        <v>6.0</v>
      </c>
      <c r="V96" s="102" t="str">
        <f>IFERROR(__xludf.DUMMYFUNCTION("GOOGLETRANSLATE(B96,""zh-tw"",""KO"")"),"일찍 집에 가는 것도 좋은 일이에요 - 2")</f>
        <v>일찍 집에 가는 것도 좋은 일이에요 - 2</v>
      </c>
      <c r="W96" s="103" t="str">
        <f>IFERROR(__xludf.DUMMYFUNCTION("GOOGLETRANSLATE(C96,""zh-tw"",""KO"")"),"마찬가지로, 여동생을 엿볼 때도 이런 일이 일어날 가능성이 있습니다...")</f>
        <v>마찬가지로, 여동생을 엿볼 때도 이런 일이 일어날 가능성이 있습니다...</v>
      </c>
      <c r="X96" s="71" t="str">
        <f>IFERROR(__xludf.DUMMYFUNCTION("GOOGLETRANSLATE(D96,""zh-tw"",""KO"")"),"내 여동생은 전기선풍기를 틀면서 속옷도 입지 않았습니다.")</f>
        <v>내 여동생은 전기선풍기를 틀면서 속옷도 입지 않았습니다.</v>
      </c>
      <c r="Y96" s="137">
        <v>6.0</v>
      </c>
      <c r="Z96" s="116" t="str">
        <f>IFERROR(__xludf.DUMMYFUNCTION("IF(J96="""", """", GOOGLETRANSLATE(
J96,""en"",""ru""))"),"Возвращаюсь домой пораньше - 2")</f>
        <v>Возвращаюсь домой пораньше - 2</v>
      </c>
      <c r="AA96" s="117" t="str">
        <f>IFERROR(__xludf.DUMMYFUNCTION("IF(K96="""", """", GOOGLETRANSLATE(K96,""en"",""RU""))"),"Как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6" s="64" t="str">
        <f>IFERROR(__xludf.DUMMYFUNCTION("IF(L96="""", """", GOOGLETRANSLATE(L96, ""en"", ""ru""))
"),"Имото обдувает промежность, и на ней нет нижнего белья.")</f>
        <v>Имото обдувает промежность, и на ней нет нижнего белья.</v>
      </c>
      <c r="AC96" s="137">
        <v>6.0</v>
      </c>
      <c r="AD96" s="112" t="s">
        <v>2123</v>
      </c>
      <c r="AE96" s="109" t="s">
        <v>2124</v>
      </c>
      <c r="AF96" s="69" t="s">
        <v>2125</v>
      </c>
      <c r="AG96" s="137">
        <v>6.0</v>
      </c>
      <c r="AH96" s="118" t="s">
        <v>2126</v>
      </c>
      <c r="AI96" s="109" t="s">
        <v>2127</v>
      </c>
      <c r="AJ96" s="69" t="s">
        <v>2128</v>
      </c>
      <c r="AK96" s="137">
        <v>6.0</v>
      </c>
      <c r="AL96" s="107" t="s">
        <v>2129</v>
      </c>
      <c r="AM96" s="108" t="s">
        <v>2130</v>
      </c>
      <c r="AN96" s="67" t="s">
        <v>2131</v>
      </c>
      <c r="AO96" s="71"/>
    </row>
    <row r="97">
      <c r="A97" s="137">
        <v>7.0</v>
      </c>
      <c r="B97" s="112" t="s">
        <v>2132</v>
      </c>
      <c r="C97" s="109" t="s">
        <v>2133</v>
      </c>
      <c r="D97" s="69" t="s">
        <v>2134</v>
      </c>
      <c r="E97" s="137">
        <v>7.0</v>
      </c>
      <c r="F97" s="112" t="s">
        <v>2135</v>
      </c>
      <c r="G97" s="109" t="s">
        <v>2136</v>
      </c>
      <c r="H97" s="69" t="s">
        <v>2137</v>
      </c>
      <c r="I97" s="137">
        <v>7.0</v>
      </c>
      <c r="J97" s="112" t="s">
        <v>2138</v>
      </c>
      <c r="K97" s="109" t="s">
        <v>2139</v>
      </c>
      <c r="L97" s="69" t="s">
        <v>2140</v>
      </c>
      <c r="M97" s="137">
        <v>7.0</v>
      </c>
      <c r="N97" s="102" t="str">
        <f>IFERROR(__xludf.DUMMYFUNCTION("GOOGLETRANSLATE(B97,""zh-tw"",""zh"")"),"提前回家也是件好事-3")</f>
        <v>提前回家也是件好事-3</v>
      </c>
      <c r="O97" s="103" t="str">
        <f>IFERROR(__xludf.DUMMYFUNCTION("GOOGLETRANSLATE(C97,""zh-tw"",""zh"")"),"同上，妹妹紫心以及性欲高的时候，有机率出现")</f>
        <v>同上，妹妹紫心以及性欲高的时候，有机率出现</v>
      </c>
      <c r="P97" s="71" t="str">
        <f>IFERROR(__xludf.DUMMYFUNCTION("GOOGLETRANSLATE(D97,""zh-tw"",""zh"")"),"妹妹使用冰棒(未实装)")</f>
        <v>妹妹使用冰棒(未实装)</v>
      </c>
      <c r="Q97" s="137">
        <v>7.0</v>
      </c>
      <c r="R97" s="102" t="str">
        <f>IFERROR(__xludf.DUMMYFUNCTION("GOOGLETRANSLATE(B97,""zh-tw"",""es-mx"")"),"Volver a casa temprano también es bueno -3")</f>
        <v>Volver a casa temprano también es bueno -3</v>
      </c>
      <c r="S97" s="103" t="str">
        <f>IFERROR(__xludf.DUMMYFUNCTION("GOOGLETRANSLATE(C97,""zh-tw"",""es-mx"")"),"De la misma manera, cuando la hermana menor tiene un corazón púrpura y un alto deseo sexual, existe la posibilidad de que...")</f>
        <v>De la misma manera, cuando la hermana menor tiene un corazón púrpura y un alto deseo sexual, existe la posibilidad de que...</v>
      </c>
      <c r="T97" s="71" t="str">
        <f>IFERROR(__xludf.DUMMYFUNCTION("GOOGLETRANSLATE(D97,""zh-tw"",""es-mx"")"),"La hermana menor usa una paleta de hielo (aún no se implementó).")</f>
        <v>La hermana menor usa una paleta de hielo (aún no se implementó).</v>
      </c>
      <c r="U97" s="137">
        <v>7.0</v>
      </c>
      <c r="V97" s="102" t="str">
        <f>IFERROR(__xludf.DUMMYFUNCTION("GOOGLETRANSLATE(B97,""zh-tw"",""KO"")"),"일찍 집에 가는 것도 좋은 일이에요 -3")</f>
        <v>일찍 집에 가는 것도 좋은 일이에요 -3</v>
      </c>
      <c r="W97" s="103" t="str">
        <f>IFERROR(__xludf.DUMMYFUNCTION("GOOGLETRANSLATE(C97,""zh-tw"",""KO"")"),"마찬가지로, 여동생이 보라색 심장과 높은 성욕을 가지고 있다면... 가능성이 있습니다.")</f>
        <v>마찬가지로, 여동생이 보라색 심장과 높은 성욕을 가지고 있다면... 가능성이 있습니다.</v>
      </c>
      <c r="X97" s="71" t="str">
        <f>IFERROR(__xludf.DUMMYFUNCTION("GOOGLETRANSLATE(D97,""zh-tw"",""KO"")"),"여동생은 아이스 팝을 사용합니다(아직 구현되지 않음).")</f>
        <v>여동생은 아이스 팝을 사용합니다(아직 구현되지 않음).</v>
      </c>
      <c r="Y97" s="137">
        <v>7.0</v>
      </c>
      <c r="Z97" s="116" t="str">
        <f>IFERROR(__xludf.DUMMYFUNCTION("IF(J97="""", """", GOOGLETRANSLATE(
J97,""en"",""ru""))"),"Возвращаюсь домой пораньше - 3")</f>
        <v>Возвращаюсь домой пораньше - 3</v>
      </c>
      <c r="AA97" s="117" t="str">
        <f>IFERROR(__xludf.DUMMYFUNCTION("IF(K97="""", """", GOOGLETRANSLATE(K97,""en"",""RU""))"),"Подобно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7" s="64" t="str">
        <f>IFERROR(__xludf.DUMMYFUNCTION("IF(L97="""", """", GOOGLETRANSLATE(L97, ""en"", ""ru""))
"),"Имото использует эскимо на себе (пока не реализовано)")</f>
        <v>Имото использует эскимо на себе (пока не реализовано)</v>
      </c>
      <c r="AC97" s="137">
        <v>7.0</v>
      </c>
      <c r="AD97" s="112" t="s">
        <v>2141</v>
      </c>
      <c r="AE97" s="109" t="s">
        <v>2142</v>
      </c>
      <c r="AF97" s="69" t="s">
        <v>2143</v>
      </c>
      <c r="AG97" s="137">
        <v>7.0</v>
      </c>
      <c r="AH97" s="118" t="s">
        <v>2144</v>
      </c>
      <c r="AI97" s="109" t="s">
        <v>2145</v>
      </c>
      <c r="AJ97" s="69" t="s">
        <v>2146</v>
      </c>
      <c r="AK97" s="137">
        <v>7.0</v>
      </c>
      <c r="AL97" s="107" t="s">
        <v>2147</v>
      </c>
      <c r="AM97" s="115" t="s">
        <v>2148</v>
      </c>
      <c r="AN97" s="67" t="s">
        <v>2149</v>
      </c>
      <c r="AO97" s="71"/>
    </row>
    <row r="98">
      <c r="A98" s="137">
        <v>8.0</v>
      </c>
      <c r="B98" s="112" t="s">
        <v>2150</v>
      </c>
      <c r="C98" s="109" t="s">
        <v>2151</v>
      </c>
      <c r="D98" s="69" t="s">
        <v>2152</v>
      </c>
      <c r="E98" s="137">
        <v>8.0</v>
      </c>
      <c r="F98" s="112" t="s">
        <v>2153</v>
      </c>
      <c r="G98" s="109" t="s">
        <v>2154</v>
      </c>
      <c r="H98" s="69" t="s">
        <v>2155</v>
      </c>
      <c r="I98" s="137">
        <v>8.0</v>
      </c>
      <c r="J98" s="112" t="s">
        <v>2156</v>
      </c>
      <c r="K98" s="109" t="s">
        <v>2157</v>
      </c>
      <c r="L98" s="69" t="s">
        <v>2158</v>
      </c>
      <c r="M98" s="137">
        <v>8.0</v>
      </c>
      <c r="N98" s="102" t="str">
        <f>IFERROR(__xludf.DUMMYFUNCTION("GOOGLETRANSLATE(B98,""zh-tw"",""zh"")"),"提前回家也是件好事-4")</f>
        <v>提前回家也是件好事-4</v>
      </c>
      <c r="O98" s="103" t="str">
        <f>IFERROR(__xludf.DUMMYFUNCTION("GOOGLETRANSLATE(C98,""zh-tw"",""zh"")"),"在与妹妹的对话中，进行裸族教育之后，有可能出现")</f>
        <v>在与妹妹的对话中，进行裸族教育之后，有可能出现</v>
      </c>
      <c r="P98" s="71" t="str">
        <f>IFERROR(__xludf.DUMMYFUNCTION("GOOGLETRANSLATE(D98,""zh-tw"",""zh"")"),"裸族妹妹(未实装)")</f>
        <v>裸族妹妹(未实装)</v>
      </c>
      <c r="Q98" s="137">
        <v>8.0</v>
      </c>
      <c r="R98" s="102" t="str">
        <f>IFERROR(__xludf.DUMMYFUNCTION("GOOGLETRANSLATE(B98,""zh-tw"",""es-mx"")"),"Volver a casa temprano también es bueno -4")</f>
        <v>Volver a casa temprano también es bueno -4</v>
      </c>
      <c r="S98" s="103" t="str">
        <f>IFERROR(__xludf.DUMMYFUNCTION("GOOGLETRANSLATE(C98,""zh-tw"",""es-mx"")"),"Durante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98" s="71" t="str">
        <f>IFERROR(__xludf.DUMMYFUNCTION("GOOGLETRANSLATE(D98,""zh-tw"",""es-mx"")"),"Hermana del clan desnuda (aún no implementada)")</f>
        <v>Hermana del clan desnuda (aún no implementada)</v>
      </c>
      <c r="U98" s="137">
        <v>8.0</v>
      </c>
      <c r="V98" s="102" t="str">
        <f>IFERROR(__xludf.DUMMYFUNCTION("GOOGLETRANSLATE(B98,""zh-tw"",""KO"")"),"일찍 집에 가는 것도 좋은 일이에요 -4")</f>
        <v>일찍 집에 가는 것도 좋은 일이에요 -4</v>
      </c>
      <c r="W98" s="103" t="str">
        <f>IFERROR(__xludf.DUMMYFUNCTION("GOOGLETRANSLATE(C98,""zh-tw"",""KO"")"),"여동생과 대화하는 동안 누디스트 교육을 받은 후에는 다음과 같은 일이 일어날 수 있다고 언급되었습니다.")</f>
        <v>여동생과 대화하는 동안 누디스트 교육을 받은 후에는 다음과 같은 일이 일어날 수 있다고 언급되었습니다.</v>
      </c>
      <c r="X98" s="71" t="str">
        <f>IFERROR(__xludf.DUMMYFUNCTION("GOOGLETRANSLATE(D98,""zh-tw"",""KO"")"),"Naked Clan Sister (아직 구현되지 않음)")</f>
        <v>Naked Clan Sister (아직 구현되지 않음)</v>
      </c>
      <c r="Y98" s="137">
        <v>8.0</v>
      </c>
      <c r="Z98" s="116" t="str">
        <f>IFERROR(__xludf.DUMMYFUNCTION("IF(J98="""", """", GOOGLETRANSLATE(
J98,""en"",""ru""))"),"Возвращаюсь домой пораньше - 4")</f>
        <v>Возвращаюсь домой пораньше - 4</v>
      </c>
      <c r="AA98" s="117" t="str">
        <f>IFERROR(__xludf.DUMMYFUNCTION("IF(K98="""", """", GOOGLETRANSLATE(K98,""en"",""RU""))"),"При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8" s="64" t="str">
        <f>IFERROR(__xludf.DUMMYFUNCTION("IF(L98="""", """", GOOGLETRANSLATE(L98, ""en"", ""ru""))
"),"Имото разденется (пока не реализовано)")</f>
        <v>Имото разденется (пока не реализовано)</v>
      </c>
      <c r="AC98" s="137">
        <v>8.0</v>
      </c>
      <c r="AD98" s="112" t="s">
        <v>2159</v>
      </c>
      <c r="AE98" s="109" t="s">
        <v>2160</v>
      </c>
      <c r="AF98" s="69" t="s">
        <v>2161</v>
      </c>
      <c r="AG98" s="137">
        <v>8.0</v>
      </c>
      <c r="AH98" s="118" t="s">
        <v>2162</v>
      </c>
      <c r="AI98" s="109" t="s">
        <v>2163</v>
      </c>
      <c r="AJ98" s="69" t="s">
        <v>2164</v>
      </c>
      <c r="AK98" s="137">
        <v>8.0</v>
      </c>
      <c r="AL98" s="125" t="s">
        <v>2165</v>
      </c>
      <c r="AM98" s="123" t="s">
        <v>2166</v>
      </c>
      <c r="AN98" s="124" t="s">
        <v>2167</v>
      </c>
      <c r="AO98" s="71"/>
    </row>
    <row r="99">
      <c r="A99" s="30"/>
      <c r="B99" s="65"/>
      <c r="C99" s="65"/>
      <c r="D99" s="65"/>
      <c r="E99" s="30"/>
      <c r="F99" s="65"/>
      <c r="G99" s="65"/>
      <c r="H99" s="65"/>
      <c r="I99" s="30"/>
      <c r="J99" s="65"/>
      <c r="K99" s="65"/>
      <c r="L99" s="65"/>
      <c r="M99" s="30"/>
      <c r="N99" s="65"/>
      <c r="O99" s="65"/>
      <c r="P99" s="65"/>
      <c r="Q99" s="30"/>
      <c r="R99" s="65"/>
      <c r="S99" s="65"/>
      <c r="T99" s="65"/>
      <c r="U99" s="30"/>
      <c r="V99" s="65"/>
      <c r="W99" s="65"/>
      <c r="X99" s="65"/>
      <c r="Y99" s="30"/>
      <c r="Z99" s="65"/>
      <c r="AA99" s="65"/>
      <c r="AB99" s="65"/>
      <c r="AC99" s="30"/>
      <c r="AD99" s="65"/>
      <c r="AE99" s="65"/>
      <c r="AF99" s="65"/>
      <c r="AG99" s="65"/>
      <c r="AH99" s="30"/>
      <c r="AI99" s="65"/>
      <c r="AJ99" s="65"/>
      <c r="AK99" s="65"/>
      <c r="AL99" s="65"/>
      <c r="AM99" s="65"/>
      <c r="AN99" s="65"/>
      <c r="AO99" s="65"/>
    </row>
    <row r="100">
      <c r="A100" s="96" t="s">
        <v>2168</v>
      </c>
      <c r="B100" s="96" t="s">
        <v>2169</v>
      </c>
      <c r="E100" s="96"/>
      <c r="F100" s="95" t="s">
        <v>2170</v>
      </c>
      <c r="I100" s="95" t="s">
        <v>2168</v>
      </c>
      <c r="J100" s="95" t="s">
        <v>2171</v>
      </c>
      <c r="M100" s="96"/>
      <c r="N100" s="96" t="s">
        <v>2172</v>
      </c>
      <c r="Q100" s="95" t="s">
        <v>2168</v>
      </c>
      <c r="R100" s="95" t="s">
        <v>2173</v>
      </c>
      <c r="U100" s="95" t="s">
        <v>2168</v>
      </c>
      <c r="V100" s="95" t="s">
        <v>2174</v>
      </c>
      <c r="Y100" s="95" t="s">
        <v>2168</v>
      </c>
      <c r="Z100" s="95" t="s">
        <v>2175</v>
      </c>
      <c r="AC100" s="95" t="s">
        <v>2168</v>
      </c>
      <c r="AD100" s="95" t="s">
        <v>2176</v>
      </c>
      <c r="AG100" s="95" t="s">
        <v>2168</v>
      </c>
      <c r="AH100" s="95" t="s">
        <v>2177</v>
      </c>
      <c r="AK100" s="96" t="s">
        <v>2168</v>
      </c>
      <c r="AL100" s="96" t="s">
        <v>2178</v>
      </c>
      <c r="AO100" s="140"/>
    </row>
    <row r="101">
      <c r="A101" s="98">
        <v>1.0</v>
      </c>
      <c r="B101" s="107" t="s">
        <v>2179</v>
      </c>
      <c r="C101" s="108" t="s">
        <v>2180</v>
      </c>
      <c r="D101" s="67" t="s">
        <v>2181</v>
      </c>
      <c r="E101" s="98">
        <v>1.0</v>
      </c>
      <c r="F101" s="99" t="s">
        <v>2182</v>
      </c>
      <c r="G101" s="122" t="s">
        <v>2183</v>
      </c>
      <c r="H101" s="51" t="s">
        <v>2184</v>
      </c>
      <c r="I101" s="98">
        <v>1.0</v>
      </c>
      <c r="J101" s="106" t="s">
        <v>2185</v>
      </c>
      <c r="K101" s="135" t="s">
        <v>2186</v>
      </c>
      <c r="L101" s="136" t="s">
        <v>2187</v>
      </c>
      <c r="M101" s="98">
        <v>1.0</v>
      </c>
      <c r="N101" s="107" t="s">
        <v>2188</v>
      </c>
      <c r="O101" s="123" t="s">
        <v>2189</v>
      </c>
      <c r="P101" s="124" t="s">
        <v>2190</v>
      </c>
      <c r="Q101" s="98">
        <v>1.0</v>
      </c>
      <c r="R101" s="125" t="str">
        <f>IFERROR(__xludf.DUMMYFUNCTION("GOOGLETRANSLATE(B101,""zh-tw"",""es-MX"")"),"TV en la sala de estar")</f>
        <v>TV en la sala de estar</v>
      </c>
      <c r="S101" s="123" t="str">
        <f>IFERROR(__xludf.DUMMYFUNCTION("GOOGLETRANSLATE(C101,""zh-tw"",""es-MX"")"),"Puedes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1" s="124" t="str">
        <f>IFERROR(__xludf.DUMMYFUNCTION("GOOGLETRANSLATE(D101,""zh-tw"",""es-MX"")"),"Ver programas de televisión específicos")</f>
        <v>Ver programas de televisión específicos</v>
      </c>
      <c r="U101" s="98">
        <v>1.0</v>
      </c>
      <c r="V101" s="125" t="str">
        <f>IFERROR(__xludf.DUMMYFUNCTION("GOOGLETRANSLATE(B101,""zh-tw"",""KO"")"),"거실에 있는 TV")</f>
        <v>거실에 있는 TV</v>
      </c>
      <c r="W101" s="123" t="str">
        <f>IFERROR(__xludf.DUMMYFUNCTION("GOOGLETRANSLATE(C101,""zh-tw"",""KO"")"),"평소에는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f>
        <v>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v>
      </c>
      <c r="X101" s="124" t="str">
        <f>IFERROR(__xludf.DUMMYFUNCTION("GOOGLETRANSLATE(D101,""zh-tw"",""KO"")"),"특정 TV 프로그램을 시청하세요")</f>
        <v>특정 TV 프로그램을 시청하세요</v>
      </c>
      <c r="Y101" s="88" t="str">
        <f>IFERROR(__xludf.DUMMYFUNCTION("IF(I101="""", """", GOOGLETRANSLATE(I101,""en"",""RU""))"),"1")</f>
        <v>1</v>
      </c>
      <c r="Z101" s="126" t="str">
        <f>IFERROR(__xludf.DUMMYFUNCTION("IF(J101="""", """", GOOGLETRANSLATE(J101,""en"",""RU""))"),"Смотря телевизор")</f>
        <v>Смотря телевизор</v>
      </c>
      <c r="AA101" s="127" t="str">
        <f>IFERROR(__xludf.DUMMYFUNCTION("IF(K101="""", """", GOOGLETRANSLATE(K101,""en"",""RU""))"),"Вы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ан"&amp;"име Magical Girl)
21:00–22:00: Каналы пока недоступны
22:00–23:00: Каналы пока недоступны (можно использовать видеокассеты)
")</f>
        <v>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аниме Magical Girl)
21:00–22:00: Каналы пока недоступны
22:00–23:00: Каналы пока недоступны (можно использовать видеокассеты)
</v>
      </c>
      <c r="AB101" s="128" t="str">
        <f>IFERROR(__xludf.DUMMYFUNCTION("IF(L101="""", """", GOOGLETRANSLATE(L101, ""en"", ""ru""))
"),"Вы сможете смотреть различные телепередачи. Нажмите на значок телевизора, когда нажмёте на Имото в её комнате.")</f>
        <v>Вы сможете смотреть различные телепередачи. Нажмите на значок телевизора, когда нажмёте на Имото в её комнате.</v>
      </c>
      <c r="AC101" s="98">
        <v>1.0</v>
      </c>
      <c r="AD101" s="106" t="s">
        <v>2191</v>
      </c>
      <c r="AE101" s="122" t="s">
        <v>2192</v>
      </c>
      <c r="AF101" s="51" t="s">
        <v>2193</v>
      </c>
      <c r="AG101" s="98">
        <v>1.0</v>
      </c>
      <c r="AH101" s="129" t="s">
        <v>2194</v>
      </c>
      <c r="AI101" s="130" t="s">
        <v>2195</v>
      </c>
      <c r="AJ101" s="131" t="s">
        <v>2196</v>
      </c>
      <c r="AK101" s="98">
        <v>1.0</v>
      </c>
      <c r="AL101" s="107" t="s">
        <v>2197</v>
      </c>
      <c r="AM101" s="141" t="s">
        <v>2198</v>
      </c>
      <c r="AN101" s="51" t="s">
        <v>2199</v>
      </c>
      <c r="AO101" s="67"/>
    </row>
    <row r="102">
      <c r="A102" s="137">
        <v>2.0</v>
      </c>
      <c r="B102" s="125" t="s">
        <v>2200</v>
      </c>
      <c r="C102" s="123" t="s">
        <v>2201</v>
      </c>
      <c r="D102" s="124" t="s">
        <v>2202</v>
      </c>
      <c r="E102" s="137">
        <v>2.0</v>
      </c>
      <c r="F102" s="102" t="s">
        <v>2203</v>
      </c>
      <c r="G102" s="123" t="s">
        <v>2204</v>
      </c>
      <c r="H102" s="124" t="s">
        <v>2205</v>
      </c>
      <c r="I102" s="137">
        <v>2.0</v>
      </c>
      <c r="J102" s="138" t="s">
        <v>2206</v>
      </c>
      <c r="K102" s="141" t="s">
        <v>2207</v>
      </c>
      <c r="L102" s="142" t="s">
        <v>2208</v>
      </c>
      <c r="M102" s="137">
        <v>2.0</v>
      </c>
      <c r="N102" s="125" t="str">
        <f>IFERROR(__xludf.DUMMYFUNCTION("GOOGLETRANSLATE(B102,""zh-tw"",""zh"")"),"魔法少女动画")</f>
        <v>魔法少女动画</v>
      </c>
      <c r="O102" s="123" t="str">
        <f>IFERROR(__xludf.DUMMYFUNCTION("GOOGLETRANSLATE(C102,""zh-tw"",""zh"")"),"必须游玩超过第5日后才会触发，每个档案都有一个随机值判定是礼拜几触发。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2" s="124" t="str">
        <f>IFERROR(__xludf.DUMMYFUNCTION("GOOGLETRANSLATE(D102,""zh-tw"",""zh"")"),"魔法少女动画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2" s="137">
        <v>2.0</v>
      </c>
      <c r="R102" s="125" t="str">
        <f>IFERROR(__xludf.DUMMYFUNCTION("GOOGLETRANSLATE(B102,""zh-tw"",""es-MX"")"),"Anime de chicas mágicas")</f>
        <v>Anime de chicas mágicas</v>
      </c>
      <c r="S102" s="123" t="str">
        <f>IFERROR(__xludf.DUMMYFUNCTION("GOOGLETRANSLATE(C102,""zh-tw"",""es-MX"")"),"Solo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programado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programado para activarse alrededor de las 20:00.</v>
      </c>
      <c r="T102" s="124" t="str">
        <f>IFERROR(__xludf.DUMMYFUNCTION("GOOGLETRANSLATE(D102,""zh-tw"",""es-MX"")"),"Anime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2" s="137">
        <v>2.0</v>
      </c>
      <c r="V102" s="125" t="str">
        <f>IFERROR(__xludf.DUMMYFUNCTION("GOOGLETRANSLATE(B102,""zh-tw"",""KO"")"),"마법소녀 애니메이션")</f>
        <v>마법소녀 애니메이션</v>
      </c>
      <c r="W102" s="123" t="str">
        <f>IFERROR(__xludf.DUMMYFUNCTION("GOOGLETRANSLATE(C102,""zh-tw"",""KO"")"),"5일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f>
        <v>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v>
      </c>
      <c r="X102" s="124" t="str">
        <f>IFERROR(__xludf.DUMMYFUNCTION("GOOGLETRANSLATE(D102,""zh-tw"",""KO"")"),"마법소녀 애니메이션
*현재 여동생은 해당 시간 동안 거실에만 혼자 있을 수 있으며, 다른 기능은 없습니다.
TV 애니메이션과 대부분의 기능은 아직 구현되지 않았습니다.")</f>
        <v>마법소녀 애니메이션
*현재 여동생은 해당 시간 동안 거실에만 혼자 있을 수 있으며, 다른 기능은 없습니다.
TV 애니메이션과 대부분의 기능은 아직 구현되지 않았습니다.</v>
      </c>
      <c r="Y102" s="137">
        <v>2.0</v>
      </c>
      <c r="Z102" s="126" t="str">
        <f>IFERROR(__xludf.DUMMYFUNCTION("IF(J102="""", """", GOOGLETRANSLATE(J102,""en"",""RU""))"),"Аниме «Волшебная девочка»")</f>
        <v>Аниме «Волшебная девочка»</v>
      </c>
      <c r="AA102" s="127" t="str">
        <f>IFERROR(__xludf.DUMMYFUNCTION("IF(K102="""", """", GOOGLETRANSLATE(K102,""en"",""RU""))"),"Событие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102" s="128" t="str">
        <f>IFERROR(__xludf.DUMMYFUNCTION("IF(L102="""", """", GOOGLETRANSLATE(L102, ""en"", ""ru""))
"),"Играет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f>
        <v>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v>
      </c>
      <c r="AC102" s="137">
        <v>2.0</v>
      </c>
      <c r="AD102" s="138" t="s">
        <v>2209</v>
      </c>
      <c r="AE102" s="141" t="s">
        <v>2210</v>
      </c>
      <c r="AF102" s="142" t="s">
        <v>2211</v>
      </c>
      <c r="AG102" s="137">
        <v>2.0</v>
      </c>
      <c r="AH102" s="143" t="s">
        <v>2212</v>
      </c>
      <c r="AI102" s="130" t="s">
        <v>2213</v>
      </c>
      <c r="AJ102" s="144" t="s">
        <v>2214</v>
      </c>
      <c r="AK102" s="137">
        <v>2.0</v>
      </c>
      <c r="AL102" s="125" t="s">
        <v>2215</v>
      </c>
      <c r="AM102" s="123" t="s">
        <v>2216</v>
      </c>
      <c r="AN102" s="124" t="s">
        <v>2217</v>
      </c>
      <c r="AO102" s="124"/>
    </row>
    <row r="103">
      <c r="A103" s="137">
        <v>3.0</v>
      </c>
      <c r="B103" s="125" t="s">
        <v>2218</v>
      </c>
      <c r="C103" s="123" t="s">
        <v>2219</v>
      </c>
      <c r="D103" s="124" t="s">
        <v>662</v>
      </c>
      <c r="E103" s="137">
        <v>3.0</v>
      </c>
      <c r="F103" s="102" t="s">
        <v>2220</v>
      </c>
      <c r="G103" s="123" t="s">
        <v>2221</v>
      </c>
      <c r="H103" s="124" t="s">
        <v>2222</v>
      </c>
      <c r="I103" s="137">
        <v>3.0</v>
      </c>
      <c r="J103" s="138" t="s">
        <v>2223</v>
      </c>
      <c r="K103" s="141" t="s">
        <v>2224</v>
      </c>
      <c r="L103" s="142" t="s">
        <v>2225</v>
      </c>
      <c r="M103" s="137">
        <v>3.0</v>
      </c>
      <c r="N103" s="125" t="s">
        <v>2226</v>
      </c>
      <c r="O103" s="123" t="s">
        <v>2227</v>
      </c>
      <c r="P103" s="124" t="s">
        <v>2228</v>
      </c>
      <c r="Q103" s="137">
        <v>3.0</v>
      </c>
      <c r="R103" s="125" t="str">
        <f>IFERROR(__xludf.DUMMYFUNCTION("GOOGLETRANSLATE(B103,""zh-tw"",""es-MX"")"),"Anime de chicas mágicas - 1")</f>
        <v>Anime de chicas mágicas - 1</v>
      </c>
      <c r="S103" s="123" t="str">
        <f>IFERROR(__xludf.DUMMYFUNCTION("GOOGLETRANSLATE(C103,""zh-tw"",""es-MX"")"),"Omitido")</f>
        <v>Omitido</v>
      </c>
      <c r="T103" s="124" t="str">
        <f>IFERROR(__xludf.DUMMYFUNCTION("GOOGLETRANSLATE(D103,""zh-tw"",""es-MX"")"),"No implementado")</f>
        <v>No implementado</v>
      </c>
      <c r="U103" s="137">
        <v>3.0</v>
      </c>
      <c r="V103" s="125" t="str">
        <f>IFERROR(__xludf.DUMMYFUNCTION("GOOGLETRANSLATE(B103,""zh-tw"",""KO"")"),"마법소녀 애니메이션 - 1")</f>
        <v>마법소녀 애니메이션 - 1</v>
      </c>
      <c r="W103" s="123" t="str">
        <f>IFERROR(__xludf.DUMMYFUNCTION("GOOGLETRANSLATE(C103,""zh-tw"",""KO"")"),"놓쳤다")</f>
        <v>놓쳤다</v>
      </c>
      <c r="X103" s="124" t="str">
        <f>IFERROR(__xludf.DUMMYFUNCTION("GOOGLETRANSLATE(D103,""zh-tw"",""KO"")"),"구현되지 않음")</f>
        <v>구현되지 않음</v>
      </c>
      <c r="Y103" s="137">
        <v>3.0</v>
      </c>
      <c r="Z103" s="126" t="str">
        <f>IFERROR(__xludf.DUMMYFUNCTION("IF(J103="""", """", GOOGLETRANSLATE(J103,""en"",""RU""))"),"Аниме «Волшебная девочка» - 1")</f>
        <v>Аниме «Волшебная девочка» - 1</v>
      </c>
      <c r="AA103" s="127" t="str">
        <f>IFERROR(__xludf.DUMMYFUNCTION("IF(K103="""", """", GOOGLETRANSLATE(K103,""en"",""RU""))"),"---")</f>
        <v>---</v>
      </c>
      <c r="AB103" s="128" t="str">
        <f>IFERROR(__xludf.DUMMYFUNCTION("IF(L103="""", """", GOOGLETRANSLATE(L103, ""en"", ""ru""))
"),"Пока не реализовано")</f>
        <v>Пока не реализовано</v>
      </c>
      <c r="AC103" s="137">
        <v>3.0</v>
      </c>
      <c r="AD103" s="138" t="s">
        <v>2229</v>
      </c>
      <c r="AE103" s="141" t="s">
        <v>2224</v>
      </c>
      <c r="AF103" s="142" t="s">
        <v>2230</v>
      </c>
      <c r="AG103" s="137">
        <v>3.0</v>
      </c>
      <c r="AH103" s="143" t="s">
        <v>2231</v>
      </c>
      <c r="AI103" s="130" t="s">
        <v>2224</v>
      </c>
      <c r="AJ103" s="144" t="s">
        <v>2232</v>
      </c>
      <c r="AK103" s="137">
        <v>3.0</v>
      </c>
      <c r="AL103" s="125" t="s">
        <v>2233</v>
      </c>
      <c r="AM103" s="123" t="s">
        <v>2234</v>
      </c>
      <c r="AN103" s="124" t="s">
        <v>2235</v>
      </c>
      <c r="AO103" s="124"/>
    </row>
    <row r="104">
      <c r="A104" s="137">
        <v>4.0</v>
      </c>
      <c r="B104" s="125" t="s">
        <v>2236</v>
      </c>
      <c r="C104" s="123" t="s">
        <v>2237</v>
      </c>
      <c r="D104" s="66" t="s">
        <v>2238</v>
      </c>
      <c r="E104" s="137">
        <v>4.0</v>
      </c>
      <c r="F104" s="102" t="s">
        <v>2239</v>
      </c>
      <c r="G104" s="141" t="s">
        <v>2240</v>
      </c>
      <c r="H104" s="136" t="s">
        <v>2241</v>
      </c>
      <c r="I104" s="137">
        <v>4.0</v>
      </c>
      <c r="J104" s="138" t="s">
        <v>2242</v>
      </c>
      <c r="K104" s="135" t="s">
        <v>2243</v>
      </c>
      <c r="L104" s="136" t="s">
        <v>2244</v>
      </c>
      <c r="M104" s="137">
        <v>4.0</v>
      </c>
      <c r="N104" s="125" t="s">
        <v>2245</v>
      </c>
      <c r="O104" s="123" t="s">
        <v>2246</v>
      </c>
      <c r="P104" s="66" t="s">
        <v>2247</v>
      </c>
      <c r="Q104" s="137">
        <v>4.0</v>
      </c>
      <c r="R104" s="125" t="str">
        <f>IFERROR(__xludf.DUMMYFUNCTION("GOOGLETRANSLATE(B104,""zh-tw"",""es-MX"")"),"Tarde en la noche")</f>
        <v>Tarde en la noche</v>
      </c>
      <c r="S104" s="123" t="str">
        <f>IFERROR(__xludf.DUMMYFUNCTION("GOOGLETRANSLATE(C104,""zh-tw"",""es-MX"")"),"Después de utilizar “Red Marrow Liquid” y finalizar el tratamiento, puedes comenzar la sesión nocturna.")</f>
        <v>Después de utilizar “Red Marrow Liquid” y finalizar el tratamiento, puedes comenzar la sesión nocturna.</v>
      </c>
      <c r="T104" s="124" t="str">
        <f>IFERROR(__xludf.DUMMYFUNCTION("GOOGLETRANSLATE(D104,""zh-tw"",""es-MX"")"),"Abierto hasta altas horas de la noche (22:00 a 22:30)")</f>
        <v>Abierto hasta altas horas de la noche (22:00 a 22:30)</v>
      </c>
      <c r="U104" s="137">
        <v>4.0</v>
      </c>
      <c r="V104" s="125" t="str">
        <f>IFERROR(__xludf.DUMMYFUNCTION("GOOGLETRANSLATE(B104,""zh-tw"",""KO"")"),"늦은 밤")</f>
        <v>늦은 밤</v>
      </c>
      <c r="W104" s="123" t="str">
        <f>IFERROR(__xludf.DUMMYFUNCTION("GOOGLETRANSLATE(C104,""zh-tw"",""KO"")"),"""레드 마로우 리퀴드""를 사용하고 트리트먼트를 완료한 후, 늦은 밤 세션을 시작할 수 있습니다.")</f>
        <v>"레드 마로우 리퀴드"를 사용하고 트리트먼트를 완료한 후, 늦은 밤 세션을 시작할 수 있습니다.</v>
      </c>
      <c r="X104" s="124" t="str">
        <f>IFERROR(__xludf.DUMMYFUNCTION("GOOGLETRANSLATE(D104,""zh-tw"",""KO"")"),"심야 영업 (22:00~22:30)")</f>
        <v>심야 영업 (22:00~22:30)</v>
      </c>
      <c r="Y104" s="137">
        <v>4.0</v>
      </c>
      <c r="Z104" s="126" t="str">
        <f>IFERROR(__xludf.DUMMYFUNCTION("IF(J104="""", """", GOOGLETRANSLATE(J104,""en"",""RU""))"),"Поздно ночью")</f>
        <v>Поздно ночью</v>
      </c>
      <c r="AA104" s="127" t="str">
        <f>IFERROR(__xludf.DUMMYFUNCTION("IF(K104="""", """", GOOGLETRANSLATE(K104,""en"",""RU""))"),"После того, как вы вылечили Имото, вы теперь можете не спать и заниматься ночными сеансами, например, просмотром видеокассет в гостиной.")</f>
        <v>После того, как вы вылечили Имото, вы теперь можете не спать и заниматься ночными сеансами, например, просмотром видеокассет в гостиной.</v>
      </c>
      <c r="AB104" s="128" t="str">
        <f>IFERROR(__xludf.DUMMYFUNCTION("IF(L104="""", """", GOOGLETRANSLATE(L104, ""en"", ""ru""))
"),"Позволяет вам и Имото не спать до поздней ночи (22:00–22:30)")</f>
        <v>Позволяет вам и Имото не спать до поздней ночи (22:00–22:30)</v>
      </c>
      <c r="AC104" s="137">
        <v>4.0</v>
      </c>
      <c r="AD104" s="138" t="s">
        <v>2248</v>
      </c>
      <c r="AE104" s="141" t="s">
        <v>2249</v>
      </c>
      <c r="AF104" s="136" t="s">
        <v>2250</v>
      </c>
      <c r="AG104" s="137">
        <v>4.0</v>
      </c>
      <c r="AH104" s="143" t="s">
        <v>2251</v>
      </c>
      <c r="AI104" s="130" t="s">
        <v>2252</v>
      </c>
      <c r="AJ104" s="145" t="s">
        <v>2253</v>
      </c>
      <c r="AK104" s="137">
        <v>4.0</v>
      </c>
      <c r="AL104" s="125" t="s">
        <v>2254</v>
      </c>
      <c r="AM104" s="123" t="s">
        <v>2255</v>
      </c>
      <c r="AN104" s="66" t="s">
        <v>2256</v>
      </c>
      <c r="AO104" s="124"/>
    </row>
    <row r="105">
      <c r="A105" s="137">
        <v>5.0</v>
      </c>
      <c r="B105" s="125" t="s">
        <v>2257</v>
      </c>
      <c r="C105" s="115" t="s">
        <v>2258</v>
      </c>
      <c r="D105" s="66" t="s">
        <v>2259</v>
      </c>
      <c r="E105" s="137">
        <v>5.0</v>
      </c>
      <c r="F105" s="102" t="s">
        <v>2260</v>
      </c>
      <c r="G105" s="141" t="s">
        <v>2261</v>
      </c>
      <c r="H105" s="142" t="s">
        <v>2262</v>
      </c>
      <c r="I105" s="137">
        <v>5.0</v>
      </c>
      <c r="J105" s="118" t="s">
        <v>2263</v>
      </c>
      <c r="K105" s="135" t="s">
        <v>2264</v>
      </c>
      <c r="L105" s="136" t="s">
        <v>2265</v>
      </c>
      <c r="M105" s="137">
        <v>5.0</v>
      </c>
      <c r="N105" s="125" t="s">
        <v>2257</v>
      </c>
      <c r="O105" s="115" t="s">
        <v>2266</v>
      </c>
      <c r="P105" s="66" t="s">
        <v>2267</v>
      </c>
      <c r="Q105" s="137">
        <v>5.0</v>
      </c>
      <c r="R105" s="125" t="str">
        <f>IFERROR(__xludf.DUMMYFUNCTION("GOOGLETRANSLATE(B105,""zh-tw"",""es-MX"")"),"¡Que miedo!")</f>
        <v>¡Que miedo!</v>
      </c>
      <c r="S105" s="123" t="str">
        <f>IFERROR(__xludf.DUMMYFUNCTION("GOOGLETRANSLATE(C105,""zh-tw"",""es-MX"")"),"Usando ""videos de terror"" a altas horas de la noche.")</f>
        <v>Usando "videos de terror" a altas horas de la noche.</v>
      </c>
      <c r="T105" s="124" t="str">
        <f>IFERROR(__xludf.DUMMYFUNCTION("GOOGLETRANSLATE(D105,""zh-tw"",""es-MX"")"),"Trama relacionada con el detonante")</f>
        <v>Trama relacionada con el detonante</v>
      </c>
      <c r="U105" s="137">
        <v>5.0</v>
      </c>
      <c r="V105" s="125" t="str">
        <f>IFERROR(__xludf.DUMMYFUNCTION("GOOGLETRANSLATE(B105,""zh-tw"",""KO"")"),"무섭죠!")</f>
        <v>무섭죠!</v>
      </c>
      <c r="W105" s="123" t="str">
        <f>IFERROR(__xludf.DUMMYFUNCTION("GOOGLETRANSLATE(C105,""zh-tw"",""KO"")"),"밤늦게 ""공포 영상""을 사용합니다.")</f>
        <v>밤늦게 "공포 영상"을 사용합니다.</v>
      </c>
      <c r="X105" s="124" t="str">
        <f>IFERROR(__xludf.DUMMYFUNCTION("GOOGLETRANSLATE(D105,""zh-tw"",""KO"")"),"트리거 관련 플롯")</f>
        <v>트리거 관련 플롯</v>
      </c>
      <c r="Y105" s="137">
        <v>5.0</v>
      </c>
      <c r="Z105" s="126" t="str">
        <f>IFERROR(__xludf.DUMMYFUNCTION("IF(J105="""", """", GOOGLETRANSLATE(J105,""en"",""RU""))"),"Это страшно!")</f>
        <v>Это страшно!</v>
      </c>
      <c r="AA105" s="127" t="str">
        <f>IFERROR(__xludf.DUMMYFUNCTION("IF(K105="""", """", GOOGLETRANSLATE(K105,""en"",""RU""))"),"Посмотрите «видеокассету ужасов» поздно ночью")</f>
        <v>Посмотрите «видеокассету ужасов» поздно ночью</v>
      </c>
      <c r="AB105" s="128" t="str">
        <f>IFERROR(__xludf.DUMMYFUNCTION("IF(L105="""", """", GOOGLETRANSLATE(L105, ""en"", ""ru""))
"),"Запускает первую часть секс-события с Имото в гостиной, с возможностью запустить последующую последовательность.")</f>
        <v>Запускает первую часть секс-события с Имото в гостиной, с возможностью запустить последующую последовательность.</v>
      </c>
      <c r="AC105" s="137">
        <v>5.0</v>
      </c>
      <c r="AD105" s="138" t="s">
        <v>2268</v>
      </c>
      <c r="AE105" s="141" t="s">
        <v>2269</v>
      </c>
      <c r="AF105" s="142" t="s">
        <v>2270</v>
      </c>
      <c r="AG105" s="137">
        <v>5.0</v>
      </c>
      <c r="AH105" s="143" t="s">
        <v>2271</v>
      </c>
      <c r="AI105" s="130" t="s">
        <v>2272</v>
      </c>
      <c r="AJ105" s="144" t="s">
        <v>2273</v>
      </c>
      <c r="AK105" s="137">
        <v>5.0</v>
      </c>
      <c r="AL105" s="125" t="s">
        <v>2274</v>
      </c>
      <c r="AM105" s="123" t="s">
        <v>2275</v>
      </c>
      <c r="AN105" s="124" t="s">
        <v>2276</v>
      </c>
      <c r="AO105" s="124"/>
    </row>
    <row r="106">
      <c r="A106" s="137">
        <v>6.0</v>
      </c>
      <c r="B106" s="125" t="s">
        <v>2277</v>
      </c>
      <c r="C106" s="115" t="s">
        <v>2278</v>
      </c>
      <c r="D106" s="66" t="s">
        <v>2279</v>
      </c>
      <c r="E106" s="137">
        <v>6.0</v>
      </c>
      <c r="F106" s="102" t="s">
        <v>2280</v>
      </c>
      <c r="G106" s="135" t="s">
        <v>2281</v>
      </c>
      <c r="H106" s="142" t="s">
        <v>2282</v>
      </c>
      <c r="I106" s="137">
        <v>6.0</v>
      </c>
      <c r="J106" s="118" t="s">
        <v>2283</v>
      </c>
      <c r="K106" s="135" t="s">
        <v>2284</v>
      </c>
      <c r="L106" s="136" t="s">
        <v>2285</v>
      </c>
      <c r="M106" s="137">
        <v>6.0</v>
      </c>
      <c r="N106" s="125" t="s">
        <v>2277</v>
      </c>
      <c r="O106" s="115" t="s">
        <v>2286</v>
      </c>
      <c r="P106" s="66" t="s">
        <v>2287</v>
      </c>
      <c r="Q106" s="137">
        <v>6.0</v>
      </c>
      <c r="R106" s="125" t="str">
        <f>IFERROR(__xludf.DUMMYFUNCTION("GOOGLETRANSLATE(B106,""zh-tw"",""es-MX"")"),"¡Qué miedo! -1")</f>
        <v>¡Qué miedo! -1</v>
      </c>
      <c r="S106" s="123" t="str">
        <f>IFERROR(__xludf.DUMMYFUNCTION("GOOGLETRANSLATE(C106,""zh-tw"",""es-MX"")"),"Usar ""Video de terror"" a altas horas de la noche y obtener una puntuación de corazón púrpura superior a 3")</f>
        <v>Usar "Video de terror" a altas horas de la noche y obtener una puntuación de corazón púrpura superior a 3</v>
      </c>
      <c r="T106" s="124" t="str">
        <f>IFERROR(__xludf.DUMMYFUNCTION("GOOGLETRANSLATE(D106,""zh-tw"",""es-MX"")"),"Según tus decisiones, se activará la historia principal con tu hermana.
La primera vez es forzado a salir.
La segunda vez es voluntario.
La tercera vez es opcional.")</f>
        <v>Según tus decisiones, se activará la historia principal con tu hermana.
La primera vez es forzado a salir.
La segunda vez es voluntario.
La tercera vez es opcional.</v>
      </c>
      <c r="U106" s="137">
        <v>6.0</v>
      </c>
      <c r="V106" s="125" t="str">
        <f>IFERROR(__xludf.DUMMYFUNCTION("GOOGLETRANSLATE(B106,""zh-tw"",""KO"")"),"무섭네요! -1")</f>
        <v>무섭네요! -1</v>
      </c>
      <c r="W106" s="123" t="str">
        <f>IFERROR(__xludf.DUMMYFUNCTION("GOOGLETRANSLATE(C106,""zh-tw"",""KO"")"),"밤늦게 ""공포 비디오테이프""를 시청하고
퍼플 하트 점수가 3점 이상인 경우")</f>
        <v>밤늦게 "공포 비디오테이프"를 시청하고
퍼플 하트 점수가 3점 이상인 경우</v>
      </c>
      <c r="X106" s="124" t="str">
        <f>IFERROR(__xludf.DUMMYFUNCTION("GOOGLETRANSLATE(D106,""zh-tw"",""KO"")"),"선택에 따라 여동생과의 메인 스토리가 시작됩니다.
첫 번째는 강제로 밖으로 나가야 합니다.
두 번째는 자발적으로 밖으로 나가야 합니다.
세 번째는 선택 사항입니다.")</f>
        <v>선택에 따라 여동생과의 메인 스토리가 시작됩니다.
첫 번째는 강제로 밖으로 나가야 합니다.
두 번째는 자발적으로 밖으로 나가야 합니다.
세 번째는 선택 사항입니다.</v>
      </c>
      <c r="Y106" s="137">
        <v>6.0</v>
      </c>
      <c r="Z106" s="126" t="str">
        <f>IFERROR(__xludf.DUMMYFUNCTION("IF(J106="""", """", GOOGLETRANSLATE(J106,""en"",""RU""))"),"Это страшно! - 1")</f>
        <v>Это страшно! - 1</v>
      </c>
      <c r="AA106" s="127" t="str">
        <f>IFERROR(__xludf.DUMMYFUNCTION("IF(K106="""", """", GOOGLETRANSLATE(K106,""en"",""RU""))"),"Аналогично предыдущему, посмотрите «видеокассету ужасов» поздно ночью, если на экране больше 3 фиолетовых сердец.")</f>
        <v>Аналогично предыдущему, посмотрите «видеокассету ужасов» поздно ночью, если на экране больше 3 фиолетовых сердец.</v>
      </c>
      <c r="AB106" s="128" t="str">
        <f>IFERROR(__xludf.DUMMYFUNCTION("IF(L106="""", """", GOOGLETRANSLATE(L106, ""en"", ""ru""))
"),"Секс в гостиной будет происходить, и последующая последовательность гарантирована.
В первый раз принуждение к эякуляции на улице.
Во второй раз — по желанию.
В третий раз — по желанию.")</f>
        <v>Секс в гостиной будет происходить, и последующая последовательность гарантирована.
В первый раз принуждение к эякуляции на улице.
Во второй раз — по желанию.
В третий раз — по желанию.</v>
      </c>
      <c r="AC106" s="137">
        <v>6.0</v>
      </c>
      <c r="AD106" s="138" t="s">
        <v>2288</v>
      </c>
      <c r="AE106" s="135" t="s">
        <v>2289</v>
      </c>
      <c r="AF106" s="142" t="s">
        <v>2290</v>
      </c>
      <c r="AG106" s="137">
        <v>6.0</v>
      </c>
      <c r="AH106" s="143" t="s">
        <v>2291</v>
      </c>
      <c r="AI106" s="146" t="s">
        <v>2292</v>
      </c>
      <c r="AJ106" s="145" t="s">
        <v>2293</v>
      </c>
      <c r="AK106" s="137">
        <v>6.0</v>
      </c>
      <c r="AL106" s="125" t="s">
        <v>2294</v>
      </c>
      <c r="AM106" s="115" t="s">
        <v>2295</v>
      </c>
      <c r="AN106" s="66" t="s">
        <v>2296</v>
      </c>
      <c r="AO106" s="124"/>
    </row>
    <row r="107">
      <c r="A107" s="137">
        <v>7.0</v>
      </c>
      <c r="B107" s="125" t="s">
        <v>2297</v>
      </c>
      <c r="C107" s="123" t="s">
        <v>2298</v>
      </c>
      <c r="D107" s="124" t="s">
        <v>662</v>
      </c>
      <c r="E107" s="137">
        <v>7.0</v>
      </c>
      <c r="F107" s="102" t="s">
        <v>2299</v>
      </c>
      <c r="G107" s="141" t="s">
        <v>2300</v>
      </c>
      <c r="H107" s="142" t="s">
        <v>665</v>
      </c>
      <c r="I107" s="137">
        <v>7.0</v>
      </c>
      <c r="J107" s="138" t="s">
        <v>2301</v>
      </c>
      <c r="K107" s="135" t="s">
        <v>2302</v>
      </c>
      <c r="L107" s="142" t="s">
        <v>2225</v>
      </c>
      <c r="M107" s="137">
        <v>7.0</v>
      </c>
      <c r="N107" s="125" t="s">
        <v>2297</v>
      </c>
      <c r="O107" s="123" t="s">
        <v>2303</v>
      </c>
      <c r="P107" s="124" t="s">
        <v>2228</v>
      </c>
      <c r="Q107" s="137">
        <v>7.0</v>
      </c>
      <c r="R107" s="132" t="s">
        <v>2304</v>
      </c>
      <c r="S107" s="123" t="str">
        <f>IFERROR(__xludf.DUMMYFUNCTION("GOOGLETRANSLATE(C107,""zh-tw"",""es-MX"")"),"Ver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7" s="124" t="str">
        <f>IFERROR(__xludf.DUMMYFUNCTION("GOOGLETRANSLATE(D107,""zh-tw"",""es-MX"")"),"No implementado")</f>
        <v>No implementado</v>
      </c>
      <c r="U107" s="137">
        <v>7.0</v>
      </c>
      <c r="V107" s="125" t="str">
        <f>IFERROR(__xludf.DUMMYFUNCTION("GOOGLETRANSLATE(B107,""zh-tw"",""KO"")"),"저는 너무 부끄러워요!")</f>
        <v>저는 너무 부끄러워요!</v>
      </c>
      <c r="W107" s="123" t="str">
        <f>IFERROR(__xludf.DUMMYFUNCTION("GOOGLETRANSLATE(C107,""zh-tw"",""KO"")"),"밤늦게 ""성인용 영상""을 시청하고
애정/퍼플 하트(또는 일정 수준의 긍정적인 감정)가 낮은 경우")</f>
        <v>밤늦게 "성인용 영상"을 시청하고
애정/퍼플 하트(또는 일정 수준의 긍정적인 감정)가 낮은 경우</v>
      </c>
      <c r="X107" s="124" t="str">
        <f>IFERROR(__xludf.DUMMYFUNCTION("GOOGLETRANSLATE(D107,""zh-tw"",""KO"")"),"구현되지 않음")</f>
        <v>구현되지 않음</v>
      </c>
      <c r="Y107" s="137">
        <v>7.0</v>
      </c>
      <c r="Z107" s="126" t="str">
        <f>IFERROR(__xludf.DUMMYFUNCTION("IF(J107="""", """", GOOGLETRANSLATE(J107,""en"",""RU""))"),"Это стыдно!")</f>
        <v>Это стыдно!</v>
      </c>
      <c r="AA107" s="127" t="str">
        <f>IFERROR(__xludf.DUMMYFUNCTION("IF(K107="""", """", GOOGLETRANSLATE(K107,""en"",""RU""))"),"Используйте «взрослую видеокассету» поздно вечером с небольшим количеством красных/фиолетовых сердечек.")</f>
        <v>Используйте «взрослую видеокассету» поздно вечером с небольшим количеством красных/фиолетовых сердечек.</v>
      </c>
      <c r="AB107" s="128" t="str">
        <f>IFERROR(__xludf.DUMMYFUNCTION("IF(L107="""", """", GOOGLETRANSLATE(L107, ""en"", ""ru""))
"),"Пока не реализовано")</f>
        <v>Пока не реализовано</v>
      </c>
      <c r="AC107" s="137">
        <v>7.0</v>
      </c>
      <c r="AD107" s="138" t="s">
        <v>2305</v>
      </c>
      <c r="AE107" s="141" t="s">
        <v>2306</v>
      </c>
      <c r="AF107" s="142" t="s">
        <v>2230</v>
      </c>
      <c r="AG107" s="137">
        <v>7.0</v>
      </c>
      <c r="AH107" s="143" t="s">
        <v>2307</v>
      </c>
      <c r="AI107" s="130" t="s">
        <v>2308</v>
      </c>
      <c r="AJ107" s="144" t="s">
        <v>2232</v>
      </c>
      <c r="AK107" s="137">
        <v>7.0</v>
      </c>
      <c r="AL107" s="125" t="s">
        <v>2309</v>
      </c>
      <c r="AM107" s="123" t="s">
        <v>2310</v>
      </c>
      <c r="AN107" s="124" t="s">
        <v>2235</v>
      </c>
      <c r="AO107" s="124"/>
    </row>
    <row r="108">
      <c r="A108" s="137">
        <v>8.0</v>
      </c>
      <c r="B108" s="125" t="s">
        <v>2311</v>
      </c>
      <c r="C108" s="123" t="s">
        <v>2312</v>
      </c>
      <c r="D108" s="124" t="s">
        <v>662</v>
      </c>
      <c r="E108" s="137">
        <v>8.0</v>
      </c>
      <c r="F108" s="102" t="s">
        <v>2313</v>
      </c>
      <c r="G108" s="141" t="s">
        <v>2314</v>
      </c>
      <c r="H108" s="124" t="s">
        <v>665</v>
      </c>
      <c r="I108" s="137">
        <v>8.0</v>
      </c>
      <c r="J108" s="138" t="s">
        <v>2315</v>
      </c>
      <c r="K108" s="135" t="s">
        <v>2316</v>
      </c>
      <c r="L108" s="142" t="s">
        <v>2225</v>
      </c>
      <c r="M108" s="137">
        <v>8.0</v>
      </c>
      <c r="N108" s="125" t="s">
        <v>2311</v>
      </c>
      <c r="O108" s="123" t="s">
        <v>2317</v>
      </c>
      <c r="P108" s="124" t="s">
        <v>2228</v>
      </c>
      <c r="Q108" s="137">
        <v>8.0</v>
      </c>
      <c r="R108" s="132" t="s">
        <v>2318</v>
      </c>
      <c r="S108" s="123" t="str">
        <f>IFERROR(__xludf.DUMMYFUNCTION("GOOGLETRANSLATE(C108,""zh-tw"",""es-MX"")"),"Usó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8" s="124" t="str">
        <f>IFERROR(__xludf.DUMMYFUNCTION("GOOGLETRANSLATE(D108,""zh-tw"",""es-MX"")"),"No implementado")</f>
        <v>No implementado</v>
      </c>
      <c r="U108" s="137">
        <v>8.0</v>
      </c>
      <c r="V108" s="125" t="str">
        <f>IFERROR(__xludf.DUMMYFUNCTION("GOOGLETRANSLATE(B108,""zh-tw"",""KO"")"),"너무 부끄러워요! -1")</f>
        <v>너무 부끄러워요! -1</v>
      </c>
      <c r="W108" s="123" t="str">
        <f>IFERROR(__xludf.DUMMYFUNCTION("GOOGLETRANSLATE(C108,""zh-tw"",""KO"")"),"밤늦게 ""성인용 비디오테이프""를 사용했으며
호감도가 ?보다 높고, 퍼플 하트 등급이 ?보다 높습니다.")</f>
        <v>밤늦게 "성인용 비디오테이프"를 사용했으며
호감도가 ?보다 높고, 퍼플 하트 등급이 ?보다 높습니다.</v>
      </c>
      <c r="X108" s="124" t="str">
        <f>IFERROR(__xludf.DUMMYFUNCTION("GOOGLETRANSLATE(D108,""zh-tw"",""KO"")"),"구현되지 않음")</f>
        <v>구현되지 않음</v>
      </c>
      <c r="Y108" s="137">
        <v>8.0</v>
      </c>
      <c r="Z108" s="126" t="str">
        <f>IFERROR(__xludf.DUMMYFUNCTION("IF(J108="""", """", GOOGLETRANSLATE(J108,""en"",""RU""))"),"Это стыдно! - 1")</f>
        <v>Это стыдно! - 1</v>
      </c>
      <c r="AA108" s="127" t="str">
        <f>IFERROR(__xludf.DUMMYFUNCTION("IF(K108="""", """", GOOGLETRANSLATE(K108,""en"",""RU""))"),"То же самое, что и выше, используйте «взрослую видеокассету» поздно ночью с красными сердцами выше ? и фиолетовыми сердцами выше ?.")</f>
        <v>То же самое, что и выше, используйте «взрослую видеокассету» поздно ночью с красными сердцами выше ? и фиолетовыми сердцами выше ?.</v>
      </c>
      <c r="AB108" s="128" t="str">
        <f>IFERROR(__xludf.DUMMYFUNCTION("IF(L108="""", """", GOOGLETRANSLATE(L108, ""en"", ""ru""))
"),"Пока не реализовано")</f>
        <v>Пока не реализовано</v>
      </c>
      <c r="AC108" s="137">
        <v>8.0</v>
      </c>
      <c r="AD108" s="138" t="s">
        <v>2319</v>
      </c>
      <c r="AE108" s="141" t="s">
        <v>2320</v>
      </c>
      <c r="AF108" s="142" t="s">
        <v>2230</v>
      </c>
      <c r="AG108" s="137">
        <v>8.0</v>
      </c>
      <c r="AH108" s="143" t="s">
        <v>2321</v>
      </c>
      <c r="AI108" s="130" t="s">
        <v>2322</v>
      </c>
      <c r="AJ108" s="144" t="s">
        <v>2232</v>
      </c>
      <c r="AK108" s="137">
        <v>8.0</v>
      </c>
      <c r="AL108" s="125" t="s">
        <v>2323</v>
      </c>
      <c r="AM108" s="123" t="s">
        <v>2324</v>
      </c>
      <c r="AN108" s="124" t="s">
        <v>2235</v>
      </c>
      <c r="AO108" s="124"/>
    </row>
    <row r="109">
      <c r="A109" s="30"/>
      <c r="B109" s="65"/>
      <c r="C109" s="65"/>
      <c r="D109" s="65"/>
      <c r="E109" s="30"/>
      <c r="F109" s="65"/>
      <c r="G109" s="65"/>
      <c r="H109" s="65"/>
      <c r="I109" s="30"/>
      <c r="J109" s="65"/>
      <c r="K109" s="65"/>
      <c r="L109" s="65"/>
      <c r="M109" s="30"/>
      <c r="N109" s="65"/>
      <c r="O109" s="65"/>
      <c r="P109" s="65"/>
      <c r="Q109" s="30"/>
      <c r="R109" s="65"/>
      <c r="S109" s="65"/>
      <c r="T109" s="65"/>
      <c r="U109" s="30"/>
      <c r="V109" s="65"/>
      <c r="W109" s="65"/>
      <c r="X109" s="65"/>
      <c r="Y109" s="30"/>
      <c r="Z109" s="65"/>
      <c r="AA109" s="65"/>
      <c r="AB109" s="65"/>
      <c r="AC109" s="30"/>
      <c r="AD109" s="65"/>
      <c r="AE109" s="65"/>
      <c r="AF109" s="65"/>
      <c r="AG109" s="65"/>
      <c r="AH109" s="30"/>
      <c r="AI109" s="65"/>
      <c r="AJ109" s="65"/>
      <c r="AK109" s="65"/>
      <c r="AL109" s="65"/>
      <c r="AM109" s="65"/>
      <c r="AN109" s="65"/>
      <c r="AO109" s="65"/>
    </row>
    <row r="110">
      <c r="A110" s="95" t="s">
        <v>2325</v>
      </c>
      <c r="B110" s="139" t="s">
        <v>2326</v>
      </c>
      <c r="E110" s="95" t="s">
        <v>2325</v>
      </c>
      <c r="F110" s="95" t="s">
        <v>2327</v>
      </c>
      <c r="I110" s="95" t="s">
        <v>2325</v>
      </c>
      <c r="J110" s="95" t="s">
        <v>2328</v>
      </c>
      <c r="M110" s="95" t="s">
        <v>2325</v>
      </c>
      <c r="N110" s="95" t="str">
        <f>IFERROR(__xludf.DUMMYFUNCTION("GOOGLETRANSLATE(B110,""zh-tw"",""zh"")"),"夜袭相关")</f>
        <v>夜袭相关</v>
      </c>
      <c r="Q110" s="95" t="s">
        <v>2325</v>
      </c>
      <c r="R110" s="95" t="s">
        <v>2329</v>
      </c>
      <c r="U110" s="95" t="s">
        <v>2325</v>
      </c>
      <c r="V110" s="95" t="s">
        <v>2330</v>
      </c>
      <c r="Y110" s="95" t="s">
        <v>2325</v>
      </c>
      <c r="Z110" s="95" t="s">
        <v>2331</v>
      </c>
      <c r="AC110" s="95" t="s">
        <v>2325</v>
      </c>
      <c r="AD110" s="95" t="s">
        <v>2332</v>
      </c>
      <c r="AG110" s="95" t="s">
        <v>2325</v>
      </c>
      <c r="AH110" s="139" t="s">
        <v>2333</v>
      </c>
      <c r="AK110" s="95" t="s">
        <v>2325</v>
      </c>
      <c r="AL110" s="96" t="s">
        <v>2334</v>
      </c>
      <c r="AO110" s="139"/>
    </row>
    <row r="111">
      <c r="A111" s="137">
        <v>1.0</v>
      </c>
      <c r="B111" s="102" t="s">
        <v>2335</v>
      </c>
      <c r="C111" s="103" t="s">
        <v>2336</v>
      </c>
      <c r="D111" s="71" t="s">
        <v>2337</v>
      </c>
      <c r="E111" s="137">
        <v>1.0</v>
      </c>
      <c r="F111" s="102" t="s">
        <v>2338</v>
      </c>
      <c r="G111" s="103" t="s">
        <v>2339</v>
      </c>
      <c r="H111" s="71" t="s">
        <v>2340</v>
      </c>
      <c r="I111" s="137">
        <v>1.0</v>
      </c>
      <c r="J111" s="102" t="s">
        <v>2341</v>
      </c>
      <c r="K111" s="103" t="s">
        <v>2342</v>
      </c>
      <c r="L111" s="71" t="s">
        <v>2343</v>
      </c>
      <c r="M111" s="137">
        <v>1.0</v>
      </c>
      <c r="N111" s="102" t="str">
        <f>IFERROR(__xludf.DUMMYFUNCTION("GOOGLETRANSLATE(B111,""zh-tw"",""zh"")"),"气息消除-3")</f>
        <v>气息消除-3</v>
      </c>
      <c r="O111" s="103" t="str">
        <f>IFERROR(__xludf.DUMMYFUNCTION("GOOGLETRANSLATE(C111,""zh-tw"",""zh"")"),"夜袭相关选项")</f>
        <v>夜袭相关选项</v>
      </c>
      <c r="P111" s="71" t="str">
        <f>IFERROR(__xludf.DUMMYFUNCTION("GOOGLETRANSLATE(D111,""zh-tw"",""zh"")"),"未实装
待夜袭场景重制")</f>
        <v>未实装
待夜袭场景重制</v>
      </c>
      <c r="Q111" s="137">
        <v>1.0</v>
      </c>
      <c r="R111" s="112" t="s">
        <v>2344</v>
      </c>
      <c r="S111" s="109" t="s">
        <v>2345</v>
      </c>
      <c r="T111" s="69" t="s">
        <v>2346</v>
      </c>
      <c r="U111" s="137">
        <v>1.0</v>
      </c>
      <c r="V111" s="102" t="str">
        <f>IFERROR(__xludf.DUMMYFUNCTION("GOOGLETRANSLATE(B111,""zh-tw"",""KO"")"),"냄새 제거 -3")</f>
        <v>냄새 제거 -3</v>
      </c>
      <c r="W111" s="103" t="str">
        <f>IFERROR(__xludf.DUMMYFUNCTION("GOOGLETRANSLATE(C111,""zh-tw"",""KO"")"),"야간 습격 관련 옵션")</f>
        <v>야간 습격 관련 옵션</v>
      </c>
      <c r="X111" s="71" t="str">
        <f>IFERROR(__xludf.DUMMYFUNCTION("GOOGLETRANSLATE(D111,""zh-tw"",""KO"")"),"아직 구현되지 않음. 야간 습격 장면을 리메이크하는 것을 기다리고 있습니다.")</f>
        <v>아직 구현되지 않음. 야간 습격 장면을 리메이크하는 것을 기다리고 있습니다.</v>
      </c>
      <c r="Y111" s="137">
        <v>1.0</v>
      </c>
      <c r="Z111" s="116" t="str">
        <f>IFERROR(__xludf.DUMMYFUNCTION("IF(J111="""", """", GOOGLETRANSLATE(
J111,""en"",""ru""))"),"Сокрытие дыхания-3")</f>
        <v>Сокрытие дыхания-3</v>
      </c>
      <c r="AA111" s="117" t="str">
        <f>IFERROR(__xludf.DUMMYFUNCTION("IF(K111="""", """", GOOGLETRANSLATE(K111,""en"",""RU""))"),"Новая опция будет доступна во время ночных рейдов.")</f>
        <v>Новая опция будет доступна во время ночных рейдов.</v>
      </c>
      <c r="AB111" s="64" t="str">
        <f>IFERROR(__xludf.DUMMYFUNCTION("IF(L111="""", """", GOOGLETRANSLATE(L111, ""en"", ""ru""))
"),"*Пока не реализовано. Пожалуйста, дождитесь переработки ночных рейдов.")</f>
        <v>*Пока не реализовано. Пожалуйста, дождитесь переработки ночных рейдов.</v>
      </c>
      <c r="AC111" s="137">
        <v>1.0</v>
      </c>
      <c r="AD111" s="102" t="s">
        <v>2347</v>
      </c>
      <c r="AE111" s="103" t="s">
        <v>2348</v>
      </c>
      <c r="AF111" s="71" t="s">
        <v>1098</v>
      </c>
      <c r="AG111" s="137">
        <v>1.0</v>
      </c>
      <c r="AH111" s="138" t="s">
        <v>2349</v>
      </c>
      <c r="AI111" s="103" t="s">
        <v>2350</v>
      </c>
      <c r="AJ111" s="69" t="s">
        <v>2351</v>
      </c>
      <c r="AK111" s="137">
        <v>1.0</v>
      </c>
      <c r="AL111" s="125" t="s">
        <v>2352</v>
      </c>
      <c r="AM111" s="123" t="s">
        <v>2353</v>
      </c>
      <c r="AN111" s="124" t="s">
        <v>2354</v>
      </c>
      <c r="AO111" s="71"/>
    </row>
    <row r="112">
      <c r="A112" s="30"/>
      <c r="B112" s="65"/>
      <c r="C112" s="65"/>
      <c r="D112" s="65"/>
      <c r="E112" s="30"/>
      <c r="F112" s="65"/>
      <c r="G112" s="65"/>
      <c r="H112" s="65"/>
      <c r="I112" s="30"/>
      <c r="J112" s="65"/>
      <c r="K112" s="65"/>
      <c r="L112" s="65"/>
      <c r="M112" s="30"/>
      <c r="N112" s="65"/>
      <c r="O112" s="65"/>
      <c r="P112" s="65"/>
      <c r="Q112" s="30"/>
      <c r="R112" s="65"/>
      <c r="S112" s="65"/>
      <c r="T112" s="65"/>
      <c r="U112" s="30"/>
      <c r="V112" s="65"/>
      <c r="W112" s="65"/>
      <c r="X112" s="65"/>
      <c r="Y112" s="30"/>
      <c r="Z112" s="65"/>
      <c r="AA112" s="65"/>
      <c r="AB112" s="65"/>
      <c r="AC112" s="30"/>
      <c r="AD112" s="65"/>
      <c r="AE112" s="65"/>
      <c r="AF112" s="65"/>
      <c r="AG112" s="65"/>
      <c r="AH112" s="30"/>
      <c r="AI112" s="65"/>
      <c r="AJ112" s="65"/>
      <c r="AK112" s="65"/>
      <c r="AL112" s="65"/>
      <c r="AM112" s="65"/>
      <c r="AN112" s="65"/>
      <c r="AO112" s="65"/>
    </row>
    <row r="113">
      <c r="A113" s="30"/>
      <c r="B113" s="65"/>
      <c r="C113" s="65"/>
      <c r="D113" s="65"/>
      <c r="E113" s="30"/>
      <c r="F113" s="65"/>
      <c r="G113" s="65"/>
      <c r="H113" s="65"/>
      <c r="I113" s="30"/>
      <c r="J113" s="65"/>
      <c r="K113" s="65"/>
      <c r="L113" s="65"/>
      <c r="M113" s="30"/>
      <c r="N113" s="65"/>
      <c r="O113" s="65"/>
      <c r="P113" s="65"/>
      <c r="Q113" s="30"/>
      <c r="R113" s="65"/>
      <c r="S113" s="65"/>
      <c r="T113" s="65"/>
      <c r="U113" s="30"/>
      <c r="V113" s="65"/>
      <c r="W113" s="65"/>
      <c r="X113" s="65"/>
      <c r="Y113" s="30"/>
      <c r="Z113" s="65"/>
      <c r="AA113" s="65"/>
      <c r="AB113" s="65"/>
      <c r="AC113" s="30"/>
      <c r="AD113" s="65"/>
      <c r="AE113" s="65"/>
      <c r="AF113" s="65"/>
      <c r="AG113" s="65"/>
      <c r="AH113" s="30"/>
      <c r="AI113" s="65"/>
      <c r="AJ113" s="65"/>
      <c r="AK113" s="65"/>
      <c r="AL113" s="65"/>
      <c r="AM113" s="65"/>
      <c r="AN113" s="65"/>
      <c r="AO113" s="65"/>
    </row>
    <row r="114">
      <c r="A114" s="30"/>
      <c r="B114" s="65"/>
      <c r="C114" s="65"/>
      <c r="D114" s="65"/>
      <c r="E114" s="30"/>
      <c r="F114" s="65"/>
      <c r="G114" s="65"/>
      <c r="H114" s="65"/>
      <c r="I114" s="30"/>
      <c r="J114" s="65"/>
      <c r="K114" s="65"/>
      <c r="L114" s="65"/>
      <c r="M114" s="30"/>
      <c r="N114" s="65"/>
      <c r="O114" s="65"/>
      <c r="P114" s="65"/>
      <c r="Q114" s="30"/>
      <c r="R114" s="65"/>
      <c r="S114" s="65"/>
      <c r="T114" s="65"/>
      <c r="U114" s="30"/>
      <c r="V114" s="65"/>
      <c r="W114" s="65"/>
      <c r="X114" s="65"/>
      <c r="Y114" s="30"/>
      <c r="Z114" s="65"/>
      <c r="AA114" s="65"/>
      <c r="AB114" s="65"/>
      <c r="AC114" s="30"/>
      <c r="AD114" s="65"/>
      <c r="AE114" s="65"/>
      <c r="AF114" s="65"/>
      <c r="AG114" s="65"/>
      <c r="AH114" s="30"/>
      <c r="AI114" s="65"/>
      <c r="AJ114" s="65"/>
      <c r="AK114" s="65"/>
      <c r="AL114" s="65"/>
      <c r="AM114" s="65"/>
      <c r="AN114" s="65"/>
      <c r="AO114" s="65"/>
    </row>
    <row r="115">
      <c r="A115" s="30"/>
      <c r="B115" s="65"/>
      <c r="C115" s="65"/>
      <c r="D115" s="65"/>
      <c r="E115" s="30"/>
      <c r="F115" s="65"/>
      <c r="G115" s="65"/>
      <c r="H115" s="65"/>
      <c r="I115" s="30"/>
      <c r="J115" s="65"/>
      <c r="K115" s="65"/>
      <c r="L115" s="65"/>
      <c r="M115" s="30"/>
      <c r="N115" s="65"/>
      <c r="O115" s="65"/>
      <c r="P115" s="65"/>
      <c r="Q115" s="30"/>
      <c r="R115" s="65"/>
      <c r="S115" s="65"/>
      <c r="T115" s="65"/>
      <c r="U115" s="30"/>
      <c r="V115" s="65"/>
      <c r="W115" s="65"/>
      <c r="X115" s="65"/>
      <c r="Y115" s="30"/>
      <c r="Z115" s="65"/>
      <c r="AA115" s="65"/>
      <c r="AB115" s="65"/>
      <c r="AC115" s="30"/>
      <c r="AD115" s="65"/>
      <c r="AE115" s="65"/>
      <c r="AF115" s="65"/>
      <c r="AG115" s="65"/>
      <c r="AH115" s="30"/>
      <c r="AI115" s="65"/>
      <c r="AJ115" s="65"/>
      <c r="AK115" s="65"/>
      <c r="AL115" s="65"/>
      <c r="AM115" s="65"/>
      <c r="AN115" s="65"/>
      <c r="AO115" s="65"/>
    </row>
    <row r="116">
      <c r="A116" s="30"/>
      <c r="B116" s="65"/>
      <c r="C116" s="65"/>
      <c r="D116" s="65"/>
      <c r="E116" s="30"/>
      <c r="F116" s="65"/>
      <c r="G116" s="65"/>
      <c r="H116" s="65"/>
      <c r="I116" s="30"/>
      <c r="J116" s="65"/>
      <c r="K116" s="65"/>
      <c r="L116" s="65"/>
      <c r="M116" s="30"/>
      <c r="N116" s="65"/>
      <c r="O116" s="65"/>
      <c r="P116" s="65"/>
      <c r="Q116" s="30"/>
      <c r="R116" s="65"/>
      <c r="S116" s="65"/>
      <c r="T116" s="65"/>
      <c r="U116" s="30"/>
      <c r="V116" s="65"/>
      <c r="W116" s="65"/>
      <c r="X116" s="65"/>
      <c r="Y116" s="30"/>
      <c r="Z116" s="65"/>
      <c r="AA116" s="65"/>
      <c r="AB116" s="65"/>
      <c r="AC116" s="30"/>
      <c r="AD116" s="65"/>
      <c r="AE116" s="65"/>
      <c r="AF116" s="65"/>
      <c r="AG116" s="65"/>
      <c r="AH116" s="30"/>
      <c r="AI116" s="65"/>
      <c r="AJ116" s="65"/>
      <c r="AK116" s="65"/>
      <c r="AL116" s="65"/>
      <c r="AM116" s="65"/>
      <c r="AN116" s="65"/>
      <c r="AO116" s="65"/>
    </row>
    <row r="117">
      <c r="A117" s="30"/>
      <c r="B117" s="65"/>
      <c r="C117" s="65"/>
      <c r="D117" s="65"/>
      <c r="E117" s="30"/>
      <c r="F117" s="65"/>
      <c r="G117" s="65"/>
      <c r="H117" s="65"/>
      <c r="I117" s="30"/>
      <c r="J117" s="65"/>
      <c r="K117" s="65"/>
      <c r="L117" s="65"/>
      <c r="M117" s="30"/>
      <c r="N117" s="65"/>
      <c r="O117" s="65"/>
      <c r="P117" s="65"/>
      <c r="Q117" s="30"/>
      <c r="R117" s="65"/>
      <c r="S117" s="65"/>
      <c r="T117" s="65"/>
      <c r="U117" s="30"/>
      <c r="V117" s="65"/>
      <c r="W117" s="65"/>
      <c r="X117" s="65"/>
      <c r="Y117" s="30"/>
      <c r="Z117" s="65"/>
      <c r="AA117" s="65"/>
      <c r="AB117" s="65"/>
      <c r="AC117" s="30"/>
      <c r="AD117" s="65"/>
      <c r="AE117" s="65"/>
      <c r="AF117" s="65"/>
      <c r="AG117" s="65"/>
      <c r="AH117" s="30"/>
      <c r="AI117" s="65"/>
      <c r="AJ117" s="65"/>
      <c r="AK117" s="65"/>
      <c r="AL117" s="65"/>
      <c r="AM117" s="65"/>
      <c r="AN117" s="65"/>
      <c r="AO117" s="65"/>
    </row>
    <row r="118">
      <c r="A118" s="30"/>
      <c r="B118" s="65"/>
      <c r="C118" s="65"/>
      <c r="D118" s="65"/>
      <c r="E118" s="30"/>
      <c r="F118" s="65"/>
      <c r="G118" s="65"/>
      <c r="H118" s="65"/>
      <c r="I118" s="30"/>
      <c r="J118" s="65"/>
      <c r="K118" s="65"/>
      <c r="L118" s="65"/>
      <c r="M118" s="30"/>
      <c r="N118" s="65"/>
      <c r="O118" s="65"/>
      <c r="P118" s="65"/>
      <c r="Q118" s="30"/>
      <c r="R118" s="65"/>
      <c r="S118" s="65"/>
      <c r="T118" s="65"/>
      <c r="U118" s="30"/>
      <c r="V118" s="65"/>
      <c r="W118" s="65"/>
      <c r="X118" s="65"/>
      <c r="Y118" s="30"/>
      <c r="Z118" s="65"/>
      <c r="AA118" s="65"/>
      <c r="AB118" s="65"/>
      <c r="AC118" s="30"/>
      <c r="AD118" s="65"/>
      <c r="AE118" s="65"/>
      <c r="AF118" s="65"/>
      <c r="AG118" s="65"/>
      <c r="AH118" s="30"/>
      <c r="AI118" s="65"/>
      <c r="AJ118" s="65"/>
      <c r="AK118" s="65"/>
      <c r="AL118" s="65"/>
      <c r="AM118" s="65"/>
      <c r="AN118" s="65"/>
      <c r="AO118" s="65"/>
    </row>
    <row r="119">
      <c r="A119" s="30"/>
      <c r="B119" s="65"/>
      <c r="C119" s="65"/>
      <c r="D119" s="65"/>
      <c r="E119" s="30"/>
      <c r="F119" s="65"/>
      <c r="G119" s="65"/>
      <c r="H119" s="65"/>
      <c r="I119" s="30"/>
      <c r="J119" s="65"/>
      <c r="K119" s="65"/>
      <c r="L119" s="65"/>
      <c r="M119" s="30"/>
      <c r="N119" s="65"/>
      <c r="O119" s="65"/>
      <c r="P119" s="65"/>
      <c r="Q119" s="30"/>
      <c r="R119" s="65"/>
      <c r="S119" s="65"/>
      <c r="T119" s="65"/>
      <c r="U119" s="30"/>
      <c r="V119" s="65"/>
      <c r="W119" s="65"/>
      <c r="X119" s="65"/>
      <c r="Y119" s="30"/>
      <c r="Z119" s="65"/>
      <c r="AA119" s="65"/>
      <c r="AB119" s="65"/>
      <c r="AC119" s="30"/>
      <c r="AD119" s="65"/>
      <c r="AE119" s="65"/>
      <c r="AF119" s="65"/>
      <c r="AG119" s="65"/>
      <c r="AH119" s="30"/>
      <c r="AI119" s="65"/>
      <c r="AJ119" s="65"/>
      <c r="AK119" s="65"/>
      <c r="AL119" s="65"/>
      <c r="AM119" s="65"/>
      <c r="AN119" s="65"/>
      <c r="AO119" s="65"/>
    </row>
    <row r="120">
      <c r="A120" s="30"/>
      <c r="B120" s="65"/>
      <c r="C120" s="65"/>
      <c r="D120" s="65"/>
      <c r="E120" s="30"/>
      <c r="F120" s="65"/>
      <c r="G120" s="65"/>
      <c r="H120" s="65"/>
      <c r="I120" s="30"/>
      <c r="J120" s="65"/>
      <c r="K120" s="65"/>
      <c r="L120" s="65"/>
      <c r="M120" s="30"/>
      <c r="N120" s="65"/>
      <c r="O120" s="65"/>
      <c r="P120" s="65"/>
      <c r="Q120" s="30"/>
      <c r="R120" s="65"/>
      <c r="S120" s="65"/>
      <c r="T120" s="65"/>
      <c r="U120" s="30"/>
      <c r="V120" s="65"/>
      <c r="W120" s="65"/>
      <c r="X120" s="65"/>
      <c r="Y120" s="30"/>
      <c r="Z120" s="65"/>
      <c r="AA120" s="65"/>
      <c r="AB120" s="65"/>
      <c r="AC120" s="30"/>
      <c r="AD120" s="65"/>
      <c r="AE120" s="65"/>
      <c r="AF120" s="65"/>
      <c r="AG120" s="65"/>
      <c r="AH120" s="30"/>
      <c r="AI120" s="65"/>
      <c r="AJ120" s="65"/>
      <c r="AK120" s="65"/>
      <c r="AL120" s="65"/>
      <c r="AM120" s="65"/>
      <c r="AN120" s="65"/>
      <c r="AO120" s="65"/>
    </row>
    <row r="121">
      <c r="A121" s="30"/>
      <c r="B121" s="65"/>
      <c r="C121" s="65"/>
      <c r="D121" s="65"/>
      <c r="E121" s="30"/>
      <c r="F121" s="65"/>
      <c r="G121" s="65"/>
      <c r="H121" s="65"/>
      <c r="I121" s="30"/>
      <c r="J121" s="65"/>
      <c r="K121" s="65"/>
      <c r="L121" s="65"/>
      <c r="M121" s="30"/>
      <c r="N121" s="65"/>
      <c r="O121" s="65"/>
      <c r="P121" s="65"/>
      <c r="Q121" s="30"/>
      <c r="R121" s="65"/>
      <c r="S121" s="65"/>
      <c r="T121" s="65"/>
      <c r="U121" s="30"/>
      <c r="V121" s="65"/>
      <c r="W121" s="65"/>
      <c r="X121" s="65"/>
      <c r="Y121" s="30"/>
      <c r="Z121" s="65"/>
      <c r="AA121" s="65"/>
      <c r="AB121" s="65"/>
      <c r="AC121" s="30"/>
      <c r="AD121" s="65"/>
      <c r="AE121" s="65"/>
      <c r="AF121" s="65"/>
      <c r="AG121" s="65"/>
      <c r="AH121" s="30"/>
      <c r="AI121" s="65"/>
      <c r="AJ121" s="65"/>
      <c r="AK121" s="65"/>
      <c r="AL121" s="65"/>
      <c r="AM121" s="65"/>
      <c r="AN121" s="65"/>
      <c r="AO121" s="65"/>
    </row>
    <row r="122">
      <c r="A122" s="30"/>
      <c r="B122" s="65"/>
      <c r="C122" s="65"/>
      <c r="D122" s="65"/>
      <c r="E122" s="30"/>
      <c r="F122" s="65"/>
      <c r="G122" s="65"/>
      <c r="H122" s="65"/>
      <c r="I122" s="30"/>
      <c r="J122" s="65"/>
      <c r="K122" s="65"/>
      <c r="L122" s="65"/>
      <c r="M122" s="30"/>
      <c r="N122" s="65"/>
      <c r="O122" s="65"/>
      <c r="P122" s="65"/>
      <c r="Q122" s="30"/>
      <c r="R122" s="65"/>
      <c r="S122" s="65"/>
      <c r="T122" s="65"/>
      <c r="U122" s="30"/>
      <c r="V122" s="65"/>
      <c r="W122" s="65"/>
      <c r="X122" s="65"/>
      <c r="Y122" s="30"/>
      <c r="Z122" s="65"/>
      <c r="AA122" s="65"/>
      <c r="AB122" s="65"/>
      <c r="AC122" s="30"/>
      <c r="AD122" s="65"/>
      <c r="AE122" s="65"/>
      <c r="AF122" s="65"/>
      <c r="AG122" s="65"/>
      <c r="AH122" s="30"/>
      <c r="AI122" s="65"/>
      <c r="AJ122" s="65"/>
      <c r="AK122" s="65"/>
      <c r="AL122" s="65"/>
      <c r="AM122" s="65"/>
      <c r="AN122" s="65"/>
      <c r="AO122" s="65"/>
    </row>
    <row r="123">
      <c r="A123" s="30"/>
      <c r="B123" s="65"/>
      <c r="C123" s="65"/>
      <c r="D123" s="65"/>
      <c r="E123" s="30"/>
      <c r="F123" s="65"/>
      <c r="G123" s="65"/>
      <c r="H123" s="65"/>
      <c r="I123" s="30"/>
      <c r="J123" s="65"/>
      <c r="K123" s="65"/>
      <c r="L123" s="65"/>
      <c r="M123" s="30"/>
      <c r="N123" s="65"/>
      <c r="O123" s="65"/>
      <c r="P123" s="65"/>
      <c r="Q123" s="30"/>
      <c r="R123" s="65"/>
      <c r="S123" s="65"/>
      <c r="T123" s="65"/>
      <c r="U123" s="30"/>
      <c r="V123" s="65"/>
      <c r="W123" s="65"/>
      <c r="X123" s="65"/>
      <c r="Y123" s="30"/>
      <c r="Z123" s="65"/>
      <c r="AA123" s="65"/>
      <c r="AB123" s="65"/>
      <c r="AC123" s="30"/>
      <c r="AD123" s="65"/>
      <c r="AE123" s="65"/>
      <c r="AF123" s="65"/>
      <c r="AG123" s="65"/>
      <c r="AH123" s="30"/>
      <c r="AI123" s="65"/>
      <c r="AJ123" s="65"/>
      <c r="AK123" s="65"/>
      <c r="AL123" s="65"/>
      <c r="AM123" s="65"/>
      <c r="AN123" s="65"/>
      <c r="AO123" s="65"/>
    </row>
    <row r="124">
      <c r="A124" s="30"/>
      <c r="B124" s="65"/>
      <c r="C124" s="65"/>
      <c r="D124" s="65"/>
      <c r="E124" s="30"/>
      <c r="F124" s="65"/>
      <c r="G124" s="65"/>
      <c r="H124" s="65"/>
      <c r="I124" s="30"/>
      <c r="J124" s="65"/>
      <c r="K124" s="65"/>
      <c r="L124" s="65"/>
      <c r="M124" s="30"/>
      <c r="N124" s="65"/>
      <c r="O124" s="65"/>
      <c r="P124" s="65"/>
      <c r="Q124" s="30"/>
      <c r="R124" s="65"/>
      <c r="S124" s="65"/>
      <c r="T124" s="65"/>
      <c r="U124" s="30"/>
      <c r="V124" s="65"/>
      <c r="W124" s="65"/>
      <c r="X124" s="65"/>
      <c r="Y124" s="30"/>
      <c r="Z124" s="65"/>
      <c r="AA124" s="65"/>
      <c r="AB124" s="65"/>
      <c r="AC124" s="30"/>
      <c r="AD124" s="65"/>
      <c r="AE124" s="65"/>
      <c r="AF124" s="65"/>
      <c r="AG124" s="65"/>
      <c r="AH124" s="30"/>
      <c r="AI124" s="65"/>
      <c r="AJ124" s="65"/>
      <c r="AK124" s="65"/>
      <c r="AL124" s="65"/>
      <c r="AM124" s="65"/>
      <c r="AN124" s="65"/>
      <c r="AO124" s="65"/>
    </row>
    <row r="125">
      <c r="A125" s="30"/>
      <c r="B125" s="65"/>
      <c r="C125" s="65"/>
      <c r="D125" s="65"/>
      <c r="E125" s="30"/>
      <c r="F125" s="65"/>
      <c r="G125" s="65"/>
      <c r="H125" s="65"/>
      <c r="I125" s="30"/>
      <c r="J125" s="65"/>
      <c r="K125" s="65"/>
      <c r="L125" s="65"/>
      <c r="M125" s="30"/>
      <c r="N125" s="65"/>
      <c r="O125" s="65"/>
      <c r="P125" s="65"/>
      <c r="Q125" s="30"/>
      <c r="R125" s="65"/>
      <c r="S125" s="65"/>
      <c r="T125" s="65"/>
      <c r="U125" s="30"/>
      <c r="V125" s="65"/>
      <c r="W125" s="65"/>
      <c r="X125" s="65"/>
      <c r="Y125" s="30"/>
      <c r="Z125" s="65"/>
      <c r="AA125" s="65"/>
      <c r="AB125" s="65"/>
      <c r="AC125" s="30"/>
      <c r="AD125" s="65"/>
      <c r="AE125" s="65"/>
      <c r="AF125" s="65"/>
      <c r="AG125" s="65"/>
      <c r="AH125" s="30"/>
      <c r="AI125" s="65"/>
      <c r="AJ125" s="65"/>
      <c r="AK125" s="65"/>
      <c r="AL125" s="65"/>
      <c r="AM125" s="65"/>
      <c r="AN125" s="65"/>
      <c r="AO125" s="65"/>
    </row>
    <row r="126">
      <c r="A126" s="30"/>
      <c r="B126" s="65"/>
      <c r="C126" s="65"/>
      <c r="D126" s="65"/>
      <c r="E126" s="30"/>
      <c r="F126" s="65"/>
      <c r="G126" s="65"/>
      <c r="H126" s="65"/>
      <c r="I126" s="30"/>
      <c r="J126" s="65"/>
      <c r="K126" s="65"/>
      <c r="L126" s="65"/>
      <c r="M126" s="30"/>
      <c r="N126" s="65"/>
      <c r="O126" s="65"/>
      <c r="P126" s="65"/>
      <c r="Q126" s="30"/>
      <c r="R126" s="65"/>
      <c r="S126" s="65"/>
      <c r="T126" s="65"/>
      <c r="U126" s="30"/>
      <c r="V126" s="65"/>
      <c r="W126" s="65"/>
      <c r="X126" s="65"/>
      <c r="Y126" s="30"/>
      <c r="Z126" s="65"/>
      <c r="AA126" s="65"/>
      <c r="AB126" s="65"/>
      <c r="AC126" s="30"/>
      <c r="AD126" s="65"/>
      <c r="AE126" s="65"/>
      <c r="AF126" s="65"/>
      <c r="AG126" s="65"/>
      <c r="AH126" s="30"/>
      <c r="AI126" s="65"/>
      <c r="AJ126" s="65"/>
      <c r="AK126" s="65"/>
      <c r="AL126" s="65"/>
      <c r="AM126" s="65"/>
      <c r="AN126" s="65"/>
      <c r="AO126" s="65"/>
    </row>
    <row r="127">
      <c r="A127" s="30"/>
      <c r="B127" s="65"/>
      <c r="C127" s="65"/>
      <c r="D127" s="65"/>
      <c r="E127" s="30"/>
      <c r="F127" s="65"/>
      <c r="G127" s="65"/>
      <c r="H127" s="65"/>
      <c r="I127" s="30"/>
      <c r="J127" s="65"/>
      <c r="K127" s="65"/>
      <c r="L127" s="65"/>
      <c r="M127" s="30"/>
      <c r="N127" s="65"/>
      <c r="O127" s="65"/>
      <c r="P127" s="65"/>
      <c r="Q127" s="30"/>
      <c r="R127" s="65"/>
      <c r="S127" s="65"/>
      <c r="T127" s="65"/>
      <c r="U127" s="30"/>
      <c r="V127" s="65"/>
      <c r="W127" s="65"/>
      <c r="X127" s="65"/>
      <c r="Y127" s="30"/>
      <c r="Z127" s="65"/>
      <c r="AA127" s="65"/>
      <c r="AB127" s="65"/>
      <c r="AC127" s="30"/>
      <c r="AD127" s="65"/>
      <c r="AE127" s="65"/>
      <c r="AF127" s="65"/>
      <c r="AG127" s="65"/>
      <c r="AH127" s="30"/>
      <c r="AI127" s="65"/>
      <c r="AJ127" s="65"/>
      <c r="AK127" s="65"/>
      <c r="AL127" s="65"/>
      <c r="AM127" s="65"/>
      <c r="AN127" s="65"/>
      <c r="AO127" s="65"/>
    </row>
    <row r="128">
      <c r="A128" s="30"/>
      <c r="B128" s="65"/>
      <c r="C128" s="65"/>
      <c r="D128" s="65"/>
      <c r="E128" s="30"/>
      <c r="F128" s="65"/>
      <c r="G128" s="65"/>
      <c r="H128" s="65"/>
      <c r="I128" s="30"/>
      <c r="J128" s="65"/>
      <c r="K128" s="65"/>
      <c r="L128" s="65"/>
      <c r="M128" s="30"/>
      <c r="N128" s="65"/>
      <c r="O128" s="65"/>
      <c r="P128" s="65"/>
      <c r="Q128" s="30"/>
      <c r="R128" s="65"/>
      <c r="S128" s="65"/>
      <c r="T128" s="65"/>
      <c r="U128" s="30"/>
      <c r="V128" s="65"/>
      <c r="W128" s="65"/>
      <c r="X128" s="65"/>
      <c r="Y128" s="30"/>
      <c r="Z128" s="65"/>
      <c r="AA128" s="65"/>
      <c r="AB128" s="65"/>
      <c r="AC128" s="30"/>
      <c r="AD128" s="65"/>
      <c r="AE128" s="65"/>
      <c r="AF128" s="65"/>
      <c r="AG128" s="65"/>
      <c r="AH128" s="30"/>
      <c r="AI128" s="65"/>
      <c r="AJ128" s="65"/>
      <c r="AK128" s="65"/>
      <c r="AL128" s="65"/>
      <c r="AM128" s="65"/>
      <c r="AN128" s="65"/>
      <c r="AO128" s="65"/>
    </row>
    <row r="129">
      <c r="A129" s="30"/>
      <c r="B129" s="65"/>
      <c r="C129" s="65"/>
      <c r="D129" s="65"/>
      <c r="E129" s="30"/>
      <c r="F129" s="65"/>
      <c r="G129" s="65"/>
      <c r="H129" s="65"/>
      <c r="I129" s="30"/>
      <c r="J129" s="65"/>
      <c r="K129" s="65"/>
      <c r="L129" s="65"/>
      <c r="M129" s="30"/>
      <c r="N129" s="65"/>
      <c r="O129" s="65"/>
      <c r="P129" s="65"/>
      <c r="Q129" s="30"/>
      <c r="R129" s="65"/>
      <c r="S129" s="65"/>
      <c r="T129" s="65"/>
      <c r="U129" s="30"/>
      <c r="V129" s="65"/>
      <c r="W129" s="65"/>
      <c r="X129" s="65"/>
      <c r="Y129" s="30"/>
      <c r="Z129" s="65"/>
      <c r="AA129" s="65"/>
      <c r="AB129" s="65"/>
      <c r="AC129" s="30"/>
      <c r="AD129" s="65"/>
      <c r="AE129" s="65"/>
      <c r="AF129" s="65"/>
      <c r="AG129" s="65"/>
      <c r="AH129" s="30"/>
      <c r="AI129" s="65"/>
      <c r="AJ129" s="65"/>
      <c r="AK129" s="65"/>
      <c r="AL129" s="65"/>
      <c r="AM129" s="65"/>
      <c r="AN129" s="65"/>
      <c r="AO129" s="65"/>
    </row>
    <row r="130">
      <c r="A130" s="30"/>
      <c r="B130" s="65"/>
      <c r="C130" s="65"/>
      <c r="D130" s="65"/>
      <c r="E130" s="30"/>
      <c r="F130" s="65"/>
      <c r="G130" s="65"/>
      <c r="H130" s="65"/>
      <c r="I130" s="30"/>
      <c r="J130" s="65"/>
      <c r="K130" s="65"/>
      <c r="L130" s="65"/>
      <c r="M130" s="30"/>
      <c r="N130" s="65"/>
      <c r="O130" s="65"/>
      <c r="P130" s="65"/>
      <c r="Q130" s="30"/>
      <c r="R130" s="65"/>
      <c r="S130" s="65"/>
      <c r="T130" s="65"/>
      <c r="U130" s="30"/>
      <c r="V130" s="65"/>
      <c r="W130" s="65"/>
      <c r="X130" s="65"/>
      <c r="Y130" s="30"/>
      <c r="Z130" s="65"/>
      <c r="AA130" s="65"/>
      <c r="AB130" s="65"/>
      <c r="AC130" s="30"/>
      <c r="AD130" s="65"/>
      <c r="AE130" s="65"/>
      <c r="AF130" s="65"/>
      <c r="AG130" s="65"/>
      <c r="AH130" s="30"/>
      <c r="AI130" s="65"/>
      <c r="AJ130" s="65"/>
      <c r="AK130" s="65"/>
      <c r="AL130" s="65"/>
      <c r="AM130" s="65"/>
      <c r="AN130" s="65"/>
      <c r="AO130" s="65"/>
    </row>
    <row r="131">
      <c r="A131" s="30"/>
      <c r="B131" s="65"/>
      <c r="C131" s="65"/>
      <c r="D131" s="65"/>
      <c r="E131" s="30"/>
      <c r="F131" s="65"/>
      <c r="G131" s="65"/>
      <c r="H131" s="65"/>
      <c r="I131" s="30"/>
      <c r="J131" s="65"/>
      <c r="K131" s="65"/>
      <c r="L131" s="65"/>
      <c r="M131" s="30"/>
      <c r="N131" s="65"/>
      <c r="O131" s="65"/>
      <c r="P131" s="65"/>
      <c r="Q131" s="30"/>
      <c r="R131" s="65"/>
      <c r="S131" s="65"/>
      <c r="T131" s="65"/>
      <c r="U131" s="30"/>
      <c r="V131" s="65"/>
      <c r="W131" s="65"/>
      <c r="X131" s="65"/>
      <c r="Y131" s="30"/>
      <c r="Z131" s="65"/>
      <c r="AA131" s="65"/>
      <c r="AB131" s="65"/>
      <c r="AC131" s="30"/>
      <c r="AD131" s="65"/>
      <c r="AE131" s="65"/>
      <c r="AF131" s="65"/>
      <c r="AG131" s="65"/>
      <c r="AH131" s="30"/>
      <c r="AI131" s="65"/>
      <c r="AJ131" s="65"/>
      <c r="AK131" s="65"/>
      <c r="AL131" s="65"/>
      <c r="AM131" s="65"/>
      <c r="AN131" s="65"/>
      <c r="AO131" s="65"/>
    </row>
    <row r="132">
      <c r="A132" s="30"/>
      <c r="B132" s="65"/>
      <c r="C132" s="65"/>
      <c r="D132" s="65"/>
      <c r="E132" s="30"/>
      <c r="F132" s="65"/>
      <c r="G132" s="65"/>
      <c r="H132" s="65"/>
      <c r="I132" s="30"/>
      <c r="J132" s="65"/>
      <c r="K132" s="65"/>
      <c r="L132" s="65"/>
      <c r="M132" s="30"/>
      <c r="N132" s="65"/>
      <c r="O132" s="65"/>
      <c r="P132" s="65"/>
      <c r="Q132" s="30"/>
      <c r="R132" s="65"/>
      <c r="S132" s="65"/>
      <c r="T132" s="65"/>
      <c r="U132" s="30"/>
      <c r="V132" s="65"/>
      <c r="W132" s="65"/>
      <c r="X132" s="65"/>
      <c r="Y132" s="30"/>
      <c r="Z132" s="65"/>
      <c r="AA132" s="65"/>
      <c r="AB132" s="65"/>
      <c r="AC132" s="30"/>
      <c r="AD132" s="65"/>
      <c r="AE132" s="65"/>
      <c r="AF132" s="65"/>
      <c r="AG132" s="65"/>
      <c r="AH132" s="30"/>
      <c r="AI132" s="65"/>
      <c r="AJ132" s="65"/>
      <c r="AK132" s="65"/>
      <c r="AL132" s="65"/>
      <c r="AM132" s="65"/>
      <c r="AN132" s="65"/>
      <c r="AO132" s="65"/>
    </row>
    <row r="133">
      <c r="A133" s="30"/>
      <c r="B133" s="65"/>
      <c r="C133" s="65"/>
      <c r="D133" s="65"/>
      <c r="E133" s="30"/>
      <c r="F133" s="65"/>
      <c r="G133" s="65"/>
      <c r="H133" s="65"/>
      <c r="I133" s="30"/>
      <c r="J133" s="65"/>
      <c r="K133" s="65"/>
      <c r="L133" s="65"/>
      <c r="M133" s="30"/>
      <c r="N133" s="65"/>
      <c r="O133" s="65"/>
      <c r="P133" s="65"/>
      <c r="Q133" s="30"/>
      <c r="R133" s="65"/>
      <c r="S133" s="65"/>
      <c r="T133" s="65"/>
      <c r="U133" s="30"/>
      <c r="V133" s="65"/>
      <c r="W133" s="65"/>
      <c r="X133" s="65"/>
      <c r="Y133" s="30"/>
      <c r="Z133" s="65"/>
      <c r="AA133" s="65"/>
      <c r="AB133" s="65"/>
      <c r="AC133" s="30"/>
      <c r="AD133" s="65"/>
      <c r="AE133" s="65"/>
      <c r="AF133" s="65"/>
      <c r="AG133" s="65"/>
      <c r="AH133" s="30"/>
      <c r="AI133" s="65"/>
      <c r="AJ133" s="65"/>
      <c r="AK133" s="65"/>
      <c r="AL133" s="65"/>
      <c r="AM133" s="65"/>
      <c r="AN133" s="65"/>
      <c r="AO133" s="65"/>
    </row>
    <row r="134">
      <c r="A134" s="30"/>
      <c r="B134" s="65"/>
      <c r="C134" s="65"/>
      <c r="D134" s="65"/>
      <c r="E134" s="30"/>
      <c r="F134" s="65"/>
      <c r="G134" s="65"/>
      <c r="H134" s="65"/>
      <c r="I134" s="30"/>
      <c r="J134" s="65"/>
      <c r="K134" s="65"/>
      <c r="L134" s="65"/>
      <c r="M134" s="30"/>
      <c r="N134" s="65"/>
      <c r="O134" s="65"/>
      <c r="P134" s="65"/>
      <c r="Q134" s="30"/>
      <c r="R134" s="65"/>
      <c r="S134" s="65"/>
      <c r="T134" s="65"/>
      <c r="U134" s="30"/>
      <c r="V134" s="65"/>
      <c r="W134" s="65"/>
      <c r="X134" s="65"/>
      <c r="Y134" s="30"/>
      <c r="Z134" s="65"/>
      <c r="AA134" s="65"/>
      <c r="AB134" s="65"/>
      <c r="AC134" s="30"/>
      <c r="AD134" s="65"/>
      <c r="AE134" s="65"/>
      <c r="AF134" s="65"/>
      <c r="AG134" s="65"/>
      <c r="AH134" s="30"/>
      <c r="AI134" s="65"/>
      <c r="AJ134" s="65"/>
      <c r="AK134" s="65"/>
      <c r="AL134" s="65"/>
      <c r="AM134" s="65"/>
      <c r="AN134" s="65"/>
      <c r="AO134" s="65"/>
    </row>
    <row r="135">
      <c r="A135" s="30"/>
      <c r="B135" s="65"/>
      <c r="C135" s="65"/>
      <c r="D135" s="65"/>
      <c r="E135" s="30"/>
      <c r="F135" s="65"/>
      <c r="G135" s="65"/>
      <c r="H135" s="65"/>
      <c r="I135" s="30"/>
      <c r="J135" s="65"/>
      <c r="K135" s="65"/>
      <c r="L135" s="65"/>
      <c r="M135" s="30"/>
      <c r="N135" s="65"/>
      <c r="O135" s="65"/>
      <c r="P135" s="65"/>
      <c r="Q135" s="30"/>
      <c r="R135" s="65"/>
      <c r="S135" s="65"/>
      <c r="T135" s="65"/>
      <c r="U135" s="30"/>
      <c r="V135" s="65"/>
      <c r="W135" s="65"/>
      <c r="X135" s="65"/>
      <c r="Y135" s="30"/>
      <c r="Z135" s="65"/>
      <c r="AA135" s="65"/>
      <c r="AB135" s="65"/>
      <c r="AC135" s="30"/>
      <c r="AD135" s="65"/>
      <c r="AE135" s="65"/>
      <c r="AF135" s="65"/>
      <c r="AG135" s="65"/>
      <c r="AH135" s="30"/>
      <c r="AI135" s="65"/>
      <c r="AJ135" s="65"/>
      <c r="AK135" s="65"/>
      <c r="AL135" s="65"/>
      <c r="AM135" s="65"/>
      <c r="AN135" s="65"/>
      <c r="AO135" s="65"/>
    </row>
    <row r="136">
      <c r="A136" s="30"/>
      <c r="B136" s="65"/>
      <c r="C136" s="65"/>
      <c r="D136" s="65"/>
      <c r="E136" s="30"/>
      <c r="F136" s="65"/>
      <c r="G136" s="65"/>
      <c r="H136" s="65"/>
      <c r="I136" s="30"/>
      <c r="J136" s="65"/>
      <c r="K136" s="65"/>
      <c r="L136" s="65"/>
      <c r="M136" s="30"/>
      <c r="N136" s="65"/>
      <c r="O136" s="65"/>
      <c r="P136" s="65"/>
      <c r="Q136" s="30"/>
      <c r="R136" s="65"/>
      <c r="S136" s="65"/>
      <c r="T136" s="65"/>
      <c r="U136" s="30"/>
      <c r="V136" s="65"/>
      <c r="W136" s="65"/>
      <c r="X136" s="65"/>
      <c r="Y136" s="30"/>
      <c r="Z136" s="65"/>
      <c r="AA136" s="65"/>
      <c r="AB136" s="65"/>
      <c r="AC136" s="30"/>
      <c r="AD136" s="65"/>
      <c r="AE136" s="65"/>
      <c r="AF136" s="65"/>
      <c r="AG136" s="65"/>
      <c r="AH136" s="30"/>
      <c r="AI136" s="65"/>
      <c r="AJ136" s="65"/>
      <c r="AK136" s="65"/>
      <c r="AL136" s="65"/>
      <c r="AM136" s="65"/>
      <c r="AN136" s="65"/>
      <c r="AO136" s="65"/>
    </row>
    <row r="137">
      <c r="A137" s="30"/>
      <c r="B137" s="65"/>
      <c r="C137" s="65"/>
      <c r="D137" s="65"/>
      <c r="E137" s="30"/>
      <c r="F137" s="65"/>
      <c r="G137" s="65"/>
      <c r="H137" s="65"/>
      <c r="I137" s="30"/>
      <c r="J137" s="65"/>
      <c r="K137" s="65"/>
      <c r="L137" s="65"/>
      <c r="M137" s="30"/>
      <c r="N137" s="65"/>
      <c r="O137" s="65"/>
      <c r="P137" s="65"/>
      <c r="Q137" s="30"/>
      <c r="R137" s="65"/>
      <c r="S137" s="65"/>
      <c r="T137" s="65"/>
      <c r="U137" s="30"/>
      <c r="V137" s="65"/>
      <c r="W137" s="65"/>
      <c r="X137" s="65"/>
      <c r="Y137" s="30"/>
      <c r="Z137" s="65"/>
      <c r="AA137" s="65"/>
      <c r="AB137" s="65"/>
      <c r="AC137" s="30"/>
      <c r="AD137" s="65"/>
      <c r="AE137" s="65"/>
      <c r="AF137" s="65"/>
      <c r="AG137" s="65"/>
      <c r="AH137" s="30"/>
      <c r="AI137" s="65"/>
      <c r="AJ137" s="65"/>
      <c r="AK137" s="65"/>
      <c r="AL137" s="65"/>
      <c r="AM137" s="65"/>
      <c r="AN137" s="65"/>
      <c r="AO137" s="65"/>
    </row>
    <row r="138">
      <c r="A138" s="30"/>
      <c r="B138" s="65"/>
      <c r="C138" s="65"/>
      <c r="D138" s="65"/>
      <c r="E138" s="30"/>
      <c r="F138" s="65"/>
      <c r="G138" s="65"/>
      <c r="H138" s="65"/>
      <c r="I138" s="30"/>
      <c r="J138" s="65"/>
      <c r="K138" s="65"/>
      <c r="L138" s="65"/>
      <c r="M138" s="30"/>
      <c r="N138" s="65"/>
      <c r="O138" s="65"/>
      <c r="P138" s="65"/>
      <c r="Q138" s="30"/>
      <c r="R138" s="65"/>
      <c r="S138" s="65"/>
      <c r="T138" s="65"/>
      <c r="U138" s="30"/>
      <c r="V138" s="65"/>
      <c r="W138" s="65"/>
      <c r="X138" s="65"/>
      <c r="Y138" s="30"/>
      <c r="Z138" s="65"/>
      <c r="AA138" s="65"/>
      <c r="AB138" s="65"/>
      <c r="AC138" s="30"/>
      <c r="AD138" s="65"/>
      <c r="AE138" s="65"/>
      <c r="AF138" s="65"/>
      <c r="AG138" s="65"/>
      <c r="AH138" s="30"/>
      <c r="AI138" s="65"/>
      <c r="AJ138" s="65"/>
      <c r="AK138" s="65"/>
      <c r="AL138" s="65"/>
      <c r="AM138" s="65"/>
      <c r="AN138" s="65"/>
      <c r="AO138" s="65"/>
    </row>
    <row r="139">
      <c r="A139" s="30"/>
      <c r="B139" s="65"/>
      <c r="C139" s="65"/>
      <c r="D139" s="65"/>
      <c r="E139" s="30"/>
      <c r="F139" s="65"/>
      <c r="G139" s="65"/>
      <c r="H139" s="65"/>
      <c r="I139" s="30"/>
      <c r="J139" s="65"/>
      <c r="K139" s="65"/>
      <c r="L139" s="65"/>
      <c r="M139" s="30"/>
      <c r="N139" s="65"/>
      <c r="O139" s="65"/>
      <c r="P139" s="65"/>
      <c r="Q139" s="30"/>
      <c r="R139" s="65"/>
      <c r="S139" s="65"/>
      <c r="T139" s="65"/>
      <c r="U139" s="30"/>
      <c r="V139" s="65"/>
      <c r="W139" s="65"/>
      <c r="X139" s="65"/>
      <c r="Y139" s="30"/>
      <c r="Z139" s="65"/>
      <c r="AA139" s="65"/>
      <c r="AB139" s="65"/>
      <c r="AC139" s="30"/>
      <c r="AD139" s="65"/>
      <c r="AE139" s="65"/>
      <c r="AF139" s="65"/>
      <c r="AG139" s="65"/>
      <c r="AH139" s="30"/>
      <c r="AI139" s="65"/>
      <c r="AJ139" s="65"/>
      <c r="AK139" s="65"/>
      <c r="AL139" s="65"/>
      <c r="AM139" s="65"/>
      <c r="AN139" s="65"/>
      <c r="AO139" s="65"/>
    </row>
    <row r="140">
      <c r="A140" s="30"/>
      <c r="B140" s="65"/>
      <c r="C140" s="65"/>
      <c r="D140" s="65"/>
      <c r="E140" s="30"/>
      <c r="F140" s="65"/>
      <c r="G140" s="65"/>
      <c r="H140" s="65"/>
      <c r="I140" s="30"/>
      <c r="J140" s="65"/>
      <c r="K140" s="65"/>
      <c r="L140" s="65"/>
      <c r="M140" s="30"/>
      <c r="N140" s="65"/>
      <c r="O140" s="65"/>
      <c r="P140" s="65"/>
      <c r="Q140" s="30"/>
      <c r="R140" s="65"/>
      <c r="S140" s="65"/>
      <c r="T140" s="65"/>
      <c r="U140" s="30"/>
      <c r="V140" s="65"/>
      <c r="W140" s="65"/>
      <c r="X140" s="65"/>
      <c r="Y140" s="30"/>
      <c r="Z140" s="65"/>
      <c r="AA140" s="65"/>
      <c r="AB140" s="65"/>
      <c r="AC140" s="30"/>
      <c r="AD140" s="65"/>
      <c r="AE140" s="65"/>
      <c r="AF140" s="65"/>
      <c r="AG140" s="65"/>
      <c r="AH140" s="30"/>
      <c r="AI140" s="65"/>
      <c r="AJ140" s="65"/>
      <c r="AK140" s="65"/>
      <c r="AL140" s="65"/>
      <c r="AM140" s="65"/>
      <c r="AN140" s="65"/>
      <c r="AO140" s="65"/>
    </row>
    <row r="141">
      <c r="A141" s="30"/>
      <c r="B141" s="65"/>
      <c r="C141" s="65"/>
      <c r="D141" s="65"/>
      <c r="E141" s="30"/>
      <c r="F141" s="65"/>
      <c r="G141" s="65"/>
      <c r="H141" s="65"/>
      <c r="I141" s="30"/>
      <c r="J141" s="65"/>
      <c r="K141" s="65"/>
      <c r="L141" s="65"/>
      <c r="M141" s="30"/>
      <c r="N141" s="65"/>
      <c r="O141" s="65"/>
      <c r="P141" s="65"/>
      <c r="Q141" s="30"/>
      <c r="R141" s="65"/>
      <c r="S141" s="65"/>
      <c r="T141" s="65"/>
      <c r="U141" s="30"/>
      <c r="V141" s="65"/>
      <c r="W141" s="65"/>
      <c r="X141" s="65"/>
      <c r="Y141" s="30"/>
      <c r="Z141" s="65"/>
      <c r="AA141" s="65"/>
      <c r="AB141" s="65"/>
      <c r="AC141" s="30"/>
      <c r="AD141" s="65"/>
      <c r="AE141" s="65"/>
      <c r="AF141" s="65"/>
      <c r="AG141" s="65"/>
      <c r="AH141" s="30"/>
      <c r="AI141" s="65"/>
      <c r="AJ141" s="65"/>
      <c r="AK141" s="65"/>
      <c r="AL141" s="65"/>
      <c r="AM141" s="65"/>
      <c r="AN141" s="65"/>
      <c r="AO141" s="65"/>
    </row>
    <row r="142">
      <c r="A142" s="30"/>
      <c r="B142" s="65"/>
      <c r="C142" s="65"/>
      <c r="D142" s="65"/>
      <c r="E142" s="30"/>
      <c r="F142" s="65"/>
      <c r="G142" s="65"/>
      <c r="H142" s="65"/>
      <c r="I142" s="30"/>
      <c r="J142" s="65"/>
      <c r="K142" s="65"/>
      <c r="L142" s="65"/>
      <c r="M142" s="30"/>
      <c r="N142" s="65"/>
      <c r="O142" s="65"/>
      <c r="P142" s="65"/>
      <c r="Q142" s="30"/>
      <c r="R142" s="65"/>
      <c r="S142" s="65"/>
      <c r="T142" s="65"/>
      <c r="U142" s="30"/>
      <c r="V142" s="65"/>
      <c r="W142" s="65"/>
      <c r="X142" s="65"/>
      <c r="Y142" s="30"/>
      <c r="Z142" s="65"/>
      <c r="AA142" s="65"/>
      <c r="AB142" s="65"/>
      <c r="AC142" s="30"/>
      <c r="AD142" s="65"/>
      <c r="AE142" s="65"/>
      <c r="AF142" s="65"/>
      <c r="AG142" s="65"/>
      <c r="AH142" s="30"/>
      <c r="AI142" s="65"/>
      <c r="AJ142" s="65"/>
      <c r="AK142" s="65"/>
      <c r="AL142" s="65"/>
      <c r="AM142" s="65"/>
      <c r="AN142" s="65"/>
      <c r="AO142" s="65"/>
    </row>
    <row r="143">
      <c r="A143" s="30"/>
      <c r="B143" s="65"/>
      <c r="C143" s="65"/>
      <c r="D143" s="65"/>
      <c r="E143" s="30"/>
      <c r="F143" s="65"/>
      <c r="G143" s="65"/>
      <c r="H143" s="65"/>
      <c r="I143" s="30"/>
      <c r="J143" s="65"/>
      <c r="K143" s="65"/>
      <c r="L143" s="65"/>
      <c r="M143" s="30"/>
      <c r="N143" s="65"/>
      <c r="O143" s="65"/>
      <c r="P143" s="65"/>
      <c r="Q143" s="30"/>
      <c r="R143" s="65"/>
      <c r="S143" s="65"/>
      <c r="T143" s="65"/>
      <c r="U143" s="30"/>
      <c r="V143" s="65"/>
      <c r="W143" s="65"/>
      <c r="X143" s="65"/>
      <c r="Y143" s="30"/>
      <c r="Z143" s="65"/>
      <c r="AA143" s="65"/>
      <c r="AB143" s="65"/>
      <c r="AC143" s="30"/>
      <c r="AD143" s="65"/>
      <c r="AE143" s="65"/>
      <c r="AF143" s="65"/>
      <c r="AG143" s="65"/>
      <c r="AH143" s="30"/>
      <c r="AI143" s="65"/>
      <c r="AJ143" s="65"/>
      <c r="AK143" s="65"/>
      <c r="AL143" s="65"/>
      <c r="AM143" s="65"/>
      <c r="AN143" s="65"/>
      <c r="AO143" s="65"/>
    </row>
    <row r="144">
      <c r="A144" s="30"/>
      <c r="B144" s="65"/>
      <c r="C144" s="65"/>
      <c r="D144" s="65"/>
      <c r="E144" s="30"/>
      <c r="F144" s="65"/>
      <c r="G144" s="65"/>
      <c r="H144" s="65"/>
      <c r="I144" s="30"/>
      <c r="J144" s="65"/>
      <c r="K144" s="65"/>
      <c r="L144" s="65"/>
      <c r="M144" s="30"/>
      <c r="N144" s="65"/>
      <c r="O144" s="65"/>
      <c r="P144" s="65"/>
      <c r="Q144" s="30"/>
      <c r="R144" s="65"/>
      <c r="S144" s="65"/>
      <c r="T144" s="65"/>
      <c r="U144" s="30"/>
      <c r="V144" s="65"/>
      <c r="W144" s="65"/>
      <c r="X144" s="65"/>
      <c r="Y144" s="30"/>
      <c r="Z144" s="65"/>
      <c r="AA144" s="65"/>
      <c r="AB144" s="65"/>
      <c r="AC144" s="30"/>
      <c r="AD144" s="65"/>
      <c r="AE144" s="65"/>
      <c r="AF144" s="65"/>
      <c r="AG144" s="65"/>
      <c r="AH144" s="30"/>
      <c r="AI144" s="65"/>
      <c r="AJ144" s="65"/>
      <c r="AK144" s="65"/>
      <c r="AL144" s="65"/>
      <c r="AM144" s="65"/>
      <c r="AN144" s="65"/>
      <c r="AO144" s="65"/>
    </row>
    <row r="145">
      <c r="A145" s="30"/>
      <c r="B145" s="65"/>
      <c r="C145" s="65"/>
      <c r="D145" s="65"/>
      <c r="E145" s="30"/>
      <c r="F145" s="65"/>
      <c r="G145" s="65"/>
      <c r="H145" s="65"/>
      <c r="I145" s="30"/>
      <c r="J145" s="65"/>
      <c r="K145" s="65"/>
      <c r="L145" s="65"/>
      <c r="M145" s="30"/>
      <c r="N145" s="65"/>
      <c r="O145" s="65"/>
      <c r="P145" s="65"/>
      <c r="Q145" s="30"/>
      <c r="R145" s="65"/>
      <c r="S145" s="65"/>
      <c r="T145" s="65"/>
      <c r="U145" s="30"/>
      <c r="V145" s="65"/>
      <c r="W145" s="65"/>
      <c r="X145" s="65"/>
      <c r="Y145" s="30"/>
      <c r="Z145" s="65"/>
      <c r="AA145" s="65"/>
      <c r="AB145" s="65"/>
      <c r="AC145" s="30"/>
      <c r="AD145" s="65"/>
      <c r="AE145" s="65"/>
      <c r="AF145" s="65"/>
      <c r="AG145" s="65"/>
      <c r="AH145" s="30"/>
      <c r="AI145" s="65"/>
      <c r="AJ145" s="65"/>
      <c r="AK145" s="65"/>
      <c r="AL145" s="65"/>
      <c r="AM145" s="65"/>
      <c r="AN145" s="65"/>
      <c r="AO145" s="65"/>
    </row>
    <row r="146">
      <c r="A146" s="30"/>
      <c r="B146" s="65"/>
      <c r="C146" s="65"/>
      <c r="D146" s="65"/>
      <c r="E146" s="30"/>
      <c r="F146" s="65"/>
      <c r="G146" s="65"/>
      <c r="H146" s="65"/>
      <c r="I146" s="30"/>
      <c r="J146" s="65"/>
      <c r="K146" s="65"/>
      <c r="L146" s="65"/>
      <c r="M146" s="30"/>
      <c r="N146" s="65"/>
      <c r="O146" s="65"/>
      <c r="P146" s="65"/>
      <c r="Q146" s="30"/>
      <c r="R146" s="65"/>
      <c r="S146" s="65"/>
      <c r="T146" s="65"/>
      <c r="U146" s="30"/>
      <c r="V146" s="65"/>
      <c r="W146" s="65"/>
      <c r="X146" s="65"/>
      <c r="Y146" s="30"/>
      <c r="Z146" s="65"/>
      <c r="AA146" s="65"/>
      <c r="AB146" s="65"/>
      <c r="AC146" s="30"/>
      <c r="AD146" s="65"/>
      <c r="AE146" s="65"/>
      <c r="AF146" s="65"/>
      <c r="AG146" s="65"/>
      <c r="AH146" s="30"/>
      <c r="AI146" s="65"/>
      <c r="AJ146" s="65"/>
      <c r="AK146" s="65"/>
      <c r="AL146" s="65"/>
      <c r="AM146" s="65"/>
      <c r="AN146" s="65"/>
      <c r="AO146" s="65"/>
    </row>
    <row r="147">
      <c r="A147" s="30"/>
      <c r="B147" s="65"/>
      <c r="C147" s="65"/>
      <c r="D147" s="65"/>
      <c r="E147" s="30"/>
      <c r="F147" s="65"/>
      <c r="G147" s="65"/>
      <c r="H147" s="65"/>
      <c r="I147" s="30"/>
      <c r="J147" s="65"/>
      <c r="K147" s="65"/>
      <c r="L147" s="65"/>
      <c r="M147" s="30"/>
      <c r="N147" s="65"/>
      <c r="O147" s="65"/>
      <c r="P147" s="65"/>
      <c r="Q147" s="30"/>
      <c r="R147" s="65"/>
      <c r="S147" s="65"/>
      <c r="T147" s="65"/>
      <c r="U147" s="30"/>
      <c r="V147" s="65"/>
      <c r="W147" s="65"/>
      <c r="X147" s="65"/>
      <c r="Y147" s="30"/>
      <c r="Z147" s="65"/>
      <c r="AA147" s="65"/>
      <c r="AB147" s="65"/>
      <c r="AC147" s="30"/>
      <c r="AD147" s="65"/>
      <c r="AE147" s="65"/>
      <c r="AF147" s="65"/>
      <c r="AG147" s="65"/>
      <c r="AH147" s="30"/>
      <c r="AI147" s="65"/>
      <c r="AJ147" s="65"/>
      <c r="AK147" s="65"/>
      <c r="AL147" s="65"/>
      <c r="AM147" s="65"/>
      <c r="AN147" s="65"/>
      <c r="AO147" s="65"/>
    </row>
    <row r="148">
      <c r="A148" s="30"/>
      <c r="B148" s="65"/>
      <c r="C148" s="65"/>
      <c r="D148" s="65"/>
      <c r="E148" s="30"/>
      <c r="F148" s="65"/>
      <c r="G148" s="65"/>
      <c r="H148" s="65"/>
      <c r="I148" s="30"/>
      <c r="J148" s="65"/>
      <c r="K148" s="65"/>
      <c r="L148" s="65"/>
      <c r="M148" s="30"/>
      <c r="N148" s="65"/>
      <c r="O148" s="65"/>
      <c r="P148" s="65"/>
      <c r="Q148" s="30"/>
      <c r="R148" s="65"/>
      <c r="S148" s="65"/>
      <c r="T148" s="65"/>
      <c r="U148" s="30"/>
      <c r="V148" s="65"/>
      <c r="W148" s="65"/>
      <c r="X148" s="65"/>
      <c r="Y148" s="30"/>
      <c r="Z148" s="65"/>
      <c r="AA148" s="65"/>
      <c r="AB148" s="65"/>
      <c r="AC148" s="30"/>
      <c r="AD148" s="65"/>
      <c r="AE148" s="65"/>
      <c r="AF148" s="65"/>
      <c r="AG148" s="65"/>
      <c r="AH148" s="30"/>
      <c r="AI148" s="65"/>
      <c r="AJ148" s="65"/>
      <c r="AK148" s="65"/>
      <c r="AL148" s="65"/>
      <c r="AM148" s="65"/>
      <c r="AN148" s="65"/>
      <c r="AO148" s="65"/>
    </row>
    <row r="149">
      <c r="A149" s="30"/>
      <c r="B149" s="65"/>
      <c r="C149" s="65"/>
      <c r="D149" s="65"/>
      <c r="E149" s="30"/>
      <c r="F149" s="65"/>
      <c r="G149" s="65"/>
      <c r="H149" s="65"/>
      <c r="I149" s="30"/>
      <c r="J149" s="65"/>
      <c r="K149" s="65"/>
      <c r="L149" s="65"/>
      <c r="M149" s="30"/>
      <c r="N149" s="65"/>
      <c r="O149" s="65"/>
      <c r="P149" s="65"/>
      <c r="Q149" s="30"/>
      <c r="R149" s="65"/>
      <c r="S149" s="65"/>
      <c r="T149" s="65"/>
      <c r="U149" s="30"/>
      <c r="V149" s="65"/>
      <c r="W149" s="65"/>
      <c r="X149" s="65"/>
      <c r="Y149" s="30"/>
      <c r="Z149" s="65"/>
      <c r="AA149" s="65"/>
      <c r="AB149" s="65"/>
      <c r="AC149" s="30"/>
      <c r="AD149" s="65"/>
      <c r="AE149" s="65"/>
      <c r="AF149" s="65"/>
      <c r="AG149" s="65"/>
      <c r="AH149" s="30"/>
      <c r="AI149" s="65"/>
      <c r="AJ149" s="65"/>
      <c r="AK149" s="65"/>
      <c r="AL149" s="65"/>
      <c r="AM149" s="65"/>
      <c r="AN149" s="65"/>
      <c r="AO149" s="65"/>
    </row>
    <row r="150">
      <c r="A150" s="30"/>
      <c r="B150" s="65"/>
      <c r="C150" s="65"/>
      <c r="D150" s="65"/>
      <c r="E150" s="30"/>
      <c r="F150" s="65"/>
      <c r="G150" s="65"/>
      <c r="H150" s="65"/>
      <c r="I150" s="30"/>
      <c r="J150" s="65"/>
      <c r="K150" s="65"/>
      <c r="L150" s="65"/>
      <c r="M150" s="30"/>
      <c r="N150" s="65"/>
      <c r="O150" s="65"/>
      <c r="P150" s="65"/>
      <c r="Q150" s="30"/>
      <c r="R150" s="65"/>
      <c r="S150" s="65"/>
      <c r="T150" s="65"/>
      <c r="U150" s="30"/>
      <c r="V150" s="65"/>
      <c r="W150" s="65"/>
      <c r="X150" s="65"/>
      <c r="Y150" s="30"/>
      <c r="Z150" s="65"/>
      <c r="AA150" s="65"/>
      <c r="AB150" s="65"/>
      <c r="AC150" s="30"/>
      <c r="AD150" s="65"/>
      <c r="AE150" s="65"/>
      <c r="AF150" s="65"/>
      <c r="AG150" s="65"/>
      <c r="AH150" s="30"/>
      <c r="AI150" s="65"/>
      <c r="AJ150" s="65"/>
      <c r="AK150" s="65"/>
      <c r="AL150" s="65"/>
      <c r="AM150" s="65"/>
      <c r="AN150" s="65"/>
      <c r="AO150" s="65"/>
    </row>
    <row r="151">
      <c r="A151" s="30"/>
      <c r="B151" s="65"/>
      <c r="C151" s="65"/>
      <c r="D151" s="65"/>
      <c r="E151" s="30"/>
      <c r="F151" s="65"/>
      <c r="G151" s="65"/>
      <c r="H151" s="65"/>
      <c r="I151" s="30"/>
      <c r="J151" s="65"/>
      <c r="K151" s="65"/>
      <c r="L151" s="65"/>
      <c r="M151" s="30"/>
      <c r="N151" s="65"/>
      <c r="O151" s="65"/>
      <c r="P151" s="65"/>
      <c r="Q151" s="30"/>
      <c r="R151" s="65"/>
      <c r="S151" s="65"/>
      <c r="T151" s="65"/>
      <c r="U151" s="30"/>
      <c r="V151" s="65"/>
      <c r="W151" s="65"/>
      <c r="X151" s="65"/>
      <c r="Y151" s="30"/>
      <c r="Z151" s="65"/>
      <c r="AA151" s="65"/>
      <c r="AB151" s="65"/>
      <c r="AC151" s="30"/>
      <c r="AD151" s="65"/>
      <c r="AE151" s="65"/>
      <c r="AF151" s="65"/>
      <c r="AG151" s="65"/>
      <c r="AH151" s="30"/>
      <c r="AI151" s="65"/>
      <c r="AJ151" s="65"/>
      <c r="AK151" s="65"/>
      <c r="AL151" s="65"/>
      <c r="AM151" s="65"/>
      <c r="AN151" s="65"/>
      <c r="AO151" s="65"/>
    </row>
    <row r="152">
      <c r="A152" s="30"/>
      <c r="B152" s="65"/>
      <c r="C152" s="65"/>
      <c r="D152" s="65"/>
      <c r="E152" s="30"/>
      <c r="F152" s="65"/>
      <c r="G152" s="65"/>
      <c r="H152" s="65"/>
      <c r="I152" s="30"/>
      <c r="J152" s="65"/>
      <c r="K152" s="65"/>
      <c r="L152" s="65"/>
      <c r="M152" s="30"/>
      <c r="N152" s="65"/>
      <c r="O152" s="65"/>
      <c r="P152" s="65"/>
      <c r="Q152" s="30"/>
      <c r="R152" s="65"/>
      <c r="S152" s="65"/>
      <c r="T152" s="65"/>
      <c r="U152" s="30"/>
      <c r="V152" s="65"/>
      <c r="W152" s="65"/>
      <c r="X152" s="65"/>
      <c r="Y152" s="30"/>
      <c r="Z152" s="65"/>
      <c r="AA152" s="65"/>
      <c r="AB152" s="65"/>
      <c r="AC152" s="30"/>
      <c r="AD152" s="65"/>
      <c r="AE152" s="65"/>
      <c r="AF152" s="65"/>
      <c r="AG152" s="65"/>
      <c r="AH152" s="30"/>
      <c r="AI152" s="65"/>
      <c r="AJ152" s="65"/>
      <c r="AK152" s="65"/>
      <c r="AL152" s="65"/>
      <c r="AM152" s="65"/>
      <c r="AN152" s="65"/>
      <c r="AO152" s="65"/>
    </row>
    <row r="153">
      <c r="A153" s="30"/>
      <c r="B153" s="65"/>
      <c r="C153" s="65"/>
      <c r="D153" s="65"/>
      <c r="E153" s="30"/>
      <c r="F153" s="65"/>
      <c r="G153" s="65"/>
      <c r="H153" s="65"/>
      <c r="I153" s="30"/>
      <c r="J153" s="65"/>
      <c r="K153" s="65"/>
      <c r="L153" s="65"/>
      <c r="M153" s="30"/>
      <c r="N153" s="65"/>
      <c r="O153" s="65"/>
      <c r="P153" s="65"/>
      <c r="Q153" s="30"/>
      <c r="R153" s="65"/>
      <c r="S153" s="65"/>
      <c r="T153" s="65"/>
      <c r="U153" s="30"/>
      <c r="V153" s="65"/>
      <c r="W153" s="65"/>
      <c r="X153" s="65"/>
      <c r="Y153" s="30"/>
      <c r="Z153" s="65"/>
      <c r="AA153" s="65"/>
      <c r="AB153" s="65"/>
      <c r="AC153" s="30"/>
      <c r="AD153" s="65"/>
      <c r="AE153" s="65"/>
      <c r="AF153" s="65"/>
      <c r="AG153" s="65"/>
      <c r="AH153" s="30"/>
      <c r="AI153" s="65"/>
      <c r="AJ153" s="65"/>
      <c r="AK153" s="65"/>
      <c r="AL153" s="65"/>
      <c r="AM153" s="65"/>
      <c r="AN153" s="65"/>
      <c r="AO153" s="65"/>
    </row>
    <row r="154">
      <c r="A154" s="30"/>
      <c r="B154" s="65"/>
      <c r="C154" s="65"/>
      <c r="D154" s="65"/>
      <c r="E154" s="30"/>
      <c r="F154" s="65"/>
      <c r="G154" s="65"/>
      <c r="H154" s="65"/>
      <c r="I154" s="30"/>
      <c r="J154" s="65"/>
      <c r="K154" s="65"/>
      <c r="L154" s="65"/>
      <c r="M154" s="30"/>
      <c r="N154" s="65"/>
      <c r="O154" s="65"/>
      <c r="P154" s="65"/>
      <c r="Q154" s="30"/>
      <c r="R154" s="65"/>
      <c r="S154" s="65"/>
      <c r="T154" s="65"/>
      <c r="U154" s="30"/>
      <c r="V154" s="65"/>
      <c r="W154" s="65"/>
      <c r="X154" s="65"/>
      <c r="Y154" s="30"/>
      <c r="Z154" s="65"/>
      <c r="AA154" s="65"/>
      <c r="AB154" s="65"/>
      <c r="AC154" s="30"/>
      <c r="AD154" s="65"/>
      <c r="AE154" s="65"/>
      <c r="AF154" s="65"/>
      <c r="AG154" s="65"/>
      <c r="AH154" s="30"/>
      <c r="AI154" s="65"/>
      <c r="AJ154" s="65"/>
      <c r="AK154" s="65"/>
      <c r="AL154" s="65"/>
      <c r="AM154" s="65"/>
      <c r="AN154" s="65"/>
      <c r="AO154" s="65"/>
    </row>
    <row r="155">
      <c r="A155" s="30"/>
      <c r="B155" s="65"/>
      <c r="C155" s="65"/>
      <c r="D155" s="65"/>
      <c r="E155" s="30"/>
      <c r="F155" s="65"/>
      <c r="G155" s="65"/>
      <c r="H155" s="65"/>
      <c r="I155" s="30"/>
      <c r="J155" s="65"/>
      <c r="K155" s="65"/>
      <c r="L155" s="65"/>
      <c r="M155" s="30"/>
      <c r="N155" s="65"/>
      <c r="O155" s="65"/>
      <c r="P155" s="65"/>
      <c r="Q155" s="30"/>
      <c r="R155" s="65"/>
      <c r="S155" s="65"/>
      <c r="T155" s="65"/>
      <c r="U155" s="30"/>
      <c r="V155" s="65"/>
      <c r="W155" s="65"/>
      <c r="X155" s="65"/>
      <c r="Y155" s="30"/>
      <c r="Z155" s="65"/>
      <c r="AA155" s="65"/>
      <c r="AB155" s="65"/>
      <c r="AC155" s="30"/>
      <c r="AD155" s="65"/>
      <c r="AE155" s="65"/>
      <c r="AF155" s="65"/>
      <c r="AG155" s="65"/>
      <c r="AH155" s="30"/>
      <c r="AI155" s="65"/>
      <c r="AJ155" s="65"/>
      <c r="AK155" s="65"/>
      <c r="AL155" s="65"/>
      <c r="AM155" s="65"/>
      <c r="AN155" s="65"/>
      <c r="AO155" s="65"/>
    </row>
    <row r="156">
      <c r="A156" s="30"/>
      <c r="B156" s="65"/>
      <c r="C156" s="65"/>
      <c r="D156" s="65"/>
      <c r="E156" s="30"/>
      <c r="F156" s="65"/>
      <c r="G156" s="65"/>
      <c r="H156" s="65"/>
      <c r="I156" s="30"/>
      <c r="J156" s="65"/>
      <c r="K156" s="65"/>
      <c r="L156" s="65"/>
      <c r="M156" s="30"/>
      <c r="N156" s="65"/>
      <c r="O156" s="65"/>
      <c r="P156" s="65"/>
      <c r="Q156" s="30"/>
      <c r="R156" s="65"/>
      <c r="S156" s="65"/>
      <c r="T156" s="65"/>
      <c r="U156" s="30"/>
      <c r="V156" s="65"/>
      <c r="W156" s="65"/>
      <c r="X156" s="65"/>
      <c r="Y156" s="30"/>
      <c r="Z156" s="65"/>
      <c r="AA156" s="65"/>
      <c r="AB156" s="65"/>
      <c r="AC156" s="30"/>
      <c r="AD156" s="65"/>
      <c r="AE156" s="65"/>
      <c r="AF156" s="65"/>
      <c r="AG156" s="65"/>
      <c r="AH156" s="30"/>
      <c r="AI156" s="65"/>
      <c r="AJ156" s="65"/>
      <c r="AK156" s="65"/>
      <c r="AL156" s="65"/>
      <c r="AM156" s="65"/>
      <c r="AN156" s="65"/>
      <c r="AO156" s="65"/>
    </row>
    <row r="157">
      <c r="A157" s="30"/>
      <c r="B157" s="65"/>
      <c r="C157" s="65"/>
      <c r="D157" s="65"/>
      <c r="E157" s="30"/>
      <c r="F157" s="65"/>
      <c r="G157" s="65"/>
      <c r="H157" s="65"/>
      <c r="I157" s="30"/>
      <c r="J157" s="65"/>
      <c r="K157" s="65"/>
      <c r="L157" s="65"/>
      <c r="M157" s="30"/>
      <c r="N157" s="65"/>
      <c r="O157" s="65"/>
      <c r="P157" s="65"/>
      <c r="Q157" s="30"/>
      <c r="R157" s="65"/>
      <c r="S157" s="65"/>
      <c r="T157" s="65"/>
      <c r="U157" s="30"/>
      <c r="V157" s="65"/>
      <c r="W157" s="65"/>
      <c r="X157" s="65"/>
      <c r="Y157" s="30"/>
      <c r="Z157" s="65"/>
      <c r="AA157" s="65"/>
      <c r="AB157" s="65"/>
      <c r="AC157" s="30"/>
      <c r="AD157" s="65"/>
      <c r="AE157" s="65"/>
      <c r="AF157" s="65"/>
      <c r="AG157" s="65"/>
      <c r="AH157" s="30"/>
      <c r="AI157" s="65"/>
      <c r="AJ157" s="65"/>
      <c r="AK157" s="65"/>
      <c r="AL157" s="65"/>
      <c r="AM157" s="65"/>
      <c r="AN157" s="65"/>
      <c r="AO157" s="65"/>
    </row>
    <row r="158">
      <c r="A158" s="30"/>
      <c r="B158" s="65"/>
      <c r="C158" s="65"/>
      <c r="D158" s="65"/>
      <c r="E158" s="30"/>
      <c r="F158" s="65"/>
      <c r="G158" s="65"/>
      <c r="H158" s="65"/>
      <c r="I158" s="30"/>
      <c r="J158" s="65"/>
      <c r="K158" s="65"/>
      <c r="L158" s="65"/>
      <c r="M158" s="30"/>
      <c r="N158" s="65"/>
      <c r="O158" s="65"/>
      <c r="P158" s="65"/>
      <c r="Q158" s="30"/>
      <c r="R158" s="65"/>
      <c r="S158" s="65"/>
      <c r="T158" s="65"/>
      <c r="U158" s="30"/>
      <c r="V158" s="65"/>
      <c r="W158" s="65"/>
      <c r="X158" s="65"/>
      <c r="Y158" s="30"/>
      <c r="Z158" s="65"/>
      <c r="AA158" s="65"/>
      <c r="AB158" s="65"/>
      <c r="AC158" s="30"/>
      <c r="AD158" s="65"/>
      <c r="AE158" s="65"/>
      <c r="AF158" s="65"/>
      <c r="AG158" s="65"/>
      <c r="AH158" s="30"/>
      <c r="AI158" s="65"/>
      <c r="AJ158" s="65"/>
      <c r="AK158" s="65"/>
      <c r="AL158" s="65"/>
      <c r="AM158" s="65"/>
      <c r="AN158" s="65"/>
      <c r="AO158" s="65"/>
    </row>
    <row r="159">
      <c r="A159" s="30"/>
      <c r="B159" s="65"/>
      <c r="C159" s="65"/>
      <c r="D159" s="65"/>
      <c r="E159" s="30"/>
      <c r="F159" s="65"/>
      <c r="G159" s="65"/>
      <c r="H159" s="65"/>
      <c r="I159" s="30"/>
      <c r="J159" s="65"/>
      <c r="K159" s="65"/>
      <c r="L159" s="65"/>
      <c r="M159" s="30"/>
      <c r="N159" s="65"/>
      <c r="O159" s="65"/>
      <c r="P159" s="65"/>
      <c r="Q159" s="30"/>
      <c r="R159" s="65"/>
      <c r="S159" s="65"/>
      <c r="T159" s="65"/>
      <c r="U159" s="30"/>
      <c r="V159" s="65"/>
      <c r="W159" s="65"/>
      <c r="X159" s="65"/>
      <c r="Y159" s="30"/>
      <c r="Z159" s="65"/>
      <c r="AA159" s="65"/>
      <c r="AB159" s="65"/>
      <c r="AC159" s="30"/>
      <c r="AD159" s="65"/>
      <c r="AE159" s="65"/>
      <c r="AF159" s="65"/>
      <c r="AG159" s="65"/>
      <c r="AH159" s="30"/>
      <c r="AI159" s="65"/>
      <c r="AJ159" s="65"/>
      <c r="AK159" s="65"/>
      <c r="AL159" s="65"/>
      <c r="AM159" s="65"/>
      <c r="AN159" s="65"/>
      <c r="AO159" s="65"/>
    </row>
    <row r="160">
      <c r="A160" s="30"/>
      <c r="B160" s="65"/>
      <c r="C160" s="65"/>
      <c r="D160" s="65"/>
      <c r="E160" s="30"/>
      <c r="F160" s="65"/>
      <c r="G160" s="65"/>
      <c r="H160" s="65"/>
      <c r="I160" s="30"/>
      <c r="J160" s="65"/>
      <c r="K160" s="65"/>
      <c r="L160" s="65"/>
      <c r="M160" s="30"/>
      <c r="N160" s="65"/>
      <c r="O160" s="65"/>
      <c r="P160" s="65"/>
      <c r="Q160" s="30"/>
      <c r="R160" s="65"/>
      <c r="S160" s="65"/>
      <c r="T160" s="65"/>
      <c r="U160" s="30"/>
      <c r="V160" s="65"/>
      <c r="W160" s="65"/>
      <c r="X160" s="65"/>
      <c r="Y160" s="30"/>
      <c r="Z160" s="65"/>
      <c r="AA160" s="65"/>
      <c r="AB160" s="65"/>
      <c r="AC160" s="30"/>
      <c r="AD160" s="65"/>
      <c r="AE160" s="65"/>
      <c r="AF160" s="65"/>
      <c r="AG160" s="65"/>
      <c r="AH160" s="30"/>
      <c r="AI160" s="65"/>
      <c r="AJ160" s="65"/>
      <c r="AK160" s="65"/>
      <c r="AL160" s="65"/>
      <c r="AM160" s="65"/>
      <c r="AN160" s="65"/>
      <c r="AO160" s="65"/>
    </row>
    <row r="161">
      <c r="A161" s="30"/>
      <c r="B161" s="65"/>
      <c r="C161" s="65"/>
      <c r="D161" s="65"/>
      <c r="E161" s="30"/>
      <c r="F161" s="65"/>
      <c r="G161" s="65"/>
      <c r="H161" s="65"/>
      <c r="I161" s="30"/>
      <c r="J161" s="65"/>
      <c r="K161" s="65"/>
      <c r="L161" s="65"/>
      <c r="M161" s="30"/>
      <c r="N161" s="65"/>
      <c r="O161" s="65"/>
      <c r="P161" s="65"/>
      <c r="Q161" s="30"/>
      <c r="R161" s="65"/>
      <c r="S161" s="65"/>
      <c r="T161" s="65"/>
      <c r="U161" s="30"/>
      <c r="V161" s="65"/>
      <c r="W161" s="65"/>
      <c r="X161" s="65"/>
      <c r="Y161" s="30"/>
      <c r="Z161" s="65"/>
      <c r="AA161" s="65"/>
      <c r="AB161" s="65"/>
      <c r="AC161" s="30"/>
      <c r="AD161" s="65"/>
      <c r="AE161" s="65"/>
      <c r="AF161" s="65"/>
      <c r="AG161" s="65"/>
      <c r="AH161" s="30"/>
      <c r="AI161" s="65"/>
      <c r="AJ161" s="65"/>
      <c r="AK161" s="65"/>
      <c r="AL161" s="65"/>
      <c r="AM161" s="65"/>
      <c r="AN161" s="65"/>
      <c r="AO161" s="65"/>
    </row>
    <row r="162">
      <c r="A162" s="30"/>
      <c r="B162" s="65"/>
      <c r="C162" s="65"/>
      <c r="D162" s="65"/>
      <c r="E162" s="30"/>
      <c r="F162" s="65"/>
      <c r="G162" s="65"/>
      <c r="H162" s="65"/>
      <c r="I162" s="30"/>
      <c r="J162" s="65"/>
      <c r="K162" s="65"/>
      <c r="L162" s="65"/>
      <c r="M162" s="30"/>
      <c r="N162" s="65"/>
      <c r="O162" s="65"/>
      <c r="P162" s="65"/>
      <c r="Q162" s="30"/>
      <c r="R162" s="65"/>
      <c r="S162" s="65"/>
      <c r="T162" s="65"/>
      <c r="U162" s="30"/>
      <c r="V162" s="65"/>
      <c r="W162" s="65"/>
      <c r="X162" s="65"/>
      <c r="Y162" s="30"/>
      <c r="Z162" s="65"/>
      <c r="AA162" s="65"/>
      <c r="AB162" s="65"/>
      <c r="AC162" s="30"/>
      <c r="AD162" s="65"/>
      <c r="AE162" s="65"/>
      <c r="AF162" s="65"/>
      <c r="AG162" s="65"/>
      <c r="AH162" s="30"/>
      <c r="AI162" s="65"/>
      <c r="AJ162" s="65"/>
      <c r="AK162" s="65"/>
      <c r="AL162" s="65"/>
      <c r="AM162" s="65"/>
      <c r="AN162" s="65"/>
      <c r="AO162" s="65"/>
    </row>
    <row r="163">
      <c r="A163" s="30"/>
      <c r="B163" s="65"/>
      <c r="C163" s="65"/>
      <c r="D163" s="65"/>
      <c r="E163" s="30"/>
      <c r="F163" s="65"/>
      <c r="G163" s="65"/>
      <c r="H163" s="65"/>
      <c r="I163" s="30"/>
      <c r="J163" s="65"/>
      <c r="K163" s="65"/>
      <c r="L163" s="65"/>
      <c r="M163" s="30"/>
      <c r="N163" s="65"/>
      <c r="O163" s="65"/>
      <c r="P163" s="65"/>
      <c r="Q163" s="30"/>
      <c r="R163" s="65"/>
      <c r="S163" s="65"/>
      <c r="T163" s="65"/>
      <c r="U163" s="30"/>
      <c r="V163" s="65"/>
      <c r="W163" s="65"/>
      <c r="X163" s="65"/>
      <c r="Y163" s="30"/>
      <c r="Z163" s="65"/>
      <c r="AA163" s="65"/>
      <c r="AB163" s="65"/>
      <c r="AC163" s="30"/>
      <c r="AD163" s="65"/>
      <c r="AE163" s="65"/>
      <c r="AF163" s="65"/>
      <c r="AG163" s="65"/>
      <c r="AH163" s="30"/>
      <c r="AI163" s="65"/>
      <c r="AJ163" s="65"/>
      <c r="AK163" s="65"/>
      <c r="AL163" s="65"/>
      <c r="AM163" s="65"/>
      <c r="AN163" s="65"/>
      <c r="AO163" s="65"/>
    </row>
    <row r="164">
      <c r="A164" s="30"/>
      <c r="B164" s="65"/>
      <c r="C164" s="65"/>
      <c r="D164" s="65"/>
      <c r="E164" s="30"/>
      <c r="F164" s="65"/>
      <c r="G164" s="65"/>
      <c r="H164" s="65"/>
      <c r="I164" s="30"/>
      <c r="J164" s="65"/>
      <c r="K164" s="65"/>
      <c r="L164" s="65"/>
      <c r="M164" s="30"/>
      <c r="N164" s="65"/>
      <c r="O164" s="65"/>
      <c r="P164" s="65"/>
      <c r="Q164" s="30"/>
      <c r="R164" s="65"/>
      <c r="S164" s="65"/>
      <c r="T164" s="65"/>
      <c r="U164" s="30"/>
      <c r="V164" s="65"/>
      <c r="W164" s="65"/>
      <c r="X164" s="65"/>
      <c r="Y164" s="30"/>
      <c r="Z164" s="65"/>
      <c r="AA164" s="65"/>
      <c r="AB164" s="65"/>
      <c r="AC164" s="30"/>
      <c r="AD164" s="65"/>
      <c r="AE164" s="65"/>
      <c r="AF164" s="65"/>
      <c r="AG164" s="65"/>
      <c r="AH164" s="30"/>
      <c r="AI164" s="65"/>
      <c r="AJ164" s="65"/>
      <c r="AK164" s="65"/>
      <c r="AL164" s="65"/>
      <c r="AM164" s="65"/>
      <c r="AN164" s="65"/>
      <c r="AO164" s="65"/>
    </row>
    <row r="165">
      <c r="A165" s="30"/>
      <c r="B165" s="65"/>
      <c r="C165" s="65"/>
      <c r="D165" s="65"/>
      <c r="E165" s="30"/>
      <c r="F165" s="65"/>
      <c r="G165" s="65"/>
      <c r="H165" s="65"/>
      <c r="I165" s="30"/>
      <c r="J165" s="65"/>
      <c r="K165" s="65"/>
      <c r="L165" s="65"/>
      <c r="M165" s="30"/>
      <c r="N165" s="65"/>
      <c r="O165" s="65"/>
      <c r="P165" s="65"/>
      <c r="Q165" s="30"/>
      <c r="R165" s="65"/>
      <c r="S165" s="65"/>
      <c r="T165" s="65"/>
      <c r="U165" s="30"/>
      <c r="V165" s="65"/>
      <c r="W165" s="65"/>
      <c r="X165" s="65"/>
      <c r="Y165" s="30"/>
      <c r="Z165" s="65"/>
      <c r="AA165" s="65"/>
      <c r="AB165" s="65"/>
      <c r="AC165" s="30"/>
      <c r="AD165" s="65"/>
      <c r="AE165" s="65"/>
      <c r="AF165" s="65"/>
      <c r="AG165" s="65"/>
      <c r="AH165" s="30"/>
      <c r="AI165" s="65"/>
      <c r="AJ165" s="65"/>
      <c r="AK165" s="65"/>
      <c r="AL165" s="65"/>
      <c r="AM165" s="65"/>
      <c r="AN165" s="65"/>
      <c r="AO165" s="65"/>
    </row>
    <row r="166">
      <c r="A166" s="30"/>
      <c r="B166" s="65"/>
      <c r="C166" s="65"/>
      <c r="D166" s="65"/>
      <c r="E166" s="30"/>
      <c r="F166" s="65"/>
      <c r="G166" s="65"/>
      <c r="H166" s="65"/>
      <c r="I166" s="30"/>
      <c r="J166" s="65"/>
      <c r="K166" s="65"/>
      <c r="L166" s="65"/>
      <c r="M166" s="30"/>
      <c r="N166" s="65"/>
      <c r="O166" s="65"/>
      <c r="P166" s="65"/>
      <c r="Q166" s="30"/>
      <c r="R166" s="65"/>
      <c r="S166" s="65"/>
      <c r="T166" s="65"/>
      <c r="U166" s="30"/>
      <c r="V166" s="65"/>
      <c r="W166" s="65"/>
      <c r="X166" s="65"/>
      <c r="Y166" s="30"/>
      <c r="Z166" s="65"/>
      <c r="AA166" s="65"/>
      <c r="AB166" s="65"/>
      <c r="AC166" s="30"/>
      <c r="AD166" s="65"/>
      <c r="AE166" s="65"/>
      <c r="AF166" s="65"/>
      <c r="AG166" s="65"/>
      <c r="AH166" s="30"/>
      <c r="AI166" s="65"/>
      <c r="AJ166" s="65"/>
      <c r="AK166" s="65"/>
      <c r="AL166" s="65"/>
      <c r="AM166" s="65"/>
      <c r="AN166" s="65"/>
      <c r="AO166" s="65"/>
    </row>
    <row r="167">
      <c r="A167" s="30"/>
      <c r="B167" s="65"/>
      <c r="C167" s="65"/>
      <c r="D167" s="65"/>
      <c r="E167" s="30"/>
      <c r="F167" s="65"/>
      <c r="G167" s="65"/>
      <c r="H167" s="65"/>
      <c r="I167" s="30"/>
      <c r="J167" s="65"/>
      <c r="K167" s="65"/>
      <c r="L167" s="65"/>
      <c r="M167" s="30"/>
      <c r="N167" s="65"/>
      <c r="O167" s="65"/>
      <c r="P167" s="65"/>
      <c r="Q167" s="30"/>
      <c r="R167" s="65"/>
      <c r="S167" s="65"/>
      <c r="T167" s="65"/>
      <c r="U167" s="30"/>
      <c r="V167" s="65"/>
      <c r="W167" s="65"/>
      <c r="X167" s="65"/>
      <c r="Y167" s="30"/>
      <c r="Z167" s="65"/>
      <c r="AA167" s="65"/>
      <c r="AB167" s="65"/>
      <c r="AC167" s="30"/>
      <c r="AD167" s="65"/>
      <c r="AE167" s="65"/>
      <c r="AF167" s="65"/>
      <c r="AG167" s="65"/>
      <c r="AH167" s="30"/>
      <c r="AI167" s="65"/>
      <c r="AJ167" s="65"/>
      <c r="AK167" s="65"/>
      <c r="AL167" s="65"/>
      <c r="AM167" s="65"/>
      <c r="AN167" s="65"/>
      <c r="AO167" s="65"/>
    </row>
    <row r="168">
      <c r="A168" s="30"/>
      <c r="B168" s="65"/>
      <c r="C168" s="65"/>
      <c r="D168" s="65"/>
      <c r="E168" s="30"/>
      <c r="F168" s="65"/>
      <c r="G168" s="65"/>
      <c r="H168" s="65"/>
      <c r="I168" s="30"/>
      <c r="J168" s="65"/>
      <c r="K168" s="65"/>
      <c r="L168" s="65"/>
      <c r="M168" s="30"/>
      <c r="N168" s="65"/>
      <c r="O168" s="65"/>
      <c r="P168" s="65"/>
      <c r="Q168" s="30"/>
      <c r="R168" s="65"/>
      <c r="S168" s="65"/>
      <c r="T168" s="65"/>
      <c r="U168" s="30"/>
      <c r="V168" s="65"/>
      <c r="W168" s="65"/>
      <c r="X168" s="65"/>
      <c r="Y168" s="30"/>
      <c r="Z168" s="65"/>
      <c r="AA168" s="65"/>
      <c r="AB168" s="65"/>
      <c r="AC168" s="30"/>
      <c r="AD168" s="65"/>
      <c r="AE168" s="65"/>
      <c r="AF168" s="65"/>
      <c r="AG168" s="65"/>
      <c r="AH168" s="30"/>
      <c r="AI168" s="65"/>
      <c r="AJ168" s="65"/>
      <c r="AK168" s="65"/>
      <c r="AL168" s="65"/>
      <c r="AM168" s="65"/>
      <c r="AN168" s="65"/>
      <c r="AO168" s="65"/>
    </row>
    <row r="169">
      <c r="A169" s="30"/>
      <c r="B169" s="65"/>
      <c r="C169" s="65"/>
      <c r="D169" s="65"/>
      <c r="E169" s="30"/>
      <c r="F169" s="65"/>
      <c r="G169" s="65"/>
      <c r="H169" s="65"/>
      <c r="I169" s="30"/>
      <c r="J169" s="65"/>
      <c r="K169" s="65"/>
      <c r="L169" s="65"/>
      <c r="M169" s="30"/>
      <c r="N169" s="65"/>
      <c r="O169" s="65"/>
      <c r="P169" s="65"/>
      <c r="Q169" s="30"/>
      <c r="R169" s="65"/>
      <c r="S169" s="65"/>
      <c r="T169" s="65"/>
      <c r="U169" s="30"/>
      <c r="V169" s="65"/>
      <c r="W169" s="65"/>
      <c r="X169" s="65"/>
      <c r="Y169" s="30"/>
      <c r="Z169" s="65"/>
      <c r="AA169" s="65"/>
      <c r="AB169" s="65"/>
      <c r="AC169" s="30"/>
      <c r="AD169" s="65"/>
      <c r="AE169" s="65"/>
      <c r="AF169" s="65"/>
      <c r="AG169" s="65"/>
      <c r="AH169" s="30"/>
      <c r="AI169" s="65"/>
      <c r="AJ169" s="65"/>
      <c r="AK169" s="65"/>
      <c r="AL169" s="65"/>
      <c r="AM169" s="65"/>
      <c r="AN169" s="65"/>
      <c r="AO169" s="65"/>
    </row>
    <row r="170">
      <c r="A170" s="30"/>
      <c r="B170" s="65"/>
      <c r="C170" s="65"/>
      <c r="D170" s="65"/>
      <c r="E170" s="30"/>
      <c r="F170" s="65"/>
      <c r="G170" s="65"/>
      <c r="H170" s="65"/>
      <c r="I170" s="30"/>
      <c r="J170" s="65"/>
      <c r="K170" s="65"/>
      <c r="L170" s="65"/>
      <c r="M170" s="30"/>
      <c r="N170" s="65"/>
      <c r="O170" s="65"/>
      <c r="P170" s="65"/>
      <c r="Q170" s="30"/>
      <c r="R170" s="65"/>
      <c r="S170" s="65"/>
      <c r="T170" s="65"/>
      <c r="U170" s="30"/>
      <c r="V170" s="65"/>
      <c r="W170" s="65"/>
      <c r="X170" s="65"/>
      <c r="Y170" s="30"/>
      <c r="Z170" s="65"/>
      <c r="AA170" s="65"/>
      <c r="AB170" s="65"/>
      <c r="AC170" s="30"/>
      <c r="AD170" s="65"/>
      <c r="AE170" s="65"/>
      <c r="AF170" s="65"/>
      <c r="AG170" s="65"/>
      <c r="AH170" s="30"/>
      <c r="AI170" s="65"/>
      <c r="AJ170" s="65"/>
      <c r="AK170" s="65"/>
      <c r="AL170" s="65"/>
      <c r="AM170" s="65"/>
      <c r="AN170" s="65"/>
      <c r="AO170" s="65"/>
    </row>
    <row r="171">
      <c r="A171" s="30"/>
      <c r="B171" s="65"/>
      <c r="C171" s="65"/>
      <c r="D171" s="65"/>
      <c r="E171" s="30"/>
      <c r="F171" s="65"/>
      <c r="G171" s="65"/>
      <c r="H171" s="65"/>
      <c r="I171" s="30"/>
      <c r="J171" s="65"/>
      <c r="K171" s="65"/>
      <c r="L171" s="65"/>
      <c r="M171" s="30"/>
      <c r="N171" s="65"/>
      <c r="O171" s="65"/>
      <c r="P171" s="65"/>
      <c r="Q171" s="30"/>
      <c r="R171" s="65"/>
      <c r="S171" s="65"/>
      <c r="T171" s="65"/>
      <c r="U171" s="30"/>
      <c r="V171" s="65"/>
      <c r="W171" s="65"/>
      <c r="X171" s="65"/>
      <c r="Y171" s="30"/>
      <c r="Z171" s="65"/>
      <c r="AA171" s="65"/>
      <c r="AB171" s="65"/>
      <c r="AC171" s="30"/>
      <c r="AD171" s="65"/>
      <c r="AE171" s="65"/>
      <c r="AF171" s="65"/>
      <c r="AG171" s="65"/>
      <c r="AH171" s="30"/>
      <c r="AI171" s="65"/>
      <c r="AJ171" s="65"/>
      <c r="AK171" s="65"/>
      <c r="AL171" s="65"/>
      <c r="AM171" s="65"/>
      <c r="AN171" s="65"/>
      <c r="AO171" s="65"/>
    </row>
    <row r="172">
      <c r="A172" s="30"/>
      <c r="B172" s="65"/>
      <c r="C172" s="65"/>
      <c r="D172" s="65"/>
      <c r="E172" s="30"/>
      <c r="F172" s="65"/>
      <c r="G172" s="65"/>
      <c r="H172" s="65"/>
      <c r="I172" s="30"/>
      <c r="J172" s="65"/>
      <c r="K172" s="65"/>
      <c r="L172" s="65"/>
      <c r="M172" s="30"/>
      <c r="N172" s="65"/>
      <c r="O172" s="65"/>
      <c r="P172" s="65"/>
      <c r="Q172" s="30"/>
      <c r="R172" s="65"/>
      <c r="S172" s="65"/>
      <c r="T172" s="65"/>
      <c r="U172" s="30"/>
      <c r="V172" s="65"/>
      <c r="W172" s="65"/>
      <c r="X172" s="65"/>
      <c r="Y172" s="30"/>
      <c r="Z172" s="65"/>
      <c r="AA172" s="65"/>
      <c r="AB172" s="65"/>
      <c r="AC172" s="30"/>
      <c r="AD172" s="65"/>
      <c r="AE172" s="65"/>
      <c r="AF172" s="65"/>
      <c r="AG172" s="65"/>
      <c r="AH172" s="30"/>
      <c r="AI172" s="65"/>
      <c r="AJ172" s="65"/>
      <c r="AK172" s="65"/>
      <c r="AL172" s="65"/>
      <c r="AM172" s="65"/>
      <c r="AN172" s="65"/>
      <c r="AO172" s="65"/>
    </row>
    <row r="173">
      <c r="A173" s="30"/>
      <c r="B173" s="65"/>
      <c r="C173" s="65"/>
      <c r="D173" s="65"/>
      <c r="E173" s="30"/>
      <c r="F173" s="65"/>
      <c r="G173" s="65"/>
      <c r="H173" s="65"/>
      <c r="I173" s="30"/>
      <c r="J173" s="65"/>
      <c r="K173" s="65"/>
      <c r="L173" s="65"/>
      <c r="M173" s="30"/>
      <c r="N173" s="65"/>
      <c r="O173" s="65"/>
      <c r="P173" s="65"/>
      <c r="Q173" s="30"/>
      <c r="R173" s="65"/>
      <c r="S173" s="65"/>
      <c r="T173" s="65"/>
      <c r="U173" s="30"/>
      <c r="V173" s="65"/>
      <c r="W173" s="65"/>
      <c r="X173" s="65"/>
      <c r="Y173" s="30"/>
      <c r="Z173" s="65"/>
      <c r="AA173" s="65"/>
      <c r="AB173" s="65"/>
      <c r="AC173" s="30"/>
      <c r="AD173" s="65"/>
      <c r="AE173" s="65"/>
      <c r="AF173" s="65"/>
      <c r="AG173" s="65"/>
      <c r="AH173" s="30"/>
      <c r="AI173" s="65"/>
      <c r="AJ173" s="65"/>
      <c r="AK173" s="65"/>
      <c r="AL173" s="65"/>
      <c r="AM173" s="65"/>
      <c r="AN173" s="65"/>
      <c r="AO173" s="65"/>
    </row>
    <row r="174">
      <c r="A174" s="30"/>
      <c r="B174" s="65"/>
      <c r="C174" s="65"/>
      <c r="D174" s="65"/>
      <c r="E174" s="30"/>
      <c r="F174" s="65"/>
      <c r="G174" s="65"/>
      <c r="H174" s="65"/>
      <c r="I174" s="30"/>
      <c r="J174" s="65"/>
      <c r="K174" s="65"/>
      <c r="L174" s="65"/>
      <c r="M174" s="30"/>
      <c r="N174" s="65"/>
      <c r="O174" s="65"/>
      <c r="P174" s="65"/>
      <c r="Q174" s="30"/>
      <c r="R174" s="65"/>
      <c r="S174" s="65"/>
      <c r="T174" s="65"/>
      <c r="U174" s="30"/>
      <c r="V174" s="65"/>
      <c r="W174" s="65"/>
      <c r="X174" s="65"/>
      <c r="Y174" s="30"/>
      <c r="Z174" s="65"/>
      <c r="AA174" s="65"/>
      <c r="AB174" s="65"/>
      <c r="AC174" s="30"/>
      <c r="AD174" s="65"/>
      <c r="AE174" s="65"/>
      <c r="AF174" s="65"/>
      <c r="AG174" s="65"/>
      <c r="AH174" s="30"/>
      <c r="AI174" s="65"/>
      <c r="AJ174" s="65"/>
      <c r="AK174" s="65"/>
      <c r="AL174" s="65"/>
      <c r="AM174" s="65"/>
      <c r="AN174" s="65"/>
      <c r="AO174" s="65"/>
    </row>
    <row r="175">
      <c r="A175" s="30"/>
      <c r="B175" s="65"/>
      <c r="C175" s="65"/>
      <c r="D175" s="65"/>
      <c r="E175" s="30"/>
      <c r="F175" s="65"/>
      <c r="G175" s="65"/>
      <c r="H175" s="65"/>
      <c r="I175" s="30"/>
      <c r="J175" s="65"/>
      <c r="K175" s="65"/>
      <c r="L175" s="65"/>
      <c r="M175" s="30"/>
      <c r="N175" s="65"/>
      <c r="O175" s="65"/>
      <c r="P175" s="65"/>
      <c r="Q175" s="30"/>
      <c r="R175" s="65"/>
      <c r="S175" s="65"/>
      <c r="T175" s="65"/>
      <c r="U175" s="30"/>
      <c r="V175" s="65"/>
      <c r="W175" s="65"/>
      <c r="X175" s="65"/>
      <c r="Y175" s="30"/>
      <c r="Z175" s="65"/>
      <c r="AA175" s="65"/>
      <c r="AB175" s="65"/>
      <c r="AC175" s="30"/>
      <c r="AD175" s="65"/>
      <c r="AE175" s="65"/>
      <c r="AF175" s="65"/>
      <c r="AG175" s="65"/>
      <c r="AH175" s="30"/>
      <c r="AI175" s="65"/>
      <c r="AJ175" s="65"/>
      <c r="AK175" s="65"/>
      <c r="AL175" s="65"/>
      <c r="AM175" s="65"/>
      <c r="AN175" s="65"/>
      <c r="AO175" s="65"/>
    </row>
    <row r="176">
      <c r="A176" s="30"/>
      <c r="B176" s="65"/>
      <c r="C176" s="65"/>
      <c r="D176" s="65"/>
      <c r="E176" s="30"/>
      <c r="F176" s="65"/>
      <c r="G176" s="65"/>
      <c r="H176" s="65"/>
      <c r="I176" s="30"/>
      <c r="J176" s="65"/>
      <c r="K176" s="65"/>
      <c r="L176" s="65"/>
      <c r="M176" s="30"/>
      <c r="N176" s="65"/>
      <c r="O176" s="65"/>
      <c r="P176" s="65"/>
      <c r="Q176" s="30"/>
      <c r="R176" s="65"/>
      <c r="S176" s="65"/>
      <c r="T176" s="65"/>
      <c r="U176" s="30"/>
      <c r="V176" s="65"/>
      <c r="W176" s="65"/>
      <c r="X176" s="65"/>
      <c r="Y176" s="30"/>
      <c r="Z176" s="65"/>
      <c r="AA176" s="65"/>
      <c r="AB176" s="65"/>
      <c r="AC176" s="30"/>
      <c r="AD176" s="65"/>
      <c r="AE176" s="65"/>
      <c r="AF176" s="65"/>
      <c r="AG176" s="65"/>
      <c r="AH176" s="30"/>
      <c r="AI176" s="65"/>
      <c r="AJ176" s="65"/>
      <c r="AK176" s="65"/>
      <c r="AL176" s="65"/>
      <c r="AM176" s="65"/>
      <c r="AN176" s="65"/>
      <c r="AO176" s="65"/>
    </row>
    <row r="177">
      <c r="A177" s="30"/>
      <c r="B177" s="65"/>
      <c r="C177" s="65"/>
      <c r="D177" s="65"/>
      <c r="E177" s="30"/>
      <c r="F177" s="65"/>
      <c r="G177" s="65"/>
      <c r="H177" s="65"/>
      <c r="I177" s="30"/>
      <c r="J177" s="65"/>
      <c r="K177" s="65"/>
      <c r="L177" s="65"/>
      <c r="M177" s="30"/>
      <c r="N177" s="65"/>
      <c r="O177" s="65"/>
      <c r="P177" s="65"/>
      <c r="Q177" s="30"/>
      <c r="R177" s="65"/>
      <c r="S177" s="65"/>
      <c r="T177" s="65"/>
      <c r="U177" s="30"/>
      <c r="V177" s="65"/>
      <c r="W177" s="65"/>
      <c r="X177" s="65"/>
      <c r="Y177" s="30"/>
      <c r="Z177" s="65"/>
      <c r="AA177" s="65"/>
      <c r="AB177" s="65"/>
      <c r="AC177" s="30"/>
      <c r="AD177" s="65"/>
      <c r="AE177" s="65"/>
      <c r="AF177" s="65"/>
      <c r="AG177" s="65"/>
      <c r="AH177" s="30"/>
      <c r="AI177" s="65"/>
      <c r="AJ177" s="65"/>
      <c r="AK177" s="65"/>
      <c r="AL177" s="65"/>
      <c r="AM177" s="65"/>
      <c r="AN177" s="65"/>
      <c r="AO177" s="65"/>
    </row>
    <row r="178">
      <c r="A178" s="30"/>
      <c r="B178" s="65"/>
      <c r="C178" s="65"/>
      <c r="D178" s="65"/>
      <c r="E178" s="30"/>
      <c r="F178" s="65"/>
      <c r="G178" s="65"/>
      <c r="H178" s="65"/>
      <c r="I178" s="30"/>
      <c r="J178" s="65"/>
      <c r="K178" s="65"/>
      <c r="L178" s="65"/>
      <c r="M178" s="30"/>
      <c r="N178" s="65"/>
      <c r="O178" s="65"/>
      <c r="P178" s="65"/>
      <c r="Q178" s="30"/>
      <c r="R178" s="65"/>
      <c r="S178" s="65"/>
      <c r="T178" s="65"/>
      <c r="U178" s="30"/>
      <c r="V178" s="65"/>
      <c r="W178" s="65"/>
      <c r="X178" s="65"/>
      <c r="Y178" s="30"/>
      <c r="Z178" s="65"/>
      <c r="AA178" s="65"/>
      <c r="AB178" s="65"/>
      <c r="AC178" s="30"/>
      <c r="AD178" s="65"/>
      <c r="AE178" s="65"/>
      <c r="AF178" s="65"/>
      <c r="AG178" s="65"/>
      <c r="AH178" s="30"/>
      <c r="AI178" s="65"/>
      <c r="AJ178" s="65"/>
      <c r="AK178" s="65"/>
      <c r="AL178" s="65"/>
      <c r="AM178" s="65"/>
      <c r="AN178" s="65"/>
      <c r="AO178" s="65"/>
    </row>
    <row r="179">
      <c r="A179" s="30"/>
      <c r="B179" s="65"/>
      <c r="C179" s="65"/>
      <c r="D179" s="65"/>
      <c r="E179" s="30"/>
      <c r="F179" s="65"/>
      <c r="G179" s="65"/>
      <c r="H179" s="65"/>
      <c r="I179" s="30"/>
      <c r="J179" s="65"/>
      <c r="K179" s="65"/>
      <c r="L179" s="65"/>
      <c r="M179" s="30"/>
      <c r="N179" s="65"/>
      <c r="O179" s="65"/>
      <c r="P179" s="65"/>
      <c r="Q179" s="30"/>
      <c r="R179" s="65"/>
      <c r="S179" s="65"/>
      <c r="T179" s="65"/>
      <c r="U179" s="30"/>
      <c r="V179" s="65"/>
      <c r="W179" s="65"/>
      <c r="X179" s="65"/>
      <c r="Y179" s="30"/>
      <c r="Z179" s="65"/>
      <c r="AA179" s="65"/>
      <c r="AB179" s="65"/>
      <c r="AC179" s="30"/>
      <c r="AD179" s="65"/>
      <c r="AE179" s="65"/>
      <c r="AF179" s="65"/>
      <c r="AG179" s="65"/>
      <c r="AH179" s="30"/>
      <c r="AI179" s="65"/>
      <c r="AJ179" s="65"/>
      <c r="AK179" s="65"/>
      <c r="AL179" s="65"/>
      <c r="AM179" s="65"/>
      <c r="AN179" s="65"/>
      <c r="AO179" s="65"/>
    </row>
    <row r="180">
      <c r="A180" s="30"/>
      <c r="B180" s="65"/>
      <c r="C180" s="65"/>
      <c r="D180" s="65"/>
      <c r="E180" s="30"/>
      <c r="F180" s="65"/>
      <c r="G180" s="65"/>
      <c r="H180" s="65"/>
      <c r="I180" s="30"/>
      <c r="J180" s="65"/>
      <c r="K180" s="65"/>
      <c r="L180" s="65"/>
      <c r="M180" s="30"/>
      <c r="N180" s="65"/>
      <c r="O180" s="65"/>
      <c r="P180" s="65"/>
      <c r="Q180" s="30"/>
      <c r="R180" s="65"/>
      <c r="S180" s="65"/>
      <c r="T180" s="65"/>
      <c r="U180" s="30"/>
      <c r="V180" s="65"/>
      <c r="W180" s="65"/>
      <c r="X180" s="65"/>
      <c r="Y180" s="30"/>
      <c r="Z180" s="65"/>
      <c r="AA180" s="65"/>
      <c r="AB180" s="65"/>
      <c r="AC180" s="30"/>
      <c r="AD180" s="65"/>
      <c r="AE180" s="65"/>
      <c r="AF180" s="65"/>
      <c r="AG180" s="65"/>
      <c r="AH180" s="30"/>
      <c r="AI180" s="65"/>
      <c r="AJ180" s="65"/>
      <c r="AK180" s="65"/>
      <c r="AL180" s="65"/>
      <c r="AM180" s="65"/>
      <c r="AN180" s="65"/>
      <c r="AO180" s="65"/>
    </row>
    <row r="181">
      <c r="A181" s="30"/>
      <c r="B181" s="65"/>
      <c r="C181" s="65"/>
      <c r="D181" s="65"/>
      <c r="E181" s="30"/>
      <c r="F181" s="65"/>
      <c r="G181" s="65"/>
      <c r="H181" s="65"/>
      <c r="I181" s="30"/>
      <c r="J181" s="65"/>
      <c r="K181" s="65"/>
      <c r="L181" s="65"/>
      <c r="M181" s="30"/>
      <c r="N181" s="65"/>
      <c r="O181" s="65"/>
      <c r="P181" s="65"/>
      <c r="Q181" s="30"/>
      <c r="R181" s="65"/>
      <c r="S181" s="65"/>
      <c r="T181" s="65"/>
      <c r="U181" s="30"/>
      <c r="V181" s="65"/>
      <c r="W181" s="65"/>
      <c r="X181" s="65"/>
      <c r="Y181" s="30"/>
      <c r="Z181" s="65"/>
      <c r="AA181" s="65"/>
      <c r="AB181" s="65"/>
      <c r="AC181" s="30"/>
      <c r="AD181" s="65"/>
      <c r="AE181" s="65"/>
      <c r="AF181" s="65"/>
      <c r="AG181" s="65"/>
      <c r="AH181" s="30"/>
      <c r="AI181" s="65"/>
      <c r="AJ181" s="65"/>
      <c r="AK181" s="65"/>
      <c r="AL181" s="65"/>
      <c r="AM181" s="65"/>
      <c r="AN181" s="65"/>
      <c r="AO181" s="65"/>
    </row>
    <row r="182">
      <c r="A182" s="30"/>
      <c r="B182" s="65"/>
      <c r="C182" s="65"/>
      <c r="D182" s="65"/>
      <c r="E182" s="30"/>
      <c r="F182" s="65"/>
      <c r="G182" s="65"/>
      <c r="H182" s="65"/>
      <c r="I182" s="30"/>
      <c r="J182" s="65"/>
      <c r="K182" s="65"/>
      <c r="L182" s="65"/>
      <c r="M182" s="30"/>
      <c r="N182" s="65"/>
      <c r="O182" s="65"/>
      <c r="P182" s="65"/>
      <c r="Q182" s="30"/>
      <c r="R182" s="65"/>
      <c r="S182" s="65"/>
      <c r="T182" s="65"/>
      <c r="U182" s="30"/>
      <c r="V182" s="65"/>
      <c r="W182" s="65"/>
      <c r="X182" s="65"/>
      <c r="Y182" s="30"/>
      <c r="Z182" s="65"/>
      <c r="AA182" s="65"/>
      <c r="AB182" s="65"/>
      <c r="AC182" s="30"/>
      <c r="AD182" s="65"/>
      <c r="AE182" s="65"/>
      <c r="AF182" s="65"/>
      <c r="AG182" s="65"/>
      <c r="AH182" s="30"/>
      <c r="AI182" s="65"/>
      <c r="AJ182" s="65"/>
      <c r="AK182" s="65"/>
      <c r="AL182" s="65"/>
      <c r="AM182" s="65"/>
      <c r="AN182" s="65"/>
      <c r="AO182" s="65"/>
    </row>
    <row r="183">
      <c r="A183" s="30"/>
      <c r="B183" s="65"/>
      <c r="C183" s="65"/>
      <c r="D183" s="65"/>
      <c r="E183" s="30"/>
      <c r="F183" s="65"/>
      <c r="G183" s="65"/>
      <c r="H183" s="65"/>
      <c r="I183" s="30"/>
      <c r="J183" s="65"/>
      <c r="K183" s="65"/>
      <c r="L183" s="65"/>
      <c r="M183" s="30"/>
      <c r="N183" s="65"/>
      <c r="O183" s="65"/>
      <c r="P183" s="65"/>
      <c r="Q183" s="30"/>
      <c r="R183" s="65"/>
      <c r="S183" s="65"/>
      <c r="T183" s="65"/>
      <c r="U183" s="30"/>
      <c r="V183" s="65"/>
      <c r="W183" s="65"/>
      <c r="X183" s="65"/>
      <c r="Y183" s="30"/>
      <c r="Z183" s="65"/>
      <c r="AA183" s="65"/>
      <c r="AB183" s="65"/>
      <c r="AC183" s="30"/>
      <c r="AD183" s="65"/>
      <c r="AE183" s="65"/>
      <c r="AF183" s="65"/>
      <c r="AG183" s="65"/>
      <c r="AH183" s="30"/>
      <c r="AI183" s="65"/>
      <c r="AJ183" s="65"/>
      <c r="AK183" s="65"/>
      <c r="AL183" s="65"/>
      <c r="AM183" s="65"/>
      <c r="AN183" s="65"/>
      <c r="AO183" s="65"/>
    </row>
    <row r="184">
      <c r="A184" s="30"/>
      <c r="B184" s="65"/>
      <c r="C184" s="65"/>
      <c r="D184" s="65"/>
      <c r="E184" s="30"/>
      <c r="F184" s="65"/>
      <c r="G184" s="65"/>
      <c r="H184" s="65"/>
      <c r="I184" s="30"/>
      <c r="J184" s="65"/>
      <c r="K184" s="65"/>
      <c r="L184" s="65"/>
      <c r="M184" s="30"/>
      <c r="N184" s="65"/>
      <c r="O184" s="65"/>
      <c r="P184" s="65"/>
      <c r="Q184" s="30"/>
      <c r="R184" s="65"/>
      <c r="S184" s="65"/>
      <c r="T184" s="65"/>
      <c r="U184" s="30"/>
      <c r="V184" s="65"/>
      <c r="W184" s="65"/>
      <c r="X184" s="65"/>
      <c r="Y184" s="30"/>
      <c r="Z184" s="65"/>
      <c r="AA184" s="65"/>
      <c r="AB184" s="65"/>
      <c r="AC184" s="30"/>
      <c r="AD184" s="65"/>
      <c r="AE184" s="65"/>
      <c r="AF184" s="65"/>
      <c r="AG184" s="65"/>
      <c r="AH184" s="30"/>
      <c r="AI184" s="65"/>
      <c r="AJ184" s="65"/>
      <c r="AK184" s="65"/>
      <c r="AL184" s="65"/>
      <c r="AM184" s="65"/>
      <c r="AN184" s="65"/>
      <c r="AO184" s="65"/>
    </row>
    <row r="185">
      <c r="A185" s="30"/>
      <c r="B185" s="65"/>
      <c r="C185" s="65"/>
      <c r="D185" s="65"/>
      <c r="E185" s="30"/>
      <c r="F185" s="65"/>
      <c r="G185" s="65"/>
      <c r="H185" s="65"/>
      <c r="I185" s="30"/>
      <c r="J185" s="65"/>
      <c r="K185" s="65"/>
      <c r="L185" s="65"/>
      <c r="M185" s="30"/>
      <c r="N185" s="65"/>
      <c r="O185" s="65"/>
      <c r="P185" s="65"/>
      <c r="Q185" s="30"/>
      <c r="R185" s="65"/>
      <c r="S185" s="65"/>
      <c r="T185" s="65"/>
      <c r="U185" s="30"/>
      <c r="V185" s="65"/>
      <c r="W185" s="65"/>
      <c r="X185" s="65"/>
      <c r="Y185" s="30"/>
      <c r="Z185" s="65"/>
      <c r="AA185" s="65"/>
      <c r="AB185" s="65"/>
      <c r="AC185" s="30"/>
      <c r="AD185" s="65"/>
      <c r="AE185" s="65"/>
      <c r="AF185" s="65"/>
      <c r="AG185" s="65"/>
      <c r="AH185" s="30"/>
      <c r="AI185" s="65"/>
      <c r="AJ185" s="65"/>
      <c r="AK185" s="65"/>
      <c r="AL185" s="65"/>
      <c r="AM185" s="65"/>
      <c r="AN185" s="65"/>
      <c r="AO185" s="65"/>
    </row>
    <row r="186">
      <c r="A186" s="30"/>
      <c r="B186" s="65"/>
      <c r="C186" s="65"/>
      <c r="D186" s="65"/>
      <c r="E186" s="30"/>
      <c r="F186" s="65"/>
      <c r="G186" s="65"/>
      <c r="H186" s="65"/>
      <c r="I186" s="30"/>
      <c r="J186" s="65"/>
      <c r="K186" s="65"/>
      <c r="L186" s="65"/>
      <c r="M186" s="30"/>
      <c r="N186" s="65"/>
      <c r="O186" s="65"/>
      <c r="P186" s="65"/>
      <c r="Q186" s="30"/>
      <c r="R186" s="65"/>
      <c r="S186" s="65"/>
      <c r="T186" s="65"/>
      <c r="U186" s="30"/>
      <c r="V186" s="65"/>
      <c r="W186" s="65"/>
      <c r="X186" s="65"/>
      <c r="Y186" s="30"/>
      <c r="Z186" s="65"/>
      <c r="AA186" s="65"/>
      <c r="AB186" s="65"/>
      <c r="AC186" s="30"/>
      <c r="AD186" s="65"/>
      <c r="AE186" s="65"/>
      <c r="AF186" s="65"/>
      <c r="AG186" s="65"/>
      <c r="AH186" s="30"/>
      <c r="AI186" s="65"/>
      <c r="AJ186" s="65"/>
      <c r="AK186" s="65"/>
      <c r="AL186" s="65"/>
      <c r="AM186" s="65"/>
      <c r="AN186" s="65"/>
      <c r="AO186" s="65"/>
    </row>
    <row r="187">
      <c r="A187" s="30"/>
      <c r="B187" s="65"/>
      <c r="C187" s="65"/>
      <c r="D187" s="65"/>
      <c r="E187" s="30"/>
      <c r="F187" s="65"/>
      <c r="G187" s="65"/>
      <c r="H187" s="65"/>
      <c r="I187" s="30"/>
      <c r="J187" s="65"/>
      <c r="K187" s="65"/>
      <c r="L187" s="65"/>
      <c r="M187" s="30"/>
      <c r="N187" s="65"/>
      <c r="O187" s="65"/>
      <c r="P187" s="65"/>
      <c r="Q187" s="30"/>
      <c r="R187" s="65"/>
      <c r="S187" s="65"/>
      <c r="T187" s="65"/>
      <c r="U187" s="30"/>
      <c r="V187" s="65"/>
      <c r="W187" s="65"/>
      <c r="X187" s="65"/>
      <c r="Y187" s="30"/>
      <c r="Z187" s="65"/>
      <c r="AA187" s="65"/>
      <c r="AB187" s="65"/>
      <c r="AC187" s="30"/>
      <c r="AD187" s="65"/>
      <c r="AE187" s="65"/>
      <c r="AF187" s="65"/>
      <c r="AG187" s="65"/>
      <c r="AH187" s="30"/>
      <c r="AI187" s="65"/>
      <c r="AJ187" s="65"/>
      <c r="AK187" s="65"/>
      <c r="AL187" s="65"/>
      <c r="AM187" s="65"/>
      <c r="AN187" s="65"/>
      <c r="AO187" s="65"/>
    </row>
    <row r="188">
      <c r="A188" s="30"/>
      <c r="B188" s="65"/>
      <c r="C188" s="65"/>
      <c r="D188" s="65"/>
      <c r="E188" s="30"/>
      <c r="F188" s="65"/>
      <c r="G188" s="65"/>
      <c r="H188" s="65"/>
      <c r="I188" s="30"/>
      <c r="J188" s="65"/>
      <c r="K188" s="65"/>
      <c r="L188" s="65"/>
      <c r="M188" s="30"/>
      <c r="N188" s="65"/>
      <c r="O188" s="65"/>
      <c r="P188" s="65"/>
      <c r="Q188" s="30"/>
      <c r="R188" s="65"/>
      <c r="S188" s="65"/>
      <c r="T188" s="65"/>
      <c r="U188" s="30"/>
      <c r="V188" s="65"/>
      <c r="W188" s="65"/>
      <c r="X188" s="65"/>
      <c r="Y188" s="30"/>
      <c r="Z188" s="65"/>
      <c r="AA188" s="65"/>
      <c r="AB188" s="65"/>
      <c r="AC188" s="30"/>
      <c r="AD188" s="65"/>
      <c r="AE188" s="65"/>
      <c r="AF188" s="65"/>
      <c r="AG188" s="65"/>
      <c r="AH188" s="30"/>
      <c r="AI188" s="65"/>
      <c r="AJ188" s="65"/>
      <c r="AK188" s="65"/>
      <c r="AL188" s="65"/>
      <c r="AM188" s="65"/>
      <c r="AN188" s="65"/>
      <c r="AO188" s="65"/>
    </row>
    <row r="189">
      <c r="A189" s="30"/>
      <c r="B189" s="65"/>
      <c r="C189" s="65"/>
      <c r="D189" s="65"/>
      <c r="E189" s="30"/>
      <c r="F189" s="65"/>
      <c r="G189" s="65"/>
      <c r="H189" s="65"/>
      <c r="I189" s="30"/>
      <c r="J189" s="65"/>
      <c r="K189" s="65"/>
      <c r="L189" s="65"/>
      <c r="M189" s="30"/>
      <c r="N189" s="65"/>
      <c r="O189" s="65"/>
      <c r="P189" s="65"/>
      <c r="Q189" s="30"/>
      <c r="R189" s="65"/>
      <c r="S189" s="65"/>
      <c r="T189" s="65"/>
      <c r="U189" s="30"/>
      <c r="V189" s="65"/>
      <c r="W189" s="65"/>
      <c r="X189" s="65"/>
      <c r="Y189" s="30"/>
      <c r="Z189" s="65"/>
      <c r="AA189" s="65"/>
      <c r="AB189" s="65"/>
      <c r="AC189" s="30"/>
      <c r="AD189" s="65"/>
      <c r="AE189" s="65"/>
      <c r="AF189" s="65"/>
      <c r="AG189" s="65"/>
      <c r="AH189" s="30"/>
      <c r="AI189" s="65"/>
      <c r="AJ189" s="65"/>
      <c r="AK189" s="65"/>
      <c r="AL189" s="65"/>
      <c r="AM189" s="65"/>
      <c r="AN189" s="65"/>
      <c r="AO189" s="65"/>
    </row>
    <row r="190">
      <c r="A190" s="30"/>
      <c r="B190" s="65"/>
      <c r="C190" s="65"/>
      <c r="D190" s="65"/>
      <c r="E190" s="30"/>
      <c r="F190" s="65"/>
      <c r="G190" s="65"/>
      <c r="H190" s="65"/>
      <c r="I190" s="30"/>
      <c r="J190" s="65"/>
      <c r="K190" s="65"/>
      <c r="L190" s="65"/>
      <c r="M190" s="30"/>
      <c r="N190" s="65"/>
      <c r="O190" s="65"/>
      <c r="P190" s="65"/>
      <c r="Q190" s="30"/>
      <c r="R190" s="65"/>
      <c r="S190" s="65"/>
      <c r="T190" s="65"/>
      <c r="U190" s="30"/>
      <c r="V190" s="65"/>
      <c r="W190" s="65"/>
      <c r="X190" s="65"/>
      <c r="Y190" s="30"/>
      <c r="Z190" s="65"/>
      <c r="AA190" s="65"/>
      <c r="AB190" s="65"/>
      <c r="AC190" s="30"/>
      <c r="AD190" s="65"/>
      <c r="AE190" s="65"/>
      <c r="AF190" s="65"/>
      <c r="AG190" s="65"/>
      <c r="AH190" s="30"/>
      <c r="AI190" s="65"/>
      <c r="AJ190" s="65"/>
      <c r="AK190" s="65"/>
      <c r="AL190" s="65"/>
      <c r="AM190" s="65"/>
      <c r="AN190" s="65"/>
      <c r="AO190" s="65"/>
    </row>
    <row r="191">
      <c r="A191" s="30"/>
      <c r="B191" s="65"/>
      <c r="C191" s="65"/>
      <c r="D191" s="65"/>
      <c r="E191" s="30"/>
      <c r="F191" s="65"/>
      <c r="G191" s="65"/>
      <c r="H191" s="65"/>
      <c r="I191" s="30"/>
      <c r="J191" s="65"/>
      <c r="K191" s="65"/>
      <c r="L191" s="65"/>
      <c r="M191" s="30"/>
      <c r="N191" s="65"/>
      <c r="O191" s="65"/>
      <c r="P191" s="65"/>
      <c r="Q191" s="30"/>
      <c r="R191" s="65"/>
      <c r="S191" s="65"/>
      <c r="T191" s="65"/>
      <c r="U191" s="30"/>
      <c r="V191" s="65"/>
      <c r="W191" s="65"/>
      <c r="X191" s="65"/>
      <c r="Y191" s="30"/>
      <c r="Z191" s="65"/>
      <c r="AA191" s="65"/>
      <c r="AB191" s="65"/>
      <c r="AC191" s="30"/>
      <c r="AD191" s="65"/>
      <c r="AE191" s="65"/>
      <c r="AF191" s="65"/>
      <c r="AG191" s="65"/>
      <c r="AH191" s="30"/>
      <c r="AI191" s="65"/>
      <c r="AJ191" s="65"/>
      <c r="AK191" s="65"/>
      <c r="AL191" s="65"/>
      <c r="AM191" s="65"/>
      <c r="AN191" s="65"/>
      <c r="AO191" s="65"/>
    </row>
    <row r="192">
      <c r="A192" s="30"/>
      <c r="B192" s="65"/>
      <c r="C192" s="65"/>
      <c r="D192" s="65"/>
      <c r="E192" s="30"/>
      <c r="F192" s="65"/>
      <c r="G192" s="65"/>
      <c r="H192" s="65"/>
      <c r="I192" s="30"/>
      <c r="J192" s="65"/>
      <c r="K192" s="65"/>
      <c r="L192" s="65"/>
      <c r="M192" s="30"/>
      <c r="N192" s="65"/>
      <c r="O192" s="65"/>
      <c r="P192" s="65"/>
      <c r="Q192" s="30"/>
      <c r="R192" s="65"/>
      <c r="S192" s="65"/>
      <c r="T192" s="65"/>
      <c r="U192" s="30"/>
      <c r="V192" s="65"/>
      <c r="W192" s="65"/>
      <c r="X192" s="65"/>
      <c r="Y192" s="30"/>
      <c r="Z192" s="65"/>
      <c r="AA192" s="65"/>
      <c r="AB192" s="65"/>
      <c r="AC192" s="30"/>
      <c r="AD192" s="65"/>
      <c r="AE192" s="65"/>
      <c r="AF192" s="65"/>
      <c r="AG192" s="65"/>
      <c r="AH192" s="30"/>
      <c r="AI192" s="65"/>
      <c r="AJ192" s="65"/>
      <c r="AK192" s="65"/>
      <c r="AL192" s="65"/>
      <c r="AM192" s="65"/>
      <c r="AN192" s="65"/>
      <c r="AO192" s="65"/>
    </row>
    <row r="193">
      <c r="A193" s="30"/>
      <c r="B193" s="65"/>
      <c r="C193" s="65"/>
      <c r="D193" s="65"/>
      <c r="E193" s="30"/>
      <c r="F193" s="65"/>
      <c r="G193" s="65"/>
      <c r="H193" s="65"/>
      <c r="I193" s="30"/>
      <c r="J193" s="65"/>
      <c r="K193" s="65"/>
      <c r="L193" s="65"/>
      <c r="M193" s="30"/>
      <c r="N193" s="65"/>
      <c r="O193" s="65"/>
      <c r="P193" s="65"/>
      <c r="Q193" s="30"/>
      <c r="R193" s="65"/>
      <c r="S193" s="65"/>
      <c r="T193" s="65"/>
      <c r="U193" s="30"/>
      <c r="V193" s="65"/>
      <c r="W193" s="65"/>
      <c r="X193" s="65"/>
      <c r="Y193" s="30"/>
      <c r="Z193" s="65"/>
      <c r="AA193" s="65"/>
      <c r="AB193" s="65"/>
      <c r="AC193" s="30"/>
      <c r="AD193" s="65"/>
      <c r="AE193" s="65"/>
      <c r="AF193" s="65"/>
      <c r="AG193" s="65"/>
      <c r="AH193" s="30"/>
      <c r="AI193" s="65"/>
      <c r="AJ193" s="65"/>
      <c r="AK193" s="65"/>
      <c r="AL193" s="65"/>
      <c r="AM193" s="65"/>
      <c r="AN193" s="65"/>
      <c r="AO193" s="65"/>
    </row>
    <row r="194">
      <c r="A194" s="30"/>
      <c r="B194" s="65"/>
      <c r="C194" s="65"/>
      <c r="D194" s="65"/>
      <c r="E194" s="30"/>
      <c r="F194" s="65"/>
      <c r="G194" s="65"/>
      <c r="H194" s="65"/>
      <c r="I194" s="30"/>
      <c r="J194" s="65"/>
      <c r="K194" s="65"/>
      <c r="L194" s="65"/>
      <c r="M194" s="30"/>
      <c r="N194" s="65"/>
      <c r="O194" s="65"/>
      <c r="P194" s="65"/>
      <c r="Q194" s="30"/>
      <c r="R194" s="65"/>
      <c r="S194" s="65"/>
      <c r="T194" s="65"/>
      <c r="U194" s="30"/>
      <c r="V194" s="65"/>
      <c r="W194" s="65"/>
      <c r="X194" s="65"/>
      <c r="Y194" s="30"/>
      <c r="Z194" s="65"/>
      <c r="AA194" s="65"/>
      <c r="AB194" s="65"/>
      <c r="AC194" s="30"/>
      <c r="AD194" s="65"/>
      <c r="AE194" s="65"/>
      <c r="AF194" s="65"/>
      <c r="AG194" s="65"/>
      <c r="AH194" s="30"/>
      <c r="AI194" s="65"/>
      <c r="AJ194" s="65"/>
      <c r="AK194" s="65"/>
      <c r="AL194" s="65"/>
      <c r="AM194" s="65"/>
      <c r="AN194" s="65"/>
      <c r="AO194" s="65"/>
    </row>
    <row r="195">
      <c r="A195" s="30"/>
      <c r="B195" s="65"/>
      <c r="C195" s="65"/>
      <c r="D195" s="65"/>
      <c r="E195" s="30"/>
      <c r="F195" s="65"/>
      <c r="G195" s="65"/>
      <c r="H195" s="65"/>
      <c r="I195" s="30"/>
      <c r="J195" s="65"/>
      <c r="K195" s="65"/>
      <c r="L195" s="65"/>
      <c r="M195" s="30"/>
      <c r="N195" s="65"/>
      <c r="O195" s="65"/>
      <c r="P195" s="65"/>
      <c r="Q195" s="30"/>
      <c r="R195" s="65"/>
      <c r="S195" s="65"/>
      <c r="T195" s="65"/>
      <c r="U195" s="30"/>
      <c r="V195" s="65"/>
      <c r="W195" s="65"/>
      <c r="X195" s="65"/>
      <c r="Y195" s="30"/>
      <c r="Z195" s="65"/>
      <c r="AA195" s="65"/>
      <c r="AB195" s="65"/>
      <c r="AC195" s="30"/>
      <c r="AD195" s="65"/>
      <c r="AE195" s="65"/>
      <c r="AF195" s="65"/>
      <c r="AG195" s="65"/>
      <c r="AH195" s="30"/>
      <c r="AI195" s="65"/>
      <c r="AJ195" s="65"/>
      <c r="AK195" s="65"/>
      <c r="AL195" s="65"/>
      <c r="AM195" s="65"/>
      <c r="AN195" s="65"/>
      <c r="AO195" s="65"/>
    </row>
    <row r="196">
      <c r="A196" s="30"/>
      <c r="B196" s="65"/>
      <c r="C196" s="65"/>
      <c r="D196" s="65"/>
      <c r="E196" s="30"/>
      <c r="F196" s="65"/>
      <c r="G196" s="65"/>
      <c r="H196" s="65"/>
      <c r="I196" s="30"/>
      <c r="J196" s="65"/>
      <c r="K196" s="65"/>
      <c r="L196" s="65"/>
      <c r="M196" s="30"/>
      <c r="N196" s="65"/>
      <c r="O196" s="65"/>
      <c r="P196" s="65"/>
      <c r="Q196" s="30"/>
      <c r="R196" s="65"/>
      <c r="S196" s="65"/>
      <c r="T196" s="65"/>
      <c r="U196" s="30"/>
      <c r="V196" s="65"/>
      <c r="W196" s="65"/>
      <c r="X196" s="65"/>
      <c r="Y196" s="30"/>
      <c r="Z196" s="65"/>
      <c r="AA196" s="65"/>
      <c r="AB196" s="65"/>
      <c r="AC196" s="30"/>
      <c r="AD196" s="65"/>
      <c r="AE196" s="65"/>
      <c r="AF196" s="65"/>
      <c r="AG196" s="65"/>
      <c r="AH196" s="30"/>
      <c r="AI196" s="65"/>
      <c r="AJ196" s="65"/>
      <c r="AK196" s="65"/>
      <c r="AL196" s="65"/>
      <c r="AM196" s="65"/>
      <c r="AN196" s="65"/>
      <c r="AO196" s="65"/>
    </row>
    <row r="197">
      <c r="A197" s="30"/>
      <c r="B197" s="65"/>
      <c r="C197" s="65"/>
      <c r="D197" s="65"/>
      <c r="E197" s="30"/>
      <c r="F197" s="65"/>
      <c r="G197" s="65"/>
      <c r="H197" s="65"/>
      <c r="I197" s="30"/>
      <c r="J197" s="65"/>
      <c r="K197" s="65"/>
      <c r="L197" s="65"/>
      <c r="M197" s="30"/>
      <c r="N197" s="65"/>
      <c r="O197" s="65"/>
      <c r="P197" s="65"/>
      <c r="Q197" s="30"/>
      <c r="R197" s="65"/>
      <c r="S197" s="65"/>
      <c r="T197" s="65"/>
      <c r="U197" s="30"/>
      <c r="V197" s="65"/>
      <c r="W197" s="65"/>
      <c r="X197" s="65"/>
      <c r="Y197" s="30"/>
      <c r="Z197" s="65"/>
      <c r="AA197" s="65"/>
      <c r="AB197" s="65"/>
      <c r="AC197" s="30"/>
      <c r="AD197" s="65"/>
      <c r="AE197" s="65"/>
      <c r="AF197" s="65"/>
      <c r="AG197" s="65"/>
      <c r="AH197" s="30"/>
      <c r="AI197" s="65"/>
      <c r="AJ197" s="65"/>
      <c r="AK197" s="65"/>
      <c r="AL197" s="65"/>
      <c r="AM197" s="65"/>
      <c r="AN197" s="65"/>
      <c r="AO197" s="65"/>
    </row>
    <row r="198">
      <c r="A198" s="30"/>
      <c r="B198" s="65"/>
      <c r="C198" s="65"/>
      <c r="D198" s="65"/>
      <c r="E198" s="30"/>
      <c r="F198" s="65"/>
      <c r="G198" s="65"/>
      <c r="H198" s="65"/>
      <c r="I198" s="30"/>
      <c r="J198" s="65"/>
      <c r="K198" s="65"/>
      <c r="L198" s="65"/>
      <c r="M198" s="30"/>
      <c r="N198" s="65"/>
      <c r="O198" s="65"/>
      <c r="P198" s="65"/>
      <c r="Q198" s="30"/>
      <c r="R198" s="65"/>
      <c r="S198" s="65"/>
      <c r="T198" s="65"/>
      <c r="U198" s="30"/>
      <c r="V198" s="65"/>
      <c r="W198" s="65"/>
      <c r="X198" s="65"/>
      <c r="Y198" s="30"/>
      <c r="Z198" s="65"/>
      <c r="AA198" s="65"/>
      <c r="AB198" s="65"/>
      <c r="AC198" s="30"/>
      <c r="AD198" s="65"/>
      <c r="AE198" s="65"/>
      <c r="AF198" s="65"/>
      <c r="AG198" s="65"/>
      <c r="AH198" s="30"/>
      <c r="AI198" s="65"/>
      <c r="AJ198" s="65"/>
      <c r="AK198" s="65"/>
      <c r="AL198" s="65"/>
      <c r="AM198" s="65"/>
      <c r="AN198" s="65"/>
      <c r="AO198" s="65"/>
    </row>
    <row r="199">
      <c r="A199" s="30"/>
      <c r="B199" s="65"/>
      <c r="C199" s="65"/>
      <c r="D199" s="65"/>
      <c r="E199" s="30"/>
      <c r="F199" s="65"/>
      <c r="G199" s="65"/>
      <c r="H199" s="65"/>
      <c r="I199" s="30"/>
      <c r="J199" s="65"/>
      <c r="K199" s="65"/>
      <c r="L199" s="65"/>
      <c r="M199" s="30"/>
      <c r="N199" s="65"/>
      <c r="O199" s="65"/>
      <c r="P199" s="65"/>
      <c r="Q199" s="30"/>
      <c r="R199" s="65"/>
      <c r="S199" s="65"/>
      <c r="T199" s="65"/>
      <c r="U199" s="30"/>
      <c r="V199" s="65"/>
      <c r="W199" s="65"/>
      <c r="X199" s="65"/>
      <c r="Y199" s="30"/>
      <c r="Z199" s="65"/>
      <c r="AA199" s="65"/>
      <c r="AB199" s="65"/>
      <c r="AC199" s="30"/>
      <c r="AD199" s="65"/>
      <c r="AE199" s="65"/>
      <c r="AF199" s="65"/>
      <c r="AG199" s="65"/>
      <c r="AH199" s="30"/>
      <c r="AI199" s="65"/>
      <c r="AJ199" s="65"/>
      <c r="AK199" s="65"/>
      <c r="AL199" s="65"/>
      <c r="AM199" s="65"/>
      <c r="AN199" s="65"/>
      <c r="AO199" s="65"/>
    </row>
    <row r="200">
      <c r="A200" s="30"/>
      <c r="B200" s="65"/>
      <c r="C200" s="65"/>
      <c r="D200" s="65"/>
      <c r="E200" s="30"/>
      <c r="F200" s="65"/>
      <c r="G200" s="65"/>
      <c r="H200" s="65"/>
      <c r="I200" s="30"/>
      <c r="J200" s="65"/>
      <c r="K200" s="65"/>
      <c r="L200" s="65"/>
      <c r="M200" s="30"/>
      <c r="N200" s="65"/>
      <c r="O200" s="65"/>
      <c r="P200" s="65"/>
      <c r="Q200" s="30"/>
      <c r="R200" s="65"/>
      <c r="S200" s="65"/>
      <c r="T200" s="65"/>
      <c r="U200" s="30"/>
      <c r="V200" s="65"/>
      <c r="W200" s="65"/>
      <c r="X200" s="65"/>
      <c r="Y200" s="30"/>
      <c r="Z200" s="65"/>
      <c r="AA200" s="65"/>
      <c r="AB200" s="65"/>
      <c r="AC200" s="30"/>
      <c r="AD200" s="65"/>
      <c r="AE200" s="65"/>
      <c r="AF200" s="65"/>
      <c r="AG200" s="65"/>
      <c r="AH200" s="30"/>
      <c r="AI200" s="65"/>
      <c r="AJ200" s="65"/>
      <c r="AK200" s="65"/>
      <c r="AL200" s="65"/>
      <c r="AM200" s="65"/>
      <c r="AN200" s="65"/>
      <c r="AO200" s="65"/>
    </row>
    <row r="201">
      <c r="A201" s="30"/>
      <c r="B201" s="65"/>
      <c r="C201" s="65"/>
      <c r="D201" s="65"/>
      <c r="E201" s="30"/>
      <c r="F201" s="65"/>
      <c r="G201" s="65"/>
      <c r="H201" s="65"/>
      <c r="I201" s="30"/>
      <c r="J201" s="65"/>
      <c r="K201" s="65"/>
      <c r="L201" s="65"/>
      <c r="M201" s="30"/>
      <c r="N201" s="65"/>
      <c r="O201" s="65"/>
      <c r="P201" s="65"/>
      <c r="Q201" s="30"/>
      <c r="R201" s="65"/>
      <c r="S201" s="65"/>
      <c r="T201" s="65"/>
      <c r="U201" s="30"/>
      <c r="V201" s="65"/>
      <c r="W201" s="65"/>
      <c r="X201" s="65"/>
      <c r="Y201" s="30"/>
      <c r="Z201" s="65"/>
      <c r="AA201" s="65"/>
      <c r="AB201" s="65"/>
      <c r="AC201" s="30"/>
      <c r="AD201" s="65"/>
      <c r="AE201" s="65"/>
      <c r="AF201" s="65"/>
      <c r="AG201" s="65"/>
      <c r="AH201" s="30"/>
      <c r="AI201" s="65"/>
      <c r="AJ201" s="65"/>
      <c r="AK201" s="65"/>
      <c r="AL201" s="65"/>
      <c r="AM201" s="65"/>
      <c r="AN201" s="65"/>
      <c r="AO201" s="65"/>
    </row>
    <row r="202">
      <c r="A202" s="30"/>
      <c r="B202" s="65"/>
      <c r="C202" s="65"/>
      <c r="D202" s="65"/>
      <c r="E202" s="30"/>
      <c r="F202" s="65"/>
      <c r="G202" s="65"/>
      <c r="H202" s="65"/>
      <c r="I202" s="30"/>
      <c r="J202" s="65"/>
      <c r="K202" s="65"/>
      <c r="L202" s="65"/>
      <c r="M202" s="30"/>
      <c r="N202" s="65"/>
      <c r="O202" s="65"/>
      <c r="P202" s="65"/>
      <c r="Q202" s="30"/>
      <c r="R202" s="65"/>
      <c r="S202" s="65"/>
      <c r="T202" s="65"/>
      <c r="U202" s="30"/>
      <c r="V202" s="65"/>
      <c r="W202" s="65"/>
      <c r="X202" s="65"/>
      <c r="Y202" s="30"/>
      <c r="Z202" s="65"/>
      <c r="AA202" s="65"/>
      <c r="AB202" s="65"/>
      <c r="AC202" s="30"/>
      <c r="AD202" s="65"/>
      <c r="AE202" s="65"/>
      <c r="AF202" s="65"/>
      <c r="AG202" s="65"/>
      <c r="AH202" s="30"/>
      <c r="AI202" s="65"/>
      <c r="AJ202" s="65"/>
      <c r="AK202" s="65"/>
      <c r="AL202" s="65"/>
      <c r="AM202" s="65"/>
      <c r="AN202" s="65"/>
      <c r="AO202" s="65"/>
    </row>
    <row r="203">
      <c r="A203" s="30"/>
      <c r="B203" s="65"/>
      <c r="C203" s="65"/>
      <c r="D203" s="65"/>
      <c r="E203" s="30"/>
      <c r="F203" s="65"/>
      <c r="G203" s="65"/>
      <c r="H203" s="65"/>
      <c r="I203" s="30"/>
      <c r="J203" s="65"/>
      <c r="K203" s="65"/>
      <c r="L203" s="65"/>
      <c r="M203" s="30"/>
      <c r="N203" s="65"/>
      <c r="O203" s="65"/>
      <c r="P203" s="65"/>
      <c r="Q203" s="30"/>
      <c r="R203" s="65"/>
      <c r="S203" s="65"/>
      <c r="T203" s="65"/>
      <c r="U203" s="30"/>
      <c r="V203" s="65"/>
      <c r="W203" s="65"/>
      <c r="X203" s="65"/>
      <c r="Y203" s="30"/>
      <c r="Z203" s="65"/>
      <c r="AA203" s="65"/>
      <c r="AB203" s="65"/>
      <c r="AC203" s="30"/>
      <c r="AD203" s="65"/>
      <c r="AE203" s="65"/>
      <c r="AF203" s="65"/>
      <c r="AG203" s="65"/>
      <c r="AH203" s="30"/>
      <c r="AI203" s="65"/>
      <c r="AJ203" s="65"/>
      <c r="AK203" s="65"/>
      <c r="AL203" s="65"/>
      <c r="AM203" s="65"/>
      <c r="AN203" s="65"/>
      <c r="AO203" s="65"/>
    </row>
    <row r="204">
      <c r="A204" s="30"/>
      <c r="B204" s="65"/>
      <c r="C204" s="65"/>
      <c r="D204" s="65"/>
      <c r="E204" s="30"/>
      <c r="F204" s="65"/>
      <c r="G204" s="65"/>
      <c r="H204" s="65"/>
      <c r="I204" s="30"/>
      <c r="J204" s="65"/>
      <c r="K204" s="65"/>
      <c r="L204" s="65"/>
      <c r="M204" s="30"/>
      <c r="N204" s="65"/>
      <c r="O204" s="65"/>
      <c r="P204" s="65"/>
      <c r="Q204" s="30"/>
      <c r="R204" s="65"/>
      <c r="S204" s="65"/>
      <c r="T204" s="65"/>
      <c r="U204" s="30"/>
      <c r="V204" s="65"/>
      <c r="W204" s="65"/>
      <c r="X204" s="65"/>
      <c r="Y204" s="30"/>
      <c r="Z204" s="65"/>
      <c r="AA204" s="65"/>
      <c r="AB204" s="65"/>
      <c r="AC204" s="30"/>
      <c r="AD204" s="65"/>
      <c r="AE204" s="65"/>
      <c r="AF204" s="65"/>
      <c r="AG204" s="65"/>
      <c r="AH204" s="30"/>
      <c r="AI204" s="65"/>
      <c r="AJ204" s="65"/>
      <c r="AK204" s="65"/>
      <c r="AL204" s="65"/>
      <c r="AM204" s="65"/>
      <c r="AN204" s="65"/>
      <c r="AO204" s="65"/>
    </row>
    <row r="205">
      <c r="A205" s="30"/>
      <c r="B205" s="65"/>
      <c r="C205" s="65"/>
      <c r="D205" s="65"/>
      <c r="E205" s="30"/>
      <c r="F205" s="65"/>
      <c r="G205" s="65"/>
      <c r="H205" s="65"/>
      <c r="I205" s="30"/>
      <c r="J205" s="65"/>
      <c r="K205" s="65"/>
      <c r="L205" s="65"/>
      <c r="M205" s="30"/>
      <c r="N205" s="65"/>
      <c r="O205" s="65"/>
      <c r="P205" s="65"/>
      <c r="Q205" s="30"/>
      <c r="R205" s="65"/>
      <c r="S205" s="65"/>
      <c r="T205" s="65"/>
      <c r="U205" s="30"/>
      <c r="V205" s="65"/>
      <c r="W205" s="65"/>
      <c r="X205" s="65"/>
      <c r="Y205" s="30"/>
      <c r="Z205" s="65"/>
      <c r="AA205" s="65"/>
      <c r="AB205" s="65"/>
      <c r="AC205" s="30"/>
      <c r="AD205" s="65"/>
      <c r="AE205" s="65"/>
      <c r="AF205" s="65"/>
      <c r="AG205" s="65"/>
      <c r="AH205" s="30"/>
      <c r="AI205" s="65"/>
      <c r="AJ205" s="65"/>
      <c r="AK205" s="65"/>
      <c r="AL205" s="65"/>
      <c r="AM205" s="65"/>
      <c r="AN205" s="65"/>
      <c r="AO205" s="65"/>
    </row>
    <row r="206">
      <c r="A206" s="30"/>
      <c r="B206" s="65"/>
      <c r="C206" s="65"/>
      <c r="D206" s="65"/>
      <c r="E206" s="30"/>
      <c r="F206" s="65"/>
      <c r="G206" s="65"/>
      <c r="H206" s="65"/>
      <c r="I206" s="30"/>
      <c r="J206" s="65"/>
      <c r="K206" s="65"/>
      <c r="L206" s="65"/>
      <c r="M206" s="30"/>
      <c r="N206" s="65"/>
      <c r="O206" s="65"/>
      <c r="P206" s="65"/>
      <c r="Q206" s="30"/>
      <c r="R206" s="65"/>
      <c r="S206" s="65"/>
      <c r="T206" s="65"/>
      <c r="U206" s="30"/>
      <c r="V206" s="65"/>
      <c r="W206" s="65"/>
      <c r="X206" s="65"/>
      <c r="Y206" s="30"/>
      <c r="Z206" s="65"/>
      <c r="AA206" s="65"/>
      <c r="AB206" s="65"/>
      <c r="AC206" s="30"/>
      <c r="AD206" s="65"/>
      <c r="AE206" s="65"/>
      <c r="AF206" s="65"/>
      <c r="AG206" s="65"/>
      <c r="AH206" s="30"/>
      <c r="AI206" s="65"/>
      <c r="AJ206" s="65"/>
      <c r="AK206" s="65"/>
      <c r="AL206" s="65"/>
      <c r="AM206" s="65"/>
      <c r="AN206" s="65"/>
      <c r="AO206" s="65"/>
    </row>
    <row r="207">
      <c r="A207" s="30"/>
      <c r="B207" s="65"/>
      <c r="C207" s="65"/>
      <c r="D207" s="65"/>
      <c r="E207" s="30"/>
      <c r="F207" s="65"/>
      <c r="G207" s="65"/>
      <c r="H207" s="65"/>
      <c r="I207" s="30"/>
      <c r="J207" s="65"/>
      <c r="K207" s="65"/>
      <c r="L207" s="65"/>
      <c r="M207" s="30"/>
      <c r="N207" s="65"/>
      <c r="O207" s="65"/>
      <c r="P207" s="65"/>
      <c r="Q207" s="30"/>
      <c r="R207" s="65"/>
      <c r="S207" s="65"/>
      <c r="T207" s="65"/>
      <c r="U207" s="30"/>
      <c r="V207" s="65"/>
      <c r="W207" s="65"/>
      <c r="X207" s="65"/>
      <c r="Y207" s="30"/>
      <c r="Z207" s="65"/>
      <c r="AA207" s="65"/>
      <c r="AB207" s="65"/>
      <c r="AC207" s="30"/>
      <c r="AD207" s="65"/>
      <c r="AE207" s="65"/>
      <c r="AF207" s="65"/>
      <c r="AG207" s="65"/>
      <c r="AH207" s="30"/>
      <c r="AI207" s="65"/>
      <c r="AJ207" s="65"/>
      <c r="AK207" s="65"/>
      <c r="AL207" s="65"/>
      <c r="AM207" s="65"/>
      <c r="AN207" s="65"/>
      <c r="AO207" s="65"/>
    </row>
    <row r="208">
      <c r="A208" s="30"/>
      <c r="B208" s="65"/>
      <c r="C208" s="65"/>
      <c r="D208" s="65"/>
      <c r="E208" s="30"/>
      <c r="F208" s="65"/>
      <c r="G208" s="65"/>
      <c r="H208" s="65"/>
      <c r="I208" s="30"/>
      <c r="J208" s="65"/>
      <c r="K208" s="65"/>
      <c r="L208" s="65"/>
      <c r="M208" s="30"/>
      <c r="N208" s="65"/>
      <c r="O208" s="65"/>
      <c r="P208" s="65"/>
      <c r="Q208" s="30"/>
      <c r="R208" s="65"/>
      <c r="S208" s="65"/>
      <c r="T208" s="65"/>
      <c r="U208" s="30"/>
      <c r="V208" s="65"/>
      <c r="W208" s="65"/>
      <c r="X208" s="65"/>
      <c r="Y208" s="30"/>
      <c r="Z208" s="65"/>
      <c r="AA208" s="65"/>
      <c r="AB208" s="65"/>
      <c r="AC208" s="30"/>
      <c r="AD208" s="65"/>
      <c r="AE208" s="65"/>
      <c r="AF208" s="65"/>
      <c r="AG208" s="65"/>
      <c r="AH208" s="30"/>
      <c r="AI208" s="65"/>
      <c r="AJ208" s="65"/>
      <c r="AK208" s="65"/>
      <c r="AL208" s="65"/>
      <c r="AM208" s="65"/>
      <c r="AN208" s="65"/>
      <c r="AO208" s="65"/>
    </row>
    <row r="209">
      <c r="A209" s="30"/>
      <c r="B209" s="65"/>
      <c r="C209" s="65"/>
      <c r="D209" s="65"/>
      <c r="E209" s="30"/>
      <c r="F209" s="65"/>
      <c r="G209" s="65"/>
      <c r="H209" s="65"/>
      <c r="I209" s="30"/>
      <c r="J209" s="65"/>
      <c r="K209" s="65"/>
      <c r="L209" s="65"/>
      <c r="M209" s="30"/>
      <c r="N209" s="65"/>
      <c r="O209" s="65"/>
      <c r="P209" s="65"/>
      <c r="Q209" s="30"/>
      <c r="R209" s="65"/>
      <c r="S209" s="65"/>
      <c r="T209" s="65"/>
      <c r="U209" s="30"/>
      <c r="V209" s="65"/>
      <c r="W209" s="65"/>
      <c r="X209" s="65"/>
      <c r="Y209" s="30"/>
      <c r="Z209" s="65"/>
      <c r="AA209" s="65"/>
      <c r="AB209" s="65"/>
      <c r="AC209" s="30"/>
      <c r="AD209" s="65"/>
      <c r="AE209" s="65"/>
      <c r="AF209" s="65"/>
      <c r="AG209" s="65"/>
      <c r="AH209" s="30"/>
      <c r="AI209" s="65"/>
      <c r="AJ209" s="65"/>
      <c r="AK209" s="65"/>
      <c r="AL209" s="65"/>
      <c r="AM209" s="65"/>
      <c r="AN209" s="65"/>
      <c r="AO209" s="65"/>
    </row>
    <row r="210">
      <c r="A210" s="30"/>
      <c r="B210" s="65"/>
      <c r="C210" s="65"/>
      <c r="D210" s="65"/>
      <c r="E210" s="30"/>
      <c r="F210" s="65"/>
      <c r="G210" s="65"/>
      <c r="H210" s="65"/>
      <c r="I210" s="30"/>
      <c r="J210" s="65"/>
      <c r="K210" s="65"/>
      <c r="L210" s="65"/>
      <c r="M210" s="30"/>
      <c r="N210" s="65"/>
      <c r="O210" s="65"/>
      <c r="P210" s="65"/>
      <c r="Q210" s="30"/>
      <c r="R210" s="65"/>
      <c r="S210" s="65"/>
      <c r="T210" s="65"/>
      <c r="U210" s="30"/>
      <c r="V210" s="65"/>
      <c r="W210" s="65"/>
      <c r="X210" s="65"/>
      <c r="Y210" s="30"/>
      <c r="Z210" s="65"/>
      <c r="AA210" s="65"/>
      <c r="AB210" s="65"/>
      <c r="AC210" s="30"/>
      <c r="AD210" s="65"/>
      <c r="AE210" s="65"/>
      <c r="AF210" s="65"/>
      <c r="AG210" s="65"/>
      <c r="AH210" s="30"/>
      <c r="AI210" s="65"/>
      <c r="AJ210" s="65"/>
      <c r="AK210" s="65"/>
      <c r="AL210" s="65"/>
      <c r="AM210" s="65"/>
      <c r="AN210" s="65"/>
      <c r="AO210" s="65"/>
    </row>
    <row r="211">
      <c r="A211" s="30"/>
      <c r="B211" s="65"/>
      <c r="C211" s="65"/>
      <c r="D211" s="65"/>
      <c r="E211" s="30"/>
      <c r="F211" s="65"/>
      <c r="G211" s="65"/>
      <c r="H211" s="65"/>
      <c r="I211" s="30"/>
      <c r="J211" s="65"/>
      <c r="K211" s="65"/>
      <c r="L211" s="65"/>
      <c r="M211" s="30"/>
      <c r="N211" s="65"/>
      <c r="O211" s="65"/>
      <c r="P211" s="65"/>
      <c r="Q211" s="30"/>
      <c r="R211" s="65"/>
      <c r="S211" s="65"/>
      <c r="T211" s="65"/>
      <c r="U211" s="30"/>
      <c r="V211" s="65"/>
      <c r="W211" s="65"/>
      <c r="X211" s="65"/>
      <c r="Y211" s="30"/>
      <c r="Z211" s="65"/>
      <c r="AA211" s="65"/>
      <c r="AB211" s="65"/>
      <c r="AC211" s="30"/>
      <c r="AD211" s="65"/>
      <c r="AE211" s="65"/>
      <c r="AF211" s="65"/>
      <c r="AG211" s="65"/>
      <c r="AH211" s="30"/>
      <c r="AI211" s="65"/>
      <c r="AJ211" s="65"/>
      <c r="AK211" s="65"/>
      <c r="AL211" s="65"/>
      <c r="AM211" s="65"/>
      <c r="AN211" s="65"/>
      <c r="AO211" s="65"/>
    </row>
    <row r="212">
      <c r="A212" s="30"/>
      <c r="B212" s="65"/>
      <c r="C212" s="65"/>
      <c r="D212" s="65"/>
      <c r="E212" s="30"/>
      <c r="F212" s="65"/>
      <c r="G212" s="65"/>
      <c r="H212" s="65"/>
      <c r="I212" s="30"/>
      <c r="J212" s="65"/>
      <c r="K212" s="65"/>
      <c r="L212" s="65"/>
      <c r="M212" s="30"/>
      <c r="N212" s="65"/>
      <c r="O212" s="65"/>
      <c r="P212" s="65"/>
      <c r="Q212" s="30"/>
      <c r="R212" s="65"/>
      <c r="S212" s="65"/>
      <c r="T212" s="65"/>
      <c r="U212" s="30"/>
      <c r="V212" s="65"/>
      <c r="W212" s="65"/>
      <c r="X212" s="65"/>
      <c r="Y212" s="30"/>
      <c r="Z212" s="65"/>
      <c r="AA212" s="65"/>
      <c r="AB212" s="65"/>
      <c r="AC212" s="30"/>
      <c r="AD212" s="65"/>
      <c r="AE212" s="65"/>
      <c r="AF212" s="65"/>
      <c r="AG212" s="65"/>
      <c r="AH212" s="30"/>
      <c r="AI212" s="65"/>
      <c r="AJ212" s="65"/>
      <c r="AK212" s="65"/>
      <c r="AL212" s="65"/>
      <c r="AM212" s="65"/>
      <c r="AN212" s="65"/>
      <c r="AO212" s="65"/>
    </row>
    <row r="213">
      <c r="A213" s="30"/>
      <c r="B213" s="65"/>
      <c r="C213" s="65"/>
      <c r="D213" s="65"/>
      <c r="E213" s="30"/>
      <c r="F213" s="65"/>
      <c r="G213" s="65"/>
      <c r="H213" s="65"/>
      <c r="I213" s="30"/>
      <c r="J213" s="65"/>
      <c r="K213" s="65"/>
      <c r="L213" s="65"/>
      <c r="M213" s="30"/>
      <c r="N213" s="65"/>
      <c r="O213" s="65"/>
      <c r="P213" s="65"/>
      <c r="Q213" s="30"/>
      <c r="R213" s="65"/>
      <c r="S213" s="65"/>
      <c r="T213" s="65"/>
      <c r="U213" s="30"/>
      <c r="V213" s="65"/>
      <c r="W213" s="65"/>
      <c r="X213" s="65"/>
      <c r="Y213" s="30"/>
      <c r="Z213" s="65"/>
      <c r="AA213" s="65"/>
      <c r="AB213" s="65"/>
      <c r="AC213" s="30"/>
      <c r="AD213" s="65"/>
      <c r="AE213" s="65"/>
      <c r="AF213" s="65"/>
      <c r="AG213" s="65"/>
      <c r="AH213" s="30"/>
      <c r="AI213" s="65"/>
      <c r="AJ213" s="65"/>
      <c r="AK213" s="65"/>
      <c r="AL213" s="65"/>
      <c r="AM213" s="65"/>
      <c r="AN213" s="65"/>
      <c r="AO213" s="65"/>
    </row>
    <row r="214">
      <c r="A214" s="30"/>
      <c r="B214" s="65"/>
      <c r="C214" s="65"/>
      <c r="D214" s="65"/>
      <c r="E214" s="30"/>
      <c r="F214" s="65"/>
      <c r="G214" s="65"/>
      <c r="H214" s="65"/>
      <c r="I214" s="30"/>
      <c r="J214" s="65"/>
      <c r="K214" s="65"/>
      <c r="L214" s="65"/>
      <c r="M214" s="30"/>
      <c r="N214" s="65"/>
      <c r="O214" s="65"/>
      <c r="P214" s="65"/>
      <c r="Q214" s="30"/>
      <c r="R214" s="65"/>
      <c r="S214" s="65"/>
      <c r="T214" s="65"/>
      <c r="U214" s="30"/>
      <c r="V214" s="65"/>
      <c r="W214" s="65"/>
      <c r="X214" s="65"/>
      <c r="Y214" s="30"/>
      <c r="Z214" s="65"/>
      <c r="AA214" s="65"/>
      <c r="AB214" s="65"/>
      <c r="AC214" s="30"/>
      <c r="AD214" s="65"/>
      <c r="AE214" s="65"/>
      <c r="AF214" s="65"/>
      <c r="AG214" s="65"/>
      <c r="AH214" s="30"/>
      <c r="AI214" s="65"/>
      <c r="AJ214" s="65"/>
      <c r="AK214" s="65"/>
      <c r="AL214" s="65"/>
      <c r="AM214" s="65"/>
      <c r="AN214" s="65"/>
      <c r="AO214" s="65"/>
    </row>
    <row r="215">
      <c r="A215" s="30"/>
      <c r="B215" s="65"/>
      <c r="C215" s="65"/>
      <c r="D215" s="65"/>
      <c r="E215" s="30"/>
      <c r="F215" s="65"/>
      <c r="G215" s="65"/>
      <c r="H215" s="65"/>
      <c r="I215" s="30"/>
      <c r="J215" s="65"/>
      <c r="K215" s="65"/>
      <c r="L215" s="65"/>
      <c r="M215" s="30"/>
      <c r="N215" s="65"/>
      <c r="O215" s="65"/>
      <c r="P215" s="65"/>
      <c r="Q215" s="30"/>
      <c r="R215" s="65"/>
      <c r="S215" s="65"/>
      <c r="T215" s="65"/>
      <c r="U215" s="30"/>
      <c r="V215" s="65"/>
      <c r="W215" s="65"/>
      <c r="X215" s="65"/>
      <c r="Y215" s="30"/>
      <c r="Z215" s="65"/>
      <c r="AA215" s="65"/>
      <c r="AB215" s="65"/>
      <c r="AC215" s="30"/>
      <c r="AD215" s="65"/>
      <c r="AE215" s="65"/>
      <c r="AF215" s="65"/>
      <c r="AG215" s="65"/>
      <c r="AH215" s="30"/>
      <c r="AI215" s="65"/>
      <c r="AJ215" s="65"/>
      <c r="AK215" s="65"/>
      <c r="AL215" s="65"/>
      <c r="AM215" s="65"/>
      <c r="AN215" s="65"/>
      <c r="AO215" s="65"/>
    </row>
    <row r="216">
      <c r="A216" s="30"/>
      <c r="B216" s="65"/>
      <c r="C216" s="65"/>
      <c r="D216" s="65"/>
      <c r="E216" s="30"/>
      <c r="F216" s="65"/>
      <c r="G216" s="65"/>
      <c r="H216" s="65"/>
      <c r="I216" s="30"/>
      <c r="J216" s="65"/>
      <c r="K216" s="65"/>
      <c r="L216" s="65"/>
      <c r="M216" s="30"/>
      <c r="N216" s="65"/>
      <c r="O216" s="65"/>
      <c r="P216" s="65"/>
      <c r="Q216" s="30"/>
      <c r="R216" s="65"/>
      <c r="S216" s="65"/>
      <c r="T216" s="65"/>
      <c r="U216" s="30"/>
      <c r="V216" s="65"/>
      <c r="W216" s="65"/>
      <c r="X216" s="65"/>
      <c r="Y216" s="30"/>
      <c r="Z216" s="65"/>
      <c r="AA216" s="65"/>
      <c r="AB216" s="65"/>
      <c r="AC216" s="30"/>
      <c r="AD216" s="65"/>
      <c r="AE216" s="65"/>
      <c r="AF216" s="65"/>
      <c r="AG216" s="65"/>
      <c r="AH216" s="30"/>
      <c r="AI216" s="65"/>
      <c r="AJ216" s="65"/>
      <c r="AK216" s="65"/>
      <c r="AL216" s="65"/>
      <c r="AM216" s="65"/>
      <c r="AN216" s="65"/>
      <c r="AO216" s="65"/>
    </row>
    <row r="217">
      <c r="A217" s="30"/>
      <c r="B217" s="65"/>
      <c r="C217" s="65"/>
      <c r="D217" s="65"/>
      <c r="E217" s="30"/>
      <c r="F217" s="65"/>
      <c r="G217" s="65"/>
      <c r="H217" s="65"/>
      <c r="I217" s="30"/>
      <c r="J217" s="65"/>
      <c r="K217" s="65"/>
      <c r="L217" s="65"/>
      <c r="M217" s="30"/>
      <c r="N217" s="65"/>
      <c r="O217" s="65"/>
      <c r="P217" s="65"/>
      <c r="Q217" s="30"/>
      <c r="R217" s="65"/>
      <c r="S217" s="65"/>
      <c r="T217" s="65"/>
      <c r="U217" s="30"/>
      <c r="V217" s="65"/>
      <c r="W217" s="65"/>
      <c r="X217" s="65"/>
      <c r="Y217" s="30"/>
      <c r="Z217" s="65"/>
      <c r="AA217" s="65"/>
      <c r="AB217" s="65"/>
      <c r="AC217" s="30"/>
      <c r="AD217" s="65"/>
      <c r="AE217" s="65"/>
      <c r="AF217" s="65"/>
      <c r="AG217" s="65"/>
      <c r="AH217" s="30"/>
      <c r="AI217" s="65"/>
      <c r="AJ217" s="65"/>
      <c r="AK217" s="65"/>
      <c r="AL217" s="65"/>
      <c r="AM217" s="65"/>
      <c r="AN217" s="65"/>
      <c r="AO217" s="65"/>
    </row>
    <row r="218">
      <c r="A218" s="30"/>
      <c r="B218" s="65"/>
      <c r="C218" s="65"/>
      <c r="D218" s="65"/>
      <c r="E218" s="30"/>
      <c r="F218" s="65"/>
      <c r="G218" s="65"/>
      <c r="H218" s="65"/>
      <c r="I218" s="30"/>
      <c r="J218" s="65"/>
      <c r="K218" s="65"/>
      <c r="L218" s="65"/>
      <c r="M218" s="30"/>
      <c r="N218" s="65"/>
      <c r="O218" s="65"/>
      <c r="P218" s="65"/>
      <c r="Q218" s="30"/>
      <c r="R218" s="65"/>
      <c r="S218" s="65"/>
      <c r="T218" s="65"/>
      <c r="U218" s="30"/>
      <c r="V218" s="65"/>
      <c r="W218" s="65"/>
      <c r="X218" s="65"/>
      <c r="Y218" s="30"/>
      <c r="Z218" s="65"/>
      <c r="AA218" s="65"/>
      <c r="AB218" s="65"/>
      <c r="AC218" s="30"/>
      <c r="AD218" s="65"/>
      <c r="AE218" s="65"/>
      <c r="AF218" s="65"/>
      <c r="AG218" s="65"/>
      <c r="AH218" s="30"/>
      <c r="AI218" s="65"/>
      <c r="AJ218" s="65"/>
      <c r="AK218" s="65"/>
      <c r="AL218" s="65"/>
      <c r="AM218" s="65"/>
      <c r="AN218" s="65"/>
      <c r="AO218" s="65"/>
    </row>
    <row r="219">
      <c r="A219" s="30"/>
      <c r="B219" s="65"/>
      <c r="C219" s="65"/>
      <c r="D219" s="65"/>
      <c r="E219" s="30"/>
      <c r="F219" s="65"/>
      <c r="G219" s="65"/>
      <c r="H219" s="65"/>
      <c r="I219" s="30"/>
      <c r="J219" s="65"/>
      <c r="K219" s="65"/>
      <c r="L219" s="65"/>
      <c r="M219" s="30"/>
      <c r="N219" s="65"/>
      <c r="O219" s="65"/>
      <c r="P219" s="65"/>
      <c r="Q219" s="30"/>
      <c r="R219" s="65"/>
      <c r="S219" s="65"/>
      <c r="T219" s="65"/>
      <c r="U219" s="30"/>
      <c r="V219" s="65"/>
      <c r="W219" s="65"/>
      <c r="X219" s="65"/>
      <c r="Y219" s="30"/>
      <c r="Z219" s="65"/>
      <c r="AA219" s="65"/>
      <c r="AB219" s="65"/>
      <c r="AC219" s="30"/>
      <c r="AD219" s="65"/>
      <c r="AE219" s="65"/>
      <c r="AF219" s="65"/>
      <c r="AG219" s="65"/>
      <c r="AH219" s="30"/>
      <c r="AI219" s="65"/>
      <c r="AJ219" s="65"/>
      <c r="AK219" s="65"/>
      <c r="AL219" s="65"/>
      <c r="AM219" s="65"/>
      <c r="AN219" s="65"/>
      <c r="AO219" s="65"/>
    </row>
    <row r="220">
      <c r="A220" s="30"/>
      <c r="B220" s="65"/>
      <c r="C220" s="65"/>
      <c r="D220" s="65"/>
      <c r="E220" s="30"/>
      <c r="F220" s="65"/>
      <c r="G220" s="65"/>
      <c r="H220" s="65"/>
      <c r="I220" s="30"/>
      <c r="J220" s="65"/>
      <c r="K220" s="65"/>
      <c r="L220" s="65"/>
      <c r="M220" s="30"/>
      <c r="N220" s="65"/>
      <c r="O220" s="65"/>
      <c r="P220" s="65"/>
      <c r="Q220" s="30"/>
      <c r="R220" s="65"/>
      <c r="S220" s="65"/>
      <c r="T220" s="65"/>
      <c r="U220" s="30"/>
      <c r="V220" s="65"/>
      <c r="W220" s="65"/>
      <c r="X220" s="65"/>
      <c r="Y220" s="30"/>
      <c r="Z220" s="65"/>
      <c r="AA220" s="65"/>
      <c r="AB220" s="65"/>
      <c r="AC220" s="30"/>
      <c r="AD220" s="65"/>
      <c r="AE220" s="65"/>
      <c r="AF220" s="65"/>
      <c r="AG220" s="65"/>
      <c r="AH220" s="30"/>
      <c r="AI220" s="65"/>
      <c r="AJ220" s="65"/>
      <c r="AK220" s="65"/>
      <c r="AL220" s="65"/>
      <c r="AM220" s="65"/>
      <c r="AN220" s="65"/>
      <c r="AO220" s="65"/>
    </row>
    <row r="221">
      <c r="A221" s="30"/>
      <c r="B221" s="65"/>
      <c r="C221" s="65"/>
      <c r="D221" s="65"/>
      <c r="E221" s="30"/>
      <c r="F221" s="65"/>
      <c r="G221" s="65"/>
      <c r="H221" s="65"/>
      <c r="I221" s="30"/>
      <c r="J221" s="65"/>
      <c r="K221" s="65"/>
      <c r="L221" s="65"/>
      <c r="M221" s="30"/>
      <c r="N221" s="65"/>
      <c r="O221" s="65"/>
      <c r="P221" s="65"/>
      <c r="Q221" s="30"/>
      <c r="R221" s="65"/>
      <c r="S221" s="65"/>
      <c r="T221" s="65"/>
      <c r="U221" s="30"/>
      <c r="V221" s="65"/>
      <c r="W221" s="65"/>
      <c r="X221" s="65"/>
      <c r="Y221" s="30"/>
      <c r="Z221" s="65"/>
      <c r="AA221" s="65"/>
      <c r="AB221" s="65"/>
      <c r="AC221" s="30"/>
      <c r="AD221" s="65"/>
      <c r="AE221" s="65"/>
      <c r="AF221" s="65"/>
      <c r="AG221" s="65"/>
      <c r="AH221" s="30"/>
      <c r="AI221" s="65"/>
      <c r="AJ221" s="65"/>
      <c r="AK221" s="65"/>
      <c r="AL221" s="65"/>
      <c r="AM221" s="65"/>
      <c r="AN221" s="65"/>
      <c r="AO221" s="65"/>
    </row>
    <row r="222">
      <c r="A222" s="30"/>
      <c r="B222" s="65"/>
      <c r="C222" s="65"/>
      <c r="D222" s="65"/>
      <c r="E222" s="30"/>
      <c r="F222" s="65"/>
      <c r="G222" s="65"/>
      <c r="H222" s="65"/>
      <c r="I222" s="30"/>
      <c r="J222" s="65"/>
      <c r="K222" s="65"/>
      <c r="L222" s="65"/>
      <c r="M222" s="30"/>
      <c r="N222" s="65"/>
      <c r="O222" s="65"/>
      <c r="P222" s="65"/>
      <c r="Q222" s="30"/>
      <c r="R222" s="65"/>
      <c r="S222" s="65"/>
      <c r="T222" s="65"/>
      <c r="U222" s="30"/>
      <c r="V222" s="65"/>
      <c r="W222" s="65"/>
      <c r="X222" s="65"/>
      <c r="Y222" s="30"/>
      <c r="Z222" s="65"/>
      <c r="AA222" s="65"/>
      <c r="AB222" s="65"/>
      <c r="AC222" s="30"/>
      <c r="AD222" s="65"/>
      <c r="AE222" s="65"/>
      <c r="AF222" s="65"/>
      <c r="AG222" s="65"/>
      <c r="AH222" s="30"/>
      <c r="AI222" s="65"/>
      <c r="AJ222" s="65"/>
      <c r="AK222" s="65"/>
      <c r="AL222" s="65"/>
      <c r="AM222" s="65"/>
      <c r="AN222" s="65"/>
      <c r="AO222" s="65"/>
    </row>
    <row r="223">
      <c r="A223" s="30"/>
      <c r="B223" s="65"/>
      <c r="C223" s="65"/>
      <c r="D223" s="65"/>
      <c r="E223" s="30"/>
      <c r="F223" s="65"/>
      <c r="G223" s="65"/>
      <c r="H223" s="65"/>
      <c r="I223" s="30"/>
      <c r="J223" s="65"/>
      <c r="K223" s="65"/>
      <c r="L223" s="65"/>
      <c r="M223" s="30"/>
      <c r="N223" s="65"/>
      <c r="O223" s="65"/>
      <c r="P223" s="65"/>
      <c r="Q223" s="30"/>
      <c r="R223" s="65"/>
      <c r="S223" s="65"/>
      <c r="T223" s="65"/>
      <c r="U223" s="30"/>
      <c r="V223" s="65"/>
      <c r="W223" s="65"/>
      <c r="X223" s="65"/>
      <c r="Y223" s="30"/>
      <c r="Z223" s="65"/>
      <c r="AA223" s="65"/>
      <c r="AB223" s="65"/>
      <c r="AC223" s="30"/>
      <c r="AD223" s="65"/>
      <c r="AE223" s="65"/>
      <c r="AF223" s="65"/>
      <c r="AG223" s="65"/>
      <c r="AH223" s="30"/>
      <c r="AI223" s="65"/>
      <c r="AJ223" s="65"/>
      <c r="AK223" s="65"/>
      <c r="AL223" s="65"/>
      <c r="AM223" s="65"/>
      <c r="AN223" s="65"/>
      <c r="AO223" s="65"/>
    </row>
    <row r="224">
      <c r="A224" s="30"/>
      <c r="B224" s="65"/>
      <c r="C224" s="65"/>
      <c r="D224" s="65"/>
      <c r="E224" s="30"/>
      <c r="F224" s="65"/>
      <c r="G224" s="65"/>
      <c r="H224" s="65"/>
      <c r="I224" s="30"/>
      <c r="J224" s="65"/>
      <c r="K224" s="65"/>
      <c r="L224" s="65"/>
      <c r="M224" s="30"/>
      <c r="N224" s="65"/>
      <c r="O224" s="65"/>
      <c r="P224" s="65"/>
      <c r="Q224" s="30"/>
      <c r="R224" s="65"/>
      <c r="S224" s="65"/>
      <c r="T224" s="65"/>
      <c r="U224" s="30"/>
      <c r="V224" s="65"/>
      <c r="W224" s="65"/>
      <c r="X224" s="65"/>
      <c r="Y224" s="30"/>
      <c r="Z224" s="65"/>
      <c r="AA224" s="65"/>
      <c r="AB224" s="65"/>
      <c r="AC224" s="30"/>
      <c r="AD224" s="65"/>
      <c r="AE224" s="65"/>
      <c r="AF224" s="65"/>
      <c r="AG224" s="65"/>
      <c r="AH224" s="30"/>
      <c r="AI224" s="65"/>
      <c r="AJ224" s="65"/>
      <c r="AK224" s="65"/>
      <c r="AL224" s="65"/>
      <c r="AM224" s="65"/>
      <c r="AN224" s="65"/>
      <c r="AO224" s="65"/>
    </row>
    <row r="225">
      <c r="A225" s="30"/>
      <c r="B225" s="65"/>
      <c r="C225" s="65"/>
      <c r="D225" s="65"/>
      <c r="E225" s="30"/>
      <c r="F225" s="65"/>
      <c r="G225" s="65"/>
      <c r="H225" s="65"/>
      <c r="I225" s="30"/>
      <c r="J225" s="65"/>
      <c r="K225" s="65"/>
      <c r="L225" s="65"/>
      <c r="M225" s="30"/>
      <c r="N225" s="65"/>
      <c r="O225" s="65"/>
      <c r="P225" s="65"/>
      <c r="Q225" s="30"/>
      <c r="R225" s="65"/>
      <c r="S225" s="65"/>
      <c r="T225" s="65"/>
      <c r="U225" s="30"/>
      <c r="V225" s="65"/>
      <c r="W225" s="65"/>
      <c r="X225" s="65"/>
      <c r="Y225" s="30"/>
      <c r="Z225" s="65"/>
      <c r="AA225" s="65"/>
      <c r="AB225" s="65"/>
      <c r="AC225" s="30"/>
      <c r="AD225" s="65"/>
      <c r="AE225" s="65"/>
      <c r="AF225" s="65"/>
      <c r="AG225" s="65"/>
      <c r="AH225" s="30"/>
      <c r="AI225" s="65"/>
      <c r="AJ225" s="65"/>
      <c r="AK225" s="65"/>
      <c r="AL225" s="65"/>
      <c r="AM225" s="65"/>
      <c r="AN225" s="65"/>
      <c r="AO225" s="65"/>
    </row>
    <row r="226">
      <c r="A226" s="30"/>
      <c r="B226" s="65"/>
      <c r="C226" s="65"/>
      <c r="D226" s="65"/>
      <c r="E226" s="30"/>
      <c r="F226" s="65"/>
      <c r="G226" s="65"/>
      <c r="H226" s="65"/>
      <c r="I226" s="30"/>
      <c r="J226" s="65"/>
      <c r="K226" s="65"/>
      <c r="L226" s="65"/>
      <c r="M226" s="30"/>
      <c r="N226" s="65"/>
      <c r="O226" s="65"/>
      <c r="P226" s="65"/>
      <c r="Q226" s="30"/>
      <c r="R226" s="65"/>
      <c r="S226" s="65"/>
      <c r="T226" s="65"/>
      <c r="U226" s="30"/>
      <c r="V226" s="65"/>
      <c r="W226" s="65"/>
      <c r="X226" s="65"/>
      <c r="Y226" s="30"/>
      <c r="Z226" s="65"/>
      <c r="AA226" s="65"/>
      <c r="AB226" s="65"/>
      <c r="AC226" s="30"/>
      <c r="AD226" s="65"/>
      <c r="AE226" s="65"/>
      <c r="AF226" s="65"/>
      <c r="AG226" s="65"/>
      <c r="AH226" s="30"/>
      <c r="AI226" s="65"/>
      <c r="AJ226" s="65"/>
      <c r="AK226" s="65"/>
      <c r="AL226" s="65"/>
      <c r="AM226" s="65"/>
      <c r="AN226" s="65"/>
      <c r="AO226" s="65"/>
    </row>
    <row r="227">
      <c r="A227" s="30"/>
      <c r="B227" s="65"/>
      <c r="C227" s="65"/>
      <c r="D227" s="65"/>
      <c r="E227" s="30"/>
      <c r="F227" s="65"/>
      <c r="G227" s="65"/>
      <c r="H227" s="65"/>
      <c r="I227" s="30"/>
      <c r="J227" s="65"/>
      <c r="K227" s="65"/>
      <c r="L227" s="65"/>
      <c r="M227" s="30"/>
      <c r="N227" s="65"/>
      <c r="O227" s="65"/>
      <c r="P227" s="65"/>
      <c r="Q227" s="30"/>
      <c r="R227" s="65"/>
      <c r="S227" s="65"/>
      <c r="T227" s="65"/>
      <c r="U227" s="30"/>
      <c r="V227" s="65"/>
      <c r="W227" s="65"/>
      <c r="X227" s="65"/>
      <c r="Y227" s="30"/>
      <c r="Z227" s="65"/>
      <c r="AA227" s="65"/>
      <c r="AB227" s="65"/>
      <c r="AC227" s="30"/>
      <c r="AD227" s="65"/>
      <c r="AE227" s="65"/>
      <c r="AF227" s="65"/>
      <c r="AG227" s="65"/>
      <c r="AH227" s="30"/>
      <c r="AI227" s="65"/>
      <c r="AJ227" s="65"/>
      <c r="AK227" s="65"/>
      <c r="AL227" s="65"/>
      <c r="AM227" s="65"/>
      <c r="AN227" s="65"/>
      <c r="AO227" s="65"/>
    </row>
    <row r="228">
      <c r="A228" s="30"/>
      <c r="B228" s="65"/>
      <c r="C228" s="65"/>
      <c r="D228" s="65"/>
      <c r="E228" s="30"/>
      <c r="F228" s="65"/>
      <c r="G228" s="65"/>
      <c r="H228" s="65"/>
      <c r="I228" s="30"/>
      <c r="J228" s="65"/>
      <c r="K228" s="65"/>
      <c r="L228" s="65"/>
      <c r="M228" s="30"/>
      <c r="N228" s="65"/>
      <c r="O228" s="65"/>
      <c r="P228" s="65"/>
      <c r="Q228" s="30"/>
      <c r="R228" s="65"/>
      <c r="S228" s="65"/>
      <c r="T228" s="65"/>
      <c r="U228" s="30"/>
      <c r="V228" s="65"/>
      <c r="W228" s="65"/>
      <c r="X228" s="65"/>
      <c r="Y228" s="30"/>
      <c r="Z228" s="65"/>
      <c r="AA228" s="65"/>
      <c r="AB228" s="65"/>
      <c r="AC228" s="30"/>
      <c r="AD228" s="65"/>
      <c r="AE228" s="65"/>
      <c r="AF228" s="65"/>
      <c r="AG228" s="65"/>
      <c r="AH228" s="30"/>
      <c r="AI228" s="65"/>
      <c r="AJ228" s="65"/>
      <c r="AK228" s="65"/>
      <c r="AL228" s="65"/>
      <c r="AM228" s="65"/>
      <c r="AN228" s="65"/>
      <c r="AO228" s="65"/>
    </row>
    <row r="229">
      <c r="A229" s="30"/>
      <c r="B229" s="65"/>
      <c r="C229" s="65"/>
      <c r="D229" s="65"/>
      <c r="E229" s="30"/>
      <c r="F229" s="65"/>
      <c r="G229" s="65"/>
      <c r="H229" s="65"/>
      <c r="I229" s="30"/>
      <c r="J229" s="65"/>
      <c r="K229" s="65"/>
      <c r="L229" s="65"/>
      <c r="M229" s="30"/>
      <c r="N229" s="65"/>
      <c r="O229" s="65"/>
      <c r="P229" s="65"/>
      <c r="Q229" s="30"/>
      <c r="R229" s="65"/>
      <c r="S229" s="65"/>
      <c r="T229" s="65"/>
      <c r="U229" s="30"/>
      <c r="V229" s="65"/>
      <c r="W229" s="65"/>
      <c r="X229" s="65"/>
      <c r="Y229" s="30"/>
      <c r="Z229" s="65"/>
      <c r="AA229" s="65"/>
      <c r="AB229" s="65"/>
      <c r="AC229" s="30"/>
      <c r="AD229" s="65"/>
      <c r="AE229" s="65"/>
      <c r="AF229" s="65"/>
      <c r="AG229" s="65"/>
      <c r="AH229" s="30"/>
      <c r="AI229" s="65"/>
      <c r="AJ229" s="65"/>
      <c r="AK229" s="65"/>
      <c r="AL229" s="65"/>
      <c r="AM229" s="65"/>
      <c r="AN229" s="65"/>
      <c r="AO229" s="65"/>
    </row>
    <row r="230">
      <c r="A230" s="30"/>
      <c r="B230" s="65"/>
      <c r="C230" s="65"/>
      <c r="D230" s="65"/>
      <c r="E230" s="30"/>
      <c r="F230" s="65"/>
      <c r="G230" s="65"/>
      <c r="H230" s="65"/>
      <c r="I230" s="30"/>
      <c r="J230" s="65"/>
      <c r="K230" s="65"/>
      <c r="L230" s="65"/>
      <c r="M230" s="30"/>
      <c r="N230" s="65"/>
      <c r="O230" s="65"/>
      <c r="P230" s="65"/>
      <c r="Q230" s="30"/>
      <c r="R230" s="65"/>
      <c r="S230" s="65"/>
      <c r="T230" s="65"/>
      <c r="U230" s="30"/>
      <c r="V230" s="65"/>
      <c r="W230" s="65"/>
      <c r="X230" s="65"/>
      <c r="Y230" s="30"/>
      <c r="Z230" s="65"/>
      <c r="AA230" s="65"/>
      <c r="AB230" s="65"/>
      <c r="AC230" s="30"/>
      <c r="AD230" s="65"/>
      <c r="AE230" s="65"/>
      <c r="AF230" s="65"/>
      <c r="AG230" s="65"/>
      <c r="AH230" s="30"/>
      <c r="AI230" s="65"/>
      <c r="AJ230" s="65"/>
      <c r="AK230" s="65"/>
      <c r="AL230" s="65"/>
      <c r="AM230" s="65"/>
      <c r="AN230" s="65"/>
      <c r="AO230" s="65"/>
    </row>
    <row r="231">
      <c r="A231" s="30"/>
      <c r="B231" s="65"/>
      <c r="C231" s="65"/>
      <c r="D231" s="65"/>
      <c r="E231" s="30"/>
      <c r="F231" s="65"/>
      <c r="G231" s="65"/>
      <c r="H231" s="65"/>
      <c r="I231" s="30"/>
      <c r="J231" s="65"/>
      <c r="K231" s="65"/>
      <c r="L231" s="65"/>
      <c r="M231" s="30"/>
      <c r="N231" s="65"/>
      <c r="O231" s="65"/>
      <c r="P231" s="65"/>
      <c r="Q231" s="30"/>
      <c r="R231" s="65"/>
      <c r="S231" s="65"/>
      <c r="T231" s="65"/>
      <c r="U231" s="30"/>
      <c r="V231" s="65"/>
      <c r="W231" s="65"/>
      <c r="X231" s="65"/>
      <c r="Y231" s="30"/>
      <c r="Z231" s="65"/>
      <c r="AA231" s="65"/>
      <c r="AB231" s="65"/>
      <c r="AC231" s="30"/>
      <c r="AD231" s="65"/>
      <c r="AE231" s="65"/>
      <c r="AF231" s="65"/>
      <c r="AG231" s="65"/>
      <c r="AH231" s="30"/>
      <c r="AI231" s="65"/>
      <c r="AJ231" s="65"/>
      <c r="AK231" s="65"/>
      <c r="AL231" s="65"/>
      <c r="AM231" s="65"/>
      <c r="AN231" s="65"/>
      <c r="AO231" s="65"/>
    </row>
    <row r="232">
      <c r="A232" s="30"/>
      <c r="B232" s="65"/>
      <c r="C232" s="65"/>
      <c r="D232" s="65"/>
      <c r="E232" s="30"/>
      <c r="F232" s="65"/>
      <c r="G232" s="65"/>
      <c r="H232" s="65"/>
      <c r="I232" s="30"/>
      <c r="J232" s="65"/>
      <c r="K232" s="65"/>
      <c r="L232" s="65"/>
      <c r="M232" s="30"/>
      <c r="N232" s="65"/>
      <c r="O232" s="65"/>
      <c r="P232" s="65"/>
      <c r="Q232" s="30"/>
      <c r="R232" s="65"/>
      <c r="S232" s="65"/>
      <c r="T232" s="65"/>
      <c r="U232" s="30"/>
      <c r="V232" s="65"/>
      <c r="W232" s="65"/>
      <c r="X232" s="65"/>
      <c r="Y232" s="30"/>
      <c r="Z232" s="65"/>
      <c r="AA232" s="65"/>
      <c r="AB232" s="65"/>
      <c r="AC232" s="30"/>
      <c r="AD232" s="65"/>
      <c r="AE232" s="65"/>
      <c r="AF232" s="65"/>
      <c r="AG232" s="65"/>
      <c r="AH232" s="30"/>
      <c r="AI232" s="65"/>
      <c r="AJ232" s="65"/>
      <c r="AK232" s="65"/>
      <c r="AL232" s="65"/>
      <c r="AM232" s="65"/>
      <c r="AN232" s="65"/>
      <c r="AO232" s="65"/>
    </row>
    <row r="233">
      <c r="A233" s="30"/>
      <c r="B233" s="65"/>
      <c r="C233" s="65"/>
      <c r="D233" s="65"/>
      <c r="E233" s="30"/>
      <c r="F233" s="65"/>
      <c r="G233" s="65"/>
      <c r="H233" s="65"/>
      <c r="I233" s="30"/>
      <c r="J233" s="65"/>
      <c r="K233" s="65"/>
      <c r="L233" s="65"/>
      <c r="M233" s="30"/>
      <c r="N233" s="65"/>
      <c r="O233" s="65"/>
      <c r="P233" s="65"/>
      <c r="Q233" s="30"/>
      <c r="R233" s="65"/>
      <c r="S233" s="65"/>
      <c r="T233" s="65"/>
      <c r="U233" s="30"/>
      <c r="V233" s="65"/>
      <c r="W233" s="65"/>
      <c r="X233" s="65"/>
      <c r="Y233" s="30"/>
      <c r="Z233" s="65"/>
      <c r="AA233" s="65"/>
      <c r="AB233" s="65"/>
      <c r="AC233" s="30"/>
      <c r="AD233" s="65"/>
      <c r="AE233" s="65"/>
      <c r="AF233" s="65"/>
      <c r="AG233" s="65"/>
      <c r="AH233" s="30"/>
      <c r="AI233" s="65"/>
      <c r="AJ233" s="65"/>
      <c r="AK233" s="65"/>
      <c r="AL233" s="65"/>
      <c r="AM233" s="65"/>
      <c r="AN233" s="65"/>
      <c r="AO233" s="65"/>
    </row>
    <row r="234">
      <c r="A234" s="30"/>
      <c r="B234" s="65"/>
      <c r="C234" s="65"/>
      <c r="D234" s="65"/>
      <c r="E234" s="30"/>
      <c r="F234" s="65"/>
      <c r="G234" s="65"/>
      <c r="H234" s="65"/>
      <c r="I234" s="30"/>
      <c r="J234" s="65"/>
      <c r="K234" s="65"/>
      <c r="L234" s="65"/>
      <c r="M234" s="30"/>
      <c r="N234" s="65"/>
      <c r="O234" s="65"/>
      <c r="P234" s="65"/>
      <c r="Q234" s="30"/>
      <c r="R234" s="65"/>
      <c r="S234" s="65"/>
      <c r="T234" s="65"/>
      <c r="U234" s="30"/>
      <c r="V234" s="65"/>
      <c r="W234" s="65"/>
      <c r="X234" s="65"/>
      <c r="Y234" s="30"/>
      <c r="Z234" s="65"/>
      <c r="AA234" s="65"/>
      <c r="AB234" s="65"/>
      <c r="AC234" s="30"/>
      <c r="AD234" s="65"/>
      <c r="AE234" s="65"/>
      <c r="AF234" s="65"/>
      <c r="AG234" s="65"/>
      <c r="AH234" s="30"/>
      <c r="AI234" s="65"/>
      <c r="AJ234" s="65"/>
      <c r="AK234" s="65"/>
      <c r="AL234" s="65"/>
      <c r="AM234" s="65"/>
      <c r="AN234" s="65"/>
      <c r="AO234" s="65"/>
    </row>
    <row r="235">
      <c r="A235" s="30"/>
      <c r="B235" s="65"/>
      <c r="C235" s="65"/>
      <c r="D235" s="65"/>
      <c r="E235" s="30"/>
      <c r="F235" s="65"/>
      <c r="G235" s="65"/>
      <c r="H235" s="65"/>
      <c r="I235" s="30"/>
      <c r="J235" s="65"/>
      <c r="K235" s="65"/>
      <c r="L235" s="65"/>
      <c r="M235" s="30"/>
      <c r="N235" s="65"/>
      <c r="O235" s="65"/>
      <c r="P235" s="65"/>
      <c r="Q235" s="30"/>
      <c r="R235" s="65"/>
      <c r="S235" s="65"/>
      <c r="T235" s="65"/>
      <c r="U235" s="30"/>
      <c r="V235" s="65"/>
      <c r="W235" s="65"/>
      <c r="X235" s="65"/>
      <c r="Y235" s="30"/>
      <c r="Z235" s="65"/>
      <c r="AA235" s="65"/>
      <c r="AB235" s="65"/>
      <c r="AC235" s="30"/>
      <c r="AD235" s="65"/>
      <c r="AE235" s="65"/>
      <c r="AF235" s="65"/>
      <c r="AG235" s="65"/>
      <c r="AH235" s="30"/>
      <c r="AI235" s="65"/>
      <c r="AJ235" s="65"/>
      <c r="AK235" s="65"/>
      <c r="AL235" s="65"/>
      <c r="AM235" s="65"/>
      <c r="AN235" s="65"/>
      <c r="AO235" s="65"/>
    </row>
    <row r="236">
      <c r="A236" s="30"/>
      <c r="B236" s="65"/>
      <c r="C236" s="65"/>
      <c r="D236" s="65"/>
      <c r="E236" s="30"/>
      <c r="F236" s="65"/>
      <c r="G236" s="65"/>
      <c r="H236" s="65"/>
      <c r="I236" s="30"/>
      <c r="J236" s="65"/>
      <c r="K236" s="65"/>
      <c r="L236" s="65"/>
      <c r="M236" s="30"/>
      <c r="N236" s="65"/>
      <c r="O236" s="65"/>
      <c r="P236" s="65"/>
      <c r="Q236" s="30"/>
      <c r="R236" s="65"/>
      <c r="S236" s="65"/>
      <c r="T236" s="65"/>
      <c r="U236" s="30"/>
      <c r="V236" s="65"/>
      <c r="W236" s="65"/>
      <c r="X236" s="65"/>
      <c r="Y236" s="30"/>
      <c r="Z236" s="65"/>
      <c r="AA236" s="65"/>
      <c r="AB236" s="65"/>
      <c r="AC236" s="30"/>
      <c r="AD236" s="65"/>
      <c r="AE236" s="65"/>
      <c r="AF236" s="65"/>
      <c r="AG236" s="65"/>
      <c r="AH236" s="30"/>
      <c r="AI236" s="65"/>
      <c r="AJ236" s="65"/>
      <c r="AK236" s="65"/>
      <c r="AL236" s="65"/>
      <c r="AM236" s="65"/>
      <c r="AN236" s="65"/>
      <c r="AO236" s="65"/>
    </row>
    <row r="237">
      <c r="A237" s="30"/>
      <c r="B237" s="65"/>
      <c r="C237" s="65"/>
      <c r="D237" s="65"/>
      <c r="E237" s="30"/>
      <c r="F237" s="65"/>
      <c r="G237" s="65"/>
      <c r="H237" s="65"/>
      <c r="I237" s="30"/>
      <c r="J237" s="65"/>
      <c r="K237" s="65"/>
      <c r="L237" s="65"/>
      <c r="M237" s="30"/>
      <c r="N237" s="65"/>
      <c r="O237" s="65"/>
      <c r="P237" s="65"/>
      <c r="Q237" s="30"/>
      <c r="R237" s="65"/>
      <c r="S237" s="65"/>
      <c r="T237" s="65"/>
      <c r="U237" s="30"/>
      <c r="V237" s="65"/>
      <c r="W237" s="65"/>
      <c r="X237" s="65"/>
      <c r="Y237" s="30"/>
      <c r="Z237" s="65"/>
      <c r="AA237" s="65"/>
      <c r="AB237" s="65"/>
      <c r="AC237" s="30"/>
      <c r="AD237" s="65"/>
      <c r="AE237" s="65"/>
      <c r="AF237" s="65"/>
      <c r="AG237" s="65"/>
      <c r="AH237" s="30"/>
      <c r="AI237" s="65"/>
      <c r="AJ237" s="65"/>
      <c r="AK237" s="65"/>
      <c r="AL237" s="65"/>
      <c r="AM237" s="65"/>
      <c r="AN237" s="65"/>
      <c r="AO237" s="65"/>
    </row>
    <row r="238">
      <c r="A238" s="30"/>
      <c r="B238" s="65"/>
      <c r="C238" s="65"/>
      <c r="D238" s="65"/>
      <c r="E238" s="30"/>
      <c r="F238" s="65"/>
      <c r="G238" s="65"/>
      <c r="H238" s="65"/>
      <c r="I238" s="30"/>
      <c r="J238" s="65"/>
      <c r="K238" s="65"/>
      <c r="L238" s="65"/>
      <c r="M238" s="30"/>
      <c r="N238" s="65"/>
      <c r="O238" s="65"/>
      <c r="P238" s="65"/>
      <c r="Q238" s="30"/>
      <c r="R238" s="65"/>
      <c r="S238" s="65"/>
      <c r="T238" s="65"/>
      <c r="U238" s="30"/>
      <c r="V238" s="65"/>
      <c r="W238" s="65"/>
      <c r="X238" s="65"/>
      <c r="Y238" s="30"/>
      <c r="Z238" s="65"/>
      <c r="AA238" s="65"/>
      <c r="AB238" s="65"/>
      <c r="AC238" s="30"/>
      <c r="AD238" s="65"/>
      <c r="AE238" s="65"/>
      <c r="AF238" s="65"/>
      <c r="AG238" s="65"/>
      <c r="AH238" s="30"/>
      <c r="AI238" s="65"/>
      <c r="AJ238" s="65"/>
      <c r="AK238" s="65"/>
      <c r="AL238" s="65"/>
      <c r="AM238" s="65"/>
      <c r="AN238" s="65"/>
      <c r="AO238" s="65"/>
    </row>
    <row r="239">
      <c r="A239" s="30"/>
      <c r="B239" s="65"/>
      <c r="C239" s="65"/>
      <c r="D239" s="65"/>
      <c r="E239" s="30"/>
      <c r="F239" s="65"/>
      <c r="G239" s="65"/>
      <c r="H239" s="65"/>
      <c r="I239" s="30"/>
      <c r="J239" s="65"/>
      <c r="K239" s="65"/>
      <c r="L239" s="65"/>
      <c r="M239" s="30"/>
      <c r="N239" s="65"/>
      <c r="O239" s="65"/>
      <c r="P239" s="65"/>
      <c r="Q239" s="30"/>
      <c r="R239" s="65"/>
      <c r="S239" s="65"/>
      <c r="T239" s="65"/>
      <c r="U239" s="30"/>
      <c r="V239" s="65"/>
      <c r="W239" s="65"/>
      <c r="X239" s="65"/>
      <c r="Y239" s="30"/>
      <c r="Z239" s="65"/>
      <c r="AA239" s="65"/>
      <c r="AB239" s="65"/>
      <c r="AC239" s="30"/>
      <c r="AD239" s="65"/>
      <c r="AE239" s="65"/>
      <c r="AF239" s="65"/>
      <c r="AG239" s="65"/>
      <c r="AH239" s="30"/>
      <c r="AI239" s="65"/>
      <c r="AJ239" s="65"/>
      <c r="AK239" s="65"/>
      <c r="AL239" s="65"/>
      <c r="AM239" s="65"/>
      <c r="AN239" s="65"/>
      <c r="AO239" s="65"/>
    </row>
    <row r="240">
      <c r="A240" s="30"/>
      <c r="B240" s="65"/>
      <c r="C240" s="65"/>
      <c r="D240" s="65"/>
      <c r="E240" s="30"/>
      <c r="F240" s="65"/>
      <c r="G240" s="65"/>
      <c r="H240" s="65"/>
      <c r="I240" s="30"/>
      <c r="J240" s="65"/>
      <c r="K240" s="65"/>
      <c r="L240" s="65"/>
      <c r="M240" s="30"/>
      <c r="N240" s="65"/>
      <c r="O240" s="65"/>
      <c r="P240" s="65"/>
      <c r="Q240" s="30"/>
      <c r="R240" s="65"/>
      <c r="S240" s="65"/>
      <c r="T240" s="65"/>
      <c r="U240" s="30"/>
      <c r="V240" s="65"/>
      <c r="W240" s="65"/>
      <c r="X240" s="65"/>
      <c r="Y240" s="30"/>
      <c r="Z240" s="65"/>
      <c r="AA240" s="65"/>
      <c r="AB240" s="65"/>
      <c r="AC240" s="30"/>
      <c r="AD240" s="65"/>
      <c r="AE240" s="65"/>
      <c r="AF240" s="65"/>
      <c r="AG240" s="65"/>
      <c r="AH240" s="30"/>
      <c r="AI240" s="65"/>
      <c r="AJ240" s="65"/>
      <c r="AK240" s="65"/>
      <c r="AL240" s="65"/>
      <c r="AM240" s="65"/>
      <c r="AN240" s="65"/>
      <c r="AO240" s="65"/>
    </row>
    <row r="241">
      <c r="A241" s="30"/>
      <c r="B241" s="65"/>
      <c r="C241" s="65"/>
      <c r="D241" s="65"/>
      <c r="E241" s="30"/>
      <c r="F241" s="65"/>
      <c r="G241" s="65"/>
      <c r="H241" s="65"/>
      <c r="I241" s="30"/>
      <c r="J241" s="65"/>
      <c r="K241" s="65"/>
      <c r="L241" s="65"/>
      <c r="M241" s="30"/>
      <c r="N241" s="65"/>
      <c r="O241" s="65"/>
      <c r="P241" s="65"/>
      <c r="Q241" s="30"/>
      <c r="R241" s="65"/>
      <c r="S241" s="65"/>
      <c r="T241" s="65"/>
      <c r="U241" s="30"/>
      <c r="V241" s="65"/>
      <c r="W241" s="65"/>
      <c r="X241" s="65"/>
      <c r="Y241" s="30"/>
      <c r="Z241" s="65"/>
      <c r="AA241" s="65"/>
      <c r="AB241" s="65"/>
      <c r="AC241" s="30"/>
      <c r="AD241" s="65"/>
      <c r="AE241" s="65"/>
      <c r="AF241" s="65"/>
      <c r="AG241" s="65"/>
      <c r="AH241" s="30"/>
      <c r="AI241" s="65"/>
      <c r="AJ241" s="65"/>
      <c r="AK241" s="65"/>
      <c r="AL241" s="65"/>
      <c r="AM241" s="65"/>
      <c r="AN241" s="65"/>
      <c r="AO241" s="65"/>
    </row>
    <row r="242">
      <c r="A242" s="30"/>
      <c r="B242" s="65"/>
      <c r="C242" s="65"/>
      <c r="D242" s="65"/>
      <c r="E242" s="30"/>
      <c r="F242" s="65"/>
      <c r="G242" s="65"/>
      <c r="H242" s="65"/>
      <c r="I242" s="30"/>
      <c r="J242" s="65"/>
      <c r="K242" s="65"/>
      <c r="L242" s="65"/>
      <c r="M242" s="30"/>
      <c r="N242" s="65"/>
      <c r="O242" s="65"/>
      <c r="P242" s="65"/>
      <c r="Q242" s="30"/>
      <c r="R242" s="65"/>
      <c r="S242" s="65"/>
      <c r="T242" s="65"/>
      <c r="U242" s="30"/>
      <c r="V242" s="65"/>
      <c r="W242" s="65"/>
      <c r="X242" s="65"/>
      <c r="Y242" s="30"/>
      <c r="Z242" s="65"/>
      <c r="AA242" s="65"/>
      <c r="AB242" s="65"/>
      <c r="AC242" s="30"/>
      <c r="AD242" s="65"/>
      <c r="AE242" s="65"/>
      <c r="AF242" s="65"/>
      <c r="AG242" s="65"/>
      <c r="AH242" s="30"/>
      <c r="AI242" s="65"/>
      <c r="AJ242" s="65"/>
      <c r="AK242" s="65"/>
      <c r="AL242" s="65"/>
      <c r="AM242" s="65"/>
      <c r="AN242" s="65"/>
      <c r="AO242" s="65"/>
    </row>
    <row r="243">
      <c r="A243" s="30"/>
      <c r="B243" s="65"/>
      <c r="C243" s="65"/>
      <c r="D243" s="65"/>
      <c r="E243" s="30"/>
      <c r="F243" s="65"/>
      <c r="G243" s="65"/>
      <c r="H243" s="65"/>
      <c r="I243" s="30"/>
      <c r="J243" s="65"/>
      <c r="K243" s="65"/>
      <c r="L243" s="65"/>
      <c r="M243" s="30"/>
      <c r="N243" s="65"/>
      <c r="O243" s="65"/>
      <c r="P243" s="65"/>
      <c r="Q243" s="30"/>
      <c r="R243" s="65"/>
      <c r="S243" s="65"/>
      <c r="T243" s="65"/>
      <c r="U243" s="30"/>
      <c r="V243" s="65"/>
      <c r="W243" s="65"/>
      <c r="X243" s="65"/>
      <c r="Y243" s="30"/>
      <c r="Z243" s="65"/>
      <c r="AA243" s="65"/>
      <c r="AB243" s="65"/>
      <c r="AC243" s="30"/>
      <c r="AD243" s="65"/>
      <c r="AE243" s="65"/>
      <c r="AF243" s="65"/>
      <c r="AG243" s="65"/>
      <c r="AH243" s="30"/>
      <c r="AI243" s="65"/>
      <c r="AJ243" s="65"/>
      <c r="AK243" s="65"/>
      <c r="AL243" s="65"/>
      <c r="AM243" s="65"/>
      <c r="AN243" s="65"/>
      <c r="AO243" s="65"/>
    </row>
    <row r="244">
      <c r="A244" s="30"/>
      <c r="B244" s="65"/>
      <c r="C244" s="65"/>
      <c r="D244" s="65"/>
      <c r="E244" s="30"/>
      <c r="F244" s="65"/>
      <c r="G244" s="65"/>
      <c r="H244" s="65"/>
      <c r="I244" s="30"/>
      <c r="J244" s="65"/>
      <c r="K244" s="65"/>
      <c r="L244" s="65"/>
      <c r="M244" s="30"/>
      <c r="N244" s="65"/>
      <c r="O244" s="65"/>
      <c r="P244" s="65"/>
      <c r="Q244" s="30"/>
      <c r="R244" s="65"/>
      <c r="S244" s="65"/>
      <c r="T244" s="65"/>
      <c r="U244" s="30"/>
      <c r="V244" s="65"/>
      <c r="W244" s="65"/>
      <c r="X244" s="65"/>
      <c r="Y244" s="30"/>
      <c r="Z244" s="65"/>
      <c r="AA244" s="65"/>
      <c r="AB244" s="65"/>
      <c r="AC244" s="30"/>
      <c r="AD244" s="65"/>
      <c r="AE244" s="65"/>
      <c r="AF244" s="65"/>
      <c r="AG244" s="65"/>
      <c r="AH244" s="30"/>
      <c r="AI244" s="65"/>
      <c r="AJ244" s="65"/>
      <c r="AK244" s="65"/>
      <c r="AL244" s="65"/>
      <c r="AM244" s="65"/>
      <c r="AN244" s="65"/>
      <c r="AO244" s="65"/>
    </row>
    <row r="245">
      <c r="A245" s="30"/>
      <c r="B245" s="65"/>
      <c r="C245" s="65"/>
      <c r="D245" s="65"/>
      <c r="E245" s="30"/>
      <c r="F245" s="65"/>
      <c r="G245" s="65"/>
      <c r="H245" s="65"/>
      <c r="I245" s="30"/>
      <c r="J245" s="65"/>
      <c r="K245" s="65"/>
      <c r="L245" s="65"/>
      <c r="M245" s="30"/>
      <c r="N245" s="65"/>
      <c r="O245" s="65"/>
      <c r="P245" s="65"/>
      <c r="Q245" s="30"/>
      <c r="R245" s="65"/>
      <c r="S245" s="65"/>
      <c r="T245" s="65"/>
      <c r="U245" s="30"/>
      <c r="V245" s="65"/>
      <c r="W245" s="65"/>
      <c r="X245" s="65"/>
      <c r="Y245" s="30"/>
      <c r="Z245" s="65"/>
      <c r="AA245" s="65"/>
      <c r="AB245" s="65"/>
      <c r="AC245" s="30"/>
      <c r="AD245" s="65"/>
      <c r="AE245" s="65"/>
      <c r="AF245" s="65"/>
      <c r="AG245" s="65"/>
      <c r="AH245" s="30"/>
      <c r="AI245" s="65"/>
      <c r="AJ245" s="65"/>
      <c r="AK245" s="65"/>
      <c r="AL245" s="65"/>
      <c r="AM245" s="65"/>
      <c r="AN245" s="65"/>
      <c r="AO245" s="65"/>
    </row>
    <row r="246">
      <c r="A246" s="30"/>
      <c r="B246" s="65"/>
      <c r="C246" s="65"/>
      <c r="D246" s="65"/>
      <c r="E246" s="30"/>
      <c r="F246" s="65"/>
      <c r="G246" s="65"/>
      <c r="H246" s="65"/>
      <c r="I246" s="30"/>
      <c r="J246" s="65"/>
      <c r="K246" s="65"/>
      <c r="L246" s="65"/>
      <c r="M246" s="30"/>
      <c r="N246" s="65"/>
      <c r="O246" s="65"/>
      <c r="P246" s="65"/>
      <c r="Q246" s="30"/>
      <c r="R246" s="65"/>
      <c r="S246" s="65"/>
      <c r="T246" s="65"/>
      <c r="U246" s="30"/>
      <c r="V246" s="65"/>
      <c r="W246" s="65"/>
      <c r="X246" s="65"/>
      <c r="Y246" s="30"/>
      <c r="Z246" s="65"/>
      <c r="AA246" s="65"/>
      <c r="AB246" s="65"/>
      <c r="AC246" s="30"/>
      <c r="AD246" s="65"/>
      <c r="AE246" s="65"/>
      <c r="AF246" s="65"/>
      <c r="AG246" s="65"/>
      <c r="AH246" s="30"/>
      <c r="AI246" s="65"/>
      <c r="AJ246" s="65"/>
      <c r="AK246" s="65"/>
      <c r="AL246" s="65"/>
      <c r="AM246" s="65"/>
      <c r="AN246" s="65"/>
      <c r="AO246" s="65"/>
    </row>
    <row r="247">
      <c r="A247" s="30"/>
      <c r="B247" s="65"/>
      <c r="C247" s="65"/>
      <c r="D247" s="65"/>
      <c r="E247" s="30"/>
      <c r="F247" s="65"/>
      <c r="G247" s="65"/>
      <c r="H247" s="65"/>
      <c r="I247" s="30"/>
      <c r="J247" s="65"/>
      <c r="K247" s="65"/>
      <c r="L247" s="65"/>
      <c r="M247" s="30"/>
      <c r="N247" s="65"/>
      <c r="O247" s="65"/>
      <c r="P247" s="65"/>
      <c r="Q247" s="30"/>
      <c r="R247" s="65"/>
      <c r="S247" s="65"/>
      <c r="T247" s="65"/>
      <c r="U247" s="30"/>
      <c r="V247" s="65"/>
      <c r="W247" s="65"/>
      <c r="X247" s="65"/>
      <c r="Y247" s="30"/>
      <c r="Z247" s="65"/>
      <c r="AA247" s="65"/>
      <c r="AB247" s="65"/>
      <c r="AC247" s="30"/>
      <c r="AD247" s="65"/>
      <c r="AE247" s="65"/>
      <c r="AF247" s="65"/>
      <c r="AG247" s="65"/>
      <c r="AH247" s="30"/>
      <c r="AI247" s="65"/>
      <c r="AJ247" s="65"/>
      <c r="AK247" s="65"/>
      <c r="AL247" s="65"/>
      <c r="AM247" s="65"/>
      <c r="AN247" s="65"/>
      <c r="AO247" s="65"/>
    </row>
    <row r="248">
      <c r="A248" s="30"/>
      <c r="B248" s="65"/>
      <c r="C248" s="65"/>
      <c r="D248" s="65"/>
      <c r="E248" s="30"/>
      <c r="F248" s="65"/>
      <c r="G248" s="65"/>
      <c r="H248" s="65"/>
      <c r="I248" s="30"/>
      <c r="J248" s="65"/>
      <c r="K248" s="65"/>
      <c r="L248" s="65"/>
      <c r="M248" s="30"/>
      <c r="N248" s="65"/>
      <c r="O248" s="65"/>
      <c r="P248" s="65"/>
      <c r="Q248" s="30"/>
      <c r="R248" s="65"/>
      <c r="S248" s="65"/>
      <c r="T248" s="65"/>
      <c r="U248" s="30"/>
      <c r="V248" s="65"/>
      <c r="W248" s="65"/>
      <c r="X248" s="65"/>
      <c r="Y248" s="30"/>
      <c r="Z248" s="65"/>
      <c r="AA248" s="65"/>
      <c r="AB248" s="65"/>
      <c r="AC248" s="30"/>
      <c r="AD248" s="65"/>
      <c r="AE248" s="65"/>
      <c r="AF248" s="65"/>
      <c r="AG248" s="65"/>
      <c r="AH248" s="30"/>
      <c r="AI248" s="65"/>
      <c r="AJ248" s="65"/>
      <c r="AK248" s="65"/>
      <c r="AL248" s="65"/>
      <c r="AM248" s="65"/>
      <c r="AN248" s="65"/>
      <c r="AO248" s="65"/>
    </row>
    <row r="249">
      <c r="A249" s="30"/>
      <c r="B249" s="65"/>
      <c r="C249" s="65"/>
      <c r="D249" s="65"/>
      <c r="E249" s="30"/>
      <c r="F249" s="65"/>
      <c r="G249" s="65"/>
      <c r="H249" s="65"/>
      <c r="I249" s="30"/>
      <c r="J249" s="65"/>
      <c r="K249" s="65"/>
      <c r="L249" s="65"/>
      <c r="M249" s="30"/>
      <c r="N249" s="65"/>
      <c r="O249" s="65"/>
      <c r="P249" s="65"/>
      <c r="Q249" s="30"/>
      <c r="R249" s="65"/>
      <c r="S249" s="65"/>
      <c r="T249" s="65"/>
      <c r="U249" s="30"/>
      <c r="V249" s="65"/>
      <c r="W249" s="65"/>
      <c r="X249" s="65"/>
      <c r="Y249" s="30"/>
      <c r="Z249" s="65"/>
      <c r="AA249" s="65"/>
      <c r="AB249" s="65"/>
      <c r="AC249" s="30"/>
      <c r="AD249" s="65"/>
      <c r="AE249" s="65"/>
      <c r="AF249" s="65"/>
      <c r="AG249" s="65"/>
      <c r="AH249" s="30"/>
      <c r="AI249" s="65"/>
      <c r="AJ249" s="65"/>
      <c r="AK249" s="65"/>
      <c r="AL249" s="65"/>
      <c r="AM249" s="65"/>
      <c r="AN249" s="65"/>
      <c r="AO249" s="65"/>
    </row>
    <row r="250">
      <c r="A250" s="30"/>
      <c r="B250" s="65"/>
      <c r="C250" s="65"/>
      <c r="D250" s="65"/>
      <c r="E250" s="30"/>
      <c r="F250" s="65"/>
      <c r="G250" s="65"/>
      <c r="H250" s="65"/>
      <c r="I250" s="30"/>
      <c r="J250" s="65"/>
      <c r="K250" s="65"/>
      <c r="L250" s="65"/>
      <c r="M250" s="30"/>
      <c r="N250" s="65"/>
      <c r="O250" s="65"/>
      <c r="P250" s="65"/>
      <c r="Q250" s="30"/>
      <c r="R250" s="65"/>
      <c r="S250" s="65"/>
      <c r="T250" s="65"/>
      <c r="U250" s="30"/>
      <c r="V250" s="65"/>
      <c r="W250" s="65"/>
      <c r="X250" s="65"/>
      <c r="Y250" s="30"/>
      <c r="Z250" s="65"/>
      <c r="AA250" s="65"/>
      <c r="AB250" s="65"/>
      <c r="AC250" s="30"/>
      <c r="AD250" s="65"/>
      <c r="AE250" s="65"/>
      <c r="AF250" s="65"/>
      <c r="AG250" s="65"/>
      <c r="AH250" s="30"/>
      <c r="AI250" s="65"/>
      <c r="AJ250" s="65"/>
      <c r="AK250" s="65"/>
      <c r="AL250" s="65"/>
      <c r="AM250" s="65"/>
      <c r="AN250" s="65"/>
      <c r="AO250" s="65"/>
    </row>
    <row r="251">
      <c r="A251" s="30"/>
      <c r="B251" s="65"/>
      <c r="C251" s="65"/>
      <c r="D251" s="65"/>
      <c r="E251" s="30"/>
      <c r="F251" s="65"/>
      <c r="G251" s="65"/>
      <c r="H251" s="65"/>
      <c r="I251" s="30"/>
      <c r="J251" s="65"/>
      <c r="K251" s="65"/>
      <c r="L251" s="65"/>
      <c r="M251" s="30"/>
      <c r="N251" s="65"/>
      <c r="O251" s="65"/>
      <c r="P251" s="65"/>
      <c r="Q251" s="30"/>
      <c r="R251" s="65"/>
      <c r="S251" s="65"/>
      <c r="T251" s="65"/>
      <c r="U251" s="30"/>
      <c r="V251" s="65"/>
      <c r="W251" s="65"/>
      <c r="X251" s="65"/>
      <c r="Y251" s="30"/>
      <c r="Z251" s="65"/>
      <c r="AA251" s="65"/>
      <c r="AB251" s="65"/>
      <c r="AC251" s="30"/>
      <c r="AD251" s="65"/>
      <c r="AE251" s="65"/>
      <c r="AF251" s="65"/>
      <c r="AG251" s="65"/>
      <c r="AH251" s="30"/>
      <c r="AI251" s="65"/>
      <c r="AJ251" s="65"/>
      <c r="AK251" s="65"/>
      <c r="AL251" s="65"/>
      <c r="AM251" s="65"/>
      <c r="AN251" s="65"/>
      <c r="AO251" s="65"/>
    </row>
    <row r="252">
      <c r="A252" s="30"/>
      <c r="B252" s="65"/>
      <c r="C252" s="65"/>
      <c r="D252" s="65"/>
      <c r="E252" s="30"/>
      <c r="F252" s="65"/>
      <c r="G252" s="65"/>
      <c r="H252" s="65"/>
      <c r="I252" s="30"/>
      <c r="J252" s="65"/>
      <c r="K252" s="65"/>
      <c r="L252" s="65"/>
      <c r="M252" s="30"/>
      <c r="N252" s="65"/>
      <c r="O252" s="65"/>
      <c r="P252" s="65"/>
      <c r="Q252" s="30"/>
      <c r="R252" s="65"/>
      <c r="S252" s="65"/>
      <c r="T252" s="65"/>
      <c r="U252" s="30"/>
      <c r="V252" s="65"/>
      <c r="W252" s="65"/>
      <c r="X252" s="65"/>
      <c r="Y252" s="30"/>
      <c r="Z252" s="65"/>
      <c r="AA252" s="65"/>
      <c r="AB252" s="65"/>
      <c r="AC252" s="30"/>
      <c r="AD252" s="65"/>
      <c r="AE252" s="65"/>
      <c r="AF252" s="65"/>
      <c r="AG252" s="65"/>
      <c r="AH252" s="30"/>
      <c r="AI252" s="65"/>
      <c r="AJ252" s="65"/>
      <c r="AK252" s="65"/>
      <c r="AL252" s="65"/>
      <c r="AM252" s="65"/>
      <c r="AN252" s="65"/>
      <c r="AO252" s="65"/>
    </row>
    <row r="253">
      <c r="A253" s="30"/>
      <c r="B253" s="65"/>
      <c r="C253" s="65"/>
      <c r="D253" s="65"/>
      <c r="E253" s="30"/>
      <c r="F253" s="65"/>
      <c r="G253" s="65"/>
      <c r="H253" s="65"/>
      <c r="I253" s="30"/>
      <c r="J253" s="65"/>
      <c r="K253" s="65"/>
      <c r="L253" s="65"/>
      <c r="M253" s="30"/>
      <c r="N253" s="65"/>
      <c r="O253" s="65"/>
      <c r="P253" s="65"/>
      <c r="Q253" s="30"/>
      <c r="R253" s="65"/>
      <c r="S253" s="65"/>
      <c r="T253" s="65"/>
      <c r="U253" s="30"/>
      <c r="V253" s="65"/>
      <c r="W253" s="65"/>
      <c r="X253" s="65"/>
      <c r="Y253" s="30"/>
      <c r="Z253" s="65"/>
      <c r="AA253" s="65"/>
      <c r="AB253" s="65"/>
      <c r="AC253" s="30"/>
      <c r="AD253" s="65"/>
      <c r="AE253" s="65"/>
      <c r="AF253" s="65"/>
      <c r="AG253" s="65"/>
      <c r="AH253" s="30"/>
      <c r="AI253" s="65"/>
      <c r="AJ253" s="65"/>
      <c r="AK253" s="65"/>
      <c r="AL253" s="65"/>
      <c r="AM253" s="65"/>
      <c r="AN253" s="65"/>
      <c r="AO253" s="65"/>
    </row>
    <row r="254">
      <c r="A254" s="30"/>
      <c r="B254" s="65"/>
      <c r="C254" s="65"/>
      <c r="D254" s="65"/>
      <c r="E254" s="30"/>
      <c r="F254" s="65"/>
      <c r="G254" s="65"/>
      <c r="H254" s="65"/>
      <c r="I254" s="30"/>
      <c r="J254" s="65"/>
      <c r="K254" s="65"/>
      <c r="L254" s="65"/>
      <c r="M254" s="30"/>
      <c r="N254" s="65"/>
      <c r="O254" s="65"/>
      <c r="P254" s="65"/>
      <c r="Q254" s="30"/>
      <c r="R254" s="65"/>
      <c r="S254" s="65"/>
      <c r="T254" s="65"/>
      <c r="U254" s="30"/>
      <c r="V254" s="65"/>
      <c r="W254" s="65"/>
      <c r="X254" s="65"/>
      <c r="Y254" s="30"/>
      <c r="Z254" s="65"/>
      <c r="AA254" s="65"/>
      <c r="AB254" s="65"/>
      <c r="AC254" s="30"/>
      <c r="AD254" s="65"/>
      <c r="AE254" s="65"/>
      <c r="AF254" s="65"/>
      <c r="AG254" s="65"/>
      <c r="AH254" s="30"/>
      <c r="AI254" s="65"/>
      <c r="AJ254" s="65"/>
      <c r="AK254" s="65"/>
      <c r="AL254" s="65"/>
      <c r="AM254" s="65"/>
      <c r="AN254" s="65"/>
      <c r="AO254" s="65"/>
    </row>
    <row r="255">
      <c r="A255" s="30"/>
      <c r="B255" s="65"/>
      <c r="C255" s="65"/>
      <c r="D255" s="65"/>
      <c r="E255" s="30"/>
      <c r="F255" s="65"/>
      <c r="G255" s="65"/>
      <c r="H255" s="65"/>
      <c r="I255" s="30"/>
      <c r="J255" s="65"/>
      <c r="K255" s="65"/>
      <c r="L255" s="65"/>
      <c r="M255" s="30"/>
      <c r="N255" s="65"/>
      <c r="O255" s="65"/>
      <c r="P255" s="65"/>
      <c r="Q255" s="30"/>
      <c r="R255" s="65"/>
      <c r="S255" s="65"/>
      <c r="T255" s="65"/>
      <c r="U255" s="30"/>
      <c r="V255" s="65"/>
      <c r="W255" s="65"/>
      <c r="X255" s="65"/>
      <c r="Y255" s="30"/>
      <c r="Z255" s="65"/>
      <c r="AA255" s="65"/>
      <c r="AB255" s="65"/>
      <c r="AC255" s="30"/>
      <c r="AD255" s="65"/>
      <c r="AE255" s="65"/>
      <c r="AF255" s="65"/>
      <c r="AG255" s="65"/>
      <c r="AH255" s="30"/>
      <c r="AI255" s="65"/>
      <c r="AJ255" s="65"/>
      <c r="AK255" s="65"/>
      <c r="AL255" s="65"/>
      <c r="AM255" s="65"/>
      <c r="AN255" s="65"/>
      <c r="AO255" s="65"/>
    </row>
    <row r="256">
      <c r="A256" s="30"/>
      <c r="B256" s="65"/>
      <c r="C256" s="65"/>
      <c r="D256" s="65"/>
      <c r="E256" s="30"/>
      <c r="F256" s="65"/>
      <c r="G256" s="65"/>
      <c r="H256" s="65"/>
      <c r="I256" s="30"/>
      <c r="J256" s="65"/>
      <c r="K256" s="65"/>
      <c r="L256" s="65"/>
      <c r="M256" s="30"/>
      <c r="N256" s="65"/>
      <c r="O256" s="65"/>
      <c r="P256" s="65"/>
      <c r="Q256" s="30"/>
      <c r="R256" s="65"/>
      <c r="S256" s="65"/>
      <c r="T256" s="65"/>
      <c r="U256" s="30"/>
      <c r="V256" s="65"/>
      <c r="W256" s="65"/>
      <c r="X256" s="65"/>
      <c r="Y256" s="30"/>
      <c r="Z256" s="65"/>
      <c r="AA256" s="65"/>
      <c r="AB256" s="65"/>
      <c r="AC256" s="30"/>
      <c r="AD256" s="65"/>
      <c r="AE256" s="65"/>
      <c r="AF256" s="65"/>
      <c r="AG256" s="65"/>
      <c r="AH256" s="30"/>
      <c r="AI256" s="65"/>
      <c r="AJ256" s="65"/>
      <c r="AK256" s="65"/>
      <c r="AL256" s="65"/>
      <c r="AM256" s="65"/>
      <c r="AN256" s="65"/>
      <c r="AO256" s="65"/>
    </row>
    <row r="257">
      <c r="A257" s="30"/>
      <c r="B257" s="65"/>
      <c r="C257" s="65"/>
      <c r="D257" s="65"/>
      <c r="E257" s="30"/>
      <c r="F257" s="65"/>
      <c r="G257" s="65"/>
      <c r="H257" s="65"/>
      <c r="I257" s="30"/>
      <c r="J257" s="65"/>
      <c r="K257" s="65"/>
      <c r="L257" s="65"/>
      <c r="M257" s="30"/>
      <c r="N257" s="65"/>
      <c r="O257" s="65"/>
      <c r="P257" s="65"/>
      <c r="Q257" s="30"/>
      <c r="R257" s="65"/>
      <c r="S257" s="65"/>
      <c r="T257" s="65"/>
      <c r="U257" s="30"/>
      <c r="V257" s="65"/>
      <c r="W257" s="65"/>
      <c r="X257" s="65"/>
      <c r="Y257" s="30"/>
      <c r="Z257" s="65"/>
      <c r="AA257" s="65"/>
      <c r="AB257" s="65"/>
      <c r="AC257" s="30"/>
      <c r="AD257" s="65"/>
      <c r="AE257" s="65"/>
      <c r="AF257" s="65"/>
      <c r="AG257" s="65"/>
      <c r="AH257" s="30"/>
      <c r="AI257" s="65"/>
      <c r="AJ257" s="65"/>
      <c r="AK257" s="65"/>
      <c r="AL257" s="65"/>
      <c r="AM257" s="65"/>
      <c r="AN257" s="65"/>
      <c r="AO257" s="65"/>
    </row>
    <row r="258">
      <c r="A258" s="30"/>
      <c r="B258" s="65"/>
      <c r="C258" s="65"/>
      <c r="D258" s="65"/>
      <c r="E258" s="30"/>
      <c r="F258" s="65"/>
      <c r="G258" s="65"/>
      <c r="H258" s="65"/>
      <c r="I258" s="30"/>
      <c r="J258" s="65"/>
      <c r="K258" s="65"/>
      <c r="L258" s="65"/>
      <c r="M258" s="30"/>
      <c r="N258" s="65"/>
      <c r="O258" s="65"/>
      <c r="P258" s="65"/>
      <c r="Q258" s="30"/>
      <c r="R258" s="65"/>
      <c r="S258" s="65"/>
      <c r="T258" s="65"/>
      <c r="U258" s="30"/>
      <c r="V258" s="65"/>
      <c r="W258" s="65"/>
      <c r="X258" s="65"/>
      <c r="Y258" s="30"/>
      <c r="Z258" s="65"/>
      <c r="AA258" s="65"/>
      <c r="AB258" s="65"/>
      <c r="AC258" s="30"/>
      <c r="AD258" s="65"/>
      <c r="AE258" s="65"/>
      <c r="AF258" s="65"/>
      <c r="AG258" s="65"/>
      <c r="AH258" s="30"/>
      <c r="AI258" s="65"/>
      <c r="AJ258" s="65"/>
      <c r="AK258" s="65"/>
      <c r="AL258" s="65"/>
      <c r="AM258" s="65"/>
      <c r="AN258" s="65"/>
      <c r="AO258" s="65"/>
    </row>
    <row r="259">
      <c r="A259" s="30"/>
      <c r="B259" s="65"/>
      <c r="C259" s="65"/>
      <c r="D259" s="65"/>
      <c r="E259" s="30"/>
      <c r="F259" s="65"/>
      <c r="G259" s="65"/>
      <c r="H259" s="65"/>
      <c r="I259" s="30"/>
      <c r="J259" s="65"/>
      <c r="K259" s="65"/>
      <c r="L259" s="65"/>
      <c r="M259" s="30"/>
      <c r="N259" s="65"/>
      <c r="O259" s="65"/>
      <c r="P259" s="65"/>
      <c r="Q259" s="30"/>
      <c r="R259" s="65"/>
      <c r="S259" s="65"/>
      <c r="T259" s="65"/>
      <c r="U259" s="30"/>
      <c r="V259" s="65"/>
      <c r="W259" s="65"/>
      <c r="X259" s="65"/>
      <c r="Y259" s="30"/>
      <c r="Z259" s="65"/>
      <c r="AA259" s="65"/>
      <c r="AB259" s="65"/>
      <c r="AC259" s="30"/>
      <c r="AD259" s="65"/>
      <c r="AE259" s="65"/>
      <c r="AF259" s="65"/>
      <c r="AG259" s="65"/>
      <c r="AH259" s="30"/>
      <c r="AI259" s="65"/>
      <c r="AJ259" s="65"/>
      <c r="AK259" s="65"/>
      <c r="AL259" s="65"/>
      <c r="AM259" s="65"/>
      <c r="AN259" s="65"/>
      <c r="AO259" s="65"/>
    </row>
    <row r="260">
      <c r="A260" s="30"/>
      <c r="B260" s="65"/>
      <c r="C260" s="65"/>
      <c r="D260" s="65"/>
      <c r="E260" s="30"/>
      <c r="F260" s="65"/>
      <c r="G260" s="65"/>
      <c r="H260" s="65"/>
      <c r="I260" s="30"/>
      <c r="J260" s="65"/>
      <c r="K260" s="65"/>
      <c r="L260" s="65"/>
      <c r="M260" s="30"/>
      <c r="N260" s="65"/>
      <c r="O260" s="65"/>
      <c r="P260" s="65"/>
      <c r="Q260" s="30"/>
      <c r="R260" s="65"/>
      <c r="S260" s="65"/>
      <c r="T260" s="65"/>
      <c r="U260" s="30"/>
      <c r="V260" s="65"/>
      <c r="W260" s="65"/>
      <c r="X260" s="65"/>
      <c r="Y260" s="30"/>
      <c r="Z260" s="65"/>
      <c r="AA260" s="65"/>
      <c r="AB260" s="65"/>
      <c r="AC260" s="30"/>
      <c r="AD260" s="65"/>
      <c r="AE260" s="65"/>
      <c r="AF260" s="65"/>
      <c r="AG260" s="65"/>
      <c r="AH260" s="30"/>
      <c r="AI260" s="65"/>
      <c r="AJ260" s="65"/>
      <c r="AK260" s="65"/>
      <c r="AL260" s="65"/>
      <c r="AM260" s="65"/>
      <c r="AN260" s="65"/>
      <c r="AO260" s="65"/>
    </row>
    <row r="261">
      <c r="A261" s="30"/>
      <c r="B261" s="65"/>
      <c r="C261" s="65"/>
      <c r="D261" s="65"/>
      <c r="E261" s="30"/>
      <c r="F261" s="65"/>
      <c r="G261" s="65"/>
      <c r="H261" s="65"/>
      <c r="I261" s="30"/>
      <c r="J261" s="65"/>
      <c r="K261" s="65"/>
      <c r="L261" s="65"/>
      <c r="M261" s="30"/>
      <c r="N261" s="65"/>
      <c r="O261" s="65"/>
      <c r="P261" s="65"/>
      <c r="Q261" s="30"/>
      <c r="R261" s="65"/>
      <c r="S261" s="65"/>
      <c r="T261" s="65"/>
      <c r="U261" s="30"/>
      <c r="V261" s="65"/>
      <c r="W261" s="65"/>
      <c r="X261" s="65"/>
      <c r="Y261" s="30"/>
      <c r="Z261" s="65"/>
      <c r="AA261" s="65"/>
      <c r="AB261" s="65"/>
      <c r="AC261" s="30"/>
      <c r="AD261" s="65"/>
      <c r="AE261" s="65"/>
      <c r="AF261" s="65"/>
      <c r="AG261" s="65"/>
      <c r="AH261" s="30"/>
      <c r="AI261" s="65"/>
      <c r="AJ261" s="65"/>
      <c r="AK261" s="65"/>
      <c r="AL261" s="65"/>
      <c r="AM261" s="65"/>
      <c r="AN261" s="65"/>
      <c r="AO261" s="65"/>
    </row>
    <row r="262">
      <c r="A262" s="30"/>
      <c r="B262" s="65"/>
      <c r="C262" s="65"/>
      <c r="D262" s="65"/>
      <c r="E262" s="30"/>
      <c r="F262" s="65"/>
      <c r="G262" s="65"/>
      <c r="H262" s="65"/>
      <c r="I262" s="30"/>
      <c r="J262" s="65"/>
      <c r="K262" s="65"/>
      <c r="L262" s="65"/>
      <c r="M262" s="30"/>
      <c r="N262" s="65"/>
      <c r="O262" s="65"/>
      <c r="P262" s="65"/>
      <c r="Q262" s="30"/>
      <c r="R262" s="65"/>
      <c r="S262" s="65"/>
      <c r="T262" s="65"/>
      <c r="U262" s="30"/>
      <c r="V262" s="65"/>
      <c r="W262" s="65"/>
      <c r="X262" s="65"/>
      <c r="Y262" s="30"/>
      <c r="Z262" s="65"/>
      <c r="AA262" s="65"/>
      <c r="AB262" s="65"/>
      <c r="AC262" s="30"/>
      <c r="AD262" s="65"/>
      <c r="AE262" s="65"/>
      <c r="AF262" s="65"/>
      <c r="AG262" s="65"/>
      <c r="AH262" s="30"/>
      <c r="AI262" s="65"/>
      <c r="AJ262" s="65"/>
      <c r="AK262" s="65"/>
      <c r="AL262" s="65"/>
      <c r="AM262" s="65"/>
      <c r="AN262" s="65"/>
      <c r="AO262" s="65"/>
    </row>
    <row r="263">
      <c r="A263" s="30"/>
      <c r="B263" s="65"/>
      <c r="C263" s="65"/>
      <c r="D263" s="65"/>
      <c r="E263" s="30"/>
      <c r="F263" s="65"/>
      <c r="G263" s="65"/>
      <c r="H263" s="65"/>
      <c r="I263" s="30"/>
      <c r="J263" s="65"/>
      <c r="K263" s="65"/>
      <c r="L263" s="65"/>
      <c r="M263" s="30"/>
      <c r="N263" s="65"/>
      <c r="O263" s="65"/>
      <c r="P263" s="65"/>
      <c r="Q263" s="30"/>
      <c r="R263" s="65"/>
      <c r="S263" s="65"/>
      <c r="T263" s="65"/>
      <c r="U263" s="30"/>
      <c r="V263" s="65"/>
      <c r="W263" s="65"/>
      <c r="X263" s="65"/>
      <c r="Y263" s="30"/>
      <c r="Z263" s="65"/>
      <c r="AA263" s="65"/>
      <c r="AB263" s="65"/>
      <c r="AC263" s="30"/>
      <c r="AD263" s="65"/>
      <c r="AE263" s="65"/>
      <c r="AF263" s="65"/>
      <c r="AG263" s="65"/>
      <c r="AH263" s="30"/>
      <c r="AI263" s="65"/>
      <c r="AJ263" s="65"/>
      <c r="AK263" s="65"/>
      <c r="AL263" s="65"/>
      <c r="AM263" s="65"/>
      <c r="AN263" s="65"/>
      <c r="AO263" s="65"/>
    </row>
    <row r="264">
      <c r="A264" s="30"/>
      <c r="B264" s="65"/>
      <c r="C264" s="65"/>
      <c r="D264" s="65"/>
      <c r="E264" s="30"/>
      <c r="F264" s="65"/>
      <c r="G264" s="65"/>
      <c r="H264" s="65"/>
      <c r="I264" s="30"/>
      <c r="J264" s="65"/>
      <c r="K264" s="65"/>
      <c r="L264" s="65"/>
      <c r="M264" s="30"/>
      <c r="N264" s="65"/>
      <c r="O264" s="65"/>
      <c r="P264" s="65"/>
      <c r="Q264" s="30"/>
      <c r="R264" s="65"/>
      <c r="S264" s="65"/>
      <c r="T264" s="65"/>
      <c r="U264" s="30"/>
      <c r="V264" s="65"/>
      <c r="W264" s="65"/>
      <c r="X264" s="65"/>
      <c r="Y264" s="30"/>
      <c r="Z264" s="65"/>
      <c r="AA264" s="65"/>
      <c r="AB264" s="65"/>
      <c r="AC264" s="30"/>
      <c r="AD264" s="65"/>
      <c r="AE264" s="65"/>
      <c r="AF264" s="65"/>
      <c r="AG264" s="65"/>
      <c r="AH264" s="30"/>
      <c r="AI264" s="65"/>
      <c r="AJ264" s="65"/>
      <c r="AK264" s="65"/>
      <c r="AL264" s="65"/>
      <c r="AM264" s="65"/>
      <c r="AN264" s="65"/>
      <c r="AO264" s="65"/>
    </row>
    <row r="265">
      <c r="A265" s="30"/>
      <c r="B265" s="65"/>
      <c r="C265" s="65"/>
      <c r="D265" s="65"/>
      <c r="E265" s="30"/>
      <c r="F265" s="65"/>
      <c r="G265" s="65"/>
      <c r="H265" s="65"/>
      <c r="I265" s="30"/>
      <c r="J265" s="65"/>
      <c r="K265" s="65"/>
      <c r="L265" s="65"/>
      <c r="M265" s="30"/>
      <c r="N265" s="65"/>
      <c r="O265" s="65"/>
      <c r="P265" s="65"/>
      <c r="Q265" s="30"/>
      <c r="R265" s="65"/>
      <c r="S265" s="65"/>
      <c r="T265" s="65"/>
      <c r="U265" s="30"/>
      <c r="V265" s="65"/>
      <c r="W265" s="65"/>
      <c r="X265" s="65"/>
      <c r="Y265" s="30"/>
      <c r="Z265" s="65"/>
      <c r="AA265" s="65"/>
      <c r="AB265" s="65"/>
      <c r="AC265" s="30"/>
      <c r="AD265" s="65"/>
      <c r="AE265" s="65"/>
      <c r="AF265" s="65"/>
      <c r="AG265" s="65"/>
      <c r="AH265" s="30"/>
      <c r="AI265" s="65"/>
      <c r="AJ265" s="65"/>
      <c r="AK265" s="65"/>
      <c r="AL265" s="65"/>
      <c r="AM265" s="65"/>
      <c r="AN265" s="65"/>
      <c r="AO265" s="65"/>
    </row>
    <row r="266">
      <c r="A266" s="30"/>
      <c r="B266" s="65"/>
      <c r="C266" s="65"/>
      <c r="D266" s="65"/>
      <c r="E266" s="30"/>
      <c r="F266" s="65"/>
      <c r="G266" s="65"/>
      <c r="H266" s="65"/>
      <c r="I266" s="30"/>
      <c r="J266" s="65"/>
      <c r="K266" s="65"/>
      <c r="L266" s="65"/>
      <c r="M266" s="30"/>
      <c r="N266" s="65"/>
      <c r="O266" s="65"/>
      <c r="P266" s="65"/>
      <c r="Q266" s="30"/>
      <c r="R266" s="65"/>
      <c r="S266" s="65"/>
      <c r="T266" s="65"/>
      <c r="U266" s="30"/>
      <c r="V266" s="65"/>
      <c r="W266" s="65"/>
      <c r="X266" s="65"/>
      <c r="Y266" s="30"/>
      <c r="Z266" s="65"/>
      <c r="AA266" s="65"/>
      <c r="AB266" s="65"/>
      <c r="AC266" s="30"/>
      <c r="AD266" s="65"/>
      <c r="AE266" s="65"/>
      <c r="AF266" s="65"/>
      <c r="AG266" s="65"/>
      <c r="AH266" s="30"/>
      <c r="AI266" s="65"/>
      <c r="AJ266" s="65"/>
      <c r="AK266" s="65"/>
      <c r="AL266" s="65"/>
      <c r="AM266" s="65"/>
      <c r="AN266" s="65"/>
      <c r="AO266" s="65"/>
    </row>
    <row r="267">
      <c r="A267" s="30"/>
      <c r="B267" s="65"/>
      <c r="C267" s="65"/>
      <c r="D267" s="65"/>
      <c r="E267" s="30"/>
      <c r="F267" s="65"/>
      <c r="G267" s="65"/>
      <c r="H267" s="65"/>
      <c r="I267" s="30"/>
      <c r="J267" s="65"/>
      <c r="K267" s="65"/>
      <c r="L267" s="65"/>
      <c r="M267" s="30"/>
      <c r="N267" s="65"/>
      <c r="O267" s="65"/>
      <c r="P267" s="65"/>
      <c r="Q267" s="30"/>
      <c r="R267" s="65"/>
      <c r="S267" s="65"/>
      <c r="T267" s="65"/>
      <c r="U267" s="30"/>
      <c r="V267" s="65"/>
      <c r="W267" s="65"/>
      <c r="X267" s="65"/>
      <c r="Y267" s="30"/>
      <c r="Z267" s="65"/>
      <c r="AA267" s="65"/>
      <c r="AB267" s="65"/>
      <c r="AC267" s="30"/>
      <c r="AD267" s="65"/>
      <c r="AE267" s="65"/>
      <c r="AF267" s="65"/>
      <c r="AG267" s="65"/>
      <c r="AH267" s="30"/>
      <c r="AI267" s="65"/>
      <c r="AJ267" s="65"/>
      <c r="AK267" s="65"/>
      <c r="AL267" s="65"/>
      <c r="AM267" s="65"/>
      <c r="AN267" s="65"/>
      <c r="AO267" s="65"/>
    </row>
    <row r="268">
      <c r="A268" s="30"/>
      <c r="B268" s="65"/>
      <c r="C268" s="65"/>
      <c r="D268" s="65"/>
      <c r="E268" s="30"/>
      <c r="F268" s="65"/>
      <c r="G268" s="65"/>
      <c r="H268" s="65"/>
      <c r="I268" s="30"/>
      <c r="J268" s="65"/>
      <c r="K268" s="65"/>
      <c r="L268" s="65"/>
      <c r="M268" s="30"/>
      <c r="N268" s="65"/>
      <c r="O268" s="65"/>
      <c r="P268" s="65"/>
      <c r="Q268" s="30"/>
      <c r="R268" s="65"/>
      <c r="S268" s="65"/>
      <c r="T268" s="65"/>
      <c r="U268" s="30"/>
      <c r="V268" s="65"/>
      <c r="W268" s="65"/>
      <c r="X268" s="65"/>
      <c r="Y268" s="30"/>
      <c r="Z268" s="65"/>
      <c r="AA268" s="65"/>
      <c r="AB268" s="65"/>
      <c r="AC268" s="30"/>
      <c r="AD268" s="65"/>
      <c r="AE268" s="65"/>
      <c r="AF268" s="65"/>
      <c r="AG268" s="65"/>
      <c r="AH268" s="30"/>
      <c r="AI268" s="65"/>
      <c r="AJ268" s="65"/>
      <c r="AK268" s="65"/>
      <c r="AL268" s="65"/>
      <c r="AM268" s="65"/>
      <c r="AN268" s="65"/>
      <c r="AO268" s="65"/>
    </row>
    <row r="269">
      <c r="A269" s="30"/>
      <c r="B269" s="65"/>
      <c r="C269" s="65"/>
      <c r="D269" s="65"/>
      <c r="E269" s="30"/>
      <c r="F269" s="65"/>
      <c r="G269" s="65"/>
      <c r="H269" s="65"/>
      <c r="I269" s="30"/>
      <c r="J269" s="65"/>
      <c r="K269" s="65"/>
      <c r="L269" s="65"/>
      <c r="M269" s="30"/>
      <c r="N269" s="65"/>
      <c r="O269" s="65"/>
      <c r="P269" s="65"/>
      <c r="Q269" s="30"/>
      <c r="R269" s="65"/>
      <c r="S269" s="65"/>
      <c r="T269" s="65"/>
      <c r="U269" s="30"/>
      <c r="V269" s="65"/>
      <c r="W269" s="65"/>
      <c r="X269" s="65"/>
      <c r="Y269" s="30"/>
      <c r="Z269" s="65"/>
      <c r="AA269" s="65"/>
      <c r="AB269" s="65"/>
      <c r="AC269" s="30"/>
      <c r="AD269" s="65"/>
      <c r="AE269" s="65"/>
      <c r="AF269" s="65"/>
      <c r="AG269" s="65"/>
      <c r="AH269" s="30"/>
      <c r="AI269" s="65"/>
      <c r="AJ269" s="65"/>
      <c r="AK269" s="65"/>
      <c r="AL269" s="65"/>
      <c r="AM269" s="65"/>
      <c r="AN269" s="65"/>
      <c r="AO269" s="65"/>
    </row>
    <row r="270">
      <c r="A270" s="30"/>
      <c r="B270" s="65"/>
      <c r="C270" s="65"/>
      <c r="D270" s="65"/>
      <c r="E270" s="30"/>
      <c r="F270" s="65"/>
      <c r="G270" s="65"/>
      <c r="H270" s="65"/>
      <c r="I270" s="30"/>
      <c r="J270" s="65"/>
      <c r="K270" s="65"/>
      <c r="L270" s="65"/>
      <c r="M270" s="30"/>
      <c r="N270" s="65"/>
      <c r="O270" s="65"/>
      <c r="P270" s="65"/>
      <c r="Q270" s="30"/>
      <c r="R270" s="65"/>
      <c r="S270" s="65"/>
      <c r="T270" s="65"/>
      <c r="U270" s="30"/>
      <c r="V270" s="65"/>
      <c r="W270" s="65"/>
      <c r="X270" s="65"/>
      <c r="Y270" s="30"/>
      <c r="Z270" s="65"/>
      <c r="AA270" s="65"/>
      <c r="AB270" s="65"/>
      <c r="AC270" s="30"/>
      <c r="AD270" s="65"/>
      <c r="AE270" s="65"/>
      <c r="AF270" s="65"/>
      <c r="AG270" s="65"/>
      <c r="AH270" s="30"/>
      <c r="AI270" s="65"/>
      <c r="AJ270" s="65"/>
      <c r="AK270" s="65"/>
      <c r="AL270" s="65"/>
      <c r="AM270" s="65"/>
      <c r="AN270" s="65"/>
      <c r="AO270" s="65"/>
    </row>
    <row r="271">
      <c r="A271" s="30"/>
      <c r="B271" s="65"/>
      <c r="C271" s="65"/>
      <c r="D271" s="65"/>
      <c r="E271" s="30"/>
      <c r="F271" s="65"/>
      <c r="G271" s="65"/>
      <c r="H271" s="65"/>
      <c r="I271" s="30"/>
      <c r="J271" s="65"/>
      <c r="K271" s="65"/>
      <c r="L271" s="65"/>
      <c r="M271" s="30"/>
      <c r="N271" s="65"/>
      <c r="O271" s="65"/>
      <c r="P271" s="65"/>
      <c r="Q271" s="30"/>
      <c r="R271" s="65"/>
      <c r="S271" s="65"/>
      <c r="T271" s="65"/>
      <c r="U271" s="30"/>
      <c r="V271" s="65"/>
      <c r="W271" s="65"/>
      <c r="X271" s="65"/>
      <c r="Y271" s="30"/>
      <c r="Z271" s="65"/>
      <c r="AA271" s="65"/>
      <c r="AB271" s="65"/>
      <c r="AC271" s="30"/>
      <c r="AD271" s="65"/>
      <c r="AE271" s="65"/>
      <c r="AF271" s="65"/>
      <c r="AG271" s="65"/>
      <c r="AH271" s="30"/>
      <c r="AI271" s="65"/>
      <c r="AJ271" s="65"/>
      <c r="AK271" s="65"/>
      <c r="AL271" s="65"/>
      <c r="AM271" s="65"/>
      <c r="AN271" s="65"/>
      <c r="AO271" s="65"/>
    </row>
    <row r="272">
      <c r="A272" s="30"/>
      <c r="B272" s="65"/>
      <c r="C272" s="65"/>
      <c r="D272" s="65"/>
      <c r="E272" s="30"/>
      <c r="F272" s="65"/>
      <c r="G272" s="65"/>
      <c r="H272" s="65"/>
      <c r="I272" s="30"/>
      <c r="J272" s="65"/>
      <c r="K272" s="65"/>
      <c r="L272" s="65"/>
      <c r="M272" s="30"/>
      <c r="N272" s="65"/>
      <c r="O272" s="65"/>
      <c r="P272" s="65"/>
      <c r="Q272" s="30"/>
      <c r="R272" s="65"/>
      <c r="S272" s="65"/>
      <c r="T272" s="65"/>
      <c r="U272" s="30"/>
      <c r="V272" s="65"/>
      <c r="W272" s="65"/>
      <c r="X272" s="65"/>
      <c r="Y272" s="30"/>
      <c r="Z272" s="65"/>
      <c r="AA272" s="65"/>
      <c r="AB272" s="65"/>
      <c r="AC272" s="30"/>
      <c r="AD272" s="65"/>
      <c r="AE272" s="65"/>
      <c r="AF272" s="65"/>
      <c r="AG272" s="65"/>
      <c r="AH272" s="30"/>
      <c r="AI272" s="65"/>
      <c r="AJ272" s="65"/>
      <c r="AK272" s="65"/>
      <c r="AL272" s="65"/>
      <c r="AM272" s="65"/>
      <c r="AN272" s="65"/>
      <c r="AO272" s="65"/>
    </row>
    <row r="273">
      <c r="A273" s="30"/>
      <c r="B273" s="65"/>
      <c r="C273" s="65"/>
      <c r="D273" s="65"/>
      <c r="E273" s="30"/>
      <c r="F273" s="65"/>
      <c r="G273" s="65"/>
      <c r="H273" s="65"/>
      <c r="I273" s="30"/>
      <c r="J273" s="65"/>
      <c r="K273" s="65"/>
      <c r="L273" s="65"/>
      <c r="M273" s="30"/>
      <c r="N273" s="65"/>
      <c r="O273" s="65"/>
      <c r="P273" s="65"/>
      <c r="Q273" s="30"/>
      <c r="R273" s="65"/>
      <c r="S273" s="65"/>
      <c r="T273" s="65"/>
      <c r="U273" s="30"/>
      <c r="V273" s="65"/>
      <c r="W273" s="65"/>
      <c r="X273" s="65"/>
      <c r="Y273" s="30"/>
      <c r="Z273" s="65"/>
      <c r="AA273" s="65"/>
      <c r="AB273" s="65"/>
      <c r="AC273" s="30"/>
      <c r="AD273" s="65"/>
      <c r="AE273" s="65"/>
      <c r="AF273" s="65"/>
      <c r="AG273" s="65"/>
      <c r="AH273" s="30"/>
      <c r="AI273" s="65"/>
      <c r="AJ273" s="65"/>
      <c r="AK273" s="65"/>
      <c r="AL273" s="65"/>
      <c r="AM273" s="65"/>
      <c r="AN273" s="65"/>
      <c r="AO273" s="65"/>
    </row>
    <row r="274">
      <c r="A274" s="30"/>
      <c r="B274" s="65"/>
      <c r="C274" s="65"/>
      <c r="D274" s="65"/>
      <c r="E274" s="30"/>
      <c r="F274" s="65"/>
      <c r="G274" s="65"/>
      <c r="H274" s="65"/>
      <c r="I274" s="30"/>
      <c r="J274" s="65"/>
      <c r="K274" s="65"/>
      <c r="L274" s="65"/>
      <c r="M274" s="30"/>
      <c r="N274" s="65"/>
      <c r="O274" s="65"/>
      <c r="P274" s="65"/>
      <c r="Q274" s="30"/>
      <c r="R274" s="65"/>
      <c r="S274" s="65"/>
      <c r="T274" s="65"/>
      <c r="U274" s="30"/>
      <c r="V274" s="65"/>
      <c r="W274" s="65"/>
      <c r="X274" s="65"/>
      <c r="Y274" s="30"/>
      <c r="Z274" s="65"/>
      <c r="AA274" s="65"/>
      <c r="AB274" s="65"/>
      <c r="AC274" s="30"/>
      <c r="AD274" s="65"/>
      <c r="AE274" s="65"/>
      <c r="AF274" s="65"/>
      <c r="AG274" s="65"/>
      <c r="AH274" s="30"/>
      <c r="AI274" s="65"/>
      <c r="AJ274" s="65"/>
      <c r="AK274" s="65"/>
      <c r="AL274" s="65"/>
      <c r="AM274" s="65"/>
      <c r="AN274" s="65"/>
      <c r="AO274" s="65"/>
    </row>
    <row r="275">
      <c r="A275" s="30"/>
      <c r="B275" s="65"/>
      <c r="C275" s="65"/>
      <c r="D275" s="65"/>
      <c r="E275" s="30"/>
      <c r="F275" s="65"/>
      <c r="G275" s="65"/>
      <c r="H275" s="65"/>
      <c r="I275" s="30"/>
      <c r="J275" s="65"/>
      <c r="K275" s="65"/>
      <c r="L275" s="65"/>
      <c r="M275" s="30"/>
      <c r="N275" s="65"/>
      <c r="O275" s="65"/>
      <c r="P275" s="65"/>
      <c r="Q275" s="30"/>
      <c r="R275" s="65"/>
      <c r="S275" s="65"/>
      <c r="T275" s="65"/>
      <c r="U275" s="30"/>
      <c r="V275" s="65"/>
      <c r="W275" s="65"/>
      <c r="X275" s="65"/>
      <c r="Y275" s="30"/>
      <c r="Z275" s="65"/>
      <c r="AA275" s="65"/>
      <c r="AB275" s="65"/>
      <c r="AC275" s="30"/>
      <c r="AD275" s="65"/>
      <c r="AE275" s="65"/>
      <c r="AF275" s="65"/>
      <c r="AG275" s="65"/>
      <c r="AH275" s="30"/>
      <c r="AI275" s="65"/>
      <c r="AJ275" s="65"/>
      <c r="AK275" s="65"/>
      <c r="AL275" s="65"/>
      <c r="AM275" s="65"/>
      <c r="AN275" s="65"/>
      <c r="AO275" s="65"/>
    </row>
    <row r="276">
      <c r="A276" s="30"/>
      <c r="B276" s="65"/>
      <c r="C276" s="65"/>
      <c r="D276" s="65"/>
      <c r="E276" s="30"/>
      <c r="F276" s="65"/>
      <c r="G276" s="65"/>
      <c r="H276" s="65"/>
      <c r="I276" s="30"/>
      <c r="J276" s="65"/>
      <c r="K276" s="65"/>
      <c r="L276" s="65"/>
      <c r="M276" s="30"/>
      <c r="N276" s="65"/>
      <c r="O276" s="65"/>
      <c r="P276" s="65"/>
      <c r="Q276" s="30"/>
      <c r="R276" s="65"/>
      <c r="S276" s="65"/>
      <c r="T276" s="65"/>
      <c r="U276" s="30"/>
      <c r="V276" s="65"/>
      <c r="W276" s="65"/>
      <c r="X276" s="65"/>
      <c r="Y276" s="30"/>
      <c r="Z276" s="65"/>
      <c r="AA276" s="65"/>
      <c r="AB276" s="65"/>
      <c r="AC276" s="30"/>
      <c r="AD276" s="65"/>
      <c r="AE276" s="65"/>
      <c r="AF276" s="65"/>
      <c r="AG276" s="65"/>
      <c r="AH276" s="30"/>
      <c r="AI276" s="65"/>
      <c r="AJ276" s="65"/>
      <c r="AK276" s="65"/>
      <c r="AL276" s="65"/>
      <c r="AM276" s="65"/>
      <c r="AN276" s="65"/>
      <c r="AO276" s="65"/>
    </row>
    <row r="277">
      <c r="A277" s="30"/>
      <c r="B277" s="65"/>
      <c r="C277" s="65"/>
      <c r="D277" s="65"/>
      <c r="E277" s="30"/>
      <c r="F277" s="65"/>
      <c r="G277" s="65"/>
      <c r="H277" s="65"/>
      <c r="I277" s="30"/>
      <c r="J277" s="65"/>
      <c r="K277" s="65"/>
      <c r="L277" s="65"/>
      <c r="M277" s="30"/>
      <c r="N277" s="65"/>
      <c r="O277" s="65"/>
      <c r="P277" s="65"/>
      <c r="Q277" s="30"/>
      <c r="R277" s="65"/>
      <c r="S277" s="65"/>
      <c r="T277" s="65"/>
      <c r="U277" s="30"/>
      <c r="V277" s="65"/>
      <c r="W277" s="65"/>
      <c r="X277" s="65"/>
      <c r="Y277" s="30"/>
      <c r="Z277" s="65"/>
      <c r="AA277" s="65"/>
      <c r="AB277" s="65"/>
      <c r="AC277" s="30"/>
      <c r="AD277" s="65"/>
      <c r="AE277" s="65"/>
      <c r="AF277" s="65"/>
      <c r="AG277" s="65"/>
      <c r="AH277" s="30"/>
      <c r="AI277" s="65"/>
      <c r="AJ277" s="65"/>
      <c r="AK277" s="65"/>
      <c r="AL277" s="65"/>
      <c r="AM277" s="65"/>
      <c r="AN277" s="65"/>
      <c r="AO277" s="65"/>
    </row>
    <row r="278">
      <c r="A278" s="30"/>
      <c r="B278" s="65"/>
      <c r="C278" s="65"/>
      <c r="D278" s="65"/>
      <c r="E278" s="30"/>
      <c r="F278" s="65"/>
      <c r="G278" s="65"/>
      <c r="H278" s="65"/>
      <c r="I278" s="30"/>
      <c r="J278" s="65"/>
      <c r="K278" s="65"/>
      <c r="L278" s="65"/>
      <c r="M278" s="30"/>
      <c r="N278" s="65"/>
      <c r="O278" s="65"/>
      <c r="P278" s="65"/>
      <c r="Q278" s="30"/>
      <c r="R278" s="65"/>
      <c r="S278" s="65"/>
      <c r="T278" s="65"/>
      <c r="U278" s="30"/>
      <c r="V278" s="65"/>
      <c r="W278" s="65"/>
      <c r="X278" s="65"/>
      <c r="Y278" s="30"/>
      <c r="Z278" s="65"/>
      <c r="AA278" s="65"/>
      <c r="AB278" s="65"/>
      <c r="AC278" s="30"/>
      <c r="AD278" s="65"/>
      <c r="AE278" s="65"/>
      <c r="AF278" s="65"/>
      <c r="AG278" s="65"/>
      <c r="AH278" s="30"/>
      <c r="AI278" s="65"/>
      <c r="AJ278" s="65"/>
      <c r="AK278" s="65"/>
      <c r="AL278" s="65"/>
      <c r="AM278" s="65"/>
      <c r="AN278" s="65"/>
      <c r="AO278" s="65"/>
    </row>
    <row r="279">
      <c r="A279" s="30"/>
      <c r="B279" s="65"/>
      <c r="C279" s="65"/>
      <c r="D279" s="65"/>
      <c r="E279" s="30"/>
      <c r="F279" s="65"/>
      <c r="G279" s="65"/>
      <c r="H279" s="65"/>
      <c r="I279" s="30"/>
      <c r="J279" s="65"/>
      <c r="K279" s="65"/>
      <c r="L279" s="65"/>
      <c r="M279" s="30"/>
      <c r="N279" s="65"/>
      <c r="O279" s="65"/>
      <c r="P279" s="65"/>
      <c r="Q279" s="30"/>
      <c r="R279" s="65"/>
      <c r="S279" s="65"/>
      <c r="T279" s="65"/>
      <c r="U279" s="30"/>
      <c r="V279" s="65"/>
      <c r="W279" s="65"/>
      <c r="X279" s="65"/>
      <c r="Y279" s="30"/>
      <c r="Z279" s="65"/>
      <c r="AA279" s="65"/>
      <c r="AB279" s="65"/>
      <c r="AC279" s="30"/>
      <c r="AD279" s="65"/>
      <c r="AE279" s="65"/>
      <c r="AF279" s="65"/>
      <c r="AG279" s="65"/>
      <c r="AH279" s="30"/>
      <c r="AI279" s="65"/>
      <c r="AJ279" s="65"/>
      <c r="AK279" s="65"/>
      <c r="AL279" s="65"/>
      <c r="AM279" s="65"/>
      <c r="AN279" s="65"/>
      <c r="AO279" s="65"/>
    </row>
    <row r="280">
      <c r="A280" s="30"/>
      <c r="B280" s="65"/>
      <c r="C280" s="65"/>
      <c r="D280" s="65"/>
      <c r="E280" s="30"/>
      <c r="F280" s="65"/>
      <c r="G280" s="65"/>
      <c r="H280" s="65"/>
      <c r="I280" s="30"/>
      <c r="J280" s="65"/>
      <c r="K280" s="65"/>
      <c r="L280" s="65"/>
      <c r="M280" s="30"/>
      <c r="N280" s="65"/>
      <c r="O280" s="65"/>
      <c r="P280" s="65"/>
      <c r="Q280" s="30"/>
      <c r="R280" s="65"/>
      <c r="S280" s="65"/>
      <c r="T280" s="65"/>
      <c r="U280" s="30"/>
      <c r="V280" s="65"/>
      <c r="W280" s="65"/>
      <c r="X280" s="65"/>
      <c r="Y280" s="30"/>
      <c r="Z280" s="65"/>
      <c r="AA280" s="65"/>
      <c r="AB280" s="65"/>
      <c r="AC280" s="30"/>
      <c r="AD280" s="65"/>
      <c r="AE280" s="65"/>
      <c r="AF280" s="65"/>
      <c r="AG280" s="65"/>
      <c r="AH280" s="30"/>
      <c r="AI280" s="65"/>
      <c r="AJ280" s="65"/>
      <c r="AK280" s="65"/>
      <c r="AL280" s="65"/>
      <c r="AM280" s="65"/>
      <c r="AN280" s="65"/>
      <c r="AO280" s="65"/>
    </row>
    <row r="281">
      <c r="A281" s="30"/>
      <c r="B281" s="65"/>
      <c r="C281" s="65"/>
      <c r="D281" s="65"/>
      <c r="E281" s="30"/>
      <c r="F281" s="65"/>
      <c r="G281" s="65"/>
      <c r="H281" s="65"/>
      <c r="I281" s="30"/>
      <c r="J281" s="65"/>
      <c r="K281" s="65"/>
      <c r="L281" s="65"/>
      <c r="M281" s="30"/>
      <c r="N281" s="65"/>
      <c r="O281" s="65"/>
      <c r="P281" s="65"/>
      <c r="Q281" s="30"/>
      <c r="R281" s="65"/>
      <c r="S281" s="65"/>
      <c r="T281" s="65"/>
      <c r="U281" s="30"/>
      <c r="V281" s="65"/>
      <c r="W281" s="65"/>
      <c r="X281" s="65"/>
      <c r="Y281" s="30"/>
      <c r="Z281" s="65"/>
      <c r="AA281" s="65"/>
      <c r="AB281" s="65"/>
      <c r="AC281" s="30"/>
      <c r="AD281" s="65"/>
      <c r="AE281" s="65"/>
      <c r="AF281" s="65"/>
      <c r="AG281" s="65"/>
      <c r="AH281" s="30"/>
      <c r="AI281" s="65"/>
      <c r="AJ281" s="65"/>
      <c r="AK281" s="65"/>
      <c r="AL281" s="65"/>
      <c r="AM281" s="65"/>
      <c r="AN281" s="65"/>
      <c r="AO281" s="65"/>
    </row>
    <row r="282">
      <c r="A282" s="30"/>
      <c r="B282" s="65"/>
      <c r="C282" s="65"/>
      <c r="D282" s="65"/>
      <c r="E282" s="30"/>
      <c r="F282" s="65"/>
      <c r="G282" s="65"/>
      <c r="H282" s="65"/>
      <c r="I282" s="30"/>
      <c r="J282" s="65"/>
      <c r="K282" s="65"/>
      <c r="L282" s="65"/>
      <c r="M282" s="30"/>
      <c r="N282" s="65"/>
      <c r="O282" s="65"/>
      <c r="P282" s="65"/>
      <c r="Q282" s="30"/>
      <c r="R282" s="65"/>
      <c r="S282" s="65"/>
      <c r="T282" s="65"/>
      <c r="U282" s="30"/>
      <c r="V282" s="65"/>
      <c r="W282" s="65"/>
      <c r="X282" s="65"/>
      <c r="Y282" s="30"/>
      <c r="Z282" s="65"/>
      <c r="AA282" s="65"/>
      <c r="AB282" s="65"/>
      <c r="AC282" s="30"/>
      <c r="AD282" s="65"/>
      <c r="AE282" s="65"/>
      <c r="AF282" s="65"/>
      <c r="AG282" s="65"/>
      <c r="AH282" s="30"/>
      <c r="AI282" s="65"/>
      <c r="AJ282" s="65"/>
      <c r="AK282" s="65"/>
      <c r="AL282" s="65"/>
      <c r="AM282" s="65"/>
      <c r="AN282" s="65"/>
      <c r="AO282" s="65"/>
    </row>
    <row r="283">
      <c r="A283" s="30"/>
      <c r="B283" s="65"/>
      <c r="C283" s="65"/>
      <c r="D283" s="65"/>
      <c r="E283" s="30"/>
      <c r="F283" s="65"/>
      <c r="G283" s="65"/>
      <c r="H283" s="65"/>
      <c r="I283" s="30"/>
      <c r="J283" s="65"/>
      <c r="K283" s="65"/>
      <c r="L283" s="65"/>
      <c r="M283" s="30"/>
      <c r="N283" s="65"/>
      <c r="O283" s="65"/>
      <c r="P283" s="65"/>
      <c r="Q283" s="30"/>
      <c r="R283" s="65"/>
      <c r="S283" s="65"/>
      <c r="T283" s="65"/>
      <c r="U283" s="30"/>
      <c r="V283" s="65"/>
      <c r="W283" s="65"/>
      <c r="X283" s="65"/>
      <c r="Y283" s="30"/>
      <c r="Z283" s="65"/>
      <c r="AA283" s="65"/>
      <c r="AB283" s="65"/>
      <c r="AC283" s="30"/>
      <c r="AD283" s="65"/>
      <c r="AE283" s="65"/>
      <c r="AF283" s="65"/>
      <c r="AG283" s="65"/>
      <c r="AH283" s="30"/>
      <c r="AI283" s="65"/>
      <c r="AJ283" s="65"/>
      <c r="AK283" s="65"/>
      <c r="AL283" s="65"/>
      <c r="AM283" s="65"/>
      <c r="AN283" s="65"/>
      <c r="AO283" s="65"/>
    </row>
    <row r="284">
      <c r="A284" s="30"/>
      <c r="B284" s="65"/>
      <c r="C284" s="65"/>
      <c r="D284" s="65"/>
      <c r="E284" s="30"/>
      <c r="F284" s="65"/>
      <c r="G284" s="65"/>
      <c r="H284" s="65"/>
      <c r="I284" s="30"/>
      <c r="J284" s="65"/>
      <c r="K284" s="65"/>
      <c r="L284" s="65"/>
      <c r="M284" s="30"/>
      <c r="N284" s="65"/>
      <c r="O284" s="65"/>
      <c r="P284" s="65"/>
      <c r="Q284" s="30"/>
      <c r="R284" s="65"/>
      <c r="S284" s="65"/>
      <c r="T284" s="65"/>
      <c r="U284" s="30"/>
      <c r="V284" s="65"/>
      <c r="W284" s="65"/>
      <c r="X284" s="65"/>
      <c r="Y284" s="30"/>
      <c r="Z284" s="65"/>
      <c r="AA284" s="65"/>
      <c r="AB284" s="65"/>
      <c r="AC284" s="30"/>
      <c r="AD284" s="65"/>
      <c r="AE284" s="65"/>
      <c r="AF284" s="65"/>
      <c r="AG284" s="65"/>
      <c r="AH284" s="30"/>
      <c r="AI284" s="65"/>
      <c r="AJ284" s="65"/>
      <c r="AK284" s="65"/>
      <c r="AL284" s="65"/>
      <c r="AM284" s="65"/>
      <c r="AN284" s="65"/>
      <c r="AO284" s="65"/>
    </row>
    <row r="285">
      <c r="A285" s="30"/>
      <c r="B285" s="65"/>
      <c r="C285" s="65"/>
      <c r="D285" s="65"/>
      <c r="E285" s="30"/>
      <c r="F285" s="65"/>
      <c r="G285" s="65"/>
      <c r="H285" s="65"/>
      <c r="I285" s="30"/>
      <c r="J285" s="65"/>
      <c r="K285" s="65"/>
      <c r="L285" s="65"/>
      <c r="M285" s="30"/>
      <c r="N285" s="65"/>
      <c r="O285" s="65"/>
      <c r="P285" s="65"/>
      <c r="Q285" s="30"/>
      <c r="R285" s="65"/>
      <c r="S285" s="65"/>
      <c r="T285" s="65"/>
      <c r="U285" s="30"/>
      <c r="V285" s="65"/>
      <c r="W285" s="65"/>
      <c r="X285" s="65"/>
      <c r="Y285" s="30"/>
      <c r="Z285" s="65"/>
      <c r="AA285" s="65"/>
      <c r="AB285" s="65"/>
      <c r="AC285" s="30"/>
      <c r="AD285" s="65"/>
      <c r="AE285" s="65"/>
      <c r="AF285" s="65"/>
      <c r="AG285" s="65"/>
      <c r="AH285" s="30"/>
      <c r="AI285" s="65"/>
      <c r="AJ285" s="65"/>
      <c r="AK285" s="65"/>
      <c r="AL285" s="65"/>
      <c r="AM285" s="65"/>
      <c r="AN285" s="65"/>
      <c r="AO285" s="65"/>
    </row>
    <row r="286">
      <c r="A286" s="30"/>
      <c r="B286" s="65"/>
      <c r="C286" s="65"/>
      <c r="D286" s="65"/>
      <c r="E286" s="30"/>
      <c r="F286" s="65"/>
      <c r="G286" s="65"/>
      <c r="H286" s="65"/>
      <c r="I286" s="30"/>
      <c r="J286" s="65"/>
      <c r="K286" s="65"/>
      <c r="L286" s="65"/>
      <c r="M286" s="30"/>
      <c r="N286" s="65"/>
      <c r="O286" s="65"/>
      <c r="P286" s="65"/>
      <c r="Q286" s="30"/>
      <c r="R286" s="65"/>
      <c r="S286" s="65"/>
      <c r="T286" s="65"/>
      <c r="U286" s="30"/>
      <c r="V286" s="65"/>
      <c r="W286" s="65"/>
      <c r="X286" s="65"/>
      <c r="Y286" s="30"/>
      <c r="Z286" s="65"/>
      <c r="AA286" s="65"/>
      <c r="AB286" s="65"/>
      <c r="AC286" s="30"/>
      <c r="AD286" s="65"/>
      <c r="AE286" s="65"/>
      <c r="AF286" s="65"/>
      <c r="AG286" s="65"/>
      <c r="AH286" s="30"/>
      <c r="AI286" s="65"/>
      <c r="AJ286" s="65"/>
      <c r="AK286" s="65"/>
      <c r="AL286" s="65"/>
      <c r="AM286" s="65"/>
      <c r="AN286" s="65"/>
      <c r="AO286" s="65"/>
    </row>
    <row r="287">
      <c r="A287" s="30"/>
      <c r="B287" s="65"/>
      <c r="C287" s="65"/>
      <c r="D287" s="65"/>
      <c r="E287" s="30"/>
      <c r="F287" s="65"/>
      <c r="G287" s="65"/>
      <c r="H287" s="65"/>
      <c r="I287" s="30"/>
      <c r="J287" s="65"/>
      <c r="K287" s="65"/>
      <c r="L287" s="65"/>
      <c r="M287" s="30"/>
      <c r="N287" s="65"/>
      <c r="O287" s="65"/>
      <c r="P287" s="65"/>
      <c r="Q287" s="30"/>
      <c r="R287" s="65"/>
      <c r="S287" s="65"/>
      <c r="T287" s="65"/>
      <c r="U287" s="30"/>
      <c r="V287" s="65"/>
      <c r="W287" s="65"/>
      <c r="X287" s="65"/>
      <c r="Y287" s="30"/>
      <c r="Z287" s="65"/>
      <c r="AA287" s="65"/>
      <c r="AB287" s="65"/>
      <c r="AC287" s="30"/>
      <c r="AD287" s="65"/>
      <c r="AE287" s="65"/>
      <c r="AF287" s="65"/>
      <c r="AG287" s="65"/>
      <c r="AH287" s="30"/>
      <c r="AI287" s="65"/>
      <c r="AJ287" s="65"/>
      <c r="AK287" s="65"/>
      <c r="AL287" s="65"/>
      <c r="AM287" s="65"/>
      <c r="AN287" s="65"/>
      <c r="AO287" s="65"/>
    </row>
    <row r="288">
      <c r="A288" s="30"/>
      <c r="B288" s="65"/>
      <c r="C288" s="65"/>
      <c r="D288" s="65"/>
      <c r="E288" s="30"/>
      <c r="F288" s="65"/>
      <c r="G288" s="65"/>
      <c r="H288" s="65"/>
      <c r="I288" s="30"/>
      <c r="J288" s="65"/>
      <c r="K288" s="65"/>
      <c r="L288" s="65"/>
      <c r="M288" s="30"/>
      <c r="N288" s="65"/>
      <c r="O288" s="65"/>
      <c r="P288" s="65"/>
      <c r="Q288" s="30"/>
      <c r="R288" s="65"/>
      <c r="S288" s="65"/>
      <c r="T288" s="65"/>
      <c r="U288" s="30"/>
      <c r="V288" s="65"/>
      <c r="W288" s="65"/>
      <c r="X288" s="65"/>
      <c r="Y288" s="30"/>
      <c r="Z288" s="65"/>
      <c r="AA288" s="65"/>
      <c r="AB288" s="65"/>
      <c r="AC288" s="30"/>
      <c r="AD288" s="65"/>
      <c r="AE288" s="65"/>
      <c r="AF288" s="65"/>
      <c r="AG288" s="65"/>
      <c r="AH288" s="30"/>
      <c r="AI288" s="65"/>
      <c r="AJ288" s="65"/>
      <c r="AK288" s="65"/>
      <c r="AL288" s="65"/>
      <c r="AM288" s="65"/>
      <c r="AN288" s="65"/>
      <c r="AO288" s="65"/>
    </row>
    <row r="289">
      <c r="A289" s="30"/>
      <c r="B289" s="65"/>
      <c r="C289" s="65"/>
      <c r="D289" s="65"/>
      <c r="E289" s="30"/>
      <c r="F289" s="65"/>
      <c r="G289" s="65"/>
      <c r="H289" s="65"/>
      <c r="I289" s="30"/>
      <c r="J289" s="65"/>
      <c r="K289" s="65"/>
      <c r="L289" s="65"/>
      <c r="M289" s="30"/>
      <c r="N289" s="65"/>
      <c r="O289" s="65"/>
      <c r="P289" s="65"/>
      <c r="Q289" s="30"/>
      <c r="R289" s="65"/>
      <c r="S289" s="65"/>
      <c r="T289" s="65"/>
      <c r="U289" s="30"/>
      <c r="V289" s="65"/>
      <c r="W289" s="65"/>
      <c r="X289" s="65"/>
      <c r="Y289" s="30"/>
      <c r="Z289" s="65"/>
      <c r="AA289" s="65"/>
      <c r="AB289" s="65"/>
      <c r="AC289" s="30"/>
      <c r="AD289" s="65"/>
      <c r="AE289" s="65"/>
      <c r="AF289" s="65"/>
      <c r="AG289" s="65"/>
      <c r="AH289" s="30"/>
      <c r="AI289" s="65"/>
      <c r="AJ289" s="65"/>
      <c r="AK289" s="65"/>
      <c r="AL289" s="65"/>
      <c r="AM289" s="65"/>
      <c r="AN289" s="65"/>
      <c r="AO289" s="65"/>
    </row>
    <row r="290">
      <c r="A290" s="30"/>
      <c r="B290" s="65"/>
      <c r="C290" s="65"/>
      <c r="D290" s="65"/>
      <c r="E290" s="30"/>
      <c r="F290" s="65"/>
      <c r="G290" s="65"/>
      <c r="H290" s="65"/>
      <c r="I290" s="30"/>
      <c r="J290" s="65"/>
      <c r="K290" s="65"/>
      <c r="L290" s="65"/>
      <c r="M290" s="30"/>
      <c r="N290" s="65"/>
      <c r="O290" s="65"/>
      <c r="P290" s="65"/>
      <c r="Q290" s="30"/>
      <c r="R290" s="65"/>
      <c r="S290" s="65"/>
      <c r="T290" s="65"/>
      <c r="U290" s="30"/>
      <c r="V290" s="65"/>
      <c r="W290" s="65"/>
      <c r="X290" s="65"/>
      <c r="Y290" s="30"/>
      <c r="Z290" s="65"/>
      <c r="AA290" s="65"/>
      <c r="AB290" s="65"/>
      <c r="AC290" s="30"/>
      <c r="AD290" s="65"/>
      <c r="AE290" s="65"/>
      <c r="AF290" s="65"/>
      <c r="AG290" s="65"/>
      <c r="AH290" s="30"/>
      <c r="AI290" s="65"/>
      <c r="AJ290" s="65"/>
      <c r="AK290" s="65"/>
      <c r="AL290" s="65"/>
      <c r="AM290" s="65"/>
      <c r="AN290" s="65"/>
      <c r="AO290" s="65"/>
    </row>
    <row r="291">
      <c r="A291" s="30"/>
      <c r="B291" s="65"/>
      <c r="C291" s="65"/>
      <c r="D291" s="65"/>
      <c r="E291" s="30"/>
      <c r="F291" s="65"/>
      <c r="G291" s="65"/>
      <c r="H291" s="65"/>
      <c r="I291" s="30"/>
      <c r="J291" s="65"/>
      <c r="K291" s="65"/>
      <c r="L291" s="65"/>
      <c r="M291" s="30"/>
      <c r="N291" s="65"/>
      <c r="O291" s="65"/>
      <c r="P291" s="65"/>
      <c r="Q291" s="30"/>
      <c r="R291" s="65"/>
      <c r="S291" s="65"/>
      <c r="T291" s="65"/>
      <c r="U291" s="30"/>
      <c r="V291" s="65"/>
      <c r="W291" s="65"/>
      <c r="X291" s="65"/>
      <c r="Y291" s="30"/>
      <c r="Z291" s="65"/>
      <c r="AA291" s="65"/>
      <c r="AB291" s="65"/>
      <c r="AC291" s="30"/>
      <c r="AD291" s="65"/>
      <c r="AE291" s="65"/>
      <c r="AF291" s="65"/>
      <c r="AG291" s="65"/>
      <c r="AH291" s="30"/>
      <c r="AI291" s="65"/>
      <c r="AJ291" s="65"/>
      <c r="AK291" s="65"/>
      <c r="AL291" s="65"/>
      <c r="AM291" s="65"/>
      <c r="AN291" s="65"/>
      <c r="AO291" s="65"/>
    </row>
    <row r="292">
      <c r="A292" s="30"/>
      <c r="B292" s="65"/>
      <c r="C292" s="65"/>
      <c r="D292" s="65"/>
      <c r="E292" s="30"/>
      <c r="F292" s="65"/>
      <c r="G292" s="65"/>
      <c r="H292" s="65"/>
      <c r="I292" s="30"/>
      <c r="J292" s="65"/>
      <c r="K292" s="65"/>
      <c r="L292" s="65"/>
      <c r="M292" s="30"/>
      <c r="N292" s="65"/>
      <c r="O292" s="65"/>
      <c r="P292" s="65"/>
      <c r="Q292" s="30"/>
      <c r="R292" s="65"/>
      <c r="S292" s="65"/>
      <c r="T292" s="65"/>
      <c r="U292" s="30"/>
      <c r="V292" s="65"/>
      <c r="W292" s="65"/>
      <c r="X292" s="65"/>
      <c r="Y292" s="30"/>
      <c r="Z292" s="65"/>
      <c r="AA292" s="65"/>
      <c r="AB292" s="65"/>
      <c r="AC292" s="30"/>
      <c r="AD292" s="65"/>
      <c r="AE292" s="65"/>
      <c r="AF292" s="65"/>
      <c r="AG292" s="65"/>
      <c r="AH292" s="30"/>
      <c r="AI292" s="65"/>
      <c r="AJ292" s="65"/>
      <c r="AK292" s="65"/>
      <c r="AL292" s="65"/>
      <c r="AM292" s="65"/>
      <c r="AN292" s="65"/>
      <c r="AO292" s="65"/>
    </row>
    <row r="293">
      <c r="A293" s="30"/>
      <c r="B293" s="65"/>
      <c r="C293" s="65"/>
      <c r="D293" s="65"/>
      <c r="E293" s="30"/>
      <c r="F293" s="65"/>
      <c r="G293" s="65"/>
      <c r="H293" s="65"/>
      <c r="I293" s="30"/>
      <c r="J293" s="65"/>
      <c r="K293" s="65"/>
      <c r="L293" s="65"/>
      <c r="M293" s="30"/>
      <c r="N293" s="65"/>
      <c r="O293" s="65"/>
      <c r="P293" s="65"/>
      <c r="Q293" s="30"/>
      <c r="R293" s="65"/>
      <c r="S293" s="65"/>
      <c r="T293" s="65"/>
      <c r="U293" s="30"/>
      <c r="V293" s="65"/>
      <c r="W293" s="65"/>
      <c r="X293" s="65"/>
      <c r="Y293" s="30"/>
      <c r="Z293" s="65"/>
      <c r="AA293" s="65"/>
      <c r="AB293" s="65"/>
      <c r="AC293" s="30"/>
      <c r="AD293" s="65"/>
      <c r="AE293" s="65"/>
      <c r="AF293" s="65"/>
      <c r="AG293" s="65"/>
      <c r="AH293" s="30"/>
      <c r="AI293" s="65"/>
      <c r="AJ293" s="65"/>
      <c r="AK293" s="65"/>
      <c r="AL293" s="65"/>
      <c r="AM293" s="65"/>
      <c r="AN293" s="65"/>
      <c r="AO293" s="65"/>
    </row>
    <row r="294">
      <c r="A294" s="30"/>
      <c r="B294" s="65"/>
      <c r="C294" s="65"/>
      <c r="D294" s="65"/>
      <c r="E294" s="30"/>
      <c r="F294" s="65"/>
      <c r="G294" s="65"/>
      <c r="H294" s="65"/>
      <c r="I294" s="30"/>
      <c r="J294" s="65"/>
      <c r="K294" s="65"/>
      <c r="L294" s="65"/>
      <c r="M294" s="30"/>
      <c r="N294" s="65"/>
      <c r="O294" s="65"/>
      <c r="P294" s="65"/>
      <c r="Q294" s="30"/>
      <c r="R294" s="65"/>
      <c r="S294" s="65"/>
      <c r="T294" s="65"/>
      <c r="U294" s="30"/>
      <c r="V294" s="65"/>
      <c r="W294" s="65"/>
      <c r="X294" s="65"/>
      <c r="Y294" s="30"/>
      <c r="Z294" s="65"/>
      <c r="AA294" s="65"/>
      <c r="AB294" s="65"/>
      <c r="AC294" s="30"/>
      <c r="AD294" s="65"/>
      <c r="AE294" s="65"/>
      <c r="AF294" s="65"/>
      <c r="AG294" s="65"/>
      <c r="AH294" s="30"/>
      <c r="AI294" s="65"/>
      <c r="AJ294" s="65"/>
      <c r="AK294" s="65"/>
      <c r="AL294" s="65"/>
      <c r="AM294" s="65"/>
      <c r="AN294" s="65"/>
      <c r="AO294" s="65"/>
    </row>
    <row r="295">
      <c r="A295" s="30"/>
      <c r="B295" s="65"/>
      <c r="C295" s="65"/>
      <c r="D295" s="65"/>
      <c r="E295" s="30"/>
      <c r="F295" s="65"/>
      <c r="G295" s="65"/>
      <c r="H295" s="65"/>
      <c r="I295" s="30"/>
      <c r="J295" s="65"/>
      <c r="K295" s="65"/>
      <c r="L295" s="65"/>
      <c r="M295" s="30"/>
      <c r="N295" s="65"/>
      <c r="O295" s="65"/>
      <c r="P295" s="65"/>
      <c r="Q295" s="30"/>
      <c r="R295" s="65"/>
      <c r="S295" s="65"/>
      <c r="T295" s="65"/>
      <c r="U295" s="30"/>
      <c r="V295" s="65"/>
      <c r="W295" s="65"/>
      <c r="X295" s="65"/>
      <c r="Y295" s="30"/>
      <c r="Z295" s="65"/>
      <c r="AA295" s="65"/>
      <c r="AB295" s="65"/>
      <c r="AC295" s="30"/>
      <c r="AD295" s="65"/>
      <c r="AE295" s="65"/>
      <c r="AF295" s="65"/>
      <c r="AG295" s="65"/>
      <c r="AH295" s="30"/>
      <c r="AI295" s="65"/>
      <c r="AJ295" s="65"/>
      <c r="AK295" s="65"/>
      <c r="AL295" s="65"/>
      <c r="AM295" s="65"/>
      <c r="AN295" s="65"/>
      <c r="AO295" s="65"/>
    </row>
    <row r="296">
      <c r="A296" s="30"/>
      <c r="B296" s="65"/>
      <c r="C296" s="65"/>
      <c r="D296" s="65"/>
      <c r="E296" s="30"/>
      <c r="F296" s="65"/>
      <c r="G296" s="65"/>
      <c r="H296" s="65"/>
      <c r="I296" s="30"/>
      <c r="J296" s="65"/>
      <c r="K296" s="65"/>
      <c r="L296" s="65"/>
      <c r="M296" s="30"/>
      <c r="N296" s="65"/>
      <c r="O296" s="65"/>
      <c r="P296" s="65"/>
      <c r="Q296" s="30"/>
      <c r="R296" s="65"/>
      <c r="S296" s="65"/>
      <c r="T296" s="65"/>
      <c r="U296" s="30"/>
      <c r="V296" s="65"/>
      <c r="W296" s="65"/>
      <c r="X296" s="65"/>
      <c r="Y296" s="30"/>
      <c r="Z296" s="65"/>
      <c r="AA296" s="65"/>
      <c r="AB296" s="65"/>
      <c r="AC296" s="30"/>
      <c r="AD296" s="65"/>
      <c r="AE296" s="65"/>
      <c r="AF296" s="65"/>
      <c r="AG296" s="65"/>
      <c r="AH296" s="30"/>
      <c r="AI296" s="65"/>
      <c r="AJ296" s="65"/>
      <c r="AK296" s="65"/>
      <c r="AL296" s="65"/>
      <c r="AM296" s="65"/>
      <c r="AN296" s="65"/>
      <c r="AO296" s="65"/>
    </row>
    <row r="297">
      <c r="A297" s="30"/>
      <c r="B297" s="65"/>
      <c r="C297" s="65"/>
      <c r="D297" s="65"/>
      <c r="E297" s="30"/>
      <c r="F297" s="65"/>
      <c r="G297" s="65"/>
      <c r="H297" s="65"/>
      <c r="I297" s="30"/>
      <c r="J297" s="65"/>
      <c r="K297" s="65"/>
      <c r="L297" s="65"/>
      <c r="M297" s="30"/>
      <c r="N297" s="65"/>
      <c r="O297" s="65"/>
      <c r="P297" s="65"/>
      <c r="Q297" s="30"/>
      <c r="R297" s="65"/>
      <c r="S297" s="65"/>
      <c r="T297" s="65"/>
      <c r="U297" s="30"/>
      <c r="V297" s="65"/>
      <c r="W297" s="65"/>
      <c r="X297" s="65"/>
      <c r="Y297" s="30"/>
      <c r="Z297" s="65"/>
      <c r="AA297" s="65"/>
      <c r="AB297" s="65"/>
      <c r="AC297" s="30"/>
      <c r="AD297" s="65"/>
      <c r="AE297" s="65"/>
      <c r="AF297" s="65"/>
      <c r="AG297" s="65"/>
      <c r="AH297" s="30"/>
      <c r="AI297" s="65"/>
      <c r="AJ297" s="65"/>
      <c r="AK297" s="65"/>
      <c r="AL297" s="65"/>
      <c r="AM297" s="65"/>
      <c r="AN297" s="65"/>
      <c r="AO297" s="65"/>
    </row>
    <row r="298">
      <c r="A298" s="30"/>
      <c r="B298" s="65"/>
      <c r="C298" s="65"/>
      <c r="D298" s="65"/>
      <c r="E298" s="30"/>
      <c r="F298" s="65"/>
      <c r="G298" s="65"/>
      <c r="H298" s="65"/>
      <c r="I298" s="30"/>
      <c r="J298" s="65"/>
      <c r="K298" s="65"/>
      <c r="L298" s="65"/>
      <c r="M298" s="30"/>
      <c r="N298" s="65"/>
      <c r="O298" s="65"/>
      <c r="P298" s="65"/>
      <c r="Q298" s="30"/>
      <c r="R298" s="65"/>
      <c r="S298" s="65"/>
      <c r="T298" s="65"/>
      <c r="U298" s="30"/>
      <c r="V298" s="65"/>
      <c r="W298" s="65"/>
      <c r="X298" s="65"/>
      <c r="Y298" s="30"/>
      <c r="Z298" s="65"/>
      <c r="AA298" s="65"/>
      <c r="AB298" s="65"/>
      <c r="AC298" s="30"/>
      <c r="AD298" s="65"/>
      <c r="AE298" s="65"/>
      <c r="AF298" s="65"/>
      <c r="AG298" s="65"/>
      <c r="AH298" s="30"/>
      <c r="AI298" s="65"/>
      <c r="AJ298" s="65"/>
      <c r="AK298" s="65"/>
      <c r="AL298" s="65"/>
      <c r="AM298" s="65"/>
      <c r="AN298" s="65"/>
      <c r="AO298" s="65"/>
    </row>
    <row r="299">
      <c r="A299" s="30"/>
      <c r="B299" s="65"/>
      <c r="C299" s="65"/>
      <c r="D299" s="65"/>
      <c r="E299" s="30"/>
      <c r="F299" s="65"/>
      <c r="G299" s="65"/>
      <c r="H299" s="65"/>
      <c r="I299" s="30"/>
      <c r="J299" s="65"/>
      <c r="K299" s="65"/>
      <c r="L299" s="65"/>
      <c r="M299" s="30"/>
      <c r="N299" s="65"/>
      <c r="O299" s="65"/>
      <c r="P299" s="65"/>
      <c r="Q299" s="30"/>
      <c r="R299" s="65"/>
      <c r="S299" s="65"/>
      <c r="T299" s="65"/>
      <c r="U299" s="30"/>
      <c r="V299" s="65"/>
      <c r="W299" s="65"/>
      <c r="X299" s="65"/>
      <c r="Y299" s="30"/>
      <c r="Z299" s="65"/>
      <c r="AA299" s="65"/>
      <c r="AB299" s="65"/>
      <c r="AC299" s="30"/>
      <c r="AD299" s="65"/>
      <c r="AE299" s="65"/>
      <c r="AF299" s="65"/>
      <c r="AG299" s="65"/>
      <c r="AH299" s="30"/>
      <c r="AI299" s="65"/>
      <c r="AJ299" s="65"/>
      <c r="AK299" s="65"/>
      <c r="AL299" s="65"/>
      <c r="AM299" s="65"/>
      <c r="AN299" s="65"/>
      <c r="AO299" s="65"/>
    </row>
    <row r="300">
      <c r="A300" s="30"/>
      <c r="B300" s="65"/>
      <c r="C300" s="65"/>
      <c r="D300" s="65"/>
      <c r="E300" s="30"/>
      <c r="F300" s="65"/>
      <c r="G300" s="65"/>
      <c r="H300" s="65"/>
      <c r="I300" s="30"/>
      <c r="J300" s="65"/>
      <c r="K300" s="65"/>
      <c r="L300" s="65"/>
      <c r="M300" s="30"/>
      <c r="N300" s="65"/>
      <c r="O300" s="65"/>
      <c r="P300" s="65"/>
      <c r="Q300" s="30"/>
      <c r="R300" s="65"/>
      <c r="S300" s="65"/>
      <c r="T300" s="65"/>
      <c r="U300" s="30"/>
      <c r="V300" s="65"/>
      <c r="W300" s="65"/>
      <c r="X300" s="65"/>
      <c r="Y300" s="30"/>
      <c r="Z300" s="65"/>
      <c r="AA300" s="65"/>
      <c r="AB300" s="65"/>
      <c r="AC300" s="30"/>
      <c r="AD300" s="65"/>
      <c r="AE300" s="65"/>
      <c r="AF300" s="65"/>
      <c r="AG300" s="65"/>
      <c r="AH300" s="30"/>
      <c r="AI300" s="65"/>
      <c r="AJ300" s="65"/>
      <c r="AK300" s="65"/>
      <c r="AL300" s="65"/>
      <c r="AM300" s="65"/>
      <c r="AN300" s="65"/>
      <c r="AO300" s="65"/>
    </row>
    <row r="301">
      <c r="A301" s="30"/>
      <c r="B301" s="65"/>
      <c r="C301" s="65"/>
      <c r="D301" s="65"/>
      <c r="E301" s="30"/>
      <c r="F301" s="65"/>
      <c r="G301" s="65"/>
      <c r="H301" s="65"/>
      <c r="I301" s="30"/>
      <c r="J301" s="65"/>
      <c r="K301" s="65"/>
      <c r="L301" s="65"/>
      <c r="M301" s="30"/>
      <c r="N301" s="65"/>
      <c r="O301" s="65"/>
      <c r="P301" s="65"/>
      <c r="Q301" s="30"/>
      <c r="R301" s="65"/>
      <c r="S301" s="65"/>
      <c r="T301" s="65"/>
      <c r="U301" s="30"/>
      <c r="V301" s="65"/>
      <c r="W301" s="65"/>
      <c r="X301" s="65"/>
      <c r="Y301" s="30"/>
      <c r="Z301" s="65"/>
      <c r="AA301" s="65"/>
      <c r="AB301" s="65"/>
      <c r="AC301" s="30"/>
      <c r="AD301" s="65"/>
      <c r="AE301" s="65"/>
      <c r="AF301" s="65"/>
      <c r="AG301" s="65"/>
      <c r="AH301" s="30"/>
      <c r="AI301" s="65"/>
      <c r="AJ301" s="65"/>
      <c r="AK301" s="65"/>
      <c r="AL301" s="65"/>
      <c r="AM301" s="65"/>
      <c r="AN301" s="65"/>
      <c r="AO301" s="65"/>
    </row>
    <row r="302">
      <c r="A302" s="30"/>
      <c r="B302" s="65"/>
      <c r="C302" s="65"/>
      <c r="D302" s="65"/>
      <c r="E302" s="30"/>
      <c r="F302" s="65"/>
      <c r="G302" s="65"/>
      <c r="H302" s="65"/>
      <c r="I302" s="30"/>
      <c r="J302" s="65"/>
      <c r="K302" s="65"/>
      <c r="L302" s="65"/>
      <c r="M302" s="30"/>
      <c r="N302" s="65"/>
      <c r="O302" s="65"/>
      <c r="P302" s="65"/>
      <c r="Q302" s="30"/>
      <c r="R302" s="65"/>
      <c r="S302" s="65"/>
      <c r="T302" s="65"/>
      <c r="U302" s="30"/>
      <c r="V302" s="65"/>
      <c r="W302" s="65"/>
      <c r="X302" s="65"/>
      <c r="Y302" s="30"/>
      <c r="Z302" s="65"/>
      <c r="AA302" s="65"/>
      <c r="AB302" s="65"/>
      <c r="AC302" s="30"/>
      <c r="AD302" s="65"/>
      <c r="AE302" s="65"/>
      <c r="AF302" s="65"/>
      <c r="AG302" s="65"/>
      <c r="AH302" s="30"/>
      <c r="AI302" s="65"/>
      <c r="AJ302" s="65"/>
      <c r="AK302" s="65"/>
      <c r="AL302" s="65"/>
      <c r="AM302" s="65"/>
      <c r="AN302" s="65"/>
      <c r="AO302" s="65"/>
    </row>
    <row r="303">
      <c r="A303" s="30"/>
      <c r="B303" s="65"/>
      <c r="C303" s="65"/>
      <c r="D303" s="65"/>
      <c r="E303" s="30"/>
      <c r="F303" s="65"/>
      <c r="G303" s="65"/>
      <c r="H303" s="65"/>
      <c r="I303" s="30"/>
      <c r="J303" s="65"/>
      <c r="K303" s="65"/>
      <c r="L303" s="65"/>
      <c r="M303" s="30"/>
      <c r="N303" s="65"/>
      <c r="O303" s="65"/>
      <c r="P303" s="65"/>
      <c r="Q303" s="30"/>
      <c r="R303" s="65"/>
      <c r="S303" s="65"/>
      <c r="T303" s="65"/>
      <c r="U303" s="30"/>
      <c r="V303" s="65"/>
      <c r="W303" s="65"/>
      <c r="X303" s="65"/>
      <c r="Y303" s="30"/>
      <c r="Z303" s="65"/>
      <c r="AA303" s="65"/>
      <c r="AB303" s="65"/>
      <c r="AC303" s="30"/>
      <c r="AD303" s="65"/>
      <c r="AE303" s="65"/>
      <c r="AF303" s="65"/>
      <c r="AG303" s="65"/>
      <c r="AH303" s="30"/>
      <c r="AI303" s="65"/>
      <c r="AJ303" s="65"/>
      <c r="AK303" s="65"/>
      <c r="AL303" s="65"/>
      <c r="AM303" s="65"/>
      <c r="AN303" s="65"/>
      <c r="AO303" s="65"/>
    </row>
    <row r="304">
      <c r="A304" s="30"/>
      <c r="B304" s="65"/>
      <c r="C304" s="65"/>
      <c r="D304" s="65"/>
      <c r="E304" s="30"/>
      <c r="F304" s="65"/>
      <c r="G304" s="65"/>
      <c r="H304" s="65"/>
      <c r="I304" s="30"/>
      <c r="J304" s="65"/>
      <c r="K304" s="65"/>
      <c r="L304" s="65"/>
      <c r="M304" s="30"/>
      <c r="N304" s="65"/>
      <c r="O304" s="65"/>
      <c r="P304" s="65"/>
      <c r="Q304" s="30"/>
      <c r="R304" s="65"/>
      <c r="S304" s="65"/>
      <c r="T304" s="65"/>
      <c r="U304" s="30"/>
      <c r="V304" s="65"/>
      <c r="W304" s="65"/>
      <c r="X304" s="65"/>
      <c r="Y304" s="30"/>
      <c r="Z304" s="65"/>
      <c r="AA304" s="65"/>
      <c r="AB304" s="65"/>
      <c r="AC304" s="30"/>
      <c r="AD304" s="65"/>
      <c r="AE304" s="65"/>
      <c r="AF304" s="65"/>
      <c r="AG304" s="65"/>
      <c r="AH304" s="30"/>
      <c r="AI304" s="65"/>
      <c r="AJ304" s="65"/>
      <c r="AK304" s="65"/>
      <c r="AL304" s="65"/>
      <c r="AM304" s="65"/>
      <c r="AN304" s="65"/>
      <c r="AO304" s="65"/>
    </row>
    <row r="305">
      <c r="A305" s="30"/>
      <c r="B305" s="65"/>
      <c r="C305" s="65"/>
      <c r="D305" s="65"/>
      <c r="E305" s="30"/>
      <c r="F305" s="65"/>
      <c r="G305" s="65"/>
      <c r="H305" s="65"/>
      <c r="I305" s="30"/>
      <c r="J305" s="65"/>
      <c r="K305" s="65"/>
      <c r="L305" s="65"/>
      <c r="M305" s="30"/>
      <c r="N305" s="65"/>
      <c r="O305" s="65"/>
      <c r="P305" s="65"/>
      <c r="Q305" s="30"/>
      <c r="R305" s="65"/>
      <c r="S305" s="65"/>
      <c r="T305" s="65"/>
      <c r="U305" s="30"/>
      <c r="V305" s="65"/>
      <c r="W305" s="65"/>
      <c r="X305" s="65"/>
      <c r="Y305" s="30"/>
      <c r="Z305" s="65"/>
      <c r="AA305" s="65"/>
      <c r="AB305" s="65"/>
      <c r="AC305" s="30"/>
      <c r="AD305" s="65"/>
      <c r="AE305" s="65"/>
      <c r="AF305" s="65"/>
      <c r="AG305" s="65"/>
      <c r="AH305" s="30"/>
      <c r="AI305" s="65"/>
      <c r="AJ305" s="65"/>
      <c r="AK305" s="65"/>
      <c r="AL305" s="65"/>
      <c r="AM305" s="65"/>
      <c r="AN305" s="65"/>
      <c r="AO305" s="65"/>
    </row>
    <row r="306">
      <c r="A306" s="30"/>
      <c r="B306" s="65"/>
      <c r="C306" s="65"/>
      <c r="D306" s="65"/>
      <c r="E306" s="30"/>
      <c r="F306" s="65"/>
      <c r="G306" s="65"/>
      <c r="H306" s="65"/>
      <c r="I306" s="30"/>
      <c r="J306" s="65"/>
      <c r="K306" s="65"/>
      <c r="L306" s="65"/>
      <c r="M306" s="30"/>
      <c r="N306" s="65"/>
      <c r="O306" s="65"/>
      <c r="P306" s="65"/>
      <c r="Q306" s="30"/>
      <c r="R306" s="65"/>
      <c r="S306" s="65"/>
      <c r="T306" s="65"/>
      <c r="U306" s="30"/>
      <c r="V306" s="65"/>
      <c r="W306" s="65"/>
      <c r="X306" s="65"/>
      <c r="Y306" s="30"/>
      <c r="Z306" s="65"/>
      <c r="AA306" s="65"/>
      <c r="AB306" s="65"/>
      <c r="AC306" s="30"/>
      <c r="AD306" s="65"/>
      <c r="AE306" s="65"/>
      <c r="AF306" s="65"/>
      <c r="AG306" s="65"/>
      <c r="AH306" s="30"/>
      <c r="AI306" s="65"/>
      <c r="AJ306" s="65"/>
      <c r="AK306" s="65"/>
      <c r="AL306" s="65"/>
      <c r="AM306" s="65"/>
      <c r="AN306" s="65"/>
      <c r="AO306" s="65"/>
    </row>
    <row r="307">
      <c r="A307" s="30"/>
      <c r="B307" s="65"/>
      <c r="C307" s="65"/>
      <c r="D307" s="65"/>
      <c r="E307" s="30"/>
      <c r="F307" s="65"/>
      <c r="G307" s="65"/>
      <c r="H307" s="65"/>
      <c r="I307" s="30"/>
      <c r="J307" s="65"/>
      <c r="K307" s="65"/>
      <c r="L307" s="65"/>
      <c r="M307" s="30"/>
      <c r="N307" s="65"/>
      <c r="O307" s="65"/>
      <c r="P307" s="65"/>
      <c r="Q307" s="30"/>
      <c r="R307" s="65"/>
      <c r="S307" s="65"/>
      <c r="T307" s="65"/>
      <c r="U307" s="30"/>
      <c r="V307" s="65"/>
      <c r="W307" s="65"/>
      <c r="X307" s="65"/>
      <c r="Y307" s="30"/>
      <c r="Z307" s="65"/>
      <c r="AA307" s="65"/>
      <c r="AB307" s="65"/>
      <c r="AC307" s="30"/>
      <c r="AD307" s="65"/>
      <c r="AE307" s="65"/>
      <c r="AF307" s="65"/>
      <c r="AG307" s="65"/>
      <c r="AH307" s="30"/>
      <c r="AI307" s="65"/>
      <c r="AJ307" s="65"/>
      <c r="AK307" s="65"/>
      <c r="AL307" s="65"/>
      <c r="AM307" s="65"/>
      <c r="AN307" s="65"/>
      <c r="AO307" s="65"/>
    </row>
    <row r="308">
      <c r="A308" s="30"/>
      <c r="B308" s="65"/>
      <c r="C308" s="65"/>
      <c r="D308" s="65"/>
      <c r="E308" s="30"/>
      <c r="F308" s="65"/>
      <c r="G308" s="65"/>
      <c r="H308" s="65"/>
      <c r="I308" s="30"/>
      <c r="J308" s="65"/>
      <c r="K308" s="65"/>
      <c r="L308" s="65"/>
      <c r="M308" s="30"/>
      <c r="N308" s="65"/>
      <c r="O308" s="65"/>
      <c r="P308" s="65"/>
      <c r="Q308" s="30"/>
      <c r="R308" s="65"/>
      <c r="S308" s="65"/>
      <c r="T308" s="65"/>
      <c r="U308" s="30"/>
      <c r="V308" s="65"/>
      <c r="W308" s="65"/>
      <c r="X308" s="65"/>
      <c r="Y308" s="30"/>
      <c r="Z308" s="65"/>
      <c r="AA308" s="65"/>
      <c r="AB308" s="65"/>
      <c r="AC308" s="30"/>
      <c r="AD308" s="65"/>
      <c r="AE308" s="65"/>
      <c r="AF308" s="65"/>
      <c r="AG308" s="65"/>
      <c r="AH308" s="30"/>
      <c r="AI308" s="65"/>
      <c r="AJ308" s="65"/>
      <c r="AK308" s="65"/>
      <c r="AL308" s="65"/>
      <c r="AM308" s="65"/>
      <c r="AN308" s="65"/>
      <c r="AO308" s="65"/>
    </row>
    <row r="309">
      <c r="A309" s="30"/>
      <c r="B309" s="65"/>
      <c r="C309" s="65"/>
      <c r="D309" s="65"/>
      <c r="E309" s="30"/>
      <c r="F309" s="65"/>
      <c r="G309" s="65"/>
      <c r="H309" s="65"/>
      <c r="I309" s="30"/>
      <c r="J309" s="65"/>
      <c r="K309" s="65"/>
      <c r="L309" s="65"/>
      <c r="M309" s="30"/>
      <c r="N309" s="65"/>
      <c r="O309" s="65"/>
      <c r="P309" s="65"/>
      <c r="Q309" s="30"/>
      <c r="R309" s="65"/>
      <c r="S309" s="65"/>
      <c r="T309" s="65"/>
      <c r="U309" s="30"/>
      <c r="V309" s="65"/>
      <c r="W309" s="65"/>
      <c r="X309" s="65"/>
      <c r="Y309" s="30"/>
      <c r="Z309" s="65"/>
      <c r="AA309" s="65"/>
      <c r="AB309" s="65"/>
      <c r="AC309" s="30"/>
      <c r="AD309" s="65"/>
      <c r="AE309" s="65"/>
      <c r="AF309" s="65"/>
      <c r="AG309" s="65"/>
      <c r="AH309" s="30"/>
      <c r="AI309" s="65"/>
      <c r="AJ309" s="65"/>
      <c r="AK309" s="65"/>
      <c r="AL309" s="65"/>
      <c r="AM309" s="65"/>
      <c r="AN309" s="65"/>
      <c r="AO309" s="65"/>
    </row>
    <row r="310">
      <c r="A310" s="30"/>
      <c r="B310" s="65"/>
      <c r="C310" s="65"/>
      <c r="D310" s="65"/>
      <c r="E310" s="30"/>
      <c r="F310" s="65"/>
      <c r="G310" s="65"/>
      <c r="H310" s="65"/>
      <c r="I310" s="30"/>
      <c r="J310" s="65"/>
      <c r="K310" s="65"/>
      <c r="L310" s="65"/>
      <c r="M310" s="30"/>
      <c r="N310" s="65"/>
      <c r="O310" s="65"/>
      <c r="P310" s="65"/>
      <c r="Q310" s="30"/>
      <c r="R310" s="65"/>
      <c r="S310" s="65"/>
      <c r="T310" s="65"/>
      <c r="U310" s="30"/>
      <c r="V310" s="65"/>
      <c r="W310" s="65"/>
      <c r="X310" s="65"/>
      <c r="Y310" s="30"/>
      <c r="Z310" s="65"/>
      <c r="AA310" s="65"/>
      <c r="AB310" s="65"/>
      <c r="AC310" s="30"/>
      <c r="AD310" s="65"/>
      <c r="AE310" s="65"/>
      <c r="AF310" s="65"/>
      <c r="AG310" s="65"/>
      <c r="AH310" s="30"/>
      <c r="AI310" s="65"/>
      <c r="AJ310" s="65"/>
      <c r="AK310" s="65"/>
      <c r="AL310" s="65"/>
      <c r="AM310" s="65"/>
      <c r="AN310" s="65"/>
      <c r="AO310" s="65"/>
    </row>
    <row r="311">
      <c r="A311" s="30"/>
      <c r="B311" s="65"/>
      <c r="C311" s="65"/>
      <c r="D311" s="65"/>
      <c r="E311" s="30"/>
      <c r="F311" s="65"/>
      <c r="G311" s="65"/>
      <c r="H311" s="65"/>
      <c r="I311" s="30"/>
      <c r="J311" s="65"/>
      <c r="K311" s="65"/>
      <c r="L311" s="65"/>
      <c r="M311" s="30"/>
      <c r="N311" s="65"/>
      <c r="O311" s="65"/>
      <c r="P311" s="65"/>
      <c r="Q311" s="30"/>
      <c r="R311" s="65"/>
      <c r="S311" s="65"/>
      <c r="T311" s="65"/>
      <c r="U311" s="30"/>
      <c r="V311" s="65"/>
      <c r="W311" s="65"/>
      <c r="X311" s="65"/>
      <c r="Y311" s="30"/>
      <c r="Z311" s="65"/>
      <c r="AA311" s="65"/>
      <c r="AB311" s="65"/>
      <c r="AC311" s="30"/>
      <c r="AD311" s="65"/>
      <c r="AE311" s="65"/>
      <c r="AF311" s="65"/>
      <c r="AG311" s="65"/>
      <c r="AH311" s="30"/>
      <c r="AI311" s="65"/>
      <c r="AJ311" s="65"/>
      <c r="AK311" s="65"/>
      <c r="AL311" s="65"/>
      <c r="AM311" s="65"/>
      <c r="AN311" s="65"/>
      <c r="AO311" s="65"/>
    </row>
    <row r="312">
      <c r="A312" s="30"/>
      <c r="B312" s="65"/>
      <c r="C312" s="65"/>
      <c r="D312" s="65"/>
      <c r="E312" s="30"/>
      <c r="F312" s="65"/>
      <c r="G312" s="65"/>
      <c r="H312" s="65"/>
      <c r="I312" s="30"/>
      <c r="J312" s="65"/>
      <c r="K312" s="65"/>
      <c r="L312" s="65"/>
      <c r="M312" s="30"/>
      <c r="N312" s="65"/>
      <c r="O312" s="65"/>
      <c r="P312" s="65"/>
      <c r="Q312" s="30"/>
      <c r="R312" s="65"/>
      <c r="S312" s="65"/>
      <c r="T312" s="65"/>
      <c r="U312" s="30"/>
      <c r="V312" s="65"/>
      <c r="W312" s="65"/>
      <c r="X312" s="65"/>
      <c r="Y312" s="30"/>
      <c r="Z312" s="65"/>
      <c r="AA312" s="65"/>
      <c r="AB312" s="65"/>
      <c r="AC312" s="30"/>
      <c r="AD312" s="65"/>
      <c r="AE312" s="65"/>
      <c r="AF312" s="65"/>
      <c r="AG312" s="65"/>
      <c r="AH312" s="30"/>
      <c r="AI312" s="65"/>
      <c r="AJ312" s="65"/>
      <c r="AK312" s="65"/>
      <c r="AL312" s="65"/>
      <c r="AM312" s="65"/>
      <c r="AN312" s="65"/>
      <c r="AO312" s="65"/>
    </row>
    <row r="313">
      <c r="A313" s="30"/>
      <c r="B313" s="65"/>
      <c r="C313" s="65"/>
      <c r="D313" s="65"/>
      <c r="E313" s="30"/>
      <c r="F313" s="65"/>
      <c r="G313" s="65"/>
      <c r="H313" s="65"/>
      <c r="I313" s="30"/>
      <c r="J313" s="65"/>
      <c r="K313" s="65"/>
      <c r="L313" s="65"/>
      <c r="M313" s="30"/>
      <c r="N313" s="65"/>
      <c r="O313" s="65"/>
      <c r="P313" s="65"/>
      <c r="Q313" s="30"/>
      <c r="R313" s="65"/>
      <c r="S313" s="65"/>
      <c r="T313" s="65"/>
      <c r="U313" s="30"/>
      <c r="V313" s="65"/>
      <c r="W313" s="65"/>
      <c r="X313" s="65"/>
      <c r="Y313" s="30"/>
      <c r="Z313" s="65"/>
      <c r="AA313" s="65"/>
      <c r="AB313" s="65"/>
      <c r="AC313" s="30"/>
      <c r="AD313" s="65"/>
      <c r="AE313" s="65"/>
      <c r="AF313" s="65"/>
      <c r="AG313" s="65"/>
      <c r="AH313" s="30"/>
      <c r="AI313" s="65"/>
      <c r="AJ313" s="65"/>
      <c r="AK313" s="65"/>
      <c r="AL313" s="65"/>
      <c r="AM313" s="65"/>
      <c r="AN313" s="65"/>
      <c r="AO313" s="65"/>
    </row>
    <row r="314">
      <c r="A314" s="30"/>
      <c r="B314" s="65"/>
      <c r="C314" s="65"/>
      <c r="D314" s="65"/>
      <c r="E314" s="30"/>
      <c r="F314" s="65"/>
      <c r="G314" s="65"/>
      <c r="H314" s="65"/>
      <c r="I314" s="30"/>
      <c r="J314" s="65"/>
      <c r="K314" s="65"/>
      <c r="L314" s="65"/>
      <c r="M314" s="30"/>
      <c r="N314" s="65"/>
      <c r="O314" s="65"/>
      <c r="P314" s="65"/>
      <c r="Q314" s="30"/>
      <c r="R314" s="65"/>
      <c r="S314" s="65"/>
      <c r="T314" s="65"/>
      <c r="U314" s="30"/>
      <c r="V314" s="65"/>
      <c r="W314" s="65"/>
      <c r="X314" s="65"/>
      <c r="Y314" s="30"/>
      <c r="Z314" s="65"/>
      <c r="AA314" s="65"/>
      <c r="AB314" s="65"/>
      <c r="AC314" s="30"/>
      <c r="AD314" s="65"/>
      <c r="AE314" s="65"/>
      <c r="AF314" s="65"/>
      <c r="AG314" s="65"/>
      <c r="AH314" s="30"/>
      <c r="AI314" s="65"/>
      <c r="AJ314" s="65"/>
      <c r="AK314" s="65"/>
      <c r="AL314" s="65"/>
      <c r="AM314" s="65"/>
      <c r="AN314" s="65"/>
      <c r="AO314" s="65"/>
    </row>
    <row r="315">
      <c r="A315" s="30"/>
      <c r="B315" s="65"/>
      <c r="C315" s="65"/>
      <c r="D315" s="65"/>
      <c r="E315" s="30"/>
      <c r="F315" s="65"/>
      <c r="G315" s="65"/>
      <c r="H315" s="65"/>
      <c r="I315" s="30"/>
      <c r="J315" s="65"/>
      <c r="K315" s="65"/>
      <c r="L315" s="65"/>
      <c r="M315" s="30"/>
      <c r="N315" s="65"/>
      <c r="O315" s="65"/>
      <c r="P315" s="65"/>
      <c r="Q315" s="30"/>
      <c r="R315" s="65"/>
      <c r="S315" s="65"/>
      <c r="T315" s="65"/>
      <c r="U315" s="30"/>
      <c r="V315" s="65"/>
      <c r="W315" s="65"/>
      <c r="X315" s="65"/>
      <c r="Y315" s="30"/>
      <c r="Z315" s="65"/>
      <c r="AA315" s="65"/>
      <c r="AB315" s="65"/>
      <c r="AC315" s="30"/>
      <c r="AD315" s="65"/>
      <c r="AE315" s="65"/>
      <c r="AF315" s="65"/>
      <c r="AG315" s="65"/>
      <c r="AH315" s="30"/>
      <c r="AI315" s="65"/>
      <c r="AJ315" s="65"/>
      <c r="AK315" s="65"/>
      <c r="AL315" s="65"/>
      <c r="AM315" s="65"/>
      <c r="AN315" s="65"/>
      <c r="AO315" s="65"/>
    </row>
    <row r="316">
      <c r="A316" s="30"/>
      <c r="B316" s="65"/>
      <c r="C316" s="65"/>
      <c r="D316" s="65"/>
      <c r="E316" s="30"/>
      <c r="F316" s="65"/>
      <c r="G316" s="65"/>
      <c r="H316" s="65"/>
      <c r="I316" s="30"/>
      <c r="J316" s="65"/>
      <c r="K316" s="65"/>
      <c r="L316" s="65"/>
      <c r="M316" s="30"/>
      <c r="N316" s="65"/>
      <c r="O316" s="65"/>
      <c r="P316" s="65"/>
      <c r="Q316" s="30"/>
      <c r="R316" s="65"/>
      <c r="S316" s="65"/>
      <c r="T316" s="65"/>
      <c r="U316" s="30"/>
      <c r="V316" s="65"/>
      <c r="W316" s="65"/>
      <c r="X316" s="65"/>
      <c r="Y316" s="30"/>
      <c r="Z316" s="65"/>
      <c r="AA316" s="65"/>
      <c r="AB316" s="65"/>
      <c r="AC316" s="30"/>
      <c r="AD316" s="65"/>
      <c r="AE316" s="65"/>
      <c r="AF316" s="65"/>
      <c r="AG316" s="65"/>
      <c r="AH316" s="30"/>
      <c r="AI316" s="65"/>
      <c r="AJ316" s="65"/>
      <c r="AK316" s="65"/>
      <c r="AL316" s="65"/>
      <c r="AM316" s="65"/>
      <c r="AN316" s="65"/>
      <c r="AO316" s="65"/>
    </row>
    <row r="317">
      <c r="A317" s="30"/>
      <c r="B317" s="65"/>
      <c r="C317" s="65"/>
      <c r="D317" s="65"/>
      <c r="E317" s="30"/>
      <c r="F317" s="65"/>
      <c r="G317" s="65"/>
      <c r="H317" s="65"/>
      <c r="I317" s="30"/>
      <c r="J317" s="65"/>
      <c r="K317" s="65"/>
      <c r="L317" s="65"/>
      <c r="M317" s="30"/>
      <c r="N317" s="65"/>
      <c r="O317" s="65"/>
      <c r="P317" s="65"/>
      <c r="Q317" s="30"/>
      <c r="R317" s="65"/>
      <c r="S317" s="65"/>
      <c r="T317" s="65"/>
      <c r="U317" s="30"/>
      <c r="V317" s="65"/>
      <c r="W317" s="65"/>
      <c r="X317" s="65"/>
      <c r="Y317" s="30"/>
      <c r="Z317" s="65"/>
      <c r="AA317" s="65"/>
      <c r="AB317" s="65"/>
      <c r="AC317" s="30"/>
      <c r="AD317" s="65"/>
      <c r="AE317" s="65"/>
      <c r="AF317" s="65"/>
      <c r="AG317" s="65"/>
      <c r="AH317" s="30"/>
      <c r="AI317" s="65"/>
      <c r="AJ317" s="65"/>
      <c r="AK317" s="65"/>
      <c r="AL317" s="65"/>
      <c r="AM317" s="65"/>
      <c r="AN317" s="65"/>
      <c r="AO317" s="65"/>
    </row>
    <row r="318">
      <c r="A318" s="30"/>
      <c r="B318" s="65"/>
      <c r="C318" s="65"/>
      <c r="D318" s="65"/>
      <c r="E318" s="30"/>
      <c r="F318" s="65"/>
      <c r="G318" s="65"/>
      <c r="H318" s="65"/>
      <c r="I318" s="30"/>
      <c r="J318" s="65"/>
      <c r="K318" s="65"/>
      <c r="L318" s="65"/>
      <c r="M318" s="30"/>
      <c r="N318" s="65"/>
      <c r="O318" s="65"/>
      <c r="P318" s="65"/>
      <c r="Q318" s="30"/>
      <c r="R318" s="65"/>
      <c r="S318" s="65"/>
      <c r="T318" s="65"/>
      <c r="U318" s="30"/>
      <c r="V318" s="65"/>
      <c r="W318" s="65"/>
      <c r="X318" s="65"/>
      <c r="Y318" s="30"/>
      <c r="Z318" s="65"/>
      <c r="AA318" s="65"/>
      <c r="AB318" s="65"/>
      <c r="AC318" s="30"/>
      <c r="AD318" s="65"/>
      <c r="AE318" s="65"/>
      <c r="AF318" s="65"/>
      <c r="AG318" s="65"/>
      <c r="AH318" s="30"/>
      <c r="AI318" s="65"/>
      <c r="AJ318" s="65"/>
      <c r="AK318" s="65"/>
      <c r="AL318" s="65"/>
      <c r="AM318" s="65"/>
      <c r="AN318" s="65"/>
      <c r="AO318" s="65"/>
    </row>
    <row r="319">
      <c r="A319" s="30"/>
      <c r="B319" s="65"/>
      <c r="C319" s="65"/>
      <c r="D319" s="65"/>
      <c r="E319" s="30"/>
      <c r="F319" s="65"/>
      <c r="G319" s="65"/>
      <c r="H319" s="65"/>
      <c r="I319" s="30"/>
      <c r="J319" s="65"/>
      <c r="K319" s="65"/>
      <c r="L319" s="65"/>
      <c r="M319" s="30"/>
      <c r="N319" s="65"/>
      <c r="O319" s="65"/>
      <c r="P319" s="65"/>
      <c r="Q319" s="30"/>
      <c r="R319" s="65"/>
      <c r="S319" s="65"/>
      <c r="T319" s="65"/>
      <c r="U319" s="30"/>
      <c r="V319" s="65"/>
      <c r="W319" s="65"/>
      <c r="X319" s="65"/>
      <c r="Y319" s="30"/>
      <c r="Z319" s="65"/>
      <c r="AA319" s="65"/>
      <c r="AB319" s="65"/>
      <c r="AC319" s="30"/>
      <c r="AD319" s="65"/>
      <c r="AE319" s="65"/>
      <c r="AF319" s="65"/>
      <c r="AG319" s="65"/>
      <c r="AH319" s="30"/>
      <c r="AI319" s="65"/>
      <c r="AJ319" s="65"/>
      <c r="AK319" s="65"/>
      <c r="AL319" s="65"/>
      <c r="AM319" s="65"/>
      <c r="AN319" s="65"/>
      <c r="AO319" s="65"/>
    </row>
    <row r="320">
      <c r="A320" s="30"/>
      <c r="B320" s="65"/>
      <c r="C320" s="65"/>
      <c r="D320" s="65"/>
      <c r="E320" s="30"/>
      <c r="F320" s="65"/>
      <c r="G320" s="65"/>
      <c r="H320" s="65"/>
      <c r="I320" s="30"/>
      <c r="J320" s="65"/>
      <c r="K320" s="65"/>
      <c r="L320" s="65"/>
      <c r="M320" s="30"/>
      <c r="N320" s="65"/>
      <c r="O320" s="65"/>
      <c r="P320" s="65"/>
      <c r="Q320" s="30"/>
      <c r="R320" s="65"/>
      <c r="S320" s="65"/>
      <c r="T320" s="65"/>
      <c r="U320" s="30"/>
      <c r="V320" s="65"/>
      <c r="W320" s="65"/>
      <c r="X320" s="65"/>
      <c r="Y320" s="30"/>
      <c r="Z320" s="65"/>
      <c r="AA320" s="65"/>
      <c r="AB320" s="65"/>
      <c r="AC320" s="30"/>
      <c r="AD320" s="65"/>
      <c r="AE320" s="65"/>
      <c r="AF320" s="65"/>
      <c r="AG320" s="65"/>
      <c r="AH320" s="30"/>
      <c r="AI320" s="65"/>
      <c r="AJ320" s="65"/>
      <c r="AK320" s="65"/>
      <c r="AL320" s="65"/>
      <c r="AM320" s="65"/>
      <c r="AN320" s="65"/>
      <c r="AO320" s="65"/>
    </row>
    <row r="321">
      <c r="A321" s="30"/>
      <c r="B321" s="65"/>
      <c r="C321" s="65"/>
      <c r="D321" s="65"/>
      <c r="E321" s="30"/>
      <c r="F321" s="65"/>
      <c r="G321" s="65"/>
      <c r="H321" s="65"/>
      <c r="I321" s="30"/>
      <c r="J321" s="65"/>
      <c r="K321" s="65"/>
      <c r="L321" s="65"/>
      <c r="M321" s="30"/>
      <c r="N321" s="65"/>
      <c r="O321" s="65"/>
      <c r="P321" s="65"/>
      <c r="Q321" s="30"/>
      <c r="R321" s="65"/>
      <c r="S321" s="65"/>
      <c r="T321" s="65"/>
      <c r="U321" s="30"/>
      <c r="V321" s="65"/>
      <c r="W321" s="65"/>
      <c r="X321" s="65"/>
      <c r="Y321" s="30"/>
      <c r="Z321" s="65"/>
      <c r="AA321" s="65"/>
      <c r="AB321" s="65"/>
      <c r="AC321" s="30"/>
      <c r="AD321" s="65"/>
      <c r="AE321" s="65"/>
      <c r="AF321" s="65"/>
      <c r="AG321" s="65"/>
      <c r="AH321" s="30"/>
      <c r="AI321" s="65"/>
      <c r="AJ321" s="65"/>
      <c r="AK321" s="65"/>
      <c r="AL321" s="65"/>
      <c r="AM321" s="65"/>
      <c r="AN321" s="65"/>
      <c r="AO321" s="65"/>
    </row>
    <row r="322">
      <c r="A322" s="30"/>
      <c r="B322" s="65"/>
      <c r="C322" s="65"/>
      <c r="D322" s="65"/>
      <c r="E322" s="30"/>
      <c r="F322" s="65"/>
      <c r="G322" s="65"/>
      <c r="H322" s="65"/>
      <c r="I322" s="30"/>
      <c r="J322" s="65"/>
      <c r="K322" s="65"/>
      <c r="L322" s="65"/>
      <c r="M322" s="30"/>
      <c r="N322" s="65"/>
      <c r="O322" s="65"/>
      <c r="P322" s="65"/>
      <c r="Q322" s="30"/>
      <c r="R322" s="65"/>
      <c r="S322" s="65"/>
      <c r="T322" s="65"/>
      <c r="U322" s="30"/>
      <c r="V322" s="65"/>
      <c r="W322" s="65"/>
      <c r="X322" s="65"/>
      <c r="Y322" s="30"/>
      <c r="Z322" s="65"/>
      <c r="AA322" s="65"/>
      <c r="AB322" s="65"/>
      <c r="AC322" s="30"/>
      <c r="AD322" s="65"/>
      <c r="AE322" s="65"/>
      <c r="AF322" s="65"/>
      <c r="AG322" s="65"/>
      <c r="AH322" s="30"/>
      <c r="AI322" s="65"/>
      <c r="AJ322" s="65"/>
      <c r="AK322" s="65"/>
      <c r="AL322" s="65"/>
      <c r="AM322" s="65"/>
      <c r="AN322" s="65"/>
      <c r="AO322" s="65"/>
    </row>
    <row r="323">
      <c r="A323" s="30"/>
      <c r="B323" s="65"/>
      <c r="C323" s="65"/>
      <c r="D323" s="65"/>
      <c r="E323" s="30"/>
      <c r="F323" s="65"/>
      <c r="G323" s="65"/>
      <c r="H323" s="65"/>
      <c r="I323" s="30"/>
      <c r="J323" s="65"/>
      <c r="K323" s="65"/>
      <c r="L323" s="65"/>
      <c r="M323" s="30"/>
      <c r="N323" s="65"/>
      <c r="O323" s="65"/>
      <c r="P323" s="65"/>
      <c r="Q323" s="30"/>
      <c r="R323" s="65"/>
      <c r="S323" s="65"/>
      <c r="T323" s="65"/>
      <c r="U323" s="30"/>
      <c r="V323" s="65"/>
      <c r="W323" s="65"/>
      <c r="X323" s="65"/>
      <c r="Y323" s="30"/>
      <c r="Z323" s="65"/>
      <c r="AA323" s="65"/>
      <c r="AB323" s="65"/>
      <c r="AC323" s="30"/>
      <c r="AD323" s="65"/>
      <c r="AE323" s="65"/>
      <c r="AF323" s="65"/>
      <c r="AG323" s="65"/>
      <c r="AH323" s="30"/>
      <c r="AI323" s="65"/>
      <c r="AJ323" s="65"/>
      <c r="AK323" s="65"/>
      <c r="AL323" s="65"/>
      <c r="AM323" s="65"/>
      <c r="AN323" s="65"/>
      <c r="AO323" s="65"/>
    </row>
    <row r="324">
      <c r="A324" s="30"/>
      <c r="B324" s="65"/>
      <c r="C324" s="65"/>
      <c r="D324" s="65"/>
      <c r="E324" s="30"/>
      <c r="F324" s="65"/>
      <c r="G324" s="65"/>
      <c r="H324" s="65"/>
      <c r="I324" s="30"/>
      <c r="J324" s="65"/>
      <c r="K324" s="65"/>
      <c r="L324" s="65"/>
      <c r="M324" s="30"/>
      <c r="N324" s="65"/>
      <c r="O324" s="65"/>
      <c r="P324" s="65"/>
      <c r="Q324" s="30"/>
      <c r="R324" s="65"/>
      <c r="S324" s="65"/>
      <c r="T324" s="65"/>
      <c r="U324" s="30"/>
      <c r="V324" s="65"/>
      <c r="W324" s="65"/>
      <c r="X324" s="65"/>
      <c r="Y324" s="30"/>
      <c r="Z324" s="65"/>
      <c r="AA324" s="65"/>
      <c r="AB324" s="65"/>
      <c r="AC324" s="30"/>
      <c r="AD324" s="65"/>
      <c r="AE324" s="65"/>
      <c r="AF324" s="65"/>
      <c r="AG324" s="65"/>
      <c r="AH324" s="30"/>
      <c r="AI324" s="65"/>
      <c r="AJ324" s="65"/>
      <c r="AK324" s="65"/>
      <c r="AL324" s="65"/>
      <c r="AM324" s="65"/>
      <c r="AN324" s="65"/>
      <c r="AO324" s="65"/>
    </row>
    <row r="325">
      <c r="A325" s="30"/>
      <c r="B325" s="65"/>
      <c r="C325" s="65"/>
      <c r="D325" s="65"/>
      <c r="E325" s="30"/>
      <c r="F325" s="65"/>
      <c r="G325" s="65"/>
      <c r="H325" s="65"/>
      <c r="I325" s="30"/>
      <c r="J325" s="65"/>
      <c r="K325" s="65"/>
      <c r="L325" s="65"/>
      <c r="M325" s="30"/>
      <c r="N325" s="65"/>
      <c r="O325" s="65"/>
      <c r="P325" s="65"/>
      <c r="Q325" s="30"/>
      <c r="R325" s="65"/>
      <c r="S325" s="65"/>
      <c r="T325" s="65"/>
      <c r="U325" s="30"/>
      <c r="V325" s="65"/>
      <c r="W325" s="65"/>
      <c r="X325" s="65"/>
      <c r="Y325" s="30"/>
      <c r="Z325" s="65"/>
      <c r="AA325" s="65"/>
      <c r="AB325" s="65"/>
      <c r="AC325" s="30"/>
      <c r="AD325" s="65"/>
      <c r="AE325" s="65"/>
      <c r="AF325" s="65"/>
      <c r="AG325" s="65"/>
      <c r="AH325" s="30"/>
      <c r="AI325" s="65"/>
      <c r="AJ325" s="65"/>
      <c r="AK325" s="65"/>
      <c r="AL325" s="65"/>
      <c r="AM325" s="65"/>
      <c r="AN325" s="65"/>
      <c r="AO325" s="65"/>
    </row>
    <row r="326">
      <c r="A326" s="30"/>
      <c r="B326" s="65"/>
      <c r="C326" s="65"/>
      <c r="D326" s="65"/>
      <c r="E326" s="30"/>
      <c r="F326" s="65"/>
      <c r="G326" s="65"/>
      <c r="H326" s="65"/>
      <c r="I326" s="30"/>
      <c r="J326" s="65"/>
      <c r="K326" s="65"/>
      <c r="L326" s="65"/>
      <c r="M326" s="30"/>
      <c r="N326" s="65"/>
      <c r="O326" s="65"/>
      <c r="P326" s="65"/>
      <c r="Q326" s="30"/>
      <c r="R326" s="65"/>
      <c r="S326" s="65"/>
      <c r="T326" s="65"/>
      <c r="U326" s="30"/>
      <c r="V326" s="65"/>
      <c r="W326" s="65"/>
      <c r="X326" s="65"/>
      <c r="Y326" s="30"/>
      <c r="Z326" s="65"/>
      <c r="AA326" s="65"/>
      <c r="AB326" s="65"/>
      <c r="AC326" s="30"/>
      <c r="AD326" s="65"/>
      <c r="AE326" s="65"/>
      <c r="AF326" s="65"/>
      <c r="AG326" s="65"/>
      <c r="AH326" s="30"/>
      <c r="AI326" s="65"/>
      <c r="AJ326" s="65"/>
      <c r="AK326" s="65"/>
      <c r="AL326" s="65"/>
      <c r="AM326" s="65"/>
      <c r="AN326" s="65"/>
      <c r="AO326" s="65"/>
    </row>
    <row r="327">
      <c r="A327" s="30"/>
      <c r="B327" s="65"/>
      <c r="C327" s="65"/>
      <c r="D327" s="65"/>
      <c r="E327" s="30"/>
      <c r="F327" s="65"/>
      <c r="G327" s="65"/>
      <c r="H327" s="65"/>
      <c r="I327" s="30"/>
      <c r="J327" s="65"/>
      <c r="K327" s="65"/>
      <c r="L327" s="65"/>
      <c r="M327" s="30"/>
      <c r="N327" s="65"/>
      <c r="O327" s="65"/>
      <c r="P327" s="65"/>
      <c r="Q327" s="30"/>
      <c r="R327" s="65"/>
      <c r="S327" s="65"/>
      <c r="T327" s="65"/>
      <c r="U327" s="30"/>
      <c r="V327" s="65"/>
      <c r="W327" s="65"/>
      <c r="X327" s="65"/>
      <c r="Y327" s="30"/>
      <c r="Z327" s="65"/>
      <c r="AA327" s="65"/>
      <c r="AB327" s="65"/>
      <c r="AC327" s="30"/>
      <c r="AD327" s="65"/>
      <c r="AE327" s="65"/>
      <c r="AF327" s="65"/>
      <c r="AG327" s="65"/>
      <c r="AH327" s="30"/>
      <c r="AI327" s="65"/>
      <c r="AJ327" s="65"/>
      <c r="AK327" s="65"/>
      <c r="AL327" s="65"/>
      <c r="AM327" s="65"/>
      <c r="AN327" s="65"/>
      <c r="AO327" s="65"/>
    </row>
    <row r="328">
      <c r="A328" s="30"/>
      <c r="B328" s="65"/>
      <c r="C328" s="65"/>
      <c r="D328" s="65"/>
      <c r="E328" s="30"/>
      <c r="F328" s="65"/>
      <c r="G328" s="65"/>
      <c r="H328" s="65"/>
      <c r="I328" s="30"/>
      <c r="J328" s="65"/>
      <c r="K328" s="65"/>
      <c r="L328" s="65"/>
      <c r="M328" s="30"/>
      <c r="N328" s="65"/>
      <c r="O328" s="65"/>
      <c r="P328" s="65"/>
      <c r="Q328" s="30"/>
      <c r="R328" s="65"/>
      <c r="S328" s="65"/>
      <c r="T328" s="65"/>
      <c r="U328" s="30"/>
      <c r="V328" s="65"/>
      <c r="W328" s="65"/>
      <c r="X328" s="65"/>
      <c r="Y328" s="30"/>
      <c r="Z328" s="65"/>
      <c r="AA328" s="65"/>
      <c r="AB328" s="65"/>
      <c r="AC328" s="30"/>
      <c r="AD328" s="65"/>
      <c r="AE328" s="65"/>
      <c r="AF328" s="65"/>
      <c r="AG328" s="65"/>
      <c r="AH328" s="30"/>
      <c r="AI328" s="65"/>
      <c r="AJ328" s="65"/>
      <c r="AK328" s="65"/>
      <c r="AL328" s="65"/>
      <c r="AM328" s="65"/>
      <c r="AN328" s="65"/>
      <c r="AO328" s="65"/>
    </row>
    <row r="329">
      <c r="A329" s="30"/>
      <c r="B329" s="65"/>
      <c r="C329" s="65"/>
      <c r="D329" s="65"/>
      <c r="E329" s="30"/>
      <c r="F329" s="65"/>
      <c r="G329" s="65"/>
      <c r="H329" s="65"/>
      <c r="I329" s="30"/>
      <c r="J329" s="65"/>
      <c r="K329" s="65"/>
      <c r="L329" s="65"/>
      <c r="M329" s="30"/>
      <c r="N329" s="65"/>
      <c r="O329" s="65"/>
      <c r="P329" s="65"/>
      <c r="Q329" s="30"/>
      <c r="R329" s="65"/>
      <c r="S329" s="65"/>
      <c r="T329" s="65"/>
      <c r="U329" s="30"/>
      <c r="V329" s="65"/>
      <c r="W329" s="65"/>
      <c r="X329" s="65"/>
      <c r="Y329" s="30"/>
      <c r="Z329" s="65"/>
      <c r="AA329" s="65"/>
      <c r="AB329" s="65"/>
      <c r="AC329" s="30"/>
      <c r="AD329" s="65"/>
      <c r="AE329" s="65"/>
      <c r="AF329" s="65"/>
      <c r="AG329" s="65"/>
      <c r="AH329" s="30"/>
      <c r="AI329" s="65"/>
      <c r="AJ329" s="65"/>
      <c r="AK329" s="65"/>
      <c r="AL329" s="65"/>
      <c r="AM329" s="65"/>
      <c r="AN329" s="65"/>
      <c r="AO329" s="65"/>
    </row>
    <row r="330">
      <c r="A330" s="30"/>
      <c r="B330" s="65"/>
      <c r="C330" s="65"/>
      <c r="D330" s="65"/>
      <c r="E330" s="30"/>
      <c r="F330" s="65"/>
      <c r="G330" s="65"/>
      <c r="H330" s="65"/>
      <c r="I330" s="30"/>
      <c r="J330" s="65"/>
      <c r="K330" s="65"/>
      <c r="L330" s="65"/>
      <c r="M330" s="30"/>
      <c r="N330" s="65"/>
      <c r="O330" s="65"/>
      <c r="P330" s="65"/>
      <c r="Q330" s="30"/>
      <c r="R330" s="65"/>
      <c r="S330" s="65"/>
      <c r="T330" s="65"/>
      <c r="U330" s="30"/>
      <c r="V330" s="65"/>
      <c r="W330" s="65"/>
      <c r="X330" s="65"/>
      <c r="Y330" s="30"/>
      <c r="Z330" s="65"/>
      <c r="AA330" s="65"/>
      <c r="AB330" s="65"/>
      <c r="AC330" s="30"/>
      <c r="AD330" s="65"/>
      <c r="AE330" s="65"/>
      <c r="AF330" s="65"/>
      <c r="AG330" s="65"/>
      <c r="AH330" s="30"/>
      <c r="AI330" s="65"/>
      <c r="AJ330" s="65"/>
      <c r="AK330" s="65"/>
      <c r="AL330" s="65"/>
      <c r="AM330" s="65"/>
      <c r="AN330" s="65"/>
      <c r="AO330" s="65"/>
    </row>
    <row r="331">
      <c r="A331" s="30"/>
      <c r="B331" s="65"/>
      <c r="C331" s="65"/>
      <c r="D331" s="65"/>
      <c r="E331" s="30"/>
      <c r="F331" s="65"/>
      <c r="G331" s="65"/>
      <c r="H331" s="65"/>
      <c r="I331" s="30"/>
      <c r="J331" s="65"/>
      <c r="K331" s="65"/>
      <c r="L331" s="65"/>
      <c r="M331" s="30"/>
      <c r="N331" s="65"/>
      <c r="O331" s="65"/>
      <c r="P331" s="65"/>
      <c r="Q331" s="30"/>
      <c r="R331" s="65"/>
      <c r="S331" s="65"/>
      <c r="T331" s="65"/>
      <c r="U331" s="30"/>
      <c r="V331" s="65"/>
      <c r="W331" s="65"/>
      <c r="X331" s="65"/>
      <c r="Y331" s="30"/>
      <c r="Z331" s="65"/>
      <c r="AA331" s="65"/>
      <c r="AB331" s="65"/>
      <c r="AC331" s="30"/>
      <c r="AD331" s="65"/>
      <c r="AE331" s="65"/>
      <c r="AF331" s="65"/>
      <c r="AG331" s="65"/>
      <c r="AH331" s="30"/>
      <c r="AI331" s="65"/>
      <c r="AJ331" s="65"/>
      <c r="AK331" s="65"/>
      <c r="AL331" s="65"/>
      <c r="AM331" s="65"/>
      <c r="AN331" s="65"/>
      <c r="AO331" s="65"/>
    </row>
    <row r="332">
      <c r="A332" s="30"/>
      <c r="B332" s="65"/>
      <c r="C332" s="65"/>
      <c r="D332" s="65"/>
      <c r="E332" s="30"/>
      <c r="F332" s="65"/>
      <c r="G332" s="65"/>
      <c r="H332" s="65"/>
      <c r="I332" s="30"/>
      <c r="J332" s="65"/>
      <c r="K332" s="65"/>
      <c r="L332" s="65"/>
      <c r="M332" s="30"/>
      <c r="N332" s="65"/>
      <c r="O332" s="65"/>
      <c r="P332" s="65"/>
      <c r="Q332" s="30"/>
      <c r="R332" s="65"/>
      <c r="S332" s="65"/>
      <c r="T332" s="65"/>
      <c r="U332" s="30"/>
      <c r="V332" s="65"/>
      <c r="W332" s="65"/>
      <c r="X332" s="65"/>
      <c r="Y332" s="30"/>
      <c r="Z332" s="65"/>
      <c r="AA332" s="65"/>
      <c r="AB332" s="65"/>
      <c r="AC332" s="30"/>
      <c r="AD332" s="65"/>
      <c r="AE332" s="65"/>
      <c r="AF332" s="65"/>
      <c r="AG332" s="65"/>
      <c r="AH332" s="30"/>
      <c r="AI332" s="65"/>
      <c r="AJ332" s="65"/>
      <c r="AK332" s="65"/>
      <c r="AL332" s="65"/>
      <c r="AM332" s="65"/>
      <c r="AN332" s="65"/>
      <c r="AO332" s="65"/>
    </row>
    <row r="333">
      <c r="A333" s="30"/>
      <c r="B333" s="65"/>
      <c r="C333" s="65"/>
      <c r="D333" s="65"/>
      <c r="E333" s="30"/>
      <c r="F333" s="65"/>
      <c r="G333" s="65"/>
      <c r="H333" s="65"/>
      <c r="I333" s="30"/>
      <c r="J333" s="65"/>
      <c r="K333" s="65"/>
      <c r="L333" s="65"/>
      <c r="M333" s="30"/>
      <c r="N333" s="65"/>
      <c r="O333" s="65"/>
      <c r="P333" s="65"/>
      <c r="Q333" s="30"/>
      <c r="R333" s="65"/>
      <c r="S333" s="65"/>
      <c r="T333" s="65"/>
      <c r="U333" s="30"/>
      <c r="V333" s="65"/>
      <c r="W333" s="65"/>
      <c r="X333" s="65"/>
      <c r="Y333" s="30"/>
      <c r="Z333" s="65"/>
      <c r="AA333" s="65"/>
      <c r="AB333" s="65"/>
      <c r="AC333" s="30"/>
      <c r="AD333" s="65"/>
      <c r="AE333" s="65"/>
      <c r="AF333" s="65"/>
      <c r="AG333" s="65"/>
      <c r="AH333" s="30"/>
      <c r="AI333" s="65"/>
      <c r="AJ333" s="65"/>
      <c r="AK333" s="65"/>
      <c r="AL333" s="65"/>
      <c r="AM333" s="65"/>
      <c r="AN333" s="65"/>
      <c r="AO333" s="65"/>
    </row>
    <row r="334">
      <c r="A334" s="30"/>
      <c r="B334" s="65"/>
      <c r="C334" s="65"/>
      <c r="D334" s="65"/>
      <c r="E334" s="30"/>
      <c r="F334" s="65"/>
      <c r="G334" s="65"/>
      <c r="H334" s="65"/>
      <c r="I334" s="30"/>
      <c r="J334" s="65"/>
      <c r="K334" s="65"/>
      <c r="L334" s="65"/>
      <c r="M334" s="30"/>
      <c r="N334" s="65"/>
      <c r="O334" s="65"/>
      <c r="P334" s="65"/>
      <c r="Q334" s="30"/>
      <c r="R334" s="65"/>
      <c r="S334" s="65"/>
      <c r="T334" s="65"/>
      <c r="U334" s="30"/>
      <c r="V334" s="65"/>
      <c r="W334" s="65"/>
      <c r="X334" s="65"/>
      <c r="Y334" s="30"/>
      <c r="Z334" s="65"/>
      <c r="AA334" s="65"/>
      <c r="AB334" s="65"/>
      <c r="AC334" s="30"/>
      <c r="AD334" s="65"/>
      <c r="AE334" s="65"/>
      <c r="AF334" s="65"/>
      <c r="AG334" s="65"/>
      <c r="AH334" s="30"/>
      <c r="AI334" s="65"/>
      <c r="AJ334" s="65"/>
      <c r="AK334" s="65"/>
      <c r="AL334" s="65"/>
      <c r="AM334" s="65"/>
      <c r="AN334" s="65"/>
      <c r="AO334" s="65"/>
    </row>
    <row r="335">
      <c r="A335" s="30"/>
      <c r="B335" s="65"/>
      <c r="C335" s="65"/>
      <c r="D335" s="65"/>
      <c r="E335" s="30"/>
      <c r="F335" s="65"/>
      <c r="G335" s="65"/>
      <c r="H335" s="65"/>
      <c r="I335" s="30"/>
      <c r="J335" s="65"/>
      <c r="K335" s="65"/>
      <c r="L335" s="65"/>
      <c r="M335" s="30"/>
      <c r="N335" s="65"/>
      <c r="O335" s="65"/>
      <c r="P335" s="65"/>
      <c r="Q335" s="30"/>
      <c r="R335" s="65"/>
      <c r="S335" s="65"/>
      <c r="T335" s="65"/>
      <c r="U335" s="30"/>
      <c r="V335" s="65"/>
      <c r="W335" s="65"/>
      <c r="X335" s="65"/>
      <c r="Y335" s="30"/>
      <c r="Z335" s="65"/>
      <c r="AA335" s="65"/>
      <c r="AB335" s="65"/>
      <c r="AC335" s="30"/>
      <c r="AD335" s="65"/>
      <c r="AE335" s="65"/>
      <c r="AF335" s="65"/>
      <c r="AG335" s="65"/>
      <c r="AH335" s="30"/>
      <c r="AI335" s="65"/>
      <c r="AJ335" s="65"/>
      <c r="AK335" s="65"/>
      <c r="AL335" s="65"/>
      <c r="AM335" s="65"/>
      <c r="AN335" s="65"/>
      <c r="AO335" s="65"/>
    </row>
    <row r="336">
      <c r="A336" s="30"/>
      <c r="B336" s="65"/>
      <c r="C336" s="65"/>
      <c r="D336" s="65"/>
      <c r="E336" s="30"/>
      <c r="F336" s="65"/>
      <c r="G336" s="65"/>
      <c r="H336" s="65"/>
      <c r="I336" s="30"/>
      <c r="J336" s="65"/>
      <c r="K336" s="65"/>
      <c r="L336" s="65"/>
      <c r="M336" s="30"/>
      <c r="N336" s="65"/>
      <c r="O336" s="65"/>
      <c r="P336" s="65"/>
      <c r="Q336" s="30"/>
      <c r="R336" s="65"/>
      <c r="S336" s="65"/>
      <c r="T336" s="65"/>
      <c r="U336" s="30"/>
      <c r="V336" s="65"/>
      <c r="W336" s="65"/>
      <c r="X336" s="65"/>
      <c r="Y336" s="30"/>
      <c r="Z336" s="65"/>
      <c r="AA336" s="65"/>
      <c r="AB336" s="65"/>
      <c r="AC336" s="30"/>
      <c r="AD336" s="65"/>
      <c r="AE336" s="65"/>
      <c r="AF336" s="65"/>
      <c r="AG336" s="65"/>
      <c r="AH336" s="30"/>
      <c r="AI336" s="65"/>
      <c r="AJ336" s="65"/>
      <c r="AK336" s="65"/>
      <c r="AL336" s="65"/>
      <c r="AM336" s="65"/>
      <c r="AN336" s="65"/>
      <c r="AO336" s="65"/>
    </row>
    <row r="337">
      <c r="A337" s="30"/>
      <c r="B337" s="65"/>
      <c r="C337" s="65"/>
      <c r="D337" s="65"/>
      <c r="E337" s="30"/>
      <c r="F337" s="65"/>
      <c r="G337" s="65"/>
      <c r="H337" s="65"/>
      <c r="I337" s="30"/>
      <c r="J337" s="65"/>
      <c r="K337" s="65"/>
      <c r="L337" s="65"/>
      <c r="M337" s="30"/>
      <c r="N337" s="65"/>
      <c r="O337" s="65"/>
      <c r="P337" s="65"/>
      <c r="Q337" s="30"/>
      <c r="R337" s="65"/>
      <c r="S337" s="65"/>
      <c r="T337" s="65"/>
      <c r="U337" s="30"/>
      <c r="V337" s="65"/>
      <c r="W337" s="65"/>
      <c r="X337" s="65"/>
      <c r="Y337" s="30"/>
      <c r="Z337" s="65"/>
      <c r="AA337" s="65"/>
      <c r="AB337" s="65"/>
      <c r="AC337" s="30"/>
      <c r="AD337" s="65"/>
      <c r="AE337" s="65"/>
      <c r="AF337" s="65"/>
      <c r="AG337" s="65"/>
      <c r="AH337" s="30"/>
      <c r="AI337" s="65"/>
      <c r="AJ337" s="65"/>
      <c r="AK337" s="65"/>
      <c r="AL337" s="65"/>
      <c r="AM337" s="65"/>
      <c r="AN337" s="65"/>
      <c r="AO337" s="65"/>
    </row>
    <row r="338">
      <c r="A338" s="30"/>
      <c r="B338" s="65"/>
      <c r="C338" s="65"/>
      <c r="D338" s="65"/>
      <c r="E338" s="30"/>
      <c r="F338" s="65"/>
      <c r="G338" s="65"/>
      <c r="H338" s="65"/>
      <c r="I338" s="30"/>
      <c r="J338" s="65"/>
      <c r="K338" s="65"/>
      <c r="L338" s="65"/>
      <c r="M338" s="30"/>
      <c r="N338" s="65"/>
      <c r="O338" s="65"/>
      <c r="P338" s="65"/>
      <c r="Q338" s="30"/>
      <c r="R338" s="65"/>
      <c r="S338" s="65"/>
      <c r="T338" s="65"/>
      <c r="U338" s="30"/>
      <c r="V338" s="65"/>
      <c r="W338" s="65"/>
      <c r="X338" s="65"/>
      <c r="Y338" s="30"/>
      <c r="Z338" s="65"/>
      <c r="AA338" s="65"/>
      <c r="AB338" s="65"/>
      <c r="AC338" s="30"/>
      <c r="AD338" s="65"/>
      <c r="AE338" s="65"/>
      <c r="AF338" s="65"/>
      <c r="AG338" s="65"/>
      <c r="AH338" s="30"/>
      <c r="AI338" s="65"/>
      <c r="AJ338" s="65"/>
      <c r="AK338" s="65"/>
      <c r="AL338" s="65"/>
      <c r="AM338" s="65"/>
      <c r="AN338" s="65"/>
      <c r="AO338" s="65"/>
    </row>
    <row r="339">
      <c r="A339" s="30"/>
      <c r="B339" s="65"/>
      <c r="C339" s="65"/>
      <c r="D339" s="65"/>
      <c r="E339" s="30"/>
      <c r="F339" s="65"/>
      <c r="G339" s="65"/>
      <c r="H339" s="65"/>
      <c r="I339" s="30"/>
      <c r="J339" s="65"/>
      <c r="K339" s="65"/>
      <c r="L339" s="65"/>
      <c r="M339" s="30"/>
      <c r="N339" s="65"/>
      <c r="O339" s="65"/>
      <c r="P339" s="65"/>
      <c r="Q339" s="30"/>
      <c r="R339" s="65"/>
      <c r="S339" s="65"/>
      <c r="T339" s="65"/>
      <c r="U339" s="30"/>
      <c r="V339" s="65"/>
      <c r="W339" s="65"/>
      <c r="X339" s="65"/>
      <c r="Y339" s="30"/>
      <c r="Z339" s="65"/>
      <c r="AA339" s="65"/>
      <c r="AB339" s="65"/>
      <c r="AC339" s="30"/>
      <c r="AD339" s="65"/>
      <c r="AE339" s="65"/>
      <c r="AF339" s="65"/>
      <c r="AG339" s="65"/>
      <c r="AH339" s="30"/>
      <c r="AI339" s="65"/>
      <c r="AJ339" s="65"/>
      <c r="AK339" s="65"/>
      <c r="AL339" s="65"/>
      <c r="AM339" s="65"/>
      <c r="AN339" s="65"/>
      <c r="AO339" s="65"/>
    </row>
    <row r="340">
      <c r="A340" s="30"/>
      <c r="B340" s="65"/>
      <c r="C340" s="65"/>
      <c r="D340" s="65"/>
      <c r="E340" s="30"/>
      <c r="F340" s="65"/>
      <c r="G340" s="65"/>
      <c r="H340" s="65"/>
      <c r="I340" s="30"/>
      <c r="J340" s="65"/>
      <c r="K340" s="65"/>
      <c r="L340" s="65"/>
      <c r="M340" s="30"/>
      <c r="N340" s="65"/>
      <c r="O340" s="65"/>
      <c r="P340" s="65"/>
      <c r="Q340" s="30"/>
      <c r="R340" s="65"/>
      <c r="S340" s="65"/>
      <c r="T340" s="65"/>
      <c r="U340" s="30"/>
      <c r="V340" s="65"/>
      <c r="W340" s="65"/>
      <c r="X340" s="65"/>
      <c r="Y340" s="30"/>
      <c r="Z340" s="65"/>
      <c r="AA340" s="65"/>
      <c r="AB340" s="65"/>
      <c r="AC340" s="30"/>
      <c r="AD340" s="65"/>
      <c r="AE340" s="65"/>
      <c r="AF340" s="65"/>
      <c r="AG340" s="65"/>
      <c r="AH340" s="30"/>
      <c r="AI340" s="65"/>
      <c r="AJ340" s="65"/>
      <c r="AK340" s="65"/>
      <c r="AL340" s="65"/>
      <c r="AM340" s="65"/>
      <c r="AN340" s="65"/>
      <c r="AO340" s="65"/>
    </row>
    <row r="341">
      <c r="A341" s="30"/>
      <c r="B341" s="65"/>
      <c r="C341" s="65"/>
      <c r="D341" s="65"/>
      <c r="E341" s="30"/>
      <c r="F341" s="65"/>
      <c r="G341" s="65"/>
      <c r="H341" s="65"/>
      <c r="I341" s="30"/>
      <c r="J341" s="65"/>
      <c r="K341" s="65"/>
      <c r="L341" s="65"/>
      <c r="M341" s="30"/>
      <c r="N341" s="65"/>
      <c r="O341" s="65"/>
      <c r="P341" s="65"/>
      <c r="Q341" s="30"/>
      <c r="R341" s="65"/>
      <c r="S341" s="65"/>
      <c r="T341" s="65"/>
      <c r="U341" s="30"/>
      <c r="V341" s="65"/>
      <c r="W341" s="65"/>
      <c r="X341" s="65"/>
      <c r="Y341" s="30"/>
      <c r="Z341" s="65"/>
      <c r="AA341" s="65"/>
      <c r="AB341" s="65"/>
      <c r="AC341" s="30"/>
      <c r="AD341" s="65"/>
      <c r="AE341" s="65"/>
      <c r="AF341" s="65"/>
      <c r="AG341" s="65"/>
      <c r="AH341" s="30"/>
      <c r="AI341" s="65"/>
      <c r="AJ341" s="65"/>
      <c r="AK341" s="65"/>
      <c r="AL341" s="65"/>
      <c r="AM341" s="65"/>
      <c r="AN341" s="65"/>
      <c r="AO341" s="65"/>
    </row>
    <row r="342">
      <c r="A342" s="30"/>
      <c r="B342" s="65"/>
      <c r="C342" s="65"/>
      <c r="D342" s="65"/>
      <c r="E342" s="30"/>
      <c r="F342" s="65"/>
      <c r="G342" s="65"/>
      <c r="H342" s="65"/>
      <c r="I342" s="30"/>
      <c r="J342" s="65"/>
      <c r="K342" s="65"/>
      <c r="L342" s="65"/>
      <c r="M342" s="30"/>
      <c r="N342" s="65"/>
      <c r="O342" s="65"/>
      <c r="P342" s="65"/>
      <c r="Q342" s="30"/>
      <c r="R342" s="65"/>
      <c r="S342" s="65"/>
      <c r="T342" s="65"/>
      <c r="U342" s="30"/>
      <c r="V342" s="65"/>
      <c r="W342" s="65"/>
      <c r="X342" s="65"/>
      <c r="Y342" s="30"/>
      <c r="Z342" s="65"/>
      <c r="AA342" s="65"/>
      <c r="AB342" s="65"/>
      <c r="AC342" s="30"/>
      <c r="AD342" s="65"/>
      <c r="AE342" s="65"/>
      <c r="AF342" s="65"/>
      <c r="AG342" s="65"/>
      <c r="AH342" s="30"/>
      <c r="AI342" s="65"/>
      <c r="AJ342" s="65"/>
      <c r="AK342" s="65"/>
      <c r="AL342" s="65"/>
      <c r="AM342" s="65"/>
      <c r="AN342" s="65"/>
      <c r="AO342" s="65"/>
    </row>
    <row r="343">
      <c r="A343" s="30"/>
      <c r="B343" s="65"/>
      <c r="C343" s="65"/>
      <c r="D343" s="65"/>
      <c r="E343" s="30"/>
      <c r="F343" s="65"/>
      <c r="G343" s="65"/>
      <c r="H343" s="65"/>
      <c r="I343" s="30"/>
      <c r="J343" s="65"/>
      <c r="K343" s="65"/>
      <c r="L343" s="65"/>
      <c r="M343" s="30"/>
      <c r="N343" s="65"/>
      <c r="O343" s="65"/>
      <c r="P343" s="65"/>
      <c r="Q343" s="30"/>
      <c r="R343" s="65"/>
      <c r="S343" s="65"/>
      <c r="T343" s="65"/>
      <c r="U343" s="30"/>
      <c r="V343" s="65"/>
      <c r="W343" s="65"/>
      <c r="X343" s="65"/>
      <c r="Y343" s="30"/>
      <c r="Z343" s="65"/>
      <c r="AA343" s="65"/>
      <c r="AB343" s="65"/>
      <c r="AC343" s="30"/>
      <c r="AD343" s="65"/>
      <c r="AE343" s="65"/>
      <c r="AF343" s="65"/>
      <c r="AG343" s="65"/>
      <c r="AH343" s="30"/>
      <c r="AI343" s="65"/>
      <c r="AJ343" s="65"/>
      <c r="AK343" s="65"/>
      <c r="AL343" s="65"/>
      <c r="AM343" s="65"/>
      <c r="AN343" s="65"/>
      <c r="AO343" s="65"/>
    </row>
    <row r="344">
      <c r="A344" s="30"/>
      <c r="B344" s="65"/>
      <c r="C344" s="65"/>
      <c r="D344" s="65"/>
      <c r="E344" s="30"/>
      <c r="F344" s="65"/>
      <c r="G344" s="65"/>
      <c r="H344" s="65"/>
      <c r="I344" s="30"/>
      <c r="J344" s="65"/>
      <c r="K344" s="65"/>
      <c r="L344" s="65"/>
      <c r="M344" s="30"/>
      <c r="N344" s="65"/>
      <c r="O344" s="65"/>
      <c r="P344" s="65"/>
      <c r="Q344" s="30"/>
      <c r="R344" s="65"/>
      <c r="S344" s="65"/>
      <c r="T344" s="65"/>
      <c r="U344" s="30"/>
      <c r="V344" s="65"/>
      <c r="W344" s="65"/>
      <c r="X344" s="65"/>
      <c r="Y344" s="30"/>
      <c r="Z344" s="65"/>
      <c r="AA344" s="65"/>
      <c r="AB344" s="65"/>
      <c r="AC344" s="30"/>
      <c r="AD344" s="65"/>
      <c r="AE344" s="65"/>
      <c r="AF344" s="65"/>
      <c r="AG344" s="65"/>
      <c r="AH344" s="30"/>
      <c r="AI344" s="65"/>
      <c r="AJ344" s="65"/>
      <c r="AK344" s="65"/>
      <c r="AL344" s="65"/>
      <c r="AM344" s="65"/>
      <c r="AN344" s="65"/>
      <c r="AO344" s="65"/>
    </row>
    <row r="345">
      <c r="A345" s="30"/>
      <c r="B345" s="65"/>
      <c r="C345" s="65"/>
      <c r="D345" s="65"/>
      <c r="E345" s="30"/>
      <c r="F345" s="65"/>
      <c r="G345" s="65"/>
      <c r="H345" s="65"/>
      <c r="I345" s="30"/>
      <c r="J345" s="65"/>
      <c r="K345" s="65"/>
      <c r="L345" s="65"/>
      <c r="M345" s="30"/>
      <c r="N345" s="65"/>
      <c r="O345" s="65"/>
      <c r="P345" s="65"/>
      <c r="Q345" s="30"/>
      <c r="R345" s="65"/>
      <c r="S345" s="65"/>
      <c r="T345" s="65"/>
      <c r="U345" s="30"/>
      <c r="V345" s="65"/>
      <c r="W345" s="65"/>
      <c r="X345" s="65"/>
      <c r="Y345" s="30"/>
      <c r="Z345" s="65"/>
      <c r="AA345" s="65"/>
      <c r="AB345" s="65"/>
      <c r="AC345" s="30"/>
      <c r="AD345" s="65"/>
      <c r="AE345" s="65"/>
      <c r="AF345" s="65"/>
      <c r="AG345" s="65"/>
      <c r="AH345" s="30"/>
      <c r="AI345" s="65"/>
      <c r="AJ345" s="65"/>
      <c r="AK345" s="65"/>
      <c r="AL345" s="65"/>
      <c r="AM345" s="65"/>
      <c r="AN345" s="65"/>
      <c r="AO345" s="65"/>
    </row>
    <row r="346">
      <c r="A346" s="30"/>
      <c r="B346" s="65"/>
      <c r="C346" s="65"/>
      <c r="D346" s="65"/>
      <c r="E346" s="30"/>
      <c r="F346" s="65"/>
      <c r="G346" s="65"/>
      <c r="H346" s="65"/>
      <c r="I346" s="30"/>
      <c r="J346" s="65"/>
      <c r="K346" s="65"/>
      <c r="L346" s="65"/>
      <c r="M346" s="30"/>
      <c r="N346" s="65"/>
      <c r="O346" s="65"/>
      <c r="P346" s="65"/>
      <c r="Q346" s="30"/>
      <c r="R346" s="65"/>
      <c r="S346" s="65"/>
      <c r="T346" s="65"/>
      <c r="U346" s="30"/>
      <c r="V346" s="65"/>
      <c r="W346" s="65"/>
      <c r="X346" s="65"/>
      <c r="Y346" s="30"/>
      <c r="Z346" s="65"/>
      <c r="AA346" s="65"/>
      <c r="AB346" s="65"/>
      <c r="AC346" s="30"/>
      <c r="AD346" s="65"/>
      <c r="AE346" s="65"/>
      <c r="AF346" s="65"/>
      <c r="AG346" s="65"/>
      <c r="AH346" s="30"/>
      <c r="AI346" s="65"/>
      <c r="AJ346" s="65"/>
      <c r="AK346" s="65"/>
      <c r="AL346" s="65"/>
      <c r="AM346" s="65"/>
      <c r="AN346" s="65"/>
      <c r="AO346" s="65"/>
    </row>
    <row r="347">
      <c r="A347" s="30"/>
      <c r="B347" s="65"/>
      <c r="C347" s="65"/>
      <c r="D347" s="65"/>
      <c r="E347" s="30"/>
      <c r="F347" s="65"/>
      <c r="G347" s="65"/>
      <c r="H347" s="65"/>
      <c r="I347" s="30"/>
      <c r="J347" s="65"/>
      <c r="K347" s="65"/>
      <c r="L347" s="65"/>
      <c r="M347" s="30"/>
      <c r="N347" s="65"/>
      <c r="O347" s="65"/>
      <c r="P347" s="65"/>
      <c r="Q347" s="30"/>
      <c r="R347" s="65"/>
      <c r="S347" s="65"/>
      <c r="T347" s="65"/>
      <c r="U347" s="30"/>
      <c r="V347" s="65"/>
      <c r="W347" s="65"/>
      <c r="X347" s="65"/>
      <c r="Y347" s="30"/>
      <c r="Z347" s="65"/>
      <c r="AA347" s="65"/>
      <c r="AB347" s="65"/>
      <c r="AC347" s="30"/>
      <c r="AD347" s="65"/>
      <c r="AE347" s="65"/>
      <c r="AF347" s="65"/>
      <c r="AG347" s="65"/>
      <c r="AH347" s="30"/>
      <c r="AI347" s="65"/>
      <c r="AJ347" s="65"/>
      <c r="AK347" s="65"/>
      <c r="AL347" s="65"/>
      <c r="AM347" s="65"/>
      <c r="AN347" s="65"/>
      <c r="AO347" s="65"/>
    </row>
    <row r="348">
      <c r="A348" s="30"/>
      <c r="B348" s="65"/>
      <c r="C348" s="65"/>
      <c r="D348" s="65"/>
      <c r="E348" s="30"/>
      <c r="F348" s="65"/>
      <c r="G348" s="65"/>
      <c r="H348" s="65"/>
      <c r="I348" s="30"/>
      <c r="J348" s="65"/>
      <c r="K348" s="65"/>
      <c r="L348" s="65"/>
      <c r="M348" s="30"/>
      <c r="N348" s="65"/>
      <c r="O348" s="65"/>
      <c r="P348" s="65"/>
      <c r="Q348" s="30"/>
      <c r="R348" s="65"/>
      <c r="S348" s="65"/>
      <c r="T348" s="65"/>
      <c r="U348" s="30"/>
      <c r="V348" s="65"/>
      <c r="W348" s="65"/>
      <c r="X348" s="65"/>
      <c r="Y348" s="30"/>
      <c r="Z348" s="65"/>
      <c r="AA348" s="65"/>
      <c r="AB348" s="65"/>
      <c r="AC348" s="30"/>
      <c r="AD348" s="65"/>
      <c r="AE348" s="65"/>
      <c r="AF348" s="65"/>
      <c r="AG348" s="65"/>
      <c r="AH348" s="30"/>
      <c r="AI348" s="65"/>
      <c r="AJ348" s="65"/>
      <c r="AK348" s="65"/>
      <c r="AL348" s="65"/>
      <c r="AM348" s="65"/>
      <c r="AN348" s="65"/>
      <c r="AO348" s="65"/>
    </row>
    <row r="349">
      <c r="A349" s="30"/>
      <c r="B349" s="65"/>
      <c r="C349" s="65"/>
      <c r="D349" s="65"/>
      <c r="E349" s="30"/>
      <c r="F349" s="65"/>
      <c r="G349" s="65"/>
      <c r="H349" s="65"/>
      <c r="I349" s="30"/>
      <c r="J349" s="65"/>
      <c r="K349" s="65"/>
      <c r="L349" s="65"/>
      <c r="M349" s="30"/>
      <c r="N349" s="65"/>
      <c r="O349" s="65"/>
      <c r="P349" s="65"/>
      <c r="Q349" s="30"/>
      <c r="R349" s="65"/>
      <c r="S349" s="65"/>
      <c r="T349" s="65"/>
      <c r="U349" s="30"/>
      <c r="V349" s="65"/>
      <c r="W349" s="65"/>
      <c r="X349" s="65"/>
      <c r="Y349" s="30"/>
      <c r="Z349" s="65"/>
      <c r="AA349" s="65"/>
      <c r="AB349" s="65"/>
      <c r="AC349" s="30"/>
      <c r="AD349" s="65"/>
      <c r="AE349" s="65"/>
      <c r="AF349" s="65"/>
      <c r="AG349" s="65"/>
      <c r="AH349" s="30"/>
      <c r="AI349" s="65"/>
      <c r="AJ349" s="65"/>
      <c r="AK349" s="65"/>
      <c r="AL349" s="65"/>
      <c r="AM349" s="65"/>
      <c r="AN349" s="65"/>
      <c r="AO349" s="65"/>
    </row>
    <row r="350">
      <c r="A350" s="30"/>
      <c r="B350" s="65"/>
      <c r="C350" s="65"/>
      <c r="D350" s="65"/>
      <c r="E350" s="30"/>
      <c r="F350" s="65"/>
      <c r="G350" s="65"/>
      <c r="H350" s="65"/>
      <c r="I350" s="30"/>
      <c r="J350" s="65"/>
      <c r="K350" s="65"/>
      <c r="L350" s="65"/>
      <c r="M350" s="30"/>
      <c r="N350" s="65"/>
      <c r="O350" s="65"/>
      <c r="P350" s="65"/>
      <c r="Q350" s="30"/>
      <c r="R350" s="65"/>
      <c r="S350" s="65"/>
      <c r="T350" s="65"/>
      <c r="U350" s="30"/>
      <c r="V350" s="65"/>
      <c r="W350" s="65"/>
      <c r="X350" s="65"/>
      <c r="Y350" s="30"/>
      <c r="Z350" s="65"/>
      <c r="AA350" s="65"/>
      <c r="AB350" s="65"/>
      <c r="AC350" s="30"/>
      <c r="AD350" s="65"/>
      <c r="AE350" s="65"/>
      <c r="AF350" s="65"/>
      <c r="AG350" s="65"/>
      <c r="AH350" s="30"/>
      <c r="AI350" s="65"/>
      <c r="AJ350" s="65"/>
      <c r="AK350" s="65"/>
      <c r="AL350" s="65"/>
      <c r="AM350" s="65"/>
      <c r="AN350" s="65"/>
      <c r="AO350" s="65"/>
    </row>
    <row r="351">
      <c r="A351" s="30"/>
      <c r="B351" s="65"/>
      <c r="C351" s="65"/>
      <c r="D351" s="65"/>
      <c r="E351" s="30"/>
      <c r="F351" s="65"/>
      <c r="G351" s="65"/>
      <c r="H351" s="65"/>
      <c r="I351" s="30"/>
      <c r="J351" s="65"/>
      <c r="K351" s="65"/>
      <c r="L351" s="65"/>
      <c r="M351" s="30"/>
      <c r="N351" s="65"/>
      <c r="O351" s="65"/>
      <c r="P351" s="65"/>
      <c r="Q351" s="30"/>
      <c r="R351" s="65"/>
      <c r="S351" s="65"/>
      <c r="T351" s="65"/>
      <c r="U351" s="30"/>
      <c r="V351" s="65"/>
      <c r="W351" s="65"/>
      <c r="X351" s="65"/>
      <c r="Y351" s="30"/>
      <c r="Z351" s="65"/>
      <c r="AA351" s="65"/>
      <c r="AB351" s="65"/>
      <c r="AC351" s="30"/>
      <c r="AD351" s="65"/>
      <c r="AE351" s="65"/>
      <c r="AF351" s="65"/>
      <c r="AG351" s="65"/>
      <c r="AH351" s="30"/>
      <c r="AI351" s="65"/>
      <c r="AJ351" s="65"/>
      <c r="AK351" s="65"/>
      <c r="AL351" s="65"/>
      <c r="AM351" s="65"/>
      <c r="AN351" s="65"/>
      <c r="AO351" s="65"/>
    </row>
    <row r="352">
      <c r="A352" s="30"/>
      <c r="B352" s="65"/>
      <c r="C352" s="65"/>
      <c r="D352" s="65"/>
      <c r="E352" s="30"/>
      <c r="F352" s="65"/>
      <c r="G352" s="65"/>
      <c r="H352" s="65"/>
      <c r="I352" s="30"/>
      <c r="J352" s="65"/>
      <c r="K352" s="65"/>
      <c r="L352" s="65"/>
      <c r="M352" s="30"/>
      <c r="N352" s="65"/>
      <c r="O352" s="65"/>
      <c r="P352" s="65"/>
      <c r="Q352" s="30"/>
      <c r="R352" s="65"/>
      <c r="S352" s="65"/>
      <c r="T352" s="65"/>
      <c r="U352" s="30"/>
      <c r="V352" s="65"/>
      <c r="W352" s="65"/>
      <c r="X352" s="65"/>
      <c r="Y352" s="30"/>
      <c r="Z352" s="65"/>
      <c r="AA352" s="65"/>
      <c r="AB352" s="65"/>
      <c r="AC352" s="30"/>
      <c r="AD352" s="65"/>
      <c r="AE352" s="65"/>
      <c r="AF352" s="65"/>
      <c r="AG352" s="65"/>
      <c r="AH352" s="30"/>
      <c r="AI352" s="65"/>
      <c r="AJ352" s="65"/>
      <c r="AK352" s="65"/>
      <c r="AL352" s="65"/>
      <c r="AM352" s="65"/>
      <c r="AN352" s="65"/>
      <c r="AO352" s="65"/>
    </row>
    <row r="353">
      <c r="A353" s="30"/>
      <c r="B353" s="65"/>
      <c r="C353" s="65"/>
      <c r="D353" s="65"/>
      <c r="E353" s="30"/>
      <c r="F353" s="65"/>
      <c r="G353" s="65"/>
      <c r="H353" s="65"/>
      <c r="I353" s="30"/>
      <c r="J353" s="65"/>
      <c r="K353" s="65"/>
      <c r="L353" s="65"/>
      <c r="M353" s="30"/>
      <c r="N353" s="65"/>
      <c r="O353" s="65"/>
      <c r="P353" s="65"/>
      <c r="Q353" s="30"/>
      <c r="R353" s="65"/>
      <c r="S353" s="65"/>
      <c r="T353" s="65"/>
      <c r="U353" s="30"/>
      <c r="V353" s="65"/>
      <c r="W353" s="65"/>
      <c r="X353" s="65"/>
      <c r="Y353" s="30"/>
      <c r="Z353" s="65"/>
      <c r="AA353" s="65"/>
      <c r="AB353" s="65"/>
      <c r="AC353" s="30"/>
      <c r="AD353" s="65"/>
      <c r="AE353" s="65"/>
      <c r="AF353" s="65"/>
      <c r="AG353" s="65"/>
      <c r="AH353" s="30"/>
      <c r="AI353" s="65"/>
      <c r="AJ353" s="65"/>
      <c r="AK353" s="65"/>
      <c r="AL353" s="65"/>
      <c r="AM353" s="65"/>
      <c r="AN353" s="65"/>
      <c r="AO353" s="65"/>
    </row>
    <row r="354">
      <c r="A354" s="30"/>
      <c r="B354" s="65"/>
      <c r="C354" s="65"/>
      <c r="D354" s="65"/>
      <c r="E354" s="30"/>
      <c r="F354" s="65"/>
      <c r="G354" s="65"/>
      <c r="H354" s="65"/>
      <c r="I354" s="30"/>
      <c r="J354" s="65"/>
      <c r="K354" s="65"/>
      <c r="L354" s="65"/>
      <c r="M354" s="30"/>
      <c r="N354" s="65"/>
      <c r="O354" s="65"/>
      <c r="P354" s="65"/>
      <c r="Q354" s="30"/>
      <c r="R354" s="65"/>
      <c r="S354" s="65"/>
      <c r="T354" s="65"/>
      <c r="U354" s="30"/>
      <c r="V354" s="65"/>
      <c r="W354" s="65"/>
      <c r="X354" s="65"/>
      <c r="Y354" s="30"/>
      <c r="Z354" s="65"/>
      <c r="AA354" s="65"/>
      <c r="AB354" s="65"/>
      <c r="AC354" s="30"/>
      <c r="AD354" s="65"/>
      <c r="AE354" s="65"/>
      <c r="AF354" s="65"/>
      <c r="AG354" s="65"/>
      <c r="AH354" s="30"/>
      <c r="AI354" s="65"/>
      <c r="AJ354" s="65"/>
      <c r="AK354" s="65"/>
      <c r="AL354" s="65"/>
      <c r="AM354" s="65"/>
      <c r="AN354" s="65"/>
      <c r="AO354" s="65"/>
    </row>
    <row r="355">
      <c r="A355" s="30"/>
      <c r="B355" s="65"/>
      <c r="C355" s="65"/>
      <c r="D355" s="65"/>
      <c r="E355" s="30"/>
      <c r="F355" s="65"/>
      <c r="G355" s="65"/>
      <c r="H355" s="65"/>
      <c r="I355" s="30"/>
      <c r="J355" s="65"/>
      <c r="K355" s="65"/>
      <c r="L355" s="65"/>
      <c r="M355" s="30"/>
      <c r="N355" s="65"/>
      <c r="O355" s="65"/>
      <c r="P355" s="65"/>
      <c r="Q355" s="30"/>
      <c r="R355" s="65"/>
      <c r="S355" s="65"/>
      <c r="T355" s="65"/>
      <c r="U355" s="30"/>
      <c r="V355" s="65"/>
      <c r="W355" s="65"/>
      <c r="X355" s="65"/>
      <c r="Y355" s="30"/>
      <c r="Z355" s="65"/>
      <c r="AA355" s="65"/>
      <c r="AB355" s="65"/>
      <c r="AC355" s="30"/>
      <c r="AD355" s="65"/>
      <c r="AE355" s="65"/>
      <c r="AF355" s="65"/>
      <c r="AG355" s="65"/>
      <c r="AH355" s="30"/>
      <c r="AI355" s="65"/>
      <c r="AJ355" s="65"/>
      <c r="AK355" s="65"/>
      <c r="AL355" s="65"/>
      <c r="AM355" s="65"/>
      <c r="AN355" s="65"/>
      <c r="AO355" s="65"/>
    </row>
    <row r="356">
      <c r="A356" s="30"/>
      <c r="B356" s="65"/>
      <c r="C356" s="65"/>
      <c r="D356" s="65"/>
      <c r="E356" s="30"/>
      <c r="F356" s="65"/>
      <c r="G356" s="65"/>
      <c r="H356" s="65"/>
      <c r="I356" s="30"/>
      <c r="J356" s="65"/>
      <c r="K356" s="65"/>
      <c r="L356" s="65"/>
      <c r="M356" s="30"/>
      <c r="N356" s="65"/>
      <c r="O356" s="65"/>
      <c r="P356" s="65"/>
      <c r="Q356" s="30"/>
      <c r="R356" s="65"/>
      <c r="S356" s="65"/>
      <c r="T356" s="65"/>
      <c r="U356" s="30"/>
      <c r="V356" s="65"/>
      <c r="W356" s="65"/>
      <c r="X356" s="65"/>
      <c r="Y356" s="30"/>
      <c r="Z356" s="65"/>
      <c r="AA356" s="65"/>
      <c r="AB356" s="65"/>
      <c r="AC356" s="30"/>
      <c r="AD356" s="65"/>
      <c r="AE356" s="65"/>
      <c r="AF356" s="65"/>
      <c r="AG356" s="65"/>
      <c r="AH356" s="30"/>
      <c r="AI356" s="65"/>
      <c r="AJ356" s="65"/>
      <c r="AK356" s="65"/>
      <c r="AL356" s="65"/>
      <c r="AM356" s="65"/>
      <c r="AN356" s="65"/>
      <c r="AO356" s="65"/>
    </row>
    <row r="357">
      <c r="A357" s="30"/>
      <c r="B357" s="65"/>
      <c r="C357" s="65"/>
      <c r="D357" s="65"/>
      <c r="E357" s="30"/>
      <c r="F357" s="65"/>
      <c r="G357" s="65"/>
      <c r="H357" s="65"/>
      <c r="I357" s="30"/>
      <c r="J357" s="65"/>
      <c r="K357" s="65"/>
      <c r="L357" s="65"/>
      <c r="M357" s="30"/>
      <c r="N357" s="65"/>
      <c r="O357" s="65"/>
      <c r="P357" s="65"/>
      <c r="Q357" s="30"/>
      <c r="R357" s="65"/>
      <c r="S357" s="65"/>
      <c r="T357" s="65"/>
      <c r="U357" s="30"/>
      <c r="V357" s="65"/>
      <c r="W357" s="65"/>
      <c r="X357" s="65"/>
      <c r="Y357" s="30"/>
      <c r="Z357" s="65"/>
      <c r="AA357" s="65"/>
      <c r="AB357" s="65"/>
      <c r="AC357" s="30"/>
      <c r="AD357" s="65"/>
      <c r="AE357" s="65"/>
      <c r="AF357" s="65"/>
      <c r="AG357" s="65"/>
      <c r="AH357" s="30"/>
      <c r="AI357" s="65"/>
      <c r="AJ357" s="65"/>
      <c r="AK357" s="65"/>
      <c r="AL357" s="65"/>
      <c r="AM357" s="65"/>
      <c r="AN357" s="65"/>
      <c r="AO357" s="65"/>
    </row>
    <row r="358">
      <c r="A358" s="30"/>
      <c r="B358" s="65"/>
      <c r="C358" s="65"/>
      <c r="D358" s="65"/>
      <c r="E358" s="30"/>
      <c r="F358" s="65"/>
      <c r="G358" s="65"/>
      <c r="H358" s="65"/>
      <c r="I358" s="30"/>
      <c r="J358" s="65"/>
      <c r="K358" s="65"/>
      <c r="L358" s="65"/>
      <c r="M358" s="30"/>
      <c r="N358" s="65"/>
      <c r="O358" s="65"/>
      <c r="P358" s="65"/>
      <c r="Q358" s="30"/>
      <c r="R358" s="65"/>
      <c r="S358" s="65"/>
      <c r="T358" s="65"/>
      <c r="U358" s="30"/>
      <c r="V358" s="65"/>
      <c r="W358" s="65"/>
      <c r="X358" s="65"/>
      <c r="Y358" s="30"/>
      <c r="Z358" s="65"/>
      <c r="AA358" s="65"/>
      <c r="AB358" s="65"/>
      <c r="AC358" s="30"/>
      <c r="AD358" s="65"/>
      <c r="AE358" s="65"/>
      <c r="AF358" s="65"/>
      <c r="AG358" s="65"/>
      <c r="AH358" s="30"/>
      <c r="AI358" s="65"/>
      <c r="AJ358" s="65"/>
      <c r="AK358" s="65"/>
      <c r="AL358" s="65"/>
      <c r="AM358" s="65"/>
      <c r="AN358" s="65"/>
      <c r="AO358" s="65"/>
    </row>
    <row r="359">
      <c r="A359" s="30"/>
      <c r="B359" s="65"/>
      <c r="C359" s="65"/>
      <c r="D359" s="65"/>
      <c r="E359" s="30"/>
      <c r="F359" s="65"/>
      <c r="G359" s="65"/>
      <c r="H359" s="65"/>
      <c r="I359" s="30"/>
      <c r="J359" s="65"/>
      <c r="K359" s="65"/>
      <c r="L359" s="65"/>
      <c r="M359" s="30"/>
      <c r="N359" s="65"/>
      <c r="O359" s="65"/>
      <c r="P359" s="65"/>
      <c r="Q359" s="30"/>
      <c r="R359" s="65"/>
      <c r="S359" s="65"/>
      <c r="T359" s="65"/>
      <c r="U359" s="30"/>
      <c r="V359" s="65"/>
      <c r="W359" s="65"/>
      <c r="X359" s="65"/>
      <c r="Y359" s="30"/>
      <c r="Z359" s="65"/>
      <c r="AA359" s="65"/>
      <c r="AB359" s="65"/>
      <c r="AC359" s="30"/>
      <c r="AD359" s="65"/>
      <c r="AE359" s="65"/>
      <c r="AF359" s="65"/>
      <c r="AG359" s="65"/>
      <c r="AH359" s="30"/>
      <c r="AI359" s="65"/>
      <c r="AJ359" s="65"/>
      <c r="AK359" s="65"/>
      <c r="AL359" s="65"/>
      <c r="AM359" s="65"/>
      <c r="AN359" s="65"/>
      <c r="AO359" s="65"/>
    </row>
    <row r="360">
      <c r="A360" s="30"/>
      <c r="B360" s="65"/>
      <c r="C360" s="65"/>
      <c r="D360" s="65"/>
      <c r="E360" s="30"/>
      <c r="F360" s="65"/>
      <c r="G360" s="65"/>
      <c r="H360" s="65"/>
      <c r="I360" s="30"/>
      <c r="J360" s="65"/>
      <c r="K360" s="65"/>
      <c r="L360" s="65"/>
      <c r="M360" s="30"/>
      <c r="N360" s="65"/>
      <c r="O360" s="65"/>
      <c r="P360" s="65"/>
      <c r="Q360" s="30"/>
      <c r="R360" s="65"/>
      <c r="S360" s="65"/>
      <c r="T360" s="65"/>
      <c r="U360" s="30"/>
      <c r="V360" s="65"/>
      <c r="W360" s="65"/>
      <c r="X360" s="65"/>
      <c r="Y360" s="30"/>
      <c r="Z360" s="65"/>
      <c r="AA360" s="65"/>
      <c r="AB360" s="65"/>
      <c r="AC360" s="30"/>
      <c r="AD360" s="65"/>
      <c r="AE360" s="65"/>
      <c r="AF360" s="65"/>
      <c r="AG360" s="65"/>
      <c r="AH360" s="30"/>
      <c r="AI360" s="65"/>
      <c r="AJ360" s="65"/>
      <c r="AK360" s="65"/>
      <c r="AL360" s="65"/>
      <c r="AM360" s="65"/>
      <c r="AN360" s="65"/>
      <c r="AO360" s="65"/>
    </row>
    <row r="361">
      <c r="A361" s="30"/>
      <c r="B361" s="65"/>
      <c r="C361" s="65"/>
      <c r="D361" s="65"/>
      <c r="E361" s="30"/>
      <c r="F361" s="65"/>
      <c r="G361" s="65"/>
      <c r="H361" s="65"/>
      <c r="I361" s="30"/>
      <c r="J361" s="65"/>
      <c r="K361" s="65"/>
      <c r="L361" s="65"/>
      <c r="M361" s="30"/>
      <c r="N361" s="65"/>
      <c r="O361" s="65"/>
      <c r="P361" s="65"/>
      <c r="Q361" s="30"/>
      <c r="R361" s="65"/>
      <c r="S361" s="65"/>
      <c r="T361" s="65"/>
      <c r="U361" s="30"/>
      <c r="V361" s="65"/>
      <c r="W361" s="65"/>
      <c r="X361" s="65"/>
      <c r="Y361" s="30"/>
      <c r="Z361" s="65"/>
      <c r="AA361" s="65"/>
      <c r="AB361" s="65"/>
      <c r="AC361" s="30"/>
      <c r="AD361" s="65"/>
      <c r="AE361" s="65"/>
      <c r="AF361" s="65"/>
      <c r="AG361" s="65"/>
      <c r="AH361" s="30"/>
      <c r="AI361" s="65"/>
      <c r="AJ361" s="65"/>
      <c r="AK361" s="65"/>
      <c r="AL361" s="65"/>
      <c r="AM361" s="65"/>
      <c r="AN361" s="65"/>
      <c r="AO361" s="65"/>
    </row>
    <row r="362">
      <c r="A362" s="30"/>
      <c r="B362" s="65"/>
      <c r="C362" s="65"/>
      <c r="D362" s="65"/>
      <c r="E362" s="30"/>
      <c r="F362" s="65"/>
      <c r="G362" s="65"/>
      <c r="H362" s="65"/>
      <c r="I362" s="30"/>
      <c r="J362" s="65"/>
      <c r="K362" s="65"/>
      <c r="L362" s="65"/>
      <c r="M362" s="30"/>
      <c r="N362" s="65"/>
      <c r="O362" s="65"/>
      <c r="P362" s="65"/>
      <c r="Q362" s="30"/>
      <c r="R362" s="65"/>
      <c r="S362" s="65"/>
      <c r="T362" s="65"/>
      <c r="U362" s="30"/>
      <c r="V362" s="65"/>
      <c r="W362" s="65"/>
      <c r="X362" s="65"/>
      <c r="Y362" s="30"/>
      <c r="Z362" s="65"/>
      <c r="AA362" s="65"/>
      <c r="AB362" s="65"/>
      <c r="AC362" s="30"/>
      <c r="AD362" s="65"/>
      <c r="AE362" s="65"/>
      <c r="AF362" s="65"/>
      <c r="AG362" s="65"/>
      <c r="AH362" s="30"/>
      <c r="AI362" s="65"/>
      <c r="AJ362" s="65"/>
      <c r="AK362" s="65"/>
      <c r="AL362" s="65"/>
      <c r="AM362" s="65"/>
      <c r="AN362" s="65"/>
      <c r="AO362" s="65"/>
    </row>
    <row r="363">
      <c r="A363" s="30"/>
      <c r="B363" s="65"/>
      <c r="C363" s="65"/>
      <c r="D363" s="65"/>
      <c r="E363" s="30"/>
      <c r="F363" s="65"/>
      <c r="G363" s="65"/>
      <c r="H363" s="65"/>
      <c r="I363" s="30"/>
      <c r="J363" s="65"/>
      <c r="K363" s="65"/>
      <c r="L363" s="65"/>
      <c r="M363" s="30"/>
      <c r="N363" s="65"/>
      <c r="O363" s="65"/>
      <c r="P363" s="65"/>
      <c r="Q363" s="30"/>
      <c r="R363" s="65"/>
      <c r="S363" s="65"/>
      <c r="T363" s="65"/>
      <c r="U363" s="30"/>
      <c r="V363" s="65"/>
      <c r="W363" s="65"/>
      <c r="X363" s="65"/>
      <c r="Y363" s="30"/>
      <c r="Z363" s="65"/>
      <c r="AA363" s="65"/>
      <c r="AB363" s="65"/>
      <c r="AC363" s="30"/>
      <c r="AD363" s="65"/>
      <c r="AE363" s="65"/>
      <c r="AF363" s="65"/>
      <c r="AG363" s="65"/>
      <c r="AH363" s="30"/>
      <c r="AI363" s="65"/>
      <c r="AJ363" s="65"/>
      <c r="AK363" s="65"/>
      <c r="AL363" s="65"/>
      <c r="AM363" s="65"/>
      <c r="AN363" s="65"/>
      <c r="AO363" s="65"/>
    </row>
    <row r="364">
      <c r="A364" s="30"/>
      <c r="B364" s="65"/>
      <c r="C364" s="65"/>
      <c r="D364" s="65"/>
      <c r="E364" s="30"/>
      <c r="F364" s="65"/>
      <c r="G364" s="65"/>
      <c r="H364" s="65"/>
      <c r="I364" s="30"/>
      <c r="J364" s="65"/>
      <c r="K364" s="65"/>
      <c r="L364" s="65"/>
      <c r="M364" s="30"/>
      <c r="N364" s="65"/>
      <c r="O364" s="65"/>
      <c r="P364" s="65"/>
      <c r="Q364" s="30"/>
      <c r="R364" s="65"/>
      <c r="S364" s="65"/>
      <c r="T364" s="65"/>
      <c r="U364" s="30"/>
      <c r="V364" s="65"/>
      <c r="W364" s="65"/>
      <c r="X364" s="65"/>
      <c r="Y364" s="30"/>
      <c r="Z364" s="65"/>
      <c r="AA364" s="65"/>
      <c r="AB364" s="65"/>
      <c r="AC364" s="30"/>
      <c r="AD364" s="65"/>
      <c r="AE364" s="65"/>
      <c r="AF364" s="65"/>
      <c r="AG364" s="65"/>
      <c r="AH364" s="30"/>
      <c r="AI364" s="65"/>
      <c r="AJ364" s="65"/>
      <c r="AK364" s="65"/>
      <c r="AL364" s="65"/>
      <c r="AM364" s="65"/>
      <c r="AN364" s="65"/>
      <c r="AO364" s="65"/>
    </row>
    <row r="365">
      <c r="A365" s="30"/>
      <c r="B365" s="65"/>
      <c r="C365" s="65"/>
      <c r="D365" s="65"/>
      <c r="E365" s="30"/>
      <c r="F365" s="65"/>
      <c r="G365" s="65"/>
      <c r="H365" s="65"/>
      <c r="I365" s="30"/>
      <c r="J365" s="65"/>
      <c r="K365" s="65"/>
      <c r="L365" s="65"/>
      <c r="M365" s="30"/>
      <c r="N365" s="65"/>
      <c r="O365" s="65"/>
      <c r="P365" s="65"/>
      <c r="Q365" s="30"/>
      <c r="R365" s="65"/>
      <c r="S365" s="65"/>
      <c r="T365" s="65"/>
      <c r="U365" s="30"/>
      <c r="V365" s="65"/>
      <c r="W365" s="65"/>
      <c r="X365" s="65"/>
      <c r="Y365" s="30"/>
      <c r="Z365" s="65"/>
      <c r="AA365" s="65"/>
      <c r="AB365" s="65"/>
      <c r="AC365" s="30"/>
      <c r="AD365" s="65"/>
      <c r="AE365" s="65"/>
      <c r="AF365" s="65"/>
      <c r="AG365" s="65"/>
      <c r="AH365" s="30"/>
      <c r="AI365" s="65"/>
      <c r="AJ365" s="65"/>
      <c r="AK365" s="65"/>
      <c r="AL365" s="65"/>
      <c r="AM365" s="65"/>
      <c r="AN365" s="65"/>
      <c r="AO365" s="65"/>
    </row>
    <row r="366">
      <c r="A366" s="30"/>
      <c r="B366" s="65"/>
      <c r="C366" s="65"/>
      <c r="D366" s="65"/>
      <c r="E366" s="30"/>
      <c r="F366" s="65"/>
      <c r="G366" s="65"/>
      <c r="H366" s="65"/>
      <c r="I366" s="30"/>
      <c r="J366" s="65"/>
      <c r="K366" s="65"/>
      <c r="L366" s="65"/>
      <c r="M366" s="30"/>
      <c r="N366" s="65"/>
      <c r="O366" s="65"/>
      <c r="P366" s="65"/>
      <c r="Q366" s="30"/>
      <c r="R366" s="65"/>
      <c r="S366" s="65"/>
      <c r="T366" s="65"/>
      <c r="U366" s="30"/>
      <c r="V366" s="65"/>
      <c r="W366" s="65"/>
      <c r="X366" s="65"/>
      <c r="Y366" s="30"/>
      <c r="Z366" s="65"/>
      <c r="AA366" s="65"/>
      <c r="AB366" s="65"/>
      <c r="AC366" s="30"/>
      <c r="AD366" s="65"/>
      <c r="AE366" s="65"/>
      <c r="AF366" s="65"/>
      <c r="AG366" s="65"/>
      <c r="AH366" s="30"/>
      <c r="AI366" s="65"/>
      <c r="AJ366" s="65"/>
      <c r="AK366" s="65"/>
      <c r="AL366" s="65"/>
      <c r="AM366" s="65"/>
      <c r="AN366" s="65"/>
      <c r="AO366" s="65"/>
    </row>
    <row r="367">
      <c r="A367" s="30"/>
      <c r="B367" s="65"/>
      <c r="C367" s="65"/>
      <c r="D367" s="65"/>
      <c r="E367" s="30"/>
      <c r="F367" s="65"/>
      <c r="G367" s="65"/>
      <c r="H367" s="65"/>
      <c r="I367" s="30"/>
      <c r="J367" s="65"/>
      <c r="K367" s="65"/>
      <c r="L367" s="65"/>
      <c r="M367" s="30"/>
      <c r="N367" s="65"/>
      <c r="O367" s="65"/>
      <c r="P367" s="65"/>
      <c r="Q367" s="30"/>
      <c r="R367" s="65"/>
      <c r="S367" s="65"/>
      <c r="T367" s="65"/>
      <c r="U367" s="30"/>
      <c r="V367" s="65"/>
      <c r="W367" s="65"/>
      <c r="X367" s="65"/>
      <c r="Y367" s="30"/>
      <c r="Z367" s="65"/>
      <c r="AA367" s="65"/>
      <c r="AB367" s="65"/>
      <c r="AC367" s="30"/>
      <c r="AD367" s="65"/>
      <c r="AE367" s="65"/>
      <c r="AF367" s="65"/>
      <c r="AG367" s="65"/>
      <c r="AH367" s="30"/>
      <c r="AI367" s="65"/>
      <c r="AJ367" s="65"/>
      <c r="AK367" s="65"/>
      <c r="AL367" s="65"/>
      <c r="AM367" s="65"/>
      <c r="AN367" s="65"/>
      <c r="AO367" s="65"/>
    </row>
    <row r="368">
      <c r="A368" s="30"/>
      <c r="B368" s="65"/>
      <c r="C368" s="65"/>
      <c r="D368" s="65"/>
      <c r="E368" s="30"/>
      <c r="F368" s="65"/>
      <c r="G368" s="65"/>
      <c r="H368" s="65"/>
      <c r="I368" s="30"/>
      <c r="J368" s="65"/>
      <c r="K368" s="65"/>
      <c r="L368" s="65"/>
      <c r="M368" s="30"/>
      <c r="N368" s="65"/>
      <c r="O368" s="65"/>
      <c r="P368" s="65"/>
      <c r="Q368" s="30"/>
      <c r="R368" s="65"/>
      <c r="S368" s="65"/>
      <c r="T368" s="65"/>
      <c r="U368" s="30"/>
      <c r="V368" s="65"/>
      <c r="W368" s="65"/>
      <c r="X368" s="65"/>
      <c r="Y368" s="30"/>
      <c r="Z368" s="65"/>
      <c r="AA368" s="65"/>
      <c r="AB368" s="65"/>
      <c r="AC368" s="30"/>
      <c r="AD368" s="65"/>
      <c r="AE368" s="65"/>
      <c r="AF368" s="65"/>
      <c r="AG368" s="65"/>
      <c r="AH368" s="30"/>
      <c r="AI368" s="65"/>
      <c r="AJ368" s="65"/>
      <c r="AK368" s="65"/>
      <c r="AL368" s="65"/>
      <c r="AM368" s="65"/>
      <c r="AN368" s="65"/>
      <c r="AO368" s="65"/>
    </row>
    <row r="369">
      <c r="A369" s="30"/>
      <c r="B369" s="65"/>
      <c r="C369" s="65"/>
      <c r="D369" s="65"/>
      <c r="E369" s="30"/>
      <c r="F369" s="65"/>
      <c r="G369" s="65"/>
      <c r="H369" s="65"/>
      <c r="I369" s="30"/>
      <c r="J369" s="65"/>
      <c r="K369" s="65"/>
      <c r="L369" s="65"/>
      <c r="M369" s="30"/>
      <c r="N369" s="65"/>
      <c r="O369" s="65"/>
      <c r="P369" s="65"/>
      <c r="Q369" s="30"/>
      <c r="R369" s="65"/>
      <c r="S369" s="65"/>
      <c r="T369" s="65"/>
      <c r="U369" s="30"/>
      <c r="V369" s="65"/>
      <c r="W369" s="65"/>
      <c r="X369" s="65"/>
      <c r="Y369" s="30"/>
      <c r="Z369" s="65"/>
      <c r="AA369" s="65"/>
      <c r="AB369" s="65"/>
      <c r="AC369" s="30"/>
      <c r="AD369" s="65"/>
      <c r="AE369" s="65"/>
      <c r="AF369" s="65"/>
      <c r="AG369" s="65"/>
      <c r="AH369" s="30"/>
      <c r="AI369" s="65"/>
      <c r="AJ369" s="65"/>
      <c r="AK369" s="65"/>
      <c r="AL369" s="65"/>
      <c r="AM369" s="65"/>
      <c r="AN369" s="65"/>
      <c r="AO369" s="65"/>
    </row>
    <row r="370">
      <c r="A370" s="30"/>
      <c r="B370" s="65"/>
      <c r="C370" s="65"/>
      <c r="D370" s="65"/>
      <c r="E370" s="30"/>
      <c r="F370" s="65"/>
      <c r="G370" s="65"/>
      <c r="H370" s="65"/>
      <c r="I370" s="30"/>
      <c r="J370" s="65"/>
      <c r="K370" s="65"/>
      <c r="L370" s="65"/>
      <c r="M370" s="30"/>
      <c r="N370" s="65"/>
      <c r="O370" s="65"/>
      <c r="P370" s="65"/>
      <c r="Q370" s="30"/>
      <c r="R370" s="65"/>
      <c r="S370" s="65"/>
      <c r="T370" s="65"/>
      <c r="U370" s="30"/>
      <c r="V370" s="65"/>
      <c r="W370" s="65"/>
      <c r="X370" s="65"/>
      <c r="Y370" s="30"/>
      <c r="Z370" s="65"/>
      <c r="AA370" s="65"/>
      <c r="AB370" s="65"/>
      <c r="AC370" s="30"/>
      <c r="AD370" s="65"/>
      <c r="AE370" s="65"/>
      <c r="AF370" s="65"/>
      <c r="AG370" s="65"/>
      <c r="AH370" s="30"/>
      <c r="AI370" s="65"/>
      <c r="AJ370" s="65"/>
      <c r="AK370" s="65"/>
      <c r="AL370" s="65"/>
      <c r="AM370" s="65"/>
      <c r="AN370" s="65"/>
      <c r="AO370" s="65"/>
    </row>
    <row r="371">
      <c r="A371" s="30"/>
      <c r="B371" s="65"/>
      <c r="C371" s="65"/>
      <c r="D371" s="65"/>
      <c r="E371" s="30"/>
      <c r="F371" s="65"/>
      <c r="G371" s="65"/>
      <c r="H371" s="65"/>
      <c r="I371" s="30"/>
      <c r="J371" s="65"/>
      <c r="K371" s="65"/>
      <c r="L371" s="65"/>
      <c r="M371" s="30"/>
      <c r="N371" s="65"/>
      <c r="O371" s="65"/>
      <c r="P371" s="65"/>
      <c r="Q371" s="30"/>
      <c r="R371" s="65"/>
      <c r="S371" s="65"/>
      <c r="T371" s="65"/>
      <c r="U371" s="30"/>
      <c r="V371" s="65"/>
      <c r="W371" s="65"/>
      <c r="X371" s="65"/>
      <c r="Y371" s="30"/>
      <c r="Z371" s="65"/>
      <c r="AA371" s="65"/>
      <c r="AB371" s="65"/>
      <c r="AC371" s="30"/>
      <c r="AD371" s="65"/>
      <c r="AE371" s="65"/>
      <c r="AF371" s="65"/>
      <c r="AG371" s="65"/>
      <c r="AH371" s="30"/>
      <c r="AI371" s="65"/>
      <c r="AJ371" s="65"/>
      <c r="AK371" s="65"/>
      <c r="AL371" s="65"/>
      <c r="AM371" s="65"/>
      <c r="AN371" s="65"/>
      <c r="AO371" s="65"/>
    </row>
    <row r="372">
      <c r="A372" s="30"/>
      <c r="B372" s="65"/>
      <c r="C372" s="65"/>
      <c r="D372" s="65"/>
      <c r="E372" s="30"/>
      <c r="F372" s="65"/>
      <c r="G372" s="65"/>
      <c r="H372" s="65"/>
      <c r="I372" s="30"/>
      <c r="J372" s="65"/>
      <c r="K372" s="65"/>
      <c r="L372" s="65"/>
      <c r="M372" s="30"/>
      <c r="N372" s="65"/>
      <c r="O372" s="65"/>
      <c r="P372" s="65"/>
      <c r="Q372" s="30"/>
      <c r="R372" s="65"/>
      <c r="S372" s="65"/>
      <c r="T372" s="65"/>
      <c r="U372" s="30"/>
      <c r="V372" s="65"/>
      <c r="W372" s="65"/>
      <c r="X372" s="65"/>
      <c r="Y372" s="30"/>
      <c r="Z372" s="65"/>
      <c r="AA372" s="65"/>
      <c r="AB372" s="65"/>
      <c r="AC372" s="30"/>
      <c r="AD372" s="65"/>
      <c r="AE372" s="65"/>
      <c r="AF372" s="65"/>
      <c r="AG372" s="65"/>
      <c r="AH372" s="30"/>
      <c r="AI372" s="65"/>
      <c r="AJ372" s="65"/>
      <c r="AK372" s="65"/>
      <c r="AL372" s="65"/>
      <c r="AM372" s="65"/>
      <c r="AN372" s="65"/>
      <c r="AO372" s="65"/>
    </row>
    <row r="373">
      <c r="A373" s="30"/>
      <c r="B373" s="65"/>
      <c r="C373" s="65"/>
      <c r="D373" s="65"/>
      <c r="E373" s="30"/>
      <c r="F373" s="65"/>
      <c r="G373" s="65"/>
      <c r="H373" s="65"/>
      <c r="I373" s="30"/>
      <c r="J373" s="65"/>
      <c r="K373" s="65"/>
      <c r="L373" s="65"/>
      <c r="M373" s="30"/>
      <c r="N373" s="65"/>
      <c r="O373" s="65"/>
      <c r="P373" s="65"/>
      <c r="Q373" s="30"/>
      <c r="R373" s="65"/>
      <c r="S373" s="65"/>
      <c r="T373" s="65"/>
      <c r="U373" s="30"/>
      <c r="V373" s="65"/>
      <c r="W373" s="65"/>
      <c r="X373" s="65"/>
      <c r="Y373" s="30"/>
      <c r="Z373" s="65"/>
      <c r="AA373" s="65"/>
      <c r="AB373" s="65"/>
      <c r="AC373" s="30"/>
      <c r="AD373" s="65"/>
      <c r="AE373" s="65"/>
      <c r="AF373" s="65"/>
      <c r="AG373" s="65"/>
      <c r="AH373" s="30"/>
      <c r="AI373" s="65"/>
      <c r="AJ373" s="65"/>
      <c r="AK373" s="65"/>
      <c r="AL373" s="65"/>
      <c r="AM373" s="65"/>
      <c r="AN373" s="65"/>
      <c r="AO373" s="65"/>
    </row>
    <row r="374">
      <c r="A374" s="30"/>
      <c r="B374" s="65"/>
      <c r="C374" s="65"/>
      <c r="D374" s="65"/>
      <c r="E374" s="30"/>
      <c r="F374" s="65"/>
      <c r="G374" s="65"/>
      <c r="H374" s="65"/>
      <c r="I374" s="30"/>
      <c r="J374" s="65"/>
      <c r="K374" s="65"/>
      <c r="L374" s="65"/>
      <c r="M374" s="30"/>
      <c r="N374" s="65"/>
      <c r="O374" s="65"/>
      <c r="P374" s="65"/>
      <c r="Q374" s="30"/>
      <c r="R374" s="65"/>
      <c r="S374" s="65"/>
      <c r="T374" s="65"/>
      <c r="U374" s="30"/>
      <c r="V374" s="65"/>
      <c r="W374" s="65"/>
      <c r="X374" s="65"/>
      <c r="Y374" s="30"/>
      <c r="Z374" s="65"/>
      <c r="AA374" s="65"/>
      <c r="AB374" s="65"/>
      <c r="AC374" s="30"/>
      <c r="AD374" s="65"/>
      <c r="AE374" s="65"/>
      <c r="AF374" s="65"/>
      <c r="AG374" s="65"/>
      <c r="AH374" s="30"/>
      <c r="AI374" s="65"/>
      <c r="AJ374" s="65"/>
      <c r="AK374" s="65"/>
      <c r="AL374" s="65"/>
      <c r="AM374" s="65"/>
      <c r="AN374" s="65"/>
      <c r="AO374" s="65"/>
    </row>
    <row r="375">
      <c r="A375" s="30"/>
      <c r="B375" s="65"/>
      <c r="C375" s="65"/>
      <c r="D375" s="65"/>
      <c r="E375" s="30"/>
      <c r="F375" s="65"/>
      <c r="G375" s="65"/>
      <c r="H375" s="65"/>
      <c r="I375" s="30"/>
      <c r="J375" s="65"/>
      <c r="K375" s="65"/>
      <c r="L375" s="65"/>
      <c r="M375" s="30"/>
      <c r="N375" s="65"/>
      <c r="O375" s="65"/>
      <c r="P375" s="65"/>
      <c r="Q375" s="30"/>
      <c r="R375" s="65"/>
      <c r="S375" s="65"/>
      <c r="T375" s="65"/>
      <c r="U375" s="30"/>
      <c r="V375" s="65"/>
      <c r="W375" s="65"/>
      <c r="X375" s="65"/>
      <c r="Y375" s="30"/>
      <c r="Z375" s="65"/>
      <c r="AA375" s="65"/>
      <c r="AB375" s="65"/>
      <c r="AC375" s="30"/>
      <c r="AD375" s="65"/>
      <c r="AE375" s="65"/>
      <c r="AF375" s="65"/>
      <c r="AG375" s="65"/>
      <c r="AH375" s="30"/>
      <c r="AI375" s="65"/>
      <c r="AJ375" s="65"/>
      <c r="AK375" s="65"/>
      <c r="AL375" s="65"/>
      <c r="AM375" s="65"/>
      <c r="AN375" s="65"/>
      <c r="AO375" s="65"/>
    </row>
    <row r="376">
      <c r="A376" s="30"/>
      <c r="B376" s="65"/>
      <c r="C376" s="65"/>
      <c r="D376" s="65"/>
      <c r="E376" s="30"/>
      <c r="F376" s="65"/>
      <c r="G376" s="65"/>
      <c r="H376" s="65"/>
      <c r="I376" s="30"/>
      <c r="J376" s="65"/>
      <c r="K376" s="65"/>
      <c r="L376" s="65"/>
      <c r="M376" s="30"/>
      <c r="N376" s="65"/>
      <c r="O376" s="65"/>
      <c r="P376" s="65"/>
      <c r="Q376" s="30"/>
      <c r="R376" s="65"/>
      <c r="S376" s="65"/>
      <c r="T376" s="65"/>
      <c r="U376" s="30"/>
      <c r="V376" s="65"/>
      <c r="W376" s="65"/>
      <c r="X376" s="65"/>
      <c r="Y376" s="30"/>
      <c r="Z376" s="65"/>
      <c r="AA376" s="65"/>
      <c r="AB376" s="65"/>
      <c r="AC376" s="30"/>
      <c r="AD376" s="65"/>
      <c r="AE376" s="65"/>
      <c r="AF376" s="65"/>
      <c r="AG376" s="65"/>
      <c r="AH376" s="30"/>
      <c r="AI376" s="65"/>
      <c r="AJ376" s="65"/>
      <c r="AK376" s="65"/>
      <c r="AL376" s="65"/>
      <c r="AM376" s="65"/>
      <c r="AN376" s="65"/>
      <c r="AO376" s="65"/>
    </row>
    <row r="377">
      <c r="A377" s="30"/>
      <c r="B377" s="65"/>
      <c r="C377" s="65"/>
      <c r="D377" s="65"/>
      <c r="E377" s="30"/>
      <c r="F377" s="65"/>
      <c r="G377" s="65"/>
      <c r="H377" s="65"/>
      <c r="I377" s="30"/>
      <c r="J377" s="65"/>
      <c r="K377" s="65"/>
      <c r="L377" s="65"/>
      <c r="M377" s="30"/>
      <c r="N377" s="65"/>
      <c r="O377" s="65"/>
      <c r="P377" s="65"/>
      <c r="Q377" s="30"/>
      <c r="R377" s="65"/>
      <c r="S377" s="65"/>
      <c r="T377" s="65"/>
      <c r="U377" s="30"/>
      <c r="V377" s="65"/>
      <c r="W377" s="65"/>
      <c r="X377" s="65"/>
      <c r="Y377" s="30"/>
      <c r="Z377" s="65"/>
      <c r="AA377" s="65"/>
      <c r="AB377" s="65"/>
      <c r="AC377" s="30"/>
      <c r="AD377" s="65"/>
      <c r="AE377" s="65"/>
      <c r="AF377" s="65"/>
      <c r="AG377" s="65"/>
      <c r="AH377" s="30"/>
      <c r="AI377" s="65"/>
      <c r="AJ377" s="65"/>
      <c r="AK377" s="65"/>
      <c r="AL377" s="65"/>
      <c r="AM377" s="65"/>
      <c r="AN377" s="65"/>
      <c r="AO377" s="65"/>
    </row>
    <row r="378">
      <c r="A378" s="30"/>
      <c r="B378" s="65"/>
      <c r="C378" s="65"/>
      <c r="D378" s="65"/>
      <c r="E378" s="30"/>
      <c r="F378" s="65"/>
      <c r="G378" s="65"/>
      <c r="H378" s="65"/>
      <c r="I378" s="30"/>
      <c r="J378" s="65"/>
      <c r="K378" s="65"/>
      <c r="L378" s="65"/>
      <c r="M378" s="30"/>
      <c r="N378" s="65"/>
      <c r="O378" s="65"/>
      <c r="P378" s="65"/>
      <c r="Q378" s="30"/>
      <c r="R378" s="65"/>
      <c r="S378" s="65"/>
      <c r="T378" s="65"/>
      <c r="U378" s="30"/>
      <c r="V378" s="65"/>
      <c r="W378" s="65"/>
      <c r="X378" s="65"/>
      <c r="Y378" s="30"/>
      <c r="Z378" s="65"/>
      <c r="AA378" s="65"/>
      <c r="AB378" s="65"/>
      <c r="AC378" s="30"/>
      <c r="AD378" s="65"/>
      <c r="AE378" s="65"/>
      <c r="AF378" s="65"/>
      <c r="AG378" s="65"/>
      <c r="AH378" s="30"/>
      <c r="AI378" s="65"/>
      <c r="AJ378" s="65"/>
      <c r="AK378" s="65"/>
      <c r="AL378" s="65"/>
      <c r="AM378" s="65"/>
      <c r="AN378" s="65"/>
      <c r="AO378" s="65"/>
    </row>
    <row r="379">
      <c r="A379" s="30"/>
      <c r="B379" s="65"/>
      <c r="C379" s="65"/>
      <c r="D379" s="65"/>
      <c r="E379" s="30"/>
      <c r="F379" s="65"/>
      <c r="G379" s="65"/>
      <c r="H379" s="65"/>
      <c r="I379" s="30"/>
      <c r="J379" s="65"/>
      <c r="K379" s="65"/>
      <c r="L379" s="65"/>
      <c r="M379" s="30"/>
      <c r="N379" s="65"/>
      <c r="O379" s="65"/>
      <c r="P379" s="65"/>
      <c r="Q379" s="30"/>
      <c r="R379" s="65"/>
      <c r="S379" s="65"/>
      <c r="T379" s="65"/>
      <c r="U379" s="30"/>
      <c r="V379" s="65"/>
      <c r="W379" s="65"/>
      <c r="X379" s="65"/>
      <c r="Y379" s="30"/>
      <c r="Z379" s="65"/>
      <c r="AA379" s="65"/>
      <c r="AB379" s="65"/>
      <c r="AC379" s="30"/>
      <c r="AD379" s="65"/>
      <c r="AE379" s="65"/>
      <c r="AF379" s="65"/>
      <c r="AG379" s="65"/>
      <c r="AH379" s="30"/>
      <c r="AI379" s="65"/>
      <c r="AJ379" s="65"/>
      <c r="AK379" s="65"/>
      <c r="AL379" s="65"/>
      <c r="AM379" s="65"/>
      <c r="AN379" s="65"/>
      <c r="AO379" s="65"/>
    </row>
    <row r="380">
      <c r="A380" s="30"/>
      <c r="B380" s="65"/>
      <c r="C380" s="65"/>
      <c r="D380" s="65"/>
      <c r="E380" s="30"/>
      <c r="F380" s="65"/>
      <c r="G380" s="65"/>
      <c r="H380" s="65"/>
      <c r="I380" s="30"/>
      <c r="J380" s="65"/>
      <c r="K380" s="65"/>
      <c r="L380" s="65"/>
      <c r="M380" s="30"/>
      <c r="N380" s="65"/>
      <c r="O380" s="65"/>
      <c r="P380" s="65"/>
      <c r="Q380" s="30"/>
      <c r="R380" s="65"/>
      <c r="S380" s="65"/>
      <c r="T380" s="65"/>
      <c r="U380" s="30"/>
      <c r="V380" s="65"/>
      <c r="W380" s="65"/>
      <c r="X380" s="65"/>
      <c r="Y380" s="30"/>
      <c r="Z380" s="65"/>
      <c r="AA380" s="65"/>
      <c r="AB380" s="65"/>
      <c r="AC380" s="30"/>
      <c r="AD380" s="65"/>
      <c r="AE380" s="65"/>
      <c r="AF380" s="65"/>
      <c r="AG380" s="65"/>
      <c r="AH380" s="30"/>
      <c r="AI380" s="65"/>
      <c r="AJ380" s="65"/>
      <c r="AK380" s="65"/>
      <c r="AL380" s="65"/>
      <c r="AM380" s="65"/>
      <c r="AN380" s="65"/>
      <c r="AO380" s="65"/>
    </row>
    <row r="381">
      <c r="A381" s="30"/>
      <c r="B381" s="65"/>
      <c r="C381" s="65"/>
      <c r="D381" s="65"/>
      <c r="E381" s="30"/>
      <c r="F381" s="65"/>
      <c r="G381" s="65"/>
      <c r="H381" s="65"/>
      <c r="I381" s="30"/>
      <c r="J381" s="65"/>
      <c r="K381" s="65"/>
      <c r="L381" s="65"/>
      <c r="M381" s="30"/>
      <c r="N381" s="65"/>
      <c r="O381" s="65"/>
      <c r="P381" s="65"/>
      <c r="Q381" s="30"/>
      <c r="R381" s="65"/>
      <c r="S381" s="65"/>
      <c r="T381" s="65"/>
      <c r="U381" s="30"/>
      <c r="V381" s="65"/>
      <c r="W381" s="65"/>
      <c r="X381" s="65"/>
      <c r="Y381" s="30"/>
      <c r="Z381" s="65"/>
      <c r="AA381" s="65"/>
      <c r="AB381" s="65"/>
      <c r="AC381" s="30"/>
      <c r="AD381" s="65"/>
      <c r="AE381" s="65"/>
      <c r="AF381" s="65"/>
      <c r="AG381" s="65"/>
      <c r="AH381" s="30"/>
      <c r="AI381" s="65"/>
      <c r="AJ381" s="65"/>
      <c r="AK381" s="65"/>
      <c r="AL381" s="65"/>
      <c r="AM381" s="65"/>
      <c r="AN381" s="65"/>
      <c r="AO381" s="65"/>
    </row>
    <row r="382">
      <c r="A382" s="30"/>
      <c r="B382" s="65"/>
      <c r="C382" s="65"/>
      <c r="D382" s="65"/>
      <c r="E382" s="30"/>
      <c r="F382" s="65"/>
      <c r="G382" s="65"/>
      <c r="H382" s="65"/>
      <c r="I382" s="30"/>
      <c r="J382" s="65"/>
      <c r="K382" s="65"/>
      <c r="L382" s="65"/>
      <c r="M382" s="30"/>
      <c r="N382" s="65"/>
      <c r="O382" s="65"/>
      <c r="P382" s="65"/>
      <c r="Q382" s="30"/>
      <c r="R382" s="65"/>
      <c r="S382" s="65"/>
      <c r="T382" s="65"/>
      <c r="U382" s="30"/>
      <c r="V382" s="65"/>
      <c r="W382" s="65"/>
      <c r="X382" s="65"/>
      <c r="Y382" s="30"/>
      <c r="Z382" s="65"/>
      <c r="AA382" s="65"/>
      <c r="AB382" s="65"/>
      <c r="AC382" s="30"/>
      <c r="AD382" s="65"/>
      <c r="AE382" s="65"/>
      <c r="AF382" s="65"/>
      <c r="AG382" s="65"/>
      <c r="AH382" s="30"/>
      <c r="AI382" s="65"/>
      <c r="AJ382" s="65"/>
      <c r="AK382" s="65"/>
      <c r="AL382" s="65"/>
      <c r="AM382" s="65"/>
      <c r="AN382" s="65"/>
      <c r="AO382" s="65"/>
    </row>
    <row r="383">
      <c r="A383" s="30"/>
      <c r="B383" s="65"/>
      <c r="C383" s="65"/>
      <c r="D383" s="65"/>
      <c r="E383" s="30"/>
      <c r="F383" s="65"/>
      <c r="G383" s="65"/>
      <c r="H383" s="65"/>
      <c r="I383" s="30"/>
      <c r="J383" s="65"/>
      <c r="K383" s="65"/>
      <c r="L383" s="65"/>
      <c r="M383" s="30"/>
      <c r="N383" s="65"/>
      <c r="O383" s="65"/>
      <c r="P383" s="65"/>
      <c r="Q383" s="30"/>
      <c r="R383" s="65"/>
      <c r="S383" s="65"/>
      <c r="T383" s="65"/>
      <c r="U383" s="30"/>
      <c r="V383" s="65"/>
      <c r="W383" s="65"/>
      <c r="X383" s="65"/>
      <c r="Y383" s="30"/>
      <c r="Z383" s="65"/>
      <c r="AA383" s="65"/>
      <c r="AB383" s="65"/>
      <c r="AC383" s="30"/>
      <c r="AD383" s="65"/>
      <c r="AE383" s="65"/>
      <c r="AF383" s="65"/>
      <c r="AG383" s="65"/>
      <c r="AH383" s="30"/>
      <c r="AI383" s="65"/>
      <c r="AJ383" s="65"/>
      <c r="AK383" s="65"/>
      <c r="AL383" s="65"/>
      <c r="AM383" s="65"/>
      <c r="AN383" s="65"/>
      <c r="AO383" s="65"/>
    </row>
    <row r="384">
      <c r="A384" s="30"/>
      <c r="B384" s="65"/>
      <c r="C384" s="65"/>
      <c r="D384" s="65"/>
      <c r="E384" s="30"/>
      <c r="F384" s="65"/>
      <c r="G384" s="65"/>
      <c r="H384" s="65"/>
      <c r="I384" s="30"/>
      <c r="J384" s="65"/>
      <c r="K384" s="65"/>
      <c r="L384" s="65"/>
      <c r="M384" s="30"/>
      <c r="N384" s="65"/>
      <c r="O384" s="65"/>
      <c r="P384" s="65"/>
      <c r="Q384" s="30"/>
      <c r="R384" s="65"/>
      <c r="S384" s="65"/>
      <c r="T384" s="65"/>
      <c r="U384" s="30"/>
      <c r="V384" s="65"/>
      <c r="W384" s="65"/>
      <c r="X384" s="65"/>
      <c r="Y384" s="30"/>
      <c r="Z384" s="65"/>
      <c r="AA384" s="65"/>
      <c r="AB384" s="65"/>
      <c r="AC384" s="30"/>
      <c r="AD384" s="65"/>
      <c r="AE384" s="65"/>
      <c r="AF384" s="65"/>
      <c r="AG384" s="65"/>
      <c r="AH384" s="30"/>
      <c r="AI384" s="65"/>
      <c r="AJ384" s="65"/>
      <c r="AK384" s="65"/>
      <c r="AL384" s="65"/>
      <c r="AM384" s="65"/>
      <c r="AN384" s="65"/>
      <c r="AO384" s="65"/>
    </row>
    <row r="385">
      <c r="A385" s="30"/>
      <c r="B385" s="65"/>
      <c r="C385" s="65"/>
      <c r="D385" s="65"/>
      <c r="E385" s="30"/>
      <c r="F385" s="65"/>
      <c r="G385" s="65"/>
      <c r="H385" s="65"/>
      <c r="I385" s="30"/>
      <c r="J385" s="65"/>
      <c r="K385" s="65"/>
      <c r="L385" s="65"/>
      <c r="M385" s="30"/>
      <c r="N385" s="65"/>
      <c r="O385" s="65"/>
      <c r="P385" s="65"/>
      <c r="Q385" s="30"/>
      <c r="R385" s="65"/>
      <c r="S385" s="65"/>
      <c r="T385" s="65"/>
      <c r="U385" s="30"/>
      <c r="V385" s="65"/>
      <c r="W385" s="65"/>
      <c r="X385" s="65"/>
      <c r="Y385" s="30"/>
      <c r="Z385" s="65"/>
      <c r="AA385" s="65"/>
      <c r="AB385" s="65"/>
      <c r="AC385" s="30"/>
      <c r="AD385" s="65"/>
      <c r="AE385" s="65"/>
      <c r="AF385" s="65"/>
      <c r="AG385" s="65"/>
      <c r="AH385" s="30"/>
      <c r="AI385" s="65"/>
      <c r="AJ385" s="65"/>
      <c r="AK385" s="65"/>
      <c r="AL385" s="65"/>
      <c r="AM385" s="65"/>
      <c r="AN385" s="65"/>
      <c r="AO385" s="65"/>
    </row>
    <row r="386">
      <c r="A386" s="30"/>
      <c r="B386" s="65"/>
      <c r="C386" s="65"/>
      <c r="D386" s="65"/>
      <c r="E386" s="30"/>
      <c r="F386" s="65"/>
      <c r="G386" s="65"/>
      <c r="H386" s="65"/>
      <c r="I386" s="30"/>
      <c r="J386" s="65"/>
      <c r="K386" s="65"/>
      <c r="L386" s="65"/>
      <c r="M386" s="30"/>
      <c r="N386" s="65"/>
      <c r="O386" s="65"/>
      <c r="P386" s="65"/>
      <c r="Q386" s="30"/>
      <c r="R386" s="65"/>
      <c r="S386" s="65"/>
      <c r="T386" s="65"/>
      <c r="U386" s="30"/>
      <c r="V386" s="65"/>
      <c r="W386" s="65"/>
      <c r="X386" s="65"/>
      <c r="Y386" s="30"/>
      <c r="Z386" s="65"/>
      <c r="AA386" s="65"/>
      <c r="AB386" s="65"/>
      <c r="AC386" s="30"/>
      <c r="AD386" s="65"/>
      <c r="AE386" s="65"/>
      <c r="AF386" s="65"/>
      <c r="AG386" s="65"/>
      <c r="AH386" s="30"/>
      <c r="AI386" s="65"/>
      <c r="AJ386" s="65"/>
      <c r="AK386" s="65"/>
      <c r="AL386" s="65"/>
      <c r="AM386" s="65"/>
      <c r="AN386" s="65"/>
      <c r="AO386" s="65"/>
    </row>
    <row r="387">
      <c r="A387" s="30"/>
      <c r="B387" s="65"/>
      <c r="C387" s="65"/>
      <c r="D387" s="65"/>
      <c r="E387" s="30"/>
      <c r="F387" s="65"/>
      <c r="G387" s="65"/>
      <c r="H387" s="65"/>
      <c r="I387" s="30"/>
      <c r="J387" s="65"/>
      <c r="K387" s="65"/>
      <c r="L387" s="65"/>
      <c r="M387" s="30"/>
      <c r="N387" s="65"/>
      <c r="O387" s="65"/>
      <c r="P387" s="65"/>
      <c r="Q387" s="30"/>
      <c r="R387" s="65"/>
      <c r="S387" s="65"/>
      <c r="T387" s="65"/>
      <c r="U387" s="30"/>
      <c r="V387" s="65"/>
      <c r="W387" s="65"/>
      <c r="X387" s="65"/>
      <c r="Y387" s="30"/>
      <c r="Z387" s="65"/>
      <c r="AA387" s="65"/>
      <c r="AB387" s="65"/>
      <c r="AC387" s="30"/>
      <c r="AD387" s="65"/>
      <c r="AE387" s="65"/>
      <c r="AF387" s="65"/>
      <c r="AG387" s="65"/>
      <c r="AH387" s="30"/>
      <c r="AI387" s="65"/>
      <c r="AJ387" s="65"/>
      <c r="AK387" s="65"/>
      <c r="AL387" s="65"/>
      <c r="AM387" s="65"/>
      <c r="AN387" s="65"/>
      <c r="AO387" s="65"/>
    </row>
    <row r="388">
      <c r="A388" s="30"/>
      <c r="B388" s="65"/>
      <c r="C388" s="65"/>
      <c r="D388" s="65"/>
      <c r="E388" s="30"/>
      <c r="F388" s="65"/>
      <c r="G388" s="65"/>
      <c r="H388" s="65"/>
      <c r="I388" s="30"/>
      <c r="J388" s="65"/>
      <c r="K388" s="65"/>
      <c r="L388" s="65"/>
      <c r="M388" s="30"/>
      <c r="N388" s="65"/>
      <c r="O388" s="65"/>
      <c r="P388" s="65"/>
      <c r="Q388" s="30"/>
      <c r="R388" s="65"/>
      <c r="S388" s="65"/>
      <c r="T388" s="65"/>
      <c r="U388" s="30"/>
      <c r="V388" s="65"/>
      <c r="W388" s="65"/>
      <c r="X388" s="65"/>
      <c r="Y388" s="30"/>
      <c r="Z388" s="65"/>
      <c r="AA388" s="65"/>
      <c r="AB388" s="65"/>
      <c r="AC388" s="30"/>
      <c r="AD388" s="65"/>
      <c r="AE388" s="65"/>
      <c r="AF388" s="65"/>
      <c r="AG388" s="65"/>
      <c r="AH388" s="30"/>
      <c r="AI388" s="65"/>
      <c r="AJ388" s="65"/>
      <c r="AK388" s="65"/>
      <c r="AL388" s="65"/>
      <c r="AM388" s="65"/>
      <c r="AN388" s="65"/>
      <c r="AO388" s="65"/>
    </row>
    <row r="389">
      <c r="A389" s="30"/>
      <c r="B389" s="65"/>
      <c r="C389" s="65"/>
      <c r="D389" s="65"/>
      <c r="E389" s="30"/>
      <c r="F389" s="65"/>
      <c r="G389" s="65"/>
      <c r="H389" s="65"/>
      <c r="I389" s="30"/>
      <c r="J389" s="65"/>
      <c r="K389" s="65"/>
      <c r="L389" s="65"/>
      <c r="M389" s="30"/>
      <c r="N389" s="65"/>
      <c r="O389" s="65"/>
      <c r="P389" s="65"/>
      <c r="Q389" s="30"/>
      <c r="R389" s="65"/>
      <c r="S389" s="65"/>
      <c r="T389" s="65"/>
      <c r="U389" s="30"/>
      <c r="V389" s="65"/>
      <c r="W389" s="65"/>
      <c r="X389" s="65"/>
      <c r="Y389" s="30"/>
      <c r="Z389" s="65"/>
      <c r="AA389" s="65"/>
      <c r="AB389" s="65"/>
      <c r="AC389" s="30"/>
      <c r="AD389" s="65"/>
      <c r="AE389" s="65"/>
      <c r="AF389" s="65"/>
      <c r="AG389" s="65"/>
      <c r="AH389" s="30"/>
      <c r="AI389" s="65"/>
      <c r="AJ389" s="65"/>
      <c r="AK389" s="65"/>
      <c r="AL389" s="65"/>
      <c r="AM389" s="65"/>
      <c r="AN389" s="65"/>
      <c r="AO389" s="65"/>
    </row>
    <row r="390">
      <c r="A390" s="30"/>
      <c r="B390" s="65"/>
      <c r="C390" s="65"/>
      <c r="D390" s="65"/>
      <c r="E390" s="30"/>
      <c r="F390" s="65"/>
      <c r="G390" s="65"/>
      <c r="H390" s="65"/>
      <c r="I390" s="30"/>
      <c r="J390" s="65"/>
      <c r="K390" s="65"/>
      <c r="L390" s="65"/>
      <c r="M390" s="30"/>
      <c r="N390" s="65"/>
      <c r="O390" s="65"/>
      <c r="P390" s="65"/>
      <c r="Q390" s="30"/>
      <c r="R390" s="65"/>
      <c r="S390" s="65"/>
      <c r="T390" s="65"/>
      <c r="U390" s="30"/>
      <c r="V390" s="65"/>
      <c r="W390" s="65"/>
      <c r="X390" s="65"/>
      <c r="Y390" s="30"/>
      <c r="Z390" s="65"/>
      <c r="AA390" s="65"/>
      <c r="AB390" s="65"/>
      <c r="AC390" s="30"/>
      <c r="AD390" s="65"/>
      <c r="AE390" s="65"/>
      <c r="AF390" s="65"/>
      <c r="AG390" s="65"/>
      <c r="AH390" s="30"/>
      <c r="AI390" s="65"/>
      <c r="AJ390" s="65"/>
      <c r="AK390" s="65"/>
      <c r="AL390" s="65"/>
      <c r="AM390" s="65"/>
      <c r="AN390" s="65"/>
      <c r="AO390" s="65"/>
    </row>
    <row r="391">
      <c r="A391" s="30"/>
      <c r="B391" s="65"/>
      <c r="C391" s="65"/>
      <c r="D391" s="65"/>
      <c r="E391" s="30"/>
      <c r="F391" s="65"/>
      <c r="G391" s="65"/>
      <c r="H391" s="65"/>
      <c r="I391" s="30"/>
      <c r="J391" s="65"/>
      <c r="K391" s="65"/>
      <c r="L391" s="65"/>
      <c r="M391" s="30"/>
      <c r="N391" s="65"/>
      <c r="O391" s="65"/>
      <c r="P391" s="65"/>
      <c r="Q391" s="30"/>
      <c r="R391" s="65"/>
      <c r="S391" s="65"/>
      <c r="T391" s="65"/>
      <c r="U391" s="30"/>
      <c r="V391" s="65"/>
      <c r="W391" s="65"/>
      <c r="X391" s="65"/>
      <c r="Y391" s="30"/>
      <c r="Z391" s="65"/>
      <c r="AA391" s="65"/>
      <c r="AB391" s="65"/>
      <c r="AC391" s="30"/>
      <c r="AD391" s="65"/>
      <c r="AE391" s="65"/>
      <c r="AF391" s="65"/>
      <c r="AG391" s="65"/>
      <c r="AH391" s="30"/>
      <c r="AI391" s="65"/>
      <c r="AJ391" s="65"/>
      <c r="AK391" s="65"/>
      <c r="AL391" s="65"/>
      <c r="AM391" s="65"/>
      <c r="AN391" s="65"/>
      <c r="AO391" s="65"/>
    </row>
    <row r="392">
      <c r="A392" s="30"/>
      <c r="B392" s="65"/>
      <c r="C392" s="65"/>
      <c r="D392" s="65"/>
      <c r="E392" s="30"/>
      <c r="F392" s="65"/>
      <c r="G392" s="65"/>
      <c r="H392" s="65"/>
      <c r="I392" s="30"/>
      <c r="J392" s="65"/>
      <c r="K392" s="65"/>
      <c r="L392" s="65"/>
      <c r="M392" s="30"/>
      <c r="N392" s="65"/>
      <c r="O392" s="65"/>
      <c r="P392" s="65"/>
      <c r="Q392" s="30"/>
      <c r="R392" s="65"/>
      <c r="S392" s="65"/>
      <c r="T392" s="65"/>
      <c r="U392" s="30"/>
      <c r="V392" s="65"/>
      <c r="W392" s="65"/>
      <c r="X392" s="65"/>
      <c r="Y392" s="30"/>
      <c r="Z392" s="65"/>
      <c r="AA392" s="65"/>
      <c r="AB392" s="65"/>
      <c r="AC392" s="30"/>
      <c r="AD392" s="65"/>
      <c r="AE392" s="65"/>
      <c r="AF392" s="65"/>
      <c r="AG392" s="65"/>
      <c r="AH392" s="30"/>
      <c r="AI392" s="65"/>
      <c r="AJ392" s="65"/>
      <c r="AK392" s="65"/>
      <c r="AL392" s="65"/>
      <c r="AM392" s="65"/>
      <c r="AN392" s="65"/>
      <c r="AO392" s="65"/>
    </row>
    <row r="393">
      <c r="A393" s="30"/>
      <c r="B393" s="65"/>
      <c r="C393" s="65"/>
      <c r="D393" s="65"/>
      <c r="E393" s="30"/>
      <c r="F393" s="65"/>
      <c r="G393" s="65"/>
      <c r="H393" s="65"/>
      <c r="I393" s="30"/>
      <c r="J393" s="65"/>
      <c r="K393" s="65"/>
      <c r="L393" s="65"/>
      <c r="M393" s="30"/>
      <c r="N393" s="65"/>
      <c r="O393" s="65"/>
      <c r="P393" s="65"/>
      <c r="Q393" s="30"/>
      <c r="R393" s="65"/>
      <c r="S393" s="65"/>
      <c r="T393" s="65"/>
      <c r="U393" s="30"/>
      <c r="V393" s="65"/>
      <c r="W393" s="65"/>
      <c r="X393" s="65"/>
      <c r="Y393" s="30"/>
      <c r="Z393" s="65"/>
      <c r="AA393" s="65"/>
      <c r="AB393" s="65"/>
      <c r="AC393" s="30"/>
      <c r="AD393" s="65"/>
      <c r="AE393" s="65"/>
      <c r="AF393" s="65"/>
      <c r="AG393" s="65"/>
      <c r="AH393" s="30"/>
      <c r="AI393" s="65"/>
      <c r="AJ393" s="65"/>
      <c r="AK393" s="65"/>
      <c r="AL393" s="65"/>
      <c r="AM393" s="65"/>
      <c r="AN393" s="65"/>
      <c r="AO393" s="65"/>
    </row>
    <row r="394">
      <c r="A394" s="30"/>
      <c r="B394" s="65"/>
      <c r="C394" s="65"/>
      <c r="D394" s="65"/>
      <c r="E394" s="30"/>
      <c r="F394" s="65"/>
      <c r="G394" s="65"/>
      <c r="H394" s="65"/>
      <c r="I394" s="30"/>
      <c r="J394" s="65"/>
      <c r="K394" s="65"/>
      <c r="L394" s="65"/>
      <c r="M394" s="30"/>
      <c r="N394" s="65"/>
      <c r="O394" s="65"/>
      <c r="P394" s="65"/>
      <c r="Q394" s="30"/>
      <c r="R394" s="65"/>
      <c r="S394" s="65"/>
      <c r="T394" s="65"/>
      <c r="U394" s="30"/>
      <c r="V394" s="65"/>
      <c r="W394" s="65"/>
      <c r="X394" s="65"/>
      <c r="Y394" s="30"/>
      <c r="Z394" s="65"/>
      <c r="AA394" s="65"/>
      <c r="AB394" s="65"/>
      <c r="AC394" s="30"/>
      <c r="AD394" s="65"/>
      <c r="AE394" s="65"/>
      <c r="AF394" s="65"/>
      <c r="AG394" s="65"/>
      <c r="AH394" s="30"/>
      <c r="AI394" s="65"/>
      <c r="AJ394" s="65"/>
      <c r="AK394" s="65"/>
      <c r="AL394" s="65"/>
      <c r="AM394" s="65"/>
      <c r="AN394" s="65"/>
      <c r="AO394" s="65"/>
    </row>
    <row r="395">
      <c r="A395" s="30"/>
      <c r="B395" s="65"/>
      <c r="C395" s="65"/>
      <c r="D395" s="65"/>
      <c r="E395" s="30"/>
      <c r="F395" s="65"/>
      <c r="G395" s="65"/>
      <c r="H395" s="65"/>
      <c r="I395" s="30"/>
      <c r="J395" s="65"/>
      <c r="K395" s="65"/>
      <c r="L395" s="65"/>
      <c r="M395" s="30"/>
      <c r="N395" s="65"/>
      <c r="O395" s="65"/>
      <c r="P395" s="65"/>
      <c r="Q395" s="30"/>
      <c r="R395" s="65"/>
      <c r="S395" s="65"/>
      <c r="T395" s="65"/>
      <c r="U395" s="30"/>
      <c r="V395" s="65"/>
      <c r="W395" s="65"/>
      <c r="X395" s="65"/>
      <c r="Y395" s="30"/>
      <c r="Z395" s="65"/>
      <c r="AA395" s="65"/>
      <c r="AB395" s="65"/>
      <c r="AC395" s="30"/>
      <c r="AD395" s="65"/>
      <c r="AE395" s="65"/>
      <c r="AF395" s="65"/>
      <c r="AG395" s="65"/>
      <c r="AH395" s="30"/>
      <c r="AI395" s="65"/>
      <c r="AJ395" s="65"/>
      <c r="AK395" s="65"/>
      <c r="AL395" s="65"/>
      <c r="AM395" s="65"/>
      <c r="AN395" s="65"/>
      <c r="AO395" s="65"/>
    </row>
    <row r="396">
      <c r="A396" s="30"/>
      <c r="B396" s="65"/>
      <c r="C396" s="65"/>
      <c r="D396" s="65"/>
      <c r="E396" s="30"/>
      <c r="F396" s="65"/>
      <c r="G396" s="65"/>
      <c r="H396" s="65"/>
      <c r="I396" s="30"/>
      <c r="J396" s="65"/>
      <c r="K396" s="65"/>
      <c r="L396" s="65"/>
      <c r="M396" s="30"/>
      <c r="N396" s="65"/>
      <c r="O396" s="65"/>
      <c r="P396" s="65"/>
      <c r="Q396" s="30"/>
      <c r="R396" s="65"/>
      <c r="S396" s="65"/>
      <c r="T396" s="65"/>
      <c r="U396" s="30"/>
      <c r="V396" s="65"/>
      <c r="W396" s="65"/>
      <c r="X396" s="65"/>
      <c r="Y396" s="30"/>
      <c r="Z396" s="65"/>
      <c r="AA396" s="65"/>
      <c r="AB396" s="65"/>
      <c r="AC396" s="30"/>
      <c r="AD396" s="65"/>
      <c r="AE396" s="65"/>
      <c r="AF396" s="65"/>
      <c r="AG396" s="65"/>
      <c r="AH396" s="30"/>
      <c r="AI396" s="65"/>
      <c r="AJ396" s="65"/>
      <c r="AK396" s="65"/>
      <c r="AL396" s="65"/>
      <c r="AM396" s="65"/>
      <c r="AN396" s="65"/>
      <c r="AO396" s="65"/>
    </row>
    <row r="397">
      <c r="A397" s="30"/>
      <c r="B397" s="65"/>
      <c r="C397" s="65"/>
      <c r="D397" s="65"/>
      <c r="E397" s="30"/>
      <c r="F397" s="65"/>
      <c r="G397" s="65"/>
      <c r="H397" s="65"/>
      <c r="I397" s="30"/>
      <c r="J397" s="65"/>
      <c r="K397" s="65"/>
      <c r="L397" s="65"/>
      <c r="M397" s="30"/>
      <c r="N397" s="65"/>
      <c r="O397" s="65"/>
      <c r="P397" s="65"/>
      <c r="Q397" s="30"/>
      <c r="R397" s="65"/>
      <c r="S397" s="65"/>
      <c r="T397" s="65"/>
      <c r="U397" s="30"/>
      <c r="V397" s="65"/>
      <c r="W397" s="65"/>
      <c r="X397" s="65"/>
      <c r="Y397" s="30"/>
      <c r="Z397" s="65"/>
      <c r="AA397" s="65"/>
      <c r="AB397" s="65"/>
      <c r="AC397" s="30"/>
      <c r="AD397" s="65"/>
      <c r="AE397" s="65"/>
      <c r="AF397" s="65"/>
      <c r="AG397" s="65"/>
      <c r="AH397" s="30"/>
      <c r="AI397" s="65"/>
      <c r="AJ397" s="65"/>
      <c r="AK397" s="65"/>
      <c r="AL397" s="65"/>
      <c r="AM397" s="65"/>
      <c r="AN397" s="65"/>
      <c r="AO397" s="65"/>
    </row>
    <row r="398">
      <c r="A398" s="30"/>
      <c r="B398" s="65"/>
      <c r="C398" s="65"/>
      <c r="D398" s="65"/>
      <c r="E398" s="30"/>
      <c r="F398" s="65"/>
      <c r="G398" s="65"/>
      <c r="H398" s="65"/>
      <c r="I398" s="30"/>
      <c r="J398" s="65"/>
      <c r="K398" s="65"/>
      <c r="L398" s="65"/>
      <c r="M398" s="30"/>
      <c r="N398" s="65"/>
      <c r="O398" s="65"/>
      <c r="P398" s="65"/>
      <c r="Q398" s="30"/>
      <c r="R398" s="65"/>
      <c r="S398" s="65"/>
      <c r="T398" s="65"/>
      <c r="U398" s="30"/>
      <c r="V398" s="65"/>
      <c r="W398" s="65"/>
      <c r="X398" s="65"/>
      <c r="Y398" s="30"/>
      <c r="Z398" s="65"/>
      <c r="AA398" s="65"/>
      <c r="AB398" s="65"/>
      <c r="AC398" s="30"/>
      <c r="AD398" s="65"/>
      <c r="AE398" s="65"/>
      <c r="AF398" s="65"/>
      <c r="AG398" s="65"/>
      <c r="AH398" s="30"/>
      <c r="AI398" s="65"/>
      <c r="AJ398" s="65"/>
      <c r="AK398" s="65"/>
      <c r="AL398" s="65"/>
      <c r="AM398" s="65"/>
      <c r="AN398" s="65"/>
      <c r="AO398" s="65"/>
    </row>
    <row r="399">
      <c r="A399" s="30"/>
      <c r="B399" s="65"/>
      <c r="C399" s="65"/>
      <c r="D399" s="65"/>
      <c r="E399" s="30"/>
      <c r="F399" s="65"/>
      <c r="G399" s="65"/>
      <c r="H399" s="65"/>
      <c r="I399" s="30"/>
      <c r="J399" s="65"/>
      <c r="K399" s="65"/>
      <c r="L399" s="65"/>
      <c r="M399" s="30"/>
      <c r="N399" s="65"/>
      <c r="O399" s="65"/>
      <c r="P399" s="65"/>
      <c r="Q399" s="30"/>
      <c r="R399" s="65"/>
      <c r="S399" s="65"/>
      <c r="T399" s="65"/>
      <c r="U399" s="30"/>
      <c r="V399" s="65"/>
      <c r="W399" s="65"/>
      <c r="X399" s="65"/>
      <c r="Y399" s="30"/>
      <c r="Z399" s="65"/>
      <c r="AA399" s="65"/>
      <c r="AB399" s="65"/>
      <c r="AC399" s="30"/>
      <c r="AD399" s="65"/>
      <c r="AE399" s="65"/>
      <c r="AF399" s="65"/>
      <c r="AG399" s="65"/>
      <c r="AH399" s="30"/>
      <c r="AI399" s="65"/>
      <c r="AJ399" s="65"/>
      <c r="AK399" s="65"/>
      <c r="AL399" s="65"/>
      <c r="AM399" s="65"/>
      <c r="AN399" s="65"/>
      <c r="AO399" s="65"/>
    </row>
    <row r="400">
      <c r="A400" s="30"/>
      <c r="B400" s="65"/>
      <c r="C400" s="65"/>
      <c r="D400" s="65"/>
      <c r="E400" s="30"/>
      <c r="F400" s="65"/>
      <c r="G400" s="65"/>
      <c r="H400" s="65"/>
      <c r="I400" s="30"/>
      <c r="J400" s="65"/>
      <c r="K400" s="65"/>
      <c r="L400" s="65"/>
      <c r="M400" s="30"/>
      <c r="N400" s="65"/>
      <c r="O400" s="65"/>
      <c r="P400" s="65"/>
      <c r="Q400" s="30"/>
      <c r="R400" s="65"/>
      <c r="S400" s="65"/>
      <c r="T400" s="65"/>
      <c r="U400" s="30"/>
      <c r="V400" s="65"/>
      <c r="W400" s="65"/>
      <c r="X400" s="65"/>
      <c r="Y400" s="30"/>
      <c r="Z400" s="65"/>
      <c r="AA400" s="65"/>
      <c r="AB400" s="65"/>
      <c r="AC400" s="30"/>
      <c r="AD400" s="65"/>
      <c r="AE400" s="65"/>
      <c r="AF400" s="65"/>
      <c r="AG400" s="65"/>
      <c r="AH400" s="30"/>
      <c r="AI400" s="65"/>
      <c r="AJ400" s="65"/>
      <c r="AK400" s="65"/>
      <c r="AL400" s="65"/>
      <c r="AM400" s="65"/>
      <c r="AN400" s="65"/>
      <c r="AO400" s="65"/>
    </row>
    <row r="401">
      <c r="A401" s="30"/>
      <c r="B401" s="65"/>
      <c r="C401" s="65"/>
      <c r="D401" s="65"/>
      <c r="E401" s="30"/>
      <c r="F401" s="65"/>
      <c r="G401" s="65"/>
      <c r="H401" s="65"/>
      <c r="I401" s="30"/>
      <c r="J401" s="65"/>
      <c r="K401" s="65"/>
      <c r="L401" s="65"/>
      <c r="M401" s="30"/>
      <c r="N401" s="65"/>
      <c r="O401" s="65"/>
      <c r="P401" s="65"/>
      <c r="Q401" s="30"/>
      <c r="R401" s="65"/>
      <c r="S401" s="65"/>
      <c r="T401" s="65"/>
      <c r="U401" s="30"/>
      <c r="V401" s="65"/>
      <c r="W401" s="65"/>
      <c r="X401" s="65"/>
      <c r="Y401" s="30"/>
      <c r="Z401" s="65"/>
      <c r="AA401" s="65"/>
      <c r="AB401" s="65"/>
      <c r="AC401" s="30"/>
      <c r="AD401" s="65"/>
      <c r="AE401" s="65"/>
      <c r="AF401" s="65"/>
      <c r="AG401" s="65"/>
      <c r="AH401" s="30"/>
      <c r="AI401" s="65"/>
      <c r="AJ401" s="65"/>
      <c r="AK401" s="65"/>
      <c r="AL401" s="65"/>
      <c r="AM401" s="65"/>
      <c r="AN401" s="65"/>
      <c r="AO401" s="65"/>
    </row>
    <row r="402">
      <c r="A402" s="30"/>
      <c r="B402" s="65"/>
      <c r="C402" s="65"/>
      <c r="D402" s="65"/>
      <c r="E402" s="30"/>
      <c r="F402" s="65"/>
      <c r="G402" s="65"/>
      <c r="H402" s="65"/>
      <c r="I402" s="30"/>
      <c r="J402" s="65"/>
      <c r="K402" s="65"/>
      <c r="L402" s="65"/>
      <c r="M402" s="30"/>
      <c r="N402" s="65"/>
      <c r="O402" s="65"/>
      <c r="P402" s="65"/>
      <c r="Q402" s="30"/>
      <c r="R402" s="65"/>
      <c r="S402" s="65"/>
      <c r="T402" s="65"/>
      <c r="U402" s="30"/>
      <c r="V402" s="65"/>
      <c r="W402" s="65"/>
      <c r="X402" s="65"/>
      <c r="Y402" s="30"/>
      <c r="Z402" s="65"/>
      <c r="AA402" s="65"/>
      <c r="AB402" s="65"/>
      <c r="AC402" s="30"/>
      <c r="AD402" s="65"/>
      <c r="AE402" s="65"/>
      <c r="AF402" s="65"/>
      <c r="AG402" s="65"/>
      <c r="AH402" s="30"/>
      <c r="AI402" s="65"/>
      <c r="AJ402" s="65"/>
      <c r="AK402" s="65"/>
      <c r="AL402" s="65"/>
      <c r="AM402" s="65"/>
      <c r="AN402" s="65"/>
      <c r="AO402" s="65"/>
    </row>
    <row r="403">
      <c r="A403" s="30"/>
      <c r="B403" s="65"/>
      <c r="C403" s="65"/>
      <c r="D403" s="65"/>
      <c r="E403" s="30"/>
      <c r="F403" s="65"/>
      <c r="G403" s="65"/>
      <c r="H403" s="65"/>
      <c r="I403" s="30"/>
      <c r="J403" s="65"/>
      <c r="K403" s="65"/>
      <c r="L403" s="65"/>
      <c r="M403" s="30"/>
      <c r="N403" s="65"/>
      <c r="O403" s="65"/>
      <c r="P403" s="65"/>
      <c r="Q403" s="30"/>
      <c r="R403" s="65"/>
      <c r="S403" s="65"/>
      <c r="T403" s="65"/>
      <c r="U403" s="30"/>
      <c r="V403" s="65"/>
      <c r="W403" s="65"/>
      <c r="X403" s="65"/>
      <c r="Y403" s="30"/>
      <c r="Z403" s="65"/>
      <c r="AA403" s="65"/>
      <c r="AB403" s="65"/>
      <c r="AC403" s="30"/>
      <c r="AD403" s="65"/>
      <c r="AE403" s="65"/>
      <c r="AF403" s="65"/>
      <c r="AG403" s="65"/>
      <c r="AH403" s="30"/>
      <c r="AI403" s="65"/>
      <c r="AJ403" s="65"/>
      <c r="AK403" s="65"/>
      <c r="AL403" s="65"/>
      <c r="AM403" s="65"/>
      <c r="AN403" s="65"/>
      <c r="AO403" s="65"/>
    </row>
    <row r="404">
      <c r="A404" s="30"/>
      <c r="B404" s="65"/>
      <c r="C404" s="65"/>
      <c r="D404" s="65"/>
      <c r="E404" s="30"/>
      <c r="F404" s="65"/>
      <c r="G404" s="65"/>
      <c r="H404" s="65"/>
      <c r="I404" s="30"/>
      <c r="J404" s="65"/>
      <c r="K404" s="65"/>
      <c r="L404" s="65"/>
      <c r="M404" s="30"/>
      <c r="N404" s="65"/>
      <c r="O404" s="65"/>
      <c r="P404" s="65"/>
      <c r="Q404" s="30"/>
      <c r="R404" s="65"/>
      <c r="S404" s="65"/>
      <c r="T404" s="65"/>
      <c r="U404" s="30"/>
      <c r="V404" s="65"/>
      <c r="W404" s="65"/>
      <c r="X404" s="65"/>
      <c r="Y404" s="30"/>
      <c r="Z404" s="65"/>
      <c r="AA404" s="65"/>
      <c r="AB404" s="65"/>
      <c r="AC404" s="30"/>
      <c r="AD404" s="65"/>
      <c r="AE404" s="65"/>
      <c r="AF404" s="65"/>
      <c r="AG404" s="65"/>
      <c r="AH404" s="30"/>
      <c r="AI404" s="65"/>
      <c r="AJ404" s="65"/>
      <c r="AK404" s="65"/>
      <c r="AL404" s="65"/>
      <c r="AM404" s="65"/>
      <c r="AN404" s="65"/>
      <c r="AO404" s="65"/>
    </row>
    <row r="405">
      <c r="A405" s="30"/>
      <c r="B405" s="65"/>
      <c r="C405" s="65"/>
      <c r="D405" s="65"/>
      <c r="E405" s="30"/>
      <c r="F405" s="65"/>
      <c r="G405" s="65"/>
      <c r="H405" s="65"/>
      <c r="I405" s="30"/>
      <c r="J405" s="65"/>
      <c r="K405" s="65"/>
      <c r="L405" s="65"/>
      <c r="M405" s="30"/>
      <c r="N405" s="65"/>
      <c r="O405" s="65"/>
      <c r="P405" s="65"/>
      <c r="Q405" s="30"/>
      <c r="R405" s="65"/>
      <c r="S405" s="65"/>
      <c r="T405" s="65"/>
      <c r="U405" s="30"/>
      <c r="V405" s="65"/>
      <c r="W405" s="65"/>
      <c r="X405" s="65"/>
      <c r="Y405" s="30"/>
      <c r="Z405" s="65"/>
      <c r="AA405" s="65"/>
      <c r="AB405" s="65"/>
      <c r="AC405" s="30"/>
      <c r="AD405" s="65"/>
      <c r="AE405" s="65"/>
      <c r="AF405" s="65"/>
      <c r="AG405" s="65"/>
      <c r="AH405" s="30"/>
      <c r="AI405" s="65"/>
      <c r="AJ405" s="65"/>
      <c r="AK405" s="65"/>
      <c r="AL405" s="65"/>
      <c r="AM405" s="65"/>
      <c r="AN405" s="65"/>
      <c r="AO405" s="65"/>
    </row>
    <row r="406">
      <c r="A406" s="30"/>
      <c r="B406" s="65"/>
      <c r="C406" s="65"/>
      <c r="D406" s="65"/>
      <c r="E406" s="30"/>
      <c r="F406" s="65"/>
      <c r="G406" s="65"/>
      <c r="H406" s="65"/>
      <c r="I406" s="30"/>
      <c r="J406" s="65"/>
      <c r="K406" s="65"/>
      <c r="L406" s="65"/>
      <c r="M406" s="30"/>
      <c r="N406" s="65"/>
      <c r="O406" s="65"/>
      <c r="P406" s="65"/>
      <c r="Q406" s="30"/>
      <c r="R406" s="65"/>
      <c r="S406" s="65"/>
      <c r="T406" s="65"/>
      <c r="U406" s="30"/>
      <c r="V406" s="65"/>
      <c r="W406" s="65"/>
      <c r="X406" s="65"/>
      <c r="Y406" s="30"/>
      <c r="Z406" s="65"/>
      <c r="AA406" s="65"/>
      <c r="AB406" s="65"/>
      <c r="AC406" s="30"/>
      <c r="AD406" s="65"/>
      <c r="AE406" s="65"/>
      <c r="AF406" s="65"/>
      <c r="AG406" s="65"/>
      <c r="AH406" s="30"/>
      <c r="AI406" s="65"/>
      <c r="AJ406" s="65"/>
      <c r="AK406" s="65"/>
      <c r="AL406" s="65"/>
      <c r="AM406" s="65"/>
      <c r="AN406" s="65"/>
      <c r="AO406" s="65"/>
    </row>
    <row r="407">
      <c r="A407" s="30"/>
      <c r="B407" s="65"/>
      <c r="C407" s="65"/>
      <c r="D407" s="65"/>
      <c r="E407" s="30"/>
      <c r="F407" s="65"/>
      <c r="G407" s="65"/>
      <c r="H407" s="65"/>
      <c r="I407" s="30"/>
      <c r="J407" s="65"/>
      <c r="K407" s="65"/>
      <c r="L407" s="65"/>
      <c r="M407" s="30"/>
      <c r="N407" s="65"/>
      <c r="O407" s="65"/>
      <c r="P407" s="65"/>
      <c r="Q407" s="30"/>
      <c r="R407" s="65"/>
      <c r="S407" s="65"/>
      <c r="T407" s="65"/>
      <c r="U407" s="30"/>
      <c r="V407" s="65"/>
      <c r="W407" s="65"/>
      <c r="X407" s="65"/>
      <c r="Y407" s="30"/>
      <c r="Z407" s="65"/>
      <c r="AA407" s="65"/>
      <c r="AB407" s="65"/>
      <c r="AC407" s="30"/>
      <c r="AD407" s="65"/>
      <c r="AE407" s="65"/>
      <c r="AF407" s="65"/>
      <c r="AG407" s="65"/>
      <c r="AH407" s="30"/>
      <c r="AI407" s="65"/>
      <c r="AJ407" s="65"/>
      <c r="AK407" s="65"/>
      <c r="AL407" s="65"/>
      <c r="AM407" s="65"/>
      <c r="AN407" s="65"/>
      <c r="AO407" s="65"/>
    </row>
    <row r="408">
      <c r="A408" s="30"/>
      <c r="B408" s="65"/>
      <c r="C408" s="65"/>
      <c r="D408" s="65"/>
      <c r="E408" s="30"/>
      <c r="F408" s="65"/>
      <c r="G408" s="65"/>
      <c r="H408" s="65"/>
      <c r="I408" s="30"/>
      <c r="J408" s="65"/>
      <c r="K408" s="65"/>
      <c r="L408" s="65"/>
      <c r="M408" s="30"/>
      <c r="N408" s="65"/>
      <c r="O408" s="65"/>
      <c r="P408" s="65"/>
      <c r="Q408" s="30"/>
      <c r="R408" s="65"/>
      <c r="S408" s="65"/>
      <c r="T408" s="65"/>
      <c r="U408" s="30"/>
      <c r="V408" s="65"/>
      <c r="W408" s="65"/>
      <c r="X408" s="65"/>
      <c r="Y408" s="30"/>
      <c r="Z408" s="65"/>
      <c r="AA408" s="65"/>
      <c r="AB408" s="65"/>
      <c r="AC408" s="30"/>
      <c r="AD408" s="65"/>
      <c r="AE408" s="65"/>
      <c r="AF408" s="65"/>
      <c r="AG408" s="65"/>
      <c r="AH408" s="30"/>
      <c r="AI408" s="65"/>
      <c r="AJ408" s="65"/>
      <c r="AK408" s="65"/>
      <c r="AL408" s="65"/>
      <c r="AM408" s="65"/>
      <c r="AN408" s="65"/>
      <c r="AO408" s="65"/>
    </row>
    <row r="409">
      <c r="A409" s="30"/>
      <c r="B409" s="65"/>
      <c r="C409" s="65"/>
      <c r="D409" s="65"/>
      <c r="E409" s="30"/>
      <c r="F409" s="65"/>
      <c r="G409" s="65"/>
      <c r="H409" s="65"/>
      <c r="I409" s="30"/>
      <c r="J409" s="65"/>
      <c r="K409" s="65"/>
      <c r="L409" s="65"/>
      <c r="M409" s="30"/>
      <c r="N409" s="65"/>
      <c r="O409" s="65"/>
      <c r="P409" s="65"/>
      <c r="Q409" s="30"/>
      <c r="R409" s="65"/>
      <c r="S409" s="65"/>
      <c r="T409" s="65"/>
      <c r="U409" s="30"/>
      <c r="V409" s="65"/>
      <c r="W409" s="65"/>
      <c r="X409" s="65"/>
      <c r="Y409" s="30"/>
      <c r="Z409" s="65"/>
      <c r="AA409" s="65"/>
      <c r="AB409" s="65"/>
      <c r="AC409" s="30"/>
      <c r="AD409" s="65"/>
      <c r="AE409" s="65"/>
      <c r="AF409" s="65"/>
      <c r="AG409" s="65"/>
      <c r="AH409" s="30"/>
      <c r="AI409" s="65"/>
      <c r="AJ409" s="65"/>
      <c r="AK409" s="65"/>
      <c r="AL409" s="65"/>
      <c r="AM409" s="65"/>
      <c r="AN409" s="65"/>
      <c r="AO409" s="65"/>
    </row>
    <row r="410">
      <c r="A410" s="30"/>
      <c r="B410" s="65"/>
      <c r="C410" s="65"/>
      <c r="D410" s="65"/>
      <c r="E410" s="30"/>
      <c r="F410" s="65"/>
      <c r="G410" s="65"/>
      <c r="H410" s="65"/>
      <c r="I410" s="30"/>
      <c r="J410" s="65"/>
      <c r="K410" s="65"/>
      <c r="L410" s="65"/>
      <c r="M410" s="30"/>
      <c r="N410" s="65"/>
      <c r="O410" s="65"/>
      <c r="P410" s="65"/>
      <c r="Q410" s="30"/>
      <c r="R410" s="65"/>
      <c r="S410" s="65"/>
      <c r="T410" s="65"/>
      <c r="U410" s="30"/>
      <c r="V410" s="65"/>
      <c r="W410" s="65"/>
      <c r="X410" s="65"/>
      <c r="Y410" s="30"/>
      <c r="Z410" s="65"/>
      <c r="AA410" s="65"/>
      <c r="AB410" s="65"/>
      <c r="AC410" s="30"/>
      <c r="AD410" s="65"/>
      <c r="AE410" s="65"/>
      <c r="AF410" s="65"/>
      <c r="AG410" s="65"/>
      <c r="AH410" s="30"/>
      <c r="AI410" s="65"/>
      <c r="AJ410" s="65"/>
      <c r="AK410" s="65"/>
      <c r="AL410" s="65"/>
      <c r="AM410" s="65"/>
      <c r="AN410" s="65"/>
      <c r="AO410" s="65"/>
    </row>
    <row r="411">
      <c r="A411" s="30"/>
      <c r="B411" s="65"/>
      <c r="C411" s="65"/>
      <c r="D411" s="65"/>
      <c r="E411" s="30"/>
      <c r="F411" s="65"/>
      <c r="G411" s="65"/>
      <c r="H411" s="65"/>
      <c r="I411" s="30"/>
      <c r="J411" s="65"/>
      <c r="K411" s="65"/>
      <c r="L411" s="65"/>
      <c r="M411" s="30"/>
      <c r="N411" s="65"/>
      <c r="O411" s="65"/>
      <c r="P411" s="65"/>
      <c r="Q411" s="30"/>
      <c r="R411" s="65"/>
      <c r="S411" s="65"/>
      <c r="T411" s="65"/>
      <c r="U411" s="30"/>
      <c r="V411" s="65"/>
      <c r="W411" s="65"/>
      <c r="X411" s="65"/>
      <c r="Y411" s="30"/>
      <c r="Z411" s="65"/>
      <c r="AA411" s="65"/>
      <c r="AB411" s="65"/>
      <c r="AC411" s="30"/>
      <c r="AD411" s="65"/>
      <c r="AE411" s="65"/>
      <c r="AF411" s="65"/>
      <c r="AG411" s="65"/>
      <c r="AH411" s="30"/>
      <c r="AI411" s="65"/>
      <c r="AJ411" s="65"/>
      <c r="AK411" s="65"/>
      <c r="AL411" s="65"/>
      <c r="AM411" s="65"/>
      <c r="AN411" s="65"/>
      <c r="AO411" s="65"/>
    </row>
    <row r="412">
      <c r="A412" s="30"/>
      <c r="B412" s="65"/>
      <c r="C412" s="65"/>
      <c r="D412" s="65"/>
      <c r="E412" s="30"/>
      <c r="F412" s="65"/>
      <c r="G412" s="65"/>
      <c r="H412" s="65"/>
      <c r="I412" s="30"/>
      <c r="J412" s="65"/>
      <c r="K412" s="65"/>
      <c r="L412" s="65"/>
      <c r="M412" s="30"/>
      <c r="N412" s="65"/>
      <c r="O412" s="65"/>
      <c r="P412" s="65"/>
      <c r="Q412" s="30"/>
      <c r="R412" s="65"/>
      <c r="S412" s="65"/>
      <c r="T412" s="65"/>
      <c r="U412" s="30"/>
      <c r="V412" s="65"/>
      <c r="W412" s="65"/>
      <c r="X412" s="65"/>
      <c r="Y412" s="30"/>
      <c r="Z412" s="65"/>
      <c r="AA412" s="65"/>
      <c r="AB412" s="65"/>
      <c r="AC412" s="30"/>
      <c r="AD412" s="65"/>
      <c r="AE412" s="65"/>
      <c r="AF412" s="65"/>
      <c r="AG412" s="65"/>
      <c r="AH412" s="30"/>
      <c r="AI412" s="65"/>
      <c r="AJ412" s="65"/>
      <c r="AK412" s="65"/>
      <c r="AL412" s="65"/>
      <c r="AM412" s="65"/>
      <c r="AN412" s="65"/>
      <c r="AO412" s="65"/>
    </row>
    <row r="413">
      <c r="A413" s="30"/>
      <c r="B413" s="65"/>
      <c r="C413" s="65"/>
      <c r="D413" s="65"/>
      <c r="E413" s="30"/>
      <c r="F413" s="65"/>
      <c r="G413" s="65"/>
      <c r="H413" s="65"/>
      <c r="I413" s="30"/>
      <c r="J413" s="65"/>
      <c r="K413" s="65"/>
      <c r="L413" s="65"/>
      <c r="M413" s="30"/>
      <c r="N413" s="65"/>
      <c r="O413" s="65"/>
      <c r="P413" s="65"/>
      <c r="Q413" s="30"/>
      <c r="R413" s="65"/>
      <c r="S413" s="65"/>
      <c r="T413" s="65"/>
      <c r="U413" s="30"/>
      <c r="V413" s="65"/>
      <c r="W413" s="65"/>
      <c r="X413" s="65"/>
      <c r="Y413" s="30"/>
      <c r="Z413" s="65"/>
      <c r="AA413" s="65"/>
      <c r="AB413" s="65"/>
      <c r="AC413" s="30"/>
      <c r="AD413" s="65"/>
      <c r="AE413" s="65"/>
      <c r="AF413" s="65"/>
      <c r="AG413" s="65"/>
      <c r="AH413" s="30"/>
      <c r="AI413" s="65"/>
      <c r="AJ413" s="65"/>
      <c r="AK413" s="65"/>
      <c r="AL413" s="65"/>
      <c r="AM413" s="65"/>
      <c r="AN413" s="65"/>
      <c r="AO413" s="65"/>
    </row>
    <row r="414">
      <c r="A414" s="30"/>
      <c r="B414" s="65"/>
      <c r="C414" s="65"/>
      <c r="D414" s="65"/>
      <c r="E414" s="30"/>
      <c r="F414" s="65"/>
      <c r="G414" s="65"/>
      <c r="H414" s="65"/>
      <c r="I414" s="30"/>
      <c r="J414" s="65"/>
      <c r="K414" s="65"/>
      <c r="L414" s="65"/>
      <c r="M414" s="30"/>
      <c r="N414" s="65"/>
      <c r="O414" s="65"/>
      <c r="P414" s="65"/>
      <c r="Q414" s="30"/>
      <c r="R414" s="65"/>
      <c r="S414" s="65"/>
      <c r="T414" s="65"/>
      <c r="U414" s="30"/>
      <c r="V414" s="65"/>
      <c r="W414" s="65"/>
      <c r="X414" s="65"/>
      <c r="Y414" s="30"/>
      <c r="Z414" s="65"/>
      <c r="AA414" s="65"/>
      <c r="AB414" s="65"/>
      <c r="AC414" s="30"/>
      <c r="AD414" s="65"/>
      <c r="AE414" s="65"/>
      <c r="AF414" s="65"/>
      <c r="AG414" s="65"/>
      <c r="AH414" s="30"/>
      <c r="AI414" s="65"/>
      <c r="AJ414" s="65"/>
      <c r="AK414" s="65"/>
      <c r="AL414" s="65"/>
      <c r="AM414" s="65"/>
      <c r="AN414" s="65"/>
      <c r="AO414" s="65"/>
    </row>
    <row r="415">
      <c r="A415" s="30"/>
      <c r="B415" s="65"/>
      <c r="C415" s="65"/>
      <c r="D415" s="65"/>
      <c r="E415" s="30"/>
      <c r="F415" s="65"/>
      <c r="G415" s="65"/>
      <c r="H415" s="65"/>
      <c r="I415" s="30"/>
      <c r="J415" s="65"/>
      <c r="K415" s="65"/>
      <c r="L415" s="65"/>
      <c r="M415" s="30"/>
      <c r="N415" s="65"/>
      <c r="O415" s="65"/>
      <c r="P415" s="65"/>
      <c r="Q415" s="30"/>
      <c r="R415" s="65"/>
      <c r="S415" s="65"/>
      <c r="T415" s="65"/>
      <c r="U415" s="30"/>
      <c r="V415" s="65"/>
      <c r="W415" s="65"/>
      <c r="X415" s="65"/>
      <c r="Y415" s="30"/>
      <c r="Z415" s="65"/>
      <c r="AA415" s="65"/>
      <c r="AB415" s="65"/>
      <c r="AC415" s="30"/>
      <c r="AD415" s="65"/>
      <c r="AE415" s="65"/>
      <c r="AF415" s="65"/>
      <c r="AG415" s="65"/>
      <c r="AH415" s="30"/>
      <c r="AI415" s="65"/>
      <c r="AJ415" s="65"/>
      <c r="AK415" s="65"/>
      <c r="AL415" s="65"/>
      <c r="AM415" s="65"/>
      <c r="AN415" s="65"/>
      <c r="AO415" s="65"/>
    </row>
    <row r="416">
      <c r="A416" s="30"/>
      <c r="B416" s="65"/>
      <c r="C416" s="65"/>
      <c r="D416" s="65"/>
      <c r="E416" s="30"/>
      <c r="F416" s="65"/>
      <c r="G416" s="65"/>
      <c r="H416" s="65"/>
      <c r="I416" s="30"/>
      <c r="J416" s="65"/>
      <c r="K416" s="65"/>
      <c r="L416" s="65"/>
      <c r="M416" s="30"/>
      <c r="N416" s="65"/>
      <c r="O416" s="65"/>
      <c r="P416" s="65"/>
      <c r="Q416" s="30"/>
      <c r="R416" s="65"/>
      <c r="S416" s="65"/>
      <c r="T416" s="65"/>
      <c r="U416" s="30"/>
      <c r="V416" s="65"/>
      <c r="W416" s="65"/>
      <c r="X416" s="65"/>
      <c r="Y416" s="30"/>
      <c r="Z416" s="65"/>
      <c r="AA416" s="65"/>
      <c r="AB416" s="65"/>
      <c r="AC416" s="30"/>
      <c r="AD416" s="65"/>
      <c r="AE416" s="65"/>
      <c r="AF416" s="65"/>
      <c r="AG416" s="65"/>
      <c r="AH416" s="30"/>
      <c r="AI416" s="65"/>
      <c r="AJ416" s="65"/>
      <c r="AK416" s="65"/>
      <c r="AL416" s="65"/>
      <c r="AM416" s="65"/>
      <c r="AN416" s="65"/>
      <c r="AO416" s="65"/>
    </row>
    <row r="417">
      <c r="A417" s="30"/>
      <c r="B417" s="65"/>
      <c r="C417" s="65"/>
      <c r="D417" s="65"/>
      <c r="E417" s="30"/>
      <c r="F417" s="65"/>
      <c r="G417" s="65"/>
      <c r="H417" s="65"/>
      <c r="I417" s="30"/>
      <c r="J417" s="65"/>
      <c r="K417" s="65"/>
      <c r="L417" s="65"/>
      <c r="M417" s="30"/>
      <c r="N417" s="65"/>
      <c r="O417" s="65"/>
      <c r="P417" s="65"/>
      <c r="Q417" s="30"/>
      <c r="R417" s="65"/>
      <c r="S417" s="65"/>
      <c r="T417" s="65"/>
      <c r="U417" s="30"/>
      <c r="V417" s="65"/>
      <c r="W417" s="65"/>
      <c r="X417" s="65"/>
      <c r="Y417" s="30"/>
      <c r="Z417" s="65"/>
      <c r="AA417" s="65"/>
      <c r="AB417" s="65"/>
      <c r="AC417" s="30"/>
      <c r="AD417" s="65"/>
      <c r="AE417" s="65"/>
      <c r="AF417" s="65"/>
      <c r="AG417" s="65"/>
      <c r="AH417" s="30"/>
      <c r="AI417" s="65"/>
      <c r="AJ417" s="65"/>
      <c r="AK417" s="65"/>
      <c r="AL417" s="65"/>
      <c r="AM417" s="65"/>
      <c r="AN417" s="65"/>
      <c r="AO417" s="65"/>
    </row>
    <row r="418">
      <c r="A418" s="30"/>
      <c r="B418" s="65"/>
      <c r="C418" s="65"/>
      <c r="D418" s="65"/>
      <c r="E418" s="30"/>
      <c r="F418" s="65"/>
      <c r="G418" s="65"/>
      <c r="H418" s="65"/>
      <c r="I418" s="30"/>
      <c r="J418" s="65"/>
      <c r="K418" s="65"/>
      <c r="L418" s="65"/>
      <c r="M418" s="30"/>
      <c r="N418" s="65"/>
      <c r="O418" s="65"/>
      <c r="P418" s="65"/>
      <c r="Q418" s="30"/>
      <c r="R418" s="65"/>
      <c r="S418" s="65"/>
      <c r="T418" s="65"/>
      <c r="U418" s="30"/>
      <c r="V418" s="65"/>
      <c r="W418" s="65"/>
      <c r="X418" s="65"/>
      <c r="Y418" s="30"/>
      <c r="Z418" s="65"/>
      <c r="AA418" s="65"/>
      <c r="AB418" s="65"/>
      <c r="AC418" s="30"/>
      <c r="AD418" s="65"/>
      <c r="AE418" s="65"/>
      <c r="AF418" s="65"/>
      <c r="AG418" s="65"/>
      <c r="AH418" s="30"/>
      <c r="AI418" s="65"/>
      <c r="AJ418" s="65"/>
      <c r="AK418" s="65"/>
      <c r="AL418" s="65"/>
      <c r="AM418" s="65"/>
      <c r="AN418" s="65"/>
      <c r="AO418" s="65"/>
    </row>
    <row r="419">
      <c r="A419" s="30"/>
      <c r="B419" s="65"/>
      <c r="C419" s="65"/>
      <c r="D419" s="65"/>
      <c r="E419" s="30"/>
      <c r="F419" s="65"/>
      <c r="G419" s="65"/>
      <c r="H419" s="65"/>
      <c r="I419" s="30"/>
      <c r="J419" s="65"/>
      <c r="K419" s="65"/>
      <c r="L419" s="65"/>
      <c r="M419" s="30"/>
      <c r="N419" s="65"/>
      <c r="O419" s="65"/>
      <c r="P419" s="65"/>
      <c r="Q419" s="30"/>
      <c r="R419" s="65"/>
      <c r="S419" s="65"/>
      <c r="T419" s="65"/>
      <c r="U419" s="30"/>
      <c r="V419" s="65"/>
      <c r="W419" s="65"/>
      <c r="X419" s="65"/>
      <c r="Y419" s="30"/>
      <c r="Z419" s="65"/>
      <c r="AA419" s="65"/>
      <c r="AB419" s="65"/>
      <c r="AC419" s="30"/>
      <c r="AD419" s="65"/>
      <c r="AE419" s="65"/>
      <c r="AF419" s="65"/>
      <c r="AG419" s="65"/>
      <c r="AH419" s="30"/>
      <c r="AI419" s="65"/>
      <c r="AJ419" s="65"/>
      <c r="AK419" s="65"/>
      <c r="AL419" s="65"/>
      <c r="AM419" s="65"/>
      <c r="AN419" s="65"/>
      <c r="AO419" s="65"/>
    </row>
    <row r="420">
      <c r="A420" s="30"/>
      <c r="B420" s="65"/>
      <c r="C420" s="65"/>
      <c r="D420" s="65"/>
      <c r="E420" s="30"/>
      <c r="F420" s="65"/>
      <c r="G420" s="65"/>
      <c r="H420" s="65"/>
      <c r="I420" s="30"/>
      <c r="J420" s="65"/>
      <c r="K420" s="65"/>
      <c r="L420" s="65"/>
      <c r="M420" s="30"/>
      <c r="N420" s="65"/>
      <c r="O420" s="65"/>
      <c r="P420" s="65"/>
      <c r="Q420" s="30"/>
      <c r="R420" s="65"/>
      <c r="S420" s="65"/>
      <c r="T420" s="65"/>
      <c r="U420" s="30"/>
      <c r="V420" s="65"/>
      <c r="W420" s="65"/>
      <c r="X420" s="65"/>
      <c r="Y420" s="30"/>
      <c r="Z420" s="65"/>
      <c r="AA420" s="65"/>
      <c r="AB420" s="65"/>
      <c r="AC420" s="30"/>
      <c r="AD420" s="65"/>
      <c r="AE420" s="65"/>
      <c r="AF420" s="65"/>
      <c r="AG420" s="65"/>
      <c r="AH420" s="30"/>
      <c r="AI420" s="65"/>
      <c r="AJ420" s="65"/>
      <c r="AK420" s="65"/>
      <c r="AL420" s="65"/>
      <c r="AM420" s="65"/>
      <c r="AN420" s="65"/>
      <c r="AO420" s="65"/>
    </row>
    <row r="421">
      <c r="A421" s="30"/>
      <c r="B421" s="65"/>
      <c r="C421" s="65"/>
      <c r="D421" s="65"/>
      <c r="E421" s="30"/>
      <c r="F421" s="65"/>
      <c r="G421" s="65"/>
      <c r="H421" s="65"/>
      <c r="I421" s="30"/>
      <c r="J421" s="65"/>
      <c r="K421" s="65"/>
      <c r="L421" s="65"/>
      <c r="M421" s="30"/>
      <c r="N421" s="65"/>
      <c r="O421" s="65"/>
      <c r="P421" s="65"/>
      <c r="Q421" s="30"/>
      <c r="R421" s="65"/>
      <c r="S421" s="65"/>
      <c r="T421" s="65"/>
      <c r="U421" s="30"/>
      <c r="V421" s="65"/>
      <c r="W421" s="65"/>
      <c r="X421" s="65"/>
      <c r="Y421" s="30"/>
      <c r="Z421" s="65"/>
      <c r="AA421" s="65"/>
      <c r="AB421" s="65"/>
      <c r="AC421" s="30"/>
      <c r="AD421" s="65"/>
      <c r="AE421" s="65"/>
      <c r="AF421" s="65"/>
      <c r="AG421" s="65"/>
      <c r="AH421" s="30"/>
      <c r="AI421" s="65"/>
      <c r="AJ421" s="65"/>
      <c r="AK421" s="65"/>
      <c r="AL421" s="65"/>
      <c r="AM421" s="65"/>
      <c r="AN421" s="65"/>
      <c r="AO421" s="65"/>
    </row>
    <row r="422">
      <c r="A422" s="30"/>
      <c r="B422" s="65"/>
      <c r="C422" s="65"/>
      <c r="D422" s="65"/>
      <c r="E422" s="30"/>
      <c r="F422" s="65"/>
      <c r="G422" s="65"/>
      <c r="H422" s="65"/>
      <c r="I422" s="30"/>
      <c r="J422" s="65"/>
      <c r="K422" s="65"/>
      <c r="L422" s="65"/>
      <c r="M422" s="30"/>
      <c r="N422" s="65"/>
      <c r="O422" s="65"/>
      <c r="P422" s="65"/>
      <c r="Q422" s="30"/>
      <c r="R422" s="65"/>
      <c r="S422" s="65"/>
      <c r="T422" s="65"/>
      <c r="U422" s="30"/>
      <c r="V422" s="65"/>
      <c r="W422" s="65"/>
      <c r="X422" s="65"/>
      <c r="Y422" s="30"/>
      <c r="Z422" s="65"/>
      <c r="AA422" s="65"/>
      <c r="AB422" s="65"/>
      <c r="AC422" s="30"/>
      <c r="AD422" s="65"/>
      <c r="AE422" s="65"/>
      <c r="AF422" s="65"/>
      <c r="AG422" s="65"/>
      <c r="AH422" s="30"/>
      <c r="AI422" s="65"/>
      <c r="AJ422" s="65"/>
      <c r="AK422" s="65"/>
      <c r="AL422" s="65"/>
      <c r="AM422" s="65"/>
      <c r="AN422" s="65"/>
      <c r="AO422" s="65"/>
    </row>
    <row r="423">
      <c r="A423" s="30"/>
      <c r="B423" s="65"/>
      <c r="C423" s="65"/>
      <c r="D423" s="65"/>
      <c r="E423" s="30"/>
      <c r="F423" s="65"/>
      <c r="G423" s="65"/>
      <c r="H423" s="65"/>
      <c r="I423" s="30"/>
      <c r="J423" s="65"/>
      <c r="K423" s="65"/>
      <c r="L423" s="65"/>
      <c r="M423" s="30"/>
      <c r="N423" s="65"/>
      <c r="O423" s="65"/>
      <c r="P423" s="65"/>
      <c r="Q423" s="30"/>
      <c r="R423" s="65"/>
      <c r="S423" s="65"/>
      <c r="T423" s="65"/>
      <c r="U423" s="30"/>
      <c r="V423" s="65"/>
      <c r="W423" s="65"/>
      <c r="X423" s="65"/>
      <c r="Y423" s="30"/>
      <c r="Z423" s="65"/>
      <c r="AA423" s="65"/>
      <c r="AB423" s="65"/>
      <c r="AC423" s="30"/>
      <c r="AD423" s="65"/>
      <c r="AE423" s="65"/>
      <c r="AF423" s="65"/>
      <c r="AG423" s="65"/>
      <c r="AH423" s="30"/>
      <c r="AI423" s="65"/>
      <c r="AJ423" s="65"/>
      <c r="AK423" s="65"/>
      <c r="AL423" s="65"/>
      <c r="AM423" s="65"/>
      <c r="AN423" s="65"/>
      <c r="AO423" s="65"/>
    </row>
    <row r="424">
      <c r="A424" s="30"/>
      <c r="B424" s="65"/>
      <c r="C424" s="65"/>
      <c r="D424" s="65"/>
      <c r="E424" s="30"/>
      <c r="F424" s="65"/>
      <c r="G424" s="65"/>
      <c r="H424" s="65"/>
      <c r="I424" s="30"/>
      <c r="J424" s="65"/>
      <c r="K424" s="65"/>
      <c r="L424" s="65"/>
      <c r="M424" s="30"/>
      <c r="N424" s="65"/>
      <c r="O424" s="65"/>
      <c r="P424" s="65"/>
      <c r="Q424" s="30"/>
      <c r="R424" s="65"/>
      <c r="S424" s="65"/>
      <c r="T424" s="65"/>
      <c r="U424" s="30"/>
      <c r="V424" s="65"/>
      <c r="W424" s="65"/>
      <c r="X424" s="65"/>
      <c r="Y424" s="30"/>
      <c r="Z424" s="65"/>
      <c r="AA424" s="65"/>
      <c r="AB424" s="65"/>
      <c r="AC424" s="30"/>
      <c r="AD424" s="65"/>
      <c r="AE424" s="65"/>
      <c r="AF424" s="65"/>
      <c r="AG424" s="65"/>
      <c r="AH424" s="30"/>
      <c r="AI424" s="65"/>
      <c r="AJ424" s="65"/>
      <c r="AK424" s="65"/>
      <c r="AL424" s="65"/>
      <c r="AM424" s="65"/>
      <c r="AN424" s="65"/>
      <c r="AO424" s="65"/>
    </row>
    <row r="425">
      <c r="A425" s="30"/>
      <c r="B425" s="65"/>
      <c r="C425" s="65"/>
      <c r="D425" s="65"/>
      <c r="E425" s="30"/>
      <c r="F425" s="65"/>
      <c r="G425" s="65"/>
      <c r="H425" s="65"/>
      <c r="I425" s="30"/>
      <c r="J425" s="65"/>
      <c r="K425" s="65"/>
      <c r="L425" s="65"/>
      <c r="M425" s="30"/>
      <c r="N425" s="65"/>
      <c r="O425" s="65"/>
      <c r="P425" s="65"/>
      <c r="Q425" s="30"/>
      <c r="R425" s="65"/>
      <c r="S425" s="65"/>
      <c r="T425" s="65"/>
      <c r="U425" s="30"/>
      <c r="V425" s="65"/>
      <c r="W425" s="65"/>
      <c r="X425" s="65"/>
      <c r="Y425" s="30"/>
      <c r="Z425" s="65"/>
      <c r="AA425" s="65"/>
      <c r="AB425" s="65"/>
      <c r="AC425" s="30"/>
      <c r="AD425" s="65"/>
      <c r="AE425" s="65"/>
      <c r="AF425" s="65"/>
      <c r="AG425" s="65"/>
      <c r="AH425" s="30"/>
      <c r="AI425" s="65"/>
      <c r="AJ425" s="65"/>
      <c r="AK425" s="65"/>
      <c r="AL425" s="65"/>
      <c r="AM425" s="65"/>
      <c r="AN425" s="65"/>
      <c r="AO425" s="65"/>
    </row>
    <row r="426">
      <c r="A426" s="30"/>
      <c r="B426" s="65"/>
      <c r="C426" s="65"/>
      <c r="D426" s="65"/>
      <c r="E426" s="30"/>
      <c r="F426" s="65"/>
      <c r="G426" s="65"/>
      <c r="H426" s="65"/>
      <c r="I426" s="30"/>
      <c r="J426" s="65"/>
      <c r="K426" s="65"/>
      <c r="L426" s="65"/>
      <c r="M426" s="30"/>
      <c r="N426" s="65"/>
      <c r="O426" s="65"/>
      <c r="P426" s="65"/>
      <c r="Q426" s="30"/>
      <c r="R426" s="65"/>
      <c r="S426" s="65"/>
      <c r="T426" s="65"/>
      <c r="U426" s="30"/>
      <c r="V426" s="65"/>
      <c r="W426" s="65"/>
      <c r="X426" s="65"/>
      <c r="Y426" s="30"/>
      <c r="Z426" s="65"/>
      <c r="AA426" s="65"/>
      <c r="AB426" s="65"/>
      <c r="AC426" s="30"/>
      <c r="AD426" s="65"/>
      <c r="AE426" s="65"/>
      <c r="AF426" s="65"/>
      <c r="AG426" s="65"/>
      <c r="AH426" s="30"/>
      <c r="AI426" s="65"/>
      <c r="AJ426" s="65"/>
      <c r="AK426" s="65"/>
      <c r="AL426" s="65"/>
      <c r="AM426" s="65"/>
      <c r="AN426" s="65"/>
      <c r="AO426" s="65"/>
    </row>
    <row r="427">
      <c r="A427" s="30"/>
      <c r="B427" s="65"/>
      <c r="C427" s="65"/>
      <c r="D427" s="65"/>
      <c r="E427" s="30"/>
      <c r="F427" s="65"/>
      <c r="G427" s="65"/>
      <c r="H427" s="65"/>
      <c r="I427" s="30"/>
      <c r="J427" s="65"/>
      <c r="K427" s="65"/>
      <c r="L427" s="65"/>
      <c r="M427" s="30"/>
      <c r="N427" s="65"/>
      <c r="O427" s="65"/>
      <c r="P427" s="65"/>
      <c r="Q427" s="30"/>
      <c r="R427" s="65"/>
      <c r="S427" s="65"/>
      <c r="T427" s="65"/>
      <c r="U427" s="30"/>
      <c r="V427" s="65"/>
      <c r="W427" s="65"/>
      <c r="X427" s="65"/>
      <c r="Y427" s="30"/>
      <c r="Z427" s="65"/>
      <c r="AA427" s="65"/>
      <c r="AB427" s="65"/>
      <c r="AC427" s="30"/>
      <c r="AD427" s="65"/>
      <c r="AE427" s="65"/>
      <c r="AF427" s="65"/>
      <c r="AG427" s="65"/>
      <c r="AH427" s="30"/>
      <c r="AI427" s="65"/>
      <c r="AJ427" s="65"/>
      <c r="AK427" s="65"/>
      <c r="AL427" s="65"/>
      <c r="AM427" s="65"/>
      <c r="AN427" s="65"/>
      <c r="AO427" s="65"/>
    </row>
    <row r="428">
      <c r="A428" s="30"/>
      <c r="B428" s="65"/>
      <c r="C428" s="65"/>
      <c r="D428" s="65"/>
      <c r="E428" s="30"/>
      <c r="F428" s="65"/>
      <c r="G428" s="65"/>
      <c r="H428" s="65"/>
      <c r="I428" s="30"/>
      <c r="J428" s="65"/>
      <c r="K428" s="65"/>
      <c r="L428" s="65"/>
      <c r="M428" s="30"/>
      <c r="N428" s="65"/>
      <c r="O428" s="65"/>
      <c r="P428" s="65"/>
      <c r="Q428" s="30"/>
      <c r="R428" s="65"/>
      <c r="S428" s="65"/>
      <c r="T428" s="65"/>
      <c r="U428" s="30"/>
      <c r="V428" s="65"/>
      <c r="W428" s="65"/>
      <c r="X428" s="65"/>
      <c r="Y428" s="30"/>
      <c r="Z428" s="65"/>
      <c r="AA428" s="65"/>
      <c r="AB428" s="65"/>
      <c r="AC428" s="30"/>
      <c r="AD428" s="65"/>
      <c r="AE428" s="65"/>
      <c r="AF428" s="65"/>
      <c r="AG428" s="65"/>
      <c r="AH428" s="30"/>
      <c r="AI428" s="65"/>
      <c r="AJ428" s="65"/>
      <c r="AK428" s="65"/>
      <c r="AL428" s="65"/>
      <c r="AM428" s="65"/>
      <c r="AN428" s="65"/>
      <c r="AO428" s="65"/>
    </row>
    <row r="429">
      <c r="A429" s="30"/>
      <c r="B429" s="65"/>
      <c r="C429" s="65"/>
      <c r="D429" s="65"/>
      <c r="E429" s="30"/>
      <c r="F429" s="65"/>
      <c r="G429" s="65"/>
      <c r="H429" s="65"/>
      <c r="I429" s="30"/>
      <c r="J429" s="65"/>
      <c r="K429" s="65"/>
      <c r="L429" s="65"/>
      <c r="M429" s="30"/>
      <c r="N429" s="65"/>
      <c r="O429" s="65"/>
      <c r="P429" s="65"/>
      <c r="Q429" s="30"/>
      <c r="R429" s="65"/>
      <c r="S429" s="65"/>
      <c r="T429" s="65"/>
      <c r="U429" s="30"/>
      <c r="V429" s="65"/>
      <c r="W429" s="65"/>
      <c r="X429" s="65"/>
      <c r="Y429" s="30"/>
      <c r="Z429" s="65"/>
      <c r="AA429" s="65"/>
      <c r="AB429" s="65"/>
      <c r="AC429" s="30"/>
      <c r="AD429" s="65"/>
      <c r="AE429" s="65"/>
      <c r="AF429" s="65"/>
      <c r="AG429" s="65"/>
      <c r="AH429" s="30"/>
      <c r="AI429" s="65"/>
      <c r="AJ429" s="65"/>
      <c r="AK429" s="65"/>
      <c r="AL429" s="65"/>
      <c r="AM429" s="65"/>
      <c r="AN429" s="65"/>
      <c r="AO429" s="65"/>
    </row>
    <row r="430">
      <c r="A430" s="30"/>
      <c r="B430" s="65"/>
      <c r="C430" s="65"/>
      <c r="D430" s="65"/>
      <c r="E430" s="30"/>
      <c r="F430" s="65"/>
      <c r="G430" s="65"/>
      <c r="H430" s="65"/>
      <c r="I430" s="30"/>
      <c r="J430" s="65"/>
      <c r="K430" s="65"/>
      <c r="L430" s="65"/>
      <c r="M430" s="30"/>
      <c r="N430" s="65"/>
      <c r="O430" s="65"/>
      <c r="P430" s="65"/>
      <c r="Q430" s="30"/>
      <c r="R430" s="65"/>
      <c r="S430" s="65"/>
      <c r="T430" s="65"/>
      <c r="U430" s="30"/>
      <c r="V430" s="65"/>
      <c r="W430" s="65"/>
      <c r="X430" s="65"/>
      <c r="Y430" s="30"/>
      <c r="Z430" s="65"/>
      <c r="AA430" s="65"/>
      <c r="AB430" s="65"/>
      <c r="AC430" s="30"/>
      <c r="AD430" s="65"/>
      <c r="AE430" s="65"/>
      <c r="AF430" s="65"/>
      <c r="AG430" s="65"/>
      <c r="AH430" s="30"/>
      <c r="AI430" s="65"/>
      <c r="AJ430" s="65"/>
      <c r="AK430" s="65"/>
      <c r="AL430" s="65"/>
      <c r="AM430" s="65"/>
      <c r="AN430" s="65"/>
      <c r="AO430" s="65"/>
    </row>
    <row r="431">
      <c r="A431" s="30"/>
      <c r="B431" s="65"/>
      <c r="C431" s="65"/>
      <c r="D431" s="65"/>
      <c r="E431" s="30"/>
      <c r="F431" s="65"/>
      <c r="G431" s="65"/>
      <c r="H431" s="65"/>
      <c r="I431" s="30"/>
      <c r="J431" s="65"/>
      <c r="K431" s="65"/>
      <c r="L431" s="65"/>
      <c r="M431" s="30"/>
      <c r="N431" s="65"/>
      <c r="O431" s="65"/>
      <c r="P431" s="65"/>
      <c r="Q431" s="30"/>
      <c r="R431" s="65"/>
      <c r="S431" s="65"/>
      <c r="T431" s="65"/>
      <c r="U431" s="30"/>
      <c r="V431" s="65"/>
      <c r="W431" s="65"/>
      <c r="X431" s="65"/>
      <c r="Y431" s="30"/>
      <c r="Z431" s="65"/>
      <c r="AA431" s="65"/>
      <c r="AB431" s="65"/>
      <c r="AC431" s="30"/>
      <c r="AD431" s="65"/>
      <c r="AE431" s="65"/>
      <c r="AF431" s="65"/>
      <c r="AG431" s="65"/>
      <c r="AH431" s="30"/>
      <c r="AI431" s="65"/>
      <c r="AJ431" s="65"/>
      <c r="AK431" s="65"/>
      <c r="AL431" s="65"/>
      <c r="AM431" s="65"/>
      <c r="AN431" s="65"/>
      <c r="AO431" s="65"/>
    </row>
    <row r="432">
      <c r="A432" s="30"/>
      <c r="B432" s="65"/>
      <c r="C432" s="65"/>
      <c r="D432" s="65"/>
      <c r="E432" s="30"/>
      <c r="F432" s="65"/>
      <c r="G432" s="65"/>
      <c r="H432" s="65"/>
      <c r="I432" s="30"/>
      <c r="J432" s="65"/>
      <c r="K432" s="65"/>
      <c r="L432" s="65"/>
      <c r="M432" s="30"/>
      <c r="N432" s="65"/>
      <c r="O432" s="65"/>
      <c r="P432" s="65"/>
      <c r="Q432" s="30"/>
      <c r="R432" s="65"/>
      <c r="S432" s="65"/>
      <c r="T432" s="65"/>
      <c r="U432" s="30"/>
      <c r="V432" s="65"/>
      <c r="W432" s="65"/>
      <c r="X432" s="65"/>
      <c r="Y432" s="30"/>
      <c r="Z432" s="65"/>
      <c r="AA432" s="65"/>
      <c r="AB432" s="65"/>
      <c r="AC432" s="30"/>
      <c r="AD432" s="65"/>
      <c r="AE432" s="65"/>
      <c r="AF432" s="65"/>
      <c r="AG432" s="65"/>
      <c r="AH432" s="30"/>
      <c r="AI432" s="65"/>
      <c r="AJ432" s="65"/>
      <c r="AK432" s="65"/>
      <c r="AL432" s="65"/>
      <c r="AM432" s="65"/>
      <c r="AN432" s="65"/>
      <c r="AO432" s="65"/>
    </row>
    <row r="433">
      <c r="A433" s="30"/>
      <c r="B433" s="65"/>
      <c r="C433" s="65"/>
      <c r="D433" s="65"/>
      <c r="E433" s="30"/>
      <c r="F433" s="65"/>
      <c r="G433" s="65"/>
      <c r="H433" s="65"/>
      <c r="I433" s="30"/>
      <c r="J433" s="65"/>
      <c r="K433" s="65"/>
      <c r="L433" s="65"/>
      <c r="M433" s="30"/>
      <c r="N433" s="65"/>
      <c r="O433" s="65"/>
      <c r="P433" s="65"/>
      <c r="Q433" s="30"/>
      <c r="R433" s="65"/>
      <c r="S433" s="65"/>
      <c r="T433" s="65"/>
      <c r="U433" s="30"/>
      <c r="V433" s="65"/>
      <c r="W433" s="65"/>
      <c r="X433" s="65"/>
      <c r="Y433" s="30"/>
      <c r="Z433" s="65"/>
      <c r="AA433" s="65"/>
      <c r="AB433" s="65"/>
      <c r="AC433" s="30"/>
      <c r="AD433" s="65"/>
      <c r="AE433" s="65"/>
      <c r="AF433" s="65"/>
      <c r="AG433" s="65"/>
      <c r="AH433" s="30"/>
      <c r="AI433" s="65"/>
      <c r="AJ433" s="65"/>
      <c r="AK433" s="65"/>
      <c r="AL433" s="65"/>
      <c r="AM433" s="65"/>
      <c r="AN433" s="65"/>
      <c r="AO433" s="65"/>
    </row>
    <row r="434">
      <c r="A434" s="30"/>
      <c r="B434" s="65"/>
      <c r="C434" s="65"/>
      <c r="D434" s="65"/>
      <c r="E434" s="30"/>
      <c r="F434" s="65"/>
      <c r="G434" s="65"/>
      <c r="H434" s="65"/>
      <c r="I434" s="30"/>
      <c r="J434" s="65"/>
      <c r="K434" s="65"/>
      <c r="L434" s="65"/>
      <c r="M434" s="30"/>
      <c r="N434" s="65"/>
      <c r="O434" s="65"/>
      <c r="P434" s="65"/>
      <c r="Q434" s="30"/>
      <c r="R434" s="65"/>
      <c r="S434" s="65"/>
      <c r="T434" s="65"/>
      <c r="U434" s="30"/>
      <c r="V434" s="65"/>
      <c r="W434" s="65"/>
      <c r="X434" s="65"/>
      <c r="Y434" s="30"/>
      <c r="Z434" s="65"/>
      <c r="AA434" s="65"/>
      <c r="AB434" s="65"/>
      <c r="AC434" s="30"/>
      <c r="AD434" s="65"/>
      <c r="AE434" s="65"/>
      <c r="AF434" s="65"/>
      <c r="AG434" s="65"/>
      <c r="AH434" s="30"/>
      <c r="AI434" s="65"/>
      <c r="AJ434" s="65"/>
      <c r="AK434" s="65"/>
      <c r="AL434" s="65"/>
      <c r="AM434" s="65"/>
      <c r="AN434" s="65"/>
      <c r="AO434" s="65"/>
    </row>
    <row r="435">
      <c r="A435" s="30"/>
      <c r="B435" s="65"/>
      <c r="C435" s="65"/>
      <c r="D435" s="65"/>
      <c r="E435" s="30"/>
      <c r="F435" s="65"/>
      <c r="G435" s="65"/>
      <c r="H435" s="65"/>
      <c r="I435" s="30"/>
      <c r="J435" s="65"/>
      <c r="K435" s="65"/>
      <c r="L435" s="65"/>
      <c r="M435" s="30"/>
      <c r="N435" s="65"/>
      <c r="O435" s="65"/>
      <c r="P435" s="65"/>
      <c r="Q435" s="30"/>
      <c r="R435" s="65"/>
      <c r="S435" s="65"/>
      <c r="T435" s="65"/>
      <c r="U435" s="30"/>
      <c r="V435" s="65"/>
      <c r="W435" s="65"/>
      <c r="X435" s="65"/>
      <c r="Y435" s="30"/>
      <c r="Z435" s="65"/>
      <c r="AA435" s="65"/>
      <c r="AB435" s="65"/>
      <c r="AC435" s="30"/>
      <c r="AD435" s="65"/>
      <c r="AE435" s="65"/>
      <c r="AF435" s="65"/>
      <c r="AG435" s="65"/>
      <c r="AH435" s="30"/>
      <c r="AI435" s="65"/>
      <c r="AJ435" s="65"/>
      <c r="AK435" s="65"/>
      <c r="AL435" s="65"/>
      <c r="AM435" s="65"/>
      <c r="AN435" s="65"/>
      <c r="AO435" s="65"/>
    </row>
    <row r="436">
      <c r="A436" s="30"/>
      <c r="B436" s="65"/>
      <c r="C436" s="65"/>
      <c r="D436" s="65"/>
      <c r="E436" s="30"/>
      <c r="F436" s="65"/>
      <c r="G436" s="65"/>
      <c r="H436" s="65"/>
      <c r="I436" s="30"/>
      <c r="J436" s="65"/>
      <c r="K436" s="65"/>
      <c r="L436" s="65"/>
      <c r="M436" s="30"/>
      <c r="N436" s="65"/>
      <c r="O436" s="65"/>
      <c r="P436" s="65"/>
      <c r="Q436" s="30"/>
      <c r="R436" s="65"/>
      <c r="S436" s="65"/>
      <c r="T436" s="65"/>
      <c r="U436" s="30"/>
      <c r="V436" s="65"/>
      <c r="W436" s="65"/>
      <c r="X436" s="65"/>
      <c r="Y436" s="30"/>
      <c r="Z436" s="65"/>
      <c r="AA436" s="65"/>
      <c r="AB436" s="65"/>
      <c r="AC436" s="30"/>
      <c r="AD436" s="65"/>
      <c r="AE436" s="65"/>
      <c r="AF436" s="65"/>
      <c r="AG436" s="65"/>
      <c r="AH436" s="30"/>
      <c r="AI436" s="65"/>
      <c r="AJ436" s="65"/>
      <c r="AK436" s="65"/>
      <c r="AL436" s="65"/>
      <c r="AM436" s="65"/>
      <c r="AN436" s="65"/>
      <c r="AO436" s="65"/>
    </row>
    <row r="437">
      <c r="A437" s="30"/>
      <c r="B437" s="65"/>
      <c r="C437" s="65"/>
      <c r="D437" s="65"/>
      <c r="E437" s="30"/>
      <c r="F437" s="65"/>
      <c r="G437" s="65"/>
      <c r="H437" s="65"/>
      <c r="I437" s="30"/>
      <c r="J437" s="65"/>
      <c r="K437" s="65"/>
      <c r="L437" s="65"/>
      <c r="M437" s="30"/>
      <c r="N437" s="65"/>
      <c r="O437" s="65"/>
      <c r="P437" s="65"/>
      <c r="Q437" s="30"/>
      <c r="R437" s="65"/>
      <c r="S437" s="65"/>
      <c r="T437" s="65"/>
      <c r="U437" s="30"/>
      <c r="V437" s="65"/>
      <c r="W437" s="65"/>
      <c r="X437" s="65"/>
      <c r="Y437" s="30"/>
      <c r="Z437" s="65"/>
      <c r="AA437" s="65"/>
      <c r="AB437" s="65"/>
      <c r="AC437" s="30"/>
      <c r="AD437" s="65"/>
      <c r="AE437" s="65"/>
      <c r="AF437" s="65"/>
      <c r="AG437" s="65"/>
      <c r="AH437" s="30"/>
      <c r="AI437" s="65"/>
      <c r="AJ437" s="65"/>
      <c r="AK437" s="65"/>
      <c r="AL437" s="65"/>
      <c r="AM437" s="65"/>
      <c r="AN437" s="65"/>
      <c r="AO437" s="65"/>
    </row>
    <row r="438">
      <c r="A438" s="30"/>
      <c r="B438" s="65"/>
      <c r="C438" s="65"/>
      <c r="D438" s="65"/>
      <c r="E438" s="30"/>
      <c r="F438" s="65"/>
      <c r="G438" s="65"/>
      <c r="H438" s="65"/>
      <c r="I438" s="30"/>
      <c r="J438" s="65"/>
      <c r="K438" s="65"/>
      <c r="L438" s="65"/>
      <c r="M438" s="30"/>
      <c r="N438" s="65"/>
      <c r="O438" s="65"/>
      <c r="P438" s="65"/>
      <c r="Q438" s="30"/>
      <c r="R438" s="65"/>
      <c r="S438" s="65"/>
      <c r="T438" s="65"/>
      <c r="U438" s="30"/>
      <c r="V438" s="65"/>
      <c r="W438" s="65"/>
      <c r="X438" s="65"/>
      <c r="Y438" s="30"/>
      <c r="Z438" s="65"/>
      <c r="AA438" s="65"/>
      <c r="AB438" s="65"/>
      <c r="AC438" s="30"/>
      <c r="AD438" s="65"/>
      <c r="AE438" s="65"/>
      <c r="AF438" s="65"/>
      <c r="AG438" s="65"/>
      <c r="AH438" s="30"/>
      <c r="AI438" s="65"/>
      <c r="AJ438" s="65"/>
      <c r="AK438" s="65"/>
      <c r="AL438" s="65"/>
      <c r="AM438" s="65"/>
      <c r="AN438" s="65"/>
      <c r="AO438" s="65"/>
    </row>
    <row r="439">
      <c r="A439" s="30"/>
      <c r="B439" s="65"/>
      <c r="C439" s="65"/>
      <c r="D439" s="65"/>
      <c r="E439" s="30"/>
      <c r="F439" s="65"/>
      <c r="G439" s="65"/>
      <c r="H439" s="65"/>
      <c r="I439" s="30"/>
      <c r="J439" s="65"/>
      <c r="K439" s="65"/>
      <c r="L439" s="65"/>
      <c r="M439" s="30"/>
      <c r="N439" s="65"/>
      <c r="O439" s="65"/>
      <c r="P439" s="65"/>
      <c r="Q439" s="30"/>
      <c r="R439" s="65"/>
      <c r="S439" s="65"/>
      <c r="T439" s="65"/>
      <c r="U439" s="30"/>
      <c r="V439" s="65"/>
      <c r="W439" s="65"/>
      <c r="X439" s="65"/>
      <c r="Y439" s="30"/>
      <c r="Z439" s="65"/>
      <c r="AA439" s="65"/>
      <c r="AB439" s="65"/>
      <c r="AC439" s="30"/>
      <c r="AD439" s="65"/>
      <c r="AE439" s="65"/>
      <c r="AF439" s="65"/>
      <c r="AG439" s="65"/>
      <c r="AH439" s="30"/>
      <c r="AI439" s="65"/>
      <c r="AJ439" s="65"/>
      <c r="AK439" s="65"/>
      <c r="AL439" s="65"/>
      <c r="AM439" s="65"/>
      <c r="AN439" s="65"/>
      <c r="AO439" s="65"/>
    </row>
    <row r="440">
      <c r="A440" s="30"/>
      <c r="B440" s="65"/>
      <c r="C440" s="65"/>
      <c r="D440" s="65"/>
      <c r="E440" s="30"/>
      <c r="F440" s="65"/>
      <c r="G440" s="65"/>
      <c r="H440" s="65"/>
      <c r="I440" s="30"/>
      <c r="J440" s="65"/>
      <c r="K440" s="65"/>
      <c r="L440" s="65"/>
      <c r="M440" s="30"/>
      <c r="N440" s="65"/>
      <c r="O440" s="65"/>
      <c r="P440" s="65"/>
      <c r="Q440" s="30"/>
      <c r="R440" s="65"/>
      <c r="S440" s="65"/>
      <c r="T440" s="65"/>
      <c r="U440" s="30"/>
      <c r="V440" s="65"/>
      <c r="W440" s="65"/>
      <c r="X440" s="65"/>
      <c r="Y440" s="30"/>
      <c r="Z440" s="65"/>
      <c r="AA440" s="65"/>
      <c r="AB440" s="65"/>
      <c r="AC440" s="30"/>
      <c r="AD440" s="65"/>
      <c r="AE440" s="65"/>
      <c r="AF440" s="65"/>
      <c r="AG440" s="65"/>
      <c r="AH440" s="30"/>
      <c r="AI440" s="65"/>
      <c r="AJ440" s="65"/>
      <c r="AK440" s="65"/>
      <c r="AL440" s="65"/>
      <c r="AM440" s="65"/>
      <c r="AN440" s="65"/>
      <c r="AO440" s="65"/>
    </row>
    <row r="441">
      <c r="A441" s="30"/>
      <c r="B441" s="65"/>
      <c r="C441" s="65"/>
      <c r="D441" s="65"/>
      <c r="E441" s="30"/>
      <c r="F441" s="65"/>
      <c r="G441" s="65"/>
      <c r="H441" s="65"/>
      <c r="I441" s="30"/>
      <c r="J441" s="65"/>
      <c r="K441" s="65"/>
      <c r="L441" s="65"/>
      <c r="M441" s="30"/>
      <c r="N441" s="65"/>
      <c r="O441" s="65"/>
      <c r="P441" s="65"/>
      <c r="Q441" s="30"/>
      <c r="R441" s="65"/>
      <c r="S441" s="65"/>
      <c r="T441" s="65"/>
      <c r="U441" s="30"/>
      <c r="V441" s="65"/>
      <c r="W441" s="65"/>
      <c r="X441" s="65"/>
      <c r="Y441" s="30"/>
      <c r="Z441" s="65"/>
      <c r="AA441" s="65"/>
      <c r="AB441" s="65"/>
      <c r="AC441" s="30"/>
      <c r="AD441" s="65"/>
      <c r="AE441" s="65"/>
      <c r="AF441" s="65"/>
      <c r="AG441" s="65"/>
      <c r="AH441" s="30"/>
      <c r="AI441" s="65"/>
      <c r="AJ441" s="65"/>
      <c r="AK441" s="65"/>
      <c r="AL441" s="65"/>
      <c r="AM441" s="65"/>
      <c r="AN441" s="65"/>
      <c r="AO441" s="65"/>
    </row>
    <row r="442">
      <c r="A442" s="30"/>
      <c r="B442" s="65"/>
      <c r="C442" s="65"/>
      <c r="D442" s="65"/>
      <c r="E442" s="30"/>
      <c r="F442" s="65"/>
      <c r="G442" s="65"/>
      <c r="H442" s="65"/>
      <c r="I442" s="30"/>
      <c r="J442" s="65"/>
      <c r="K442" s="65"/>
      <c r="L442" s="65"/>
      <c r="M442" s="30"/>
      <c r="N442" s="65"/>
      <c r="O442" s="65"/>
      <c r="P442" s="65"/>
      <c r="Q442" s="30"/>
      <c r="R442" s="65"/>
      <c r="S442" s="65"/>
      <c r="T442" s="65"/>
      <c r="U442" s="30"/>
      <c r="V442" s="65"/>
      <c r="W442" s="65"/>
      <c r="X442" s="65"/>
      <c r="Y442" s="30"/>
      <c r="Z442" s="65"/>
      <c r="AA442" s="65"/>
      <c r="AB442" s="65"/>
      <c r="AC442" s="30"/>
      <c r="AD442" s="65"/>
      <c r="AE442" s="65"/>
      <c r="AF442" s="65"/>
      <c r="AG442" s="65"/>
      <c r="AH442" s="30"/>
      <c r="AI442" s="65"/>
      <c r="AJ442" s="65"/>
      <c r="AK442" s="65"/>
      <c r="AL442" s="65"/>
      <c r="AM442" s="65"/>
      <c r="AN442" s="65"/>
      <c r="AO442" s="65"/>
    </row>
    <row r="443">
      <c r="A443" s="30"/>
      <c r="B443" s="65"/>
      <c r="C443" s="65"/>
      <c r="D443" s="65"/>
      <c r="E443" s="30"/>
      <c r="F443" s="65"/>
      <c r="G443" s="65"/>
      <c r="H443" s="65"/>
      <c r="I443" s="30"/>
      <c r="J443" s="65"/>
      <c r="K443" s="65"/>
      <c r="L443" s="65"/>
      <c r="M443" s="30"/>
      <c r="N443" s="65"/>
      <c r="O443" s="65"/>
      <c r="P443" s="65"/>
      <c r="Q443" s="30"/>
      <c r="R443" s="65"/>
      <c r="S443" s="65"/>
      <c r="T443" s="65"/>
      <c r="U443" s="30"/>
      <c r="V443" s="65"/>
      <c r="W443" s="65"/>
      <c r="X443" s="65"/>
      <c r="Y443" s="30"/>
      <c r="Z443" s="65"/>
      <c r="AA443" s="65"/>
      <c r="AB443" s="65"/>
      <c r="AC443" s="30"/>
      <c r="AD443" s="65"/>
      <c r="AE443" s="65"/>
      <c r="AF443" s="65"/>
      <c r="AG443" s="65"/>
      <c r="AH443" s="30"/>
      <c r="AI443" s="65"/>
      <c r="AJ443" s="65"/>
      <c r="AK443" s="65"/>
      <c r="AL443" s="65"/>
      <c r="AM443" s="65"/>
      <c r="AN443" s="65"/>
      <c r="AO443" s="65"/>
    </row>
    <row r="444">
      <c r="A444" s="30"/>
      <c r="B444" s="65"/>
      <c r="C444" s="65"/>
      <c r="D444" s="65"/>
      <c r="E444" s="30"/>
      <c r="F444" s="65"/>
      <c r="G444" s="65"/>
      <c r="H444" s="65"/>
      <c r="I444" s="30"/>
      <c r="J444" s="65"/>
      <c r="K444" s="65"/>
      <c r="L444" s="65"/>
      <c r="M444" s="30"/>
      <c r="N444" s="65"/>
      <c r="O444" s="65"/>
      <c r="P444" s="65"/>
      <c r="Q444" s="30"/>
      <c r="R444" s="65"/>
      <c r="S444" s="65"/>
      <c r="T444" s="65"/>
      <c r="U444" s="30"/>
      <c r="V444" s="65"/>
      <c r="W444" s="65"/>
      <c r="X444" s="65"/>
      <c r="Y444" s="30"/>
      <c r="Z444" s="65"/>
      <c r="AA444" s="65"/>
      <c r="AB444" s="65"/>
      <c r="AC444" s="30"/>
      <c r="AD444" s="65"/>
      <c r="AE444" s="65"/>
      <c r="AF444" s="65"/>
      <c r="AG444" s="65"/>
      <c r="AH444" s="30"/>
      <c r="AI444" s="65"/>
      <c r="AJ444" s="65"/>
      <c r="AK444" s="65"/>
      <c r="AL444" s="65"/>
      <c r="AM444" s="65"/>
      <c r="AN444" s="65"/>
      <c r="AO444" s="65"/>
    </row>
    <row r="445">
      <c r="A445" s="30"/>
      <c r="B445" s="65"/>
      <c r="C445" s="65"/>
      <c r="D445" s="65"/>
      <c r="E445" s="30"/>
      <c r="F445" s="65"/>
      <c r="G445" s="65"/>
      <c r="H445" s="65"/>
      <c r="I445" s="30"/>
      <c r="J445" s="65"/>
      <c r="K445" s="65"/>
      <c r="L445" s="65"/>
      <c r="M445" s="30"/>
      <c r="N445" s="65"/>
      <c r="O445" s="65"/>
      <c r="P445" s="65"/>
      <c r="Q445" s="30"/>
      <c r="R445" s="65"/>
      <c r="S445" s="65"/>
      <c r="T445" s="65"/>
      <c r="U445" s="30"/>
      <c r="V445" s="65"/>
      <c r="W445" s="65"/>
      <c r="X445" s="65"/>
      <c r="Y445" s="30"/>
      <c r="Z445" s="65"/>
      <c r="AA445" s="65"/>
      <c r="AB445" s="65"/>
      <c r="AC445" s="30"/>
      <c r="AD445" s="65"/>
      <c r="AE445" s="65"/>
      <c r="AF445" s="65"/>
      <c r="AG445" s="65"/>
      <c r="AH445" s="30"/>
      <c r="AI445" s="65"/>
      <c r="AJ445" s="65"/>
      <c r="AK445" s="65"/>
      <c r="AL445" s="65"/>
      <c r="AM445" s="65"/>
      <c r="AN445" s="65"/>
      <c r="AO445" s="65"/>
    </row>
    <row r="446">
      <c r="A446" s="30"/>
      <c r="B446" s="65"/>
      <c r="C446" s="65"/>
      <c r="D446" s="65"/>
      <c r="E446" s="30"/>
      <c r="F446" s="65"/>
      <c r="G446" s="65"/>
      <c r="H446" s="65"/>
      <c r="I446" s="30"/>
      <c r="J446" s="65"/>
      <c r="K446" s="65"/>
      <c r="L446" s="65"/>
      <c r="M446" s="30"/>
      <c r="N446" s="65"/>
      <c r="O446" s="65"/>
      <c r="P446" s="65"/>
      <c r="Q446" s="30"/>
      <c r="R446" s="65"/>
      <c r="S446" s="65"/>
      <c r="T446" s="65"/>
      <c r="U446" s="30"/>
      <c r="V446" s="65"/>
      <c r="W446" s="65"/>
      <c r="X446" s="65"/>
      <c r="Y446" s="30"/>
      <c r="Z446" s="65"/>
      <c r="AA446" s="65"/>
      <c r="AB446" s="65"/>
      <c r="AC446" s="30"/>
      <c r="AD446" s="65"/>
      <c r="AE446" s="65"/>
      <c r="AF446" s="65"/>
      <c r="AG446" s="65"/>
      <c r="AH446" s="30"/>
      <c r="AI446" s="65"/>
      <c r="AJ446" s="65"/>
      <c r="AK446" s="65"/>
      <c r="AL446" s="65"/>
      <c r="AM446" s="65"/>
      <c r="AN446" s="65"/>
      <c r="AO446" s="65"/>
    </row>
    <row r="447">
      <c r="A447" s="30"/>
      <c r="B447" s="65"/>
      <c r="C447" s="65"/>
      <c r="D447" s="65"/>
      <c r="E447" s="30"/>
      <c r="F447" s="65"/>
      <c r="G447" s="65"/>
      <c r="H447" s="65"/>
      <c r="I447" s="30"/>
      <c r="J447" s="65"/>
      <c r="K447" s="65"/>
      <c r="L447" s="65"/>
      <c r="M447" s="30"/>
      <c r="N447" s="65"/>
      <c r="O447" s="65"/>
      <c r="P447" s="65"/>
      <c r="Q447" s="30"/>
      <c r="R447" s="65"/>
      <c r="S447" s="65"/>
      <c r="T447" s="65"/>
      <c r="U447" s="30"/>
      <c r="V447" s="65"/>
      <c r="W447" s="65"/>
      <c r="X447" s="65"/>
      <c r="Y447" s="30"/>
      <c r="Z447" s="65"/>
      <c r="AA447" s="65"/>
      <c r="AB447" s="65"/>
      <c r="AC447" s="30"/>
      <c r="AD447" s="65"/>
      <c r="AE447" s="65"/>
      <c r="AF447" s="65"/>
      <c r="AG447" s="65"/>
      <c r="AH447" s="30"/>
      <c r="AI447" s="65"/>
      <c r="AJ447" s="65"/>
      <c r="AK447" s="65"/>
      <c r="AL447" s="65"/>
      <c r="AM447" s="65"/>
      <c r="AN447" s="65"/>
      <c r="AO447" s="65"/>
    </row>
    <row r="448">
      <c r="A448" s="30"/>
      <c r="B448" s="65"/>
      <c r="C448" s="65"/>
      <c r="D448" s="65"/>
      <c r="E448" s="30"/>
      <c r="F448" s="65"/>
      <c r="G448" s="65"/>
      <c r="H448" s="65"/>
      <c r="I448" s="30"/>
      <c r="J448" s="65"/>
      <c r="K448" s="65"/>
      <c r="L448" s="65"/>
      <c r="M448" s="30"/>
      <c r="N448" s="65"/>
      <c r="O448" s="65"/>
      <c r="P448" s="65"/>
      <c r="Q448" s="30"/>
      <c r="R448" s="65"/>
      <c r="S448" s="65"/>
      <c r="T448" s="65"/>
      <c r="U448" s="30"/>
      <c r="V448" s="65"/>
      <c r="W448" s="65"/>
      <c r="X448" s="65"/>
      <c r="Y448" s="30"/>
      <c r="Z448" s="65"/>
      <c r="AA448" s="65"/>
      <c r="AB448" s="65"/>
      <c r="AC448" s="30"/>
      <c r="AD448" s="65"/>
      <c r="AE448" s="65"/>
      <c r="AF448" s="65"/>
      <c r="AG448" s="65"/>
      <c r="AH448" s="30"/>
      <c r="AI448" s="65"/>
      <c r="AJ448" s="65"/>
      <c r="AK448" s="65"/>
      <c r="AL448" s="65"/>
      <c r="AM448" s="65"/>
      <c r="AN448" s="65"/>
      <c r="AO448" s="65"/>
    </row>
    <row r="449">
      <c r="A449" s="30"/>
      <c r="B449" s="65"/>
      <c r="C449" s="65"/>
      <c r="D449" s="65"/>
      <c r="E449" s="30"/>
      <c r="F449" s="65"/>
      <c r="G449" s="65"/>
      <c r="H449" s="65"/>
      <c r="I449" s="30"/>
      <c r="J449" s="65"/>
      <c r="K449" s="65"/>
      <c r="L449" s="65"/>
      <c r="M449" s="30"/>
      <c r="N449" s="65"/>
      <c r="O449" s="65"/>
      <c r="P449" s="65"/>
      <c r="Q449" s="30"/>
      <c r="R449" s="65"/>
      <c r="S449" s="65"/>
      <c r="T449" s="65"/>
      <c r="U449" s="30"/>
      <c r="V449" s="65"/>
      <c r="W449" s="65"/>
      <c r="X449" s="65"/>
      <c r="Y449" s="30"/>
      <c r="Z449" s="65"/>
      <c r="AA449" s="65"/>
      <c r="AB449" s="65"/>
      <c r="AC449" s="30"/>
      <c r="AD449" s="65"/>
      <c r="AE449" s="65"/>
      <c r="AF449" s="65"/>
      <c r="AG449" s="65"/>
      <c r="AH449" s="30"/>
      <c r="AI449" s="65"/>
      <c r="AJ449" s="65"/>
      <c r="AK449" s="65"/>
      <c r="AL449" s="65"/>
      <c r="AM449" s="65"/>
      <c r="AN449" s="65"/>
      <c r="AO449" s="65"/>
    </row>
    <row r="450">
      <c r="A450" s="30"/>
      <c r="B450" s="65"/>
      <c r="C450" s="65"/>
      <c r="D450" s="65"/>
      <c r="E450" s="30"/>
      <c r="F450" s="65"/>
      <c r="G450" s="65"/>
      <c r="H450" s="65"/>
      <c r="I450" s="30"/>
      <c r="J450" s="65"/>
      <c r="K450" s="65"/>
      <c r="L450" s="65"/>
      <c r="M450" s="30"/>
      <c r="N450" s="65"/>
      <c r="O450" s="65"/>
      <c r="P450" s="65"/>
      <c r="Q450" s="30"/>
      <c r="R450" s="65"/>
      <c r="S450" s="65"/>
      <c r="T450" s="65"/>
      <c r="U450" s="30"/>
      <c r="V450" s="65"/>
      <c r="W450" s="65"/>
      <c r="X450" s="65"/>
      <c r="Y450" s="30"/>
      <c r="Z450" s="65"/>
      <c r="AA450" s="65"/>
      <c r="AB450" s="65"/>
      <c r="AC450" s="30"/>
      <c r="AD450" s="65"/>
      <c r="AE450" s="65"/>
      <c r="AF450" s="65"/>
      <c r="AG450" s="65"/>
      <c r="AH450" s="30"/>
      <c r="AI450" s="65"/>
      <c r="AJ450" s="65"/>
      <c r="AK450" s="65"/>
      <c r="AL450" s="65"/>
      <c r="AM450" s="65"/>
      <c r="AN450" s="65"/>
      <c r="AO450" s="65"/>
    </row>
    <row r="451">
      <c r="A451" s="30"/>
      <c r="B451" s="65"/>
      <c r="C451" s="65"/>
      <c r="D451" s="65"/>
      <c r="E451" s="30"/>
      <c r="F451" s="65"/>
      <c r="G451" s="65"/>
      <c r="H451" s="65"/>
      <c r="I451" s="30"/>
      <c r="J451" s="65"/>
      <c r="K451" s="65"/>
      <c r="L451" s="65"/>
      <c r="M451" s="30"/>
      <c r="N451" s="65"/>
      <c r="O451" s="65"/>
      <c r="P451" s="65"/>
      <c r="Q451" s="30"/>
      <c r="R451" s="65"/>
      <c r="S451" s="65"/>
      <c r="T451" s="65"/>
      <c r="U451" s="30"/>
      <c r="V451" s="65"/>
      <c r="W451" s="65"/>
      <c r="X451" s="65"/>
      <c r="Y451" s="30"/>
      <c r="Z451" s="65"/>
      <c r="AA451" s="65"/>
      <c r="AB451" s="65"/>
      <c r="AC451" s="30"/>
      <c r="AD451" s="65"/>
      <c r="AE451" s="65"/>
      <c r="AF451" s="65"/>
      <c r="AG451" s="65"/>
      <c r="AH451" s="30"/>
      <c r="AI451" s="65"/>
      <c r="AJ451" s="65"/>
      <c r="AK451" s="65"/>
      <c r="AL451" s="65"/>
      <c r="AM451" s="65"/>
      <c r="AN451" s="65"/>
      <c r="AO451" s="65"/>
    </row>
    <row r="452">
      <c r="A452" s="30"/>
      <c r="B452" s="65"/>
      <c r="C452" s="65"/>
      <c r="D452" s="65"/>
      <c r="E452" s="30"/>
      <c r="F452" s="65"/>
      <c r="G452" s="65"/>
      <c r="H452" s="65"/>
      <c r="I452" s="30"/>
      <c r="J452" s="65"/>
      <c r="K452" s="65"/>
      <c r="L452" s="65"/>
      <c r="M452" s="30"/>
      <c r="N452" s="65"/>
      <c r="O452" s="65"/>
      <c r="P452" s="65"/>
      <c r="Q452" s="30"/>
      <c r="R452" s="65"/>
      <c r="S452" s="65"/>
      <c r="T452" s="65"/>
      <c r="U452" s="30"/>
      <c r="V452" s="65"/>
      <c r="W452" s="65"/>
      <c r="X452" s="65"/>
      <c r="Y452" s="30"/>
      <c r="Z452" s="65"/>
      <c r="AA452" s="65"/>
      <c r="AB452" s="65"/>
      <c r="AC452" s="30"/>
      <c r="AD452" s="65"/>
      <c r="AE452" s="65"/>
      <c r="AF452" s="65"/>
      <c r="AG452" s="65"/>
      <c r="AH452" s="30"/>
      <c r="AI452" s="65"/>
      <c r="AJ452" s="65"/>
      <c r="AK452" s="65"/>
      <c r="AL452" s="65"/>
      <c r="AM452" s="65"/>
      <c r="AN452" s="65"/>
      <c r="AO452" s="65"/>
    </row>
    <row r="453">
      <c r="A453" s="30"/>
      <c r="B453" s="65"/>
      <c r="C453" s="65"/>
      <c r="D453" s="65"/>
      <c r="E453" s="30"/>
      <c r="F453" s="65"/>
      <c r="G453" s="65"/>
      <c r="H453" s="65"/>
      <c r="I453" s="30"/>
      <c r="J453" s="65"/>
      <c r="K453" s="65"/>
      <c r="L453" s="65"/>
      <c r="M453" s="30"/>
      <c r="N453" s="65"/>
      <c r="O453" s="65"/>
      <c r="P453" s="65"/>
      <c r="Q453" s="30"/>
      <c r="R453" s="65"/>
      <c r="S453" s="65"/>
      <c r="T453" s="65"/>
      <c r="U453" s="30"/>
      <c r="V453" s="65"/>
      <c r="W453" s="65"/>
      <c r="X453" s="65"/>
      <c r="Y453" s="30"/>
      <c r="Z453" s="65"/>
      <c r="AA453" s="65"/>
      <c r="AB453" s="65"/>
      <c r="AC453" s="30"/>
      <c r="AD453" s="65"/>
      <c r="AE453" s="65"/>
      <c r="AF453" s="65"/>
      <c r="AG453" s="65"/>
      <c r="AH453" s="30"/>
      <c r="AI453" s="65"/>
      <c r="AJ453" s="65"/>
      <c r="AK453" s="65"/>
      <c r="AL453" s="65"/>
      <c r="AM453" s="65"/>
      <c r="AN453" s="65"/>
      <c r="AO453" s="65"/>
    </row>
    <row r="454">
      <c r="A454" s="30"/>
      <c r="B454" s="65"/>
      <c r="C454" s="65"/>
      <c r="D454" s="65"/>
      <c r="E454" s="30"/>
      <c r="F454" s="65"/>
      <c r="G454" s="65"/>
      <c r="H454" s="65"/>
      <c r="I454" s="30"/>
      <c r="J454" s="65"/>
      <c r="K454" s="65"/>
      <c r="L454" s="65"/>
      <c r="M454" s="30"/>
      <c r="N454" s="65"/>
      <c r="O454" s="65"/>
      <c r="P454" s="65"/>
      <c r="Q454" s="30"/>
      <c r="R454" s="65"/>
      <c r="S454" s="65"/>
      <c r="T454" s="65"/>
      <c r="U454" s="30"/>
      <c r="V454" s="65"/>
      <c r="W454" s="65"/>
      <c r="X454" s="65"/>
      <c r="Y454" s="30"/>
      <c r="Z454" s="65"/>
      <c r="AA454" s="65"/>
      <c r="AB454" s="65"/>
      <c r="AC454" s="30"/>
      <c r="AD454" s="65"/>
      <c r="AE454" s="65"/>
      <c r="AF454" s="65"/>
      <c r="AG454" s="65"/>
      <c r="AH454" s="30"/>
      <c r="AI454" s="65"/>
      <c r="AJ454" s="65"/>
      <c r="AK454" s="65"/>
      <c r="AL454" s="65"/>
      <c r="AM454" s="65"/>
      <c r="AN454" s="65"/>
      <c r="AO454" s="65"/>
    </row>
    <row r="455">
      <c r="A455" s="30"/>
      <c r="B455" s="65"/>
      <c r="C455" s="65"/>
      <c r="D455" s="65"/>
      <c r="E455" s="30"/>
      <c r="F455" s="65"/>
      <c r="G455" s="65"/>
      <c r="H455" s="65"/>
      <c r="I455" s="30"/>
      <c r="J455" s="65"/>
      <c r="K455" s="65"/>
      <c r="L455" s="65"/>
      <c r="M455" s="30"/>
      <c r="N455" s="65"/>
      <c r="O455" s="65"/>
      <c r="P455" s="65"/>
      <c r="Q455" s="30"/>
      <c r="R455" s="65"/>
      <c r="S455" s="65"/>
      <c r="T455" s="65"/>
      <c r="U455" s="30"/>
      <c r="V455" s="65"/>
      <c r="W455" s="65"/>
      <c r="X455" s="65"/>
      <c r="Y455" s="30"/>
      <c r="Z455" s="65"/>
      <c r="AA455" s="65"/>
      <c r="AB455" s="65"/>
      <c r="AC455" s="30"/>
      <c r="AD455" s="65"/>
      <c r="AE455" s="65"/>
      <c r="AF455" s="65"/>
      <c r="AG455" s="65"/>
      <c r="AH455" s="30"/>
      <c r="AI455" s="65"/>
      <c r="AJ455" s="65"/>
      <c r="AK455" s="65"/>
      <c r="AL455" s="65"/>
      <c r="AM455" s="65"/>
      <c r="AN455" s="65"/>
      <c r="AO455" s="65"/>
    </row>
    <row r="456">
      <c r="A456" s="30"/>
      <c r="B456" s="65"/>
      <c r="C456" s="65"/>
      <c r="D456" s="65"/>
      <c r="E456" s="30"/>
      <c r="F456" s="65"/>
      <c r="G456" s="65"/>
      <c r="H456" s="65"/>
      <c r="I456" s="30"/>
      <c r="J456" s="65"/>
      <c r="K456" s="65"/>
      <c r="L456" s="65"/>
      <c r="M456" s="30"/>
      <c r="N456" s="65"/>
      <c r="O456" s="65"/>
      <c r="P456" s="65"/>
      <c r="Q456" s="30"/>
      <c r="R456" s="65"/>
      <c r="S456" s="65"/>
      <c r="T456" s="65"/>
      <c r="U456" s="30"/>
      <c r="V456" s="65"/>
      <c r="W456" s="65"/>
      <c r="X456" s="65"/>
      <c r="Y456" s="30"/>
      <c r="Z456" s="65"/>
      <c r="AA456" s="65"/>
      <c r="AB456" s="65"/>
      <c r="AC456" s="30"/>
      <c r="AD456" s="65"/>
      <c r="AE456" s="65"/>
      <c r="AF456" s="65"/>
      <c r="AG456" s="65"/>
      <c r="AH456" s="30"/>
      <c r="AI456" s="65"/>
      <c r="AJ456" s="65"/>
      <c r="AK456" s="65"/>
      <c r="AL456" s="65"/>
      <c r="AM456" s="65"/>
      <c r="AN456" s="65"/>
      <c r="AO456" s="65"/>
    </row>
    <row r="457">
      <c r="A457" s="30"/>
      <c r="B457" s="65"/>
      <c r="C457" s="65"/>
      <c r="D457" s="65"/>
      <c r="E457" s="30"/>
      <c r="F457" s="65"/>
      <c r="G457" s="65"/>
      <c r="H457" s="65"/>
      <c r="I457" s="30"/>
      <c r="J457" s="65"/>
      <c r="K457" s="65"/>
      <c r="L457" s="65"/>
      <c r="M457" s="30"/>
      <c r="N457" s="65"/>
      <c r="O457" s="65"/>
      <c r="P457" s="65"/>
      <c r="Q457" s="30"/>
      <c r="R457" s="65"/>
      <c r="S457" s="65"/>
      <c r="T457" s="65"/>
      <c r="U457" s="30"/>
      <c r="V457" s="65"/>
      <c r="W457" s="65"/>
      <c r="X457" s="65"/>
      <c r="Y457" s="30"/>
      <c r="Z457" s="65"/>
      <c r="AA457" s="65"/>
      <c r="AB457" s="65"/>
      <c r="AC457" s="30"/>
      <c r="AD457" s="65"/>
      <c r="AE457" s="65"/>
      <c r="AF457" s="65"/>
      <c r="AG457" s="65"/>
      <c r="AH457" s="30"/>
      <c r="AI457" s="65"/>
      <c r="AJ457" s="65"/>
      <c r="AK457" s="65"/>
      <c r="AL457" s="65"/>
      <c r="AM457" s="65"/>
      <c r="AN457" s="65"/>
      <c r="AO457" s="65"/>
    </row>
    <row r="458">
      <c r="A458" s="30"/>
      <c r="B458" s="65"/>
      <c r="C458" s="65"/>
      <c r="D458" s="65"/>
      <c r="E458" s="30"/>
      <c r="F458" s="65"/>
      <c r="G458" s="65"/>
      <c r="H458" s="65"/>
      <c r="I458" s="30"/>
      <c r="J458" s="65"/>
      <c r="K458" s="65"/>
      <c r="L458" s="65"/>
      <c r="M458" s="30"/>
      <c r="N458" s="65"/>
      <c r="O458" s="65"/>
      <c r="P458" s="65"/>
      <c r="Q458" s="30"/>
      <c r="R458" s="65"/>
      <c r="S458" s="65"/>
      <c r="T458" s="65"/>
      <c r="U458" s="30"/>
      <c r="V458" s="65"/>
      <c r="W458" s="65"/>
      <c r="X458" s="65"/>
      <c r="Y458" s="30"/>
      <c r="Z458" s="65"/>
      <c r="AA458" s="65"/>
      <c r="AB458" s="65"/>
      <c r="AC458" s="30"/>
      <c r="AD458" s="65"/>
      <c r="AE458" s="65"/>
      <c r="AF458" s="65"/>
      <c r="AG458" s="65"/>
      <c r="AH458" s="30"/>
      <c r="AI458" s="65"/>
      <c r="AJ458" s="65"/>
      <c r="AK458" s="65"/>
      <c r="AL458" s="65"/>
      <c r="AM458" s="65"/>
      <c r="AN458" s="65"/>
      <c r="AO458" s="65"/>
    </row>
    <row r="459">
      <c r="A459" s="30"/>
      <c r="B459" s="65"/>
      <c r="C459" s="65"/>
      <c r="D459" s="65"/>
      <c r="E459" s="30"/>
      <c r="F459" s="65"/>
      <c r="G459" s="65"/>
      <c r="H459" s="65"/>
      <c r="I459" s="30"/>
      <c r="J459" s="65"/>
      <c r="K459" s="65"/>
      <c r="L459" s="65"/>
      <c r="M459" s="30"/>
      <c r="N459" s="65"/>
      <c r="O459" s="65"/>
      <c r="P459" s="65"/>
      <c r="Q459" s="30"/>
      <c r="R459" s="65"/>
      <c r="S459" s="65"/>
      <c r="T459" s="65"/>
      <c r="U459" s="30"/>
      <c r="V459" s="65"/>
      <c r="W459" s="65"/>
      <c r="X459" s="65"/>
      <c r="Y459" s="30"/>
      <c r="Z459" s="65"/>
      <c r="AA459" s="65"/>
      <c r="AB459" s="65"/>
      <c r="AC459" s="30"/>
      <c r="AD459" s="65"/>
      <c r="AE459" s="65"/>
      <c r="AF459" s="65"/>
      <c r="AG459" s="65"/>
      <c r="AH459" s="30"/>
      <c r="AI459" s="65"/>
      <c r="AJ459" s="65"/>
      <c r="AK459" s="65"/>
      <c r="AL459" s="65"/>
      <c r="AM459" s="65"/>
      <c r="AN459" s="65"/>
      <c r="AO459" s="65"/>
    </row>
    <row r="460">
      <c r="A460" s="30"/>
      <c r="B460" s="65"/>
      <c r="C460" s="65"/>
      <c r="D460" s="65"/>
      <c r="E460" s="30"/>
      <c r="F460" s="65"/>
      <c r="G460" s="65"/>
      <c r="H460" s="65"/>
      <c r="I460" s="30"/>
      <c r="J460" s="65"/>
      <c r="K460" s="65"/>
      <c r="L460" s="65"/>
      <c r="M460" s="30"/>
      <c r="N460" s="65"/>
      <c r="O460" s="65"/>
      <c r="P460" s="65"/>
      <c r="Q460" s="30"/>
      <c r="R460" s="65"/>
      <c r="S460" s="65"/>
      <c r="T460" s="65"/>
      <c r="U460" s="30"/>
      <c r="V460" s="65"/>
      <c r="W460" s="65"/>
      <c r="X460" s="65"/>
      <c r="Y460" s="30"/>
      <c r="Z460" s="65"/>
      <c r="AA460" s="65"/>
      <c r="AB460" s="65"/>
      <c r="AC460" s="30"/>
      <c r="AD460" s="65"/>
      <c r="AE460" s="65"/>
      <c r="AF460" s="65"/>
      <c r="AG460" s="65"/>
      <c r="AH460" s="30"/>
      <c r="AI460" s="65"/>
      <c r="AJ460" s="65"/>
      <c r="AK460" s="65"/>
      <c r="AL460" s="65"/>
      <c r="AM460" s="65"/>
      <c r="AN460" s="65"/>
      <c r="AO460" s="65"/>
    </row>
    <row r="461">
      <c r="A461" s="30"/>
      <c r="B461" s="65"/>
      <c r="C461" s="65"/>
      <c r="D461" s="65"/>
      <c r="E461" s="30"/>
      <c r="F461" s="65"/>
      <c r="G461" s="65"/>
      <c r="H461" s="65"/>
      <c r="I461" s="30"/>
      <c r="J461" s="65"/>
      <c r="K461" s="65"/>
      <c r="L461" s="65"/>
      <c r="M461" s="30"/>
      <c r="N461" s="65"/>
      <c r="O461" s="65"/>
      <c r="P461" s="65"/>
      <c r="Q461" s="30"/>
      <c r="R461" s="65"/>
      <c r="S461" s="65"/>
      <c r="T461" s="65"/>
      <c r="U461" s="30"/>
      <c r="V461" s="65"/>
      <c r="W461" s="65"/>
      <c r="X461" s="65"/>
      <c r="Y461" s="30"/>
      <c r="Z461" s="65"/>
      <c r="AA461" s="65"/>
      <c r="AB461" s="65"/>
      <c r="AC461" s="30"/>
      <c r="AD461" s="65"/>
      <c r="AE461" s="65"/>
      <c r="AF461" s="65"/>
      <c r="AG461" s="65"/>
      <c r="AH461" s="30"/>
      <c r="AI461" s="65"/>
      <c r="AJ461" s="65"/>
      <c r="AK461" s="65"/>
      <c r="AL461" s="65"/>
      <c r="AM461" s="65"/>
      <c r="AN461" s="65"/>
      <c r="AO461" s="65"/>
    </row>
    <row r="462">
      <c r="A462" s="30"/>
      <c r="B462" s="65"/>
      <c r="C462" s="65"/>
      <c r="D462" s="65"/>
      <c r="E462" s="30"/>
      <c r="F462" s="65"/>
      <c r="G462" s="65"/>
      <c r="H462" s="65"/>
      <c r="I462" s="30"/>
      <c r="J462" s="65"/>
      <c r="K462" s="65"/>
      <c r="L462" s="65"/>
      <c r="M462" s="30"/>
      <c r="N462" s="65"/>
      <c r="O462" s="65"/>
      <c r="P462" s="65"/>
      <c r="Q462" s="30"/>
      <c r="R462" s="65"/>
      <c r="S462" s="65"/>
      <c r="T462" s="65"/>
      <c r="U462" s="30"/>
      <c r="V462" s="65"/>
      <c r="W462" s="65"/>
      <c r="X462" s="65"/>
      <c r="Y462" s="30"/>
      <c r="Z462" s="65"/>
      <c r="AA462" s="65"/>
      <c r="AB462" s="65"/>
      <c r="AC462" s="30"/>
      <c r="AD462" s="65"/>
      <c r="AE462" s="65"/>
      <c r="AF462" s="65"/>
      <c r="AG462" s="65"/>
      <c r="AH462" s="30"/>
      <c r="AI462" s="65"/>
      <c r="AJ462" s="65"/>
      <c r="AK462" s="65"/>
      <c r="AL462" s="65"/>
      <c r="AM462" s="65"/>
      <c r="AN462" s="65"/>
      <c r="AO462" s="65"/>
    </row>
    <row r="463">
      <c r="A463" s="30"/>
      <c r="B463" s="65"/>
      <c r="C463" s="65"/>
      <c r="D463" s="65"/>
      <c r="E463" s="30"/>
      <c r="F463" s="65"/>
      <c r="G463" s="65"/>
      <c r="H463" s="65"/>
      <c r="I463" s="30"/>
      <c r="J463" s="65"/>
      <c r="K463" s="65"/>
      <c r="L463" s="65"/>
      <c r="M463" s="30"/>
      <c r="N463" s="65"/>
      <c r="O463" s="65"/>
      <c r="P463" s="65"/>
      <c r="Q463" s="30"/>
      <c r="R463" s="65"/>
      <c r="S463" s="65"/>
      <c r="T463" s="65"/>
      <c r="U463" s="30"/>
      <c r="V463" s="65"/>
      <c r="W463" s="65"/>
      <c r="X463" s="65"/>
      <c r="Y463" s="30"/>
      <c r="Z463" s="65"/>
      <c r="AA463" s="65"/>
      <c r="AB463" s="65"/>
      <c r="AC463" s="30"/>
      <c r="AD463" s="65"/>
      <c r="AE463" s="65"/>
      <c r="AF463" s="65"/>
      <c r="AG463" s="65"/>
      <c r="AH463" s="30"/>
      <c r="AI463" s="65"/>
      <c r="AJ463" s="65"/>
      <c r="AK463" s="65"/>
      <c r="AL463" s="65"/>
      <c r="AM463" s="65"/>
      <c r="AN463" s="65"/>
      <c r="AO463" s="65"/>
    </row>
    <row r="464">
      <c r="A464" s="30"/>
      <c r="B464" s="65"/>
      <c r="C464" s="65"/>
      <c r="D464" s="65"/>
      <c r="E464" s="30"/>
      <c r="F464" s="65"/>
      <c r="G464" s="65"/>
      <c r="H464" s="65"/>
      <c r="I464" s="30"/>
      <c r="J464" s="65"/>
      <c r="K464" s="65"/>
      <c r="L464" s="65"/>
      <c r="M464" s="30"/>
      <c r="N464" s="65"/>
      <c r="O464" s="65"/>
      <c r="P464" s="65"/>
      <c r="Q464" s="30"/>
      <c r="R464" s="65"/>
      <c r="S464" s="65"/>
      <c r="T464" s="65"/>
      <c r="U464" s="30"/>
      <c r="V464" s="65"/>
      <c r="W464" s="65"/>
      <c r="X464" s="65"/>
      <c r="Y464" s="30"/>
      <c r="Z464" s="65"/>
      <c r="AA464" s="65"/>
      <c r="AB464" s="65"/>
      <c r="AC464" s="30"/>
      <c r="AD464" s="65"/>
      <c r="AE464" s="65"/>
      <c r="AF464" s="65"/>
      <c r="AG464" s="65"/>
      <c r="AH464" s="30"/>
      <c r="AI464" s="65"/>
      <c r="AJ464" s="65"/>
      <c r="AK464" s="65"/>
      <c r="AL464" s="65"/>
      <c r="AM464" s="65"/>
      <c r="AN464" s="65"/>
      <c r="AO464" s="65"/>
    </row>
    <row r="465">
      <c r="A465" s="30"/>
      <c r="B465" s="65"/>
      <c r="C465" s="65"/>
      <c r="D465" s="65"/>
      <c r="E465" s="30"/>
      <c r="F465" s="65"/>
      <c r="G465" s="65"/>
      <c r="H465" s="65"/>
      <c r="I465" s="30"/>
      <c r="J465" s="65"/>
      <c r="K465" s="65"/>
      <c r="L465" s="65"/>
      <c r="M465" s="30"/>
      <c r="N465" s="65"/>
      <c r="O465" s="65"/>
      <c r="P465" s="65"/>
      <c r="Q465" s="30"/>
      <c r="R465" s="65"/>
      <c r="S465" s="65"/>
      <c r="T465" s="65"/>
      <c r="U465" s="30"/>
      <c r="V465" s="65"/>
      <c r="W465" s="65"/>
      <c r="X465" s="65"/>
      <c r="Y465" s="30"/>
      <c r="Z465" s="65"/>
      <c r="AA465" s="65"/>
      <c r="AB465" s="65"/>
      <c r="AC465" s="30"/>
      <c r="AD465" s="65"/>
      <c r="AE465" s="65"/>
      <c r="AF465" s="65"/>
      <c r="AG465" s="65"/>
      <c r="AH465" s="30"/>
      <c r="AI465" s="65"/>
      <c r="AJ465" s="65"/>
      <c r="AK465" s="65"/>
      <c r="AL465" s="65"/>
      <c r="AM465" s="65"/>
      <c r="AN465" s="65"/>
      <c r="AO465" s="65"/>
    </row>
    <row r="466">
      <c r="A466" s="30"/>
      <c r="B466" s="65"/>
      <c r="C466" s="65"/>
      <c r="D466" s="65"/>
      <c r="E466" s="30"/>
      <c r="F466" s="65"/>
      <c r="G466" s="65"/>
      <c r="H466" s="65"/>
      <c r="I466" s="30"/>
      <c r="J466" s="65"/>
      <c r="K466" s="65"/>
      <c r="L466" s="65"/>
      <c r="M466" s="30"/>
      <c r="N466" s="65"/>
      <c r="O466" s="65"/>
      <c r="P466" s="65"/>
      <c r="Q466" s="30"/>
      <c r="R466" s="65"/>
      <c r="S466" s="65"/>
      <c r="T466" s="65"/>
      <c r="U466" s="30"/>
      <c r="V466" s="65"/>
      <c r="W466" s="65"/>
      <c r="X466" s="65"/>
      <c r="Y466" s="30"/>
      <c r="Z466" s="65"/>
      <c r="AA466" s="65"/>
      <c r="AB466" s="65"/>
      <c r="AC466" s="30"/>
      <c r="AD466" s="65"/>
      <c r="AE466" s="65"/>
      <c r="AF466" s="65"/>
      <c r="AG466" s="65"/>
      <c r="AH466" s="30"/>
      <c r="AI466" s="65"/>
      <c r="AJ466" s="65"/>
      <c r="AK466" s="65"/>
      <c r="AL466" s="65"/>
      <c r="AM466" s="65"/>
      <c r="AN466" s="65"/>
      <c r="AO466" s="65"/>
    </row>
    <row r="467">
      <c r="A467" s="30"/>
      <c r="B467" s="65"/>
      <c r="C467" s="65"/>
      <c r="D467" s="65"/>
      <c r="E467" s="30"/>
      <c r="F467" s="65"/>
      <c r="G467" s="65"/>
      <c r="H467" s="65"/>
      <c r="I467" s="30"/>
      <c r="J467" s="65"/>
      <c r="K467" s="65"/>
      <c r="L467" s="65"/>
      <c r="M467" s="30"/>
      <c r="N467" s="65"/>
      <c r="O467" s="65"/>
      <c r="P467" s="65"/>
      <c r="Q467" s="30"/>
      <c r="R467" s="65"/>
      <c r="S467" s="65"/>
      <c r="T467" s="65"/>
      <c r="U467" s="30"/>
      <c r="V467" s="65"/>
      <c r="W467" s="65"/>
      <c r="X467" s="65"/>
      <c r="Y467" s="30"/>
      <c r="Z467" s="65"/>
      <c r="AA467" s="65"/>
      <c r="AB467" s="65"/>
      <c r="AC467" s="30"/>
      <c r="AD467" s="65"/>
      <c r="AE467" s="65"/>
      <c r="AF467" s="65"/>
      <c r="AG467" s="65"/>
      <c r="AH467" s="30"/>
      <c r="AI467" s="65"/>
      <c r="AJ467" s="65"/>
      <c r="AK467" s="65"/>
      <c r="AL467" s="65"/>
      <c r="AM467" s="65"/>
      <c r="AN467" s="65"/>
      <c r="AO467" s="65"/>
    </row>
    <row r="468">
      <c r="A468" s="30"/>
      <c r="B468" s="65"/>
      <c r="C468" s="65"/>
      <c r="D468" s="65"/>
      <c r="E468" s="30"/>
      <c r="F468" s="65"/>
      <c r="G468" s="65"/>
      <c r="H468" s="65"/>
      <c r="I468" s="30"/>
      <c r="J468" s="65"/>
      <c r="K468" s="65"/>
      <c r="L468" s="65"/>
      <c r="M468" s="30"/>
      <c r="N468" s="65"/>
      <c r="O468" s="65"/>
      <c r="P468" s="65"/>
      <c r="Q468" s="30"/>
      <c r="R468" s="65"/>
      <c r="S468" s="65"/>
      <c r="T468" s="65"/>
      <c r="U468" s="30"/>
      <c r="V468" s="65"/>
      <c r="W468" s="65"/>
      <c r="X468" s="65"/>
      <c r="Y468" s="30"/>
      <c r="Z468" s="65"/>
      <c r="AA468" s="65"/>
      <c r="AB468" s="65"/>
      <c r="AC468" s="30"/>
      <c r="AD468" s="65"/>
      <c r="AE468" s="65"/>
      <c r="AF468" s="65"/>
      <c r="AG468" s="65"/>
      <c r="AH468" s="30"/>
      <c r="AI468" s="65"/>
      <c r="AJ468" s="65"/>
      <c r="AK468" s="65"/>
      <c r="AL468" s="65"/>
      <c r="AM468" s="65"/>
      <c r="AN468" s="65"/>
      <c r="AO468" s="65"/>
    </row>
    <row r="469">
      <c r="A469" s="30"/>
      <c r="B469" s="65"/>
      <c r="C469" s="65"/>
      <c r="D469" s="65"/>
      <c r="E469" s="30"/>
      <c r="F469" s="65"/>
      <c r="G469" s="65"/>
      <c r="H469" s="65"/>
      <c r="I469" s="30"/>
      <c r="J469" s="65"/>
      <c r="K469" s="65"/>
      <c r="L469" s="65"/>
      <c r="M469" s="30"/>
      <c r="N469" s="65"/>
      <c r="O469" s="65"/>
      <c r="P469" s="65"/>
      <c r="Q469" s="30"/>
      <c r="R469" s="65"/>
      <c r="S469" s="65"/>
      <c r="T469" s="65"/>
      <c r="U469" s="30"/>
      <c r="V469" s="65"/>
      <c r="W469" s="65"/>
      <c r="X469" s="65"/>
      <c r="Y469" s="30"/>
      <c r="Z469" s="65"/>
      <c r="AA469" s="65"/>
      <c r="AB469" s="65"/>
      <c r="AC469" s="30"/>
      <c r="AD469" s="65"/>
      <c r="AE469" s="65"/>
      <c r="AF469" s="65"/>
      <c r="AG469" s="65"/>
      <c r="AH469" s="30"/>
      <c r="AI469" s="65"/>
      <c r="AJ469" s="65"/>
      <c r="AK469" s="65"/>
      <c r="AL469" s="65"/>
      <c r="AM469" s="65"/>
      <c r="AN469" s="65"/>
      <c r="AO469" s="65"/>
    </row>
    <row r="470">
      <c r="A470" s="30"/>
      <c r="B470" s="65"/>
      <c r="C470" s="65"/>
      <c r="D470" s="65"/>
      <c r="E470" s="30"/>
      <c r="F470" s="65"/>
      <c r="G470" s="65"/>
      <c r="H470" s="65"/>
      <c r="I470" s="30"/>
      <c r="J470" s="65"/>
      <c r="K470" s="65"/>
      <c r="L470" s="65"/>
      <c r="M470" s="30"/>
      <c r="N470" s="65"/>
      <c r="O470" s="65"/>
      <c r="P470" s="65"/>
      <c r="Q470" s="30"/>
      <c r="R470" s="65"/>
      <c r="S470" s="65"/>
      <c r="T470" s="65"/>
      <c r="U470" s="30"/>
      <c r="V470" s="65"/>
      <c r="W470" s="65"/>
      <c r="X470" s="65"/>
      <c r="Y470" s="30"/>
      <c r="Z470" s="65"/>
      <c r="AA470" s="65"/>
      <c r="AB470" s="65"/>
      <c r="AC470" s="30"/>
      <c r="AD470" s="65"/>
      <c r="AE470" s="65"/>
      <c r="AF470" s="65"/>
      <c r="AG470" s="65"/>
      <c r="AH470" s="30"/>
      <c r="AI470" s="65"/>
      <c r="AJ470" s="65"/>
      <c r="AK470" s="65"/>
      <c r="AL470" s="65"/>
      <c r="AM470" s="65"/>
      <c r="AN470" s="65"/>
      <c r="AO470" s="65"/>
    </row>
    <row r="471">
      <c r="A471" s="30"/>
      <c r="B471" s="65"/>
      <c r="C471" s="65"/>
      <c r="D471" s="65"/>
      <c r="E471" s="30"/>
      <c r="F471" s="65"/>
      <c r="G471" s="65"/>
      <c r="H471" s="65"/>
      <c r="I471" s="30"/>
      <c r="J471" s="65"/>
      <c r="K471" s="65"/>
      <c r="L471" s="65"/>
      <c r="M471" s="30"/>
      <c r="N471" s="65"/>
      <c r="O471" s="65"/>
      <c r="P471" s="65"/>
      <c r="Q471" s="30"/>
      <c r="R471" s="65"/>
      <c r="S471" s="65"/>
      <c r="T471" s="65"/>
      <c r="U471" s="30"/>
      <c r="V471" s="65"/>
      <c r="W471" s="65"/>
      <c r="X471" s="65"/>
      <c r="Y471" s="30"/>
      <c r="Z471" s="65"/>
      <c r="AA471" s="65"/>
      <c r="AB471" s="65"/>
      <c r="AC471" s="30"/>
      <c r="AD471" s="65"/>
      <c r="AE471" s="65"/>
      <c r="AF471" s="65"/>
      <c r="AG471" s="65"/>
      <c r="AH471" s="30"/>
      <c r="AI471" s="65"/>
      <c r="AJ471" s="65"/>
      <c r="AK471" s="65"/>
      <c r="AL471" s="65"/>
      <c r="AM471" s="65"/>
      <c r="AN471" s="65"/>
      <c r="AO471" s="65"/>
    </row>
    <row r="472">
      <c r="A472" s="30"/>
      <c r="B472" s="65"/>
      <c r="C472" s="65"/>
      <c r="D472" s="65"/>
      <c r="E472" s="30"/>
      <c r="F472" s="65"/>
      <c r="G472" s="65"/>
      <c r="H472" s="65"/>
      <c r="I472" s="30"/>
      <c r="J472" s="65"/>
      <c r="K472" s="65"/>
      <c r="L472" s="65"/>
      <c r="M472" s="30"/>
      <c r="N472" s="65"/>
      <c r="O472" s="65"/>
      <c r="P472" s="65"/>
      <c r="Q472" s="30"/>
      <c r="R472" s="65"/>
      <c r="S472" s="65"/>
      <c r="T472" s="65"/>
      <c r="U472" s="30"/>
      <c r="V472" s="65"/>
      <c r="W472" s="65"/>
      <c r="X472" s="65"/>
      <c r="Y472" s="30"/>
      <c r="Z472" s="65"/>
      <c r="AA472" s="65"/>
      <c r="AB472" s="65"/>
      <c r="AC472" s="30"/>
      <c r="AD472" s="65"/>
      <c r="AE472" s="65"/>
      <c r="AF472" s="65"/>
      <c r="AG472" s="65"/>
      <c r="AH472" s="30"/>
      <c r="AI472" s="65"/>
      <c r="AJ472" s="65"/>
      <c r="AK472" s="65"/>
      <c r="AL472" s="65"/>
      <c r="AM472" s="65"/>
      <c r="AN472" s="65"/>
      <c r="AO472" s="65"/>
    </row>
    <row r="473">
      <c r="A473" s="30"/>
      <c r="B473" s="65"/>
      <c r="C473" s="65"/>
      <c r="D473" s="65"/>
      <c r="E473" s="30"/>
      <c r="F473" s="65"/>
      <c r="G473" s="65"/>
      <c r="H473" s="65"/>
      <c r="I473" s="30"/>
      <c r="J473" s="65"/>
      <c r="K473" s="65"/>
      <c r="L473" s="65"/>
      <c r="M473" s="30"/>
      <c r="N473" s="65"/>
      <c r="O473" s="65"/>
      <c r="P473" s="65"/>
      <c r="Q473" s="30"/>
      <c r="R473" s="65"/>
      <c r="S473" s="65"/>
      <c r="T473" s="65"/>
      <c r="U473" s="30"/>
      <c r="V473" s="65"/>
      <c r="W473" s="65"/>
      <c r="X473" s="65"/>
      <c r="Y473" s="30"/>
      <c r="Z473" s="65"/>
      <c r="AA473" s="65"/>
      <c r="AB473" s="65"/>
      <c r="AC473" s="30"/>
      <c r="AD473" s="65"/>
      <c r="AE473" s="65"/>
      <c r="AF473" s="65"/>
      <c r="AG473" s="65"/>
      <c r="AH473" s="30"/>
      <c r="AI473" s="65"/>
      <c r="AJ473" s="65"/>
      <c r="AK473" s="65"/>
      <c r="AL473" s="65"/>
      <c r="AM473" s="65"/>
      <c r="AN473" s="65"/>
      <c r="AO473" s="65"/>
    </row>
    <row r="474">
      <c r="A474" s="30"/>
      <c r="B474" s="65"/>
      <c r="C474" s="65"/>
      <c r="D474" s="65"/>
      <c r="E474" s="30"/>
      <c r="F474" s="65"/>
      <c r="G474" s="65"/>
      <c r="H474" s="65"/>
      <c r="I474" s="30"/>
      <c r="J474" s="65"/>
      <c r="K474" s="65"/>
      <c r="L474" s="65"/>
      <c r="M474" s="30"/>
      <c r="N474" s="65"/>
      <c r="O474" s="65"/>
      <c r="P474" s="65"/>
      <c r="Q474" s="30"/>
      <c r="R474" s="65"/>
      <c r="S474" s="65"/>
      <c r="T474" s="65"/>
      <c r="U474" s="30"/>
      <c r="V474" s="65"/>
      <c r="W474" s="65"/>
      <c r="X474" s="65"/>
      <c r="Y474" s="30"/>
      <c r="Z474" s="65"/>
      <c r="AA474" s="65"/>
      <c r="AB474" s="65"/>
      <c r="AC474" s="30"/>
      <c r="AD474" s="65"/>
      <c r="AE474" s="65"/>
      <c r="AF474" s="65"/>
      <c r="AG474" s="65"/>
      <c r="AH474" s="30"/>
      <c r="AI474" s="65"/>
      <c r="AJ474" s="65"/>
      <c r="AK474" s="65"/>
      <c r="AL474" s="65"/>
      <c r="AM474" s="65"/>
      <c r="AN474" s="65"/>
      <c r="AO474" s="65"/>
    </row>
    <row r="475">
      <c r="A475" s="30"/>
      <c r="B475" s="65"/>
      <c r="C475" s="65"/>
      <c r="D475" s="65"/>
      <c r="E475" s="30"/>
      <c r="F475" s="65"/>
      <c r="G475" s="65"/>
      <c r="H475" s="65"/>
      <c r="I475" s="30"/>
      <c r="J475" s="65"/>
      <c r="K475" s="65"/>
      <c r="L475" s="65"/>
      <c r="M475" s="30"/>
      <c r="N475" s="65"/>
      <c r="O475" s="65"/>
      <c r="P475" s="65"/>
      <c r="Q475" s="30"/>
      <c r="R475" s="65"/>
      <c r="S475" s="65"/>
      <c r="T475" s="65"/>
      <c r="U475" s="30"/>
      <c r="V475" s="65"/>
      <c r="W475" s="65"/>
      <c r="X475" s="65"/>
      <c r="Y475" s="30"/>
      <c r="Z475" s="65"/>
      <c r="AA475" s="65"/>
      <c r="AB475" s="65"/>
      <c r="AC475" s="30"/>
      <c r="AD475" s="65"/>
      <c r="AE475" s="65"/>
      <c r="AF475" s="65"/>
      <c r="AG475" s="65"/>
      <c r="AH475" s="30"/>
      <c r="AI475" s="65"/>
      <c r="AJ475" s="65"/>
      <c r="AK475" s="65"/>
      <c r="AL475" s="65"/>
      <c r="AM475" s="65"/>
      <c r="AN475" s="65"/>
      <c r="AO475" s="65"/>
    </row>
    <row r="476">
      <c r="A476" s="30"/>
      <c r="B476" s="65"/>
      <c r="C476" s="65"/>
      <c r="D476" s="65"/>
      <c r="E476" s="30"/>
      <c r="F476" s="65"/>
      <c r="G476" s="65"/>
      <c r="H476" s="65"/>
      <c r="I476" s="30"/>
      <c r="J476" s="65"/>
      <c r="K476" s="65"/>
      <c r="L476" s="65"/>
      <c r="M476" s="30"/>
      <c r="N476" s="65"/>
      <c r="O476" s="65"/>
      <c r="P476" s="65"/>
      <c r="Q476" s="30"/>
      <c r="R476" s="65"/>
      <c r="S476" s="65"/>
      <c r="T476" s="65"/>
      <c r="U476" s="30"/>
      <c r="V476" s="65"/>
      <c r="W476" s="65"/>
      <c r="X476" s="65"/>
      <c r="Y476" s="30"/>
      <c r="Z476" s="65"/>
      <c r="AA476" s="65"/>
      <c r="AB476" s="65"/>
      <c r="AC476" s="30"/>
      <c r="AD476" s="65"/>
      <c r="AE476" s="65"/>
      <c r="AF476" s="65"/>
      <c r="AG476" s="65"/>
      <c r="AH476" s="30"/>
      <c r="AI476" s="65"/>
      <c r="AJ476" s="65"/>
      <c r="AK476" s="65"/>
      <c r="AL476" s="65"/>
      <c r="AM476" s="65"/>
      <c r="AN476" s="65"/>
      <c r="AO476" s="65"/>
    </row>
    <row r="477">
      <c r="A477" s="30"/>
      <c r="B477" s="65"/>
      <c r="C477" s="65"/>
      <c r="D477" s="65"/>
      <c r="E477" s="30"/>
      <c r="F477" s="65"/>
      <c r="G477" s="65"/>
      <c r="H477" s="65"/>
      <c r="I477" s="30"/>
      <c r="J477" s="65"/>
      <c r="K477" s="65"/>
      <c r="L477" s="65"/>
      <c r="M477" s="30"/>
      <c r="N477" s="65"/>
      <c r="O477" s="65"/>
      <c r="P477" s="65"/>
      <c r="Q477" s="30"/>
      <c r="R477" s="65"/>
      <c r="S477" s="65"/>
      <c r="T477" s="65"/>
      <c r="U477" s="30"/>
      <c r="V477" s="65"/>
      <c r="W477" s="65"/>
      <c r="X477" s="65"/>
      <c r="Y477" s="30"/>
      <c r="Z477" s="65"/>
      <c r="AA477" s="65"/>
      <c r="AB477" s="65"/>
      <c r="AC477" s="30"/>
      <c r="AD477" s="65"/>
      <c r="AE477" s="65"/>
      <c r="AF477" s="65"/>
      <c r="AG477" s="65"/>
      <c r="AH477" s="30"/>
      <c r="AI477" s="65"/>
      <c r="AJ477" s="65"/>
      <c r="AK477" s="65"/>
      <c r="AL477" s="65"/>
      <c r="AM477" s="65"/>
      <c r="AN477" s="65"/>
      <c r="AO477" s="65"/>
    </row>
    <row r="478">
      <c r="A478" s="30"/>
      <c r="B478" s="65"/>
      <c r="C478" s="65"/>
      <c r="D478" s="65"/>
      <c r="E478" s="30"/>
      <c r="F478" s="65"/>
      <c r="G478" s="65"/>
      <c r="H478" s="65"/>
      <c r="I478" s="30"/>
      <c r="J478" s="65"/>
      <c r="K478" s="65"/>
      <c r="L478" s="65"/>
      <c r="M478" s="30"/>
      <c r="N478" s="65"/>
      <c r="O478" s="65"/>
      <c r="P478" s="65"/>
      <c r="Q478" s="30"/>
      <c r="R478" s="65"/>
      <c r="S478" s="65"/>
      <c r="T478" s="65"/>
      <c r="U478" s="30"/>
      <c r="V478" s="65"/>
      <c r="W478" s="65"/>
      <c r="X478" s="65"/>
      <c r="Y478" s="30"/>
      <c r="Z478" s="65"/>
      <c r="AA478" s="65"/>
      <c r="AB478" s="65"/>
      <c r="AC478" s="30"/>
      <c r="AD478" s="65"/>
      <c r="AE478" s="65"/>
      <c r="AF478" s="65"/>
      <c r="AG478" s="65"/>
      <c r="AH478" s="30"/>
      <c r="AI478" s="65"/>
      <c r="AJ478" s="65"/>
      <c r="AK478" s="65"/>
      <c r="AL478" s="65"/>
      <c r="AM478" s="65"/>
      <c r="AN478" s="65"/>
      <c r="AO478" s="65"/>
    </row>
    <row r="479">
      <c r="A479" s="30"/>
      <c r="B479" s="65"/>
      <c r="C479" s="65"/>
      <c r="D479" s="65"/>
      <c r="E479" s="30"/>
      <c r="F479" s="65"/>
      <c r="G479" s="65"/>
      <c r="H479" s="65"/>
      <c r="I479" s="30"/>
      <c r="J479" s="65"/>
      <c r="K479" s="65"/>
      <c r="L479" s="65"/>
      <c r="M479" s="30"/>
      <c r="N479" s="65"/>
      <c r="O479" s="65"/>
      <c r="P479" s="65"/>
      <c r="Q479" s="30"/>
      <c r="R479" s="65"/>
      <c r="S479" s="65"/>
      <c r="T479" s="65"/>
      <c r="U479" s="30"/>
      <c r="V479" s="65"/>
      <c r="W479" s="65"/>
      <c r="X479" s="65"/>
      <c r="Y479" s="30"/>
      <c r="Z479" s="65"/>
      <c r="AA479" s="65"/>
      <c r="AB479" s="65"/>
      <c r="AC479" s="30"/>
      <c r="AD479" s="65"/>
      <c r="AE479" s="65"/>
      <c r="AF479" s="65"/>
      <c r="AG479" s="65"/>
      <c r="AH479" s="30"/>
      <c r="AI479" s="65"/>
      <c r="AJ479" s="65"/>
      <c r="AK479" s="65"/>
      <c r="AL479" s="65"/>
      <c r="AM479" s="65"/>
      <c r="AN479" s="65"/>
      <c r="AO479" s="65"/>
    </row>
    <row r="480">
      <c r="A480" s="30"/>
      <c r="B480" s="65"/>
      <c r="C480" s="65"/>
      <c r="D480" s="65"/>
      <c r="E480" s="30"/>
      <c r="F480" s="65"/>
      <c r="G480" s="65"/>
      <c r="H480" s="65"/>
      <c r="I480" s="30"/>
      <c r="J480" s="65"/>
      <c r="K480" s="65"/>
      <c r="L480" s="65"/>
      <c r="M480" s="30"/>
      <c r="N480" s="65"/>
      <c r="O480" s="65"/>
      <c r="P480" s="65"/>
      <c r="Q480" s="30"/>
      <c r="R480" s="65"/>
      <c r="S480" s="65"/>
      <c r="T480" s="65"/>
      <c r="U480" s="30"/>
      <c r="V480" s="65"/>
      <c r="W480" s="65"/>
      <c r="X480" s="65"/>
      <c r="Y480" s="30"/>
      <c r="Z480" s="65"/>
      <c r="AA480" s="65"/>
      <c r="AB480" s="65"/>
      <c r="AC480" s="30"/>
      <c r="AD480" s="65"/>
      <c r="AE480" s="65"/>
      <c r="AF480" s="65"/>
      <c r="AG480" s="65"/>
      <c r="AH480" s="30"/>
      <c r="AI480" s="65"/>
      <c r="AJ480" s="65"/>
      <c r="AK480" s="65"/>
      <c r="AL480" s="65"/>
      <c r="AM480" s="65"/>
      <c r="AN480" s="65"/>
      <c r="AO480" s="65"/>
    </row>
    <row r="481">
      <c r="A481" s="30"/>
      <c r="B481" s="65"/>
      <c r="C481" s="65"/>
      <c r="D481" s="65"/>
      <c r="E481" s="30"/>
      <c r="F481" s="65"/>
      <c r="G481" s="65"/>
      <c r="H481" s="65"/>
      <c r="I481" s="30"/>
      <c r="J481" s="65"/>
      <c r="K481" s="65"/>
      <c r="L481" s="65"/>
      <c r="M481" s="30"/>
      <c r="N481" s="65"/>
      <c r="O481" s="65"/>
      <c r="P481" s="65"/>
      <c r="Q481" s="30"/>
      <c r="R481" s="65"/>
      <c r="S481" s="65"/>
      <c r="T481" s="65"/>
      <c r="U481" s="30"/>
      <c r="V481" s="65"/>
      <c r="W481" s="65"/>
      <c r="X481" s="65"/>
      <c r="Y481" s="30"/>
      <c r="Z481" s="65"/>
      <c r="AA481" s="65"/>
      <c r="AB481" s="65"/>
      <c r="AC481" s="30"/>
      <c r="AD481" s="65"/>
      <c r="AE481" s="65"/>
      <c r="AF481" s="65"/>
      <c r="AG481" s="65"/>
      <c r="AH481" s="30"/>
      <c r="AI481" s="65"/>
      <c r="AJ481" s="65"/>
      <c r="AK481" s="65"/>
      <c r="AL481" s="65"/>
      <c r="AM481" s="65"/>
      <c r="AN481" s="65"/>
      <c r="AO481" s="65"/>
    </row>
    <row r="482">
      <c r="A482" s="30"/>
      <c r="B482" s="65"/>
      <c r="C482" s="65"/>
      <c r="D482" s="65"/>
      <c r="E482" s="30"/>
      <c r="F482" s="65"/>
      <c r="G482" s="65"/>
      <c r="H482" s="65"/>
      <c r="I482" s="30"/>
      <c r="J482" s="65"/>
      <c r="K482" s="65"/>
      <c r="L482" s="65"/>
      <c r="M482" s="30"/>
      <c r="N482" s="65"/>
      <c r="O482" s="65"/>
      <c r="P482" s="65"/>
      <c r="Q482" s="30"/>
      <c r="R482" s="65"/>
      <c r="S482" s="65"/>
      <c r="T482" s="65"/>
      <c r="U482" s="30"/>
      <c r="V482" s="65"/>
      <c r="W482" s="65"/>
      <c r="X482" s="65"/>
      <c r="Y482" s="30"/>
      <c r="Z482" s="65"/>
      <c r="AA482" s="65"/>
      <c r="AB482" s="65"/>
      <c r="AC482" s="30"/>
      <c r="AD482" s="65"/>
      <c r="AE482" s="65"/>
      <c r="AF482" s="65"/>
      <c r="AG482" s="65"/>
      <c r="AH482" s="30"/>
      <c r="AI482" s="65"/>
      <c r="AJ482" s="65"/>
      <c r="AK482" s="65"/>
      <c r="AL482" s="65"/>
      <c r="AM482" s="65"/>
      <c r="AN482" s="65"/>
      <c r="AO482" s="65"/>
    </row>
    <row r="483">
      <c r="A483" s="30"/>
      <c r="B483" s="65"/>
      <c r="C483" s="65"/>
      <c r="D483" s="65"/>
      <c r="E483" s="30"/>
      <c r="F483" s="65"/>
      <c r="G483" s="65"/>
      <c r="H483" s="65"/>
      <c r="I483" s="30"/>
      <c r="J483" s="65"/>
      <c r="K483" s="65"/>
      <c r="L483" s="65"/>
      <c r="M483" s="30"/>
      <c r="N483" s="65"/>
      <c r="O483" s="65"/>
      <c r="P483" s="65"/>
      <c r="Q483" s="30"/>
      <c r="R483" s="65"/>
      <c r="S483" s="65"/>
      <c r="T483" s="65"/>
      <c r="U483" s="30"/>
      <c r="V483" s="65"/>
      <c r="W483" s="65"/>
      <c r="X483" s="65"/>
      <c r="Y483" s="30"/>
      <c r="Z483" s="65"/>
      <c r="AA483" s="65"/>
      <c r="AB483" s="65"/>
      <c r="AC483" s="30"/>
      <c r="AD483" s="65"/>
      <c r="AE483" s="65"/>
      <c r="AF483" s="65"/>
      <c r="AG483" s="65"/>
      <c r="AH483" s="30"/>
      <c r="AI483" s="65"/>
      <c r="AJ483" s="65"/>
      <c r="AK483" s="65"/>
      <c r="AL483" s="65"/>
      <c r="AM483" s="65"/>
      <c r="AN483" s="65"/>
      <c r="AO483" s="65"/>
    </row>
    <row r="484">
      <c r="A484" s="30"/>
      <c r="B484" s="65"/>
      <c r="C484" s="65"/>
      <c r="D484" s="65"/>
      <c r="E484" s="30"/>
      <c r="F484" s="65"/>
      <c r="G484" s="65"/>
      <c r="H484" s="65"/>
      <c r="I484" s="30"/>
      <c r="J484" s="65"/>
      <c r="K484" s="65"/>
      <c r="L484" s="65"/>
      <c r="M484" s="30"/>
      <c r="N484" s="65"/>
      <c r="O484" s="65"/>
      <c r="P484" s="65"/>
      <c r="Q484" s="30"/>
      <c r="R484" s="65"/>
      <c r="S484" s="65"/>
      <c r="T484" s="65"/>
      <c r="U484" s="30"/>
      <c r="V484" s="65"/>
      <c r="W484" s="65"/>
      <c r="X484" s="65"/>
      <c r="Y484" s="30"/>
      <c r="Z484" s="65"/>
      <c r="AA484" s="65"/>
      <c r="AB484" s="65"/>
      <c r="AC484" s="30"/>
      <c r="AD484" s="65"/>
      <c r="AE484" s="65"/>
      <c r="AF484" s="65"/>
      <c r="AG484" s="65"/>
      <c r="AH484" s="30"/>
      <c r="AI484" s="65"/>
      <c r="AJ484" s="65"/>
      <c r="AK484" s="65"/>
      <c r="AL484" s="65"/>
      <c r="AM484" s="65"/>
      <c r="AN484" s="65"/>
      <c r="AO484" s="65"/>
    </row>
    <row r="485">
      <c r="A485" s="30"/>
      <c r="B485" s="65"/>
      <c r="C485" s="65"/>
      <c r="D485" s="65"/>
      <c r="E485" s="30"/>
      <c r="F485" s="65"/>
      <c r="G485" s="65"/>
      <c r="H485" s="65"/>
      <c r="I485" s="30"/>
      <c r="J485" s="65"/>
      <c r="K485" s="65"/>
      <c r="L485" s="65"/>
      <c r="M485" s="30"/>
      <c r="N485" s="65"/>
      <c r="O485" s="65"/>
      <c r="P485" s="65"/>
      <c r="Q485" s="30"/>
      <c r="R485" s="65"/>
      <c r="S485" s="65"/>
      <c r="T485" s="65"/>
      <c r="U485" s="30"/>
      <c r="V485" s="65"/>
      <c r="W485" s="65"/>
      <c r="X485" s="65"/>
      <c r="Y485" s="30"/>
      <c r="Z485" s="65"/>
      <c r="AA485" s="65"/>
      <c r="AB485" s="65"/>
      <c r="AC485" s="30"/>
      <c r="AD485" s="65"/>
      <c r="AE485" s="65"/>
      <c r="AF485" s="65"/>
      <c r="AG485" s="65"/>
      <c r="AH485" s="30"/>
      <c r="AI485" s="65"/>
      <c r="AJ485" s="65"/>
      <c r="AK485" s="65"/>
      <c r="AL485" s="65"/>
      <c r="AM485" s="65"/>
      <c r="AN485" s="65"/>
      <c r="AO485" s="65"/>
    </row>
    <row r="486">
      <c r="A486" s="30"/>
      <c r="B486" s="65"/>
      <c r="C486" s="65"/>
      <c r="D486" s="65"/>
      <c r="E486" s="30"/>
      <c r="F486" s="65"/>
      <c r="G486" s="65"/>
      <c r="H486" s="65"/>
      <c r="I486" s="30"/>
      <c r="J486" s="65"/>
      <c r="K486" s="65"/>
      <c r="L486" s="65"/>
      <c r="M486" s="30"/>
      <c r="N486" s="65"/>
      <c r="O486" s="65"/>
      <c r="P486" s="65"/>
      <c r="Q486" s="30"/>
      <c r="R486" s="65"/>
      <c r="S486" s="65"/>
      <c r="T486" s="65"/>
      <c r="U486" s="30"/>
      <c r="V486" s="65"/>
      <c r="W486" s="65"/>
      <c r="X486" s="65"/>
      <c r="Y486" s="30"/>
      <c r="Z486" s="65"/>
      <c r="AA486" s="65"/>
      <c r="AB486" s="65"/>
      <c r="AC486" s="30"/>
      <c r="AD486" s="65"/>
      <c r="AE486" s="65"/>
      <c r="AF486" s="65"/>
      <c r="AG486" s="65"/>
      <c r="AH486" s="30"/>
      <c r="AI486" s="65"/>
      <c r="AJ486" s="65"/>
      <c r="AK486" s="65"/>
      <c r="AL486" s="65"/>
      <c r="AM486" s="65"/>
      <c r="AN486" s="65"/>
      <c r="AO486" s="65"/>
    </row>
    <row r="487">
      <c r="A487" s="30"/>
      <c r="B487" s="65"/>
      <c r="C487" s="65"/>
      <c r="D487" s="65"/>
      <c r="E487" s="30"/>
      <c r="F487" s="65"/>
      <c r="G487" s="65"/>
      <c r="H487" s="65"/>
      <c r="I487" s="30"/>
      <c r="J487" s="65"/>
      <c r="K487" s="65"/>
      <c r="L487" s="65"/>
      <c r="M487" s="30"/>
      <c r="N487" s="65"/>
      <c r="O487" s="65"/>
      <c r="P487" s="65"/>
      <c r="Q487" s="30"/>
      <c r="R487" s="65"/>
      <c r="S487" s="65"/>
      <c r="T487" s="65"/>
      <c r="U487" s="30"/>
      <c r="V487" s="65"/>
      <c r="W487" s="65"/>
      <c r="X487" s="65"/>
      <c r="Y487" s="30"/>
      <c r="Z487" s="65"/>
      <c r="AA487" s="65"/>
      <c r="AB487" s="65"/>
      <c r="AC487" s="30"/>
      <c r="AD487" s="65"/>
      <c r="AE487" s="65"/>
      <c r="AF487" s="65"/>
      <c r="AG487" s="65"/>
      <c r="AH487" s="30"/>
      <c r="AI487" s="65"/>
      <c r="AJ487" s="65"/>
      <c r="AK487" s="65"/>
      <c r="AL487" s="65"/>
      <c r="AM487" s="65"/>
      <c r="AN487" s="65"/>
      <c r="AO487" s="65"/>
    </row>
    <row r="488">
      <c r="A488" s="30"/>
      <c r="B488" s="65"/>
      <c r="C488" s="65"/>
      <c r="D488" s="65"/>
      <c r="E488" s="30"/>
      <c r="F488" s="65"/>
      <c r="G488" s="65"/>
      <c r="H488" s="65"/>
      <c r="I488" s="30"/>
      <c r="J488" s="65"/>
      <c r="K488" s="65"/>
      <c r="L488" s="65"/>
      <c r="M488" s="30"/>
      <c r="N488" s="65"/>
      <c r="O488" s="65"/>
      <c r="P488" s="65"/>
      <c r="Q488" s="30"/>
      <c r="R488" s="65"/>
      <c r="S488" s="65"/>
      <c r="T488" s="65"/>
      <c r="U488" s="30"/>
      <c r="V488" s="65"/>
      <c r="W488" s="65"/>
      <c r="X488" s="65"/>
      <c r="Y488" s="30"/>
      <c r="Z488" s="65"/>
      <c r="AA488" s="65"/>
      <c r="AB488" s="65"/>
      <c r="AC488" s="30"/>
      <c r="AD488" s="65"/>
      <c r="AE488" s="65"/>
      <c r="AF488" s="65"/>
      <c r="AG488" s="65"/>
      <c r="AH488" s="30"/>
      <c r="AI488" s="65"/>
      <c r="AJ488" s="65"/>
      <c r="AK488" s="65"/>
      <c r="AL488" s="65"/>
      <c r="AM488" s="65"/>
      <c r="AN488" s="65"/>
      <c r="AO488" s="65"/>
    </row>
    <row r="489">
      <c r="A489" s="30"/>
      <c r="B489" s="65"/>
      <c r="C489" s="65"/>
      <c r="D489" s="65"/>
      <c r="E489" s="30"/>
      <c r="F489" s="65"/>
      <c r="G489" s="65"/>
      <c r="H489" s="65"/>
      <c r="I489" s="30"/>
      <c r="J489" s="65"/>
      <c r="K489" s="65"/>
      <c r="L489" s="65"/>
      <c r="M489" s="30"/>
      <c r="N489" s="65"/>
      <c r="O489" s="65"/>
      <c r="P489" s="65"/>
      <c r="Q489" s="30"/>
      <c r="R489" s="65"/>
      <c r="S489" s="65"/>
      <c r="T489" s="65"/>
      <c r="U489" s="30"/>
      <c r="V489" s="65"/>
      <c r="W489" s="65"/>
      <c r="X489" s="65"/>
      <c r="Y489" s="30"/>
      <c r="Z489" s="65"/>
      <c r="AA489" s="65"/>
      <c r="AB489" s="65"/>
      <c r="AC489" s="30"/>
      <c r="AD489" s="65"/>
      <c r="AE489" s="65"/>
      <c r="AF489" s="65"/>
      <c r="AG489" s="65"/>
      <c r="AH489" s="30"/>
      <c r="AI489" s="65"/>
      <c r="AJ489" s="65"/>
      <c r="AK489" s="65"/>
      <c r="AL489" s="65"/>
      <c r="AM489" s="65"/>
      <c r="AN489" s="65"/>
      <c r="AO489" s="65"/>
    </row>
    <row r="490">
      <c r="A490" s="30"/>
      <c r="B490" s="65"/>
      <c r="C490" s="65"/>
      <c r="D490" s="65"/>
      <c r="E490" s="30"/>
      <c r="F490" s="65"/>
      <c r="G490" s="65"/>
      <c r="H490" s="65"/>
      <c r="I490" s="30"/>
      <c r="J490" s="65"/>
      <c r="K490" s="65"/>
      <c r="L490" s="65"/>
      <c r="M490" s="30"/>
      <c r="N490" s="65"/>
      <c r="O490" s="65"/>
      <c r="P490" s="65"/>
      <c r="Q490" s="30"/>
      <c r="R490" s="65"/>
      <c r="S490" s="65"/>
      <c r="T490" s="65"/>
      <c r="U490" s="30"/>
      <c r="V490" s="65"/>
      <c r="W490" s="65"/>
      <c r="X490" s="65"/>
      <c r="Y490" s="30"/>
      <c r="Z490" s="65"/>
      <c r="AA490" s="65"/>
      <c r="AB490" s="65"/>
      <c r="AC490" s="30"/>
      <c r="AD490" s="65"/>
      <c r="AE490" s="65"/>
      <c r="AF490" s="65"/>
      <c r="AG490" s="65"/>
      <c r="AH490" s="30"/>
      <c r="AI490" s="65"/>
      <c r="AJ490" s="65"/>
      <c r="AK490" s="65"/>
      <c r="AL490" s="65"/>
      <c r="AM490" s="65"/>
      <c r="AN490" s="65"/>
      <c r="AO490" s="65"/>
    </row>
    <row r="491">
      <c r="A491" s="30"/>
      <c r="B491" s="65"/>
      <c r="C491" s="65"/>
      <c r="D491" s="65"/>
      <c r="E491" s="30"/>
      <c r="F491" s="65"/>
      <c r="G491" s="65"/>
      <c r="H491" s="65"/>
      <c r="I491" s="30"/>
      <c r="J491" s="65"/>
      <c r="K491" s="65"/>
      <c r="L491" s="65"/>
      <c r="M491" s="30"/>
      <c r="N491" s="65"/>
      <c r="O491" s="65"/>
      <c r="P491" s="65"/>
      <c r="Q491" s="30"/>
      <c r="R491" s="65"/>
      <c r="S491" s="65"/>
      <c r="T491" s="65"/>
      <c r="U491" s="30"/>
      <c r="V491" s="65"/>
      <c r="W491" s="65"/>
      <c r="X491" s="65"/>
      <c r="Y491" s="30"/>
      <c r="Z491" s="65"/>
      <c r="AA491" s="65"/>
      <c r="AB491" s="65"/>
      <c r="AC491" s="30"/>
      <c r="AD491" s="65"/>
      <c r="AE491" s="65"/>
      <c r="AF491" s="65"/>
      <c r="AG491" s="65"/>
      <c r="AH491" s="30"/>
      <c r="AI491" s="65"/>
      <c r="AJ491" s="65"/>
      <c r="AK491" s="65"/>
      <c r="AL491" s="65"/>
      <c r="AM491" s="65"/>
      <c r="AN491" s="65"/>
      <c r="AO491" s="65"/>
    </row>
    <row r="492">
      <c r="A492" s="30"/>
      <c r="B492" s="65"/>
      <c r="C492" s="65"/>
      <c r="D492" s="65"/>
      <c r="E492" s="30"/>
      <c r="F492" s="65"/>
      <c r="G492" s="65"/>
      <c r="H492" s="65"/>
      <c r="I492" s="30"/>
      <c r="J492" s="65"/>
      <c r="K492" s="65"/>
      <c r="L492" s="65"/>
      <c r="M492" s="30"/>
      <c r="N492" s="65"/>
      <c r="O492" s="65"/>
      <c r="P492" s="65"/>
      <c r="Q492" s="30"/>
      <c r="R492" s="65"/>
      <c r="S492" s="65"/>
      <c r="T492" s="65"/>
      <c r="U492" s="30"/>
      <c r="V492" s="65"/>
      <c r="W492" s="65"/>
      <c r="X492" s="65"/>
      <c r="Y492" s="30"/>
      <c r="Z492" s="65"/>
      <c r="AA492" s="65"/>
      <c r="AB492" s="65"/>
      <c r="AC492" s="30"/>
      <c r="AD492" s="65"/>
      <c r="AE492" s="65"/>
      <c r="AF492" s="65"/>
      <c r="AG492" s="65"/>
      <c r="AH492" s="30"/>
      <c r="AI492" s="65"/>
      <c r="AJ492" s="65"/>
      <c r="AK492" s="65"/>
      <c r="AL492" s="65"/>
      <c r="AM492" s="65"/>
      <c r="AN492" s="65"/>
      <c r="AO492" s="65"/>
    </row>
    <row r="493">
      <c r="A493" s="30"/>
      <c r="B493" s="65"/>
      <c r="C493" s="65"/>
      <c r="D493" s="65"/>
      <c r="E493" s="30"/>
      <c r="F493" s="65"/>
      <c r="G493" s="65"/>
      <c r="H493" s="65"/>
      <c r="I493" s="30"/>
      <c r="J493" s="65"/>
      <c r="K493" s="65"/>
      <c r="L493" s="65"/>
      <c r="M493" s="30"/>
      <c r="N493" s="65"/>
      <c r="O493" s="65"/>
      <c r="P493" s="65"/>
      <c r="Q493" s="30"/>
      <c r="R493" s="65"/>
      <c r="S493" s="65"/>
      <c r="T493" s="65"/>
      <c r="U493" s="30"/>
      <c r="V493" s="65"/>
      <c r="W493" s="65"/>
      <c r="X493" s="65"/>
      <c r="Y493" s="30"/>
      <c r="Z493" s="65"/>
      <c r="AA493" s="65"/>
      <c r="AB493" s="65"/>
      <c r="AC493" s="30"/>
      <c r="AD493" s="65"/>
      <c r="AE493" s="65"/>
      <c r="AF493" s="65"/>
      <c r="AG493" s="65"/>
      <c r="AH493" s="30"/>
      <c r="AI493" s="65"/>
      <c r="AJ493" s="65"/>
      <c r="AK493" s="65"/>
      <c r="AL493" s="65"/>
      <c r="AM493" s="65"/>
      <c r="AN493" s="65"/>
      <c r="AO493" s="65"/>
    </row>
    <row r="494">
      <c r="A494" s="30"/>
      <c r="B494" s="65"/>
      <c r="C494" s="65"/>
      <c r="D494" s="65"/>
      <c r="E494" s="30"/>
      <c r="F494" s="65"/>
      <c r="G494" s="65"/>
      <c r="H494" s="65"/>
      <c r="I494" s="30"/>
      <c r="J494" s="65"/>
      <c r="K494" s="65"/>
      <c r="L494" s="65"/>
      <c r="M494" s="30"/>
      <c r="N494" s="65"/>
      <c r="O494" s="65"/>
      <c r="P494" s="65"/>
      <c r="Q494" s="30"/>
      <c r="R494" s="65"/>
      <c r="S494" s="65"/>
      <c r="T494" s="65"/>
      <c r="U494" s="30"/>
      <c r="V494" s="65"/>
      <c r="W494" s="65"/>
      <c r="X494" s="65"/>
      <c r="Y494" s="30"/>
      <c r="Z494" s="65"/>
      <c r="AA494" s="65"/>
      <c r="AB494" s="65"/>
      <c r="AC494" s="30"/>
      <c r="AD494" s="65"/>
      <c r="AE494" s="65"/>
      <c r="AF494" s="65"/>
      <c r="AG494" s="65"/>
      <c r="AH494" s="30"/>
      <c r="AI494" s="65"/>
      <c r="AJ494" s="65"/>
      <c r="AK494" s="65"/>
      <c r="AL494" s="65"/>
      <c r="AM494" s="65"/>
      <c r="AN494" s="65"/>
      <c r="AO494" s="65"/>
    </row>
    <row r="495">
      <c r="A495" s="30"/>
      <c r="B495" s="65"/>
      <c r="C495" s="65"/>
      <c r="D495" s="65"/>
      <c r="E495" s="30"/>
      <c r="F495" s="65"/>
      <c r="G495" s="65"/>
      <c r="H495" s="65"/>
      <c r="I495" s="30"/>
      <c r="J495" s="65"/>
      <c r="K495" s="65"/>
      <c r="L495" s="65"/>
      <c r="M495" s="30"/>
      <c r="N495" s="65"/>
      <c r="O495" s="65"/>
      <c r="P495" s="65"/>
      <c r="Q495" s="30"/>
      <c r="R495" s="65"/>
      <c r="S495" s="65"/>
      <c r="T495" s="65"/>
      <c r="U495" s="30"/>
      <c r="V495" s="65"/>
      <c r="W495" s="65"/>
      <c r="X495" s="65"/>
      <c r="Y495" s="30"/>
      <c r="Z495" s="65"/>
      <c r="AA495" s="65"/>
      <c r="AB495" s="65"/>
      <c r="AC495" s="30"/>
      <c r="AD495" s="65"/>
      <c r="AE495" s="65"/>
      <c r="AF495" s="65"/>
      <c r="AG495" s="65"/>
      <c r="AH495" s="30"/>
      <c r="AI495" s="65"/>
      <c r="AJ495" s="65"/>
      <c r="AK495" s="65"/>
      <c r="AL495" s="65"/>
      <c r="AM495" s="65"/>
      <c r="AN495" s="65"/>
      <c r="AO495" s="65"/>
    </row>
    <row r="496">
      <c r="A496" s="30"/>
      <c r="B496" s="65"/>
      <c r="C496" s="65"/>
      <c r="D496" s="65"/>
      <c r="E496" s="30"/>
      <c r="F496" s="65"/>
      <c r="G496" s="65"/>
      <c r="H496" s="65"/>
      <c r="I496" s="30"/>
      <c r="J496" s="65"/>
      <c r="K496" s="65"/>
      <c r="L496" s="65"/>
      <c r="M496" s="30"/>
      <c r="N496" s="65"/>
      <c r="O496" s="65"/>
      <c r="P496" s="65"/>
      <c r="Q496" s="30"/>
      <c r="R496" s="65"/>
      <c r="S496" s="65"/>
      <c r="T496" s="65"/>
      <c r="U496" s="30"/>
      <c r="V496" s="65"/>
      <c r="W496" s="65"/>
      <c r="X496" s="65"/>
      <c r="Y496" s="30"/>
      <c r="Z496" s="65"/>
      <c r="AA496" s="65"/>
      <c r="AB496" s="65"/>
      <c r="AC496" s="30"/>
      <c r="AD496" s="65"/>
      <c r="AE496" s="65"/>
      <c r="AF496" s="65"/>
      <c r="AG496" s="65"/>
      <c r="AH496" s="30"/>
      <c r="AI496" s="65"/>
      <c r="AJ496" s="65"/>
      <c r="AK496" s="65"/>
      <c r="AL496" s="65"/>
      <c r="AM496" s="65"/>
      <c r="AN496" s="65"/>
      <c r="AO496" s="65"/>
    </row>
    <row r="497">
      <c r="A497" s="30"/>
      <c r="B497" s="65"/>
      <c r="C497" s="65"/>
      <c r="D497" s="65"/>
      <c r="E497" s="30"/>
      <c r="F497" s="65"/>
      <c r="G497" s="65"/>
      <c r="H497" s="65"/>
      <c r="I497" s="30"/>
      <c r="J497" s="65"/>
      <c r="K497" s="65"/>
      <c r="L497" s="65"/>
      <c r="M497" s="30"/>
      <c r="N497" s="65"/>
      <c r="O497" s="65"/>
      <c r="P497" s="65"/>
      <c r="Q497" s="30"/>
      <c r="R497" s="65"/>
      <c r="S497" s="65"/>
      <c r="T497" s="65"/>
      <c r="U497" s="30"/>
      <c r="V497" s="65"/>
      <c r="W497" s="65"/>
      <c r="X497" s="65"/>
      <c r="Y497" s="30"/>
      <c r="Z497" s="65"/>
      <c r="AA497" s="65"/>
      <c r="AB497" s="65"/>
      <c r="AC497" s="30"/>
      <c r="AD497" s="65"/>
      <c r="AE497" s="65"/>
      <c r="AF497" s="65"/>
      <c r="AG497" s="65"/>
      <c r="AH497" s="30"/>
      <c r="AI497" s="65"/>
      <c r="AJ497" s="65"/>
      <c r="AK497" s="65"/>
      <c r="AL497" s="65"/>
      <c r="AM497" s="65"/>
      <c r="AN497" s="65"/>
      <c r="AO497" s="65"/>
    </row>
    <row r="498">
      <c r="A498" s="30"/>
      <c r="B498" s="65"/>
      <c r="C498" s="65"/>
      <c r="D498" s="65"/>
      <c r="E498" s="30"/>
      <c r="F498" s="65"/>
      <c r="G498" s="65"/>
      <c r="H498" s="65"/>
      <c r="I498" s="30"/>
      <c r="J498" s="65"/>
      <c r="K498" s="65"/>
      <c r="L498" s="65"/>
      <c r="M498" s="30"/>
      <c r="N498" s="65"/>
      <c r="O498" s="65"/>
      <c r="P498" s="65"/>
      <c r="Q498" s="30"/>
      <c r="R498" s="65"/>
      <c r="S498" s="65"/>
      <c r="T498" s="65"/>
      <c r="U498" s="30"/>
      <c r="V498" s="65"/>
      <c r="W498" s="65"/>
      <c r="X498" s="65"/>
      <c r="Y498" s="30"/>
      <c r="Z498" s="65"/>
      <c r="AA498" s="65"/>
      <c r="AB498" s="65"/>
      <c r="AC498" s="30"/>
      <c r="AD498" s="65"/>
      <c r="AE498" s="65"/>
      <c r="AF498" s="65"/>
      <c r="AG498" s="65"/>
      <c r="AH498" s="30"/>
      <c r="AI498" s="65"/>
      <c r="AJ498" s="65"/>
      <c r="AK498" s="65"/>
      <c r="AL498" s="65"/>
      <c r="AM498" s="65"/>
      <c r="AN498" s="65"/>
      <c r="AO498" s="65"/>
    </row>
    <row r="499">
      <c r="A499" s="30"/>
      <c r="B499" s="65"/>
      <c r="C499" s="65"/>
      <c r="D499" s="65"/>
      <c r="E499" s="30"/>
      <c r="F499" s="65"/>
      <c r="G499" s="65"/>
      <c r="H499" s="65"/>
      <c r="I499" s="30"/>
      <c r="J499" s="65"/>
      <c r="K499" s="65"/>
      <c r="L499" s="65"/>
      <c r="M499" s="30"/>
      <c r="N499" s="65"/>
      <c r="O499" s="65"/>
      <c r="P499" s="65"/>
      <c r="Q499" s="30"/>
      <c r="R499" s="65"/>
      <c r="S499" s="65"/>
      <c r="T499" s="65"/>
      <c r="U499" s="30"/>
      <c r="V499" s="65"/>
      <c r="W499" s="65"/>
      <c r="X499" s="65"/>
      <c r="Y499" s="30"/>
      <c r="Z499" s="65"/>
      <c r="AA499" s="65"/>
      <c r="AB499" s="65"/>
      <c r="AC499" s="30"/>
      <c r="AD499" s="65"/>
      <c r="AE499" s="65"/>
      <c r="AF499" s="65"/>
      <c r="AG499" s="65"/>
      <c r="AH499" s="30"/>
      <c r="AI499" s="65"/>
      <c r="AJ499" s="65"/>
      <c r="AK499" s="65"/>
      <c r="AL499" s="65"/>
      <c r="AM499" s="65"/>
      <c r="AN499" s="65"/>
      <c r="AO499" s="65"/>
    </row>
    <row r="500">
      <c r="A500" s="30"/>
      <c r="B500" s="65"/>
      <c r="C500" s="65"/>
      <c r="D500" s="65"/>
      <c r="E500" s="30"/>
      <c r="F500" s="65"/>
      <c r="G500" s="65"/>
      <c r="H500" s="65"/>
      <c r="I500" s="30"/>
      <c r="J500" s="65"/>
      <c r="K500" s="65"/>
      <c r="L500" s="65"/>
      <c r="M500" s="30"/>
      <c r="N500" s="65"/>
      <c r="O500" s="65"/>
      <c r="P500" s="65"/>
      <c r="Q500" s="30"/>
      <c r="R500" s="65"/>
      <c r="S500" s="65"/>
      <c r="T500" s="65"/>
      <c r="U500" s="30"/>
      <c r="V500" s="65"/>
      <c r="W500" s="65"/>
      <c r="X500" s="65"/>
      <c r="Y500" s="30"/>
      <c r="Z500" s="65"/>
      <c r="AA500" s="65"/>
      <c r="AB500" s="65"/>
      <c r="AC500" s="30"/>
      <c r="AD500" s="65"/>
      <c r="AE500" s="65"/>
      <c r="AF500" s="65"/>
      <c r="AG500" s="65"/>
      <c r="AH500" s="30"/>
      <c r="AI500" s="65"/>
      <c r="AJ500" s="65"/>
      <c r="AK500" s="65"/>
      <c r="AL500" s="65"/>
      <c r="AM500" s="65"/>
      <c r="AN500" s="65"/>
      <c r="AO500" s="65"/>
    </row>
    <row r="501">
      <c r="A501" s="30"/>
      <c r="B501" s="65"/>
      <c r="C501" s="65"/>
      <c r="D501" s="65"/>
      <c r="E501" s="30"/>
      <c r="F501" s="65"/>
      <c r="G501" s="65"/>
      <c r="H501" s="65"/>
      <c r="I501" s="30"/>
      <c r="J501" s="65"/>
      <c r="K501" s="65"/>
      <c r="L501" s="65"/>
      <c r="M501" s="30"/>
      <c r="N501" s="65"/>
      <c r="O501" s="65"/>
      <c r="P501" s="65"/>
      <c r="Q501" s="30"/>
      <c r="R501" s="65"/>
      <c r="S501" s="65"/>
      <c r="T501" s="65"/>
      <c r="U501" s="30"/>
      <c r="V501" s="65"/>
      <c r="W501" s="65"/>
      <c r="X501" s="65"/>
      <c r="Y501" s="30"/>
      <c r="Z501" s="65"/>
      <c r="AA501" s="65"/>
      <c r="AB501" s="65"/>
      <c r="AC501" s="30"/>
      <c r="AD501" s="65"/>
      <c r="AE501" s="65"/>
      <c r="AF501" s="65"/>
      <c r="AG501" s="65"/>
      <c r="AH501" s="30"/>
      <c r="AI501" s="65"/>
      <c r="AJ501" s="65"/>
      <c r="AK501" s="65"/>
      <c r="AL501" s="65"/>
      <c r="AM501" s="65"/>
      <c r="AN501" s="65"/>
      <c r="AO501" s="65"/>
    </row>
    <row r="502">
      <c r="A502" s="30"/>
      <c r="B502" s="65"/>
      <c r="C502" s="65"/>
      <c r="D502" s="65"/>
      <c r="E502" s="30"/>
      <c r="F502" s="65"/>
      <c r="G502" s="65"/>
      <c r="H502" s="65"/>
      <c r="I502" s="30"/>
      <c r="J502" s="65"/>
      <c r="K502" s="65"/>
      <c r="L502" s="65"/>
      <c r="M502" s="30"/>
      <c r="N502" s="65"/>
      <c r="O502" s="65"/>
      <c r="P502" s="65"/>
      <c r="Q502" s="30"/>
      <c r="R502" s="65"/>
      <c r="S502" s="65"/>
      <c r="T502" s="65"/>
      <c r="U502" s="30"/>
      <c r="V502" s="65"/>
      <c r="W502" s="65"/>
      <c r="X502" s="65"/>
      <c r="Y502" s="30"/>
      <c r="Z502" s="65"/>
      <c r="AA502" s="65"/>
      <c r="AB502" s="65"/>
      <c r="AC502" s="30"/>
      <c r="AD502" s="65"/>
      <c r="AE502" s="65"/>
      <c r="AF502" s="65"/>
      <c r="AG502" s="65"/>
      <c r="AH502" s="30"/>
      <c r="AI502" s="65"/>
      <c r="AJ502" s="65"/>
      <c r="AK502" s="65"/>
      <c r="AL502" s="65"/>
      <c r="AM502" s="65"/>
      <c r="AN502" s="65"/>
      <c r="AO502" s="65"/>
    </row>
    <row r="503">
      <c r="A503" s="30"/>
      <c r="B503" s="65"/>
      <c r="C503" s="65"/>
      <c r="D503" s="65"/>
      <c r="E503" s="30"/>
      <c r="F503" s="65"/>
      <c r="G503" s="65"/>
      <c r="H503" s="65"/>
      <c r="I503" s="30"/>
      <c r="J503" s="65"/>
      <c r="K503" s="65"/>
      <c r="L503" s="65"/>
      <c r="M503" s="30"/>
      <c r="N503" s="65"/>
      <c r="O503" s="65"/>
      <c r="P503" s="65"/>
      <c r="Q503" s="30"/>
      <c r="R503" s="65"/>
      <c r="S503" s="65"/>
      <c r="T503" s="65"/>
      <c r="U503" s="30"/>
      <c r="V503" s="65"/>
      <c r="W503" s="65"/>
      <c r="X503" s="65"/>
      <c r="Y503" s="30"/>
      <c r="Z503" s="65"/>
      <c r="AA503" s="65"/>
      <c r="AB503" s="65"/>
      <c r="AC503" s="30"/>
      <c r="AD503" s="65"/>
      <c r="AE503" s="65"/>
      <c r="AF503" s="65"/>
      <c r="AG503" s="65"/>
      <c r="AH503" s="30"/>
      <c r="AI503" s="65"/>
      <c r="AJ503" s="65"/>
      <c r="AK503" s="65"/>
      <c r="AL503" s="65"/>
      <c r="AM503" s="65"/>
      <c r="AN503" s="65"/>
      <c r="AO503" s="65"/>
    </row>
    <row r="504">
      <c r="A504" s="30"/>
      <c r="B504" s="65"/>
      <c r="C504" s="65"/>
      <c r="D504" s="65"/>
      <c r="E504" s="30"/>
      <c r="F504" s="65"/>
      <c r="G504" s="65"/>
      <c r="H504" s="65"/>
      <c r="I504" s="30"/>
      <c r="J504" s="65"/>
      <c r="K504" s="65"/>
      <c r="L504" s="65"/>
      <c r="M504" s="30"/>
      <c r="N504" s="65"/>
      <c r="O504" s="65"/>
      <c r="P504" s="65"/>
      <c r="Q504" s="30"/>
      <c r="R504" s="65"/>
      <c r="S504" s="65"/>
      <c r="T504" s="65"/>
      <c r="U504" s="30"/>
      <c r="V504" s="65"/>
      <c r="W504" s="65"/>
      <c r="X504" s="65"/>
      <c r="Y504" s="30"/>
      <c r="Z504" s="65"/>
      <c r="AA504" s="65"/>
      <c r="AB504" s="65"/>
      <c r="AC504" s="30"/>
      <c r="AD504" s="65"/>
      <c r="AE504" s="65"/>
      <c r="AF504" s="65"/>
      <c r="AG504" s="65"/>
      <c r="AH504" s="30"/>
      <c r="AI504" s="65"/>
      <c r="AJ504" s="65"/>
      <c r="AK504" s="65"/>
      <c r="AL504" s="65"/>
      <c r="AM504" s="65"/>
      <c r="AN504" s="65"/>
      <c r="AO504" s="65"/>
    </row>
    <row r="505">
      <c r="A505" s="30"/>
      <c r="B505" s="65"/>
      <c r="C505" s="65"/>
      <c r="D505" s="65"/>
      <c r="E505" s="30"/>
      <c r="F505" s="65"/>
      <c r="G505" s="65"/>
      <c r="H505" s="65"/>
      <c r="I505" s="30"/>
      <c r="J505" s="65"/>
      <c r="K505" s="65"/>
      <c r="L505" s="65"/>
      <c r="M505" s="30"/>
      <c r="N505" s="65"/>
      <c r="O505" s="65"/>
      <c r="P505" s="65"/>
      <c r="Q505" s="30"/>
      <c r="R505" s="65"/>
      <c r="S505" s="65"/>
      <c r="T505" s="65"/>
      <c r="U505" s="30"/>
      <c r="V505" s="65"/>
      <c r="W505" s="65"/>
      <c r="X505" s="65"/>
      <c r="Y505" s="30"/>
      <c r="Z505" s="65"/>
      <c r="AA505" s="65"/>
      <c r="AB505" s="65"/>
      <c r="AC505" s="30"/>
      <c r="AD505" s="65"/>
      <c r="AE505" s="65"/>
      <c r="AF505" s="65"/>
      <c r="AG505" s="65"/>
      <c r="AH505" s="30"/>
      <c r="AI505" s="65"/>
      <c r="AJ505" s="65"/>
      <c r="AK505" s="65"/>
      <c r="AL505" s="65"/>
      <c r="AM505" s="65"/>
      <c r="AN505" s="65"/>
      <c r="AO505" s="65"/>
    </row>
    <row r="506">
      <c r="A506" s="30"/>
      <c r="B506" s="65"/>
      <c r="C506" s="65"/>
      <c r="D506" s="65"/>
      <c r="E506" s="30"/>
      <c r="F506" s="65"/>
      <c r="G506" s="65"/>
      <c r="H506" s="65"/>
      <c r="I506" s="30"/>
      <c r="J506" s="65"/>
      <c r="K506" s="65"/>
      <c r="L506" s="65"/>
      <c r="M506" s="30"/>
      <c r="N506" s="65"/>
      <c r="O506" s="65"/>
      <c r="P506" s="65"/>
      <c r="Q506" s="30"/>
      <c r="R506" s="65"/>
      <c r="S506" s="65"/>
      <c r="T506" s="65"/>
      <c r="U506" s="30"/>
      <c r="V506" s="65"/>
      <c r="W506" s="65"/>
      <c r="X506" s="65"/>
      <c r="Y506" s="30"/>
      <c r="Z506" s="65"/>
      <c r="AA506" s="65"/>
      <c r="AB506" s="65"/>
      <c r="AC506" s="30"/>
      <c r="AD506" s="65"/>
      <c r="AE506" s="65"/>
      <c r="AF506" s="65"/>
      <c r="AG506" s="65"/>
      <c r="AH506" s="30"/>
      <c r="AI506" s="65"/>
      <c r="AJ506" s="65"/>
      <c r="AK506" s="65"/>
      <c r="AL506" s="65"/>
      <c r="AM506" s="65"/>
      <c r="AN506" s="65"/>
      <c r="AO506" s="65"/>
    </row>
    <row r="507">
      <c r="A507" s="30"/>
      <c r="B507" s="65"/>
      <c r="C507" s="65"/>
      <c r="D507" s="65"/>
      <c r="E507" s="30"/>
      <c r="F507" s="65"/>
      <c r="G507" s="65"/>
      <c r="H507" s="65"/>
      <c r="I507" s="30"/>
      <c r="J507" s="65"/>
      <c r="K507" s="65"/>
      <c r="L507" s="65"/>
      <c r="M507" s="30"/>
      <c r="N507" s="65"/>
      <c r="O507" s="65"/>
      <c r="P507" s="65"/>
      <c r="Q507" s="30"/>
      <c r="R507" s="65"/>
      <c r="S507" s="65"/>
      <c r="T507" s="65"/>
      <c r="U507" s="30"/>
      <c r="V507" s="65"/>
      <c r="W507" s="65"/>
      <c r="X507" s="65"/>
      <c r="Y507" s="30"/>
      <c r="Z507" s="65"/>
      <c r="AA507" s="65"/>
      <c r="AB507" s="65"/>
      <c r="AC507" s="30"/>
      <c r="AD507" s="65"/>
      <c r="AE507" s="65"/>
      <c r="AF507" s="65"/>
      <c r="AG507" s="65"/>
      <c r="AH507" s="30"/>
      <c r="AI507" s="65"/>
      <c r="AJ507" s="65"/>
      <c r="AK507" s="65"/>
      <c r="AL507" s="65"/>
      <c r="AM507" s="65"/>
      <c r="AN507" s="65"/>
      <c r="AO507" s="65"/>
    </row>
    <row r="508">
      <c r="A508" s="30"/>
      <c r="B508" s="65"/>
      <c r="C508" s="65"/>
      <c r="D508" s="65"/>
      <c r="E508" s="30"/>
      <c r="F508" s="65"/>
      <c r="G508" s="65"/>
      <c r="H508" s="65"/>
      <c r="I508" s="30"/>
      <c r="J508" s="65"/>
      <c r="K508" s="65"/>
      <c r="L508" s="65"/>
      <c r="M508" s="30"/>
      <c r="N508" s="65"/>
      <c r="O508" s="65"/>
      <c r="P508" s="65"/>
      <c r="Q508" s="30"/>
      <c r="R508" s="65"/>
      <c r="S508" s="65"/>
      <c r="T508" s="65"/>
      <c r="U508" s="30"/>
      <c r="V508" s="65"/>
      <c r="W508" s="65"/>
      <c r="X508" s="65"/>
      <c r="Y508" s="30"/>
      <c r="Z508" s="65"/>
      <c r="AA508" s="65"/>
      <c r="AB508" s="65"/>
      <c r="AC508" s="30"/>
      <c r="AD508" s="65"/>
      <c r="AE508" s="65"/>
      <c r="AF508" s="65"/>
      <c r="AG508" s="65"/>
      <c r="AH508" s="30"/>
      <c r="AI508" s="65"/>
      <c r="AJ508" s="65"/>
      <c r="AK508" s="65"/>
      <c r="AL508" s="65"/>
      <c r="AM508" s="65"/>
      <c r="AN508" s="65"/>
      <c r="AO508" s="65"/>
    </row>
    <row r="509">
      <c r="A509" s="30"/>
      <c r="B509" s="65"/>
      <c r="C509" s="65"/>
      <c r="D509" s="65"/>
      <c r="E509" s="30"/>
      <c r="F509" s="65"/>
      <c r="G509" s="65"/>
      <c r="H509" s="65"/>
      <c r="I509" s="30"/>
      <c r="J509" s="65"/>
      <c r="K509" s="65"/>
      <c r="L509" s="65"/>
      <c r="M509" s="30"/>
      <c r="N509" s="65"/>
      <c r="O509" s="65"/>
      <c r="P509" s="65"/>
      <c r="Q509" s="30"/>
      <c r="R509" s="65"/>
      <c r="S509" s="65"/>
      <c r="T509" s="65"/>
      <c r="U509" s="30"/>
      <c r="V509" s="65"/>
      <c r="W509" s="65"/>
      <c r="X509" s="65"/>
      <c r="Y509" s="30"/>
      <c r="Z509" s="65"/>
      <c r="AA509" s="65"/>
      <c r="AB509" s="65"/>
      <c r="AC509" s="30"/>
      <c r="AD509" s="65"/>
      <c r="AE509" s="65"/>
      <c r="AF509" s="65"/>
      <c r="AG509" s="65"/>
      <c r="AH509" s="30"/>
      <c r="AI509" s="65"/>
      <c r="AJ509" s="65"/>
      <c r="AK509" s="65"/>
      <c r="AL509" s="65"/>
      <c r="AM509" s="65"/>
      <c r="AN509" s="65"/>
      <c r="AO509" s="65"/>
    </row>
    <row r="510">
      <c r="A510" s="30"/>
      <c r="B510" s="65"/>
      <c r="C510" s="65"/>
      <c r="D510" s="65"/>
      <c r="E510" s="30"/>
      <c r="F510" s="65"/>
      <c r="G510" s="65"/>
      <c r="H510" s="65"/>
      <c r="I510" s="30"/>
      <c r="J510" s="65"/>
      <c r="K510" s="65"/>
      <c r="L510" s="65"/>
      <c r="M510" s="30"/>
      <c r="N510" s="65"/>
      <c r="O510" s="65"/>
      <c r="P510" s="65"/>
      <c r="Q510" s="30"/>
      <c r="R510" s="65"/>
      <c r="S510" s="65"/>
      <c r="T510" s="65"/>
      <c r="U510" s="30"/>
      <c r="V510" s="65"/>
      <c r="W510" s="65"/>
      <c r="X510" s="65"/>
      <c r="Y510" s="30"/>
      <c r="Z510" s="65"/>
      <c r="AA510" s="65"/>
      <c r="AB510" s="65"/>
      <c r="AC510" s="30"/>
      <c r="AD510" s="65"/>
      <c r="AE510" s="65"/>
      <c r="AF510" s="65"/>
      <c r="AG510" s="65"/>
      <c r="AH510" s="30"/>
      <c r="AI510" s="65"/>
      <c r="AJ510" s="65"/>
      <c r="AK510" s="65"/>
      <c r="AL510" s="65"/>
      <c r="AM510" s="65"/>
      <c r="AN510" s="65"/>
      <c r="AO510" s="65"/>
    </row>
    <row r="511">
      <c r="A511" s="30"/>
      <c r="B511" s="65"/>
      <c r="C511" s="65"/>
      <c r="D511" s="65"/>
      <c r="E511" s="30"/>
      <c r="F511" s="65"/>
      <c r="G511" s="65"/>
      <c r="H511" s="65"/>
      <c r="I511" s="30"/>
      <c r="J511" s="65"/>
      <c r="K511" s="65"/>
      <c r="L511" s="65"/>
      <c r="M511" s="30"/>
      <c r="N511" s="65"/>
      <c r="O511" s="65"/>
      <c r="P511" s="65"/>
      <c r="Q511" s="30"/>
      <c r="R511" s="65"/>
      <c r="S511" s="65"/>
      <c r="T511" s="65"/>
      <c r="U511" s="30"/>
      <c r="V511" s="65"/>
      <c r="W511" s="65"/>
      <c r="X511" s="65"/>
      <c r="Y511" s="30"/>
      <c r="Z511" s="65"/>
      <c r="AA511" s="65"/>
      <c r="AB511" s="65"/>
      <c r="AC511" s="30"/>
      <c r="AD511" s="65"/>
      <c r="AE511" s="65"/>
      <c r="AF511" s="65"/>
      <c r="AG511" s="65"/>
      <c r="AH511" s="30"/>
      <c r="AI511" s="65"/>
      <c r="AJ511" s="65"/>
      <c r="AK511" s="65"/>
      <c r="AL511" s="65"/>
      <c r="AM511" s="65"/>
      <c r="AN511" s="65"/>
      <c r="AO511" s="65"/>
    </row>
    <row r="512">
      <c r="A512" s="30"/>
      <c r="B512" s="65"/>
      <c r="C512" s="65"/>
      <c r="D512" s="65"/>
      <c r="E512" s="30"/>
      <c r="F512" s="65"/>
      <c r="G512" s="65"/>
      <c r="H512" s="65"/>
      <c r="I512" s="30"/>
      <c r="J512" s="65"/>
      <c r="K512" s="65"/>
      <c r="L512" s="65"/>
      <c r="M512" s="30"/>
      <c r="N512" s="65"/>
      <c r="O512" s="65"/>
      <c r="P512" s="65"/>
      <c r="Q512" s="30"/>
      <c r="R512" s="65"/>
      <c r="S512" s="65"/>
      <c r="T512" s="65"/>
      <c r="U512" s="30"/>
      <c r="V512" s="65"/>
      <c r="W512" s="65"/>
      <c r="X512" s="65"/>
      <c r="Y512" s="30"/>
      <c r="Z512" s="65"/>
      <c r="AA512" s="65"/>
      <c r="AB512" s="65"/>
      <c r="AC512" s="30"/>
      <c r="AD512" s="65"/>
      <c r="AE512" s="65"/>
      <c r="AF512" s="65"/>
      <c r="AG512" s="65"/>
      <c r="AH512" s="30"/>
      <c r="AI512" s="65"/>
      <c r="AJ512" s="65"/>
      <c r="AK512" s="65"/>
      <c r="AL512" s="65"/>
      <c r="AM512" s="65"/>
      <c r="AN512" s="65"/>
      <c r="AO512" s="65"/>
    </row>
    <row r="513">
      <c r="A513" s="30"/>
      <c r="B513" s="65"/>
      <c r="C513" s="65"/>
      <c r="D513" s="65"/>
      <c r="E513" s="30"/>
      <c r="F513" s="65"/>
      <c r="G513" s="65"/>
      <c r="H513" s="65"/>
      <c r="I513" s="30"/>
      <c r="J513" s="65"/>
      <c r="K513" s="65"/>
      <c r="L513" s="65"/>
      <c r="M513" s="30"/>
      <c r="N513" s="65"/>
      <c r="O513" s="65"/>
      <c r="P513" s="65"/>
      <c r="Q513" s="30"/>
      <c r="R513" s="65"/>
      <c r="S513" s="65"/>
      <c r="T513" s="65"/>
      <c r="U513" s="30"/>
      <c r="V513" s="65"/>
      <c r="W513" s="65"/>
      <c r="X513" s="65"/>
      <c r="Y513" s="30"/>
      <c r="Z513" s="65"/>
      <c r="AA513" s="65"/>
      <c r="AB513" s="65"/>
      <c r="AC513" s="30"/>
      <c r="AD513" s="65"/>
      <c r="AE513" s="65"/>
      <c r="AF513" s="65"/>
      <c r="AG513" s="65"/>
      <c r="AH513" s="30"/>
      <c r="AI513" s="65"/>
      <c r="AJ513" s="65"/>
      <c r="AK513" s="65"/>
      <c r="AL513" s="65"/>
      <c r="AM513" s="65"/>
      <c r="AN513" s="65"/>
      <c r="AO513" s="65"/>
    </row>
    <row r="514">
      <c r="A514" s="30"/>
      <c r="B514" s="65"/>
      <c r="C514" s="65"/>
      <c r="D514" s="65"/>
      <c r="E514" s="30"/>
      <c r="F514" s="65"/>
      <c r="G514" s="65"/>
      <c r="H514" s="65"/>
      <c r="I514" s="30"/>
      <c r="J514" s="65"/>
      <c r="K514" s="65"/>
      <c r="L514" s="65"/>
      <c r="M514" s="30"/>
      <c r="N514" s="65"/>
      <c r="O514" s="65"/>
      <c r="P514" s="65"/>
      <c r="Q514" s="30"/>
      <c r="R514" s="65"/>
      <c r="S514" s="65"/>
      <c r="T514" s="65"/>
      <c r="U514" s="30"/>
      <c r="V514" s="65"/>
      <c r="W514" s="65"/>
      <c r="X514" s="65"/>
      <c r="Y514" s="30"/>
      <c r="Z514" s="65"/>
      <c r="AA514" s="65"/>
      <c r="AB514" s="65"/>
      <c r="AC514" s="30"/>
      <c r="AD514" s="65"/>
      <c r="AE514" s="65"/>
      <c r="AF514" s="65"/>
      <c r="AG514" s="65"/>
      <c r="AH514" s="30"/>
      <c r="AI514" s="65"/>
      <c r="AJ514" s="65"/>
      <c r="AK514" s="65"/>
      <c r="AL514" s="65"/>
      <c r="AM514" s="65"/>
      <c r="AN514" s="65"/>
      <c r="AO514" s="65"/>
    </row>
    <row r="515">
      <c r="A515" s="30"/>
      <c r="B515" s="65"/>
      <c r="C515" s="65"/>
      <c r="D515" s="65"/>
      <c r="E515" s="30"/>
      <c r="F515" s="65"/>
      <c r="G515" s="65"/>
      <c r="H515" s="65"/>
      <c r="I515" s="30"/>
      <c r="J515" s="65"/>
      <c r="K515" s="65"/>
      <c r="L515" s="65"/>
      <c r="M515" s="30"/>
      <c r="N515" s="65"/>
      <c r="O515" s="65"/>
      <c r="P515" s="65"/>
      <c r="Q515" s="30"/>
      <c r="R515" s="65"/>
      <c r="S515" s="65"/>
      <c r="T515" s="65"/>
      <c r="U515" s="30"/>
      <c r="V515" s="65"/>
      <c r="W515" s="65"/>
      <c r="X515" s="65"/>
      <c r="Y515" s="30"/>
      <c r="Z515" s="65"/>
      <c r="AA515" s="65"/>
      <c r="AB515" s="65"/>
      <c r="AC515" s="30"/>
      <c r="AD515" s="65"/>
      <c r="AE515" s="65"/>
      <c r="AF515" s="65"/>
      <c r="AG515" s="65"/>
      <c r="AH515" s="30"/>
      <c r="AI515" s="65"/>
      <c r="AJ515" s="65"/>
      <c r="AK515" s="65"/>
      <c r="AL515" s="65"/>
      <c r="AM515" s="65"/>
      <c r="AN515" s="65"/>
      <c r="AO515" s="65"/>
    </row>
    <row r="516">
      <c r="A516" s="30"/>
      <c r="B516" s="65"/>
      <c r="C516" s="65"/>
      <c r="D516" s="65"/>
      <c r="E516" s="30"/>
      <c r="F516" s="65"/>
      <c r="G516" s="65"/>
      <c r="H516" s="65"/>
      <c r="I516" s="30"/>
      <c r="J516" s="65"/>
      <c r="K516" s="65"/>
      <c r="L516" s="65"/>
      <c r="M516" s="30"/>
      <c r="N516" s="65"/>
      <c r="O516" s="65"/>
      <c r="P516" s="65"/>
      <c r="Q516" s="30"/>
      <c r="R516" s="65"/>
      <c r="S516" s="65"/>
      <c r="T516" s="65"/>
      <c r="U516" s="30"/>
      <c r="V516" s="65"/>
      <c r="W516" s="65"/>
      <c r="X516" s="65"/>
      <c r="Y516" s="30"/>
      <c r="Z516" s="65"/>
      <c r="AA516" s="65"/>
      <c r="AB516" s="65"/>
      <c r="AC516" s="30"/>
      <c r="AD516" s="65"/>
      <c r="AE516" s="65"/>
      <c r="AF516" s="65"/>
      <c r="AG516" s="65"/>
      <c r="AH516" s="30"/>
      <c r="AI516" s="65"/>
      <c r="AJ516" s="65"/>
      <c r="AK516" s="65"/>
      <c r="AL516" s="65"/>
      <c r="AM516" s="65"/>
      <c r="AN516" s="65"/>
      <c r="AO516" s="65"/>
    </row>
    <row r="517">
      <c r="A517" s="30"/>
      <c r="B517" s="65"/>
      <c r="C517" s="65"/>
      <c r="D517" s="65"/>
      <c r="E517" s="30"/>
      <c r="F517" s="65"/>
      <c r="G517" s="65"/>
      <c r="H517" s="65"/>
      <c r="I517" s="30"/>
      <c r="J517" s="65"/>
      <c r="K517" s="65"/>
      <c r="L517" s="65"/>
      <c r="M517" s="30"/>
      <c r="N517" s="65"/>
      <c r="O517" s="65"/>
      <c r="P517" s="65"/>
      <c r="Q517" s="30"/>
      <c r="R517" s="65"/>
      <c r="S517" s="65"/>
      <c r="T517" s="65"/>
      <c r="U517" s="30"/>
      <c r="V517" s="65"/>
      <c r="W517" s="65"/>
      <c r="X517" s="65"/>
      <c r="Y517" s="30"/>
      <c r="Z517" s="65"/>
      <c r="AA517" s="65"/>
      <c r="AB517" s="65"/>
      <c r="AC517" s="30"/>
      <c r="AD517" s="65"/>
      <c r="AE517" s="65"/>
      <c r="AF517" s="65"/>
      <c r="AG517" s="65"/>
      <c r="AH517" s="30"/>
      <c r="AI517" s="65"/>
      <c r="AJ517" s="65"/>
      <c r="AK517" s="65"/>
      <c r="AL517" s="65"/>
      <c r="AM517" s="65"/>
      <c r="AN517" s="65"/>
      <c r="AO517" s="65"/>
    </row>
    <row r="518">
      <c r="A518" s="30"/>
      <c r="B518" s="65"/>
      <c r="C518" s="65"/>
      <c r="D518" s="65"/>
      <c r="E518" s="30"/>
      <c r="F518" s="65"/>
      <c r="G518" s="65"/>
      <c r="H518" s="65"/>
      <c r="I518" s="30"/>
      <c r="J518" s="65"/>
      <c r="K518" s="65"/>
      <c r="L518" s="65"/>
      <c r="M518" s="30"/>
      <c r="N518" s="65"/>
      <c r="O518" s="65"/>
      <c r="P518" s="65"/>
      <c r="Q518" s="30"/>
      <c r="R518" s="65"/>
      <c r="S518" s="65"/>
      <c r="T518" s="65"/>
      <c r="U518" s="30"/>
      <c r="V518" s="65"/>
      <c r="W518" s="65"/>
      <c r="X518" s="65"/>
      <c r="Y518" s="30"/>
      <c r="Z518" s="65"/>
      <c r="AA518" s="65"/>
      <c r="AB518" s="65"/>
      <c r="AC518" s="30"/>
      <c r="AD518" s="65"/>
      <c r="AE518" s="65"/>
      <c r="AF518" s="65"/>
      <c r="AG518" s="65"/>
      <c r="AH518" s="30"/>
      <c r="AI518" s="65"/>
      <c r="AJ518" s="65"/>
      <c r="AK518" s="65"/>
      <c r="AL518" s="65"/>
      <c r="AM518" s="65"/>
      <c r="AN518" s="65"/>
      <c r="AO518" s="65"/>
    </row>
    <row r="519">
      <c r="A519" s="30"/>
      <c r="B519" s="65"/>
      <c r="C519" s="65"/>
      <c r="D519" s="65"/>
      <c r="E519" s="30"/>
      <c r="F519" s="65"/>
      <c r="G519" s="65"/>
      <c r="H519" s="65"/>
      <c r="I519" s="30"/>
      <c r="J519" s="65"/>
      <c r="K519" s="65"/>
      <c r="L519" s="65"/>
      <c r="M519" s="30"/>
      <c r="N519" s="65"/>
      <c r="O519" s="65"/>
      <c r="P519" s="65"/>
      <c r="Q519" s="30"/>
      <c r="R519" s="65"/>
      <c r="S519" s="65"/>
      <c r="T519" s="65"/>
      <c r="U519" s="30"/>
      <c r="V519" s="65"/>
      <c r="W519" s="65"/>
      <c r="X519" s="65"/>
      <c r="Y519" s="30"/>
      <c r="Z519" s="65"/>
      <c r="AA519" s="65"/>
      <c r="AB519" s="65"/>
      <c r="AC519" s="30"/>
      <c r="AD519" s="65"/>
      <c r="AE519" s="65"/>
      <c r="AF519" s="65"/>
      <c r="AG519" s="65"/>
      <c r="AH519" s="30"/>
      <c r="AI519" s="65"/>
      <c r="AJ519" s="65"/>
      <c r="AK519" s="65"/>
      <c r="AL519" s="65"/>
      <c r="AM519" s="65"/>
      <c r="AN519" s="65"/>
      <c r="AO519" s="65"/>
    </row>
    <row r="520">
      <c r="A520" s="30"/>
      <c r="B520" s="65"/>
      <c r="C520" s="65"/>
      <c r="D520" s="65"/>
      <c r="E520" s="30"/>
      <c r="F520" s="65"/>
      <c r="G520" s="65"/>
      <c r="H520" s="65"/>
      <c r="I520" s="30"/>
      <c r="J520" s="65"/>
      <c r="K520" s="65"/>
      <c r="L520" s="65"/>
      <c r="M520" s="30"/>
      <c r="N520" s="65"/>
      <c r="O520" s="65"/>
      <c r="P520" s="65"/>
      <c r="Q520" s="30"/>
      <c r="R520" s="65"/>
      <c r="S520" s="65"/>
      <c r="T520" s="65"/>
      <c r="U520" s="30"/>
      <c r="V520" s="65"/>
      <c r="W520" s="65"/>
      <c r="X520" s="65"/>
      <c r="Y520" s="30"/>
      <c r="Z520" s="65"/>
      <c r="AA520" s="65"/>
      <c r="AB520" s="65"/>
      <c r="AC520" s="30"/>
      <c r="AD520" s="65"/>
      <c r="AE520" s="65"/>
      <c r="AF520" s="65"/>
      <c r="AG520" s="65"/>
      <c r="AH520" s="30"/>
      <c r="AI520" s="65"/>
      <c r="AJ520" s="65"/>
      <c r="AK520" s="65"/>
      <c r="AL520" s="65"/>
      <c r="AM520" s="65"/>
      <c r="AN520" s="65"/>
      <c r="AO520" s="65"/>
    </row>
    <row r="521">
      <c r="A521" s="30"/>
      <c r="B521" s="65"/>
      <c r="C521" s="65"/>
      <c r="D521" s="65"/>
      <c r="E521" s="30"/>
      <c r="F521" s="65"/>
      <c r="G521" s="65"/>
      <c r="H521" s="65"/>
      <c r="I521" s="30"/>
      <c r="J521" s="65"/>
      <c r="K521" s="65"/>
      <c r="L521" s="65"/>
      <c r="M521" s="30"/>
      <c r="N521" s="65"/>
      <c r="O521" s="65"/>
      <c r="P521" s="65"/>
      <c r="Q521" s="30"/>
      <c r="R521" s="65"/>
      <c r="S521" s="65"/>
      <c r="T521" s="65"/>
      <c r="U521" s="30"/>
      <c r="V521" s="65"/>
      <c r="W521" s="65"/>
      <c r="X521" s="65"/>
      <c r="Y521" s="30"/>
      <c r="Z521" s="65"/>
      <c r="AA521" s="65"/>
      <c r="AB521" s="65"/>
      <c r="AC521" s="30"/>
      <c r="AD521" s="65"/>
      <c r="AE521" s="65"/>
      <c r="AF521" s="65"/>
      <c r="AG521" s="65"/>
      <c r="AH521" s="30"/>
      <c r="AI521" s="65"/>
      <c r="AJ521" s="65"/>
      <c r="AK521" s="65"/>
      <c r="AL521" s="65"/>
      <c r="AM521" s="65"/>
      <c r="AN521" s="65"/>
      <c r="AO521" s="65"/>
    </row>
    <row r="522">
      <c r="A522" s="30"/>
      <c r="B522" s="65"/>
      <c r="C522" s="65"/>
      <c r="D522" s="65"/>
      <c r="E522" s="30"/>
      <c r="F522" s="65"/>
      <c r="G522" s="65"/>
      <c r="H522" s="65"/>
      <c r="I522" s="30"/>
      <c r="J522" s="65"/>
      <c r="K522" s="65"/>
      <c r="L522" s="65"/>
      <c r="M522" s="30"/>
      <c r="N522" s="65"/>
      <c r="O522" s="65"/>
      <c r="P522" s="65"/>
      <c r="Q522" s="30"/>
      <c r="R522" s="65"/>
      <c r="S522" s="65"/>
      <c r="T522" s="65"/>
      <c r="U522" s="30"/>
      <c r="V522" s="65"/>
      <c r="W522" s="65"/>
      <c r="X522" s="65"/>
      <c r="Y522" s="30"/>
      <c r="Z522" s="65"/>
      <c r="AA522" s="65"/>
      <c r="AB522" s="65"/>
      <c r="AC522" s="30"/>
      <c r="AD522" s="65"/>
      <c r="AE522" s="65"/>
      <c r="AF522" s="65"/>
      <c r="AG522" s="65"/>
      <c r="AH522" s="30"/>
      <c r="AI522" s="65"/>
      <c r="AJ522" s="65"/>
      <c r="AK522" s="65"/>
      <c r="AL522" s="65"/>
      <c r="AM522" s="65"/>
      <c r="AN522" s="65"/>
      <c r="AO522" s="65"/>
    </row>
    <row r="523">
      <c r="A523" s="30"/>
      <c r="B523" s="65"/>
      <c r="C523" s="65"/>
      <c r="D523" s="65"/>
      <c r="E523" s="30"/>
      <c r="F523" s="65"/>
      <c r="G523" s="65"/>
      <c r="H523" s="65"/>
      <c r="I523" s="30"/>
      <c r="J523" s="65"/>
      <c r="K523" s="65"/>
      <c r="L523" s="65"/>
      <c r="M523" s="30"/>
      <c r="N523" s="65"/>
      <c r="O523" s="65"/>
      <c r="P523" s="65"/>
      <c r="Q523" s="30"/>
      <c r="R523" s="65"/>
      <c r="S523" s="65"/>
      <c r="T523" s="65"/>
      <c r="U523" s="30"/>
      <c r="V523" s="65"/>
      <c r="W523" s="65"/>
      <c r="X523" s="65"/>
      <c r="Y523" s="30"/>
      <c r="Z523" s="65"/>
      <c r="AA523" s="65"/>
      <c r="AB523" s="65"/>
      <c r="AC523" s="30"/>
      <c r="AD523" s="65"/>
      <c r="AE523" s="65"/>
      <c r="AF523" s="65"/>
      <c r="AG523" s="65"/>
      <c r="AH523" s="30"/>
      <c r="AI523" s="65"/>
      <c r="AJ523" s="65"/>
      <c r="AK523" s="65"/>
      <c r="AL523" s="65"/>
      <c r="AM523" s="65"/>
      <c r="AN523" s="65"/>
      <c r="AO523" s="65"/>
    </row>
    <row r="524">
      <c r="A524" s="30"/>
      <c r="B524" s="65"/>
      <c r="C524" s="65"/>
      <c r="D524" s="65"/>
      <c r="E524" s="30"/>
      <c r="F524" s="65"/>
      <c r="G524" s="65"/>
      <c r="H524" s="65"/>
      <c r="I524" s="30"/>
      <c r="J524" s="65"/>
      <c r="K524" s="65"/>
      <c r="L524" s="65"/>
      <c r="M524" s="30"/>
      <c r="N524" s="65"/>
      <c r="O524" s="65"/>
      <c r="P524" s="65"/>
      <c r="Q524" s="30"/>
      <c r="R524" s="65"/>
      <c r="S524" s="65"/>
      <c r="T524" s="65"/>
      <c r="U524" s="30"/>
      <c r="V524" s="65"/>
      <c r="W524" s="65"/>
      <c r="X524" s="65"/>
      <c r="Y524" s="30"/>
      <c r="Z524" s="65"/>
      <c r="AA524" s="65"/>
      <c r="AB524" s="65"/>
      <c r="AC524" s="30"/>
      <c r="AD524" s="65"/>
      <c r="AE524" s="65"/>
      <c r="AF524" s="65"/>
      <c r="AG524" s="65"/>
      <c r="AH524" s="30"/>
      <c r="AI524" s="65"/>
      <c r="AJ524" s="65"/>
      <c r="AK524" s="65"/>
      <c r="AL524" s="65"/>
      <c r="AM524" s="65"/>
      <c r="AN524" s="65"/>
      <c r="AO524" s="65"/>
    </row>
    <row r="525">
      <c r="A525" s="30"/>
      <c r="B525" s="65"/>
      <c r="C525" s="65"/>
      <c r="D525" s="65"/>
      <c r="E525" s="30"/>
      <c r="F525" s="65"/>
      <c r="G525" s="65"/>
      <c r="H525" s="65"/>
      <c r="I525" s="30"/>
      <c r="J525" s="65"/>
      <c r="K525" s="65"/>
      <c r="L525" s="65"/>
      <c r="M525" s="30"/>
      <c r="N525" s="65"/>
      <c r="O525" s="65"/>
      <c r="P525" s="65"/>
      <c r="Q525" s="30"/>
      <c r="R525" s="65"/>
      <c r="S525" s="65"/>
      <c r="T525" s="65"/>
      <c r="U525" s="30"/>
      <c r="V525" s="65"/>
      <c r="W525" s="65"/>
      <c r="X525" s="65"/>
      <c r="Y525" s="30"/>
      <c r="Z525" s="65"/>
      <c r="AA525" s="65"/>
      <c r="AB525" s="65"/>
      <c r="AC525" s="30"/>
      <c r="AD525" s="65"/>
      <c r="AE525" s="65"/>
      <c r="AF525" s="65"/>
      <c r="AG525" s="65"/>
      <c r="AH525" s="30"/>
      <c r="AI525" s="65"/>
      <c r="AJ525" s="65"/>
      <c r="AK525" s="65"/>
      <c r="AL525" s="65"/>
      <c r="AM525" s="65"/>
      <c r="AN525" s="65"/>
      <c r="AO525" s="65"/>
    </row>
    <row r="526">
      <c r="A526" s="30"/>
      <c r="B526" s="65"/>
      <c r="C526" s="65"/>
      <c r="D526" s="65"/>
      <c r="E526" s="30"/>
      <c r="F526" s="65"/>
      <c r="G526" s="65"/>
      <c r="H526" s="65"/>
      <c r="I526" s="30"/>
      <c r="J526" s="65"/>
      <c r="K526" s="65"/>
      <c r="L526" s="65"/>
      <c r="M526" s="30"/>
      <c r="N526" s="65"/>
      <c r="O526" s="65"/>
      <c r="P526" s="65"/>
      <c r="Q526" s="30"/>
      <c r="R526" s="65"/>
      <c r="S526" s="65"/>
      <c r="T526" s="65"/>
      <c r="U526" s="30"/>
      <c r="V526" s="65"/>
      <c r="W526" s="65"/>
      <c r="X526" s="65"/>
      <c r="Y526" s="30"/>
      <c r="Z526" s="65"/>
      <c r="AA526" s="65"/>
      <c r="AB526" s="65"/>
      <c r="AC526" s="30"/>
      <c r="AD526" s="65"/>
      <c r="AE526" s="65"/>
      <c r="AF526" s="65"/>
      <c r="AG526" s="65"/>
      <c r="AH526" s="30"/>
      <c r="AI526" s="65"/>
      <c r="AJ526" s="65"/>
      <c r="AK526" s="65"/>
      <c r="AL526" s="65"/>
      <c r="AM526" s="65"/>
      <c r="AN526" s="65"/>
      <c r="AO526" s="65"/>
    </row>
    <row r="527">
      <c r="A527" s="30"/>
      <c r="B527" s="65"/>
      <c r="C527" s="65"/>
      <c r="D527" s="65"/>
      <c r="E527" s="30"/>
      <c r="F527" s="65"/>
      <c r="G527" s="65"/>
      <c r="H527" s="65"/>
      <c r="I527" s="30"/>
      <c r="J527" s="65"/>
      <c r="K527" s="65"/>
      <c r="L527" s="65"/>
      <c r="M527" s="30"/>
      <c r="N527" s="65"/>
      <c r="O527" s="65"/>
      <c r="P527" s="65"/>
      <c r="Q527" s="30"/>
      <c r="R527" s="65"/>
      <c r="S527" s="65"/>
      <c r="T527" s="65"/>
      <c r="U527" s="30"/>
      <c r="V527" s="65"/>
      <c r="W527" s="65"/>
      <c r="X527" s="65"/>
      <c r="Y527" s="30"/>
      <c r="Z527" s="65"/>
      <c r="AA527" s="65"/>
      <c r="AB527" s="65"/>
      <c r="AC527" s="30"/>
      <c r="AD527" s="65"/>
      <c r="AE527" s="65"/>
      <c r="AF527" s="65"/>
      <c r="AG527" s="65"/>
      <c r="AH527" s="30"/>
      <c r="AI527" s="65"/>
      <c r="AJ527" s="65"/>
      <c r="AK527" s="65"/>
      <c r="AL527" s="65"/>
      <c r="AM527" s="65"/>
      <c r="AN527" s="65"/>
      <c r="AO527" s="65"/>
    </row>
    <row r="528">
      <c r="A528" s="30"/>
      <c r="B528" s="65"/>
      <c r="C528" s="65"/>
      <c r="D528" s="65"/>
      <c r="E528" s="30"/>
      <c r="F528" s="65"/>
      <c r="G528" s="65"/>
      <c r="H528" s="65"/>
      <c r="I528" s="30"/>
      <c r="J528" s="65"/>
      <c r="K528" s="65"/>
      <c r="L528" s="65"/>
      <c r="M528" s="30"/>
      <c r="N528" s="65"/>
      <c r="O528" s="65"/>
      <c r="P528" s="65"/>
      <c r="Q528" s="30"/>
      <c r="R528" s="65"/>
      <c r="S528" s="65"/>
      <c r="T528" s="65"/>
      <c r="U528" s="30"/>
      <c r="V528" s="65"/>
      <c r="W528" s="65"/>
      <c r="X528" s="65"/>
      <c r="Y528" s="30"/>
      <c r="Z528" s="65"/>
      <c r="AA528" s="65"/>
      <c r="AB528" s="65"/>
      <c r="AC528" s="30"/>
      <c r="AD528" s="65"/>
      <c r="AE528" s="65"/>
      <c r="AF528" s="65"/>
      <c r="AG528" s="65"/>
      <c r="AH528" s="30"/>
      <c r="AI528" s="65"/>
      <c r="AJ528" s="65"/>
      <c r="AK528" s="65"/>
      <c r="AL528" s="65"/>
      <c r="AM528" s="65"/>
      <c r="AN528" s="65"/>
      <c r="AO528" s="65"/>
    </row>
    <row r="529">
      <c r="A529" s="30"/>
      <c r="B529" s="65"/>
      <c r="C529" s="65"/>
      <c r="D529" s="65"/>
      <c r="E529" s="30"/>
      <c r="F529" s="65"/>
      <c r="G529" s="65"/>
      <c r="H529" s="65"/>
      <c r="I529" s="30"/>
      <c r="J529" s="65"/>
      <c r="K529" s="65"/>
      <c r="L529" s="65"/>
      <c r="M529" s="30"/>
      <c r="N529" s="65"/>
      <c r="O529" s="65"/>
      <c r="P529" s="65"/>
      <c r="Q529" s="30"/>
      <c r="R529" s="65"/>
      <c r="S529" s="65"/>
      <c r="T529" s="65"/>
      <c r="U529" s="30"/>
      <c r="V529" s="65"/>
      <c r="W529" s="65"/>
      <c r="X529" s="65"/>
      <c r="Y529" s="30"/>
      <c r="Z529" s="65"/>
      <c r="AA529" s="65"/>
      <c r="AB529" s="65"/>
      <c r="AC529" s="30"/>
      <c r="AD529" s="65"/>
      <c r="AE529" s="65"/>
      <c r="AF529" s="65"/>
      <c r="AG529" s="65"/>
      <c r="AH529" s="30"/>
      <c r="AI529" s="65"/>
      <c r="AJ529" s="65"/>
      <c r="AK529" s="65"/>
      <c r="AL529" s="65"/>
      <c r="AM529" s="65"/>
      <c r="AN529" s="65"/>
      <c r="AO529" s="65"/>
    </row>
    <row r="530">
      <c r="A530" s="30"/>
      <c r="B530" s="65"/>
      <c r="C530" s="65"/>
      <c r="D530" s="65"/>
      <c r="E530" s="30"/>
      <c r="F530" s="65"/>
      <c r="G530" s="65"/>
      <c r="H530" s="65"/>
      <c r="I530" s="30"/>
      <c r="J530" s="65"/>
      <c r="K530" s="65"/>
      <c r="L530" s="65"/>
      <c r="M530" s="30"/>
      <c r="N530" s="65"/>
      <c r="O530" s="65"/>
      <c r="P530" s="65"/>
      <c r="Q530" s="30"/>
      <c r="R530" s="65"/>
      <c r="S530" s="65"/>
      <c r="T530" s="65"/>
      <c r="U530" s="30"/>
      <c r="V530" s="65"/>
      <c r="W530" s="65"/>
      <c r="X530" s="65"/>
      <c r="Y530" s="30"/>
      <c r="Z530" s="65"/>
      <c r="AA530" s="65"/>
      <c r="AB530" s="65"/>
      <c r="AC530" s="30"/>
      <c r="AD530" s="65"/>
      <c r="AE530" s="65"/>
      <c r="AF530" s="65"/>
      <c r="AG530" s="65"/>
      <c r="AH530" s="30"/>
      <c r="AI530" s="65"/>
      <c r="AJ530" s="65"/>
      <c r="AK530" s="65"/>
      <c r="AL530" s="65"/>
      <c r="AM530" s="65"/>
      <c r="AN530" s="65"/>
      <c r="AO530" s="65"/>
    </row>
    <row r="531">
      <c r="A531" s="30"/>
      <c r="B531" s="65"/>
      <c r="C531" s="65"/>
      <c r="D531" s="65"/>
      <c r="E531" s="30"/>
      <c r="F531" s="65"/>
      <c r="G531" s="65"/>
      <c r="H531" s="65"/>
      <c r="I531" s="30"/>
      <c r="J531" s="65"/>
      <c r="K531" s="65"/>
      <c r="L531" s="65"/>
      <c r="M531" s="30"/>
      <c r="N531" s="65"/>
      <c r="O531" s="65"/>
      <c r="P531" s="65"/>
      <c r="Q531" s="30"/>
      <c r="R531" s="65"/>
      <c r="S531" s="65"/>
      <c r="T531" s="65"/>
      <c r="U531" s="30"/>
      <c r="V531" s="65"/>
      <c r="W531" s="65"/>
      <c r="X531" s="65"/>
      <c r="Y531" s="30"/>
      <c r="Z531" s="65"/>
      <c r="AA531" s="65"/>
      <c r="AB531" s="65"/>
      <c r="AC531" s="30"/>
      <c r="AD531" s="65"/>
      <c r="AE531" s="65"/>
      <c r="AF531" s="65"/>
      <c r="AG531" s="65"/>
      <c r="AH531" s="30"/>
      <c r="AI531" s="65"/>
      <c r="AJ531" s="65"/>
      <c r="AK531" s="65"/>
      <c r="AL531" s="65"/>
      <c r="AM531" s="65"/>
      <c r="AN531" s="65"/>
      <c r="AO531" s="65"/>
    </row>
    <row r="532">
      <c r="A532" s="30"/>
      <c r="B532" s="65"/>
      <c r="C532" s="65"/>
      <c r="D532" s="65"/>
      <c r="E532" s="30"/>
      <c r="F532" s="65"/>
      <c r="G532" s="65"/>
      <c r="H532" s="65"/>
      <c r="I532" s="30"/>
      <c r="J532" s="65"/>
      <c r="K532" s="65"/>
      <c r="L532" s="65"/>
      <c r="M532" s="30"/>
      <c r="N532" s="65"/>
      <c r="O532" s="65"/>
      <c r="P532" s="65"/>
      <c r="Q532" s="30"/>
      <c r="R532" s="65"/>
      <c r="S532" s="65"/>
      <c r="T532" s="65"/>
      <c r="U532" s="30"/>
      <c r="V532" s="65"/>
      <c r="W532" s="65"/>
      <c r="X532" s="65"/>
      <c r="Y532" s="30"/>
      <c r="Z532" s="65"/>
      <c r="AA532" s="65"/>
      <c r="AB532" s="65"/>
      <c r="AC532" s="30"/>
      <c r="AD532" s="65"/>
      <c r="AE532" s="65"/>
      <c r="AF532" s="65"/>
      <c r="AG532" s="65"/>
      <c r="AH532" s="30"/>
      <c r="AI532" s="65"/>
      <c r="AJ532" s="65"/>
      <c r="AK532" s="65"/>
      <c r="AL532" s="65"/>
      <c r="AM532" s="65"/>
      <c r="AN532" s="65"/>
      <c r="AO532" s="65"/>
    </row>
    <row r="533">
      <c r="A533" s="30"/>
      <c r="B533" s="65"/>
      <c r="C533" s="65"/>
      <c r="D533" s="65"/>
      <c r="E533" s="30"/>
      <c r="F533" s="65"/>
      <c r="G533" s="65"/>
      <c r="H533" s="65"/>
      <c r="I533" s="30"/>
      <c r="J533" s="65"/>
      <c r="K533" s="65"/>
      <c r="L533" s="65"/>
      <c r="M533" s="30"/>
      <c r="N533" s="65"/>
      <c r="O533" s="65"/>
      <c r="P533" s="65"/>
      <c r="Q533" s="30"/>
      <c r="R533" s="65"/>
      <c r="S533" s="65"/>
      <c r="T533" s="65"/>
      <c r="U533" s="30"/>
      <c r="V533" s="65"/>
      <c r="W533" s="65"/>
      <c r="X533" s="65"/>
      <c r="Y533" s="30"/>
      <c r="Z533" s="65"/>
      <c r="AA533" s="65"/>
      <c r="AB533" s="65"/>
      <c r="AC533" s="30"/>
      <c r="AD533" s="65"/>
      <c r="AE533" s="65"/>
      <c r="AF533" s="65"/>
      <c r="AG533" s="65"/>
      <c r="AH533" s="30"/>
      <c r="AI533" s="65"/>
      <c r="AJ533" s="65"/>
      <c r="AK533" s="65"/>
      <c r="AL533" s="65"/>
      <c r="AM533" s="65"/>
      <c r="AN533" s="65"/>
      <c r="AO533" s="65"/>
    </row>
    <row r="534">
      <c r="A534" s="30"/>
      <c r="B534" s="65"/>
      <c r="C534" s="65"/>
      <c r="D534" s="65"/>
      <c r="E534" s="30"/>
      <c r="F534" s="65"/>
      <c r="G534" s="65"/>
      <c r="H534" s="65"/>
      <c r="I534" s="30"/>
      <c r="J534" s="65"/>
      <c r="K534" s="65"/>
      <c r="L534" s="65"/>
      <c r="M534" s="30"/>
      <c r="N534" s="65"/>
      <c r="O534" s="65"/>
      <c r="P534" s="65"/>
      <c r="Q534" s="30"/>
      <c r="R534" s="65"/>
      <c r="S534" s="65"/>
      <c r="T534" s="65"/>
      <c r="U534" s="30"/>
      <c r="V534" s="65"/>
      <c r="W534" s="65"/>
      <c r="X534" s="65"/>
      <c r="Y534" s="30"/>
      <c r="Z534" s="65"/>
      <c r="AA534" s="65"/>
      <c r="AB534" s="65"/>
      <c r="AC534" s="30"/>
      <c r="AD534" s="65"/>
      <c r="AE534" s="65"/>
      <c r="AF534" s="65"/>
      <c r="AG534" s="65"/>
      <c r="AH534" s="30"/>
      <c r="AI534" s="65"/>
      <c r="AJ534" s="65"/>
      <c r="AK534" s="65"/>
      <c r="AL534" s="65"/>
      <c r="AM534" s="65"/>
      <c r="AN534" s="65"/>
      <c r="AO534" s="65"/>
    </row>
    <row r="535">
      <c r="A535" s="30"/>
      <c r="B535" s="65"/>
      <c r="C535" s="65"/>
      <c r="D535" s="65"/>
      <c r="E535" s="30"/>
      <c r="F535" s="65"/>
      <c r="G535" s="65"/>
      <c r="H535" s="65"/>
      <c r="I535" s="30"/>
      <c r="J535" s="65"/>
      <c r="K535" s="65"/>
      <c r="L535" s="65"/>
      <c r="M535" s="30"/>
      <c r="N535" s="65"/>
      <c r="O535" s="65"/>
      <c r="P535" s="65"/>
      <c r="Q535" s="30"/>
      <c r="R535" s="65"/>
      <c r="S535" s="65"/>
      <c r="T535" s="65"/>
      <c r="U535" s="30"/>
      <c r="V535" s="65"/>
      <c r="W535" s="65"/>
      <c r="X535" s="65"/>
      <c r="Y535" s="30"/>
      <c r="Z535" s="65"/>
      <c r="AA535" s="65"/>
      <c r="AB535" s="65"/>
      <c r="AC535" s="30"/>
      <c r="AD535" s="65"/>
      <c r="AE535" s="65"/>
      <c r="AF535" s="65"/>
      <c r="AG535" s="65"/>
      <c r="AH535" s="30"/>
      <c r="AI535" s="65"/>
      <c r="AJ535" s="65"/>
      <c r="AK535" s="65"/>
      <c r="AL535" s="65"/>
      <c r="AM535" s="65"/>
      <c r="AN535" s="65"/>
      <c r="AO535" s="65"/>
    </row>
    <row r="536">
      <c r="A536" s="30"/>
      <c r="B536" s="65"/>
      <c r="C536" s="65"/>
      <c r="D536" s="65"/>
      <c r="E536" s="30"/>
      <c r="F536" s="65"/>
      <c r="G536" s="65"/>
      <c r="H536" s="65"/>
      <c r="I536" s="30"/>
      <c r="J536" s="65"/>
      <c r="K536" s="65"/>
      <c r="L536" s="65"/>
      <c r="M536" s="30"/>
      <c r="N536" s="65"/>
      <c r="O536" s="65"/>
      <c r="P536" s="65"/>
      <c r="Q536" s="30"/>
      <c r="R536" s="65"/>
      <c r="S536" s="65"/>
      <c r="T536" s="65"/>
      <c r="U536" s="30"/>
      <c r="V536" s="65"/>
      <c r="W536" s="65"/>
      <c r="X536" s="65"/>
      <c r="Y536" s="30"/>
      <c r="Z536" s="65"/>
      <c r="AA536" s="65"/>
      <c r="AB536" s="65"/>
      <c r="AC536" s="30"/>
      <c r="AD536" s="65"/>
      <c r="AE536" s="65"/>
      <c r="AF536" s="65"/>
      <c r="AG536" s="65"/>
      <c r="AH536" s="30"/>
      <c r="AI536" s="65"/>
      <c r="AJ536" s="65"/>
      <c r="AK536" s="65"/>
      <c r="AL536" s="65"/>
      <c r="AM536" s="65"/>
      <c r="AN536" s="65"/>
      <c r="AO536" s="65"/>
    </row>
    <row r="537">
      <c r="A537" s="30"/>
      <c r="B537" s="65"/>
      <c r="C537" s="65"/>
      <c r="D537" s="65"/>
      <c r="E537" s="30"/>
      <c r="F537" s="65"/>
      <c r="G537" s="65"/>
      <c r="H537" s="65"/>
      <c r="I537" s="30"/>
      <c r="J537" s="65"/>
      <c r="K537" s="65"/>
      <c r="L537" s="65"/>
      <c r="M537" s="30"/>
      <c r="N537" s="65"/>
      <c r="O537" s="65"/>
      <c r="P537" s="65"/>
      <c r="Q537" s="30"/>
      <c r="R537" s="65"/>
      <c r="S537" s="65"/>
      <c r="T537" s="65"/>
      <c r="U537" s="30"/>
      <c r="V537" s="65"/>
      <c r="W537" s="65"/>
      <c r="X537" s="65"/>
      <c r="Y537" s="30"/>
      <c r="Z537" s="65"/>
      <c r="AA537" s="65"/>
      <c r="AB537" s="65"/>
      <c r="AC537" s="30"/>
      <c r="AD537" s="65"/>
      <c r="AE537" s="65"/>
      <c r="AF537" s="65"/>
      <c r="AG537" s="65"/>
      <c r="AH537" s="30"/>
      <c r="AI537" s="65"/>
      <c r="AJ537" s="65"/>
      <c r="AK537" s="65"/>
      <c r="AL537" s="65"/>
      <c r="AM537" s="65"/>
      <c r="AN537" s="65"/>
      <c r="AO537" s="65"/>
    </row>
    <row r="538">
      <c r="A538" s="30"/>
      <c r="B538" s="65"/>
      <c r="C538" s="65"/>
      <c r="D538" s="65"/>
      <c r="E538" s="30"/>
      <c r="F538" s="65"/>
      <c r="G538" s="65"/>
      <c r="H538" s="65"/>
      <c r="I538" s="30"/>
      <c r="J538" s="65"/>
      <c r="K538" s="65"/>
      <c r="L538" s="65"/>
      <c r="M538" s="30"/>
      <c r="N538" s="65"/>
      <c r="O538" s="65"/>
      <c r="P538" s="65"/>
      <c r="Q538" s="30"/>
      <c r="R538" s="65"/>
      <c r="S538" s="65"/>
      <c r="T538" s="65"/>
      <c r="U538" s="30"/>
      <c r="V538" s="65"/>
      <c r="W538" s="65"/>
      <c r="X538" s="65"/>
      <c r="Y538" s="30"/>
      <c r="Z538" s="65"/>
      <c r="AA538" s="65"/>
      <c r="AB538" s="65"/>
      <c r="AC538" s="30"/>
      <c r="AD538" s="65"/>
      <c r="AE538" s="65"/>
      <c r="AF538" s="65"/>
      <c r="AG538" s="65"/>
      <c r="AH538" s="30"/>
      <c r="AI538" s="65"/>
      <c r="AJ538" s="65"/>
      <c r="AK538" s="65"/>
      <c r="AL538" s="65"/>
      <c r="AM538" s="65"/>
      <c r="AN538" s="65"/>
      <c r="AO538" s="65"/>
    </row>
    <row r="539">
      <c r="A539" s="30"/>
      <c r="B539" s="65"/>
      <c r="C539" s="65"/>
      <c r="D539" s="65"/>
      <c r="E539" s="30"/>
      <c r="F539" s="65"/>
      <c r="G539" s="65"/>
      <c r="H539" s="65"/>
      <c r="I539" s="30"/>
      <c r="J539" s="65"/>
      <c r="K539" s="65"/>
      <c r="L539" s="65"/>
      <c r="M539" s="30"/>
      <c r="N539" s="65"/>
      <c r="O539" s="65"/>
      <c r="P539" s="65"/>
      <c r="Q539" s="30"/>
      <c r="R539" s="65"/>
      <c r="S539" s="65"/>
      <c r="T539" s="65"/>
      <c r="U539" s="30"/>
      <c r="V539" s="65"/>
      <c r="W539" s="65"/>
      <c r="X539" s="65"/>
      <c r="Y539" s="30"/>
      <c r="Z539" s="65"/>
      <c r="AA539" s="65"/>
      <c r="AB539" s="65"/>
      <c r="AC539" s="30"/>
      <c r="AD539" s="65"/>
      <c r="AE539" s="65"/>
      <c r="AF539" s="65"/>
      <c r="AG539" s="65"/>
      <c r="AH539" s="30"/>
      <c r="AI539" s="65"/>
      <c r="AJ539" s="65"/>
      <c r="AK539" s="65"/>
      <c r="AL539" s="65"/>
      <c r="AM539" s="65"/>
      <c r="AN539" s="65"/>
      <c r="AO539" s="65"/>
    </row>
    <row r="540">
      <c r="A540" s="30"/>
      <c r="B540" s="65"/>
      <c r="C540" s="65"/>
      <c r="D540" s="65"/>
      <c r="E540" s="30"/>
      <c r="F540" s="65"/>
      <c r="G540" s="65"/>
      <c r="H540" s="65"/>
      <c r="I540" s="30"/>
      <c r="J540" s="65"/>
      <c r="K540" s="65"/>
      <c r="L540" s="65"/>
      <c r="M540" s="30"/>
      <c r="N540" s="65"/>
      <c r="O540" s="65"/>
      <c r="P540" s="65"/>
      <c r="Q540" s="30"/>
      <c r="R540" s="65"/>
      <c r="S540" s="65"/>
      <c r="T540" s="65"/>
      <c r="U540" s="30"/>
      <c r="V540" s="65"/>
      <c r="W540" s="65"/>
      <c r="X540" s="65"/>
      <c r="Y540" s="30"/>
      <c r="Z540" s="65"/>
      <c r="AA540" s="65"/>
      <c r="AB540" s="65"/>
      <c r="AC540" s="30"/>
      <c r="AD540" s="65"/>
      <c r="AE540" s="65"/>
      <c r="AF540" s="65"/>
      <c r="AG540" s="65"/>
      <c r="AH540" s="30"/>
      <c r="AI540" s="65"/>
      <c r="AJ540" s="65"/>
      <c r="AK540" s="65"/>
      <c r="AL540" s="65"/>
      <c r="AM540" s="65"/>
      <c r="AN540" s="65"/>
      <c r="AO540" s="65"/>
    </row>
    <row r="541">
      <c r="A541" s="30"/>
      <c r="B541" s="65"/>
      <c r="C541" s="65"/>
      <c r="D541" s="65"/>
      <c r="E541" s="30"/>
      <c r="F541" s="65"/>
      <c r="G541" s="65"/>
      <c r="H541" s="65"/>
      <c r="I541" s="30"/>
      <c r="J541" s="65"/>
      <c r="K541" s="65"/>
      <c r="L541" s="65"/>
      <c r="M541" s="30"/>
      <c r="N541" s="65"/>
      <c r="O541" s="65"/>
      <c r="P541" s="65"/>
      <c r="Q541" s="30"/>
      <c r="R541" s="65"/>
      <c r="S541" s="65"/>
      <c r="T541" s="65"/>
      <c r="U541" s="30"/>
      <c r="V541" s="65"/>
      <c r="W541" s="65"/>
      <c r="X541" s="65"/>
      <c r="Y541" s="30"/>
      <c r="Z541" s="65"/>
      <c r="AA541" s="65"/>
      <c r="AB541" s="65"/>
      <c r="AC541" s="30"/>
      <c r="AD541" s="65"/>
      <c r="AE541" s="65"/>
      <c r="AF541" s="65"/>
      <c r="AG541" s="65"/>
      <c r="AH541" s="30"/>
      <c r="AI541" s="65"/>
      <c r="AJ541" s="65"/>
      <c r="AK541" s="65"/>
      <c r="AL541" s="65"/>
      <c r="AM541" s="65"/>
      <c r="AN541" s="65"/>
      <c r="AO541" s="65"/>
    </row>
    <row r="542">
      <c r="A542" s="30"/>
      <c r="B542" s="65"/>
      <c r="C542" s="65"/>
      <c r="D542" s="65"/>
      <c r="E542" s="30"/>
      <c r="F542" s="65"/>
      <c r="G542" s="65"/>
      <c r="H542" s="65"/>
      <c r="I542" s="30"/>
      <c r="J542" s="65"/>
      <c r="K542" s="65"/>
      <c r="L542" s="65"/>
      <c r="M542" s="30"/>
      <c r="N542" s="65"/>
      <c r="O542" s="65"/>
      <c r="P542" s="65"/>
      <c r="Q542" s="30"/>
      <c r="R542" s="65"/>
      <c r="S542" s="65"/>
      <c r="T542" s="65"/>
      <c r="U542" s="30"/>
      <c r="V542" s="65"/>
      <c r="W542" s="65"/>
      <c r="X542" s="65"/>
      <c r="Y542" s="30"/>
      <c r="Z542" s="65"/>
      <c r="AA542" s="65"/>
      <c r="AB542" s="65"/>
      <c r="AC542" s="30"/>
      <c r="AD542" s="65"/>
      <c r="AE542" s="65"/>
      <c r="AF542" s="65"/>
      <c r="AG542" s="65"/>
      <c r="AH542" s="30"/>
      <c r="AI542" s="65"/>
      <c r="AJ542" s="65"/>
      <c r="AK542" s="65"/>
      <c r="AL542" s="65"/>
      <c r="AM542" s="65"/>
      <c r="AN542" s="65"/>
      <c r="AO542" s="65"/>
    </row>
    <row r="543">
      <c r="A543" s="30"/>
      <c r="B543" s="65"/>
      <c r="C543" s="65"/>
      <c r="D543" s="65"/>
      <c r="E543" s="30"/>
      <c r="F543" s="65"/>
      <c r="G543" s="65"/>
      <c r="H543" s="65"/>
      <c r="I543" s="30"/>
      <c r="J543" s="65"/>
      <c r="K543" s="65"/>
      <c r="L543" s="65"/>
      <c r="M543" s="30"/>
      <c r="N543" s="65"/>
      <c r="O543" s="65"/>
      <c r="P543" s="65"/>
      <c r="Q543" s="30"/>
      <c r="R543" s="65"/>
      <c r="S543" s="65"/>
      <c r="T543" s="65"/>
      <c r="U543" s="30"/>
      <c r="V543" s="65"/>
      <c r="W543" s="65"/>
      <c r="X543" s="65"/>
      <c r="Y543" s="30"/>
      <c r="Z543" s="65"/>
      <c r="AA543" s="65"/>
      <c r="AB543" s="65"/>
      <c r="AC543" s="30"/>
      <c r="AD543" s="65"/>
      <c r="AE543" s="65"/>
      <c r="AF543" s="65"/>
      <c r="AG543" s="65"/>
      <c r="AH543" s="30"/>
      <c r="AI543" s="65"/>
      <c r="AJ543" s="65"/>
      <c r="AK543" s="65"/>
      <c r="AL543" s="65"/>
      <c r="AM543" s="65"/>
      <c r="AN543" s="65"/>
      <c r="AO543" s="65"/>
    </row>
    <row r="544">
      <c r="A544" s="30"/>
      <c r="B544" s="65"/>
      <c r="C544" s="65"/>
      <c r="D544" s="65"/>
      <c r="E544" s="30"/>
      <c r="F544" s="65"/>
      <c r="G544" s="65"/>
      <c r="H544" s="65"/>
      <c r="I544" s="30"/>
      <c r="J544" s="65"/>
      <c r="K544" s="65"/>
      <c r="L544" s="65"/>
      <c r="M544" s="30"/>
      <c r="N544" s="65"/>
      <c r="O544" s="65"/>
      <c r="P544" s="65"/>
      <c r="Q544" s="30"/>
      <c r="R544" s="65"/>
      <c r="S544" s="65"/>
      <c r="T544" s="65"/>
      <c r="U544" s="30"/>
      <c r="V544" s="65"/>
      <c r="W544" s="65"/>
      <c r="X544" s="65"/>
      <c r="Y544" s="30"/>
      <c r="Z544" s="65"/>
      <c r="AA544" s="65"/>
      <c r="AB544" s="65"/>
      <c r="AC544" s="30"/>
      <c r="AD544" s="65"/>
      <c r="AE544" s="65"/>
      <c r="AF544" s="65"/>
      <c r="AG544" s="65"/>
      <c r="AH544" s="30"/>
      <c r="AI544" s="65"/>
      <c r="AJ544" s="65"/>
      <c r="AK544" s="65"/>
      <c r="AL544" s="65"/>
      <c r="AM544" s="65"/>
      <c r="AN544" s="65"/>
      <c r="AO544" s="65"/>
    </row>
    <row r="545">
      <c r="A545" s="30"/>
      <c r="B545" s="65"/>
      <c r="C545" s="65"/>
      <c r="D545" s="65"/>
      <c r="E545" s="30"/>
      <c r="F545" s="65"/>
      <c r="G545" s="65"/>
      <c r="H545" s="65"/>
      <c r="I545" s="30"/>
      <c r="J545" s="65"/>
      <c r="K545" s="65"/>
      <c r="L545" s="65"/>
      <c r="M545" s="30"/>
      <c r="N545" s="65"/>
      <c r="O545" s="65"/>
      <c r="P545" s="65"/>
      <c r="Q545" s="30"/>
      <c r="R545" s="65"/>
      <c r="S545" s="65"/>
      <c r="T545" s="65"/>
      <c r="U545" s="30"/>
      <c r="V545" s="65"/>
      <c r="W545" s="65"/>
      <c r="X545" s="65"/>
      <c r="Y545" s="30"/>
      <c r="Z545" s="65"/>
      <c r="AA545" s="65"/>
      <c r="AB545" s="65"/>
      <c r="AC545" s="30"/>
      <c r="AD545" s="65"/>
      <c r="AE545" s="65"/>
      <c r="AF545" s="65"/>
      <c r="AG545" s="65"/>
      <c r="AH545" s="30"/>
      <c r="AI545" s="65"/>
      <c r="AJ545" s="65"/>
      <c r="AK545" s="65"/>
      <c r="AL545" s="65"/>
      <c r="AM545" s="65"/>
      <c r="AN545" s="65"/>
      <c r="AO545" s="65"/>
    </row>
    <row r="546">
      <c r="A546" s="30"/>
      <c r="B546" s="65"/>
      <c r="C546" s="65"/>
      <c r="D546" s="65"/>
      <c r="E546" s="30"/>
      <c r="F546" s="65"/>
      <c r="G546" s="65"/>
      <c r="H546" s="65"/>
      <c r="I546" s="30"/>
      <c r="J546" s="65"/>
      <c r="K546" s="65"/>
      <c r="L546" s="65"/>
      <c r="M546" s="30"/>
      <c r="N546" s="65"/>
      <c r="O546" s="65"/>
      <c r="P546" s="65"/>
      <c r="Q546" s="30"/>
      <c r="R546" s="65"/>
      <c r="S546" s="65"/>
      <c r="T546" s="65"/>
      <c r="U546" s="30"/>
      <c r="V546" s="65"/>
      <c r="W546" s="65"/>
      <c r="X546" s="65"/>
      <c r="Y546" s="30"/>
      <c r="Z546" s="65"/>
      <c r="AA546" s="65"/>
      <c r="AB546" s="65"/>
      <c r="AC546" s="30"/>
      <c r="AD546" s="65"/>
      <c r="AE546" s="65"/>
      <c r="AF546" s="65"/>
      <c r="AG546" s="65"/>
      <c r="AH546" s="30"/>
      <c r="AI546" s="65"/>
      <c r="AJ546" s="65"/>
      <c r="AK546" s="65"/>
      <c r="AL546" s="65"/>
      <c r="AM546" s="65"/>
      <c r="AN546" s="65"/>
      <c r="AO546" s="65"/>
    </row>
    <row r="547">
      <c r="A547" s="30"/>
      <c r="B547" s="65"/>
      <c r="C547" s="65"/>
      <c r="D547" s="65"/>
      <c r="E547" s="30"/>
      <c r="F547" s="65"/>
      <c r="G547" s="65"/>
      <c r="H547" s="65"/>
      <c r="I547" s="30"/>
      <c r="J547" s="65"/>
      <c r="K547" s="65"/>
      <c r="L547" s="65"/>
      <c r="M547" s="30"/>
      <c r="N547" s="65"/>
      <c r="O547" s="65"/>
      <c r="P547" s="65"/>
      <c r="Q547" s="30"/>
      <c r="R547" s="65"/>
      <c r="S547" s="65"/>
      <c r="T547" s="65"/>
      <c r="U547" s="30"/>
      <c r="V547" s="65"/>
      <c r="W547" s="65"/>
      <c r="X547" s="65"/>
      <c r="Y547" s="30"/>
      <c r="Z547" s="65"/>
      <c r="AA547" s="65"/>
      <c r="AB547" s="65"/>
      <c r="AC547" s="30"/>
      <c r="AD547" s="65"/>
      <c r="AE547" s="65"/>
      <c r="AF547" s="65"/>
      <c r="AG547" s="65"/>
      <c r="AH547" s="30"/>
      <c r="AI547" s="65"/>
      <c r="AJ547" s="65"/>
      <c r="AK547" s="65"/>
      <c r="AL547" s="65"/>
      <c r="AM547" s="65"/>
      <c r="AN547" s="65"/>
      <c r="AO547" s="65"/>
    </row>
    <row r="548">
      <c r="A548" s="30"/>
      <c r="B548" s="65"/>
      <c r="C548" s="65"/>
      <c r="D548" s="65"/>
      <c r="E548" s="30"/>
      <c r="F548" s="65"/>
      <c r="G548" s="65"/>
      <c r="H548" s="65"/>
      <c r="I548" s="30"/>
      <c r="J548" s="65"/>
      <c r="K548" s="65"/>
      <c r="L548" s="65"/>
      <c r="M548" s="30"/>
      <c r="N548" s="65"/>
      <c r="O548" s="65"/>
      <c r="P548" s="65"/>
      <c r="Q548" s="30"/>
      <c r="R548" s="65"/>
      <c r="S548" s="65"/>
      <c r="T548" s="65"/>
      <c r="U548" s="30"/>
      <c r="V548" s="65"/>
      <c r="W548" s="65"/>
      <c r="X548" s="65"/>
      <c r="Y548" s="30"/>
      <c r="Z548" s="65"/>
      <c r="AA548" s="65"/>
      <c r="AB548" s="65"/>
      <c r="AC548" s="30"/>
      <c r="AD548" s="65"/>
      <c r="AE548" s="65"/>
      <c r="AF548" s="65"/>
      <c r="AG548" s="65"/>
      <c r="AH548" s="30"/>
      <c r="AI548" s="65"/>
      <c r="AJ548" s="65"/>
      <c r="AK548" s="65"/>
      <c r="AL548" s="65"/>
      <c r="AM548" s="65"/>
      <c r="AN548" s="65"/>
      <c r="AO548" s="65"/>
    </row>
    <row r="549">
      <c r="A549" s="30"/>
      <c r="B549" s="65"/>
      <c r="C549" s="65"/>
      <c r="D549" s="65"/>
      <c r="E549" s="30"/>
      <c r="F549" s="65"/>
      <c r="G549" s="65"/>
      <c r="H549" s="65"/>
      <c r="I549" s="30"/>
      <c r="J549" s="65"/>
      <c r="K549" s="65"/>
      <c r="L549" s="65"/>
      <c r="M549" s="30"/>
      <c r="N549" s="65"/>
      <c r="O549" s="65"/>
      <c r="P549" s="65"/>
      <c r="Q549" s="30"/>
      <c r="R549" s="65"/>
      <c r="S549" s="65"/>
      <c r="T549" s="65"/>
      <c r="U549" s="30"/>
      <c r="V549" s="65"/>
      <c r="W549" s="65"/>
      <c r="X549" s="65"/>
      <c r="Y549" s="30"/>
      <c r="Z549" s="65"/>
      <c r="AA549" s="65"/>
      <c r="AB549" s="65"/>
      <c r="AC549" s="30"/>
      <c r="AD549" s="65"/>
      <c r="AE549" s="65"/>
      <c r="AF549" s="65"/>
      <c r="AG549" s="65"/>
      <c r="AH549" s="30"/>
      <c r="AI549" s="65"/>
      <c r="AJ549" s="65"/>
      <c r="AK549" s="65"/>
      <c r="AL549" s="65"/>
      <c r="AM549" s="65"/>
      <c r="AN549" s="65"/>
      <c r="AO549" s="65"/>
    </row>
    <row r="550">
      <c r="A550" s="30"/>
      <c r="B550" s="65"/>
      <c r="C550" s="65"/>
      <c r="D550" s="65"/>
      <c r="E550" s="30"/>
      <c r="F550" s="65"/>
      <c r="G550" s="65"/>
      <c r="H550" s="65"/>
      <c r="I550" s="30"/>
      <c r="J550" s="65"/>
      <c r="K550" s="65"/>
      <c r="L550" s="65"/>
      <c r="M550" s="30"/>
      <c r="N550" s="65"/>
      <c r="O550" s="65"/>
      <c r="P550" s="65"/>
      <c r="Q550" s="30"/>
      <c r="R550" s="65"/>
      <c r="S550" s="65"/>
      <c r="T550" s="65"/>
      <c r="U550" s="30"/>
      <c r="V550" s="65"/>
      <c r="W550" s="65"/>
      <c r="X550" s="65"/>
      <c r="Y550" s="30"/>
      <c r="Z550" s="65"/>
      <c r="AA550" s="65"/>
      <c r="AB550" s="65"/>
      <c r="AC550" s="30"/>
      <c r="AD550" s="65"/>
      <c r="AE550" s="65"/>
      <c r="AF550" s="65"/>
      <c r="AG550" s="65"/>
      <c r="AH550" s="30"/>
      <c r="AI550" s="65"/>
      <c r="AJ550" s="65"/>
      <c r="AK550" s="65"/>
      <c r="AL550" s="65"/>
      <c r="AM550" s="65"/>
      <c r="AN550" s="65"/>
      <c r="AO550" s="65"/>
    </row>
    <row r="551">
      <c r="A551" s="30"/>
      <c r="B551" s="65"/>
      <c r="C551" s="65"/>
      <c r="D551" s="65"/>
      <c r="E551" s="30"/>
      <c r="F551" s="65"/>
      <c r="G551" s="65"/>
      <c r="H551" s="65"/>
      <c r="I551" s="30"/>
      <c r="J551" s="65"/>
      <c r="K551" s="65"/>
      <c r="L551" s="65"/>
      <c r="M551" s="30"/>
      <c r="N551" s="65"/>
      <c r="O551" s="65"/>
      <c r="P551" s="65"/>
      <c r="Q551" s="30"/>
      <c r="R551" s="65"/>
      <c r="S551" s="65"/>
      <c r="T551" s="65"/>
      <c r="U551" s="30"/>
      <c r="V551" s="65"/>
      <c r="W551" s="65"/>
      <c r="X551" s="65"/>
      <c r="Y551" s="30"/>
      <c r="Z551" s="65"/>
      <c r="AA551" s="65"/>
      <c r="AB551" s="65"/>
      <c r="AC551" s="30"/>
      <c r="AD551" s="65"/>
      <c r="AE551" s="65"/>
      <c r="AF551" s="65"/>
      <c r="AG551" s="65"/>
      <c r="AH551" s="30"/>
      <c r="AI551" s="65"/>
      <c r="AJ551" s="65"/>
      <c r="AK551" s="65"/>
      <c r="AL551" s="65"/>
      <c r="AM551" s="65"/>
      <c r="AN551" s="65"/>
      <c r="AO551" s="65"/>
    </row>
    <row r="552">
      <c r="A552" s="30"/>
      <c r="B552" s="65"/>
      <c r="C552" s="65"/>
      <c r="D552" s="65"/>
      <c r="E552" s="30"/>
      <c r="F552" s="65"/>
      <c r="G552" s="65"/>
      <c r="H552" s="65"/>
      <c r="I552" s="30"/>
      <c r="J552" s="65"/>
      <c r="K552" s="65"/>
      <c r="L552" s="65"/>
      <c r="M552" s="30"/>
      <c r="N552" s="65"/>
      <c r="O552" s="65"/>
      <c r="P552" s="65"/>
      <c r="Q552" s="30"/>
      <c r="R552" s="65"/>
      <c r="S552" s="65"/>
      <c r="T552" s="65"/>
      <c r="U552" s="30"/>
      <c r="V552" s="65"/>
      <c r="W552" s="65"/>
      <c r="X552" s="65"/>
      <c r="Y552" s="30"/>
      <c r="Z552" s="65"/>
      <c r="AA552" s="65"/>
      <c r="AB552" s="65"/>
      <c r="AC552" s="30"/>
      <c r="AD552" s="65"/>
      <c r="AE552" s="65"/>
      <c r="AF552" s="65"/>
      <c r="AG552" s="65"/>
      <c r="AH552" s="30"/>
      <c r="AI552" s="65"/>
      <c r="AJ552" s="65"/>
      <c r="AK552" s="65"/>
      <c r="AL552" s="65"/>
      <c r="AM552" s="65"/>
      <c r="AN552" s="65"/>
      <c r="AO552" s="65"/>
    </row>
    <row r="553">
      <c r="A553" s="30"/>
      <c r="B553" s="65"/>
      <c r="C553" s="65"/>
      <c r="D553" s="65"/>
      <c r="E553" s="30"/>
      <c r="F553" s="65"/>
      <c r="G553" s="65"/>
      <c r="H553" s="65"/>
      <c r="I553" s="30"/>
      <c r="J553" s="65"/>
      <c r="K553" s="65"/>
      <c r="L553" s="65"/>
      <c r="M553" s="30"/>
      <c r="N553" s="65"/>
      <c r="O553" s="65"/>
      <c r="P553" s="65"/>
      <c r="Q553" s="30"/>
      <c r="R553" s="65"/>
      <c r="S553" s="65"/>
      <c r="T553" s="65"/>
      <c r="U553" s="30"/>
      <c r="V553" s="65"/>
      <c r="W553" s="65"/>
      <c r="X553" s="65"/>
      <c r="Y553" s="30"/>
      <c r="Z553" s="65"/>
      <c r="AA553" s="65"/>
      <c r="AB553" s="65"/>
      <c r="AC553" s="30"/>
      <c r="AD553" s="65"/>
      <c r="AE553" s="65"/>
      <c r="AF553" s="65"/>
      <c r="AG553" s="65"/>
      <c r="AH553" s="30"/>
      <c r="AI553" s="65"/>
      <c r="AJ553" s="65"/>
      <c r="AK553" s="65"/>
      <c r="AL553" s="65"/>
      <c r="AM553" s="65"/>
      <c r="AN553" s="65"/>
      <c r="AO553" s="65"/>
    </row>
    <row r="554">
      <c r="A554" s="30"/>
      <c r="B554" s="65"/>
      <c r="C554" s="65"/>
      <c r="D554" s="65"/>
      <c r="E554" s="30"/>
      <c r="F554" s="65"/>
      <c r="G554" s="65"/>
      <c r="H554" s="65"/>
      <c r="I554" s="30"/>
      <c r="J554" s="65"/>
      <c r="K554" s="65"/>
      <c r="L554" s="65"/>
      <c r="M554" s="30"/>
      <c r="N554" s="65"/>
      <c r="O554" s="65"/>
      <c r="P554" s="65"/>
      <c r="Q554" s="30"/>
      <c r="R554" s="65"/>
      <c r="S554" s="65"/>
      <c r="T554" s="65"/>
      <c r="U554" s="30"/>
      <c r="V554" s="65"/>
      <c r="W554" s="65"/>
      <c r="X554" s="65"/>
      <c r="Y554" s="30"/>
      <c r="Z554" s="65"/>
      <c r="AA554" s="65"/>
      <c r="AB554" s="65"/>
      <c r="AC554" s="30"/>
      <c r="AD554" s="65"/>
      <c r="AE554" s="65"/>
      <c r="AF554" s="65"/>
      <c r="AG554" s="65"/>
      <c r="AH554" s="30"/>
      <c r="AI554" s="65"/>
      <c r="AJ554" s="65"/>
      <c r="AK554" s="65"/>
      <c r="AL554" s="65"/>
      <c r="AM554" s="65"/>
      <c r="AN554" s="65"/>
      <c r="AO554" s="65"/>
    </row>
    <row r="555">
      <c r="A555" s="30"/>
      <c r="B555" s="65"/>
      <c r="C555" s="65"/>
      <c r="D555" s="65"/>
      <c r="E555" s="30"/>
      <c r="F555" s="65"/>
      <c r="G555" s="65"/>
      <c r="H555" s="65"/>
      <c r="I555" s="30"/>
      <c r="J555" s="65"/>
      <c r="K555" s="65"/>
      <c r="L555" s="65"/>
      <c r="M555" s="30"/>
      <c r="N555" s="65"/>
      <c r="O555" s="65"/>
      <c r="P555" s="65"/>
      <c r="Q555" s="30"/>
      <c r="R555" s="65"/>
      <c r="S555" s="65"/>
      <c r="T555" s="65"/>
      <c r="U555" s="30"/>
      <c r="V555" s="65"/>
      <c r="W555" s="65"/>
      <c r="X555" s="65"/>
      <c r="Y555" s="30"/>
      <c r="Z555" s="65"/>
      <c r="AA555" s="65"/>
      <c r="AB555" s="65"/>
      <c r="AC555" s="30"/>
      <c r="AD555" s="65"/>
      <c r="AE555" s="65"/>
      <c r="AF555" s="65"/>
      <c r="AG555" s="65"/>
      <c r="AH555" s="30"/>
      <c r="AI555" s="65"/>
      <c r="AJ555" s="65"/>
      <c r="AK555" s="65"/>
      <c r="AL555" s="65"/>
      <c r="AM555" s="65"/>
      <c r="AN555" s="65"/>
      <c r="AO555" s="65"/>
    </row>
    <row r="556">
      <c r="A556" s="30"/>
      <c r="B556" s="65"/>
      <c r="C556" s="65"/>
      <c r="D556" s="65"/>
      <c r="E556" s="30"/>
      <c r="F556" s="65"/>
      <c r="G556" s="65"/>
      <c r="H556" s="65"/>
      <c r="I556" s="30"/>
      <c r="J556" s="65"/>
      <c r="K556" s="65"/>
      <c r="L556" s="65"/>
      <c r="M556" s="30"/>
      <c r="N556" s="65"/>
      <c r="O556" s="65"/>
      <c r="P556" s="65"/>
      <c r="Q556" s="30"/>
      <c r="R556" s="65"/>
      <c r="S556" s="65"/>
      <c r="T556" s="65"/>
      <c r="U556" s="30"/>
      <c r="V556" s="65"/>
      <c r="W556" s="65"/>
      <c r="X556" s="65"/>
      <c r="Y556" s="30"/>
      <c r="Z556" s="65"/>
      <c r="AA556" s="65"/>
      <c r="AB556" s="65"/>
      <c r="AC556" s="30"/>
      <c r="AD556" s="65"/>
      <c r="AE556" s="65"/>
      <c r="AF556" s="65"/>
      <c r="AG556" s="65"/>
      <c r="AH556" s="30"/>
      <c r="AI556" s="65"/>
      <c r="AJ556" s="65"/>
      <c r="AK556" s="65"/>
      <c r="AL556" s="65"/>
      <c r="AM556" s="65"/>
      <c r="AN556" s="65"/>
      <c r="AO556" s="65"/>
    </row>
    <row r="557">
      <c r="A557" s="30"/>
      <c r="B557" s="65"/>
      <c r="C557" s="65"/>
      <c r="D557" s="65"/>
      <c r="E557" s="30"/>
      <c r="F557" s="65"/>
      <c r="G557" s="65"/>
      <c r="H557" s="65"/>
      <c r="I557" s="30"/>
      <c r="J557" s="65"/>
      <c r="K557" s="65"/>
      <c r="L557" s="65"/>
      <c r="M557" s="30"/>
      <c r="N557" s="65"/>
      <c r="O557" s="65"/>
      <c r="P557" s="65"/>
      <c r="Q557" s="30"/>
      <c r="R557" s="65"/>
      <c r="S557" s="65"/>
      <c r="T557" s="65"/>
      <c r="U557" s="30"/>
      <c r="V557" s="65"/>
      <c r="W557" s="65"/>
      <c r="X557" s="65"/>
      <c r="Y557" s="30"/>
      <c r="Z557" s="65"/>
      <c r="AA557" s="65"/>
      <c r="AB557" s="65"/>
      <c r="AC557" s="30"/>
      <c r="AD557" s="65"/>
      <c r="AE557" s="65"/>
      <c r="AF557" s="65"/>
      <c r="AG557" s="65"/>
      <c r="AH557" s="30"/>
      <c r="AI557" s="65"/>
      <c r="AJ557" s="65"/>
      <c r="AK557" s="65"/>
      <c r="AL557" s="65"/>
      <c r="AM557" s="65"/>
      <c r="AN557" s="65"/>
      <c r="AO557" s="65"/>
    </row>
    <row r="558">
      <c r="A558" s="30"/>
      <c r="B558" s="65"/>
      <c r="C558" s="65"/>
      <c r="D558" s="65"/>
      <c r="E558" s="30"/>
      <c r="F558" s="65"/>
      <c r="G558" s="65"/>
      <c r="H558" s="65"/>
      <c r="I558" s="30"/>
      <c r="J558" s="65"/>
      <c r="K558" s="65"/>
      <c r="L558" s="65"/>
      <c r="M558" s="30"/>
      <c r="N558" s="65"/>
      <c r="O558" s="65"/>
      <c r="P558" s="65"/>
      <c r="Q558" s="30"/>
      <c r="R558" s="65"/>
      <c r="S558" s="65"/>
      <c r="T558" s="65"/>
      <c r="U558" s="30"/>
      <c r="V558" s="65"/>
      <c r="W558" s="65"/>
      <c r="X558" s="65"/>
      <c r="Y558" s="30"/>
      <c r="Z558" s="65"/>
      <c r="AA558" s="65"/>
      <c r="AB558" s="65"/>
      <c r="AC558" s="30"/>
      <c r="AD558" s="65"/>
      <c r="AE558" s="65"/>
      <c r="AF558" s="65"/>
      <c r="AG558" s="65"/>
      <c r="AH558" s="30"/>
      <c r="AI558" s="65"/>
      <c r="AJ558" s="65"/>
      <c r="AK558" s="65"/>
      <c r="AL558" s="65"/>
      <c r="AM558" s="65"/>
      <c r="AN558" s="65"/>
      <c r="AO558" s="65"/>
    </row>
    <row r="559">
      <c r="A559" s="30"/>
      <c r="B559" s="65"/>
      <c r="C559" s="65"/>
      <c r="D559" s="65"/>
      <c r="E559" s="30"/>
      <c r="F559" s="65"/>
      <c r="G559" s="65"/>
      <c r="H559" s="65"/>
      <c r="I559" s="30"/>
      <c r="J559" s="65"/>
      <c r="K559" s="65"/>
      <c r="L559" s="65"/>
      <c r="M559" s="30"/>
      <c r="N559" s="65"/>
      <c r="O559" s="65"/>
      <c r="P559" s="65"/>
      <c r="Q559" s="30"/>
      <c r="R559" s="65"/>
      <c r="S559" s="65"/>
      <c r="T559" s="65"/>
      <c r="U559" s="30"/>
      <c r="V559" s="65"/>
      <c r="W559" s="65"/>
      <c r="X559" s="65"/>
      <c r="Y559" s="30"/>
      <c r="Z559" s="65"/>
      <c r="AA559" s="65"/>
      <c r="AB559" s="65"/>
      <c r="AC559" s="30"/>
      <c r="AD559" s="65"/>
      <c r="AE559" s="65"/>
      <c r="AF559" s="65"/>
      <c r="AG559" s="65"/>
      <c r="AH559" s="30"/>
      <c r="AI559" s="65"/>
      <c r="AJ559" s="65"/>
      <c r="AK559" s="65"/>
      <c r="AL559" s="65"/>
      <c r="AM559" s="65"/>
      <c r="AN559" s="65"/>
      <c r="AO559" s="65"/>
    </row>
    <row r="560">
      <c r="A560" s="30"/>
      <c r="B560" s="65"/>
      <c r="C560" s="65"/>
      <c r="D560" s="65"/>
      <c r="E560" s="30"/>
      <c r="F560" s="65"/>
      <c r="G560" s="65"/>
      <c r="H560" s="65"/>
      <c r="I560" s="30"/>
      <c r="J560" s="65"/>
      <c r="K560" s="65"/>
      <c r="L560" s="65"/>
      <c r="M560" s="30"/>
      <c r="N560" s="65"/>
      <c r="O560" s="65"/>
      <c r="P560" s="65"/>
      <c r="Q560" s="30"/>
      <c r="R560" s="65"/>
      <c r="S560" s="65"/>
      <c r="T560" s="65"/>
      <c r="U560" s="30"/>
      <c r="V560" s="65"/>
      <c r="W560" s="65"/>
      <c r="X560" s="65"/>
      <c r="Y560" s="30"/>
      <c r="Z560" s="65"/>
      <c r="AA560" s="65"/>
      <c r="AB560" s="65"/>
      <c r="AC560" s="30"/>
      <c r="AD560" s="65"/>
      <c r="AE560" s="65"/>
      <c r="AF560" s="65"/>
      <c r="AG560" s="65"/>
      <c r="AH560" s="30"/>
      <c r="AI560" s="65"/>
      <c r="AJ560" s="65"/>
      <c r="AK560" s="65"/>
      <c r="AL560" s="65"/>
      <c r="AM560" s="65"/>
      <c r="AN560" s="65"/>
      <c r="AO560" s="65"/>
    </row>
    <row r="561">
      <c r="A561" s="30"/>
      <c r="B561" s="65"/>
      <c r="C561" s="65"/>
      <c r="D561" s="65"/>
      <c r="E561" s="30"/>
      <c r="F561" s="65"/>
      <c r="G561" s="65"/>
      <c r="H561" s="65"/>
      <c r="I561" s="30"/>
      <c r="J561" s="65"/>
      <c r="K561" s="65"/>
      <c r="L561" s="65"/>
      <c r="M561" s="30"/>
      <c r="N561" s="65"/>
      <c r="O561" s="65"/>
      <c r="P561" s="65"/>
      <c r="Q561" s="30"/>
      <c r="R561" s="65"/>
      <c r="S561" s="65"/>
      <c r="T561" s="65"/>
      <c r="U561" s="30"/>
      <c r="V561" s="65"/>
      <c r="W561" s="65"/>
      <c r="X561" s="65"/>
      <c r="Y561" s="30"/>
      <c r="Z561" s="65"/>
      <c r="AA561" s="65"/>
      <c r="AB561" s="65"/>
      <c r="AC561" s="30"/>
      <c r="AD561" s="65"/>
      <c r="AE561" s="65"/>
      <c r="AF561" s="65"/>
      <c r="AG561" s="65"/>
      <c r="AH561" s="30"/>
      <c r="AI561" s="65"/>
      <c r="AJ561" s="65"/>
      <c r="AK561" s="65"/>
      <c r="AL561" s="65"/>
      <c r="AM561" s="65"/>
      <c r="AN561" s="65"/>
      <c r="AO561" s="65"/>
    </row>
    <row r="562">
      <c r="A562" s="30"/>
      <c r="B562" s="65"/>
      <c r="C562" s="65"/>
      <c r="D562" s="65"/>
      <c r="E562" s="30"/>
      <c r="F562" s="65"/>
      <c r="G562" s="65"/>
      <c r="H562" s="65"/>
      <c r="I562" s="30"/>
      <c r="J562" s="65"/>
      <c r="K562" s="65"/>
      <c r="L562" s="65"/>
      <c r="M562" s="30"/>
      <c r="N562" s="65"/>
      <c r="O562" s="65"/>
      <c r="P562" s="65"/>
      <c r="Q562" s="30"/>
      <c r="R562" s="65"/>
      <c r="S562" s="65"/>
      <c r="T562" s="65"/>
      <c r="U562" s="30"/>
      <c r="V562" s="65"/>
      <c r="W562" s="65"/>
      <c r="X562" s="65"/>
      <c r="Y562" s="30"/>
      <c r="Z562" s="65"/>
      <c r="AA562" s="65"/>
      <c r="AB562" s="65"/>
      <c r="AC562" s="30"/>
      <c r="AD562" s="65"/>
      <c r="AE562" s="65"/>
      <c r="AF562" s="65"/>
      <c r="AG562" s="65"/>
      <c r="AH562" s="30"/>
      <c r="AI562" s="65"/>
      <c r="AJ562" s="65"/>
      <c r="AK562" s="65"/>
      <c r="AL562" s="65"/>
      <c r="AM562" s="65"/>
      <c r="AN562" s="65"/>
      <c r="AO562" s="65"/>
    </row>
    <row r="563">
      <c r="A563" s="30"/>
      <c r="B563" s="65"/>
      <c r="C563" s="65"/>
      <c r="D563" s="65"/>
      <c r="E563" s="30"/>
      <c r="F563" s="65"/>
      <c r="G563" s="65"/>
      <c r="H563" s="65"/>
      <c r="I563" s="30"/>
      <c r="J563" s="65"/>
      <c r="K563" s="65"/>
      <c r="L563" s="65"/>
      <c r="M563" s="30"/>
      <c r="N563" s="65"/>
      <c r="O563" s="65"/>
      <c r="P563" s="65"/>
      <c r="Q563" s="30"/>
      <c r="R563" s="65"/>
      <c r="S563" s="65"/>
      <c r="T563" s="65"/>
      <c r="U563" s="30"/>
      <c r="V563" s="65"/>
      <c r="W563" s="65"/>
      <c r="X563" s="65"/>
      <c r="Y563" s="30"/>
      <c r="Z563" s="65"/>
      <c r="AA563" s="65"/>
      <c r="AB563" s="65"/>
      <c r="AC563" s="30"/>
      <c r="AD563" s="65"/>
      <c r="AE563" s="65"/>
      <c r="AF563" s="65"/>
      <c r="AG563" s="65"/>
      <c r="AH563" s="30"/>
      <c r="AI563" s="65"/>
      <c r="AJ563" s="65"/>
      <c r="AK563" s="65"/>
      <c r="AL563" s="65"/>
      <c r="AM563" s="65"/>
      <c r="AN563" s="65"/>
      <c r="AO563" s="65"/>
    </row>
    <row r="564">
      <c r="A564" s="30"/>
      <c r="B564" s="65"/>
      <c r="C564" s="65"/>
      <c r="D564" s="65"/>
      <c r="E564" s="30"/>
      <c r="F564" s="65"/>
      <c r="G564" s="65"/>
      <c r="H564" s="65"/>
      <c r="I564" s="30"/>
      <c r="J564" s="65"/>
      <c r="K564" s="65"/>
      <c r="L564" s="65"/>
      <c r="M564" s="30"/>
      <c r="N564" s="65"/>
      <c r="O564" s="65"/>
      <c r="P564" s="65"/>
      <c r="Q564" s="30"/>
      <c r="R564" s="65"/>
      <c r="S564" s="65"/>
      <c r="T564" s="65"/>
      <c r="U564" s="30"/>
      <c r="V564" s="65"/>
      <c r="W564" s="65"/>
      <c r="X564" s="65"/>
      <c r="Y564" s="30"/>
      <c r="Z564" s="65"/>
      <c r="AA564" s="65"/>
      <c r="AB564" s="65"/>
      <c r="AC564" s="30"/>
      <c r="AD564" s="65"/>
      <c r="AE564" s="65"/>
      <c r="AF564" s="65"/>
      <c r="AG564" s="65"/>
      <c r="AH564" s="30"/>
      <c r="AI564" s="65"/>
      <c r="AJ564" s="65"/>
      <c r="AK564" s="65"/>
      <c r="AL564" s="65"/>
      <c r="AM564" s="65"/>
      <c r="AN564" s="65"/>
      <c r="AO564" s="65"/>
    </row>
    <row r="565">
      <c r="A565" s="30"/>
      <c r="B565" s="65"/>
      <c r="C565" s="65"/>
      <c r="D565" s="65"/>
      <c r="E565" s="30"/>
      <c r="F565" s="65"/>
      <c r="G565" s="65"/>
      <c r="H565" s="65"/>
      <c r="I565" s="30"/>
      <c r="J565" s="65"/>
      <c r="K565" s="65"/>
      <c r="L565" s="65"/>
      <c r="M565" s="30"/>
      <c r="N565" s="65"/>
      <c r="O565" s="65"/>
      <c r="P565" s="65"/>
      <c r="Q565" s="30"/>
      <c r="R565" s="65"/>
      <c r="S565" s="65"/>
      <c r="T565" s="65"/>
      <c r="U565" s="30"/>
      <c r="V565" s="65"/>
      <c r="W565" s="65"/>
      <c r="X565" s="65"/>
      <c r="Y565" s="30"/>
      <c r="Z565" s="65"/>
      <c r="AA565" s="65"/>
      <c r="AB565" s="65"/>
      <c r="AC565" s="30"/>
      <c r="AD565" s="65"/>
      <c r="AE565" s="65"/>
      <c r="AF565" s="65"/>
      <c r="AG565" s="65"/>
      <c r="AH565" s="30"/>
      <c r="AI565" s="65"/>
      <c r="AJ565" s="65"/>
      <c r="AK565" s="65"/>
      <c r="AL565" s="65"/>
      <c r="AM565" s="65"/>
      <c r="AN565" s="65"/>
      <c r="AO565" s="65"/>
    </row>
    <row r="566">
      <c r="A566" s="30"/>
      <c r="B566" s="65"/>
      <c r="C566" s="65"/>
      <c r="D566" s="65"/>
      <c r="E566" s="30"/>
      <c r="F566" s="65"/>
      <c r="G566" s="65"/>
      <c r="H566" s="65"/>
      <c r="I566" s="30"/>
      <c r="J566" s="65"/>
      <c r="K566" s="65"/>
      <c r="L566" s="65"/>
      <c r="M566" s="30"/>
      <c r="N566" s="65"/>
      <c r="O566" s="65"/>
      <c r="P566" s="65"/>
      <c r="Q566" s="30"/>
      <c r="R566" s="65"/>
      <c r="S566" s="65"/>
      <c r="T566" s="65"/>
      <c r="U566" s="30"/>
      <c r="V566" s="65"/>
      <c r="W566" s="65"/>
      <c r="X566" s="65"/>
      <c r="Y566" s="30"/>
      <c r="Z566" s="65"/>
      <c r="AA566" s="65"/>
      <c r="AB566" s="65"/>
      <c r="AC566" s="30"/>
      <c r="AD566" s="65"/>
      <c r="AE566" s="65"/>
      <c r="AF566" s="65"/>
      <c r="AG566" s="65"/>
      <c r="AH566" s="30"/>
      <c r="AI566" s="65"/>
      <c r="AJ566" s="65"/>
      <c r="AK566" s="65"/>
      <c r="AL566" s="65"/>
      <c r="AM566" s="65"/>
      <c r="AN566" s="65"/>
      <c r="AO566" s="65"/>
    </row>
    <row r="567">
      <c r="A567" s="30"/>
      <c r="B567" s="65"/>
      <c r="C567" s="65"/>
      <c r="D567" s="65"/>
      <c r="E567" s="30"/>
      <c r="F567" s="65"/>
      <c r="G567" s="65"/>
      <c r="H567" s="65"/>
      <c r="I567" s="30"/>
      <c r="J567" s="65"/>
      <c r="K567" s="65"/>
      <c r="L567" s="65"/>
      <c r="M567" s="30"/>
      <c r="N567" s="65"/>
      <c r="O567" s="65"/>
      <c r="P567" s="65"/>
      <c r="Q567" s="30"/>
      <c r="R567" s="65"/>
      <c r="S567" s="65"/>
      <c r="T567" s="65"/>
      <c r="U567" s="30"/>
      <c r="V567" s="65"/>
      <c r="W567" s="65"/>
      <c r="X567" s="65"/>
      <c r="Y567" s="30"/>
      <c r="Z567" s="65"/>
      <c r="AA567" s="65"/>
      <c r="AB567" s="65"/>
      <c r="AC567" s="30"/>
      <c r="AD567" s="65"/>
      <c r="AE567" s="65"/>
      <c r="AF567" s="65"/>
      <c r="AG567" s="65"/>
      <c r="AH567" s="30"/>
      <c r="AI567" s="65"/>
      <c r="AJ567" s="65"/>
      <c r="AK567" s="65"/>
      <c r="AL567" s="65"/>
      <c r="AM567" s="65"/>
      <c r="AN567" s="65"/>
      <c r="AO567" s="65"/>
    </row>
    <row r="568">
      <c r="A568" s="30"/>
      <c r="B568" s="65"/>
      <c r="C568" s="65"/>
      <c r="D568" s="65"/>
      <c r="E568" s="30"/>
      <c r="F568" s="65"/>
      <c r="G568" s="65"/>
      <c r="H568" s="65"/>
      <c r="I568" s="30"/>
      <c r="J568" s="65"/>
      <c r="K568" s="65"/>
      <c r="L568" s="65"/>
      <c r="M568" s="30"/>
      <c r="N568" s="65"/>
      <c r="O568" s="65"/>
      <c r="P568" s="65"/>
      <c r="Q568" s="30"/>
      <c r="R568" s="65"/>
      <c r="S568" s="65"/>
      <c r="T568" s="65"/>
      <c r="U568" s="30"/>
      <c r="V568" s="65"/>
      <c r="W568" s="65"/>
      <c r="X568" s="65"/>
      <c r="Y568" s="30"/>
      <c r="Z568" s="65"/>
      <c r="AA568" s="65"/>
      <c r="AB568" s="65"/>
      <c r="AC568" s="30"/>
      <c r="AD568" s="65"/>
      <c r="AE568" s="65"/>
      <c r="AF568" s="65"/>
      <c r="AG568" s="65"/>
      <c r="AH568" s="30"/>
      <c r="AI568" s="65"/>
      <c r="AJ568" s="65"/>
      <c r="AK568" s="65"/>
      <c r="AL568" s="65"/>
      <c r="AM568" s="65"/>
      <c r="AN568" s="65"/>
      <c r="AO568" s="65"/>
    </row>
    <row r="569">
      <c r="A569" s="30"/>
      <c r="B569" s="65"/>
      <c r="C569" s="65"/>
      <c r="D569" s="65"/>
      <c r="E569" s="30"/>
      <c r="F569" s="65"/>
      <c r="G569" s="65"/>
      <c r="H569" s="65"/>
      <c r="I569" s="30"/>
      <c r="J569" s="65"/>
      <c r="K569" s="65"/>
      <c r="L569" s="65"/>
      <c r="M569" s="30"/>
      <c r="N569" s="65"/>
      <c r="O569" s="65"/>
      <c r="P569" s="65"/>
      <c r="Q569" s="30"/>
      <c r="R569" s="65"/>
      <c r="S569" s="65"/>
      <c r="T569" s="65"/>
      <c r="U569" s="30"/>
      <c r="V569" s="65"/>
      <c r="W569" s="65"/>
      <c r="X569" s="65"/>
      <c r="Y569" s="30"/>
      <c r="Z569" s="65"/>
      <c r="AA569" s="65"/>
      <c r="AB569" s="65"/>
      <c r="AC569" s="30"/>
      <c r="AD569" s="65"/>
      <c r="AE569" s="65"/>
      <c r="AF569" s="65"/>
      <c r="AG569" s="65"/>
      <c r="AH569" s="30"/>
      <c r="AI569" s="65"/>
      <c r="AJ569" s="65"/>
      <c r="AK569" s="65"/>
      <c r="AL569" s="65"/>
      <c r="AM569" s="65"/>
      <c r="AN569" s="65"/>
      <c r="AO569" s="65"/>
    </row>
    <row r="570">
      <c r="A570" s="30"/>
      <c r="B570" s="65"/>
      <c r="C570" s="65"/>
      <c r="D570" s="65"/>
      <c r="E570" s="30"/>
      <c r="F570" s="65"/>
      <c r="G570" s="65"/>
      <c r="H570" s="65"/>
      <c r="I570" s="30"/>
      <c r="J570" s="65"/>
      <c r="K570" s="65"/>
      <c r="L570" s="65"/>
      <c r="M570" s="30"/>
      <c r="N570" s="65"/>
      <c r="O570" s="65"/>
      <c r="P570" s="65"/>
      <c r="Q570" s="30"/>
      <c r="R570" s="65"/>
      <c r="S570" s="65"/>
      <c r="T570" s="65"/>
      <c r="U570" s="30"/>
      <c r="V570" s="65"/>
      <c r="W570" s="65"/>
      <c r="X570" s="65"/>
      <c r="Y570" s="30"/>
      <c r="Z570" s="65"/>
      <c r="AA570" s="65"/>
      <c r="AB570" s="65"/>
      <c r="AC570" s="30"/>
      <c r="AD570" s="65"/>
      <c r="AE570" s="65"/>
      <c r="AF570" s="65"/>
      <c r="AG570" s="65"/>
      <c r="AH570" s="30"/>
      <c r="AI570" s="65"/>
      <c r="AJ570" s="65"/>
      <c r="AK570" s="65"/>
      <c r="AL570" s="65"/>
      <c r="AM570" s="65"/>
      <c r="AN570" s="65"/>
      <c r="AO570" s="65"/>
    </row>
    <row r="571">
      <c r="A571" s="30"/>
      <c r="B571" s="65"/>
      <c r="C571" s="65"/>
      <c r="D571" s="65"/>
      <c r="E571" s="30"/>
      <c r="F571" s="65"/>
      <c r="G571" s="65"/>
      <c r="H571" s="65"/>
      <c r="I571" s="30"/>
      <c r="J571" s="65"/>
      <c r="K571" s="65"/>
      <c r="L571" s="65"/>
      <c r="M571" s="30"/>
      <c r="N571" s="65"/>
      <c r="O571" s="65"/>
      <c r="P571" s="65"/>
      <c r="Q571" s="30"/>
      <c r="R571" s="65"/>
      <c r="S571" s="65"/>
      <c r="T571" s="65"/>
      <c r="U571" s="30"/>
      <c r="V571" s="65"/>
      <c r="W571" s="65"/>
      <c r="X571" s="65"/>
      <c r="Y571" s="30"/>
      <c r="Z571" s="65"/>
      <c r="AA571" s="65"/>
      <c r="AB571" s="65"/>
      <c r="AC571" s="30"/>
      <c r="AD571" s="65"/>
      <c r="AE571" s="65"/>
      <c r="AF571" s="65"/>
      <c r="AG571" s="65"/>
      <c r="AH571" s="30"/>
      <c r="AI571" s="65"/>
      <c r="AJ571" s="65"/>
      <c r="AK571" s="65"/>
      <c r="AL571" s="65"/>
      <c r="AM571" s="65"/>
      <c r="AN571" s="65"/>
      <c r="AO571" s="65"/>
    </row>
    <row r="572">
      <c r="A572" s="30"/>
      <c r="B572" s="65"/>
      <c r="C572" s="65"/>
      <c r="D572" s="65"/>
      <c r="E572" s="30"/>
      <c r="F572" s="65"/>
      <c r="G572" s="65"/>
      <c r="H572" s="65"/>
      <c r="I572" s="30"/>
      <c r="J572" s="65"/>
      <c r="K572" s="65"/>
      <c r="L572" s="65"/>
      <c r="M572" s="30"/>
      <c r="N572" s="65"/>
      <c r="O572" s="65"/>
      <c r="P572" s="65"/>
      <c r="Q572" s="30"/>
      <c r="R572" s="65"/>
      <c r="S572" s="65"/>
      <c r="T572" s="65"/>
      <c r="U572" s="30"/>
      <c r="V572" s="65"/>
      <c r="W572" s="65"/>
      <c r="X572" s="65"/>
      <c r="Y572" s="30"/>
      <c r="Z572" s="65"/>
      <c r="AA572" s="65"/>
      <c r="AB572" s="65"/>
      <c r="AC572" s="30"/>
      <c r="AD572" s="65"/>
      <c r="AE572" s="65"/>
      <c r="AF572" s="65"/>
      <c r="AG572" s="65"/>
      <c r="AH572" s="30"/>
      <c r="AI572" s="65"/>
      <c r="AJ572" s="65"/>
      <c r="AK572" s="65"/>
      <c r="AL572" s="65"/>
      <c r="AM572" s="65"/>
      <c r="AN572" s="65"/>
      <c r="AO572" s="65"/>
    </row>
    <row r="573">
      <c r="A573" s="30"/>
      <c r="B573" s="65"/>
      <c r="C573" s="65"/>
      <c r="D573" s="65"/>
      <c r="E573" s="30"/>
      <c r="F573" s="65"/>
      <c r="G573" s="65"/>
      <c r="H573" s="65"/>
      <c r="I573" s="30"/>
      <c r="J573" s="65"/>
      <c r="K573" s="65"/>
      <c r="L573" s="65"/>
      <c r="M573" s="30"/>
      <c r="N573" s="65"/>
      <c r="O573" s="65"/>
      <c r="P573" s="65"/>
      <c r="Q573" s="30"/>
      <c r="R573" s="65"/>
      <c r="S573" s="65"/>
      <c r="T573" s="65"/>
      <c r="U573" s="30"/>
      <c r="V573" s="65"/>
      <c r="W573" s="65"/>
      <c r="X573" s="65"/>
      <c r="Y573" s="30"/>
      <c r="Z573" s="65"/>
      <c r="AA573" s="65"/>
      <c r="AB573" s="65"/>
      <c r="AC573" s="30"/>
      <c r="AD573" s="65"/>
      <c r="AE573" s="65"/>
      <c r="AF573" s="65"/>
      <c r="AG573" s="65"/>
      <c r="AH573" s="30"/>
      <c r="AI573" s="65"/>
      <c r="AJ573" s="65"/>
      <c r="AK573" s="65"/>
      <c r="AL573" s="65"/>
      <c r="AM573" s="65"/>
      <c r="AN573" s="65"/>
      <c r="AO573" s="65"/>
    </row>
    <row r="574">
      <c r="A574" s="30"/>
      <c r="B574" s="65"/>
      <c r="C574" s="65"/>
      <c r="D574" s="65"/>
      <c r="E574" s="30"/>
      <c r="F574" s="65"/>
      <c r="G574" s="65"/>
      <c r="H574" s="65"/>
      <c r="I574" s="30"/>
      <c r="J574" s="65"/>
      <c r="K574" s="65"/>
      <c r="L574" s="65"/>
      <c r="M574" s="30"/>
      <c r="N574" s="65"/>
      <c r="O574" s="65"/>
      <c r="P574" s="65"/>
      <c r="Q574" s="30"/>
      <c r="R574" s="65"/>
      <c r="S574" s="65"/>
      <c r="T574" s="65"/>
      <c r="U574" s="30"/>
      <c r="V574" s="65"/>
      <c r="W574" s="65"/>
      <c r="X574" s="65"/>
      <c r="Y574" s="30"/>
      <c r="Z574" s="65"/>
      <c r="AA574" s="65"/>
      <c r="AB574" s="65"/>
      <c r="AC574" s="30"/>
      <c r="AD574" s="65"/>
      <c r="AE574" s="65"/>
      <c r="AF574" s="65"/>
      <c r="AG574" s="65"/>
      <c r="AH574" s="30"/>
      <c r="AI574" s="65"/>
      <c r="AJ574" s="65"/>
      <c r="AK574" s="65"/>
      <c r="AL574" s="65"/>
      <c r="AM574" s="65"/>
      <c r="AN574" s="65"/>
      <c r="AO574" s="65"/>
    </row>
    <row r="575">
      <c r="A575" s="30"/>
      <c r="B575" s="65"/>
      <c r="C575" s="65"/>
      <c r="D575" s="65"/>
      <c r="E575" s="30"/>
      <c r="F575" s="65"/>
      <c r="G575" s="65"/>
      <c r="H575" s="65"/>
      <c r="I575" s="30"/>
      <c r="J575" s="65"/>
      <c r="K575" s="65"/>
      <c r="L575" s="65"/>
      <c r="M575" s="30"/>
      <c r="N575" s="65"/>
      <c r="O575" s="65"/>
      <c r="P575" s="65"/>
      <c r="Q575" s="30"/>
      <c r="R575" s="65"/>
      <c r="S575" s="65"/>
      <c r="T575" s="65"/>
      <c r="U575" s="30"/>
      <c r="V575" s="65"/>
      <c r="W575" s="65"/>
      <c r="X575" s="65"/>
      <c r="Y575" s="30"/>
      <c r="Z575" s="65"/>
      <c r="AA575" s="65"/>
      <c r="AB575" s="65"/>
      <c r="AC575" s="30"/>
      <c r="AD575" s="65"/>
      <c r="AE575" s="65"/>
      <c r="AF575" s="65"/>
      <c r="AG575" s="65"/>
      <c r="AH575" s="30"/>
      <c r="AI575" s="65"/>
      <c r="AJ575" s="65"/>
      <c r="AK575" s="65"/>
      <c r="AL575" s="65"/>
      <c r="AM575" s="65"/>
      <c r="AN575" s="65"/>
      <c r="AO575" s="65"/>
    </row>
    <row r="576">
      <c r="A576" s="30"/>
      <c r="B576" s="65"/>
      <c r="C576" s="65"/>
      <c r="D576" s="65"/>
      <c r="E576" s="30"/>
      <c r="F576" s="65"/>
      <c r="G576" s="65"/>
      <c r="H576" s="65"/>
      <c r="I576" s="30"/>
      <c r="J576" s="65"/>
      <c r="K576" s="65"/>
      <c r="L576" s="65"/>
      <c r="M576" s="30"/>
      <c r="N576" s="65"/>
      <c r="O576" s="65"/>
      <c r="P576" s="65"/>
      <c r="Q576" s="30"/>
      <c r="R576" s="65"/>
      <c r="S576" s="65"/>
      <c r="T576" s="65"/>
      <c r="U576" s="30"/>
      <c r="V576" s="65"/>
      <c r="W576" s="65"/>
      <c r="X576" s="65"/>
      <c r="Y576" s="30"/>
      <c r="Z576" s="65"/>
      <c r="AA576" s="65"/>
      <c r="AB576" s="65"/>
      <c r="AC576" s="30"/>
      <c r="AD576" s="65"/>
      <c r="AE576" s="65"/>
      <c r="AF576" s="65"/>
      <c r="AG576" s="65"/>
      <c r="AH576" s="30"/>
      <c r="AI576" s="65"/>
      <c r="AJ576" s="65"/>
      <c r="AK576" s="65"/>
      <c r="AL576" s="65"/>
      <c r="AM576" s="65"/>
      <c r="AN576" s="65"/>
      <c r="AO576" s="65"/>
    </row>
    <row r="577">
      <c r="A577" s="30"/>
      <c r="B577" s="65"/>
      <c r="C577" s="65"/>
      <c r="D577" s="65"/>
      <c r="E577" s="30"/>
      <c r="F577" s="65"/>
      <c r="G577" s="65"/>
      <c r="H577" s="65"/>
      <c r="I577" s="30"/>
      <c r="J577" s="65"/>
      <c r="K577" s="65"/>
      <c r="L577" s="65"/>
      <c r="M577" s="30"/>
      <c r="N577" s="65"/>
      <c r="O577" s="65"/>
      <c r="P577" s="65"/>
      <c r="Q577" s="30"/>
      <c r="R577" s="65"/>
      <c r="S577" s="65"/>
      <c r="T577" s="65"/>
      <c r="U577" s="30"/>
      <c r="V577" s="65"/>
      <c r="W577" s="65"/>
      <c r="X577" s="65"/>
      <c r="Y577" s="30"/>
      <c r="Z577" s="65"/>
      <c r="AA577" s="65"/>
      <c r="AB577" s="65"/>
      <c r="AC577" s="30"/>
      <c r="AD577" s="65"/>
      <c r="AE577" s="65"/>
      <c r="AF577" s="65"/>
      <c r="AG577" s="65"/>
      <c r="AH577" s="30"/>
      <c r="AI577" s="65"/>
      <c r="AJ577" s="65"/>
      <c r="AK577" s="65"/>
      <c r="AL577" s="65"/>
      <c r="AM577" s="65"/>
      <c r="AN577" s="65"/>
      <c r="AO577" s="65"/>
    </row>
    <row r="578">
      <c r="A578" s="30"/>
      <c r="B578" s="65"/>
      <c r="C578" s="65"/>
      <c r="D578" s="65"/>
      <c r="E578" s="30"/>
      <c r="F578" s="65"/>
      <c r="G578" s="65"/>
      <c r="H578" s="65"/>
      <c r="I578" s="30"/>
      <c r="J578" s="65"/>
      <c r="K578" s="65"/>
      <c r="L578" s="65"/>
      <c r="M578" s="30"/>
      <c r="N578" s="65"/>
      <c r="O578" s="65"/>
      <c r="P578" s="65"/>
      <c r="Q578" s="30"/>
      <c r="R578" s="65"/>
      <c r="S578" s="65"/>
      <c r="T578" s="65"/>
      <c r="U578" s="30"/>
      <c r="V578" s="65"/>
      <c r="W578" s="65"/>
      <c r="X578" s="65"/>
      <c r="Y578" s="30"/>
      <c r="Z578" s="65"/>
      <c r="AA578" s="65"/>
      <c r="AB578" s="65"/>
      <c r="AC578" s="30"/>
      <c r="AD578" s="65"/>
      <c r="AE578" s="65"/>
      <c r="AF578" s="65"/>
      <c r="AG578" s="65"/>
      <c r="AH578" s="30"/>
      <c r="AI578" s="65"/>
      <c r="AJ578" s="65"/>
      <c r="AK578" s="65"/>
      <c r="AL578" s="65"/>
      <c r="AM578" s="65"/>
      <c r="AN578" s="65"/>
      <c r="AO578" s="65"/>
    </row>
    <row r="579">
      <c r="A579" s="30"/>
      <c r="B579" s="65"/>
      <c r="C579" s="65"/>
      <c r="D579" s="65"/>
      <c r="E579" s="30"/>
      <c r="F579" s="65"/>
      <c r="G579" s="65"/>
      <c r="H579" s="65"/>
      <c r="I579" s="30"/>
      <c r="J579" s="65"/>
      <c r="K579" s="65"/>
      <c r="L579" s="65"/>
      <c r="M579" s="30"/>
      <c r="N579" s="65"/>
      <c r="O579" s="65"/>
      <c r="P579" s="65"/>
      <c r="Q579" s="30"/>
      <c r="R579" s="65"/>
      <c r="S579" s="65"/>
      <c r="T579" s="65"/>
      <c r="U579" s="30"/>
      <c r="V579" s="65"/>
      <c r="W579" s="65"/>
      <c r="X579" s="65"/>
      <c r="Y579" s="30"/>
      <c r="Z579" s="65"/>
      <c r="AA579" s="65"/>
      <c r="AB579" s="65"/>
      <c r="AC579" s="30"/>
      <c r="AD579" s="65"/>
      <c r="AE579" s="65"/>
      <c r="AF579" s="65"/>
      <c r="AG579" s="65"/>
      <c r="AH579" s="30"/>
      <c r="AI579" s="65"/>
      <c r="AJ579" s="65"/>
      <c r="AK579" s="65"/>
      <c r="AL579" s="65"/>
      <c r="AM579" s="65"/>
      <c r="AN579" s="65"/>
      <c r="AO579" s="65"/>
    </row>
    <row r="580">
      <c r="A580" s="30"/>
      <c r="B580" s="65"/>
      <c r="C580" s="65"/>
      <c r="D580" s="65"/>
      <c r="E580" s="30"/>
      <c r="F580" s="65"/>
      <c r="G580" s="65"/>
      <c r="H580" s="65"/>
      <c r="I580" s="30"/>
      <c r="J580" s="65"/>
      <c r="K580" s="65"/>
      <c r="L580" s="65"/>
      <c r="M580" s="30"/>
      <c r="N580" s="65"/>
      <c r="O580" s="65"/>
      <c r="P580" s="65"/>
      <c r="Q580" s="30"/>
      <c r="R580" s="65"/>
      <c r="S580" s="65"/>
      <c r="T580" s="65"/>
      <c r="U580" s="30"/>
      <c r="V580" s="65"/>
      <c r="W580" s="65"/>
      <c r="X580" s="65"/>
      <c r="Y580" s="30"/>
      <c r="Z580" s="65"/>
      <c r="AA580" s="65"/>
      <c r="AB580" s="65"/>
      <c r="AC580" s="30"/>
      <c r="AD580" s="65"/>
      <c r="AE580" s="65"/>
      <c r="AF580" s="65"/>
      <c r="AG580" s="65"/>
      <c r="AH580" s="30"/>
      <c r="AI580" s="65"/>
      <c r="AJ580" s="65"/>
      <c r="AK580" s="65"/>
      <c r="AL580" s="65"/>
      <c r="AM580" s="65"/>
      <c r="AN580" s="65"/>
      <c r="AO580" s="65"/>
    </row>
    <row r="581">
      <c r="A581" s="30"/>
      <c r="B581" s="65"/>
      <c r="C581" s="65"/>
      <c r="D581" s="65"/>
      <c r="E581" s="30"/>
      <c r="F581" s="65"/>
      <c r="G581" s="65"/>
      <c r="H581" s="65"/>
      <c r="I581" s="30"/>
      <c r="J581" s="65"/>
      <c r="K581" s="65"/>
      <c r="L581" s="65"/>
      <c r="M581" s="30"/>
      <c r="N581" s="65"/>
      <c r="O581" s="65"/>
      <c r="P581" s="65"/>
      <c r="Q581" s="30"/>
      <c r="R581" s="65"/>
      <c r="S581" s="65"/>
      <c r="T581" s="65"/>
      <c r="U581" s="30"/>
      <c r="V581" s="65"/>
      <c r="W581" s="65"/>
      <c r="X581" s="65"/>
      <c r="Y581" s="30"/>
      <c r="Z581" s="65"/>
      <c r="AA581" s="65"/>
      <c r="AB581" s="65"/>
      <c r="AC581" s="30"/>
      <c r="AD581" s="65"/>
      <c r="AE581" s="65"/>
      <c r="AF581" s="65"/>
      <c r="AG581" s="65"/>
      <c r="AH581" s="30"/>
      <c r="AI581" s="65"/>
      <c r="AJ581" s="65"/>
      <c r="AK581" s="65"/>
      <c r="AL581" s="65"/>
      <c r="AM581" s="65"/>
      <c r="AN581" s="65"/>
      <c r="AO581" s="65"/>
    </row>
    <row r="582">
      <c r="A582" s="30"/>
      <c r="B582" s="65"/>
      <c r="C582" s="65"/>
      <c r="D582" s="65"/>
      <c r="E582" s="30"/>
      <c r="F582" s="65"/>
      <c r="G582" s="65"/>
      <c r="H582" s="65"/>
      <c r="I582" s="30"/>
      <c r="J582" s="65"/>
      <c r="K582" s="65"/>
      <c r="L582" s="65"/>
      <c r="M582" s="30"/>
      <c r="N582" s="65"/>
      <c r="O582" s="65"/>
      <c r="P582" s="65"/>
      <c r="Q582" s="30"/>
      <c r="R582" s="65"/>
      <c r="S582" s="65"/>
      <c r="T582" s="65"/>
      <c r="U582" s="30"/>
      <c r="V582" s="65"/>
      <c r="W582" s="65"/>
      <c r="X582" s="65"/>
      <c r="Y582" s="30"/>
      <c r="Z582" s="65"/>
      <c r="AA582" s="65"/>
      <c r="AB582" s="65"/>
      <c r="AC582" s="30"/>
      <c r="AD582" s="65"/>
      <c r="AE582" s="65"/>
      <c r="AF582" s="65"/>
      <c r="AG582" s="65"/>
      <c r="AH582" s="30"/>
      <c r="AI582" s="65"/>
      <c r="AJ582" s="65"/>
      <c r="AK582" s="65"/>
      <c r="AL582" s="65"/>
      <c r="AM582" s="65"/>
      <c r="AN582" s="65"/>
      <c r="AO582" s="65"/>
    </row>
    <row r="583">
      <c r="A583" s="30"/>
      <c r="B583" s="65"/>
      <c r="C583" s="65"/>
      <c r="D583" s="65"/>
      <c r="E583" s="30"/>
      <c r="F583" s="65"/>
      <c r="G583" s="65"/>
      <c r="H583" s="65"/>
      <c r="I583" s="30"/>
      <c r="J583" s="65"/>
      <c r="K583" s="65"/>
      <c r="L583" s="65"/>
      <c r="M583" s="30"/>
      <c r="N583" s="65"/>
      <c r="O583" s="65"/>
      <c r="P583" s="65"/>
      <c r="Q583" s="30"/>
      <c r="R583" s="65"/>
      <c r="S583" s="65"/>
      <c r="T583" s="65"/>
      <c r="U583" s="30"/>
      <c r="V583" s="65"/>
      <c r="W583" s="65"/>
      <c r="X583" s="65"/>
      <c r="Y583" s="30"/>
      <c r="Z583" s="65"/>
      <c r="AA583" s="65"/>
      <c r="AB583" s="65"/>
      <c r="AC583" s="30"/>
      <c r="AD583" s="65"/>
      <c r="AE583" s="65"/>
      <c r="AF583" s="65"/>
      <c r="AG583" s="65"/>
      <c r="AH583" s="30"/>
      <c r="AI583" s="65"/>
      <c r="AJ583" s="65"/>
      <c r="AK583" s="65"/>
      <c r="AL583" s="65"/>
      <c r="AM583" s="65"/>
      <c r="AN583" s="65"/>
      <c r="AO583" s="65"/>
    </row>
    <row r="584">
      <c r="A584" s="30"/>
      <c r="B584" s="65"/>
      <c r="C584" s="65"/>
      <c r="D584" s="65"/>
      <c r="E584" s="30"/>
      <c r="F584" s="65"/>
      <c r="G584" s="65"/>
      <c r="H584" s="65"/>
      <c r="I584" s="30"/>
      <c r="J584" s="65"/>
      <c r="K584" s="65"/>
      <c r="L584" s="65"/>
      <c r="M584" s="30"/>
      <c r="N584" s="65"/>
      <c r="O584" s="65"/>
      <c r="P584" s="65"/>
      <c r="Q584" s="30"/>
      <c r="R584" s="65"/>
      <c r="S584" s="65"/>
      <c r="T584" s="65"/>
      <c r="U584" s="30"/>
      <c r="V584" s="65"/>
      <c r="W584" s="65"/>
      <c r="X584" s="65"/>
      <c r="Y584" s="30"/>
      <c r="Z584" s="65"/>
      <c r="AA584" s="65"/>
      <c r="AB584" s="65"/>
      <c r="AC584" s="30"/>
      <c r="AD584" s="65"/>
      <c r="AE584" s="65"/>
      <c r="AF584" s="65"/>
      <c r="AG584" s="65"/>
      <c r="AH584" s="30"/>
      <c r="AI584" s="65"/>
      <c r="AJ584" s="65"/>
      <c r="AK584" s="65"/>
      <c r="AL584" s="65"/>
      <c r="AM584" s="65"/>
      <c r="AN584" s="65"/>
      <c r="AO584" s="65"/>
    </row>
    <row r="585">
      <c r="A585" s="30"/>
      <c r="B585" s="65"/>
      <c r="C585" s="65"/>
      <c r="D585" s="65"/>
      <c r="E585" s="30"/>
      <c r="F585" s="65"/>
      <c r="G585" s="65"/>
      <c r="H585" s="65"/>
      <c r="I585" s="30"/>
      <c r="J585" s="65"/>
      <c r="K585" s="65"/>
      <c r="L585" s="65"/>
      <c r="M585" s="30"/>
      <c r="N585" s="65"/>
      <c r="O585" s="65"/>
      <c r="P585" s="65"/>
      <c r="Q585" s="30"/>
      <c r="R585" s="65"/>
      <c r="S585" s="65"/>
      <c r="T585" s="65"/>
      <c r="U585" s="30"/>
      <c r="V585" s="65"/>
      <c r="W585" s="65"/>
      <c r="X585" s="65"/>
      <c r="Y585" s="30"/>
      <c r="Z585" s="65"/>
      <c r="AA585" s="65"/>
      <c r="AB585" s="65"/>
      <c r="AC585" s="30"/>
      <c r="AD585" s="65"/>
      <c r="AE585" s="65"/>
      <c r="AF585" s="65"/>
      <c r="AG585" s="65"/>
      <c r="AH585" s="30"/>
      <c r="AI585" s="65"/>
      <c r="AJ585" s="65"/>
      <c r="AK585" s="65"/>
      <c r="AL585" s="65"/>
      <c r="AM585" s="65"/>
      <c r="AN585" s="65"/>
      <c r="AO585" s="65"/>
    </row>
    <row r="586">
      <c r="A586" s="30"/>
      <c r="B586" s="65"/>
      <c r="C586" s="65"/>
      <c r="D586" s="65"/>
      <c r="E586" s="30"/>
      <c r="F586" s="65"/>
      <c r="G586" s="65"/>
      <c r="H586" s="65"/>
      <c r="I586" s="30"/>
      <c r="J586" s="65"/>
      <c r="K586" s="65"/>
      <c r="L586" s="65"/>
      <c r="M586" s="30"/>
      <c r="N586" s="65"/>
      <c r="O586" s="65"/>
      <c r="P586" s="65"/>
      <c r="Q586" s="30"/>
      <c r="R586" s="65"/>
      <c r="S586" s="65"/>
      <c r="T586" s="65"/>
      <c r="U586" s="30"/>
      <c r="V586" s="65"/>
      <c r="W586" s="65"/>
      <c r="X586" s="65"/>
      <c r="Y586" s="30"/>
      <c r="Z586" s="65"/>
      <c r="AA586" s="65"/>
      <c r="AB586" s="65"/>
      <c r="AC586" s="30"/>
      <c r="AD586" s="65"/>
      <c r="AE586" s="65"/>
      <c r="AF586" s="65"/>
      <c r="AG586" s="65"/>
      <c r="AH586" s="30"/>
      <c r="AI586" s="65"/>
      <c r="AJ586" s="65"/>
      <c r="AK586" s="65"/>
      <c r="AL586" s="65"/>
      <c r="AM586" s="65"/>
      <c r="AN586" s="65"/>
      <c r="AO586" s="65"/>
    </row>
    <row r="587">
      <c r="A587" s="30"/>
      <c r="B587" s="65"/>
      <c r="C587" s="65"/>
      <c r="D587" s="65"/>
      <c r="E587" s="30"/>
      <c r="F587" s="65"/>
      <c r="G587" s="65"/>
      <c r="H587" s="65"/>
      <c r="I587" s="30"/>
      <c r="J587" s="65"/>
      <c r="K587" s="65"/>
      <c r="L587" s="65"/>
      <c r="M587" s="30"/>
      <c r="N587" s="65"/>
      <c r="O587" s="65"/>
      <c r="P587" s="65"/>
      <c r="Q587" s="30"/>
      <c r="R587" s="65"/>
      <c r="S587" s="65"/>
      <c r="T587" s="65"/>
      <c r="U587" s="30"/>
      <c r="V587" s="65"/>
      <c r="W587" s="65"/>
      <c r="X587" s="65"/>
      <c r="Y587" s="30"/>
      <c r="Z587" s="65"/>
      <c r="AA587" s="65"/>
      <c r="AB587" s="65"/>
      <c r="AC587" s="30"/>
      <c r="AD587" s="65"/>
      <c r="AE587" s="65"/>
      <c r="AF587" s="65"/>
      <c r="AG587" s="65"/>
      <c r="AH587" s="30"/>
      <c r="AI587" s="65"/>
      <c r="AJ587" s="65"/>
      <c r="AK587" s="65"/>
      <c r="AL587" s="65"/>
      <c r="AM587" s="65"/>
      <c r="AN587" s="65"/>
      <c r="AO587" s="65"/>
    </row>
    <row r="588">
      <c r="A588" s="30"/>
      <c r="B588" s="65"/>
      <c r="C588" s="65"/>
      <c r="D588" s="65"/>
      <c r="E588" s="30"/>
      <c r="F588" s="65"/>
      <c r="G588" s="65"/>
      <c r="H588" s="65"/>
      <c r="I588" s="30"/>
      <c r="J588" s="65"/>
      <c r="K588" s="65"/>
      <c r="L588" s="65"/>
      <c r="M588" s="30"/>
      <c r="N588" s="65"/>
      <c r="O588" s="65"/>
      <c r="P588" s="65"/>
      <c r="Q588" s="30"/>
      <c r="R588" s="65"/>
      <c r="S588" s="65"/>
      <c r="T588" s="65"/>
      <c r="U588" s="30"/>
      <c r="V588" s="65"/>
      <c r="W588" s="65"/>
      <c r="X588" s="65"/>
      <c r="Y588" s="30"/>
      <c r="Z588" s="65"/>
      <c r="AA588" s="65"/>
      <c r="AB588" s="65"/>
      <c r="AC588" s="30"/>
      <c r="AD588" s="65"/>
      <c r="AE588" s="65"/>
      <c r="AF588" s="65"/>
      <c r="AG588" s="65"/>
      <c r="AH588" s="30"/>
      <c r="AI588" s="65"/>
      <c r="AJ588" s="65"/>
      <c r="AK588" s="65"/>
      <c r="AL588" s="65"/>
      <c r="AM588" s="65"/>
      <c r="AN588" s="65"/>
      <c r="AO588" s="65"/>
    </row>
    <row r="589">
      <c r="A589" s="30"/>
      <c r="B589" s="65"/>
      <c r="C589" s="65"/>
      <c r="D589" s="65"/>
      <c r="E589" s="30"/>
      <c r="F589" s="65"/>
      <c r="G589" s="65"/>
      <c r="H589" s="65"/>
      <c r="I589" s="30"/>
      <c r="J589" s="65"/>
      <c r="K589" s="65"/>
      <c r="L589" s="65"/>
      <c r="M589" s="30"/>
      <c r="N589" s="65"/>
      <c r="O589" s="65"/>
      <c r="P589" s="65"/>
      <c r="Q589" s="30"/>
      <c r="R589" s="65"/>
      <c r="S589" s="65"/>
      <c r="T589" s="65"/>
      <c r="U589" s="30"/>
      <c r="V589" s="65"/>
      <c r="W589" s="65"/>
      <c r="X589" s="65"/>
      <c r="Y589" s="30"/>
      <c r="Z589" s="65"/>
      <c r="AA589" s="65"/>
      <c r="AB589" s="65"/>
      <c r="AC589" s="30"/>
      <c r="AD589" s="65"/>
      <c r="AE589" s="65"/>
      <c r="AF589" s="65"/>
      <c r="AG589" s="65"/>
      <c r="AH589" s="30"/>
      <c r="AI589" s="65"/>
      <c r="AJ589" s="65"/>
      <c r="AK589" s="65"/>
      <c r="AL589" s="65"/>
      <c r="AM589" s="65"/>
      <c r="AN589" s="65"/>
      <c r="AO589" s="65"/>
    </row>
    <row r="590">
      <c r="A590" s="30"/>
      <c r="B590" s="65"/>
      <c r="C590" s="65"/>
      <c r="D590" s="65"/>
      <c r="E590" s="30"/>
      <c r="F590" s="65"/>
      <c r="G590" s="65"/>
      <c r="H590" s="65"/>
      <c r="I590" s="30"/>
      <c r="J590" s="65"/>
      <c r="K590" s="65"/>
      <c r="L590" s="65"/>
      <c r="M590" s="30"/>
      <c r="N590" s="65"/>
      <c r="O590" s="65"/>
      <c r="P590" s="65"/>
      <c r="Q590" s="30"/>
      <c r="R590" s="65"/>
      <c r="S590" s="65"/>
      <c r="T590" s="65"/>
      <c r="U590" s="30"/>
      <c r="V590" s="65"/>
      <c r="W590" s="65"/>
      <c r="X590" s="65"/>
      <c r="Y590" s="30"/>
      <c r="Z590" s="65"/>
      <c r="AA590" s="65"/>
      <c r="AB590" s="65"/>
      <c r="AC590" s="30"/>
      <c r="AD590" s="65"/>
      <c r="AE590" s="65"/>
      <c r="AF590" s="65"/>
      <c r="AG590" s="65"/>
      <c r="AH590" s="30"/>
      <c r="AI590" s="65"/>
      <c r="AJ590" s="65"/>
      <c r="AK590" s="65"/>
      <c r="AL590" s="65"/>
      <c r="AM590" s="65"/>
      <c r="AN590" s="65"/>
      <c r="AO590" s="65"/>
    </row>
    <row r="591">
      <c r="A591" s="30"/>
      <c r="B591" s="65"/>
      <c r="C591" s="65"/>
      <c r="D591" s="65"/>
      <c r="E591" s="30"/>
      <c r="F591" s="65"/>
      <c r="G591" s="65"/>
      <c r="H591" s="65"/>
      <c r="I591" s="30"/>
      <c r="J591" s="65"/>
      <c r="K591" s="65"/>
      <c r="L591" s="65"/>
      <c r="M591" s="30"/>
      <c r="N591" s="65"/>
      <c r="O591" s="65"/>
      <c r="P591" s="65"/>
      <c r="Q591" s="30"/>
      <c r="R591" s="65"/>
      <c r="S591" s="65"/>
      <c r="T591" s="65"/>
      <c r="U591" s="30"/>
      <c r="V591" s="65"/>
      <c r="W591" s="65"/>
      <c r="X591" s="65"/>
      <c r="Y591" s="30"/>
      <c r="Z591" s="65"/>
      <c r="AA591" s="65"/>
      <c r="AB591" s="65"/>
      <c r="AC591" s="30"/>
      <c r="AD591" s="65"/>
      <c r="AE591" s="65"/>
      <c r="AF591" s="65"/>
      <c r="AG591" s="65"/>
      <c r="AH591" s="30"/>
      <c r="AI591" s="65"/>
      <c r="AJ591" s="65"/>
      <c r="AK591" s="65"/>
      <c r="AL591" s="65"/>
      <c r="AM591" s="65"/>
      <c r="AN591" s="65"/>
      <c r="AO591" s="65"/>
    </row>
    <row r="592">
      <c r="A592" s="30"/>
      <c r="B592" s="65"/>
      <c r="C592" s="65"/>
      <c r="D592" s="65"/>
      <c r="E592" s="30"/>
      <c r="F592" s="65"/>
      <c r="G592" s="65"/>
      <c r="H592" s="65"/>
      <c r="I592" s="30"/>
      <c r="J592" s="65"/>
      <c r="K592" s="65"/>
      <c r="L592" s="65"/>
      <c r="M592" s="30"/>
      <c r="N592" s="65"/>
      <c r="O592" s="65"/>
      <c r="P592" s="65"/>
      <c r="Q592" s="30"/>
      <c r="R592" s="65"/>
      <c r="S592" s="65"/>
      <c r="T592" s="65"/>
      <c r="U592" s="30"/>
      <c r="V592" s="65"/>
      <c r="W592" s="65"/>
      <c r="X592" s="65"/>
      <c r="Y592" s="30"/>
      <c r="Z592" s="65"/>
      <c r="AA592" s="65"/>
      <c r="AB592" s="65"/>
      <c r="AC592" s="30"/>
      <c r="AD592" s="65"/>
      <c r="AE592" s="65"/>
      <c r="AF592" s="65"/>
      <c r="AG592" s="65"/>
      <c r="AH592" s="30"/>
      <c r="AI592" s="65"/>
      <c r="AJ592" s="65"/>
      <c r="AK592" s="65"/>
      <c r="AL592" s="65"/>
      <c r="AM592" s="65"/>
      <c r="AN592" s="65"/>
      <c r="AO592" s="65"/>
    </row>
    <row r="593">
      <c r="A593" s="30"/>
      <c r="B593" s="65"/>
      <c r="C593" s="65"/>
      <c r="D593" s="65"/>
      <c r="E593" s="30"/>
      <c r="F593" s="65"/>
      <c r="G593" s="65"/>
      <c r="H593" s="65"/>
      <c r="I593" s="30"/>
      <c r="J593" s="65"/>
      <c r="K593" s="65"/>
      <c r="L593" s="65"/>
      <c r="M593" s="30"/>
      <c r="N593" s="65"/>
      <c r="O593" s="65"/>
      <c r="P593" s="65"/>
      <c r="Q593" s="30"/>
      <c r="R593" s="65"/>
      <c r="S593" s="65"/>
      <c r="T593" s="65"/>
      <c r="U593" s="30"/>
      <c r="V593" s="65"/>
      <c r="W593" s="65"/>
      <c r="X593" s="65"/>
      <c r="Y593" s="30"/>
      <c r="Z593" s="65"/>
      <c r="AA593" s="65"/>
      <c r="AB593" s="65"/>
      <c r="AC593" s="30"/>
      <c r="AD593" s="65"/>
      <c r="AE593" s="65"/>
      <c r="AF593" s="65"/>
      <c r="AG593" s="65"/>
      <c r="AH593" s="30"/>
      <c r="AI593" s="65"/>
      <c r="AJ593" s="65"/>
      <c r="AK593" s="65"/>
      <c r="AL593" s="65"/>
      <c r="AM593" s="65"/>
      <c r="AN593" s="65"/>
      <c r="AO593" s="65"/>
    </row>
    <row r="594">
      <c r="A594" s="30"/>
      <c r="B594" s="65"/>
      <c r="C594" s="65"/>
      <c r="D594" s="65"/>
      <c r="E594" s="30"/>
      <c r="F594" s="65"/>
      <c r="G594" s="65"/>
      <c r="H594" s="65"/>
      <c r="I594" s="30"/>
      <c r="J594" s="65"/>
      <c r="K594" s="65"/>
      <c r="L594" s="65"/>
      <c r="M594" s="30"/>
      <c r="N594" s="65"/>
      <c r="O594" s="65"/>
      <c r="P594" s="65"/>
      <c r="Q594" s="30"/>
      <c r="R594" s="65"/>
      <c r="S594" s="65"/>
      <c r="T594" s="65"/>
      <c r="U594" s="30"/>
      <c r="V594" s="65"/>
      <c r="W594" s="65"/>
      <c r="X594" s="65"/>
      <c r="Y594" s="30"/>
      <c r="Z594" s="65"/>
      <c r="AA594" s="65"/>
      <c r="AB594" s="65"/>
      <c r="AC594" s="30"/>
      <c r="AD594" s="65"/>
      <c r="AE594" s="65"/>
      <c r="AF594" s="65"/>
      <c r="AG594" s="65"/>
      <c r="AH594" s="30"/>
      <c r="AI594" s="65"/>
      <c r="AJ594" s="65"/>
      <c r="AK594" s="65"/>
      <c r="AL594" s="65"/>
      <c r="AM594" s="65"/>
      <c r="AN594" s="65"/>
      <c r="AO594" s="65"/>
    </row>
    <row r="595">
      <c r="A595" s="30"/>
      <c r="B595" s="65"/>
      <c r="C595" s="65"/>
      <c r="D595" s="65"/>
      <c r="E595" s="30"/>
      <c r="F595" s="65"/>
      <c r="G595" s="65"/>
      <c r="H595" s="65"/>
      <c r="I595" s="30"/>
      <c r="J595" s="65"/>
      <c r="K595" s="65"/>
      <c r="L595" s="65"/>
      <c r="M595" s="30"/>
      <c r="N595" s="65"/>
      <c r="O595" s="65"/>
      <c r="P595" s="65"/>
      <c r="Q595" s="30"/>
      <c r="R595" s="65"/>
      <c r="S595" s="65"/>
      <c r="T595" s="65"/>
      <c r="U595" s="30"/>
      <c r="V595" s="65"/>
      <c r="W595" s="65"/>
      <c r="X595" s="65"/>
      <c r="Y595" s="30"/>
      <c r="Z595" s="65"/>
      <c r="AA595" s="65"/>
      <c r="AB595" s="65"/>
      <c r="AC595" s="30"/>
      <c r="AD595" s="65"/>
      <c r="AE595" s="65"/>
      <c r="AF595" s="65"/>
      <c r="AG595" s="65"/>
      <c r="AH595" s="30"/>
      <c r="AI595" s="65"/>
      <c r="AJ595" s="65"/>
      <c r="AK595" s="65"/>
      <c r="AL595" s="65"/>
      <c r="AM595" s="65"/>
      <c r="AN595" s="65"/>
      <c r="AO595" s="65"/>
    </row>
    <row r="596">
      <c r="A596" s="30"/>
      <c r="B596" s="65"/>
      <c r="C596" s="65"/>
      <c r="D596" s="65"/>
      <c r="E596" s="30"/>
      <c r="F596" s="65"/>
      <c r="G596" s="65"/>
      <c r="H596" s="65"/>
      <c r="I596" s="30"/>
      <c r="J596" s="65"/>
      <c r="K596" s="65"/>
      <c r="L596" s="65"/>
      <c r="M596" s="30"/>
      <c r="N596" s="65"/>
      <c r="O596" s="65"/>
      <c r="P596" s="65"/>
      <c r="Q596" s="30"/>
      <c r="R596" s="65"/>
      <c r="S596" s="65"/>
      <c r="T596" s="65"/>
      <c r="U596" s="30"/>
      <c r="V596" s="65"/>
      <c r="W596" s="65"/>
      <c r="X596" s="65"/>
      <c r="Y596" s="30"/>
      <c r="Z596" s="65"/>
      <c r="AA596" s="65"/>
      <c r="AB596" s="65"/>
      <c r="AC596" s="30"/>
      <c r="AD596" s="65"/>
      <c r="AE596" s="65"/>
      <c r="AF596" s="65"/>
      <c r="AG596" s="65"/>
      <c r="AH596" s="30"/>
      <c r="AI596" s="65"/>
      <c r="AJ596" s="65"/>
      <c r="AK596" s="65"/>
      <c r="AL596" s="65"/>
      <c r="AM596" s="65"/>
      <c r="AN596" s="65"/>
      <c r="AO596" s="65"/>
    </row>
    <row r="597">
      <c r="A597" s="30"/>
      <c r="B597" s="65"/>
      <c r="C597" s="65"/>
      <c r="D597" s="65"/>
      <c r="E597" s="30"/>
      <c r="F597" s="65"/>
      <c r="G597" s="65"/>
      <c r="H597" s="65"/>
      <c r="I597" s="30"/>
      <c r="J597" s="65"/>
      <c r="K597" s="65"/>
      <c r="L597" s="65"/>
      <c r="M597" s="30"/>
      <c r="N597" s="65"/>
      <c r="O597" s="65"/>
      <c r="P597" s="65"/>
      <c r="Q597" s="30"/>
      <c r="R597" s="65"/>
      <c r="S597" s="65"/>
      <c r="T597" s="65"/>
      <c r="U597" s="30"/>
      <c r="V597" s="65"/>
      <c r="W597" s="65"/>
      <c r="X597" s="65"/>
      <c r="Y597" s="30"/>
      <c r="Z597" s="65"/>
      <c r="AA597" s="65"/>
      <c r="AB597" s="65"/>
      <c r="AC597" s="30"/>
      <c r="AD597" s="65"/>
      <c r="AE597" s="65"/>
      <c r="AF597" s="65"/>
      <c r="AG597" s="65"/>
      <c r="AH597" s="30"/>
      <c r="AI597" s="65"/>
      <c r="AJ597" s="65"/>
      <c r="AK597" s="65"/>
      <c r="AL597" s="65"/>
      <c r="AM597" s="65"/>
      <c r="AN597" s="65"/>
      <c r="AO597" s="65"/>
    </row>
    <row r="598">
      <c r="A598" s="30"/>
      <c r="B598" s="65"/>
      <c r="C598" s="65"/>
      <c r="D598" s="65"/>
      <c r="E598" s="30"/>
      <c r="F598" s="65"/>
      <c r="G598" s="65"/>
      <c r="H598" s="65"/>
      <c r="I598" s="30"/>
      <c r="J598" s="65"/>
      <c r="K598" s="65"/>
      <c r="L598" s="65"/>
      <c r="M598" s="30"/>
      <c r="N598" s="65"/>
      <c r="O598" s="65"/>
      <c r="P598" s="65"/>
      <c r="Q598" s="30"/>
      <c r="R598" s="65"/>
      <c r="S598" s="65"/>
      <c r="T598" s="65"/>
      <c r="U598" s="30"/>
      <c r="V598" s="65"/>
      <c r="W598" s="65"/>
      <c r="X598" s="65"/>
      <c r="Y598" s="30"/>
      <c r="Z598" s="65"/>
      <c r="AA598" s="65"/>
      <c r="AB598" s="65"/>
      <c r="AC598" s="30"/>
      <c r="AD598" s="65"/>
      <c r="AE598" s="65"/>
      <c r="AF598" s="65"/>
      <c r="AG598" s="65"/>
      <c r="AH598" s="30"/>
      <c r="AI598" s="65"/>
      <c r="AJ598" s="65"/>
      <c r="AK598" s="65"/>
      <c r="AL598" s="65"/>
      <c r="AM598" s="65"/>
      <c r="AN598" s="65"/>
      <c r="AO598" s="65"/>
    </row>
    <row r="599">
      <c r="A599" s="30"/>
      <c r="B599" s="65"/>
      <c r="C599" s="65"/>
      <c r="D599" s="65"/>
      <c r="E599" s="30"/>
      <c r="F599" s="65"/>
      <c r="G599" s="65"/>
      <c r="H599" s="65"/>
      <c r="I599" s="30"/>
      <c r="J599" s="65"/>
      <c r="K599" s="65"/>
      <c r="L599" s="65"/>
      <c r="M599" s="30"/>
      <c r="N599" s="65"/>
      <c r="O599" s="65"/>
      <c r="P599" s="65"/>
      <c r="Q599" s="30"/>
      <c r="R599" s="65"/>
      <c r="S599" s="65"/>
      <c r="T599" s="65"/>
      <c r="U599" s="30"/>
      <c r="V599" s="65"/>
      <c r="W599" s="65"/>
      <c r="X599" s="65"/>
      <c r="Y599" s="30"/>
      <c r="Z599" s="65"/>
      <c r="AA599" s="65"/>
      <c r="AB599" s="65"/>
      <c r="AC599" s="30"/>
      <c r="AD599" s="65"/>
      <c r="AE599" s="65"/>
      <c r="AF599" s="65"/>
      <c r="AG599" s="65"/>
      <c r="AH599" s="30"/>
      <c r="AI599" s="65"/>
      <c r="AJ599" s="65"/>
      <c r="AK599" s="65"/>
      <c r="AL599" s="65"/>
      <c r="AM599" s="65"/>
      <c r="AN599" s="65"/>
      <c r="AO599" s="65"/>
    </row>
    <row r="600">
      <c r="A600" s="30"/>
      <c r="B600" s="65"/>
      <c r="C600" s="65"/>
      <c r="D600" s="65"/>
      <c r="E600" s="30"/>
      <c r="F600" s="65"/>
      <c r="G600" s="65"/>
      <c r="H600" s="65"/>
      <c r="I600" s="30"/>
      <c r="J600" s="65"/>
      <c r="K600" s="65"/>
      <c r="L600" s="65"/>
      <c r="M600" s="30"/>
      <c r="N600" s="65"/>
      <c r="O600" s="65"/>
      <c r="P600" s="65"/>
      <c r="Q600" s="30"/>
      <c r="R600" s="65"/>
      <c r="S600" s="65"/>
      <c r="T600" s="65"/>
      <c r="U600" s="30"/>
      <c r="V600" s="65"/>
      <c r="W600" s="65"/>
      <c r="X600" s="65"/>
      <c r="Y600" s="30"/>
      <c r="Z600" s="65"/>
      <c r="AA600" s="65"/>
      <c r="AB600" s="65"/>
      <c r="AC600" s="30"/>
      <c r="AD600" s="65"/>
      <c r="AE600" s="65"/>
      <c r="AF600" s="65"/>
      <c r="AG600" s="65"/>
      <c r="AH600" s="30"/>
      <c r="AI600" s="65"/>
      <c r="AJ600" s="65"/>
      <c r="AK600" s="65"/>
      <c r="AL600" s="65"/>
      <c r="AM600" s="65"/>
      <c r="AN600" s="65"/>
      <c r="AO600" s="65"/>
    </row>
    <row r="601">
      <c r="A601" s="30"/>
      <c r="B601" s="65"/>
      <c r="C601" s="65"/>
      <c r="D601" s="65"/>
      <c r="E601" s="30"/>
      <c r="F601" s="65"/>
      <c r="G601" s="65"/>
      <c r="H601" s="65"/>
      <c r="I601" s="30"/>
      <c r="J601" s="65"/>
      <c r="K601" s="65"/>
      <c r="L601" s="65"/>
      <c r="M601" s="30"/>
      <c r="N601" s="65"/>
      <c r="O601" s="65"/>
      <c r="P601" s="65"/>
      <c r="Q601" s="30"/>
      <c r="R601" s="65"/>
      <c r="S601" s="65"/>
      <c r="T601" s="65"/>
      <c r="U601" s="30"/>
      <c r="V601" s="65"/>
      <c r="W601" s="65"/>
      <c r="X601" s="65"/>
      <c r="Y601" s="30"/>
      <c r="Z601" s="65"/>
      <c r="AA601" s="65"/>
      <c r="AB601" s="65"/>
      <c r="AC601" s="30"/>
      <c r="AD601" s="65"/>
      <c r="AE601" s="65"/>
      <c r="AF601" s="65"/>
      <c r="AG601" s="65"/>
      <c r="AH601" s="30"/>
      <c r="AI601" s="65"/>
      <c r="AJ601" s="65"/>
      <c r="AK601" s="65"/>
      <c r="AL601" s="65"/>
      <c r="AM601" s="65"/>
      <c r="AN601" s="65"/>
      <c r="AO601" s="65"/>
    </row>
    <row r="602">
      <c r="A602" s="30"/>
      <c r="B602" s="65"/>
      <c r="C602" s="65"/>
      <c r="D602" s="65"/>
      <c r="E602" s="30"/>
      <c r="F602" s="65"/>
      <c r="G602" s="65"/>
      <c r="H602" s="65"/>
      <c r="I602" s="30"/>
      <c r="J602" s="65"/>
      <c r="K602" s="65"/>
      <c r="L602" s="65"/>
      <c r="M602" s="30"/>
      <c r="N602" s="65"/>
      <c r="O602" s="65"/>
      <c r="P602" s="65"/>
      <c r="Q602" s="30"/>
      <c r="R602" s="65"/>
      <c r="S602" s="65"/>
      <c r="T602" s="65"/>
      <c r="U602" s="30"/>
      <c r="V602" s="65"/>
      <c r="W602" s="65"/>
      <c r="X602" s="65"/>
      <c r="Y602" s="30"/>
      <c r="Z602" s="65"/>
      <c r="AA602" s="65"/>
      <c r="AB602" s="65"/>
      <c r="AC602" s="30"/>
      <c r="AD602" s="65"/>
      <c r="AE602" s="65"/>
      <c r="AF602" s="65"/>
      <c r="AG602" s="65"/>
      <c r="AH602" s="30"/>
      <c r="AI602" s="65"/>
      <c r="AJ602" s="65"/>
      <c r="AK602" s="65"/>
      <c r="AL602" s="65"/>
      <c r="AM602" s="65"/>
      <c r="AN602" s="65"/>
      <c r="AO602" s="65"/>
    </row>
    <row r="603">
      <c r="A603" s="30"/>
      <c r="B603" s="65"/>
      <c r="C603" s="65"/>
      <c r="D603" s="65"/>
      <c r="E603" s="30"/>
      <c r="F603" s="65"/>
      <c r="G603" s="65"/>
      <c r="H603" s="65"/>
      <c r="I603" s="30"/>
      <c r="J603" s="65"/>
      <c r="K603" s="65"/>
      <c r="L603" s="65"/>
      <c r="M603" s="30"/>
      <c r="N603" s="65"/>
      <c r="O603" s="65"/>
      <c r="P603" s="65"/>
      <c r="Q603" s="30"/>
      <c r="R603" s="65"/>
      <c r="S603" s="65"/>
      <c r="T603" s="65"/>
      <c r="U603" s="30"/>
      <c r="V603" s="65"/>
      <c r="W603" s="65"/>
      <c r="X603" s="65"/>
      <c r="Y603" s="30"/>
      <c r="Z603" s="65"/>
      <c r="AA603" s="65"/>
      <c r="AB603" s="65"/>
      <c r="AC603" s="30"/>
      <c r="AD603" s="65"/>
      <c r="AE603" s="65"/>
      <c r="AF603" s="65"/>
      <c r="AG603" s="65"/>
      <c r="AH603" s="30"/>
      <c r="AI603" s="65"/>
      <c r="AJ603" s="65"/>
      <c r="AK603" s="65"/>
      <c r="AL603" s="65"/>
      <c r="AM603" s="65"/>
      <c r="AN603" s="65"/>
      <c r="AO603" s="65"/>
    </row>
    <row r="604">
      <c r="A604" s="30"/>
      <c r="B604" s="65"/>
      <c r="C604" s="65"/>
      <c r="D604" s="65"/>
      <c r="E604" s="30"/>
      <c r="F604" s="65"/>
      <c r="G604" s="65"/>
      <c r="H604" s="65"/>
      <c r="I604" s="30"/>
      <c r="J604" s="65"/>
      <c r="K604" s="65"/>
      <c r="L604" s="65"/>
      <c r="M604" s="30"/>
      <c r="N604" s="65"/>
      <c r="O604" s="65"/>
      <c r="P604" s="65"/>
      <c r="Q604" s="30"/>
      <c r="R604" s="65"/>
      <c r="S604" s="65"/>
      <c r="T604" s="65"/>
      <c r="U604" s="30"/>
      <c r="V604" s="65"/>
      <c r="W604" s="65"/>
      <c r="X604" s="65"/>
      <c r="Y604" s="30"/>
      <c r="Z604" s="65"/>
      <c r="AA604" s="65"/>
      <c r="AB604" s="65"/>
      <c r="AC604" s="30"/>
      <c r="AD604" s="65"/>
      <c r="AE604" s="65"/>
      <c r="AF604" s="65"/>
      <c r="AG604" s="65"/>
      <c r="AH604" s="30"/>
      <c r="AI604" s="65"/>
      <c r="AJ604" s="65"/>
      <c r="AK604" s="65"/>
      <c r="AL604" s="65"/>
      <c r="AM604" s="65"/>
      <c r="AN604" s="65"/>
      <c r="AO604" s="65"/>
    </row>
    <row r="605">
      <c r="A605" s="30"/>
      <c r="B605" s="65"/>
      <c r="C605" s="65"/>
      <c r="D605" s="65"/>
      <c r="E605" s="30"/>
      <c r="F605" s="65"/>
      <c r="G605" s="65"/>
      <c r="H605" s="65"/>
      <c r="I605" s="30"/>
      <c r="J605" s="65"/>
      <c r="K605" s="65"/>
      <c r="L605" s="65"/>
      <c r="M605" s="30"/>
      <c r="N605" s="65"/>
      <c r="O605" s="65"/>
      <c r="P605" s="65"/>
      <c r="Q605" s="30"/>
      <c r="R605" s="65"/>
      <c r="S605" s="65"/>
      <c r="T605" s="65"/>
      <c r="U605" s="30"/>
      <c r="V605" s="65"/>
      <c r="W605" s="65"/>
      <c r="X605" s="65"/>
      <c r="Y605" s="30"/>
      <c r="Z605" s="65"/>
      <c r="AA605" s="65"/>
      <c r="AB605" s="65"/>
      <c r="AC605" s="30"/>
      <c r="AD605" s="65"/>
      <c r="AE605" s="65"/>
      <c r="AF605" s="65"/>
      <c r="AG605" s="65"/>
      <c r="AH605" s="30"/>
      <c r="AI605" s="65"/>
      <c r="AJ605" s="65"/>
      <c r="AK605" s="65"/>
      <c r="AL605" s="65"/>
      <c r="AM605" s="65"/>
      <c r="AN605" s="65"/>
      <c r="AO605" s="65"/>
    </row>
    <row r="606">
      <c r="A606" s="30"/>
      <c r="B606" s="65"/>
      <c r="C606" s="65"/>
      <c r="D606" s="65"/>
      <c r="E606" s="30"/>
      <c r="F606" s="65"/>
      <c r="G606" s="65"/>
      <c r="H606" s="65"/>
      <c r="I606" s="30"/>
      <c r="J606" s="65"/>
      <c r="K606" s="65"/>
      <c r="L606" s="65"/>
      <c r="M606" s="30"/>
      <c r="N606" s="65"/>
      <c r="O606" s="65"/>
      <c r="P606" s="65"/>
      <c r="Q606" s="30"/>
      <c r="R606" s="65"/>
      <c r="S606" s="65"/>
      <c r="T606" s="65"/>
      <c r="U606" s="30"/>
      <c r="V606" s="65"/>
      <c r="W606" s="65"/>
      <c r="X606" s="65"/>
      <c r="Y606" s="30"/>
      <c r="Z606" s="65"/>
      <c r="AA606" s="65"/>
      <c r="AB606" s="65"/>
      <c r="AC606" s="30"/>
      <c r="AD606" s="65"/>
      <c r="AE606" s="65"/>
      <c r="AF606" s="65"/>
      <c r="AG606" s="65"/>
      <c r="AH606" s="30"/>
      <c r="AI606" s="65"/>
      <c r="AJ606" s="65"/>
      <c r="AK606" s="65"/>
      <c r="AL606" s="65"/>
      <c r="AM606" s="65"/>
      <c r="AN606" s="65"/>
      <c r="AO606" s="65"/>
    </row>
    <row r="607">
      <c r="A607" s="30"/>
      <c r="B607" s="65"/>
      <c r="C607" s="65"/>
      <c r="D607" s="65"/>
      <c r="E607" s="30"/>
      <c r="F607" s="65"/>
      <c r="G607" s="65"/>
      <c r="H607" s="65"/>
      <c r="I607" s="30"/>
      <c r="J607" s="65"/>
      <c r="K607" s="65"/>
      <c r="L607" s="65"/>
      <c r="M607" s="30"/>
      <c r="N607" s="65"/>
      <c r="O607" s="65"/>
      <c r="P607" s="65"/>
      <c r="Q607" s="30"/>
      <c r="R607" s="65"/>
      <c r="S607" s="65"/>
      <c r="T607" s="65"/>
      <c r="U607" s="30"/>
      <c r="V607" s="65"/>
      <c r="W607" s="65"/>
      <c r="X607" s="65"/>
      <c r="Y607" s="30"/>
      <c r="Z607" s="65"/>
      <c r="AA607" s="65"/>
      <c r="AB607" s="65"/>
      <c r="AC607" s="30"/>
      <c r="AD607" s="65"/>
      <c r="AE607" s="65"/>
      <c r="AF607" s="65"/>
      <c r="AG607" s="65"/>
      <c r="AH607" s="30"/>
      <c r="AI607" s="65"/>
      <c r="AJ607" s="65"/>
      <c r="AK607" s="65"/>
      <c r="AL607" s="65"/>
      <c r="AM607" s="65"/>
      <c r="AN607" s="65"/>
      <c r="AO607" s="65"/>
    </row>
    <row r="608">
      <c r="A608" s="30"/>
      <c r="B608" s="65"/>
      <c r="C608" s="65"/>
      <c r="D608" s="65"/>
      <c r="E608" s="30"/>
      <c r="F608" s="65"/>
      <c r="G608" s="65"/>
      <c r="H608" s="65"/>
      <c r="I608" s="30"/>
      <c r="J608" s="65"/>
      <c r="K608" s="65"/>
      <c r="L608" s="65"/>
      <c r="M608" s="30"/>
      <c r="N608" s="65"/>
      <c r="O608" s="65"/>
      <c r="P608" s="65"/>
      <c r="Q608" s="30"/>
      <c r="R608" s="65"/>
      <c r="S608" s="65"/>
      <c r="T608" s="65"/>
      <c r="U608" s="30"/>
      <c r="V608" s="65"/>
      <c r="W608" s="65"/>
      <c r="X608" s="65"/>
      <c r="Y608" s="30"/>
      <c r="Z608" s="65"/>
      <c r="AA608" s="65"/>
      <c r="AB608" s="65"/>
      <c r="AC608" s="30"/>
      <c r="AD608" s="65"/>
      <c r="AE608" s="65"/>
      <c r="AF608" s="65"/>
      <c r="AG608" s="65"/>
      <c r="AH608" s="30"/>
      <c r="AI608" s="65"/>
      <c r="AJ608" s="65"/>
      <c r="AK608" s="65"/>
      <c r="AL608" s="65"/>
      <c r="AM608" s="65"/>
      <c r="AN608" s="65"/>
      <c r="AO608" s="65"/>
    </row>
    <row r="609">
      <c r="A609" s="30"/>
      <c r="B609" s="65"/>
      <c r="C609" s="65"/>
      <c r="D609" s="65"/>
      <c r="E609" s="30"/>
      <c r="F609" s="65"/>
      <c r="G609" s="65"/>
      <c r="H609" s="65"/>
      <c r="I609" s="30"/>
      <c r="J609" s="65"/>
      <c r="K609" s="65"/>
      <c r="L609" s="65"/>
      <c r="M609" s="30"/>
      <c r="N609" s="65"/>
      <c r="O609" s="65"/>
      <c r="P609" s="65"/>
      <c r="Q609" s="30"/>
      <c r="R609" s="65"/>
      <c r="S609" s="65"/>
      <c r="T609" s="65"/>
      <c r="U609" s="30"/>
      <c r="V609" s="65"/>
      <c r="W609" s="65"/>
      <c r="X609" s="65"/>
      <c r="Y609" s="30"/>
      <c r="Z609" s="65"/>
      <c r="AA609" s="65"/>
      <c r="AB609" s="65"/>
      <c r="AC609" s="30"/>
      <c r="AD609" s="65"/>
      <c r="AE609" s="65"/>
      <c r="AF609" s="65"/>
      <c r="AG609" s="65"/>
      <c r="AH609" s="30"/>
      <c r="AI609" s="65"/>
      <c r="AJ609" s="65"/>
      <c r="AK609" s="65"/>
      <c r="AL609" s="65"/>
      <c r="AM609" s="65"/>
      <c r="AN609" s="65"/>
      <c r="AO609" s="65"/>
    </row>
    <row r="610">
      <c r="A610" s="30"/>
      <c r="B610" s="65"/>
      <c r="C610" s="65"/>
      <c r="D610" s="65"/>
      <c r="E610" s="30"/>
      <c r="F610" s="65"/>
      <c r="G610" s="65"/>
      <c r="H610" s="65"/>
      <c r="I610" s="30"/>
      <c r="J610" s="65"/>
      <c r="K610" s="65"/>
      <c r="L610" s="65"/>
      <c r="M610" s="30"/>
      <c r="N610" s="65"/>
      <c r="O610" s="65"/>
      <c r="P610" s="65"/>
      <c r="Q610" s="30"/>
      <c r="R610" s="65"/>
      <c r="S610" s="65"/>
      <c r="T610" s="65"/>
      <c r="U610" s="30"/>
      <c r="V610" s="65"/>
      <c r="W610" s="65"/>
      <c r="X610" s="65"/>
      <c r="Y610" s="30"/>
      <c r="Z610" s="65"/>
      <c r="AA610" s="65"/>
      <c r="AB610" s="65"/>
      <c r="AC610" s="30"/>
      <c r="AD610" s="65"/>
      <c r="AE610" s="65"/>
      <c r="AF610" s="65"/>
      <c r="AG610" s="65"/>
      <c r="AH610" s="30"/>
      <c r="AI610" s="65"/>
      <c r="AJ610" s="65"/>
      <c r="AK610" s="65"/>
      <c r="AL610" s="65"/>
      <c r="AM610" s="65"/>
      <c r="AN610" s="65"/>
      <c r="AO610" s="65"/>
    </row>
    <row r="611">
      <c r="A611" s="30"/>
      <c r="B611" s="65"/>
      <c r="C611" s="65"/>
      <c r="D611" s="65"/>
      <c r="E611" s="30"/>
      <c r="F611" s="65"/>
      <c r="G611" s="65"/>
      <c r="H611" s="65"/>
      <c r="I611" s="30"/>
      <c r="J611" s="65"/>
      <c r="K611" s="65"/>
      <c r="L611" s="65"/>
      <c r="M611" s="30"/>
      <c r="N611" s="65"/>
      <c r="O611" s="65"/>
      <c r="P611" s="65"/>
      <c r="Q611" s="30"/>
      <c r="R611" s="65"/>
      <c r="S611" s="65"/>
      <c r="T611" s="65"/>
      <c r="U611" s="30"/>
      <c r="V611" s="65"/>
      <c r="W611" s="65"/>
      <c r="X611" s="65"/>
      <c r="Y611" s="30"/>
      <c r="Z611" s="65"/>
      <c r="AA611" s="65"/>
      <c r="AB611" s="65"/>
      <c r="AC611" s="30"/>
      <c r="AD611" s="65"/>
      <c r="AE611" s="65"/>
      <c r="AF611" s="65"/>
      <c r="AG611" s="65"/>
      <c r="AH611" s="30"/>
      <c r="AI611" s="65"/>
      <c r="AJ611" s="65"/>
      <c r="AK611" s="65"/>
      <c r="AL611" s="65"/>
      <c r="AM611" s="65"/>
      <c r="AN611" s="65"/>
      <c r="AO611" s="65"/>
    </row>
    <row r="612">
      <c r="A612" s="30"/>
      <c r="B612" s="65"/>
      <c r="C612" s="65"/>
      <c r="D612" s="65"/>
      <c r="E612" s="30"/>
      <c r="F612" s="65"/>
      <c r="G612" s="65"/>
      <c r="H612" s="65"/>
      <c r="I612" s="30"/>
      <c r="J612" s="65"/>
      <c r="K612" s="65"/>
      <c r="L612" s="65"/>
      <c r="M612" s="30"/>
      <c r="N612" s="65"/>
      <c r="O612" s="65"/>
      <c r="P612" s="65"/>
      <c r="Q612" s="30"/>
      <c r="R612" s="65"/>
      <c r="S612" s="65"/>
      <c r="T612" s="65"/>
      <c r="U612" s="30"/>
      <c r="V612" s="65"/>
      <c r="W612" s="65"/>
      <c r="X612" s="65"/>
      <c r="Y612" s="30"/>
      <c r="Z612" s="65"/>
      <c r="AA612" s="65"/>
      <c r="AB612" s="65"/>
      <c r="AC612" s="30"/>
      <c r="AD612" s="65"/>
      <c r="AE612" s="65"/>
      <c r="AF612" s="65"/>
      <c r="AG612" s="65"/>
      <c r="AH612" s="30"/>
      <c r="AI612" s="65"/>
      <c r="AJ612" s="65"/>
      <c r="AK612" s="65"/>
      <c r="AL612" s="65"/>
      <c r="AM612" s="65"/>
      <c r="AN612" s="65"/>
      <c r="AO612" s="65"/>
    </row>
    <row r="613">
      <c r="A613" s="30"/>
      <c r="B613" s="65"/>
      <c r="C613" s="65"/>
      <c r="D613" s="65"/>
      <c r="E613" s="30"/>
      <c r="F613" s="65"/>
      <c r="G613" s="65"/>
      <c r="H613" s="65"/>
      <c r="I613" s="30"/>
      <c r="J613" s="65"/>
      <c r="K613" s="65"/>
      <c r="L613" s="65"/>
      <c r="M613" s="30"/>
      <c r="N613" s="65"/>
      <c r="O613" s="65"/>
      <c r="P613" s="65"/>
      <c r="Q613" s="30"/>
      <c r="R613" s="65"/>
      <c r="S613" s="65"/>
      <c r="T613" s="65"/>
      <c r="U613" s="30"/>
      <c r="V613" s="65"/>
      <c r="W613" s="65"/>
      <c r="X613" s="65"/>
      <c r="Y613" s="30"/>
      <c r="Z613" s="65"/>
      <c r="AA613" s="65"/>
      <c r="AB613" s="65"/>
      <c r="AC613" s="30"/>
      <c r="AD613" s="65"/>
      <c r="AE613" s="65"/>
      <c r="AF613" s="65"/>
      <c r="AG613" s="65"/>
      <c r="AH613" s="30"/>
      <c r="AI613" s="65"/>
      <c r="AJ613" s="65"/>
      <c r="AK613" s="65"/>
      <c r="AL613" s="65"/>
      <c r="AM613" s="65"/>
      <c r="AN613" s="65"/>
      <c r="AO613" s="65"/>
    </row>
    <row r="614">
      <c r="A614" s="30"/>
      <c r="B614" s="65"/>
      <c r="C614" s="65"/>
      <c r="D614" s="65"/>
      <c r="E614" s="30"/>
      <c r="F614" s="65"/>
      <c r="G614" s="65"/>
      <c r="H614" s="65"/>
      <c r="I614" s="30"/>
      <c r="J614" s="65"/>
      <c r="K614" s="65"/>
      <c r="L614" s="65"/>
      <c r="M614" s="30"/>
      <c r="N614" s="65"/>
      <c r="O614" s="65"/>
      <c r="P614" s="65"/>
      <c r="Q614" s="30"/>
      <c r="R614" s="65"/>
      <c r="S614" s="65"/>
      <c r="T614" s="65"/>
      <c r="U614" s="30"/>
      <c r="V614" s="65"/>
      <c r="W614" s="65"/>
      <c r="X614" s="65"/>
      <c r="Y614" s="30"/>
      <c r="Z614" s="65"/>
      <c r="AA614" s="65"/>
      <c r="AB614" s="65"/>
      <c r="AC614" s="30"/>
      <c r="AD614" s="65"/>
      <c r="AE614" s="65"/>
      <c r="AF614" s="65"/>
      <c r="AG614" s="65"/>
      <c r="AH614" s="30"/>
      <c r="AI614" s="65"/>
      <c r="AJ614" s="65"/>
      <c r="AK614" s="65"/>
      <c r="AL614" s="65"/>
      <c r="AM614" s="65"/>
      <c r="AN614" s="65"/>
      <c r="AO614" s="65"/>
    </row>
    <row r="615">
      <c r="A615" s="30"/>
      <c r="B615" s="65"/>
      <c r="C615" s="65"/>
      <c r="D615" s="65"/>
      <c r="E615" s="30"/>
      <c r="F615" s="65"/>
      <c r="G615" s="65"/>
      <c r="H615" s="65"/>
      <c r="I615" s="30"/>
      <c r="J615" s="65"/>
      <c r="K615" s="65"/>
      <c r="L615" s="65"/>
      <c r="M615" s="30"/>
      <c r="N615" s="65"/>
      <c r="O615" s="65"/>
      <c r="P615" s="65"/>
      <c r="Q615" s="30"/>
      <c r="R615" s="65"/>
      <c r="S615" s="65"/>
      <c r="T615" s="65"/>
      <c r="U615" s="30"/>
      <c r="V615" s="65"/>
      <c r="W615" s="65"/>
      <c r="X615" s="65"/>
      <c r="Y615" s="30"/>
      <c r="Z615" s="65"/>
      <c r="AA615" s="65"/>
      <c r="AB615" s="65"/>
      <c r="AC615" s="30"/>
      <c r="AD615" s="65"/>
      <c r="AE615" s="65"/>
      <c r="AF615" s="65"/>
      <c r="AG615" s="65"/>
      <c r="AH615" s="30"/>
      <c r="AI615" s="65"/>
      <c r="AJ615" s="65"/>
      <c r="AK615" s="65"/>
      <c r="AL615" s="65"/>
      <c r="AM615" s="65"/>
      <c r="AN615" s="65"/>
      <c r="AO615" s="65"/>
    </row>
    <row r="616">
      <c r="A616" s="30"/>
      <c r="B616" s="65"/>
      <c r="C616" s="65"/>
      <c r="D616" s="65"/>
      <c r="E616" s="30"/>
      <c r="F616" s="65"/>
      <c r="G616" s="65"/>
      <c r="H616" s="65"/>
      <c r="I616" s="30"/>
      <c r="J616" s="65"/>
      <c r="K616" s="65"/>
      <c r="L616" s="65"/>
      <c r="M616" s="30"/>
      <c r="N616" s="65"/>
      <c r="O616" s="65"/>
      <c r="P616" s="65"/>
      <c r="Q616" s="30"/>
      <c r="R616" s="65"/>
      <c r="S616" s="65"/>
      <c r="T616" s="65"/>
      <c r="U616" s="30"/>
      <c r="V616" s="65"/>
      <c r="W616" s="65"/>
      <c r="X616" s="65"/>
      <c r="Y616" s="30"/>
      <c r="Z616" s="65"/>
      <c r="AA616" s="65"/>
      <c r="AB616" s="65"/>
      <c r="AC616" s="30"/>
      <c r="AD616" s="65"/>
      <c r="AE616" s="65"/>
      <c r="AF616" s="65"/>
      <c r="AG616" s="65"/>
      <c r="AH616" s="30"/>
      <c r="AI616" s="65"/>
      <c r="AJ616" s="65"/>
      <c r="AK616" s="65"/>
      <c r="AL616" s="65"/>
      <c r="AM616" s="65"/>
      <c r="AN616" s="65"/>
      <c r="AO616" s="65"/>
    </row>
    <row r="617">
      <c r="A617" s="30"/>
      <c r="B617" s="65"/>
      <c r="C617" s="65"/>
      <c r="D617" s="65"/>
      <c r="E617" s="30"/>
      <c r="F617" s="65"/>
      <c r="G617" s="65"/>
      <c r="H617" s="65"/>
      <c r="I617" s="30"/>
      <c r="J617" s="65"/>
      <c r="K617" s="65"/>
      <c r="L617" s="65"/>
      <c r="M617" s="30"/>
      <c r="N617" s="65"/>
      <c r="O617" s="65"/>
      <c r="P617" s="65"/>
      <c r="Q617" s="30"/>
      <c r="R617" s="65"/>
      <c r="S617" s="65"/>
      <c r="T617" s="65"/>
      <c r="U617" s="30"/>
      <c r="V617" s="65"/>
      <c r="W617" s="65"/>
      <c r="X617" s="65"/>
      <c r="Y617" s="30"/>
      <c r="Z617" s="65"/>
      <c r="AA617" s="65"/>
      <c r="AB617" s="65"/>
      <c r="AC617" s="30"/>
      <c r="AD617" s="65"/>
      <c r="AE617" s="65"/>
      <c r="AF617" s="65"/>
      <c r="AG617" s="65"/>
      <c r="AH617" s="30"/>
      <c r="AI617" s="65"/>
      <c r="AJ617" s="65"/>
      <c r="AK617" s="65"/>
      <c r="AL617" s="65"/>
      <c r="AM617" s="65"/>
      <c r="AN617" s="65"/>
      <c r="AO617" s="65"/>
    </row>
    <row r="618">
      <c r="A618" s="30"/>
      <c r="B618" s="65"/>
      <c r="C618" s="65"/>
      <c r="D618" s="65"/>
      <c r="E618" s="30"/>
      <c r="F618" s="65"/>
      <c r="G618" s="65"/>
      <c r="H618" s="65"/>
      <c r="I618" s="30"/>
      <c r="J618" s="65"/>
      <c r="K618" s="65"/>
      <c r="L618" s="65"/>
      <c r="M618" s="30"/>
      <c r="N618" s="65"/>
      <c r="O618" s="65"/>
      <c r="P618" s="65"/>
      <c r="Q618" s="30"/>
      <c r="R618" s="65"/>
      <c r="S618" s="65"/>
      <c r="T618" s="65"/>
      <c r="U618" s="30"/>
      <c r="V618" s="65"/>
      <c r="W618" s="65"/>
      <c r="X618" s="65"/>
      <c r="Y618" s="30"/>
      <c r="Z618" s="65"/>
      <c r="AA618" s="65"/>
      <c r="AB618" s="65"/>
      <c r="AC618" s="30"/>
      <c r="AD618" s="65"/>
      <c r="AE618" s="65"/>
      <c r="AF618" s="65"/>
      <c r="AG618" s="65"/>
      <c r="AH618" s="30"/>
      <c r="AI618" s="65"/>
      <c r="AJ618" s="65"/>
      <c r="AK618" s="65"/>
      <c r="AL618" s="65"/>
      <c r="AM618" s="65"/>
      <c r="AN618" s="65"/>
      <c r="AO618" s="65"/>
    </row>
    <row r="619">
      <c r="A619" s="30"/>
      <c r="B619" s="65"/>
      <c r="C619" s="65"/>
      <c r="D619" s="65"/>
      <c r="E619" s="30"/>
      <c r="F619" s="65"/>
      <c r="G619" s="65"/>
      <c r="H619" s="65"/>
      <c r="I619" s="30"/>
      <c r="J619" s="65"/>
      <c r="K619" s="65"/>
      <c r="L619" s="65"/>
      <c r="M619" s="30"/>
      <c r="N619" s="65"/>
      <c r="O619" s="65"/>
      <c r="P619" s="65"/>
      <c r="Q619" s="30"/>
      <c r="R619" s="65"/>
      <c r="S619" s="65"/>
      <c r="T619" s="65"/>
      <c r="U619" s="30"/>
      <c r="V619" s="65"/>
      <c r="W619" s="65"/>
      <c r="X619" s="65"/>
      <c r="Y619" s="30"/>
      <c r="Z619" s="65"/>
      <c r="AA619" s="65"/>
      <c r="AB619" s="65"/>
      <c r="AC619" s="30"/>
      <c r="AD619" s="65"/>
      <c r="AE619" s="65"/>
      <c r="AF619" s="65"/>
      <c r="AG619" s="65"/>
      <c r="AH619" s="30"/>
      <c r="AI619" s="65"/>
      <c r="AJ619" s="65"/>
      <c r="AK619" s="65"/>
      <c r="AL619" s="65"/>
      <c r="AM619" s="65"/>
      <c r="AN619" s="65"/>
      <c r="AO619" s="65"/>
    </row>
    <row r="620">
      <c r="A620" s="30"/>
      <c r="B620" s="65"/>
      <c r="C620" s="65"/>
      <c r="D620" s="65"/>
      <c r="E620" s="30"/>
      <c r="F620" s="65"/>
      <c r="G620" s="65"/>
      <c r="H620" s="65"/>
      <c r="I620" s="30"/>
      <c r="J620" s="65"/>
      <c r="K620" s="65"/>
      <c r="L620" s="65"/>
      <c r="M620" s="30"/>
      <c r="N620" s="65"/>
      <c r="O620" s="65"/>
      <c r="P620" s="65"/>
      <c r="Q620" s="30"/>
      <c r="R620" s="65"/>
      <c r="S620" s="65"/>
      <c r="T620" s="65"/>
      <c r="U620" s="30"/>
      <c r="V620" s="65"/>
      <c r="W620" s="65"/>
      <c r="X620" s="65"/>
      <c r="Y620" s="30"/>
      <c r="Z620" s="65"/>
      <c r="AA620" s="65"/>
      <c r="AB620" s="65"/>
      <c r="AC620" s="30"/>
      <c r="AD620" s="65"/>
      <c r="AE620" s="65"/>
      <c r="AF620" s="65"/>
      <c r="AG620" s="65"/>
      <c r="AH620" s="30"/>
      <c r="AI620" s="65"/>
      <c r="AJ620" s="65"/>
      <c r="AK620" s="65"/>
      <c r="AL620" s="65"/>
      <c r="AM620" s="65"/>
      <c r="AN620" s="65"/>
      <c r="AO620" s="65"/>
    </row>
    <row r="621">
      <c r="A621" s="30"/>
      <c r="B621" s="65"/>
      <c r="C621" s="65"/>
      <c r="D621" s="65"/>
      <c r="E621" s="30"/>
      <c r="F621" s="65"/>
      <c r="G621" s="65"/>
      <c r="H621" s="65"/>
      <c r="I621" s="30"/>
      <c r="J621" s="65"/>
      <c r="K621" s="65"/>
      <c r="L621" s="65"/>
      <c r="M621" s="30"/>
      <c r="N621" s="65"/>
      <c r="O621" s="65"/>
      <c r="P621" s="65"/>
      <c r="Q621" s="30"/>
      <c r="R621" s="65"/>
      <c r="S621" s="65"/>
      <c r="T621" s="65"/>
      <c r="U621" s="30"/>
      <c r="V621" s="65"/>
      <c r="W621" s="65"/>
      <c r="X621" s="65"/>
      <c r="Y621" s="30"/>
      <c r="Z621" s="65"/>
      <c r="AA621" s="65"/>
      <c r="AB621" s="65"/>
      <c r="AC621" s="30"/>
      <c r="AD621" s="65"/>
      <c r="AE621" s="65"/>
      <c r="AF621" s="65"/>
      <c r="AG621" s="65"/>
      <c r="AH621" s="30"/>
      <c r="AI621" s="65"/>
      <c r="AJ621" s="65"/>
      <c r="AK621" s="65"/>
      <c r="AL621" s="65"/>
      <c r="AM621" s="65"/>
      <c r="AN621" s="65"/>
      <c r="AO621" s="65"/>
    </row>
    <row r="622">
      <c r="A622" s="30"/>
      <c r="B622" s="65"/>
      <c r="C622" s="65"/>
      <c r="D622" s="65"/>
      <c r="E622" s="30"/>
      <c r="F622" s="65"/>
      <c r="G622" s="65"/>
      <c r="H622" s="65"/>
      <c r="I622" s="30"/>
      <c r="J622" s="65"/>
      <c r="K622" s="65"/>
      <c r="L622" s="65"/>
      <c r="M622" s="30"/>
      <c r="N622" s="65"/>
      <c r="O622" s="65"/>
      <c r="P622" s="65"/>
      <c r="Q622" s="30"/>
      <c r="R622" s="65"/>
      <c r="S622" s="65"/>
      <c r="T622" s="65"/>
      <c r="U622" s="30"/>
      <c r="V622" s="65"/>
      <c r="W622" s="65"/>
      <c r="X622" s="65"/>
      <c r="Y622" s="30"/>
      <c r="Z622" s="65"/>
      <c r="AA622" s="65"/>
      <c r="AB622" s="65"/>
      <c r="AC622" s="30"/>
      <c r="AD622" s="65"/>
      <c r="AE622" s="65"/>
      <c r="AF622" s="65"/>
      <c r="AG622" s="65"/>
      <c r="AH622" s="30"/>
      <c r="AI622" s="65"/>
      <c r="AJ622" s="65"/>
      <c r="AK622" s="65"/>
      <c r="AL622" s="65"/>
      <c r="AM622" s="65"/>
      <c r="AN622" s="65"/>
      <c r="AO622" s="65"/>
    </row>
    <row r="623">
      <c r="A623" s="30"/>
      <c r="B623" s="65"/>
      <c r="C623" s="65"/>
      <c r="D623" s="65"/>
      <c r="E623" s="30"/>
      <c r="F623" s="65"/>
      <c r="G623" s="65"/>
      <c r="H623" s="65"/>
      <c r="I623" s="30"/>
      <c r="J623" s="65"/>
      <c r="K623" s="65"/>
      <c r="L623" s="65"/>
      <c r="M623" s="30"/>
      <c r="N623" s="65"/>
      <c r="O623" s="65"/>
      <c r="P623" s="65"/>
      <c r="Q623" s="30"/>
      <c r="R623" s="65"/>
      <c r="S623" s="65"/>
      <c r="T623" s="65"/>
      <c r="U623" s="30"/>
      <c r="V623" s="65"/>
      <c r="W623" s="65"/>
      <c r="X623" s="65"/>
      <c r="Y623" s="30"/>
      <c r="Z623" s="65"/>
      <c r="AA623" s="65"/>
      <c r="AB623" s="65"/>
      <c r="AC623" s="30"/>
      <c r="AD623" s="65"/>
      <c r="AE623" s="65"/>
      <c r="AF623" s="65"/>
      <c r="AG623" s="65"/>
      <c r="AH623" s="30"/>
      <c r="AI623" s="65"/>
      <c r="AJ623" s="65"/>
      <c r="AK623" s="65"/>
      <c r="AL623" s="65"/>
      <c r="AM623" s="65"/>
      <c r="AN623" s="65"/>
      <c r="AO623" s="65"/>
    </row>
    <row r="624">
      <c r="A624" s="30"/>
      <c r="B624" s="65"/>
      <c r="C624" s="65"/>
      <c r="D624" s="65"/>
      <c r="E624" s="30"/>
      <c r="F624" s="65"/>
      <c r="G624" s="65"/>
      <c r="H624" s="65"/>
      <c r="I624" s="30"/>
      <c r="J624" s="65"/>
      <c r="K624" s="65"/>
      <c r="L624" s="65"/>
      <c r="M624" s="30"/>
      <c r="N624" s="65"/>
      <c r="O624" s="65"/>
      <c r="P624" s="65"/>
      <c r="Q624" s="30"/>
      <c r="R624" s="65"/>
      <c r="S624" s="65"/>
      <c r="T624" s="65"/>
      <c r="U624" s="30"/>
      <c r="V624" s="65"/>
      <c r="W624" s="65"/>
      <c r="X624" s="65"/>
      <c r="Y624" s="30"/>
      <c r="Z624" s="65"/>
      <c r="AA624" s="65"/>
      <c r="AB624" s="65"/>
      <c r="AC624" s="30"/>
      <c r="AD624" s="65"/>
      <c r="AE624" s="65"/>
      <c r="AF624" s="65"/>
      <c r="AG624" s="65"/>
      <c r="AH624" s="30"/>
      <c r="AI624" s="65"/>
      <c r="AJ624" s="65"/>
      <c r="AK624" s="65"/>
      <c r="AL624" s="65"/>
      <c r="AM624" s="65"/>
      <c r="AN624" s="65"/>
      <c r="AO624" s="65"/>
    </row>
    <row r="625">
      <c r="A625" s="30"/>
      <c r="B625" s="65"/>
      <c r="C625" s="65"/>
      <c r="D625" s="65"/>
      <c r="E625" s="30"/>
      <c r="F625" s="65"/>
      <c r="G625" s="65"/>
      <c r="H625" s="65"/>
      <c r="I625" s="30"/>
      <c r="J625" s="65"/>
      <c r="K625" s="65"/>
      <c r="L625" s="65"/>
      <c r="M625" s="30"/>
      <c r="N625" s="65"/>
      <c r="O625" s="65"/>
      <c r="P625" s="65"/>
      <c r="Q625" s="30"/>
      <c r="R625" s="65"/>
      <c r="S625" s="65"/>
      <c r="T625" s="65"/>
      <c r="U625" s="30"/>
      <c r="V625" s="65"/>
      <c r="W625" s="65"/>
      <c r="X625" s="65"/>
      <c r="Y625" s="30"/>
      <c r="Z625" s="65"/>
      <c r="AA625" s="65"/>
      <c r="AB625" s="65"/>
      <c r="AC625" s="30"/>
      <c r="AD625" s="65"/>
      <c r="AE625" s="65"/>
      <c r="AF625" s="65"/>
      <c r="AG625" s="65"/>
      <c r="AH625" s="30"/>
      <c r="AI625" s="65"/>
      <c r="AJ625" s="65"/>
      <c r="AK625" s="65"/>
      <c r="AL625" s="65"/>
      <c r="AM625" s="65"/>
      <c r="AN625" s="65"/>
      <c r="AO625" s="65"/>
    </row>
    <row r="626">
      <c r="A626" s="30"/>
      <c r="B626" s="65"/>
      <c r="C626" s="65"/>
      <c r="D626" s="65"/>
      <c r="E626" s="30"/>
      <c r="F626" s="65"/>
      <c r="G626" s="65"/>
      <c r="H626" s="65"/>
      <c r="I626" s="30"/>
      <c r="J626" s="65"/>
      <c r="K626" s="65"/>
      <c r="L626" s="65"/>
      <c r="M626" s="30"/>
      <c r="N626" s="65"/>
      <c r="O626" s="65"/>
      <c r="P626" s="65"/>
      <c r="Q626" s="30"/>
      <c r="R626" s="65"/>
      <c r="S626" s="65"/>
      <c r="T626" s="65"/>
      <c r="U626" s="30"/>
      <c r="V626" s="65"/>
      <c r="W626" s="65"/>
      <c r="X626" s="65"/>
      <c r="Y626" s="30"/>
      <c r="Z626" s="65"/>
      <c r="AA626" s="65"/>
      <c r="AB626" s="65"/>
      <c r="AC626" s="30"/>
      <c r="AD626" s="65"/>
      <c r="AE626" s="65"/>
      <c r="AF626" s="65"/>
      <c r="AG626" s="65"/>
      <c r="AH626" s="30"/>
      <c r="AI626" s="65"/>
      <c r="AJ626" s="65"/>
      <c r="AK626" s="65"/>
      <c r="AL626" s="65"/>
      <c r="AM626" s="65"/>
      <c r="AN626" s="65"/>
      <c r="AO626" s="65"/>
    </row>
    <row r="627">
      <c r="A627" s="30"/>
      <c r="B627" s="65"/>
      <c r="C627" s="65"/>
      <c r="D627" s="65"/>
      <c r="E627" s="30"/>
      <c r="F627" s="65"/>
      <c r="G627" s="65"/>
      <c r="H627" s="65"/>
      <c r="I627" s="30"/>
      <c r="J627" s="65"/>
      <c r="K627" s="65"/>
      <c r="L627" s="65"/>
      <c r="M627" s="30"/>
      <c r="N627" s="65"/>
      <c r="O627" s="65"/>
      <c r="P627" s="65"/>
      <c r="Q627" s="30"/>
      <c r="R627" s="65"/>
      <c r="S627" s="65"/>
      <c r="T627" s="65"/>
      <c r="U627" s="30"/>
      <c r="V627" s="65"/>
      <c r="W627" s="65"/>
      <c r="X627" s="65"/>
      <c r="Y627" s="30"/>
      <c r="Z627" s="65"/>
      <c r="AA627" s="65"/>
      <c r="AB627" s="65"/>
      <c r="AC627" s="30"/>
      <c r="AD627" s="65"/>
      <c r="AE627" s="65"/>
      <c r="AF627" s="65"/>
      <c r="AG627" s="65"/>
      <c r="AH627" s="30"/>
      <c r="AI627" s="65"/>
      <c r="AJ627" s="65"/>
      <c r="AK627" s="65"/>
      <c r="AL627" s="65"/>
      <c r="AM627" s="65"/>
      <c r="AN627" s="65"/>
      <c r="AO627" s="65"/>
    </row>
    <row r="628">
      <c r="A628" s="30"/>
      <c r="B628" s="65"/>
      <c r="C628" s="65"/>
      <c r="D628" s="65"/>
      <c r="E628" s="30"/>
      <c r="F628" s="65"/>
      <c r="G628" s="65"/>
      <c r="H628" s="65"/>
      <c r="I628" s="30"/>
      <c r="J628" s="65"/>
      <c r="K628" s="65"/>
      <c r="L628" s="65"/>
      <c r="M628" s="30"/>
      <c r="N628" s="65"/>
      <c r="O628" s="65"/>
      <c r="P628" s="65"/>
      <c r="Q628" s="30"/>
      <c r="R628" s="65"/>
      <c r="S628" s="65"/>
      <c r="T628" s="65"/>
      <c r="U628" s="30"/>
      <c r="V628" s="65"/>
      <c r="W628" s="65"/>
      <c r="X628" s="65"/>
      <c r="Y628" s="30"/>
      <c r="Z628" s="65"/>
      <c r="AA628" s="65"/>
      <c r="AB628" s="65"/>
      <c r="AC628" s="30"/>
      <c r="AD628" s="65"/>
      <c r="AE628" s="65"/>
      <c r="AF628" s="65"/>
      <c r="AG628" s="65"/>
      <c r="AH628" s="30"/>
      <c r="AI628" s="65"/>
      <c r="AJ628" s="65"/>
      <c r="AK628" s="65"/>
      <c r="AL628" s="65"/>
      <c r="AM628" s="65"/>
      <c r="AN628" s="65"/>
      <c r="AO628" s="65"/>
    </row>
    <row r="629">
      <c r="A629" s="30"/>
      <c r="B629" s="65"/>
      <c r="C629" s="65"/>
      <c r="D629" s="65"/>
      <c r="E629" s="30"/>
      <c r="F629" s="65"/>
      <c r="G629" s="65"/>
      <c r="H629" s="65"/>
      <c r="I629" s="30"/>
      <c r="J629" s="65"/>
      <c r="K629" s="65"/>
      <c r="L629" s="65"/>
      <c r="M629" s="30"/>
      <c r="N629" s="65"/>
      <c r="O629" s="65"/>
      <c r="P629" s="65"/>
      <c r="Q629" s="30"/>
      <c r="R629" s="65"/>
      <c r="S629" s="65"/>
      <c r="T629" s="65"/>
      <c r="U629" s="30"/>
      <c r="V629" s="65"/>
      <c r="W629" s="65"/>
      <c r="X629" s="65"/>
      <c r="Y629" s="30"/>
      <c r="Z629" s="65"/>
      <c r="AA629" s="65"/>
      <c r="AB629" s="65"/>
      <c r="AC629" s="30"/>
      <c r="AD629" s="65"/>
      <c r="AE629" s="65"/>
      <c r="AF629" s="65"/>
      <c r="AG629" s="65"/>
      <c r="AH629" s="30"/>
      <c r="AI629" s="65"/>
      <c r="AJ629" s="65"/>
      <c r="AK629" s="65"/>
      <c r="AL629" s="65"/>
      <c r="AM629" s="65"/>
      <c r="AN629" s="65"/>
      <c r="AO629" s="65"/>
    </row>
    <row r="630">
      <c r="A630" s="30"/>
      <c r="B630" s="65"/>
      <c r="C630" s="65"/>
      <c r="D630" s="65"/>
      <c r="E630" s="30"/>
      <c r="F630" s="65"/>
      <c r="G630" s="65"/>
      <c r="H630" s="65"/>
      <c r="I630" s="30"/>
      <c r="J630" s="65"/>
      <c r="K630" s="65"/>
      <c r="L630" s="65"/>
      <c r="M630" s="30"/>
      <c r="N630" s="65"/>
      <c r="O630" s="65"/>
      <c r="P630" s="65"/>
      <c r="Q630" s="30"/>
      <c r="R630" s="65"/>
      <c r="S630" s="65"/>
      <c r="T630" s="65"/>
      <c r="U630" s="30"/>
      <c r="V630" s="65"/>
      <c r="W630" s="65"/>
      <c r="X630" s="65"/>
      <c r="Y630" s="30"/>
      <c r="Z630" s="65"/>
      <c r="AA630" s="65"/>
      <c r="AB630" s="65"/>
      <c r="AC630" s="30"/>
      <c r="AD630" s="65"/>
      <c r="AE630" s="65"/>
      <c r="AF630" s="65"/>
      <c r="AG630" s="65"/>
      <c r="AH630" s="30"/>
      <c r="AI630" s="65"/>
      <c r="AJ630" s="65"/>
      <c r="AK630" s="65"/>
      <c r="AL630" s="65"/>
      <c r="AM630" s="65"/>
      <c r="AN630" s="65"/>
      <c r="AO630" s="65"/>
    </row>
    <row r="631">
      <c r="A631" s="30"/>
      <c r="B631" s="65"/>
      <c r="C631" s="65"/>
      <c r="D631" s="65"/>
      <c r="E631" s="30"/>
      <c r="F631" s="65"/>
      <c r="G631" s="65"/>
      <c r="H631" s="65"/>
      <c r="I631" s="30"/>
      <c r="J631" s="65"/>
      <c r="K631" s="65"/>
      <c r="L631" s="65"/>
      <c r="M631" s="30"/>
      <c r="N631" s="65"/>
      <c r="O631" s="65"/>
      <c r="P631" s="65"/>
      <c r="Q631" s="30"/>
      <c r="R631" s="65"/>
      <c r="S631" s="65"/>
      <c r="T631" s="65"/>
      <c r="U631" s="30"/>
      <c r="V631" s="65"/>
      <c r="W631" s="65"/>
      <c r="X631" s="65"/>
      <c r="Y631" s="30"/>
      <c r="Z631" s="65"/>
      <c r="AA631" s="65"/>
      <c r="AB631" s="65"/>
      <c r="AC631" s="30"/>
      <c r="AD631" s="65"/>
      <c r="AE631" s="65"/>
      <c r="AF631" s="65"/>
      <c r="AG631" s="65"/>
      <c r="AH631" s="30"/>
      <c r="AI631" s="65"/>
      <c r="AJ631" s="65"/>
      <c r="AK631" s="65"/>
      <c r="AL631" s="65"/>
      <c r="AM631" s="65"/>
      <c r="AN631" s="65"/>
      <c r="AO631" s="65"/>
    </row>
    <row r="632">
      <c r="A632" s="30"/>
      <c r="B632" s="65"/>
      <c r="C632" s="65"/>
      <c r="D632" s="65"/>
      <c r="E632" s="30"/>
      <c r="F632" s="65"/>
      <c r="G632" s="65"/>
      <c r="H632" s="65"/>
      <c r="I632" s="30"/>
      <c r="J632" s="65"/>
      <c r="K632" s="65"/>
      <c r="L632" s="65"/>
      <c r="M632" s="30"/>
      <c r="N632" s="65"/>
      <c r="O632" s="65"/>
      <c r="P632" s="65"/>
      <c r="Q632" s="30"/>
      <c r="R632" s="65"/>
      <c r="S632" s="65"/>
      <c r="T632" s="65"/>
      <c r="U632" s="30"/>
      <c r="V632" s="65"/>
      <c r="W632" s="65"/>
      <c r="X632" s="65"/>
      <c r="Y632" s="30"/>
      <c r="Z632" s="65"/>
      <c r="AA632" s="65"/>
      <c r="AB632" s="65"/>
      <c r="AC632" s="30"/>
      <c r="AD632" s="65"/>
      <c r="AE632" s="65"/>
      <c r="AF632" s="65"/>
      <c r="AG632" s="65"/>
      <c r="AH632" s="30"/>
      <c r="AI632" s="65"/>
      <c r="AJ632" s="65"/>
      <c r="AK632" s="65"/>
      <c r="AL632" s="65"/>
      <c r="AM632" s="65"/>
      <c r="AN632" s="65"/>
      <c r="AO632" s="65"/>
    </row>
    <row r="633">
      <c r="A633" s="30"/>
      <c r="B633" s="65"/>
      <c r="C633" s="65"/>
      <c r="D633" s="65"/>
      <c r="E633" s="30"/>
      <c r="F633" s="65"/>
      <c r="G633" s="65"/>
      <c r="H633" s="65"/>
      <c r="I633" s="30"/>
      <c r="J633" s="65"/>
      <c r="K633" s="65"/>
      <c r="L633" s="65"/>
      <c r="M633" s="30"/>
      <c r="N633" s="65"/>
      <c r="O633" s="65"/>
      <c r="P633" s="65"/>
      <c r="Q633" s="30"/>
      <c r="R633" s="65"/>
      <c r="S633" s="65"/>
      <c r="T633" s="65"/>
      <c r="U633" s="30"/>
      <c r="V633" s="65"/>
      <c r="W633" s="65"/>
      <c r="X633" s="65"/>
      <c r="Y633" s="30"/>
      <c r="Z633" s="65"/>
      <c r="AA633" s="65"/>
      <c r="AB633" s="65"/>
      <c r="AC633" s="30"/>
      <c r="AD633" s="65"/>
      <c r="AE633" s="65"/>
      <c r="AF633" s="65"/>
      <c r="AG633" s="65"/>
      <c r="AH633" s="30"/>
      <c r="AI633" s="65"/>
      <c r="AJ633" s="65"/>
      <c r="AK633" s="65"/>
      <c r="AL633" s="65"/>
      <c r="AM633" s="65"/>
      <c r="AN633" s="65"/>
      <c r="AO633" s="65"/>
    </row>
    <row r="634">
      <c r="A634" s="30"/>
      <c r="B634" s="65"/>
      <c r="C634" s="65"/>
      <c r="D634" s="65"/>
      <c r="E634" s="30"/>
      <c r="F634" s="65"/>
      <c r="G634" s="65"/>
      <c r="H634" s="65"/>
      <c r="I634" s="30"/>
      <c r="J634" s="65"/>
      <c r="K634" s="65"/>
      <c r="L634" s="65"/>
      <c r="M634" s="30"/>
      <c r="N634" s="65"/>
      <c r="O634" s="65"/>
      <c r="P634" s="65"/>
      <c r="Q634" s="30"/>
      <c r="R634" s="65"/>
      <c r="S634" s="65"/>
      <c r="T634" s="65"/>
      <c r="U634" s="30"/>
      <c r="V634" s="65"/>
      <c r="W634" s="65"/>
      <c r="X634" s="65"/>
      <c r="Y634" s="30"/>
      <c r="Z634" s="65"/>
      <c r="AA634" s="65"/>
      <c r="AB634" s="65"/>
      <c r="AC634" s="30"/>
      <c r="AD634" s="65"/>
      <c r="AE634" s="65"/>
      <c r="AF634" s="65"/>
      <c r="AG634" s="65"/>
      <c r="AH634" s="30"/>
      <c r="AI634" s="65"/>
      <c r="AJ634" s="65"/>
      <c r="AK634" s="65"/>
      <c r="AL634" s="65"/>
      <c r="AM634" s="65"/>
      <c r="AN634" s="65"/>
      <c r="AO634" s="65"/>
    </row>
    <row r="635">
      <c r="A635" s="30"/>
      <c r="B635" s="65"/>
      <c r="C635" s="65"/>
      <c r="D635" s="65"/>
      <c r="E635" s="30"/>
      <c r="F635" s="65"/>
      <c r="G635" s="65"/>
      <c r="H635" s="65"/>
      <c r="I635" s="30"/>
      <c r="J635" s="65"/>
      <c r="K635" s="65"/>
      <c r="L635" s="65"/>
      <c r="M635" s="30"/>
      <c r="N635" s="65"/>
      <c r="O635" s="65"/>
      <c r="P635" s="65"/>
      <c r="Q635" s="30"/>
      <c r="R635" s="65"/>
      <c r="S635" s="65"/>
      <c r="T635" s="65"/>
      <c r="U635" s="30"/>
      <c r="V635" s="65"/>
      <c r="W635" s="65"/>
      <c r="X635" s="65"/>
      <c r="Y635" s="30"/>
      <c r="Z635" s="65"/>
      <c r="AA635" s="65"/>
      <c r="AB635" s="65"/>
      <c r="AC635" s="30"/>
      <c r="AD635" s="65"/>
      <c r="AE635" s="65"/>
      <c r="AF635" s="65"/>
      <c r="AG635" s="65"/>
      <c r="AH635" s="30"/>
      <c r="AI635" s="65"/>
      <c r="AJ635" s="65"/>
      <c r="AK635" s="65"/>
      <c r="AL635" s="65"/>
      <c r="AM635" s="65"/>
      <c r="AN635" s="65"/>
      <c r="AO635" s="65"/>
    </row>
    <row r="636">
      <c r="A636" s="30"/>
      <c r="B636" s="65"/>
      <c r="C636" s="65"/>
      <c r="D636" s="65"/>
      <c r="E636" s="30"/>
      <c r="F636" s="65"/>
      <c r="G636" s="65"/>
      <c r="H636" s="65"/>
      <c r="I636" s="30"/>
      <c r="J636" s="65"/>
      <c r="K636" s="65"/>
      <c r="L636" s="65"/>
      <c r="M636" s="30"/>
      <c r="N636" s="65"/>
      <c r="O636" s="65"/>
      <c r="P636" s="65"/>
      <c r="Q636" s="30"/>
      <c r="R636" s="65"/>
      <c r="S636" s="65"/>
      <c r="T636" s="65"/>
      <c r="U636" s="30"/>
      <c r="V636" s="65"/>
      <c r="W636" s="65"/>
      <c r="X636" s="65"/>
      <c r="Y636" s="30"/>
      <c r="Z636" s="65"/>
      <c r="AA636" s="65"/>
      <c r="AB636" s="65"/>
      <c r="AC636" s="30"/>
      <c r="AD636" s="65"/>
      <c r="AE636" s="65"/>
      <c r="AF636" s="65"/>
      <c r="AG636" s="65"/>
      <c r="AH636" s="30"/>
      <c r="AI636" s="65"/>
      <c r="AJ636" s="65"/>
      <c r="AK636" s="65"/>
      <c r="AL636" s="65"/>
      <c r="AM636" s="65"/>
      <c r="AN636" s="65"/>
      <c r="AO636" s="65"/>
    </row>
    <row r="637">
      <c r="A637" s="30"/>
      <c r="B637" s="65"/>
      <c r="C637" s="65"/>
      <c r="D637" s="65"/>
      <c r="E637" s="30"/>
      <c r="F637" s="65"/>
      <c r="G637" s="65"/>
      <c r="H637" s="65"/>
      <c r="I637" s="30"/>
      <c r="J637" s="65"/>
      <c r="K637" s="65"/>
      <c r="L637" s="65"/>
      <c r="M637" s="30"/>
      <c r="N637" s="65"/>
      <c r="O637" s="65"/>
      <c r="P637" s="65"/>
      <c r="Q637" s="30"/>
      <c r="R637" s="65"/>
      <c r="S637" s="65"/>
      <c r="T637" s="65"/>
      <c r="U637" s="30"/>
      <c r="V637" s="65"/>
      <c r="W637" s="65"/>
      <c r="X637" s="65"/>
      <c r="Y637" s="30"/>
      <c r="Z637" s="65"/>
      <c r="AA637" s="65"/>
      <c r="AB637" s="65"/>
      <c r="AC637" s="30"/>
      <c r="AD637" s="65"/>
      <c r="AE637" s="65"/>
      <c r="AF637" s="65"/>
      <c r="AG637" s="65"/>
      <c r="AH637" s="30"/>
      <c r="AI637" s="65"/>
      <c r="AJ637" s="65"/>
      <c r="AK637" s="65"/>
      <c r="AL637" s="65"/>
      <c r="AM637" s="65"/>
      <c r="AN637" s="65"/>
      <c r="AO637" s="65"/>
    </row>
    <row r="638">
      <c r="A638" s="30"/>
      <c r="B638" s="65"/>
      <c r="C638" s="65"/>
      <c r="D638" s="65"/>
      <c r="E638" s="30"/>
      <c r="F638" s="65"/>
      <c r="G638" s="65"/>
      <c r="H638" s="65"/>
      <c r="I638" s="30"/>
      <c r="J638" s="65"/>
      <c r="K638" s="65"/>
      <c r="L638" s="65"/>
      <c r="M638" s="30"/>
      <c r="N638" s="65"/>
      <c r="O638" s="65"/>
      <c r="P638" s="65"/>
      <c r="Q638" s="30"/>
      <c r="R638" s="65"/>
      <c r="S638" s="65"/>
      <c r="T638" s="65"/>
      <c r="U638" s="30"/>
      <c r="V638" s="65"/>
      <c r="W638" s="65"/>
      <c r="X638" s="65"/>
      <c r="Y638" s="30"/>
      <c r="Z638" s="65"/>
      <c r="AA638" s="65"/>
      <c r="AB638" s="65"/>
      <c r="AC638" s="30"/>
      <c r="AD638" s="65"/>
      <c r="AE638" s="65"/>
      <c r="AF638" s="65"/>
      <c r="AG638" s="65"/>
      <c r="AH638" s="30"/>
      <c r="AI638" s="65"/>
      <c r="AJ638" s="65"/>
      <c r="AK638" s="65"/>
      <c r="AL638" s="65"/>
      <c r="AM638" s="65"/>
      <c r="AN638" s="65"/>
      <c r="AO638" s="65"/>
    </row>
    <row r="639">
      <c r="A639" s="30"/>
      <c r="B639" s="65"/>
      <c r="C639" s="65"/>
      <c r="D639" s="65"/>
      <c r="E639" s="30"/>
      <c r="F639" s="65"/>
      <c r="G639" s="65"/>
      <c r="H639" s="65"/>
      <c r="I639" s="30"/>
      <c r="J639" s="65"/>
      <c r="K639" s="65"/>
      <c r="L639" s="65"/>
      <c r="M639" s="30"/>
      <c r="N639" s="65"/>
      <c r="O639" s="65"/>
      <c r="P639" s="65"/>
      <c r="Q639" s="30"/>
      <c r="R639" s="65"/>
      <c r="S639" s="65"/>
      <c r="T639" s="65"/>
      <c r="U639" s="30"/>
      <c r="V639" s="65"/>
      <c r="W639" s="65"/>
      <c r="X639" s="65"/>
      <c r="Y639" s="30"/>
      <c r="Z639" s="65"/>
      <c r="AA639" s="65"/>
      <c r="AB639" s="65"/>
      <c r="AC639" s="30"/>
      <c r="AD639" s="65"/>
      <c r="AE639" s="65"/>
      <c r="AF639" s="65"/>
      <c r="AG639" s="65"/>
      <c r="AH639" s="30"/>
      <c r="AI639" s="65"/>
      <c r="AJ639" s="65"/>
      <c r="AK639" s="65"/>
      <c r="AL639" s="65"/>
      <c r="AM639" s="65"/>
      <c r="AN639" s="65"/>
      <c r="AO639" s="65"/>
    </row>
    <row r="640">
      <c r="A640" s="30"/>
      <c r="B640" s="65"/>
      <c r="C640" s="65"/>
      <c r="D640" s="65"/>
      <c r="E640" s="30"/>
      <c r="F640" s="65"/>
      <c r="G640" s="65"/>
      <c r="H640" s="65"/>
      <c r="I640" s="30"/>
      <c r="J640" s="65"/>
      <c r="K640" s="65"/>
      <c r="L640" s="65"/>
      <c r="M640" s="30"/>
      <c r="N640" s="65"/>
      <c r="O640" s="65"/>
      <c r="P640" s="65"/>
      <c r="Q640" s="30"/>
      <c r="R640" s="65"/>
      <c r="S640" s="65"/>
      <c r="T640" s="65"/>
      <c r="U640" s="30"/>
      <c r="V640" s="65"/>
      <c r="W640" s="65"/>
      <c r="X640" s="65"/>
      <c r="Y640" s="30"/>
      <c r="Z640" s="65"/>
      <c r="AA640" s="65"/>
      <c r="AB640" s="65"/>
      <c r="AC640" s="30"/>
      <c r="AD640" s="65"/>
      <c r="AE640" s="65"/>
      <c r="AF640" s="65"/>
      <c r="AG640" s="65"/>
      <c r="AH640" s="30"/>
      <c r="AI640" s="65"/>
      <c r="AJ640" s="65"/>
      <c r="AK640" s="65"/>
      <c r="AL640" s="65"/>
      <c r="AM640" s="65"/>
      <c r="AN640" s="65"/>
      <c r="AO640" s="65"/>
    </row>
    <row r="641">
      <c r="A641" s="30"/>
      <c r="B641" s="65"/>
      <c r="C641" s="65"/>
      <c r="D641" s="65"/>
      <c r="E641" s="30"/>
      <c r="F641" s="65"/>
      <c r="G641" s="65"/>
      <c r="H641" s="65"/>
      <c r="I641" s="30"/>
      <c r="J641" s="65"/>
      <c r="K641" s="65"/>
      <c r="L641" s="65"/>
      <c r="M641" s="30"/>
      <c r="N641" s="65"/>
      <c r="O641" s="65"/>
      <c r="P641" s="65"/>
      <c r="Q641" s="30"/>
      <c r="R641" s="65"/>
      <c r="S641" s="65"/>
      <c r="T641" s="65"/>
      <c r="U641" s="30"/>
      <c r="V641" s="65"/>
      <c r="W641" s="65"/>
      <c r="X641" s="65"/>
      <c r="Y641" s="30"/>
      <c r="Z641" s="65"/>
      <c r="AA641" s="65"/>
      <c r="AB641" s="65"/>
      <c r="AC641" s="30"/>
      <c r="AD641" s="65"/>
      <c r="AE641" s="65"/>
      <c r="AF641" s="65"/>
      <c r="AG641" s="65"/>
      <c r="AH641" s="30"/>
      <c r="AI641" s="65"/>
      <c r="AJ641" s="65"/>
      <c r="AK641" s="65"/>
      <c r="AL641" s="65"/>
      <c r="AM641" s="65"/>
      <c r="AN641" s="65"/>
      <c r="AO641" s="65"/>
    </row>
    <row r="642">
      <c r="A642" s="30"/>
      <c r="B642" s="65"/>
      <c r="C642" s="65"/>
      <c r="D642" s="65"/>
      <c r="E642" s="30"/>
      <c r="F642" s="65"/>
      <c r="G642" s="65"/>
      <c r="H642" s="65"/>
      <c r="I642" s="30"/>
      <c r="J642" s="65"/>
      <c r="K642" s="65"/>
      <c r="L642" s="65"/>
      <c r="M642" s="30"/>
      <c r="N642" s="65"/>
      <c r="O642" s="65"/>
      <c r="P642" s="65"/>
      <c r="Q642" s="30"/>
      <c r="R642" s="65"/>
      <c r="S642" s="65"/>
      <c r="T642" s="65"/>
      <c r="U642" s="30"/>
      <c r="V642" s="65"/>
      <c r="W642" s="65"/>
      <c r="X642" s="65"/>
      <c r="Y642" s="30"/>
      <c r="Z642" s="65"/>
      <c r="AA642" s="65"/>
      <c r="AB642" s="65"/>
      <c r="AC642" s="30"/>
      <c r="AD642" s="65"/>
      <c r="AE642" s="65"/>
      <c r="AF642" s="65"/>
      <c r="AG642" s="65"/>
      <c r="AH642" s="30"/>
      <c r="AI642" s="65"/>
      <c r="AJ642" s="65"/>
      <c r="AK642" s="65"/>
      <c r="AL642" s="65"/>
      <c r="AM642" s="65"/>
      <c r="AN642" s="65"/>
      <c r="AO642" s="65"/>
    </row>
    <row r="643">
      <c r="A643" s="30"/>
      <c r="B643" s="65"/>
      <c r="C643" s="65"/>
      <c r="D643" s="65"/>
      <c r="E643" s="30"/>
      <c r="F643" s="65"/>
      <c r="G643" s="65"/>
      <c r="H643" s="65"/>
      <c r="I643" s="30"/>
      <c r="J643" s="65"/>
      <c r="K643" s="65"/>
      <c r="L643" s="65"/>
      <c r="M643" s="30"/>
      <c r="N643" s="65"/>
      <c r="O643" s="65"/>
      <c r="P643" s="65"/>
      <c r="Q643" s="30"/>
      <c r="R643" s="65"/>
      <c r="S643" s="65"/>
      <c r="T643" s="65"/>
      <c r="U643" s="30"/>
      <c r="V643" s="65"/>
      <c r="W643" s="65"/>
      <c r="X643" s="65"/>
      <c r="Y643" s="30"/>
      <c r="Z643" s="65"/>
      <c r="AA643" s="65"/>
      <c r="AB643" s="65"/>
      <c r="AC643" s="30"/>
      <c r="AD643" s="65"/>
      <c r="AE643" s="65"/>
      <c r="AF643" s="65"/>
      <c r="AG643" s="65"/>
      <c r="AH643" s="30"/>
      <c r="AI643" s="65"/>
      <c r="AJ643" s="65"/>
      <c r="AK643" s="65"/>
      <c r="AL643" s="65"/>
      <c r="AM643" s="65"/>
      <c r="AN643" s="65"/>
      <c r="AO643" s="65"/>
    </row>
    <row r="644">
      <c r="A644" s="30"/>
      <c r="B644" s="65"/>
      <c r="C644" s="65"/>
      <c r="D644" s="65"/>
      <c r="E644" s="30"/>
      <c r="F644" s="65"/>
      <c r="G644" s="65"/>
      <c r="H644" s="65"/>
      <c r="I644" s="30"/>
      <c r="J644" s="65"/>
      <c r="K644" s="65"/>
      <c r="L644" s="65"/>
      <c r="M644" s="30"/>
      <c r="N644" s="65"/>
      <c r="O644" s="65"/>
      <c r="P644" s="65"/>
      <c r="Q644" s="30"/>
      <c r="R644" s="65"/>
      <c r="S644" s="65"/>
      <c r="T644" s="65"/>
      <c r="U644" s="30"/>
      <c r="V644" s="65"/>
      <c r="W644" s="65"/>
      <c r="X644" s="65"/>
      <c r="Y644" s="30"/>
      <c r="Z644" s="65"/>
      <c r="AA644" s="65"/>
      <c r="AB644" s="65"/>
      <c r="AC644" s="30"/>
      <c r="AD644" s="65"/>
      <c r="AE644" s="65"/>
      <c r="AF644" s="65"/>
      <c r="AG644" s="65"/>
      <c r="AH644" s="30"/>
      <c r="AI644" s="65"/>
      <c r="AJ644" s="65"/>
      <c r="AK644" s="65"/>
      <c r="AL644" s="65"/>
      <c r="AM644" s="65"/>
      <c r="AN644" s="65"/>
      <c r="AO644" s="65"/>
    </row>
    <row r="645">
      <c r="A645" s="30"/>
      <c r="B645" s="65"/>
      <c r="C645" s="65"/>
      <c r="D645" s="65"/>
      <c r="E645" s="30"/>
      <c r="F645" s="65"/>
      <c r="G645" s="65"/>
      <c r="H645" s="65"/>
      <c r="I645" s="30"/>
      <c r="J645" s="65"/>
      <c r="K645" s="65"/>
      <c r="L645" s="65"/>
      <c r="M645" s="30"/>
      <c r="N645" s="65"/>
      <c r="O645" s="65"/>
      <c r="P645" s="65"/>
      <c r="Q645" s="30"/>
      <c r="R645" s="65"/>
      <c r="S645" s="65"/>
      <c r="T645" s="65"/>
      <c r="U645" s="30"/>
      <c r="V645" s="65"/>
      <c r="W645" s="65"/>
      <c r="X645" s="65"/>
      <c r="Y645" s="30"/>
      <c r="Z645" s="65"/>
      <c r="AA645" s="65"/>
      <c r="AB645" s="65"/>
      <c r="AC645" s="30"/>
      <c r="AD645" s="65"/>
      <c r="AE645" s="65"/>
      <c r="AF645" s="65"/>
      <c r="AG645" s="65"/>
      <c r="AH645" s="30"/>
      <c r="AI645" s="65"/>
      <c r="AJ645" s="65"/>
      <c r="AK645" s="65"/>
      <c r="AL645" s="65"/>
      <c r="AM645" s="65"/>
      <c r="AN645" s="65"/>
      <c r="AO645" s="65"/>
    </row>
    <row r="646">
      <c r="A646" s="30"/>
      <c r="B646" s="65"/>
      <c r="C646" s="65"/>
      <c r="D646" s="65"/>
      <c r="E646" s="30"/>
      <c r="F646" s="65"/>
      <c r="G646" s="65"/>
      <c r="H646" s="65"/>
      <c r="I646" s="30"/>
      <c r="J646" s="65"/>
      <c r="K646" s="65"/>
      <c r="L646" s="65"/>
      <c r="M646" s="30"/>
      <c r="N646" s="65"/>
      <c r="O646" s="65"/>
      <c r="P646" s="65"/>
      <c r="Q646" s="30"/>
      <c r="R646" s="65"/>
      <c r="S646" s="65"/>
      <c r="T646" s="65"/>
      <c r="U646" s="30"/>
      <c r="V646" s="65"/>
      <c r="W646" s="65"/>
      <c r="X646" s="65"/>
      <c r="Y646" s="30"/>
      <c r="Z646" s="65"/>
      <c r="AA646" s="65"/>
      <c r="AB646" s="65"/>
      <c r="AC646" s="30"/>
      <c r="AD646" s="65"/>
      <c r="AE646" s="65"/>
      <c r="AF646" s="65"/>
      <c r="AG646" s="65"/>
      <c r="AH646" s="30"/>
      <c r="AI646" s="65"/>
      <c r="AJ646" s="65"/>
      <c r="AK646" s="65"/>
      <c r="AL646" s="65"/>
      <c r="AM646" s="65"/>
      <c r="AN646" s="65"/>
      <c r="AO646" s="65"/>
    </row>
    <row r="647">
      <c r="A647" s="30"/>
      <c r="B647" s="65"/>
      <c r="C647" s="65"/>
      <c r="D647" s="65"/>
      <c r="E647" s="30"/>
      <c r="F647" s="65"/>
      <c r="G647" s="65"/>
      <c r="H647" s="65"/>
      <c r="I647" s="30"/>
      <c r="J647" s="65"/>
      <c r="K647" s="65"/>
      <c r="L647" s="65"/>
      <c r="M647" s="30"/>
      <c r="N647" s="65"/>
      <c r="O647" s="65"/>
      <c r="P647" s="65"/>
      <c r="Q647" s="30"/>
      <c r="R647" s="65"/>
      <c r="S647" s="65"/>
      <c r="T647" s="65"/>
      <c r="U647" s="30"/>
      <c r="V647" s="65"/>
      <c r="W647" s="65"/>
      <c r="X647" s="65"/>
      <c r="Y647" s="30"/>
      <c r="Z647" s="65"/>
      <c r="AA647" s="65"/>
      <c r="AB647" s="65"/>
      <c r="AC647" s="30"/>
      <c r="AD647" s="65"/>
      <c r="AE647" s="65"/>
      <c r="AF647" s="65"/>
      <c r="AG647" s="65"/>
      <c r="AH647" s="30"/>
      <c r="AI647" s="65"/>
      <c r="AJ647" s="65"/>
      <c r="AK647" s="65"/>
      <c r="AL647" s="65"/>
      <c r="AM647" s="65"/>
      <c r="AN647" s="65"/>
      <c r="AO647" s="65"/>
    </row>
    <row r="648">
      <c r="A648" s="30"/>
      <c r="B648" s="65"/>
      <c r="C648" s="65"/>
      <c r="D648" s="65"/>
      <c r="E648" s="30"/>
      <c r="F648" s="65"/>
      <c r="G648" s="65"/>
      <c r="H648" s="65"/>
      <c r="I648" s="30"/>
      <c r="J648" s="65"/>
      <c r="K648" s="65"/>
      <c r="L648" s="65"/>
      <c r="M648" s="30"/>
      <c r="N648" s="65"/>
      <c r="O648" s="65"/>
      <c r="P648" s="65"/>
      <c r="Q648" s="30"/>
      <c r="R648" s="65"/>
      <c r="S648" s="65"/>
      <c r="T648" s="65"/>
      <c r="U648" s="30"/>
      <c r="V648" s="65"/>
      <c r="W648" s="65"/>
      <c r="X648" s="65"/>
      <c r="Y648" s="30"/>
      <c r="Z648" s="65"/>
      <c r="AA648" s="65"/>
      <c r="AB648" s="65"/>
      <c r="AC648" s="30"/>
      <c r="AD648" s="65"/>
      <c r="AE648" s="65"/>
      <c r="AF648" s="65"/>
      <c r="AG648" s="65"/>
      <c r="AH648" s="30"/>
      <c r="AI648" s="65"/>
      <c r="AJ648" s="65"/>
      <c r="AK648" s="65"/>
      <c r="AL648" s="65"/>
      <c r="AM648" s="65"/>
      <c r="AN648" s="65"/>
      <c r="AO648" s="65"/>
    </row>
    <row r="649">
      <c r="A649" s="30"/>
      <c r="B649" s="65"/>
      <c r="C649" s="65"/>
      <c r="D649" s="65"/>
      <c r="E649" s="30"/>
      <c r="F649" s="65"/>
      <c r="G649" s="65"/>
      <c r="H649" s="65"/>
      <c r="I649" s="30"/>
      <c r="J649" s="65"/>
      <c r="K649" s="65"/>
      <c r="L649" s="65"/>
      <c r="M649" s="30"/>
      <c r="N649" s="65"/>
      <c r="O649" s="65"/>
      <c r="P649" s="65"/>
      <c r="Q649" s="30"/>
      <c r="R649" s="65"/>
      <c r="S649" s="65"/>
      <c r="T649" s="65"/>
      <c r="U649" s="30"/>
      <c r="V649" s="65"/>
      <c r="W649" s="65"/>
      <c r="X649" s="65"/>
      <c r="Y649" s="30"/>
      <c r="Z649" s="65"/>
      <c r="AA649" s="65"/>
      <c r="AB649" s="65"/>
      <c r="AC649" s="30"/>
      <c r="AD649" s="65"/>
      <c r="AE649" s="65"/>
      <c r="AF649" s="65"/>
      <c r="AG649" s="65"/>
      <c r="AH649" s="30"/>
      <c r="AI649" s="65"/>
      <c r="AJ649" s="65"/>
      <c r="AK649" s="65"/>
      <c r="AL649" s="65"/>
      <c r="AM649" s="65"/>
      <c r="AN649" s="65"/>
      <c r="AO649" s="65"/>
    </row>
    <row r="650">
      <c r="A650" s="30"/>
      <c r="B650" s="65"/>
      <c r="C650" s="65"/>
      <c r="D650" s="65"/>
      <c r="E650" s="30"/>
      <c r="F650" s="65"/>
      <c r="G650" s="65"/>
      <c r="H650" s="65"/>
      <c r="I650" s="30"/>
      <c r="J650" s="65"/>
      <c r="K650" s="65"/>
      <c r="L650" s="65"/>
      <c r="M650" s="30"/>
      <c r="N650" s="65"/>
      <c r="O650" s="65"/>
      <c r="P650" s="65"/>
      <c r="Q650" s="30"/>
      <c r="R650" s="65"/>
      <c r="S650" s="65"/>
      <c r="T650" s="65"/>
      <c r="U650" s="30"/>
      <c r="V650" s="65"/>
      <c r="W650" s="65"/>
      <c r="X650" s="65"/>
      <c r="Y650" s="30"/>
      <c r="Z650" s="65"/>
      <c r="AA650" s="65"/>
      <c r="AB650" s="65"/>
      <c r="AC650" s="30"/>
      <c r="AD650" s="65"/>
      <c r="AE650" s="65"/>
      <c r="AF650" s="65"/>
      <c r="AG650" s="65"/>
      <c r="AH650" s="30"/>
      <c r="AI650" s="65"/>
      <c r="AJ650" s="65"/>
      <c r="AK650" s="65"/>
      <c r="AL650" s="65"/>
      <c r="AM650" s="65"/>
      <c r="AN650" s="65"/>
      <c r="AO650" s="65"/>
    </row>
    <row r="651">
      <c r="A651" s="30"/>
      <c r="B651" s="65"/>
      <c r="C651" s="65"/>
      <c r="D651" s="65"/>
      <c r="E651" s="30"/>
      <c r="F651" s="65"/>
      <c r="G651" s="65"/>
      <c r="H651" s="65"/>
      <c r="I651" s="30"/>
      <c r="J651" s="65"/>
      <c r="K651" s="65"/>
      <c r="L651" s="65"/>
      <c r="M651" s="30"/>
      <c r="N651" s="65"/>
      <c r="O651" s="65"/>
      <c r="P651" s="65"/>
      <c r="Q651" s="30"/>
      <c r="R651" s="65"/>
      <c r="S651" s="65"/>
      <c r="T651" s="65"/>
      <c r="U651" s="30"/>
      <c r="V651" s="65"/>
      <c r="W651" s="65"/>
      <c r="X651" s="65"/>
      <c r="Y651" s="30"/>
      <c r="Z651" s="65"/>
      <c r="AA651" s="65"/>
      <c r="AB651" s="65"/>
      <c r="AC651" s="30"/>
      <c r="AD651" s="65"/>
      <c r="AE651" s="65"/>
      <c r="AF651" s="65"/>
      <c r="AG651" s="65"/>
      <c r="AH651" s="30"/>
      <c r="AI651" s="65"/>
      <c r="AJ651" s="65"/>
      <c r="AK651" s="65"/>
      <c r="AL651" s="65"/>
      <c r="AM651" s="65"/>
      <c r="AN651" s="65"/>
      <c r="AO651" s="65"/>
    </row>
    <row r="652">
      <c r="A652" s="30"/>
      <c r="B652" s="65"/>
      <c r="C652" s="65"/>
      <c r="D652" s="65"/>
      <c r="E652" s="30"/>
      <c r="F652" s="65"/>
      <c r="G652" s="65"/>
      <c r="H652" s="65"/>
      <c r="I652" s="30"/>
      <c r="J652" s="65"/>
      <c r="K652" s="65"/>
      <c r="L652" s="65"/>
      <c r="M652" s="30"/>
      <c r="N652" s="65"/>
      <c r="O652" s="65"/>
      <c r="P652" s="65"/>
      <c r="Q652" s="30"/>
      <c r="R652" s="65"/>
      <c r="S652" s="65"/>
      <c r="T652" s="65"/>
      <c r="U652" s="30"/>
      <c r="V652" s="65"/>
      <c r="W652" s="65"/>
      <c r="X652" s="65"/>
      <c r="Y652" s="30"/>
      <c r="Z652" s="65"/>
      <c r="AA652" s="65"/>
      <c r="AB652" s="65"/>
      <c r="AC652" s="30"/>
      <c r="AD652" s="65"/>
      <c r="AE652" s="65"/>
      <c r="AF652" s="65"/>
      <c r="AG652" s="65"/>
      <c r="AH652" s="30"/>
      <c r="AI652" s="65"/>
      <c r="AJ652" s="65"/>
      <c r="AK652" s="65"/>
      <c r="AL652" s="65"/>
      <c r="AM652" s="65"/>
      <c r="AN652" s="65"/>
      <c r="AO652" s="65"/>
    </row>
    <row r="653">
      <c r="A653" s="30"/>
      <c r="B653" s="65"/>
      <c r="C653" s="65"/>
      <c r="D653" s="65"/>
      <c r="E653" s="30"/>
      <c r="F653" s="65"/>
      <c r="G653" s="65"/>
      <c r="H653" s="65"/>
      <c r="I653" s="30"/>
      <c r="J653" s="65"/>
      <c r="K653" s="65"/>
      <c r="L653" s="65"/>
      <c r="M653" s="30"/>
      <c r="N653" s="65"/>
      <c r="O653" s="65"/>
      <c r="P653" s="65"/>
      <c r="Q653" s="30"/>
      <c r="R653" s="65"/>
      <c r="S653" s="65"/>
      <c r="T653" s="65"/>
      <c r="U653" s="30"/>
      <c r="V653" s="65"/>
      <c r="W653" s="65"/>
      <c r="X653" s="65"/>
      <c r="Y653" s="30"/>
      <c r="Z653" s="65"/>
      <c r="AA653" s="65"/>
      <c r="AB653" s="65"/>
      <c r="AC653" s="30"/>
      <c r="AD653" s="65"/>
      <c r="AE653" s="65"/>
      <c r="AF653" s="65"/>
      <c r="AG653" s="65"/>
      <c r="AH653" s="30"/>
      <c r="AI653" s="65"/>
      <c r="AJ653" s="65"/>
      <c r="AK653" s="65"/>
      <c r="AL653" s="65"/>
      <c r="AM653" s="65"/>
      <c r="AN653" s="65"/>
      <c r="AO653" s="65"/>
    </row>
    <row r="654">
      <c r="A654" s="30"/>
      <c r="B654" s="65"/>
      <c r="C654" s="65"/>
      <c r="D654" s="65"/>
      <c r="E654" s="30"/>
      <c r="F654" s="65"/>
      <c r="G654" s="65"/>
      <c r="H654" s="65"/>
      <c r="I654" s="30"/>
      <c r="J654" s="65"/>
      <c r="K654" s="65"/>
      <c r="L654" s="65"/>
      <c r="M654" s="30"/>
      <c r="N654" s="65"/>
      <c r="O654" s="65"/>
      <c r="P654" s="65"/>
      <c r="Q654" s="30"/>
      <c r="R654" s="65"/>
      <c r="S654" s="65"/>
      <c r="T654" s="65"/>
      <c r="U654" s="30"/>
      <c r="V654" s="65"/>
      <c r="W654" s="65"/>
      <c r="X654" s="65"/>
      <c r="Y654" s="30"/>
      <c r="Z654" s="65"/>
      <c r="AA654" s="65"/>
      <c r="AB654" s="65"/>
      <c r="AC654" s="30"/>
      <c r="AD654" s="65"/>
      <c r="AE654" s="65"/>
      <c r="AF654" s="65"/>
      <c r="AG654" s="65"/>
      <c r="AH654" s="30"/>
      <c r="AI654" s="65"/>
      <c r="AJ654" s="65"/>
      <c r="AK654" s="65"/>
      <c r="AL654" s="65"/>
      <c r="AM654" s="65"/>
      <c r="AN654" s="65"/>
      <c r="AO654" s="65"/>
    </row>
    <row r="655">
      <c r="A655" s="30"/>
      <c r="B655" s="65"/>
      <c r="C655" s="65"/>
      <c r="D655" s="65"/>
      <c r="E655" s="30"/>
      <c r="F655" s="65"/>
      <c r="G655" s="65"/>
      <c r="H655" s="65"/>
      <c r="I655" s="30"/>
      <c r="J655" s="65"/>
      <c r="K655" s="65"/>
      <c r="L655" s="65"/>
      <c r="M655" s="30"/>
      <c r="N655" s="65"/>
      <c r="O655" s="65"/>
      <c r="P655" s="65"/>
      <c r="Q655" s="30"/>
      <c r="R655" s="65"/>
      <c r="S655" s="65"/>
      <c r="T655" s="65"/>
      <c r="U655" s="30"/>
      <c r="V655" s="65"/>
      <c r="W655" s="65"/>
      <c r="X655" s="65"/>
      <c r="Y655" s="30"/>
      <c r="Z655" s="65"/>
      <c r="AA655" s="65"/>
      <c r="AB655" s="65"/>
      <c r="AC655" s="30"/>
      <c r="AD655" s="65"/>
      <c r="AE655" s="65"/>
      <c r="AF655" s="65"/>
      <c r="AG655" s="65"/>
      <c r="AH655" s="30"/>
      <c r="AI655" s="65"/>
      <c r="AJ655" s="65"/>
      <c r="AK655" s="65"/>
      <c r="AL655" s="65"/>
      <c r="AM655" s="65"/>
      <c r="AN655" s="65"/>
      <c r="AO655" s="65"/>
    </row>
    <row r="656">
      <c r="A656" s="30"/>
      <c r="B656" s="65"/>
      <c r="C656" s="65"/>
      <c r="D656" s="65"/>
      <c r="E656" s="30"/>
      <c r="F656" s="65"/>
      <c r="G656" s="65"/>
      <c r="H656" s="65"/>
      <c r="I656" s="30"/>
      <c r="J656" s="65"/>
      <c r="K656" s="65"/>
      <c r="L656" s="65"/>
      <c r="M656" s="30"/>
      <c r="N656" s="65"/>
      <c r="O656" s="65"/>
      <c r="P656" s="65"/>
      <c r="Q656" s="30"/>
      <c r="R656" s="65"/>
      <c r="S656" s="65"/>
      <c r="T656" s="65"/>
      <c r="U656" s="30"/>
      <c r="V656" s="65"/>
      <c r="W656" s="65"/>
      <c r="X656" s="65"/>
      <c r="Y656" s="30"/>
      <c r="Z656" s="65"/>
      <c r="AA656" s="65"/>
      <c r="AB656" s="65"/>
      <c r="AC656" s="30"/>
      <c r="AD656" s="65"/>
      <c r="AE656" s="65"/>
      <c r="AF656" s="65"/>
      <c r="AG656" s="65"/>
      <c r="AH656" s="30"/>
      <c r="AI656" s="65"/>
      <c r="AJ656" s="65"/>
      <c r="AK656" s="65"/>
      <c r="AL656" s="65"/>
      <c r="AM656" s="65"/>
      <c r="AN656" s="65"/>
      <c r="AO656" s="65"/>
    </row>
    <row r="657">
      <c r="A657" s="30"/>
      <c r="B657" s="65"/>
      <c r="C657" s="65"/>
      <c r="D657" s="65"/>
      <c r="E657" s="30"/>
      <c r="F657" s="65"/>
      <c r="G657" s="65"/>
      <c r="H657" s="65"/>
      <c r="I657" s="30"/>
      <c r="J657" s="65"/>
      <c r="K657" s="65"/>
      <c r="L657" s="65"/>
      <c r="M657" s="30"/>
      <c r="N657" s="65"/>
      <c r="O657" s="65"/>
      <c r="P657" s="65"/>
      <c r="Q657" s="30"/>
      <c r="R657" s="65"/>
      <c r="S657" s="65"/>
      <c r="T657" s="65"/>
      <c r="U657" s="30"/>
      <c r="V657" s="65"/>
      <c r="W657" s="65"/>
      <c r="X657" s="65"/>
      <c r="Y657" s="30"/>
      <c r="Z657" s="65"/>
      <c r="AA657" s="65"/>
      <c r="AB657" s="65"/>
      <c r="AC657" s="30"/>
      <c r="AD657" s="65"/>
      <c r="AE657" s="65"/>
      <c r="AF657" s="65"/>
      <c r="AG657" s="65"/>
      <c r="AH657" s="30"/>
      <c r="AI657" s="65"/>
      <c r="AJ657" s="65"/>
      <c r="AK657" s="65"/>
      <c r="AL657" s="65"/>
      <c r="AM657" s="65"/>
      <c r="AN657" s="65"/>
      <c r="AO657" s="65"/>
    </row>
    <row r="658">
      <c r="A658" s="30"/>
      <c r="B658" s="65"/>
      <c r="C658" s="65"/>
      <c r="D658" s="65"/>
      <c r="E658" s="30"/>
      <c r="F658" s="65"/>
      <c r="G658" s="65"/>
      <c r="H658" s="65"/>
      <c r="I658" s="30"/>
      <c r="J658" s="65"/>
      <c r="K658" s="65"/>
      <c r="L658" s="65"/>
      <c r="M658" s="30"/>
      <c r="N658" s="65"/>
      <c r="O658" s="65"/>
      <c r="P658" s="65"/>
      <c r="Q658" s="30"/>
      <c r="R658" s="65"/>
      <c r="S658" s="65"/>
      <c r="T658" s="65"/>
      <c r="U658" s="30"/>
      <c r="V658" s="65"/>
      <c r="W658" s="65"/>
      <c r="X658" s="65"/>
      <c r="Y658" s="30"/>
      <c r="Z658" s="65"/>
      <c r="AA658" s="65"/>
      <c r="AB658" s="65"/>
      <c r="AC658" s="30"/>
      <c r="AD658" s="65"/>
      <c r="AE658" s="65"/>
      <c r="AF658" s="65"/>
      <c r="AG658" s="65"/>
      <c r="AH658" s="30"/>
      <c r="AI658" s="65"/>
      <c r="AJ658" s="65"/>
      <c r="AK658" s="65"/>
      <c r="AL658" s="65"/>
      <c r="AM658" s="65"/>
      <c r="AN658" s="65"/>
      <c r="AO658" s="65"/>
    </row>
    <row r="659">
      <c r="A659" s="30"/>
      <c r="B659" s="65"/>
      <c r="C659" s="65"/>
      <c r="D659" s="65"/>
      <c r="E659" s="30"/>
      <c r="F659" s="65"/>
      <c r="G659" s="65"/>
      <c r="H659" s="65"/>
      <c r="I659" s="30"/>
      <c r="J659" s="65"/>
      <c r="K659" s="65"/>
      <c r="L659" s="65"/>
      <c r="M659" s="30"/>
      <c r="N659" s="65"/>
      <c r="O659" s="65"/>
      <c r="P659" s="65"/>
      <c r="Q659" s="30"/>
      <c r="R659" s="65"/>
      <c r="S659" s="65"/>
      <c r="T659" s="65"/>
      <c r="U659" s="30"/>
      <c r="V659" s="65"/>
      <c r="W659" s="65"/>
      <c r="X659" s="65"/>
      <c r="Y659" s="30"/>
      <c r="Z659" s="65"/>
      <c r="AA659" s="65"/>
      <c r="AB659" s="65"/>
      <c r="AC659" s="30"/>
      <c r="AD659" s="65"/>
      <c r="AE659" s="65"/>
      <c r="AF659" s="65"/>
      <c r="AG659" s="65"/>
      <c r="AH659" s="30"/>
      <c r="AI659" s="65"/>
      <c r="AJ659" s="65"/>
      <c r="AK659" s="65"/>
      <c r="AL659" s="65"/>
      <c r="AM659" s="65"/>
      <c r="AN659" s="65"/>
      <c r="AO659" s="65"/>
    </row>
    <row r="660">
      <c r="A660" s="30"/>
      <c r="B660" s="65"/>
      <c r="C660" s="65"/>
      <c r="D660" s="65"/>
      <c r="E660" s="30"/>
      <c r="F660" s="65"/>
      <c r="G660" s="65"/>
      <c r="H660" s="65"/>
      <c r="I660" s="30"/>
      <c r="J660" s="65"/>
      <c r="K660" s="65"/>
      <c r="L660" s="65"/>
      <c r="M660" s="30"/>
      <c r="N660" s="65"/>
      <c r="O660" s="65"/>
      <c r="P660" s="65"/>
      <c r="Q660" s="30"/>
      <c r="R660" s="65"/>
      <c r="S660" s="65"/>
      <c r="T660" s="65"/>
      <c r="U660" s="30"/>
      <c r="V660" s="65"/>
      <c r="W660" s="65"/>
      <c r="X660" s="65"/>
      <c r="Y660" s="30"/>
      <c r="Z660" s="65"/>
      <c r="AA660" s="65"/>
      <c r="AB660" s="65"/>
      <c r="AC660" s="30"/>
      <c r="AD660" s="65"/>
      <c r="AE660" s="65"/>
      <c r="AF660" s="65"/>
      <c r="AG660" s="65"/>
      <c r="AH660" s="30"/>
      <c r="AI660" s="65"/>
      <c r="AJ660" s="65"/>
      <c r="AK660" s="65"/>
      <c r="AL660" s="65"/>
      <c r="AM660" s="65"/>
      <c r="AN660" s="65"/>
      <c r="AO660" s="65"/>
    </row>
    <row r="661">
      <c r="A661" s="30"/>
      <c r="B661" s="65"/>
      <c r="C661" s="65"/>
      <c r="D661" s="65"/>
      <c r="E661" s="30"/>
      <c r="F661" s="65"/>
      <c r="G661" s="65"/>
      <c r="H661" s="65"/>
      <c r="I661" s="30"/>
      <c r="J661" s="65"/>
      <c r="K661" s="65"/>
      <c r="L661" s="65"/>
      <c r="M661" s="30"/>
      <c r="N661" s="65"/>
      <c r="O661" s="65"/>
      <c r="P661" s="65"/>
      <c r="Q661" s="30"/>
      <c r="R661" s="65"/>
      <c r="S661" s="65"/>
      <c r="T661" s="65"/>
      <c r="U661" s="30"/>
      <c r="V661" s="65"/>
      <c r="W661" s="65"/>
      <c r="X661" s="65"/>
      <c r="Y661" s="30"/>
      <c r="Z661" s="65"/>
      <c r="AA661" s="65"/>
      <c r="AB661" s="65"/>
      <c r="AC661" s="30"/>
      <c r="AD661" s="65"/>
      <c r="AE661" s="65"/>
      <c r="AF661" s="65"/>
      <c r="AG661" s="65"/>
      <c r="AH661" s="30"/>
      <c r="AI661" s="65"/>
      <c r="AJ661" s="65"/>
      <c r="AK661" s="65"/>
      <c r="AL661" s="65"/>
      <c r="AM661" s="65"/>
      <c r="AN661" s="65"/>
      <c r="AO661" s="65"/>
    </row>
    <row r="662">
      <c r="A662" s="30"/>
      <c r="B662" s="65"/>
      <c r="C662" s="65"/>
      <c r="D662" s="65"/>
      <c r="E662" s="30"/>
      <c r="F662" s="65"/>
      <c r="G662" s="65"/>
      <c r="H662" s="65"/>
      <c r="I662" s="30"/>
      <c r="J662" s="65"/>
      <c r="K662" s="65"/>
      <c r="L662" s="65"/>
      <c r="M662" s="30"/>
      <c r="N662" s="65"/>
      <c r="O662" s="65"/>
      <c r="P662" s="65"/>
      <c r="Q662" s="30"/>
      <c r="R662" s="65"/>
      <c r="S662" s="65"/>
      <c r="T662" s="65"/>
      <c r="U662" s="30"/>
      <c r="V662" s="65"/>
      <c r="W662" s="65"/>
      <c r="X662" s="65"/>
      <c r="Y662" s="30"/>
      <c r="Z662" s="65"/>
      <c r="AA662" s="65"/>
      <c r="AB662" s="65"/>
      <c r="AC662" s="30"/>
      <c r="AD662" s="65"/>
      <c r="AE662" s="65"/>
      <c r="AF662" s="65"/>
      <c r="AG662" s="65"/>
      <c r="AH662" s="30"/>
      <c r="AI662" s="65"/>
      <c r="AJ662" s="65"/>
      <c r="AK662" s="65"/>
      <c r="AL662" s="65"/>
      <c r="AM662" s="65"/>
      <c r="AN662" s="65"/>
      <c r="AO662" s="65"/>
    </row>
    <row r="663">
      <c r="A663" s="30"/>
      <c r="B663" s="65"/>
      <c r="C663" s="65"/>
      <c r="D663" s="65"/>
      <c r="E663" s="30"/>
      <c r="F663" s="65"/>
      <c r="G663" s="65"/>
      <c r="H663" s="65"/>
      <c r="I663" s="30"/>
      <c r="J663" s="65"/>
      <c r="K663" s="65"/>
      <c r="L663" s="65"/>
      <c r="M663" s="30"/>
      <c r="N663" s="65"/>
      <c r="O663" s="65"/>
      <c r="P663" s="65"/>
      <c r="Q663" s="30"/>
      <c r="R663" s="65"/>
      <c r="S663" s="65"/>
      <c r="T663" s="65"/>
      <c r="U663" s="30"/>
      <c r="V663" s="65"/>
      <c r="W663" s="65"/>
      <c r="X663" s="65"/>
      <c r="Y663" s="30"/>
      <c r="Z663" s="65"/>
      <c r="AA663" s="65"/>
      <c r="AB663" s="65"/>
      <c r="AC663" s="30"/>
      <c r="AD663" s="65"/>
      <c r="AE663" s="65"/>
      <c r="AF663" s="65"/>
      <c r="AG663" s="65"/>
      <c r="AH663" s="30"/>
      <c r="AI663" s="65"/>
      <c r="AJ663" s="65"/>
      <c r="AK663" s="65"/>
      <c r="AL663" s="65"/>
      <c r="AM663" s="65"/>
      <c r="AN663" s="65"/>
      <c r="AO663" s="65"/>
    </row>
    <row r="664">
      <c r="A664" s="30"/>
      <c r="B664" s="65"/>
      <c r="C664" s="65"/>
      <c r="D664" s="65"/>
      <c r="E664" s="30"/>
      <c r="F664" s="65"/>
      <c r="G664" s="65"/>
      <c r="H664" s="65"/>
      <c r="I664" s="30"/>
      <c r="J664" s="65"/>
      <c r="K664" s="65"/>
      <c r="L664" s="65"/>
      <c r="M664" s="30"/>
      <c r="N664" s="65"/>
      <c r="O664" s="65"/>
      <c r="P664" s="65"/>
      <c r="Q664" s="30"/>
      <c r="R664" s="65"/>
      <c r="S664" s="65"/>
      <c r="T664" s="65"/>
      <c r="U664" s="30"/>
      <c r="V664" s="65"/>
      <c r="W664" s="65"/>
      <c r="X664" s="65"/>
      <c r="Y664" s="30"/>
      <c r="Z664" s="65"/>
      <c r="AA664" s="65"/>
      <c r="AB664" s="65"/>
      <c r="AC664" s="30"/>
      <c r="AD664" s="65"/>
      <c r="AE664" s="65"/>
      <c r="AF664" s="65"/>
      <c r="AG664" s="65"/>
      <c r="AH664" s="30"/>
      <c r="AI664" s="65"/>
      <c r="AJ664" s="65"/>
      <c r="AK664" s="65"/>
      <c r="AL664" s="65"/>
      <c r="AM664" s="65"/>
      <c r="AN664" s="65"/>
      <c r="AO664" s="65"/>
    </row>
    <row r="665">
      <c r="A665" s="30"/>
      <c r="B665" s="65"/>
      <c r="C665" s="65"/>
      <c r="D665" s="65"/>
      <c r="E665" s="30"/>
      <c r="F665" s="65"/>
      <c r="G665" s="65"/>
      <c r="H665" s="65"/>
      <c r="I665" s="30"/>
      <c r="J665" s="65"/>
      <c r="K665" s="65"/>
      <c r="L665" s="65"/>
      <c r="M665" s="30"/>
      <c r="N665" s="65"/>
      <c r="O665" s="65"/>
      <c r="P665" s="65"/>
      <c r="Q665" s="30"/>
      <c r="R665" s="65"/>
      <c r="S665" s="65"/>
      <c r="T665" s="65"/>
      <c r="U665" s="30"/>
      <c r="V665" s="65"/>
      <c r="W665" s="65"/>
      <c r="X665" s="65"/>
      <c r="Y665" s="30"/>
      <c r="Z665" s="65"/>
      <c r="AA665" s="65"/>
      <c r="AB665" s="65"/>
      <c r="AC665" s="30"/>
      <c r="AD665" s="65"/>
      <c r="AE665" s="65"/>
      <c r="AF665" s="65"/>
      <c r="AG665" s="65"/>
      <c r="AH665" s="30"/>
      <c r="AI665" s="65"/>
      <c r="AJ665" s="65"/>
      <c r="AK665" s="65"/>
      <c r="AL665" s="65"/>
      <c r="AM665" s="65"/>
      <c r="AN665" s="65"/>
      <c r="AO665" s="65"/>
    </row>
    <row r="666">
      <c r="A666" s="30"/>
      <c r="B666" s="65"/>
      <c r="C666" s="65"/>
      <c r="D666" s="65"/>
      <c r="E666" s="30"/>
      <c r="F666" s="65"/>
      <c r="G666" s="65"/>
      <c r="H666" s="65"/>
      <c r="I666" s="30"/>
      <c r="J666" s="65"/>
      <c r="K666" s="65"/>
      <c r="L666" s="65"/>
      <c r="M666" s="30"/>
      <c r="N666" s="65"/>
      <c r="O666" s="65"/>
      <c r="P666" s="65"/>
      <c r="Q666" s="30"/>
      <c r="R666" s="65"/>
      <c r="S666" s="65"/>
      <c r="T666" s="65"/>
      <c r="U666" s="30"/>
      <c r="V666" s="65"/>
      <c r="W666" s="65"/>
      <c r="X666" s="65"/>
      <c r="Y666" s="30"/>
      <c r="Z666" s="65"/>
      <c r="AA666" s="65"/>
      <c r="AB666" s="65"/>
      <c r="AC666" s="30"/>
      <c r="AD666" s="65"/>
      <c r="AE666" s="65"/>
      <c r="AF666" s="65"/>
      <c r="AG666" s="65"/>
      <c r="AH666" s="30"/>
      <c r="AI666" s="65"/>
      <c r="AJ666" s="65"/>
      <c r="AK666" s="65"/>
      <c r="AL666" s="65"/>
      <c r="AM666" s="65"/>
      <c r="AN666" s="65"/>
      <c r="AO666" s="65"/>
    </row>
    <row r="667">
      <c r="A667" s="30"/>
      <c r="B667" s="65"/>
      <c r="C667" s="65"/>
      <c r="D667" s="65"/>
      <c r="E667" s="30"/>
      <c r="F667" s="65"/>
      <c r="G667" s="65"/>
      <c r="H667" s="65"/>
      <c r="I667" s="30"/>
      <c r="J667" s="65"/>
      <c r="K667" s="65"/>
      <c r="L667" s="65"/>
      <c r="M667" s="30"/>
      <c r="N667" s="65"/>
      <c r="O667" s="65"/>
      <c r="P667" s="65"/>
      <c r="Q667" s="30"/>
      <c r="R667" s="65"/>
      <c r="S667" s="65"/>
      <c r="T667" s="65"/>
      <c r="U667" s="30"/>
      <c r="V667" s="65"/>
      <c r="W667" s="65"/>
      <c r="X667" s="65"/>
      <c r="Y667" s="30"/>
      <c r="Z667" s="65"/>
      <c r="AA667" s="65"/>
      <c r="AB667" s="65"/>
      <c r="AC667" s="30"/>
      <c r="AD667" s="65"/>
      <c r="AE667" s="65"/>
      <c r="AF667" s="65"/>
      <c r="AG667" s="65"/>
      <c r="AH667" s="30"/>
      <c r="AI667" s="65"/>
      <c r="AJ667" s="65"/>
      <c r="AK667" s="65"/>
      <c r="AL667" s="65"/>
      <c r="AM667" s="65"/>
      <c r="AN667" s="65"/>
      <c r="AO667" s="65"/>
    </row>
    <row r="668">
      <c r="A668" s="30"/>
      <c r="B668" s="65"/>
      <c r="C668" s="65"/>
      <c r="D668" s="65"/>
      <c r="E668" s="30"/>
      <c r="F668" s="65"/>
      <c r="G668" s="65"/>
      <c r="H668" s="65"/>
      <c r="I668" s="30"/>
      <c r="J668" s="65"/>
      <c r="K668" s="65"/>
      <c r="L668" s="65"/>
      <c r="M668" s="30"/>
      <c r="N668" s="65"/>
      <c r="O668" s="65"/>
      <c r="P668" s="65"/>
      <c r="Q668" s="30"/>
      <c r="R668" s="65"/>
      <c r="S668" s="65"/>
      <c r="T668" s="65"/>
      <c r="U668" s="30"/>
      <c r="V668" s="65"/>
      <c r="W668" s="65"/>
      <c r="X668" s="65"/>
      <c r="Y668" s="30"/>
      <c r="Z668" s="65"/>
      <c r="AA668" s="65"/>
      <c r="AB668" s="65"/>
      <c r="AC668" s="30"/>
      <c r="AD668" s="65"/>
      <c r="AE668" s="65"/>
      <c r="AF668" s="65"/>
      <c r="AG668" s="65"/>
      <c r="AH668" s="30"/>
      <c r="AI668" s="65"/>
      <c r="AJ668" s="65"/>
      <c r="AK668" s="65"/>
      <c r="AL668" s="65"/>
      <c r="AM668" s="65"/>
      <c r="AN668" s="65"/>
      <c r="AO668" s="65"/>
    </row>
    <row r="669">
      <c r="A669" s="30"/>
      <c r="B669" s="65"/>
      <c r="C669" s="65"/>
      <c r="D669" s="65"/>
      <c r="E669" s="30"/>
      <c r="F669" s="65"/>
      <c r="G669" s="65"/>
      <c r="H669" s="65"/>
      <c r="I669" s="30"/>
      <c r="J669" s="65"/>
      <c r="K669" s="65"/>
      <c r="L669" s="65"/>
      <c r="M669" s="30"/>
      <c r="N669" s="65"/>
      <c r="O669" s="65"/>
      <c r="P669" s="65"/>
      <c r="Q669" s="30"/>
      <c r="R669" s="65"/>
      <c r="S669" s="65"/>
      <c r="T669" s="65"/>
      <c r="U669" s="30"/>
      <c r="V669" s="65"/>
      <c r="W669" s="65"/>
      <c r="X669" s="65"/>
      <c r="Y669" s="30"/>
      <c r="Z669" s="65"/>
      <c r="AA669" s="65"/>
      <c r="AB669" s="65"/>
      <c r="AC669" s="30"/>
      <c r="AD669" s="65"/>
      <c r="AE669" s="65"/>
      <c r="AF669" s="65"/>
      <c r="AG669" s="65"/>
      <c r="AH669" s="30"/>
      <c r="AI669" s="65"/>
      <c r="AJ669" s="65"/>
      <c r="AK669" s="65"/>
      <c r="AL669" s="65"/>
      <c r="AM669" s="65"/>
      <c r="AN669" s="65"/>
      <c r="AO669" s="65"/>
    </row>
    <row r="670">
      <c r="A670" s="30"/>
      <c r="B670" s="65"/>
      <c r="C670" s="65"/>
      <c r="D670" s="65"/>
      <c r="E670" s="30"/>
      <c r="F670" s="65"/>
      <c r="G670" s="65"/>
      <c r="H670" s="65"/>
      <c r="I670" s="30"/>
      <c r="J670" s="65"/>
      <c r="K670" s="65"/>
      <c r="L670" s="65"/>
      <c r="M670" s="30"/>
      <c r="N670" s="65"/>
      <c r="O670" s="65"/>
      <c r="P670" s="65"/>
      <c r="Q670" s="30"/>
      <c r="R670" s="65"/>
      <c r="S670" s="65"/>
      <c r="T670" s="65"/>
      <c r="U670" s="30"/>
      <c r="V670" s="65"/>
      <c r="W670" s="65"/>
      <c r="X670" s="65"/>
      <c r="Y670" s="30"/>
      <c r="Z670" s="65"/>
      <c r="AA670" s="65"/>
      <c r="AB670" s="65"/>
      <c r="AC670" s="30"/>
      <c r="AD670" s="65"/>
      <c r="AE670" s="65"/>
      <c r="AF670" s="65"/>
      <c r="AG670" s="65"/>
      <c r="AH670" s="30"/>
      <c r="AI670" s="65"/>
      <c r="AJ670" s="65"/>
      <c r="AK670" s="65"/>
      <c r="AL670" s="65"/>
      <c r="AM670" s="65"/>
      <c r="AN670" s="65"/>
      <c r="AO670" s="65"/>
    </row>
    <row r="671">
      <c r="A671" s="30"/>
      <c r="B671" s="65"/>
      <c r="C671" s="65"/>
      <c r="D671" s="65"/>
      <c r="E671" s="30"/>
      <c r="F671" s="65"/>
      <c r="G671" s="65"/>
      <c r="H671" s="65"/>
      <c r="I671" s="30"/>
      <c r="J671" s="65"/>
      <c r="K671" s="65"/>
      <c r="L671" s="65"/>
      <c r="M671" s="30"/>
      <c r="N671" s="65"/>
      <c r="O671" s="65"/>
      <c r="P671" s="65"/>
      <c r="Q671" s="30"/>
      <c r="R671" s="65"/>
      <c r="S671" s="65"/>
      <c r="T671" s="65"/>
      <c r="U671" s="30"/>
      <c r="V671" s="65"/>
      <c r="W671" s="65"/>
      <c r="X671" s="65"/>
      <c r="Y671" s="30"/>
      <c r="Z671" s="65"/>
      <c r="AA671" s="65"/>
      <c r="AB671" s="65"/>
      <c r="AC671" s="30"/>
      <c r="AD671" s="65"/>
      <c r="AE671" s="65"/>
      <c r="AF671" s="65"/>
      <c r="AG671" s="65"/>
      <c r="AH671" s="30"/>
      <c r="AI671" s="65"/>
      <c r="AJ671" s="65"/>
      <c r="AK671" s="65"/>
      <c r="AL671" s="65"/>
      <c r="AM671" s="65"/>
      <c r="AN671" s="65"/>
      <c r="AO671" s="65"/>
    </row>
    <row r="672">
      <c r="A672" s="30"/>
      <c r="B672" s="65"/>
      <c r="C672" s="65"/>
      <c r="D672" s="65"/>
      <c r="E672" s="30"/>
      <c r="F672" s="65"/>
      <c r="G672" s="65"/>
      <c r="H672" s="65"/>
      <c r="I672" s="30"/>
      <c r="J672" s="65"/>
      <c r="K672" s="65"/>
      <c r="L672" s="65"/>
      <c r="M672" s="30"/>
      <c r="N672" s="65"/>
      <c r="O672" s="65"/>
      <c r="P672" s="65"/>
      <c r="Q672" s="30"/>
      <c r="R672" s="65"/>
      <c r="S672" s="65"/>
      <c r="T672" s="65"/>
      <c r="U672" s="30"/>
      <c r="V672" s="65"/>
      <c r="W672" s="65"/>
      <c r="X672" s="65"/>
      <c r="Y672" s="30"/>
      <c r="Z672" s="65"/>
      <c r="AA672" s="65"/>
      <c r="AB672" s="65"/>
      <c r="AC672" s="30"/>
      <c r="AD672" s="65"/>
      <c r="AE672" s="65"/>
      <c r="AF672" s="65"/>
      <c r="AG672" s="65"/>
      <c r="AH672" s="30"/>
      <c r="AI672" s="65"/>
      <c r="AJ672" s="65"/>
      <c r="AK672" s="65"/>
      <c r="AL672" s="65"/>
      <c r="AM672" s="65"/>
      <c r="AN672" s="65"/>
      <c r="AO672" s="65"/>
    </row>
    <row r="673">
      <c r="A673" s="30"/>
      <c r="B673" s="65"/>
      <c r="C673" s="65"/>
      <c r="D673" s="65"/>
      <c r="E673" s="30"/>
      <c r="F673" s="65"/>
      <c r="G673" s="65"/>
      <c r="H673" s="65"/>
      <c r="I673" s="30"/>
      <c r="J673" s="65"/>
      <c r="K673" s="65"/>
      <c r="L673" s="65"/>
      <c r="M673" s="30"/>
      <c r="N673" s="65"/>
      <c r="O673" s="65"/>
      <c r="P673" s="65"/>
      <c r="Q673" s="30"/>
      <c r="R673" s="65"/>
      <c r="S673" s="65"/>
      <c r="T673" s="65"/>
      <c r="U673" s="30"/>
      <c r="V673" s="65"/>
      <c r="W673" s="65"/>
      <c r="X673" s="65"/>
      <c r="Y673" s="30"/>
      <c r="Z673" s="65"/>
      <c r="AA673" s="65"/>
      <c r="AB673" s="65"/>
      <c r="AC673" s="30"/>
      <c r="AD673" s="65"/>
      <c r="AE673" s="65"/>
      <c r="AF673" s="65"/>
      <c r="AG673" s="65"/>
      <c r="AH673" s="30"/>
      <c r="AI673" s="65"/>
      <c r="AJ673" s="65"/>
      <c r="AK673" s="65"/>
      <c r="AL673" s="65"/>
      <c r="AM673" s="65"/>
      <c r="AN673" s="65"/>
      <c r="AO673" s="65"/>
    </row>
    <row r="674">
      <c r="A674" s="30"/>
      <c r="B674" s="65"/>
      <c r="C674" s="65"/>
      <c r="D674" s="65"/>
      <c r="E674" s="30"/>
      <c r="F674" s="65"/>
      <c r="G674" s="65"/>
      <c r="H674" s="65"/>
      <c r="I674" s="30"/>
      <c r="J674" s="65"/>
      <c r="K674" s="65"/>
      <c r="L674" s="65"/>
      <c r="M674" s="30"/>
      <c r="N674" s="65"/>
      <c r="O674" s="65"/>
      <c r="P674" s="65"/>
      <c r="Q674" s="30"/>
      <c r="R674" s="65"/>
      <c r="S674" s="65"/>
      <c r="T674" s="65"/>
      <c r="U674" s="30"/>
      <c r="V674" s="65"/>
      <c r="W674" s="65"/>
      <c r="X674" s="65"/>
      <c r="Y674" s="30"/>
      <c r="Z674" s="65"/>
      <c r="AA674" s="65"/>
      <c r="AB674" s="65"/>
      <c r="AC674" s="30"/>
      <c r="AD674" s="65"/>
      <c r="AE674" s="65"/>
      <c r="AF674" s="65"/>
      <c r="AG674" s="65"/>
      <c r="AH674" s="30"/>
      <c r="AI674" s="65"/>
      <c r="AJ674" s="65"/>
      <c r="AK674" s="65"/>
      <c r="AL674" s="65"/>
      <c r="AM674" s="65"/>
      <c r="AN674" s="65"/>
      <c r="AO674" s="65"/>
    </row>
    <row r="675">
      <c r="A675" s="30"/>
      <c r="B675" s="65"/>
      <c r="C675" s="65"/>
      <c r="D675" s="65"/>
      <c r="E675" s="30"/>
      <c r="F675" s="65"/>
      <c r="G675" s="65"/>
      <c r="H675" s="65"/>
      <c r="I675" s="30"/>
      <c r="J675" s="65"/>
      <c r="K675" s="65"/>
      <c r="L675" s="65"/>
      <c r="M675" s="30"/>
      <c r="N675" s="65"/>
      <c r="O675" s="65"/>
      <c r="P675" s="65"/>
      <c r="Q675" s="30"/>
      <c r="R675" s="65"/>
      <c r="S675" s="65"/>
      <c r="T675" s="65"/>
      <c r="U675" s="30"/>
      <c r="V675" s="65"/>
      <c r="W675" s="65"/>
      <c r="X675" s="65"/>
      <c r="Y675" s="30"/>
      <c r="Z675" s="65"/>
      <c r="AA675" s="65"/>
      <c r="AB675" s="65"/>
      <c r="AC675" s="30"/>
      <c r="AD675" s="65"/>
      <c r="AE675" s="65"/>
      <c r="AF675" s="65"/>
      <c r="AG675" s="65"/>
      <c r="AH675" s="30"/>
      <c r="AI675" s="65"/>
      <c r="AJ675" s="65"/>
      <c r="AK675" s="65"/>
      <c r="AL675" s="65"/>
      <c r="AM675" s="65"/>
      <c r="AN675" s="65"/>
      <c r="AO675" s="65"/>
    </row>
    <row r="676">
      <c r="A676" s="30"/>
      <c r="B676" s="65"/>
      <c r="C676" s="65"/>
      <c r="D676" s="65"/>
      <c r="E676" s="30"/>
      <c r="F676" s="65"/>
      <c r="G676" s="65"/>
      <c r="H676" s="65"/>
      <c r="I676" s="30"/>
      <c r="J676" s="65"/>
      <c r="K676" s="65"/>
      <c r="L676" s="65"/>
      <c r="M676" s="30"/>
      <c r="N676" s="65"/>
      <c r="O676" s="65"/>
      <c r="P676" s="65"/>
      <c r="Q676" s="30"/>
      <c r="R676" s="65"/>
      <c r="S676" s="65"/>
      <c r="T676" s="65"/>
      <c r="U676" s="30"/>
      <c r="V676" s="65"/>
      <c r="W676" s="65"/>
      <c r="X676" s="65"/>
      <c r="Y676" s="30"/>
      <c r="Z676" s="65"/>
      <c r="AA676" s="65"/>
      <c r="AB676" s="65"/>
      <c r="AC676" s="30"/>
      <c r="AD676" s="65"/>
      <c r="AE676" s="65"/>
      <c r="AF676" s="65"/>
      <c r="AG676" s="65"/>
      <c r="AH676" s="30"/>
      <c r="AI676" s="65"/>
      <c r="AJ676" s="65"/>
      <c r="AK676" s="65"/>
      <c r="AL676" s="65"/>
      <c r="AM676" s="65"/>
      <c r="AN676" s="65"/>
      <c r="AO676" s="65"/>
    </row>
    <row r="677">
      <c r="A677" s="30"/>
      <c r="B677" s="65"/>
      <c r="C677" s="65"/>
      <c r="D677" s="65"/>
      <c r="E677" s="30"/>
      <c r="F677" s="65"/>
      <c r="G677" s="65"/>
      <c r="H677" s="65"/>
      <c r="I677" s="30"/>
      <c r="J677" s="65"/>
      <c r="K677" s="65"/>
      <c r="L677" s="65"/>
      <c r="M677" s="30"/>
      <c r="N677" s="65"/>
      <c r="O677" s="65"/>
      <c r="P677" s="65"/>
      <c r="Q677" s="30"/>
      <c r="R677" s="65"/>
      <c r="S677" s="65"/>
      <c r="T677" s="65"/>
      <c r="U677" s="30"/>
      <c r="V677" s="65"/>
      <c r="W677" s="65"/>
      <c r="X677" s="65"/>
      <c r="Y677" s="30"/>
      <c r="Z677" s="65"/>
      <c r="AA677" s="65"/>
      <c r="AB677" s="65"/>
      <c r="AC677" s="30"/>
      <c r="AD677" s="65"/>
      <c r="AE677" s="65"/>
      <c r="AF677" s="65"/>
      <c r="AG677" s="65"/>
      <c r="AH677" s="30"/>
      <c r="AI677" s="65"/>
      <c r="AJ677" s="65"/>
      <c r="AK677" s="65"/>
      <c r="AL677" s="65"/>
      <c r="AM677" s="65"/>
      <c r="AN677" s="65"/>
      <c r="AO677" s="65"/>
    </row>
    <row r="678">
      <c r="A678" s="30"/>
      <c r="B678" s="65"/>
      <c r="C678" s="65"/>
      <c r="D678" s="65"/>
      <c r="E678" s="30"/>
      <c r="F678" s="65"/>
      <c r="G678" s="65"/>
      <c r="H678" s="65"/>
      <c r="I678" s="30"/>
      <c r="J678" s="65"/>
      <c r="K678" s="65"/>
      <c r="L678" s="65"/>
      <c r="M678" s="30"/>
      <c r="N678" s="65"/>
      <c r="O678" s="65"/>
      <c r="P678" s="65"/>
      <c r="Q678" s="30"/>
      <c r="R678" s="65"/>
      <c r="S678" s="65"/>
      <c r="T678" s="65"/>
      <c r="U678" s="30"/>
      <c r="V678" s="65"/>
      <c r="W678" s="65"/>
      <c r="X678" s="65"/>
      <c r="Y678" s="30"/>
      <c r="Z678" s="65"/>
      <c r="AA678" s="65"/>
      <c r="AB678" s="65"/>
      <c r="AC678" s="30"/>
      <c r="AD678" s="65"/>
      <c r="AE678" s="65"/>
      <c r="AF678" s="65"/>
      <c r="AG678" s="65"/>
      <c r="AH678" s="30"/>
      <c r="AI678" s="65"/>
      <c r="AJ678" s="65"/>
      <c r="AK678" s="65"/>
      <c r="AL678" s="65"/>
      <c r="AM678" s="65"/>
      <c r="AN678" s="65"/>
      <c r="AO678" s="65"/>
    </row>
    <row r="679">
      <c r="A679" s="30"/>
      <c r="B679" s="65"/>
      <c r="C679" s="65"/>
      <c r="D679" s="65"/>
      <c r="E679" s="30"/>
      <c r="F679" s="65"/>
      <c r="G679" s="65"/>
      <c r="H679" s="65"/>
      <c r="I679" s="30"/>
      <c r="J679" s="65"/>
      <c r="K679" s="65"/>
      <c r="L679" s="65"/>
      <c r="M679" s="30"/>
      <c r="N679" s="65"/>
      <c r="O679" s="65"/>
      <c r="P679" s="65"/>
      <c r="Q679" s="30"/>
      <c r="R679" s="65"/>
      <c r="S679" s="65"/>
      <c r="T679" s="65"/>
      <c r="U679" s="30"/>
      <c r="V679" s="65"/>
      <c r="W679" s="65"/>
      <c r="X679" s="65"/>
      <c r="Y679" s="30"/>
      <c r="Z679" s="65"/>
      <c r="AA679" s="65"/>
      <c r="AB679" s="65"/>
      <c r="AC679" s="30"/>
      <c r="AD679" s="65"/>
      <c r="AE679" s="65"/>
      <c r="AF679" s="65"/>
      <c r="AG679" s="65"/>
      <c r="AH679" s="30"/>
      <c r="AI679" s="65"/>
      <c r="AJ679" s="65"/>
      <c r="AK679" s="65"/>
      <c r="AL679" s="65"/>
      <c r="AM679" s="65"/>
      <c r="AN679" s="65"/>
      <c r="AO679" s="65"/>
    </row>
    <row r="680">
      <c r="A680" s="30"/>
      <c r="B680" s="65"/>
      <c r="C680" s="65"/>
      <c r="D680" s="65"/>
      <c r="E680" s="30"/>
      <c r="F680" s="65"/>
      <c r="G680" s="65"/>
      <c r="H680" s="65"/>
      <c r="I680" s="30"/>
      <c r="J680" s="65"/>
      <c r="K680" s="65"/>
      <c r="L680" s="65"/>
      <c r="M680" s="30"/>
      <c r="N680" s="65"/>
      <c r="O680" s="65"/>
      <c r="P680" s="65"/>
      <c r="Q680" s="30"/>
      <c r="R680" s="65"/>
      <c r="S680" s="65"/>
      <c r="T680" s="65"/>
      <c r="U680" s="30"/>
      <c r="V680" s="65"/>
      <c r="W680" s="65"/>
      <c r="X680" s="65"/>
      <c r="Y680" s="30"/>
      <c r="Z680" s="65"/>
      <c r="AA680" s="65"/>
      <c r="AB680" s="65"/>
      <c r="AC680" s="30"/>
      <c r="AD680" s="65"/>
      <c r="AE680" s="65"/>
      <c r="AF680" s="65"/>
      <c r="AG680" s="65"/>
      <c r="AH680" s="30"/>
      <c r="AI680" s="65"/>
      <c r="AJ680" s="65"/>
      <c r="AK680" s="65"/>
      <c r="AL680" s="65"/>
      <c r="AM680" s="65"/>
      <c r="AN680" s="65"/>
      <c r="AO680" s="65"/>
    </row>
    <row r="681">
      <c r="A681" s="30"/>
      <c r="B681" s="65"/>
      <c r="C681" s="65"/>
      <c r="D681" s="65"/>
      <c r="E681" s="30"/>
      <c r="F681" s="65"/>
      <c r="G681" s="65"/>
      <c r="H681" s="65"/>
      <c r="I681" s="30"/>
      <c r="J681" s="65"/>
      <c r="K681" s="65"/>
      <c r="L681" s="65"/>
      <c r="M681" s="30"/>
      <c r="N681" s="65"/>
      <c r="O681" s="65"/>
      <c r="P681" s="65"/>
      <c r="Q681" s="30"/>
      <c r="R681" s="65"/>
      <c r="S681" s="65"/>
      <c r="T681" s="65"/>
      <c r="U681" s="30"/>
      <c r="V681" s="65"/>
      <c r="W681" s="65"/>
      <c r="X681" s="65"/>
      <c r="Y681" s="30"/>
      <c r="Z681" s="65"/>
      <c r="AA681" s="65"/>
      <c r="AB681" s="65"/>
      <c r="AC681" s="30"/>
      <c r="AD681" s="65"/>
      <c r="AE681" s="65"/>
      <c r="AF681" s="65"/>
      <c r="AG681" s="65"/>
      <c r="AH681" s="30"/>
      <c r="AI681" s="65"/>
      <c r="AJ681" s="65"/>
      <c r="AK681" s="65"/>
      <c r="AL681" s="65"/>
      <c r="AM681" s="65"/>
      <c r="AN681" s="65"/>
      <c r="AO681" s="65"/>
    </row>
    <row r="682">
      <c r="A682" s="30"/>
      <c r="B682" s="65"/>
      <c r="C682" s="65"/>
      <c r="D682" s="65"/>
      <c r="E682" s="30"/>
      <c r="F682" s="65"/>
      <c r="G682" s="65"/>
      <c r="H682" s="65"/>
      <c r="I682" s="30"/>
      <c r="J682" s="65"/>
      <c r="K682" s="65"/>
      <c r="L682" s="65"/>
      <c r="M682" s="30"/>
      <c r="N682" s="65"/>
      <c r="O682" s="65"/>
      <c r="P682" s="65"/>
      <c r="Q682" s="30"/>
      <c r="R682" s="65"/>
      <c r="S682" s="65"/>
      <c r="T682" s="65"/>
      <c r="U682" s="30"/>
      <c r="V682" s="65"/>
      <c r="W682" s="65"/>
      <c r="X682" s="65"/>
      <c r="Y682" s="30"/>
      <c r="Z682" s="65"/>
      <c r="AA682" s="65"/>
      <c r="AB682" s="65"/>
      <c r="AC682" s="30"/>
      <c r="AD682" s="65"/>
      <c r="AE682" s="65"/>
      <c r="AF682" s="65"/>
      <c r="AG682" s="65"/>
      <c r="AH682" s="30"/>
      <c r="AI682" s="65"/>
      <c r="AJ682" s="65"/>
      <c r="AK682" s="65"/>
      <c r="AL682" s="65"/>
      <c r="AM682" s="65"/>
      <c r="AN682" s="65"/>
      <c r="AO682" s="65"/>
    </row>
    <row r="683">
      <c r="A683" s="30"/>
      <c r="B683" s="65"/>
      <c r="C683" s="65"/>
      <c r="D683" s="65"/>
      <c r="E683" s="30"/>
      <c r="F683" s="65"/>
      <c r="G683" s="65"/>
      <c r="H683" s="65"/>
      <c r="I683" s="30"/>
      <c r="J683" s="65"/>
      <c r="K683" s="65"/>
      <c r="L683" s="65"/>
      <c r="M683" s="30"/>
      <c r="N683" s="65"/>
      <c r="O683" s="65"/>
      <c r="P683" s="65"/>
      <c r="Q683" s="30"/>
      <c r="R683" s="65"/>
      <c r="S683" s="65"/>
      <c r="T683" s="65"/>
      <c r="U683" s="30"/>
      <c r="V683" s="65"/>
      <c r="W683" s="65"/>
      <c r="X683" s="65"/>
      <c r="Y683" s="30"/>
      <c r="Z683" s="65"/>
      <c r="AA683" s="65"/>
      <c r="AB683" s="65"/>
      <c r="AC683" s="30"/>
      <c r="AD683" s="65"/>
      <c r="AE683" s="65"/>
      <c r="AF683" s="65"/>
      <c r="AG683" s="65"/>
      <c r="AH683" s="30"/>
      <c r="AI683" s="65"/>
      <c r="AJ683" s="65"/>
      <c r="AK683" s="65"/>
      <c r="AL683" s="65"/>
      <c r="AM683" s="65"/>
      <c r="AN683" s="65"/>
      <c r="AO683" s="65"/>
    </row>
    <row r="684">
      <c r="A684" s="30"/>
      <c r="B684" s="65"/>
      <c r="C684" s="65"/>
      <c r="D684" s="65"/>
      <c r="E684" s="30"/>
      <c r="F684" s="65"/>
      <c r="G684" s="65"/>
      <c r="H684" s="65"/>
      <c r="I684" s="30"/>
      <c r="J684" s="65"/>
      <c r="K684" s="65"/>
      <c r="L684" s="65"/>
      <c r="M684" s="30"/>
      <c r="N684" s="65"/>
      <c r="O684" s="65"/>
      <c r="P684" s="65"/>
      <c r="Q684" s="30"/>
      <c r="R684" s="65"/>
      <c r="S684" s="65"/>
      <c r="T684" s="65"/>
      <c r="U684" s="30"/>
      <c r="V684" s="65"/>
      <c r="W684" s="65"/>
      <c r="X684" s="65"/>
      <c r="Y684" s="30"/>
      <c r="Z684" s="65"/>
      <c r="AA684" s="65"/>
      <c r="AB684" s="65"/>
      <c r="AC684" s="30"/>
      <c r="AD684" s="65"/>
      <c r="AE684" s="65"/>
      <c r="AF684" s="65"/>
      <c r="AG684" s="65"/>
      <c r="AH684" s="30"/>
      <c r="AI684" s="65"/>
      <c r="AJ684" s="65"/>
      <c r="AK684" s="65"/>
      <c r="AL684" s="65"/>
      <c r="AM684" s="65"/>
      <c r="AN684" s="65"/>
      <c r="AO684" s="65"/>
    </row>
    <row r="685">
      <c r="A685" s="30"/>
      <c r="B685" s="65"/>
      <c r="C685" s="65"/>
      <c r="D685" s="65"/>
      <c r="E685" s="30"/>
      <c r="F685" s="65"/>
      <c r="G685" s="65"/>
      <c r="H685" s="65"/>
      <c r="I685" s="30"/>
      <c r="J685" s="65"/>
      <c r="K685" s="65"/>
      <c r="L685" s="65"/>
      <c r="M685" s="30"/>
      <c r="N685" s="65"/>
      <c r="O685" s="65"/>
      <c r="P685" s="65"/>
      <c r="Q685" s="30"/>
      <c r="R685" s="65"/>
      <c r="S685" s="65"/>
      <c r="T685" s="65"/>
      <c r="U685" s="30"/>
      <c r="V685" s="65"/>
      <c r="W685" s="65"/>
      <c r="X685" s="65"/>
      <c r="Y685" s="30"/>
      <c r="Z685" s="65"/>
      <c r="AA685" s="65"/>
      <c r="AB685" s="65"/>
      <c r="AC685" s="30"/>
      <c r="AD685" s="65"/>
      <c r="AE685" s="65"/>
      <c r="AF685" s="65"/>
      <c r="AG685" s="65"/>
      <c r="AH685" s="30"/>
      <c r="AI685" s="65"/>
      <c r="AJ685" s="65"/>
      <c r="AK685" s="65"/>
      <c r="AL685" s="65"/>
      <c r="AM685" s="65"/>
      <c r="AN685" s="65"/>
      <c r="AO685" s="65"/>
    </row>
    <row r="686">
      <c r="A686" s="30"/>
      <c r="B686" s="65"/>
      <c r="C686" s="65"/>
      <c r="D686" s="65"/>
      <c r="E686" s="30"/>
      <c r="F686" s="65"/>
      <c r="G686" s="65"/>
      <c r="H686" s="65"/>
      <c r="I686" s="30"/>
      <c r="J686" s="65"/>
      <c r="K686" s="65"/>
      <c r="L686" s="65"/>
      <c r="M686" s="30"/>
      <c r="N686" s="65"/>
      <c r="O686" s="65"/>
      <c r="P686" s="65"/>
      <c r="Q686" s="30"/>
      <c r="R686" s="65"/>
      <c r="S686" s="65"/>
      <c r="T686" s="65"/>
      <c r="U686" s="30"/>
      <c r="V686" s="65"/>
      <c r="W686" s="65"/>
      <c r="X686" s="65"/>
      <c r="Y686" s="30"/>
      <c r="Z686" s="65"/>
      <c r="AA686" s="65"/>
      <c r="AB686" s="65"/>
      <c r="AC686" s="30"/>
      <c r="AD686" s="65"/>
      <c r="AE686" s="65"/>
      <c r="AF686" s="65"/>
      <c r="AG686" s="65"/>
      <c r="AH686" s="30"/>
      <c r="AI686" s="65"/>
      <c r="AJ686" s="65"/>
      <c r="AK686" s="65"/>
      <c r="AL686" s="65"/>
      <c r="AM686" s="65"/>
      <c r="AN686" s="65"/>
      <c r="AO686" s="65"/>
    </row>
    <row r="687">
      <c r="A687" s="30"/>
      <c r="B687" s="65"/>
      <c r="C687" s="65"/>
      <c r="D687" s="65"/>
      <c r="E687" s="30"/>
      <c r="F687" s="65"/>
      <c r="G687" s="65"/>
      <c r="H687" s="65"/>
      <c r="I687" s="30"/>
      <c r="J687" s="65"/>
      <c r="K687" s="65"/>
      <c r="L687" s="65"/>
      <c r="M687" s="30"/>
      <c r="N687" s="65"/>
      <c r="O687" s="65"/>
      <c r="P687" s="65"/>
      <c r="Q687" s="30"/>
      <c r="R687" s="65"/>
      <c r="S687" s="65"/>
      <c r="T687" s="65"/>
      <c r="U687" s="30"/>
      <c r="V687" s="65"/>
      <c r="W687" s="65"/>
      <c r="X687" s="65"/>
      <c r="Y687" s="30"/>
      <c r="Z687" s="65"/>
      <c r="AA687" s="65"/>
      <c r="AB687" s="65"/>
      <c r="AC687" s="30"/>
      <c r="AD687" s="65"/>
      <c r="AE687" s="65"/>
      <c r="AF687" s="65"/>
      <c r="AG687" s="65"/>
      <c r="AH687" s="30"/>
      <c r="AI687" s="65"/>
      <c r="AJ687" s="65"/>
      <c r="AK687" s="65"/>
      <c r="AL687" s="65"/>
      <c r="AM687" s="65"/>
      <c r="AN687" s="65"/>
      <c r="AO687" s="65"/>
    </row>
    <row r="688">
      <c r="A688" s="30"/>
      <c r="B688" s="65"/>
      <c r="C688" s="65"/>
      <c r="D688" s="65"/>
      <c r="E688" s="30"/>
      <c r="F688" s="65"/>
      <c r="G688" s="65"/>
      <c r="H688" s="65"/>
      <c r="I688" s="30"/>
      <c r="J688" s="65"/>
      <c r="K688" s="65"/>
      <c r="L688" s="65"/>
      <c r="M688" s="30"/>
      <c r="N688" s="65"/>
      <c r="O688" s="65"/>
      <c r="P688" s="65"/>
      <c r="Q688" s="30"/>
      <c r="R688" s="65"/>
      <c r="S688" s="65"/>
      <c r="T688" s="65"/>
      <c r="U688" s="30"/>
      <c r="V688" s="65"/>
      <c r="W688" s="65"/>
      <c r="X688" s="65"/>
      <c r="Y688" s="30"/>
      <c r="Z688" s="65"/>
      <c r="AA688" s="65"/>
      <c r="AB688" s="65"/>
      <c r="AC688" s="30"/>
      <c r="AD688" s="65"/>
      <c r="AE688" s="65"/>
      <c r="AF688" s="65"/>
      <c r="AG688" s="65"/>
      <c r="AH688" s="30"/>
      <c r="AI688" s="65"/>
      <c r="AJ688" s="65"/>
      <c r="AK688" s="65"/>
      <c r="AL688" s="65"/>
      <c r="AM688" s="65"/>
      <c r="AN688" s="65"/>
      <c r="AO688" s="65"/>
    </row>
    <row r="689">
      <c r="A689" s="30"/>
      <c r="B689" s="65"/>
      <c r="C689" s="65"/>
      <c r="D689" s="65"/>
      <c r="E689" s="30"/>
      <c r="F689" s="65"/>
      <c r="G689" s="65"/>
      <c r="H689" s="65"/>
      <c r="I689" s="30"/>
      <c r="J689" s="65"/>
      <c r="K689" s="65"/>
      <c r="L689" s="65"/>
      <c r="M689" s="30"/>
      <c r="N689" s="65"/>
      <c r="O689" s="65"/>
      <c r="P689" s="65"/>
      <c r="Q689" s="30"/>
      <c r="R689" s="65"/>
      <c r="S689" s="65"/>
      <c r="T689" s="65"/>
      <c r="U689" s="30"/>
      <c r="V689" s="65"/>
      <c r="W689" s="65"/>
      <c r="X689" s="65"/>
      <c r="Y689" s="30"/>
      <c r="Z689" s="65"/>
      <c r="AA689" s="65"/>
      <c r="AB689" s="65"/>
      <c r="AC689" s="30"/>
      <c r="AD689" s="65"/>
      <c r="AE689" s="65"/>
      <c r="AF689" s="65"/>
      <c r="AG689" s="65"/>
      <c r="AH689" s="30"/>
      <c r="AI689" s="65"/>
      <c r="AJ689" s="65"/>
      <c r="AK689" s="65"/>
      <c r="AL689" s="65"/>
      <c r="AM689" s="65"/>
      <c r="AN689" s="65"/>
      <c r="AO689" s="65"/>
    </row>
    <row r="690">
      <c r="A690" s="30"/>
      <c r="B690" s="65"/>
      <c r="C690" s="65"/>
      <c r="D690" s="65"/>
      <c r="E690" s="30"/>
      <c r="F690" s="65"/>
      <c r="G690" s="65"/>
      <c r="H690" s="65"/>
      <c r="I690" s="30"/>
      <c r="J690" s="65"/>
      <c r="K690" s="65"/>
      <c r="L690" s="65"/>
      <c r="M690" s="30"/>
      <c r="N690" s="65"/>
      <c r="O690" s="65"/>
      <c r="P690" s="65"/>
      <c r="Q690" s="30"/>
      <c r="R690" s="65"/>
      <c r="S690" s="65"/>
      <c r="T690" s="65"/>
      <c r="U690" s="30"/>
      <c r="V690" s="65"/>
      <c r="W690" s="65"/>
      <c r="X690" s="65"/>
      <c r="Y690" s="30"/>
      <c r="Z690" s="65"/>
      <c r="AA690" s="65"/>
      <c r="AB690" s="65"/>
      <c r="AC690" s="30"/>
      <c r="AD690" s="65"/>
      <c r="AE690" s="65"/>
      <c r="AF690" s="65"/>
      <c r="AG690" s="65"/>
      <c r="AH690" s="30"/>
      <c r="AI690" s="65"/>
      <c r="AJ690" s="65"/>
      <c r="AK690" s="65"/>
      <c r="AL690" s="65"/>
      <c r="AM690" s="65"/>
      <c r="AN690" s="65"/>
      <c r="AO690" s="65"/>
    </row>
    <row r="691">
      <c r="A691" s="30"/>
      <c r="B691" s="65"/>
      <c r="C691" s="65"/>
      <c r="D691" s="65"/>
      <c r="E691" s="30"/>
      <c r="F691" s="65"/>
      <c r="G691" s="65"/>
      <c r="H691" s="65"/>
      <c r="I691" s="30"/>
      <c r="J691" s="65"/>
      <c r="K691" s="65"/>
      <c r="L691" s="65"/>
      <c r="M691" s="30"/>
      <c r="N691" s="65"/>
      <c r="O691" s="65"/>
      <c r="P691" s="65"/>
      <c r="Q691" s="30"/>
      <c r="R691" s="65"/>
      <c r="S691" s="65"/>
      <c r="T691" s="65"/>
      <c r="U691" s="30"/>
      <c r="V691" s="65"/>
      <c r="W691" s="65"/>
      <c r="X691" s="65"/>
      <c r="Y691" s="30"/>
      <c r="Z691" s="65"/>
      <c r="AA691" s="65"/>
      <c r="AB691" s="65"/>
      <c r="AC691" s="30"/>
      <c r="AD691" s="65"/>
      <c r="AE691" s="65"/>
      <c r="AF691" s="65"/>
      <c r="AG691" s="65"/>
      <c r="AH691" s="30"/>
      <c r="AI691" s="65"/>
      <c r="AJ691" s="65"/>
      <c r="AK691" s="65"/>
      <c r="AL691" s="65"/>
      <c r="AM691" s="65"/>
      <c r="AN691" s="65"/>
      <c r="AO691" s="65"/>
    </row>
    <row r="692">
      <c r="A692" s="30"/>
      <c r="B692" s="65"/>
      <c r="C692" s="65"/>
      <c r="D692" s="65"/>
      <c r="E692" s="30"/>
      <c r="F692" s="65"/>
      <c r="G692" s="65"/>
      <c r="H692" s="65"/>
      <c r="I692" s="30"/>
      <c r="J692" s="65"/>
      <c r="K692" s="65"/>
      <c r="L692" s="65"/>
      <c r="M692" s="30"/>
      <c r="N692" s="65"/>
      <c r="O692" s="65"/>
      <c r="P692" s="65"/>
      <c r="Q692" s="30"/>
      <c r="R692" s="65"/>
      <c r="S692" s="65"/>
      <c r="T692" s="65"/>
      <c r="U692" s="30"/>
      <c r="V692" s="65"/>
      <c r="W692" s="65"/>
      <c r="X692" s="65"/>
      <c r="Y692" s="30"/>
      <c r="Z692" s="65"/>
      <c r="AA692" s="65"/>
      <c r="AB692" s="65"/>
      <c r="AC692" s="30"/>
      <c r="AD692" s="65"/>
      <c r="AE692" s="65"/>
      <c r="AF692" s="65"/>
      <c r="AG692" s="65"/>
      <c r="AH692" s="30"/>
      <c r="AI692" s="65"/>
      <c r="AJ692" s="65"/>
      <c r="AK692" s="65"/>
      <c r="AL692" s="65"/>
      <c r="AM692" s="65"/>
      <c r="AN692" s="65"/>
      <c r="AO692" s="65"/>
    </row>
    <row r="693">
      <c r="A693" s="30"/>
      <c r="B693" s="65"/>
      <c r="C693" s="65"/>
      <c r="D693" s="65"/>
      <c r="E693" s="30"/>
      <c r="F693" s="65"/>
      <c r="G693" s="65"/>
      <c r="H693" s="65"/>
      <c r="I693" s="30"/>
      <c r="J693" s="65"/>
      <c r="K693" s="65"/>
      <c r="L693" s="65"/>
      <c r="M693" s="30"/>
      <c r="N693" s="65"/>
      <c r="O693" s="65"/>
      <c r="P693" s="65"/>
      <c r="Q693" s="30"/>
      <c r="R693" s="65"/>
      <c r="S693" s="65"/>
      <c r="T693" s="65"/>
      <c r="U693" s="30"/>
      <c r="V693" s="65"/>
      <c r="W693" s="65"/>
      <c r="X693" s="65"/>
      <c r="Y693" s="30"/>
      <c r="Z693" s="65"/>
      <c r="AA693" s="65"/>
      <c r="AB693" s="65"/>
      <c r="AC693" s="30"/>
      <c r="AD693" s="65"/>
      <c r="AE693" s="65"/>
      <c r="AF693" s="65"/>
      <c r="AG693" s="65"/>
      <c r="AH693" s="30"/>
      <c r="AI693" s="65"/>
      <c r="AJ693" s="65"/>
      <c r="AK693" s="65"/>
      <c r="AL693" s="65"/>
      <c r="AM693" s="65"/>
      <c r="AN693" s="65"/>
      <c r="AO693" s="65"/>
    </row>
    <row r="694">
      <c r="A694" s="30"/>
      <c r="B694" s="65"/>
      <c r="C694" s="65"/>
      <c r="D694" s="65"/>
      <c r="E694" s="30"/>
      <c r="F694" s="65"/>
      <c r="G694" s="65"/>
      <c r="H694" s="65"/>
      <c r="I694" s="30"/>
      <c r="J694" s="65"/>
      <c r="K694" s="65"/>
      <c r="L694" s="65"/>
      <c r="M694" s="30"/>
      <c r="N694" s="65"/>
      <c r="O694" s="65"/>
      <c r="P694" s="65"/>
      <c r="Q694" s="30"/>
      <c r="R694" s="65"/>
      <c r="S694" s="65"/>
      <c r="T694" s="65"/>
      <c r="U694" s="30"/>
      <c r="V694" s="65"/>
      <c r="W694" s="65"/>
      <c r="X694" s="65"/>
      <c r="Y694" s="30"/>
      <c r="Z694" s="65"/>
      <c r="AA694" s="65"/>
      <c r="AB694" s="65"/>
      <c r="AC694" s="30"/>
      <c r="AD694" s="65"/>
      <c r="AE694" s="65"/>
      <c r="AF694" s="65"/>
      <c r="AG694" s="65"/>
      <c r="AH694" s="30"/>
      <c r="AI694" s="65"/>
      <c r="AJ694" s="65"/>
      <c r="AK694" s="65"/>
      <c r="AL694" s="65"/>
      <c r="AM694" s="65"/>
      <c r="AN694" s="65"/>
      <c r="AO694" s="65"/>
    </row>
    <row r="695">
      <c r="A695" s="30"/>
      <c r="B695" s="65"/>
      <c r="C695" s="65"/>
      <c r="D695" s="65"/>
      <c r="E695" s="30"/>
      <c r="F695" s="65"/>
      <c r="G695" s="65"/>
      <c r="H695" s="65"/>
      <c r="I695" s="30"/>
      <c r="J695" s="65"/>
      <c r="K695" s="65"/>
      <c r="L695" s="65"/>
      <c r="M695" s="30"/>
      <c r="N695" s="65"/>
      <c r="O695" s="65"/>
      <c r="P695" s="65"/>
      <c r="Q695" s="30"/>
      <c r="R695" s="65"/>
      <c r="S695" s="65"/>
      <c r="T695" s="65"/>
      <c r="U695" s="30"/>
      <c r="V695" s="65"/>
      <c r="W695" s="65"/>
      <c r="X695" s="65"/>
      <c r="Y695" s="30"/>
      <c r="Z695" s="65"/>
      <c r="AA695" s="65"/>
      <c r="AB695" s="65"/>
      <c r="AC695" s="30"/>
      <c r="AD695" s="65"/>
      <c r="AE695" s="65"/>
      <c r="AF695" s="65"/>
      <c r="AG695" s="65"/>
      <c r="AH695" s="30"/>
      <c r="AI695" s="65"/>
      <c r="AJ695" s="65"/>
      <c r="AK695" s="65"/>
      <c r="AL695" s="65"/>
      <c r="AM695" s="65"/>
      <c r="AN695" s="65"/>
      <c r="AO695" s="65"/>
    </row>
    <row r="696">
      <c r="A696" s="30"/>
      <c r="B696" s="65"/>
      <c r="C696" s="65"/>
      <c r="D696" s="65"/>
      <c r="E696" s="30"/>
      <c r="F696" s="65"/>
      <c r="G696" s="65"/>
      <c r="H696" s="65"/>
      <c r="I696" s="30"/>
      <c r="J696" s="65"/>
      <c r="K696" s="65"/>
      <c r="L696" s="65"/>
      <c r="M696" s="30"/>
      <c r="N696" s="65"/>
      <c r="O696" s="65"/>
      <c r="P696" s="65"/>
      <c r="Q696" s="30"/>
      <c r="R696" s="65"/>
      <c r="S696" s="65"/>
      <c r="T696" s="65"/>
      <c r="U696" s="30"/>
      <c r="V696" s="65"/>
      <c r="W696" s="65"/>
      <c r="X696" s="65"/>
      <c r="Y696" s="30"/>
      <c r="Z696" s="65"/>
      <c r="AA696" s="65"/>
      <c r="AB696" s="65"/>
      <c r="AC696" s="30"/>
      <c r="AD696" s="65"/>
      <c r="AE696" s="65"/>
      <c r="AF696" s="65"/>
      <c r="AG696" s="65"/>
      <c r="AH696" s="30"/>
      <c r="AI696" s="65"/>
      <c r="AJ696" s="65"/>
      <c r="AK696" s="65"/>
      <c r="AL696" s="65"/>
      <c r="AM696" s="65"/>
      <c r="AN696" s="65"/>
      <c r="AO696" s="65"/>
    </row>
    <row r="697">
      <c r="A697" s="30"/>
      <c r="B697" s="65"/>
      <c r="C697" s="65"/>
      <c r="D697" s="65"/>
      <c r="E697" s="30"/>
      <c r="F697" s="65"/>
      <c r="G697" s="65"/>
      <c r="H697" s="65"/>
      <c r="I697" s="30"/>
      <c r="J697" s="65"/>
      <c r="K697" s="65"/>
      <c r="L697" s="65"/>
      <c r="M697" s="30"/>
      <c r="N697" s="65"/>
      <c r="O697" s="65"/>
      <c r="P697" s="65"/>
      <c r="Q697" s="30"/>
      <c r="R697" s="65"/>
      <c r="S697" s="65"/>
      <c r="T697" s="65"/>
      <c r="U697" s="30"/>
      <c r="V697" s="65"/>
      <c r="W697" s="65"/>
      <c r="X697" s="65"/>
      <c r="Y697" s="30"/>
      <c r="Z697" s="65"/>
      <c r="AA697" s="65"/>
      <c r="AB697" s="65"/>
      <c r="AC697" s="30"/>
      <c r="AD697" s="65"/>
      <c r="AE697" s="65"/>
      <c r="AF697" s="65"/>
      <c r="AG697" s="65"/>
      <c r="AH697" s="30"/>
      <c r="AI697" s="65"/>
      <c r="AJ697" s="65"/>
      <c r="AK697" s="65"/>
      <c r="AL697" s="65"/>
      <c r="AM697" s="65"/>
      <c r="AN697" s="65"/>
      <c r="AO697" s="65"/>
    </row>
    <row r="698">
      <c r="A698" s="30"/>
      <c r="B698" s="65"/>
      <c r="C698" s="65"/>
      <c r="D698" s="65"/>
      <c r="E698" s="30"/>
      <c r="F698" s="65"/>
      <c r="G698" s="65"/>
      <c r="H698" s="65"/>
      <c r="I698" s="30"/>
      <c r="J698" s="65"/>
      <c r="K698" s="65"/>
      <c r="L698" s="65"/>
      <c r="M698" s="30"/>
      <c r="N698" s="65"/>
      <c r="O698" s="65"/>
      <c r="P698" s="65"/>
      <c r="Q698" s="30"/>
      <c r="R698" s="65"/>
      <c r="S698" s="65"/>
      <c r="T698" s="65"/>
      <c r="U698" s="30"/>
      <c r="V698" s="65"/>
      <c r="W698" s="65"/>
      <c r="X698" s="65"/>
      <c r="Y698" s="30"/>
      <c r="Z698" s="65"/>
      <c r="AA698" s="65"/>
      <c r="AB698" s="65"/>
      <c r="AC698" s="30"/>
      <c r="AD698" s="65"/>
      <c r="AE698" s="65"/>
      <c r="AF698" s="65"/>
      <c r="AG698" s="65"/>
      <c r="AH698" s="30"/>
      <c r="AI698" s="65"/>
      <c r="AJ698" s="65"/>
      <c r="AK698" s="65"/>
      <c r="AL698" s="65"/>
      <c r="AM698" s="65"/>
      <c r="AN698" s="65"/>
      <c r="AO698" s="65"/>
    </row>
    <row r="699">
      <c r="A699" s="30"/>
      <c r="B699" s="65"/>
      <c r="C699" s="65"/>
      <c r="D699" s="65"/>
      <c r="E699" s="30"/>
      <c r="F699" s="65"/>
      <c r="G699" s="65"/>
      <c r="H699" s="65"/>
      <c r="I699" s="30"/>
      <c r="J699" s="65"/>
      <c r="K699" s="65"/>
      <c r="L699" s="65"/>
      <c r="M699" s="30"/>
      <c r="N699" s="65"/>
      <c r="O699" s="65"/>
      <c r="P699" s="65"/>
      <c r="Q699" s="30"/>
      <c r="R699" s="65"/>
      <c r="S699" s="65"/>
      <c r="T699" s="65"/>
      <c r="U699" s="30"/>
      <c r="V699" s="65"/>
      <c r="W699" s="65"/>
      <c r="X699" s="65"/>
      <c r="Y699" s="30"/>
      <c r="Z699" s="65"/>
      <c r="AA699" s="65"/>
      <c r="AB699" s="65"/>
      <c r="AC699" s="30"/>
      <c r="AD699" s="65"/>
      <c r="AE699" s="65"/>
      <c r="AF699" s="65"/>
      <c r="AG699" s="65"/>
      <c r="AH699" s="30"/>
      <c r="AI699" s="65"/>
      <c r="AJ699" s="65"/>
      <c r="AK699" s="65"/>
      <c r="AL699" s="65"/>
      <c r="AM699" s="65"/>
      <c r="AN699" s="65"/>
      <c r="AO699" s="65"/>
    </row>
    <row r="700">
      <c r="A700" s="30"/>
      <c r="B700" s="65"/>
      <c r="C700" s="65"/>
      <c r="D700" s="65"/>
      <c r="E700" s="30"/>
      <c r="F700" s="65"/>
      <c r="G700" s="65"/>
      <c r="H700" s="65"/>
      <c r="I700" s="30"/>
      <c r="J700" s="65"/>
      <c r="K700" s="65"/>
      <c r="L700" s="65"/>
      <c r="M700" s="30"/>
      <c r="N700" s="65"/>
      <c r="O700" s="65"/>
      <c r="P700" s="65"/>
      <c r="Q700" s="30"/>
      <c r="R700" s="65"/>
      <c r="S700" s="65"/>
      <c r="T700" s="65"/>
      <c r="U700" s="30"/>
      <c r="V700" s="65"/>
      <c r="W700" s="65"/>
      <c r="X700" s="65"/>
      <c r="Y700" s="30"/>
      <c r="Z700" s="65"/>
      <c r="AA700" s="65"/>
      <c r="AB700" s="65"/>
      <c r="AC700" s="30"/>
      <c r="AD700" s="65"/>
      <c r="AE700" s="65"/>
      <c r="AF700" s="65"/>
      <c r="AG700" s="65"/>
      <c r="AH700" s="30"/>
      <c r="AI700" s="65"/>
      <c r="AJ700" s="65"/>
      <c r="AK700" s="65"/>
      <c r="AL700" s="65"/>
      <c r="AM700" s="65"/>
      <c r="AN700" s="65"/>
      <c r="AO700" s="65"/>
    </row>
    <row r="701">
      <c r="A701" s="30"/>
      <c r="B701" s="65"/>
      <c r="C701" s="65"/>
      <c r="D701" s="65"/>
      <c r="E701" s="30"/>
      <c r="F701" s="65"/>
      <c r="G701" s="65"/>
      <c r="H701" s="65"/>
      <c r="I701" s="30"/>
      <c r="J701" s="65"/>
      <c r="K701" s="65"/>
      <c r="L701" s="65"/>
      <c r="M701" s="30"/>
      <c r="N701" s="65"/>
      <c r="O701" s="65"/>
      <c r="P701" s="65"/>
      <c r="Q701" s="30"/>
      <c r="R701" s="65"/>
      <c r="S701" s="65"/>
      <c r="T701" s="65"/>
      <c r="U701" s="30"/>
      <c r="V701" s="65"/>
      <c r="W701" s="65"/>
      <c r="X701" s="65"/>
      <c r="Y701" s="30"/>
      <c r="Z701" s="65"/>
      <c r="AA701" s="65"/>
      <c r="AB701" s="65"/>
      <c r="AC701" s="30"/>
      <c r="AD701" s="65"/>
      <c r="AE701" s="65"/>
      <c r="AF701" s="65"/>
      <c r="AG701" s="65"/>
      <c r="AH701" s="30"/>
      <c r="AI701" s="65"/>
      <c r="AJ701" s="65"/>
      <c r="AK701" s="65"/>
      <c r="AL701" s="65"/>
      <c r="AM701" s="65"/>
      <c r="AN701" s="65"/>
      <c r="AO701" s="65"/>
    </row>
    <row r="702">
      <c r="A702" s="30"/>
      <c r="B702" s="65"/>
      <c r="C702" s="65"/>
      <c r="D702" s="65"/>
      <c r="E702" s="30"/>
      <c r="F702" s="65"/>
      <c r="G702" s="65"/>
      <c r="H702" s="65"/>
      <c r="I702" s="30"/>
      <c r="J702" s="65"/>
      <c r="K702" s="65"/>
      <c r="L702" s="65"/>
      <c r="M702" s="30"/>
      <c r="N702" s="65"/>
      <c r="O702" s="65"/>
      <c r="P702" s="65"/>
      <c r="Q702" s="30"/>
      <c r="R702" s="65"/>
      <c r="S702" s="65"/>
      <c r="T702" s="65"/>
      <c r="U702" s="30"/>
      <c r="V702" s="65"/>
      <c r="W702" s="65"/>
      <c r="X702" s="65"/>
      <c r="Y702" s="30"/>
      <c r="Z702" s="65"/>
      <c r="AA702" s="65"/>
      <c r="AB702" s="65"/>
      <c r="AC702" s="30"/>
      <c r="AD702" s="65"/>
      <c r="AE702" s="65"/>
      <c r="AF702" s="65"/>
      <c r="AG702" s="65"/>
      <c r="AH702" s="30"/>
      <c r="AI702" s="65"/>
      <c r="AJ702" s="65"/>
      <c r="AK702" s="65"/>
      <c r="AL702" s="65"/>
      <c r="AM702" s="65"/>
      <c r="AN702" s="65"/>
      <c r="AO702" s="65"/>
    </row>
    <row r="703">
      <c r="A703" s="30"/>
      <c r="B703" s="65"/>
      <c r="C703" s="65"/>
      <c r="D703" s="65"/>
      <c r="E703" s="30"/>
      <c r="F703" s="65"/>
      <c r="G703" s="65"/>
      <c r="H703" s="65"/>
      <c r="I703" s="30"/>
      <c r="J703" s="65"/>
      <c r="K703" s="65"/>
      <c r="L703" s="65"/>
      <c r="M703" s="30"/>
      <c r="N703" s="65"/>
      <c r="O703" s="65"/>
      <c r="P703" s="65"/>
      <c r="Q703" s="30"/>
      <c r="R703" s="65"/>
      <c r="S703" s="65"/>
      <c r="T703" s="65"/>
      <c r="U703" s="30"/>
      <c r="V703" s="65"/>
      <c r="W703" s="65"/>
      <c r="X703" s="65"/>
      <c r="Y703" s="30"/>
      <c r="Z703" s="65"/>
      <c r="AA703" s="65"/>
      <c r="AB703" s="65"/>
      <c r="AC703" s="30"/>
      <c r="AD703" s="65"/>
      <c r="AE703" s="65"/>
      <c r="AF703" s="65"/>
      <c r="AG703" s="65"/>
      <c r="AH703" s="30"/>
      <c r="AI703" s="65"/>
      <c r="AJ703" s="65"/>
      <c r="AK703" s="65"/>
      <c r="AL703" s="65"/>
      <c r="AM703" s="65"/>
      <c r="AN703" s="65"/>
      <c r="AO703" s="65"/>
    </row>
    <row r="704">
      <c r="A704" s="30"/>
      <c r="B704" s="65"/>
      <c r="C704" s="65"/>
      <c r="D704" s="65"/>
      <c r="E704" s="30"/>
      <c r="F704" s="65"/>
      <c r="G704" s="65"/>
      <c r="H704" s="65"/>
      <c r="I704" s="30"/>
      <c r="J704" s="65"/>
      <c r="K704" s="65"/>
      <c r="L704" s="65"/>
      <c r="M704" s="30"/>
      <c r="N704" s="65"/>
      <c r="O704" s="65"/>
      <c r="P704" s="65"/>
      <c r="Q704" s="30"/>
      <c r="R704" s="65"/>
      <c r="S704" s="65"/>
      <c r="T704" s="65"/>
      <c r="U704" s="30"/>
      <c r="V704" s="65"/>
      <c r="W704" s="65"/>
      <c r="X704" s="65"/>
      <c r="Y704" s="30"/>
      <c r="Z704" s="65"/>
      <c r="AA704" s="65"/>
      <c r="AB704" s="65"/>
      <c r="AC704" s="30"/>
      <c r="AD704" s="65"/>
      <c r="AE704" s="65"/>
      <c r="AF704" s="65"/>
      <c r="AG704" s="65"/>
      <c r="AH704" s="30"/>
      <c r="AI704" s="65"/>
      <c r="AJ704" s="65"/>
      <c r="AK704" s="65"/>
      <c r="AL704" s="65"/>
      <c r="AM704" s="65"/>
      <c r="AN704" s="65"/>
      <c r="AO704" s="65"/>
    </row>
    <row r="705">
      <c r="A705" s="30"/>
      <c r="B705" s="65"/>
      <c r="C705" s="65"/>
      <c r="D705" s="65"/>
      <c r="E705" s="30"/>
      <c r="F705" s="65"/>
      <c r="G705" s="65"/>
      <c r="H705" s="65"/>
      <c r="I705" s="30"/>
      <c r="J705" s="65"/>
      <c r="K705" s="65"/>
      <c r="L705" s="65"/>
      <c r="M705" s="30"/>
      <c r="N705" s="65"/>
      <c r="O705" s="65"/>
      <c r="P705" s="65"/>
      <c r="Q705" s="30"/>
      <c r="R705" s="65"/>
      <c r="S705" s="65"/>
      <c r="T705" s="65"/>
      <c r="U705" s="30"/>
      <c r="V705" s="65"/>
      <c r="W705" s="65"/>
      <c r="X705" s="65"/>
      <c r="Y705" s="30"/>
      <c r="Z705" s="65"/>
      <c r="AA705" s="65"/>
      <c r="AB705" s="65"/>
      <c r="AC705" s="30"/>
      <c r="AD705" s="65"/>
      <c r="AE705" s="65"/>
      <c r="AF705" s="65"/>
      <c r="AG705" s="65"/>
      <c r="AH705" s="30"/>
      <c r="AI705" s="65"/>
      <c r="AJ705" s="65"/>
      <c r="AK705" s="65"/>
      <c r="AL705" s="65"/>
      <c r="AM705" s="65"/>
      <c r="AN705" s="65"/>
      <c r="AO705" s="65"/>
    </row>
    <row r="706">
      <c r="A706" s="30"/>
      <c r="B706" s="65"/>
      <c r="C706" s="65"/>
      <c r="D706" s="65"/>
      <c r="E706" s="30"/>
      <c r="F706" s="65"/>
      <c r="G706" s="65"/>
      <c r="H706" s="65"/>
      <c r="I706" s="30"/>
      <c r="J706" s="65"/>
      <c r="K706" s="65"/>
      <c r="L706" s="65"/>
      <c r="M706" s="30"/>
      <c r="N706" s="65"/>
      <c r="O706" s="65"/>
      <c r="P706" s="65"/>
      <c r="Q706" s="30"/>
      <c r="R706" s="65"/>
      <c r="S706" s="65"/>
      <c r="T706" s="65"/>
      <c r="U706" s="30"/>
      <c r="V706" s="65"/>
      <c r="W706" s="65"/>
      <c r="X706" s="65"/>
      <c r="Y706" s="30"/>
      <c r="Z706" s="65"/>
      <c r="AA706" s="65"/>
      <c r="AB706" s="65"/>
      <c r="AC706" s="30"/>
      <c r="AD706" s="65"/>
      <c r="AE706" s="65"/>
      <c r="AF706" s="65"/>
      <c r="AG706" s="65"/>
      <c r="AH706" s="30"/>
      <c r="AI706" s="65"/>
      <c r="AJ706" s="65"/>
      <c r="AK706" s="65"/>
      <c r="AL706" s="65"/>
      <c r="AM706" s="65"/>
      <c r="AN706" s="65"/>
      <c r="AO706" s="65"/>
    </row>
    <row r="707">
      <c r="A707" s="30"/>
      <c r="B707" s="65"/>
      <c r="C707" s="65"/>
      <c r="D707" s="65"/>
      <c r="E707" s="30"/>
      <c r="F707" s="65"/>
      <c r="G707" s="65"/>
      <c r="H707" s="65"/>
      <c r="I707" s="30"/>
      <c r="J707" s="65"/>
      <c r="K707" s="65"/>
      <c r="L707" s="65"/>
      <c r="M707" s="30"/>
      <c r="N707" s="65"/>
      <c r="O707" s="65"/>
      <c r="P707" s="65"/>
      <c r="Q707" s="30"/>
      <c r="R707" s="65"/>
      <c r="S707" s="65"/>
      <c r="T707" s="65"/>
      <c r="U707" s="30"/>
      <c r="V707" s="65"/>
      <c r="W707" s="65"/>
      <c r="X707" s="65"/>
      <c r="Y707" s="30"/>
      <c r="Z707" s="65"/>
      <c r="AA707" s="65"/>
      <c r="AB707" s="65"/>
      <c r="AC707" s="30"/>
      <c r="AD707" s="65"/>
      <c r="AE707" s="65"/>
      <c r="AF707" s="65"/>
      <c r="AG707" s="65"/>
      <c r="AH707" s="30"/>
      <c r="AI707" s="65"/>
      <c r="AJ707" s="65"/>
      <c r="AK707" s="65"/>
      <c r="AL707" s="65"/>
      <c r="AM707" s="65"/>
      <c r="AN707" s="65"/>
      <c r="AO707" s="65"/>
    </row>
    <row r="708">
      <c r="A708" s="30"/>
      <c r="B708" s="65"/>
      <c r="C708" s="65"/>
      <c r="D708" s="65"/>
      <c r="E708" s="30"/>
      <c r="F708" s="65"/>
      <c r="G708" s="65"/>
      <c r="H708" s="65"/>
      <c r="I708" s="30"/>
      <c r="J708" s="65"/>
      <c r="K708" s="65"/>
      <c r="L708" s="65"/>
      <c r="M708" s="30"/>
      <c r="N708" s="65"/>
      <c r="O708" s="65"/>
      <c r="P708" s="65"/>
      <c r="Q708" s="30"/>
      <c r="R708" s="65"/>
      <c r="S708" s="65"/>
      <c r="T708" s="65"/>
      <c r="U708" s="30"/>
      <c r="V708" s="65"/>
      <c r="W708" s="65"/>
      <c r="X708" s="65"/>
      <c r="Y708" s="30"/>
      <c r="Z708" s="65"/>
      <c r="AA708" s="65"/>
      <c r="AB708" s="65"/>
      <c r="AC708" s="30"/>
      <c r="AD708" s="65"/>
      <c r="AE708" s="65"/>
      <c r="AF708" s="65"/>
      <c r="AG708" s="65"/>
      <c r="AH708" s="30"/>
      <c r="AI708" s="65"/>
      <c r="AJ708" s="65"/>
      <c r="AK708" s="65"/>
      <c r="AL708" s="65"/>
      <c r="AM708" s="65"/>
      <c r="AN708" s="65"/>
      <c r="AO708" s="65"/>
    </row>
    <row r="709">
      <c r="A709" s="30"/>
      <c r="B709" s="65"/>
      <c r="C709" s="65"/>
      <c r="D709" s="65"/>
      <c r="E709" s="30"/>
      <c r="F709" s="65"/>
      <c r="G709" s="65"/>
      <c r="H709" s="65"/>
      <c r="I709" s="30"/>
      <c r="J709" s="65"/>
      <c r="K709" s="65"/>
      <c r="L709" s="65"/>
      <c r="M709" s="30"/>
      <c r="N709" s="65"/>
      <c r="O709" s="65"/>
      <c r="P709" s="65"/>
      <c r="Q709" s="30"/>
      <c r="R709" s="65"/>
      <c r="S709" s="65"/>
      <c r="T709" s="65"/>
      <c r="U709" s="30"/>
      <c r="V709" s="65"/>
      <c r="W709" s="65"/>
      <c r="X709" s="65"/>
      <c r="Y709" s="30"/>
      <c r="Z709" s="65"/>
      <c r="AA709" s="65"/>
      <c r="AB709" s="65"/>
      <c r="AC709" s="30"/>
      <c r="AD709" s="65"/>
      <c r="AE709" s="65"/>
      <c r="AF709" s="65"/>
      <c r="AG709" s="65"/>
      <c r="AH709" s="30"/>
      <c r="AI709" s="65"/>
      <c r="AJ709" s="65"/>
      <c r="AK709" s="65"/>
      <c r="AL709" s="65"/>
      <c r="AM709" s="65"/>
      <c r="AN709" s="65"/>
      <c r="AO709" s="65"/>
    </row>
    <row r="710">
      <c r="A710" s="30"/>
      <c r="B710" s="65"/>
      <c r="C710" s="65"/>
      <c r="D710" s="65"/>
      <c r="E710" s="30"/>
      <c r="F710" s="65"/>
      <c r="G710" s="65"/>
      <c r="H710" s="65"/>
      <c r="I710" s="30"/>
      <c r="J710" s="65"/>
      <c r="K710" s="65"/>
      <c r="L710" s="65"/>
      <c r="M710" s="30"/>
      <c r="N710" s="65"/>
      <c r="O710" s="65"/>
      <c r="P710" s="65"/>
      <c r="Q710" s="30"/>
      <c r="R710" s="65"/>
      <c r="S710" s="65"/>
      <c r="T710" s="65"/>
      <c r="U710" s="30"/>
      <c r="V710" s="65"/>
      <c r="W710" s="65"/>
      <c r="X710" s="65"/>
      <c r="Y710" s="30"/>
      <c r="Z710" s="65"/>
      <c r="AA710" s="65"/>
      <c r="AB710" s="65"/>
      <c r="AC710" s="30"/>
      <c r="AD710" s="65"/>
      <c r="AE710" s="65"/>
      <c r="AF710" s="65"/>
      <c r="AG710" s="65"/>
      <c r="AH710" s="30"/>
      <c r="AI710" s="65"/>
      <c r="AJ710" s="65"/>
      <c r="AK710" s="65"/>
      <c r="AL710" s="65"/>
      <c r="AM710" s="65"/>
      <c r="AN710" s="65"/>
      <c r="AO710" s="65"/>
    </row>
    <row r="711">
      <c r="A711" s="30"/>
      <c r="B711" s="65"/>
      <c r="C711" s="65"/>
      <c r="D711" s="65"/>
      <c r="E711" s="30"/>
      <c r="F711" s="65"/>
      <c r="G711" s="65"/>
      <c r="H711" s="65"/>
      <c r="I711" s="30"/>
      <c r="J711" s="65"/>
      <c r="K711" s="65"/>
      <c r="L711" s="65"/>
      <c r="M711" s="30"/>
      <c r="N711" s="65"/>
      <c r="O711" s="65"/>
      <c r="P711" s="65"/>
      <c r="Q711" s="30"/>
      <c r="R711" s="65"/>
      <c r="S711" s="65"/>
      <c r="T711" s="65"/>
      <c r="U711" s="30"/>
      <c r="V711" s="65"/>
      <c r="W711" s="65"/>
      <c r="X711" s="65"/>
      <c r="Y711" s="30"/>
      <c r="Z711" s="65"/>
      <c r="AA711" s="65"/>
      <c r="AB711" s="65"/>
      <c r="AC711" s="30"/>
      <c r="AD711" s="65"/>
      <c r="AE711" s="65"/>
      <c r="AF711" s="65"/>
      <c r="AG711" s="65"/>
      <c r="AH711" s="30"/>
      <c r="AI711" s="65"/>
      <c r="AJ711" s="65"/>
      <c r="AK711" s="65"/>
      <c r="AL711" s="65"/>
      <c r="AM711" s="65"/>
      <c r="AN711" s="65"/>
      <c r="AO711" s="65"/>
    </row>
    <row r="712">
      <c r="A712" s="30"/>
      <c r="B712" s="65"/>
      <c r="C712" s="65"/>
      <c r="D712" s="65"/>
      <c r="E712" s="30"/>
      <c r="F712" s="65"/>
      <c r="G712" s="65"/>
      <c r="H712" s="65"/>
      <c r="I712" s="30"/>
      <c r="J712" s="65"/>
      <c r="K712" s="65"/>
      <c r="L712" s="65"/>
      <c r="M712" s="30"/>
      <c r="N712" s="65"/>
      <c r="O712" s="65"/>
      <c r="P712" s="65"/>
      <c r="Q712" s="30"/>
      <c r="R712" s="65"/>
      <c r="S712" s="65"/>
      <c r="T712" s="65"/>
      <c r="U712" s="30"/>
      <c r="V712" s="65"/>
      <c r="W712" s="65"/>
      <c r="X712" s="65"/>
      <c r="Y712" s="30"/>
      <c r="Z712" s="65"/>
      <c r="AA712" s="65"/>
      <c r="AB712" s="65"/>
      <c r="AC712" s="30"/>
      <c r="AD712" s="65"/>
      <c r="AE712" s="65"/>
      <c r="AF712" s="65"/>
      <c r="AG712" s="65"/>
      <c r="AH712" s="30"/>
      <c r="AI712" s="65"/>
      <c r="AJ712" s="65"/>
      <c r="AK712" s="65"/>
      <c r="AL712" s="65"/>
      <c r="AM712" s="65"/>
      <c r="AN712" s="65"/>
      <c r="AO712" s="65"/>
    </row>
    <row r="713">
      <c r="A713" s="30"/>
      <c r="B713" s="65"/>
      <c r="C713" s="65"/>
      <c r="D713" s="65"/>
      <c r="E713" s="30"/>
      <c r="F713" s="65"/>
      <c r="G713" s="65"/>
      <c r="H713" s="65"/>
      <c r="I713" s="30"/>
      <c r="J713" s="65"/>
      <c r="K713" s="65"/>
      <c r="L713" s="65"/>
      <c r="M713" s="30"/>
      <c r="N713" s="65"/>
      <c r="O713" s="65"/>
      <c r="P713" s="65"/>
      <c r="Q713" s="30"/>
      <c r="R713" s="65"/>
      <c r="S713" s="65"/>
      <c r="T713" s="65"/>
      <c r="U713" s="30"/>
      <c r="V713" s="65"/>
      <c r="W713" s="65"/>
      <c r="X713" s="65"/>
      <c r="Y713" s="30"/>
      <c r="Z713" s="65"/>
      <c r="AA713" s="65"/>
      <c r="AB713" s="65"/>
      <c r="AC713" s="30"/>
      <c r="AD713" s="65"/>
      <c r="AE713" s="65"/>
      <c r="AF713" s="65"/>
      <c r="AG713" s="65"/>
      <c r="AH713" s="30"/>
      <c r="AI713" s="65"/>
      <c r="AJ713" s="65"/>
      <c r="AK713" s="65"/>
      <c r="AL713" s="65"/>
      <c r="AM713" s="65"/>
      <c r="AN713" s="65"/>
      <c r="AO713" s="65"/>
    </row>
    <row r="714">
      <c r="A714" s="30"/>
      <c r="B714" s="65"/>
      <c r="C714" s="65"/>
      <c r="D714" s="65"/>
      <c r="E714" s="30"/>
      <c r="F714" s="65"/>
      <c r="G714" s="65"/>
      <c r="H714" s="65"/>
      <c r="I714" s="30"/>
      <c r="J714" s="65"/>
      <c r="K714" s="65"/>
      <c r="L714" s="65"/>
      <c r="M714" s="30"/>
      <c r="N714" s="65"/>
      <c r="O714" s="65"/>
      <c r="P714" s="65"/>
      <c r="Q714" s="30"/>
      <c r="R714" s="65"/>
      <c r="S714" s="65"/>
      <c r="T714" s="65"/>
      <c r="U714" s="30"/>
      <c r="V714" s="65"/>
      <c r="W714" s="65"/>
      <c r="X714" s="65"/>
      <c r="Y714" s="30"/>
      <c r="Z714" s="65"/>
      <c r="AA714" s="65"/>
      <c r="AB714" s="65"/>
      <c r="AC714" s="30"/>
      <c r="AD714" s="65"/>
      <c r="AE714" s="65"/>
      <c r="AF714" s="65"/>
      <c r="AG714" s="65"/>
      <c r="AH714" s="30"/>
      <c r="AI714" s="65"/>
      <c r="AJ714" s="65"/>
      <c r="AK714" s="65"/>
      <c r="AL714" s="65"/>
      <c r="AM714" s="65"/>
      <c r="AN714" s="65"/>
      <c r="AO714" s="65"/>
    </row>
    <row r="715">
      <c r="A715" s="30"/>
      <c r="B715" s="65"/>
      <c r="C715" s="65"/>
      <c r="D715" s="65"/>
      <c r="E715" s="30"/>
      <c r="F715" s="65"/>
      <c r="G715" s="65"/>
      <c r="H715" s="65"/>
      <c r="I715" s="30"/>
      <c r="J715" s="65"/>
      <c r="K715" s="65"/>
      <c r="L715" s="65"/>
      <c r="M715" s="30"/>
      <c r="N715" s="65"/>
      <c r="O715" s="65"/>
      <c r="P715" s="65"/>
      <c r="Q715" s="30"/>
      <c r="R715" s="65"/>
      <c r="S715" s="65"/>
      <c r="T715" s="65"/>
      <c r="U715" s="30"/>
      <c r="V715" s="65"/>
      <c r="W715" s="65"/>
      <c r="X715" s="65"/>
      <c r="Y715" s="30"/>
      <c r="Z715" s="65"/>
      <c r="AA715" s="65"/>
      <c r="AB715" s="65"/>
      <c r="AC715" s="30"/>
      <c r="AD715" s="65"/>
      <c r="AE715" s="65"/>
      <c r="AF715" s="65"/>
      <c r="AG715" s="65"/>
      <c r="AH715" s="30"/>
      <c r="AI715" s="65"/>
      <c r="AJ715" s="65"/>
      <c r="AK715" s="65"/>
      <c r="AL715" s="65"/>
      <c r="AM715" s="65"/>
      <c r="AN715" s="65"/>
      <c r="AO715" s="65"/>
    </row>
    <row r="716">
      <c r="A716" s="30"/>
      <c r="B716" s="65"/>
      <c r="C716" s="65"/>
      <c r="D716" s="65"/>
      <c r="E716" s="30"/>
      <c r="F716" s="65"/>
      <c r="G716" s="65"/>
      <c r="H716" s="65"/>
      <c r="I716" s="30"/>
      <c r="J716" s="65"/>
      <c r="K716" s="65"/>
      <c r="L716" s="65"/>
      <c r="M716" s="30"/>
      <c r="N716" s="65"/>
      <c r="O716" s="65"/>
      <c r="P716" s="65"/>
      <c r="Q716" s="30"/>
      <c r="R716" s="65"/>
      <c r="S716" s="65"/>
      <c r="T716" s="65"/>
      <c r="U716" s="30"/>
      <c r="V716" s="65"/>
      <c r="W716" s="65"/>
      <c r="X716" s="65"/>
      <c r="Y716" s="30"/>
      <c r="Z716" s="65"/>
      <c r="AA716" s="65"/>
      <c r="AB716" s="65"/>
      <c r="AC716" s="30"/>
      <c r="AD716" s="65"/>
      <c r="AE716" s="65"/>
      <c r="AF716" s="65"/>
      <c r="AG716" s="65"/>
      <c r="AH716" s="30"/>
      <c r="AI716" s="65"/>
      <c r="AJ716" s="65"/>
      <c r="AK716" s="65"/>
      <c r="AL716" s="65"/>
      <c r="AM716" s="65"/>
      <c r="AN716" s="65"/>
      <c r="AO716" s="65"/>
    </row>
    <row r="717">
      <c r="A717" s="30"/>
      <c r="B717" s="65"/>
      <c r="C717" s="65"/>
      <c r="D717" s="65"/>
      <c r="E717" s="30"/>
      <c r="F717" s="65"/>
      <c r="G717" s="65"/>
      <c r="H717" s="65"/>
      <c r="I717" s="30"/>
      <c r="J717" s="65"/>
      <c r="K717" s="65"/>
      <c r="L717" s="65"/>
      <c r="M717" s="30"/>
      <c r="N717" s="65"/>
      <c r="O717" s="65"/>
      <c r="P717" s="65"/>
      <c r="Q717" s="30"/>
      <c r="R717" s="65"/>
      <c r="S717" s="65"/>
      <c r="T717" s="65"/>
      <c r="U717" s="30"/>
      <c r="V717" s="65"/>
      <c r="W717" s="65"/>
      <c r="X717" s="65"/>
      <c r="Y717" s="30"/>
      <c r="Z717" s="65"/>
      <c r="AA717" s="65"/>
      <c r="AB717" s="65"/>
      <c r="AC717" s="30"/>
      <c r="AD717" s="65"/>
      <c r="AE717" s="65"/>
      <c r="AF717" s="65"/>
      <c r="AG717" s="65"/>
      <c r="AH717" s="30"/>
      <c r="AI717" s="65"/>
      <c r="AJ717" s="65"/>
      <c r="AK717" s="65"/>
      <c r="AL717" s="65"/>
      <c r="AM717" s="65"/>
      <c r="AN717" s="65"/>
      <c r="AO717" s="65"/>
    </row>
    <row r="718">
      <c r="A718" s="30"/>
      <c r="B718" s="65"/>
      <c r="C718" s="65"/>
      <c r="D718" s="65"/>
      <c r="E718" s="30"/>
      <c r="F718" s="65"/>
      <c r="G718" s="65"/>
      <c r="H718" s="65"/>
      <c r="I718" s="30"/>
      <c r="J718" s="65"/>
      <c r="K718" s="65"/>
      <c r="L718" s="65"/>
      <c r="M718" s="30"/>
      <c r="N718" s="65"/>
      <c r="O718" s="65"/>
      <c r="P718" s="65"/>
      <c r="Q718" s="30"/>
      <c r="R718" s="65"/>
      <c r="S718" s="65"/>
      <c r="T718" s="65"/>
      <c r="U718" s="30"/>
      <c r="V718" s="65"/>
      <c r="W718" s="65"/>
      <c r="X718" s="65"/>
      <c r="Y718" s="30"/>
      <c r="Z718" s="65"/>
      <c r="AA718" s="65"/>
      <c r="AB718" s="65"/>
      <c r="AC718" s="30"/>
      <c r="AD718" s="65"/>
      <c r="AE718" s="65"/>
      <c r="AF718" s="65"/>
      <c r="AG718" s="65"/>
      <c r="AH718" s="30"/>
      <c r="AI718" s="65"/>
      <c r="AJ718" s="65"/>
      <c r="AK718" s="65"/>
      <c r="AL718" s="65"/>
      <c r="AM718" s="65"/>
      <c r="AN718" s="65"/>
      <c r="AO718" s="65"/>
    </row>
    <row r="719">
      <c r="A719" s="30"/>
      <c r="B719" s="65"/>
      <c r="C719" s="65"/>
      <c r="D719" s="65"/>
      <c r="E719" s="30"/>
      <c r="F719" s="65"/>
      <c r="G719" s="65"/>
      <c r="H719" s="65"/>
      <c r="I719" s="30"/>
      <c r="J719" s="65"/>
      <c r="K719" s="65"/>
      <c r="L719" s="65"/>
      <c r="M719" s="30"/>
      <c r="N719" s="65"/>
      <c r="O719" s="65"/>
      <c r="P719" s="65"/>
      <c r="Q719" s="30"/>
      <c r="R719" s="65"/>
      <c r="S719" s="65"/>
      <c r="T719" s="65"/>
      <c r="U719" s="30"/>
      <c r="V719" s="65"/>
      <c r="W719" s="65"/>
      <c r="X719" s="65"/>
      <c r="Y719" s="30"/>
      <c r="Z719" s="65"/>
      <c r="AA719" s="65"/>
      <c r="AB719" s="65"/>
      <c r="AC719" s="30"/>
      <c r="AD719" s="65"/>
      <c r="AE719" s="65"/>
      <c r="AF719" s="65"/>
      <c r="AG719" s="65"/>
      <c r="AH719" s="30"/>
      <c r="AI719" s="65"/>
      <c r="AJ719" s="65"/>
      <c r="AK719" s="65"/>
      <c r="AL719" s="65"/>
      <c r="AM719" s="65"/>
      <c r="AN719" s="65"/>
      <c r="AO719" s="65"/>
    </row>
    <row r="720">
      <c r="A720" s="30"/>
      <c r="B720" s="65"/>
      <c r="C720" s="65"/>
      <c r="D720" s="65"/>
      <c r="E720" s="30"/>
      <c r="F720" s="65"/>
      <c r="G720" s="65"/>
      <c r="H720" s="65"/>
      <c r="I720" s="30"/>
      <c r="J720" s="65"/>
      <c r="K720" s="65"/>
      <c r="L720" s="65"/>
      <c r="M720" s="30"/>
      <c r="N720" s="65"/>
      <c r="O720" s="65"/>
      <c r="P720" s="65"/>
      <c r="Q720" s="30"/>
      <c r="R720" s="65"/>
      <c r="S720" s="65"/>
      <c r="T720" s="65"/>
      <c r="U720" s="30"/>
      <c r="V720" s="65"/>
      <c r="W720" s="65"/>
      <c r="X720" s="65"/>
      <c r="Y720" s="30"/>
      <c r="Z720" s="65"/>
      <c r="AA720" s="65"/>
      <c r="AB720" s="65"/>
      <c r="AC720" s="30"/>
      <c r="AD720" s="65"/>
      <c r="AE720" s="65"/>
      <c r="AF720" s="65"/>
      <c r="AG720" s="65"/>
      <c r="AH720" s="30"/>
      <c r="AI720" s="65"/>
      <c r="AJ720" s="65"/>
      <c r="AK720" s="65"/>
      <c r="AL720" s="65"/>
      <c r="AM720" s="65"/>
      <c r="AN720" s="65"/>
      <c r="AO720" s="65"/>
    </row>
    <row r="721">
      <c r="A721" s="30"/>
      <c r="B721" s="65"/>
      <c r="C721" s="65"/>
      <c r="D721" s="65"/>
      <c r="E721" s="30"/>
      <c r="F721" s="65"/>
      <c r="G721" s="65"/>
      <c r="H721" s="65"/>
      <c r="I721" s="30"/>
      <c r="J721" s="65"/>
      <c r="K721" s="65"/>
      <c r="L721" s="65"/>
      <c r="M721" s="30"/>
      <c r="N721" s="65"/>
      <c r="O721" s="65"/>
      <c r="P721" s="65"/>
      <c r="Q721" s="30"/>
      <c r="R721" s="65"/>
      <c r="S721" s="65"/>
      <c r="T721" s="65"/>
      <c r="U721" s="30"/>
      <c r="V721" s="65"/>
      <c r="W721" s="65"/>
      <c r="X721" s="65"/>
      <c r="Y721" s="30"/>
      <c r="Z721" s="65"/>
      <c r="AA721" s="65"/>
      <c r="AB721" s="65"/>
      <c r="AC721" s="30"/>
      <c r="AD721" s="65"/>
      <c r="AE721" s="65"/>
      <c r="AF721" s="65"/>
      <c r="AG721" s="65"/>
      <c r="AH721" s="30"/>
      <c r="AI721" s="65"/>
      <c r="AJ721" s="65"/>
      <c r="AK721" s="65"/>
      <c r="AL721" s="65"/>
      <c r="AM721" s="65"/>
      <c r="AN721" s="65"/>
      <c r="AO721" s="65"/>
    </row>
    <row r="722">
      <c r="A722" s="30"/>
      <c r="B722" s="65"/>
      <c r="C722" s="65"/>
      <c r="D722" s="65"/>
      <c r="E722" s="30"/>
      <c r="F722" s="65"/>
      <c r="G722" s="65"/>
      <c r="H722" s="65"/>
      <c r="I722" s="30"/>
      <c r="J722" s="65"/>
      <c r="K722" s="65"/>
      <c r="L722" s="65"/>
      <c r="M722" s="30"/>
      <c r="N722" s="65"/>
      <c r="O722" s="65"/>
      <c r="P722" s="65"/>
      <c r="Q722" s="30"/>
      <c r="R722" s="65"/>
      <c r="S722" s="65"/>
      <c r="T722" s="65"/>
      <c r="U722" s="30"/>
      <c r="V722" s="65"/>
      <c r="W722" s="65"/>
      <c r="X722" s="65"/>
      <c r="Y722" s="30"/>
      <c r="Z722" s="65"/>
      <c r="AA722" s="65"/>
      <c r="AB722" s="65"/>
      <c r="AC722" s="30"/>
      <c r="AD722" s="65"/>
      <c r="AE722" s="65"/>
      <c r="AF722" s="65"/>
      <c r="AG722" s="65"/>
      <c r="AH722" s="30"/>
      <c r="AI722" s="65"/>
      <c r="AJ722" s="65"/>
      <c r="AK722" s="65"/>
      <c r="AL722" s="65"/>
      <c r="AM722" s="65"/>
      <c r="AN722" s="65"/>
      <c r="AO722" s="65"/>
    </row>
    <row r="723">
      <c r="A723" s="30"/>
      <c r="B723" s="65"/>
      <c r="C723" s="65"/>
      <c r="D723" s="65"/>
      <c r="E723" s="30"/>
      <c r="F723" s="65"/>
      <c r="G723" s="65"/>
      <c r="H723" s="65"/>
      <c r="I723" s="30"/>
      <c r="J723" s="65"/>
      <c r="K723" s="65"/>
      <c r="L723" s="65"/>
      <c r="M723" s="30"/>
      <c r="N723" s="65"/>
      <c r="O723" s="65"/>
      <c r="P723" s="65"/>
      <c r="Q723" s="30"/>
      <c r="R723" s="65"/>
      <c r="S723" s="65"/>
      <c r="T723" s="65"/>
      <c r="U723" s="30"/>
      <c r="V723" s="65"/>
      <c r="W723" s="65"/>
      <c r="X723" s="65"/>
      <c r="Y723" s="30"/>
      <c r="Z723" s="65"/>
      <c r="AA723" s="65"/>
      <c r="AB723" s="65"/>
      <c r="AC723" s="30"/>
      <c r="AD723" s="65"/>
      <c r="AE723" s="65"/>
      <c r="AF723" s="65"/>
      <c r="AG723" s="65"/>
      <c r="AH723" s="30"/>
      <c r="AI723" s="65"/>
      <c r="AJ723" s="65"/>
      <c r="AK723" s="65"/>
      <c r="AL723" s="65"/>
      <c r="AM723" s="65"/>
      <c r="AN723" s="65"/>
      <c r="AO723" s="65"/>
    </row>
    <row r="724">
      <c r="A724" s="30"/>
      <c r="B724" s="65"/>
      <c r="C724" s="65"/>
      <c r="D724" s="65"/>
      <c r="E724" s="30"/>
      <c r="F724" s="65"/>
      <c r="G724" s="65"/>
      <c r="H724" s="65"/>
      <c r="I724" s="30"/>
      <c r="J724" s="65"/>
      <c r="K724" s="65"/>
      <c r="L724" s="65"/>
      <c r="M724" s="30"/>
      <c r="N724" s="65"/>
      <c r="O724" s="65"/>
      <c r="P724" s="65"/>
      <c r="Q724" s="30"/>
      <c r="R724" s="65"/>
      <c r="S724" s="65"/>
      <c r="T724" s="65"/>
      <c r="U724" s="30"/>
      <c r="V724" s="65"/>
      <c r="W724" s="65"/>
      <c r="X724" s="65"/>
      <c r="Y724" s="30"/>
      <c r="Z724" s="65"/>
      <c r="AA724" s="65"/>
      <c r="AB724" s="65"/>
      <c r="AC724" s="30"/>
      <c r="AD724" s="65"/>
      <c r="AE724" s="65"/>
      <c r="AF724" s="65"/>
      <c r="AG724" s="65"/>
      <c r="AH724" s="30"/>
      <c r="AI724" s="65"/>
      <c r="AJ724" s="65"/>
      <c r="AK724" s="65"/>
      <c r="AL724" s="65"/>
      <c r="AM724" s="65"/>
      <c r="AN724" s="65"/>
      <c r="AO724" s="65"/>
    </row>
    <row r="725">
      <c r="A725" s="30"/>
      <c r="B725" s="65"/>
      <c r="C725" s="65"/>
      <c r="D725" s="65"/>
      <c r="E725" s="30"/>
      <c r="F725" s="65"/>
      <c r="G725" s="65"/>
      <c r="H725" s="65"/>
      <c r="I725" s="30"/>
      <c r="J725" s="65"/>
      <c r="K725" s="65"/>
      <c r="L725" s="65"/>
      <c r="M725" s="30"/>
      <c r="N725" s="65"/>
      <c r="O725" s="65"/>
      <c r="P725" s="65"/>
      <c r="Q725" s="30"/>
      <c r="R725" s="65"/>
      <c r="S725" s="65"/>
      <c r="T725" s="65"/>
      <c r="U725" s="30"/>
      <c r="V725" s="65"/>
      <c r="W725" s="65"/>
      <c r="X725" s="65"/>
      <c r="Y725" s="30"/>
      <c r="Z725" s="65"/>
      <c r="AA725" s="65"/>
      <c r="AB725" s="65"/>
      <c r="AC725" s="30"/>
      <c r="AD725" s="65"/>
      <c r="AE725" s="65"/>
      <c r="AF725" s="65"/>
      <c r="AG725" s="65"/>
      <c r="AH725" s="30"/>
      <c r="AI725" s="65"/>
      <c r="AJ725" s="65"/>
      <c r="AK725" s="65"/>
      <c r="AL725" s="65"/>
      <c r="AM725" s="65"/>
      <c r="AN725" s="65"/>
      <c r="AO725" s="65"/>
    </row>
    <row r="726">
      <c r="A726" s="30"/>
      <c r="B726" s="65"/>
      <c r="C726" s="65"/>
      <c r="D726" s="65"/>
      <c r="E726" s="30"/>
      <c r="F726" s="65"/>
      <c r="G726" s="65"/>
      <c r="H726" s="65"/>
      <c r="I726" s="30"/>
      <c r="J726" s="65"/>
      <c r="K726" s="65"/>
      <c r="L726" s="65"/>
      <c r="M726" s="30"/>
      <c r="N726" s="65"/>
      <c r="O726" s="65"/>
      <c r="P726" s="65"/>
      <c r="Q726" s="30"/>
      <c r="R726" s="65"/>
      <c r="S726" s="65"/>
      <c r="T726" s="65"/>
      <c r="U726" s="30"/>
      <c r="V726" s="65"/>
      <c r="W726" s="65"/>
      <c r="X726" s="65"/>
      <c r="Y726" s="30"/>
      <c r="Z726" s="65"/>
      <c r="AA726" s="65"/>
      <c r="AB726" s="65"/>
      <c r="AC726" s="30"/>
      <c r="AD726" s="65"/>
      <c r="AE726" s="65"/>
      <c r="AF726" s="65"/>
      <c r="AG726" s="65"/>
      <c r="AH726" s="30"/>
      <c r="AI726" s="65"/>
      <c r="AJ726" s="65"/>
      <c r="AK726" s="65"/>
      <c r="AL726" s="65"/>
      <c r="AM726" s="65"/>
      <c r="AN726" s="65"/>
      <c r="AO726" s="65"/>
    </row>
    <row r="727">
      <c r="A727" s="30"/>
      <c r="B727" s="65"/>
      <c r="C727" s="65"/>
      <c r="D727" s="65"/>
      <c r="E727" s="30"/>
      <c r="F727" s="65"/>
      <c r="G727" s="65"/>
      <c r="H727" s="65"/>
      <c r="I727" s="30"/>
      <c r="J727" s="65"/>
      <c r="K727" s="65"/>
      <c r="L727" s="65"/>
      <c r="M727" s="30"/>
      <c r="N727" s="65"/>
      <c r="O727" s="65"/>
      <c r="P727" s="65"/>
      <c r="Q727" s="30"/>
      <c r="R727" s="65"/>
      <c r="S727" s="65"/>
      <c r="T727" s="65"/>
      <c r="U727" s="30"/>
      <c r="V727" s="65"/>
      <c r="W727" s="65"/>
      <c r="X727" s="65"/>
      <c r="Y727" s="30"/>
      <c r="Z727" s="65"/>
      <c r="AA727" s="65"/>
      <c r="AB727" s="65"/>
      <c r="AC727" s="30"/>
      <c r="AD727" s="65"/>
      <c r="AE727" s="65"/>
      <c r="AF727" s="65"/>
      <c r="AG727" s="65"/>
      <c r="AH727" s="30"/>
      <c r="AI727" s="65"/>
      <c r="AJ727" s="65"/>
      <c r="AK727" s="65"/>
      <c r="AL727" s="65"/>
      <c r="AM727" s="65"/>
      <c r="AN727" s="65"/>
      <c r="AO727" s="65"/>
    </row>
    <row r="728">
      <c r="A728" s="30"/>
      <c r="B728" s="65"/>
      <c r="C728" s="65"/>
      <c r="D728" s="65"/>
      <c r="E728" s="30"/>
      <c r="F728" s="65"/>
      <c r="G728" s="65"/>
      <c r="H728" s="65"/>
      <c r="I728" s="30"/>
      <c r="J728" s="65"/>
      <c r="K728" s="65"/>
      <c r="L728" s="65"/>
      <c r="M728" s="30"/>
      <c r="N728" s="65"/>
      <c r="O728" s="65"/>
      <c r="P728" s="65"/>
      <c r="Q728" s="30"/>
      <c r="R728" s="65"/>
      <c r="S728" s="65"/>
      <c r="T728" s="65"/>
      <c r="U728" s="30"/>
      <c r="V728" s="65"/>
      <c r="W728" s="65"/>
      <c r="X728" s="65"/>
      <c r="Y728" s="30"/>
      <c r="Z728" s="65"/>
      <c r="AA728" s="65"/>
      <c r="AB728" s="65"/>
      <c r="AC728" s="30"/>
      <c r="AD728" s="65"/>
      <c r="AE728" s="65"/>
      <c r="AF728" s="65"/>
      <c r="AG728" s="65"/>
      <c r="AH728" s="30"/>
      <c r="AI728" s="65"/>
      <c r="AJ728" s="65"/>
      <c r="AK728" s="65"/>
      <c r="AL728" s="65"/>
      <c r="AM728" s="65"/>
      <c r="AN728" s="65"/>
      <c r="AO728" s="65"/>
    </row>
    <row r="729">
      <c r="A729" s="30"/>
      <c r="B729" s="65"/>
      <c r="C729" s="65"/>
      <c r="D729" s="65"/>
      <c r="E729" s="30"/>
      <c r="F729" s="65"/>
      <c r="G729" s="65"/>
      <c r="H729" s="65"/>
      <c r="I729" s="30"/>
      <c r="J729" s="65"/>
      <c r="K729" s="65"/>
      <c r="L729" s="65"/>
      <c r="M729" s="30"/>
      <c r="N729" s="65"/>
      <c r="O729" s="65"/>
      <c r="P729" s="65"/>
      <c r="Q729" s="30"/>
      <c r="R729" s="65"/>
      <c r="S729" s="65"/>
      <c r="T729" s="65"/>
      <c r="U729" s="30"/>
      <c r="V729" s="65"/>
      <c r="W729" s="65"/>
      <c r="X729" s="65"/>
      <c r="Y729" s="30"/>
      <c r="Z729" s="65"/>
      <c r="AA729" s="65"/>
      <c r="AB729" s="65"/>
      <c r="AC729" s="30"/>
      <c r="AD729" s="65"/>
      <c r="AE729" s="65"/>
      <c r="AF729" s="65"/>
      <c r="AG729" s="65"/>
      <c r="AH729" s="30"/>
      <c r="AI729" s="65"/>
      <c r="AJ729" s="65"/>
      <c r="AK729" s="65"/>
      <c r="AL729" s="65"/>
      <c r="AM729" s="65"/>
      <c r="AN729" s="65"/>
      <c r="AO729" s="65"/>
    </row>
    <row r="730">
      <c r="A730" s="30"/>
      <c r="B730" s="65"/>
      <c r="C730" s="65"/>
      <c r="D730" s="65"/>
      <c r="E730" s="30"/>
      <c r="F730" s="65"/>
      <c r="G730" s="65"/>
      <c r="H730" s="65"/>
      <c r="I730" s="30"/>
      <c r="J730" s="65"/>
      <c r="K730" s="65"/>
      <c r="L730" s="65"/>
      <c r="M730" s="30"/>
      <c r="N730" s="65"/>
      <c r="O730" s="65"/>
      <c r="P730" s="65"/>
      <c r="Q730" s="30"/>
      <c r="R730" s="65"/>
      <c r="S730" s="65"/>
      <c r="T730" s="65"/>
      <c r="U730" s="30"/>
      <c r="V730" s="65"/>
      <c r="W730" s="65"/>
      <c r="X730" s="65"/>
      <c r="Y730" s="30"/>
      <c r="Z730" s="65"/>
      <c r="AA730" s="65"/>
      <c r="AB730" s="65"/>
      <c r="AC730" s="30"/>
      <c r="AD730" s="65"/>
      <c r="AE730" s="65"/>
      <c r="AF730" s="65"/>
      <c r="AG730" s="65"/>
      <c r="AH730" s="30"/>
      <c r="AI730" s="65"/>
      <c r="AJ730" s="65"/>
      <c r="AK730" s="65"/>
      <c r="AL730" s="65"/>
      <c r="AM730" s="65"/>
      <c r="AN730" s="65"/>
      <c r="AO730" s="65"/>
    </row>
    <row r="731">
      <c r="A731" s="30"/>
      <c r="B731" s="65"/>
      <c r="C731" s="65"/>
      <c r="D731" s="65"/>
      <c r="E731" s="30"/>
      <c r="F731" s="65"/>
      <c r="G731" s="65"/>
      <c r="H731" s="65"/>
      <c r="I731" s="30"/>
      <c r="J731" s="65"/>
      <c r="K731" s="65"/>
      <c r="L731" s="65"/>
      <c r="M731" s="30"/>
      <c r="N731" s="65"/>
      <c r="O731" s="65"/>
      <c r="P731" s="65"/>
      <c r="Q731" s="30"/>
      <c r="R731" s="65"/>
      <c r="S731" s="65"/>
      <c r="T731" s="65"/>
      <c r="U731" s="30"/>
      <c r="V731" s="65"/>
      <c r="W731" s="65"/>
      <c r="X731" s="65"/>
      <c r="Y731" s="30"/>
      <c r="Z731" s="65"/>
      <c r="AA731" s="65"/>
      <c r="AB731" s="65"/>
      <c r="AC731" s="30"/>
      <c r="AD731" s="65"/>
      <c r="AE731" s="65"/>
      <c r="AF731" s="65"/>
      <c r="AG731" s="65"/>
      <c r="AH731" s="30"/>
      <c r="AI731" s="65"/>
      <c r="AJ731" s="65"/>
      <c r="AK731" s="65"/>
      <c r="AL731" s="65"/>
      <c r="AM731" s="65"/>
      <c r="AN731" s="65"/>
      <c r="AO731" s="65"/>
    </row>
    <row r="732">
      <c r="A732" s="30"/>
      <c r="B732" s="65"/>
      <c r="C732" s="65"/>
      <c r="D732" s="65"/>
      <c r="E732" s="30"/>
      <c r="F732" s="65"/>
      <c r="G732" s="65"/>
      <c r="H732" s="65"/>
      <c r="I732" s="30"/>
      <c r="J732" s="65"/>
      <c r="K732" s="65"/>
      <c r="L732" s="65"/>
      <c r="M732" s="30"/>
      <c r="N732" s="65"/>
      <c r="O732" s="65"/>
      <c r="P732" s="65"/>
      <c r="Q732" s="30"/>
      <c r="R732" s="65"/>
      <c r="S732" s="65"/>
      <c r="T732" s="65"/>
      <c r="U732" s="30"/>
      <c r="V732" s="65"/>
      <c r="W732" s="65"/>
      <c r="X732" s="65"/>
      <c r="Y732" s="30"/>
      <c r="Z732" s="65"/>
      <c r="AA732" s="65"/>
      <c r="AB732" s="65"/>
      <c r="AC732" s="30"/>
      <c r="AD732" s="65"/>
      <c r="AE732" s="65"/>
      <c r="AF732" s="65"/>
      <c r="AG732" s="65"/>
      <c r="AH732" s="30"/>
      <c r="AI732" s="65"/>
      <c r="AJ732" s="65"/>
      <c r="AK732" s="65"/>
      <c r="AL732" s="65"/>
      <c r="AM732" s="65"/>
      <c r="AN732" s="65"/>
      <c r="AO732" s="65"/>
    </row>
    <row r="733">
      <c r="A733" s="30"/>
      <c r="B733" s="65"/>
      <c r="C733" s="65"/>
      <c r="D733" s="65"/>
      <c r="E733" s="30"/>
      <c r="F733" s="65"/>
      <c r="G733" s="65"/>
      <c r="H733" s="65"/>
      <c r="I733" s="30"/>
      <c r="J733" s="65"/>
      <c r="K733" s="65"/>
      <c r="L733" s="65"/>
      <c r="M733" s="30"/>
      <c r="N733" s="65"/>
      <c r="O733" s="65"/>
      <c r="P733" s="65"/>
      <c r="Q733" s="30"/>
      <c r="R733" s="65"/>
      <c r="S733" s="65"/>
      <c r="T733" s="65"/>
      <c r="U733" s="30"/>
      <c r="V733" s="65"/>
      <c r="W733" s="65"/>
      <c r="X733" s="65"/>
      <c r="Y733" s="30"/>
      <c r="Z733" s="65"/>
      <c r="AA733" s="65"/>
      <c r="AB733" s="65"/>
      <c r="AC733" s="30"/>
      <c r="AD733" s="65"/>
      <c r="AE733" s="65"/>
      <c r="AF733" s="65"/>
      <c r="AG733" s="65"/>
      <c r="AH733" s="30"/>
      <c r="AI733" s="65"/>
      <c r="AJ733" s="65"/>
      <c r="AK733" s="65"/>
      <c r="AL733" s="65"/>
      <c r="AM733" s="65"/>
      <c r="AN733" s="65"/>
      <c r="AO733" s="65"/>
    </row>
    <row r="734">
      <c r="A734" s="30"/>
      <c r="B734" s="65"/>
      <c r="C734" s="65"/>
      <c r="D734" s="65"/>
      <c r="E734" s="30"/>
      <c r="F734" s="65"/>
      <c r="G734" s="65"/>
      <c r="H734" s="65"/>
      <c r="I734" s="30"/>
      <c r="J734" s="65"/>
      <c r="K734" s="65"/>
      <c r="L734" s="65"/>
      <c r="M734" s="30"/>
      <c r="N734" s="65"/>
      <c r="O734" s="65"/>
      <c r="P734" s="65"/>
      <c r="Q734" s="30"/>
      <c r="R734" s="65"/>
      <c r="S734" s="65"/>
      <c r="T734" s="65"/>
      <c r="U734" s="30"/>
      <c r="V734" s="65"/>
      <c r="W734" s="65"/>
      <c r="X734" s="65"/>
      <c r="Y734" s="30"/>
      <c r="Z734" s="65"/>
      <c r="AA734" s="65"/>
      <c r="AB734" s="65"/>
      <c r="AC734" s="30"/>
      <c r="AD734" s="65"/>
      <c r="AE734" s="65"/>
      <c r="AF734" s="65"/>
      <c r="AG734" s="65"/>
      <c r="AH734" s="30"/>
      <c r="AI734" s="65"/>
      <c r="AJ734" s="65"/>
      <c r="AK734" s="65"/>
      <c r="AL734" s="65"/>
      <c r="AM734" s="65"/>
      <c r="AN734" s="65"/>
      <c r="AO734" s="65"/>
    </row>
    <row r="735">
      <c r="A735" s="30"/>
      <c r="B735" s="65"/>
      <c r="C735" s="65"/>
      <c r="D735" s="65"/>
      <c r="E735" s="30"/>
      <c r="F735" s="65"/>
      <c r="G735" s="65"/>
      <c r="H735" s="65"/>
      <c r="I735" s="30"/>
      <c r="J735" s="65"/>
      <c r="K735" s="65"/>
      <c r="L735" s="65"/>
      <c r="M735" s="30"/>
      <c r="N735" s="65"/>
      <c r="O735" s="65"/>
      <c r="P735" s="65"/>
      <c r="Q735" s="30"/>
      <c r="R735" s="65"/>
      <c r="S735" s="65"/>
      <c r="T735" s="65"/>
      <c r="U735" s="30"/>
      <c r="V735" s="65"/>
      <c r="W735" s="65"/>
      <c r="X735" s="65"/>
      <c r="Y735" s="30"/>
      <c r="Z735" s="65"/>
      <c r="AA735" s="65"/>
      <c r="AB735" s="65"/>
      <c r="AC735" s="30"/>
      <c r="AD735" s="65"/>
      <c r="AE735" s="65"/>
      <c r="AF735" s="65"/>
      <c r="AG735" s="65"/>
      <c r="AH735" s="30"/>
      <c r="AI735" s="65"/>
      <c r="AJ735" s="65"/>
      <c r="AK735" s="65"/>
      <c r="AL735" s="65"/>
      <c r="AM735" s="65"/>
      <c r="AN735" s="65"/>
      <c r="AO735" s="65"/>
    </row>
    <row r="736">
      <c r="A736" s="30"/>
      <c r="B736" s="65"/>
      <c r="C736" s="65"/>
      <c r="D736" s="65"/>
      <c r="E736" s="30"/>
      <c r="F736" s="65"/>
      <c r="G736" s="65"/>
      <c r="H736" s="65"/>
      <c r="I736" s="30"/>
      <c r="J736" s="65"/>
      <c r="K736" s="65"/>
      <c r="L736" s="65"/>
      <c r="M736" s="30"/>
      <c r="N736" s="65"/>
      <c r="O736" s="65"/>
      <c r="P736" s="65"/>
      <c r="Q736" s="30"/>
      <c r="R736" s="65"/>
      <c r="S736" s="65"/>
      <c r="T736" s="65"/>
      <c r="U736" s="30"/>
      <c r="V736" s="65"/>
      <c r="W736" s="65"/>
      <c r="X736" s="65"/>
      <c r="Y736" s="30"/>
      <c r="Z736" s="65"/>
      <c r="AA736" s="65"/>
      <c r="AB736" s="65"/>
      <c r="AC736" s="30"/>
      <c r="AD736" s="65"/>
      <c r="AE736" s="65"/>
      <c r="AF736" s="65"/>
      <c r="AG736" s="65"/>
      <c r="AH736" s="30"/>
      <c r="AI736" s="65"/>
      <c r="AJ736" s="65"/>
      <c r="AK736" s="65"/>
      <c r="AL736" s="65"/>
      <c r="AM736" s="65"/>
      <c r="AN736" s="65"/>
      <c r="AO736" s="65"/>
    </row>
    <row r="737">
      <c r="A737" s="30"/>
      <c r="B737" s="65"/>
      <c r="C737" s="65"/>
      <c r="D737" s="65"/>
      <c r="E737" s="30"/>
      <c r="F737" s="65"/>
      <c r="G737" s="65"/>
      <c r="H737" s="65"/>
      <c r="I737" s="30"/>
      <c r="J737" s="65"/>
      <c r="K737" s="65"/>
      <c r="L737" s="65"/>
      <c r="M737" s="30"/>
      <c r="N737" s="65"/>
      <c r="O737" s="65"/>
      <c r="P737" s="65"/>
      <c r="Q737" s="30"/>
      <c r="R737" s="65"/>
      <c r="S737" s="65"/>
      <c r="T737" s="65"/>
      <c r="U737" s="30"/>
      <c r="V737" s="65"/>
      <c r="W737" s="65"/>
      <c r="X737" s="65"/>
      <c r="Y737" s="30"/>
      <c r="Z737" s="65"/>
      <c r="AA737" s="65"/>
      <c r="AB737" s="65"/>
      <c r="AC737" s="30"/>
      <c r="AD737" s="65"/>
      <c r="AE737" s="65"/>
      <c r="AF737" s="65"/>
      <c r="AG737" s="65"/>
      <c r="AH737" s="30"/>
      <c r="AI737" s="65"/>
      <c r="AJ737" s="65"/>
      <c r="AK737" s="65"/>
      <c r="AL737" s="65"/>
      <c r="AM737" s="65"/>
      <c r="AN737" s="65"/>
      <c r="AO737" s="65"/>
    </row>
    <row r="738">
      <c r="A738" s="30"/>
      <c r="B738" s="65"/>
      <c r="C738" s="65"/>
      <c r="D738" s="65"/>
      <c r="E738" s="30"/>
      <c r="F738" s="65"/>
      <c r="G738" s="65"/>
      <c r="H738" s="65"/>
      <c r="I738" s="30"/>
      <c r="J738" s="65"/>
      <c r="K738" s="65"/>
      <c r="L738" s="65"/>
      <c r="M738" s="30"/>
      <c r="N738" s="65"/>
      <c r="O738" s="65"/>
      <c r="P738" s="65"/>
      <c r="Q738" s="30"/>
      <c r="R738" s="65"/>
      <c r="S738" s="65"/>
      <c r="T738" s="65"/>
      <c r="U738" s="30"/>
      <c r="V738" s="65"/>
      <c r="W738" s="65"/>
      <c r="X738" s="65"/>
      <c r="Y738" s="30"/>
      <c r="Z738" s="65"/>
      <c r="AA738" s="65"/>
      <c r="AB738" s="65"/>
      <c r="AC738" s="30"/>
      <c r="AD738" s="65"/>
      <c r="AE738" s="65"/>
      <c r="AF738" s="65"/>
      <c r="AG738" s="65"/>
      <c r="AH738" s="30"/>
      <c r="AI738" s="65"/>
      <c r="AJ738" s="65"/>
      <c r="AK738" s="65"/>
      <c r="AL738" s="65"/>
      <c r="AM738" s="65"/>
      <c r="AN738" s="65"/>
      <c r="AO738" s="65"/>
    </row>
    <row r="739">
      <c r="A739" s="30"/>
      <c r="B739" s="65"/>
      <c r="C739" s="65"/>
      <c r="D739" s="65"/>
      <c r="E739" s="30"/>
      <c r="F739" s="65"/>
      <c r="G739" s="65"/>
      <c r="H739" s="65"/>
      <c r="I739" s="30"/>
      <c r="J739" s="65"/>
      <c r="K739" s="65"/>
      <c r="L739" s="65"/>
      <c r="M739" s="30"/>
      <c r="N739" s="65"/>
      <c r="O739" s="65"/>
      <c r="P739" s="65"/>
      <c r="Q739" s="30"/>
      <c r="R739" s="65"/>
      <c r="S739" s="65"/>
      <c r="T739" s="65"/>
      <c r="U739" s="30"/>
      <c r="V739" s="65"/>
      <c r="W739" s="65"/>
      <c r="X739" s="65"/>
      <c r="Y739" s="30"/>
      <c r="Z739" s="65"/>
      <c r="AA739" s="65"/>
      <c r="AB739" s="65"/>
      <c r="AC739" s="30"/>
      <c r="AD739" s="65"/>
      <c r="AE739" s="65"/>
      <c r="AF739" s="65"/>
      <c r="AG739" s="65"/>
      <c r="AH739" s="30"/>
      <c r="AI739" s="65"/>
      <c r="AJ739" s="65"/>
      <c r="AK739" s="65"/>
      <c r="AL739" s="65"/>
      <c r="AM739" s="65"/>
      <c r="AN739" s="65"/>
      <c r="AO739" s="65"/>
    </row>
    <row r="740">
      <c r="A740" s="30"/>
      <c r="B740" s="65"/>
      <c r="C740" s="65"/>
      <c r="D740" s="65"/>
      <c r="E740" s="30"/>
      <c r="F740" s="65"/>
      <c r="G740" s="65"/>
      <c r="H740" s="65"/>
      <c r="I740" s="30"/>
      <c r="J740" s="65"/>
      <c r="K740" s="65"/>
      <c r="L740" s="65"/>
      <c r="M740" s="30"/>
      <c r="N740" s="65"/>
      <c r="O740" s="65"/>
      <c r="P740" s="65"/>
      <c r="Q740" s="30"/>
      <c r="R740" s="65"/>
      <c r="S740" s="65"/>
      <c r="T740" s="65"/>
      <c r="U740" s="30"/>
      <c r="V740" s="65"/>
      <c r="W740" s="65"/>
      <c r="X740" s="65"/>
      <c r="Y740" s="30"/>
      <c r="Z740" s="65"/>
      <c r="AA740" s="65"/>
      <c r="AB740" s="65"/>
      <c r="AC740" s="30"/>
      <c r="AD740" s="65"/>
      <c r="AE740" s="65"/>
      <c r="AF740" s="65"/>
      <c r="AG740" s="65"/>
      <c r="AH740" s="30"/>
      <c r="AI740" s="65"/>
      <c r="AJ740" s="65"/>
      <c r="AK740" s="65"/>
      <c r="AL740" s="65"/>
      <c r="AM740" s="65"/>
      <c r="AN740" s="65"/>
      <c r="AO740" s="65"/>
    </row>
    <row r="741">
      <c r="A741" s="30"/>
      <c r="B741" s="65"/>
      <c r="C741" s="65"/>
      <c r="D741" s="65"/>
      <c r="E741" s="30"/>
      <c r="F741" s="65"/>
      <c r="G741" s="65"/>
      <c r="H741" s="65"/>
      <c r="I741" s="30"/>
      <c r="J741" s="65"/>
      <c r="K741" s="65"/>
      <c r="L741" s="65"/>
      <c r="M741" s="30"/>
      <c r="N741" s="65"/>
      <c r="O741" s="65"/>
      <c r="P741" s="65"/>
      <c r="Q741" s="30"/>
      <c r="R741" s="65"/>
      <c r="S741" s="65"/>
      <c r="T741" s="65"/>
      <c r="U741" s="30"/>
      <c r="V741" s="65"/>
      <c r="W741" s="65"/>
      <c r="X741" s="65"/>
      <c r="Y741" s="30"/>
      <c r="Z741" s="65"/>
      <c r="AA741" s="65"/>
      <c r="AB741" s="65"/>
      <c r="AC741" s="30"/>
      <c r="AD741" s="65"/>
      <c r="AE741" s="65"/>
      <c r="AF741" s="65"/>
      <c r="AG741" s="65"/>
      <c r="AH741" s="30"/>
      <c r="AI741" s="65"/>
      <c r="AJ741" s="65"/>
      <c r="AK741" s="65"/>
      <c r="AL741" s="65"/>
      <c r="AM741" s="65"/>
      <c r="AN741" s="65"/>
      <c r="AO741" s="65"/>
    </row>
    <row r="742">
      <c r="A742" s="30"/>
      <c r="B742" s="65"/>
      <c r="C742" s="65"/>
      <c r="D742" s="65"/>
      <c r="E742" s="30"/>
      <c r="F742" s="65"/>
      <c r="G742" s="65"/>
      <c r="H742" s="65"/>
      <c r="I742" s="30"/>
      <c r="J742" s="65"/>
      <c r="K742" s="65"/>
      <c r="L742" s="65"/>
      <c r="M742" s="30"/>
      <c r="N742" s="65"/>
      <c r="O742" s="65"/>
      <c r="P742" s="65"/>
      <c r="Q742" s="30"/>
      <c r="R742" s="65"/>
      <c r="S742" s="65"/>
      <c r="T742" s="65"/>
      <c r="U742" s="30"/>
      <c r="V742" s="65"/>
      <c r="W742" s="65"/>
      <c r="X742" s="65"/>
      <c r="Y742" s="30"/>
      <c r="Z742" s="65"/>
      <c r="AA742" s="65"/>
      <c r="AB742" s="65"/>
      <c r="AC742" s="30"/>
      <c r="AD742" s="65"/>
      <c r="AE742" s="65"/>
      <c r="AF742" s="65"/>
      <c r="AG742" s="65"/>
      <c r="AH742" s="30"/>
      <c r="AI742" s="65"/>
      <c r="AJ742" s="65"/>
      <c r="AK742" s="65"/>
      <c r="AL742" s="65"/>
      <c r="AM742" s="65"/>
      <c r="AN742" s="65"/>
      <c r="AO742" s="65"/>
    </row>
    <row r="743">
      <c r="A743" s="30"/>
      <c r="B743" s="65"/>
      <c r="C743" s="65"/>
      <c r="D743" s="65"/>
      <c r="E743" s="30"/>
      <c r="F743" s="65"/>
      <c r="G743" s="65"/>
      <c r="H743" s="65"/>
      <c r="I743" s="30"/>
      <c r="J743" s="65"/>
      <c r="K743" s="65"/>
      <c r="L743" s="65"/>
      <c r="M743" s="30"/>
      <c r="N743" s="65"/>
      <c r="O743" s="65"/>
      <c r="P743" s="65"/>
      <c r="Q743" s="30"/>
      <c r="R743" s="65"/>
      <c r="S743" s="65"/>
      <c r="T743" s="65"/>
      <c r="U743" s="30"/>
      <c r="V743" s="65"/>
      <c r="W743" s="65"/>
      <c r="X743" s="65"/>
      <c r="Y743" s="30"/>
      <c r="Z743" s="65"/>
      <c r="AA743" s="65"/>
      <c r="AB743" s="65"/>
      <c r="AC743" s="30"/>
      <c r="AD743" s="65"/>
      <c r="AE743" s="65"/>
      <c r="AF743" s="65"/>
      <c r="AG743" s="65"/>
      <c r="AH743" s="30"/>
      <c r="AI743" s="65"/>
      <c r="AJ743" s="65"/>
      <c r="AK743" s="65"/>
      <c r="AL743" s="65"/>
      <c r="AM743" s="65"/>
      <c r="AN743" s="65"/>
      <c r="AO743" s="65"/>
    </row>
    <row r="744">
      <c r="A744" s="30"/>
      <c r="B744" s="65"/>
      <c r="C744" s="65"/>
      <c r="D744" s="65"/>
      <c r="E744" s="30"/>
      <c r="F744" s="65"/>
      <c r="G744" s="65"/>
      <c r="H744" s="65"/>
      <c r="I744" s="30"/>
      <c r="J744" s="65"/>
      <c r="K744" s="65"/>
      <c r="L744" s="65"/>
      <c r="M744" s="30"/>
      <c r="N744" s="65"/>
      <c r="O744" s="65"/>
      <c r="P744" s="65"/>
      <c r="Q744" s="30"/>
      <c r="R744" s="65"/>
      <c r="S744" s="65"/>
      <c r="T744" s="65"/>
      <c r="U744" s="30"/>
      <c r="V744" s="65"/>
      <c r="W744" s="65"/>
      <c r="X744" s="65"/>
      <c r="Y744" s="30"/>
      <c r="Z744" s="65"/>
      <c r="AA744" s="65"/>
      <c r="AB744" s="65"/>
      <c r="AC744" s="30"/>
      <c r="AD744" s="65"/>
      <c r="AE744" s="65"/>
      <c r="AF744" s="65"/>
      <c r="AG744" s="65"/>
      <c r="AH744" s="30"/>
      <c r="AI744" s="65"/>
      <c r="AJ744" s="65"/>
      <c r="AK744" s="65"/>
      <c r="AL744" s="65"/>
      <c r="AM744" s="65"/>
      <c r="AN744" s="65"/>
      <c r="AO744" s="65"/>
    </row>
    <row r="745">
      <c r="A745" s="30"/>
      <c r="B745" s="65"/>
      <c r="C745" s="65"/>
      <c r="D745" s="65"/>
      <c r="E745" s="30"/>
      <c r="F745" s="65"/>
      <c r="G745" s="65"/>
      <c r="H745" s="65"/>
      <c r="I745" s="30"/>
      <c r="J745" s="65"/>
      <c r="K745" s="65"/>
      <c r="L745" s="65"/>
      <c r="M745" s="30"/>
      <c r="N745" s="65"/>
      <c r="O745" s="65"/>
      <c r="P745" s="65"/>
      <c r="Q745" s="30"/>
      <c r="R745" s="65"/>
      <c r="S745" s="65"/>
      <c r="T745" s="65"/>
      <c r="U745" s="30"/>
      <c r="V745" s="65"/>
      <c r="W745" s="65"/>
      <c r="X745" s="65"/>
      <c r="Y745" s="30"/>
      <c r="Z745" s="65"/>
      <c r="AA745" s="65"/>
      <c r="AB745" s="65"/>
      <c r="AC745" s="30"/>
      <c r="AD745" s="65"/>
      <c r="AE745" s="65"/>
      <c r="AF745" s="65"/>
      <c r="AG745" s="65"/>
      <c r="AH745" s="30"/>
      <c r="AI745" s="65"/>
      <c r="AJ745" s="65"/>
      <c r="AK745" s="65"/>
      <c r="AL745" s="65"/>
      <c r="AM745" s="65"/>
      <c r="AN745" s="65"/>
      <c r="AO745" s="65"/>
    </row>
    <row r="746">
      <c r="A746" s="30"/>
      <c r="B746" s="65"/>
      <c r="C746" s="65"/>
      <c r="D746" s="65"/>
      <c r="E746" s="30"/>
      <c r="F746" s="65"/>
      <c r="G746" s="65"/>
      <c r="H746" s="65"/>
      <c r="I746" s="30"/>
      <c r="J746" s="65"/>
      <c r="K746" s="65"/>
      <c r="L746" s="65"/>
      <c r="M746" s="30"/>
      <c r="N746" s="65"/>
      <c r="O746" s="65"/>
      <c r="P746" s="65"/>
      <c r="Q746" s="30"/>
      <c r="R746" s="65"/>
      <c r="S746" s="65"/>
      <c r="T746" s="65"/>
      <c r="U746" s="30"/>
      <c r="V746" s="65"/>
      <c r="W746" s="65"/>
      <c r="X746" s="65"/>
      <c r="Y746" s="30"/>
      <c r="Z746" s="65"/>
      <c r="AA746" s="65"/>
      <c r="AB746" s="65"/>
      <c r="AC746" s="30"/>
      <c r="AD746" s="65"/>
      <c r="AE746" s="65"/>
      <c r="AF746" s="65"/>
      <c r="AG746" s="65"/>
      <c r="AH746" s="30"/>
      <c r="AI746" s="65"/>
      <c r="AJ746" s="65"/>
      <c r="AK746" s="65"/>
      <c r="AL746" s="65"/>
      <c r="AM746" s="65"/>
      <c r="AN746" s="65"/>
      <c r="AO746" s="65"/>
    </row>
    <row r="747">
      <c r="A747" s="30"/>
      <c r="B747" s="65"/>
      <c r="C747" s="65"/>
      <c r="D747" s="65"/>
      <c r="E747" s="30"/>
      <c r="F747" s="65"/>
      <c r="G747" s="65"/>
      <c r="H747" s="65"/>
      <c r="I747" s="30"/>
      <c r="J747" s="65"/>
      <c r="K747" s="65"/>
      <c r="L747" s="65"/>
      <c r="M747" s="30"/>
      <c r="N747" s="65"/>
      <c r="O747" s="65"/>
      <c r="P747" s="65"/>
      <c r="Q747" s="30"/>
      <c r="R747" s="65"/>
      <c r="S747" s="65"/>
      <c r="T747" s="65"/>
      <c r="U747" s="30"/>
      <c r="V747" s="65"/>
      <c r="W747" s="65"/>
      <c r="X747" s="65"/>
      <c r="Y747" s="30"/>
      <c r="Z747" s="65"/>
      <c r="AA747" s="65"/>
      <c r="AB747" s="65"/>
      <c r="AC747" s="30"/>
      <c r="AD747" s="65"/>
      <c r="AE747" s="65"/>
      <c r="AF747" s="65"/>
      <c r="AG747" s="65"/>
      <c r="AH747" s="30"/>
      <c r="AI747" s="65"/>
      <c r="AJ747" s="65"/>
      <c r="AK747" s="65"/>
      <c r="AL747" s="65"/>
      <c r="AM747" s="65"/>
      <c r="AN747" s="65"/>
      <c r="AO747" s="65"/>
    </row>
    <row r="748">
      <c r="A748" s="30"/>
      <c r="B748" s="65"/>
      <c r="C748" s="65"/>
      <c r="D748" s="65"/>
      <c r="E748" s="30"/>
      <c r="F748" s="65"/>
      <c r="G748" s="65"/>
      <c r="H748" s="65"/>
      <c r="I748" s="30"/>
      <c r="J748" s="65"/>
      <c r="K748" s="65"/>
      <c r="L748" s="65"/>
      <c r="M748" s="30"/>
      <c r="N748" s="65"/>
      <c r="O748" s="65"/>
      <c r="P748" s="65"/>
      <c r="Q748" s="30"/>
      <c r="R748" s="65"/>
      <c r="S748" s="65"/>
      <c r="T748" s="65"/>
      <c r="U748" s="30"/>
      <c r="V748" s="65"/>
      <c r="W748" s="65"/>
      <c r="X748" s="65"/>
      <c r="Y748" s="30"/>
      <c r="Z748" s="65"/>
      <c r="AA748" s="65"/>
      <c r="AB748" s="65"/>
      <c r="AC748" s="30"/>
      <c r="AD748" s="65"/>
      <c r="AE748" s="65"/>
      <c r="AF748" s="65"/>
      <c r="AG748" s="65"/>
      <c r="AH748" s="30"/>
      <c r="AI748" s="65"/>
      <c r="AJ748" s="65"/>
      <c r="AK748" s="65"/>
      <c r="AL748" s="65"/>
      <c r="AM748" s="65"/>
      <c r="AN748" s="65"/>
      <c r="AO748" s="65"/>
    </row>
    <row r="749">
      <c r="A749" s="30"/>
      <c r="B749" s="65"/>
      <c r="C749" s="65"/>
      <c r="D749" s="65"/>
      <c r="E749" s="30"/>
      <c r="F749" s="65"/>
      <c r="G749" s="65"/>
      <c r="H749" s="65"/>
      <c r="I749" s="30"/>
      <c r="J749" s="65"/>
      <c r="K749" s="65"/>
      <c r="L749" s="65"/>
      <c r="M749" s="30"/>
      <c r="N749" s="65"/>
      <c r="O749" s="65"/>
      <c r="P749" s="65"/>
      <c r="Q749" s="30"/>
      <c r="R749" s="65"/>
      <c r="S749" s="65"/>
      <c r="T749" s="65"/>
      <c r="U749" s="30"/>
      <c r="V749" s="65"/>
      <c r="W749" s="65"/>
      <c r="X749" s="65"/>
      <c r="Y749" s="30"/>
      <c r="Z749" s="65"/>
      <c r="AA749" s="65"/>
      <c r="AB749" s="65"/>
      <c r="AC749" s="30"/>
      <c r="AD749" s="65"/>
      <c r="AE749" s="65"/>
      <c r="AF749" s="65"/>
      <c r="AG749" s="65"/>
      <c r="AH749" s="30"/>
      <c r="AI749" s="65"/>
      <c r="AJ749" s="65"/>
      <c r="AK749" s="65"/>
      <c r="AL749" s="65"/>
      <c r="AM749" s="65"/>
      <c r="AN749" s="65"/>
      <c r="AO749" s="65"/>
    </row>
    <row r="750">
      <c r="A750" s="30"/>
      <c r="B750" s="65"/>
      <c r="C750" s="65"/>
      <c r="D750" s="65"/>
      <c r="E750" s="30"/>
      <c r="F750" s="65"/>
      <c r="G750" s="65"/>
      <c r="H750" s="65"/>
      <c r="I750" s="30"/>
      <c r="J750" s="65"/>
      <c r="K750" s="65"/>
      <c r="L750" s="65"/>
      <c r="M750" s="30"/>
      <c r="N750" s="65"/>
      <c r="O750" s="65"/>
      <c r="P750" s="65"/>
      <c r="Q750" s="30"/>
      <c r="R750" s="65"/>
      <c r="S750" s="65"/>
      <c r="T750" s="65"/>
      <c r="U750" s="30"/>
      <c r="V750" s="65"/>
      <c r="W750" s="65"/>
      <c r="X750" s="65"/>
      <c r="Y750" s="30"/>
      <c r="Z750" s="65"/>
      <c r="AA750" s="65"/>
      <c r="AB750" s="65"/>
      <c r="AC750" s="30"/>
      <c r="AD750" s="65"/>
      <c r="AE750" s="65"/>
      <c r="AF750" s="65"/>
      <c r="AG750" s="65"/>
      <c r="AH750" s="30"/>
      <c r="AI750" s="65"/>
      <c r="AJ750" s="65"/>
      <c r="AK750" s="65"/>
      <c r="AL750" s="65"/>
      <c r="AM750" s="65"/>
      <c r="AN750" s="65"/>
      <c r="AO750" s="65"/>
    </row>
    <row r="751">
      <c r="A751" s="30"/>
      <c r="B751" s="65"/>
      <c r="C751" s="65"/>
      <c r="D751" s="65"/>
      <c r="E751" s="30"/>
      <c r="F751" s="65"/>
      <c r="G751" s="65"/>
      <c r="H751" s="65"/>
      <c r="I751" s="30"/>
      <c r="J751" s="65"/>
      <c r="K751" s="65"/>
      <c r="L751" s="65"/>
      <c r="M751" s="30"/>
      <c r="N751" s="65"/>
      <c r="O751" s="65"/>
      <c r="P751" s="65"/>
      <c r="Q751" s="30"/>
      <c r="R751" s="65"/>
      <c r="S751" s="65"/>
      <c r="T751" s="65"/>
      <c r="U751" s="30"/>
      <c r="V751" s="65"/>
      <c r="W751" s="65"/>
      <c r="X751" s="65"/>
      <c r="Y751" s="30"/>
      <c r="Z751" s="65"/>
      <c r="AA751" s="65"/>
      <c r="AB751" s="65"/>
      <c r="AC751" s="30"/>
      <c r="AD751" s="65"/>
      <c r="AE751" s="65"/>
      <c r="AF751" s="65"/>
      <c r="AG751" s="65"/>
      <c r="AH751" s="30"/>
      <c r="AI751" s="65"/>
      <c r="AJ751" s="65"/>
      <c r="AK751" s="65"/>
      <c r="AL751" s="65"/>
      <c r="AM751" s="65"/>
      <c r="AN751" s="65"/>
      <c r="AO751" s="65"/>
    </row>
    <row r="752">
      <c r="A752" s="30"/>
      <c r="B752" s="65"/>
      <c r="C752" s="65"/>
      <c r="D752" s="65"/>
      <c r="E752" s="30"/>
      <c r="F752" s="65"/>
      <c r="G752" s="65"/>
      <c r="H752" s="65"/>
      <c r="I752" s="30"/>
      <c r="J752" s="65"/>
      <c r="K752" s="65"/>
      <c r="L752" s="65"/>
      <c r="M752" s="30"/>
      <c r="N752" s="65"/>
      <c r="O752" s="65"/>
      <c r="P752" s="65"/>
      <c r="Q752" s="30"/>
      <c r="R752" s="65"/>
      <c r="S752" s="65"/>
      <c r="T752" s="65"/>
      <c r="U752" s="30"/>
      <c r="V752" s="65"/>
      <c r="W752" s="65"/>
      <c r="X752" s="65"/>
      <c r="Y752" s="30"/>
      <c r="Z752" s="65"/>
      <c r="AA752" s="65"/>
      <c r="AB752" s="65"/>
      <c r="AC752" s="30"/>
      <c r="AD752" s="65"/>
      <c r="AE752" s="65"/>
      <c r="AF752" s="65"/>
      <c r="AG752" s="65"/>
      <c r="AH752" s="30"/>
      <c r="AI752" s="65"/>
      <c r="AJ752" s="65"/>
      <c r="AK752" s="65"/>
      <c r="AL752" s="65"/>
      <c r="AM752" s="65"/>
      <c r="AN752" s="65"/>
      <c r="AO752" s="65"/>
    </row>
    <row r="753">
      <c r="A753" s="30"/>
      <c r="B753" s="65"/>
      <c r="C753" s="65"/>
      <c r="D753" s="65"/>
      <c r="E753" s="30"/>
      <c r="F753" s="65"/>
      <c r="G753" s="65"/>
      <c r="H753" s="65"/>
      <c r="I753" s="30"/>
      <c r="J753" s="65"/>
      <c r="K753" s="65"/>
      <c r="L753" s="65"/>
      <c r="M753" s="30"/>
      <c r="N753" s="65"/>
      <c r="O753" s="65"/>
      <c r="P753" s="65"/>
      <c r="Q753" s="30"/>
      <c r="R753" s="65"/>
      <c r="S753" s="65"/>
      <c r="T753" s="65"/>
      <c r="U753" s="30"/>
      <c r="V753" s="65"/>
      <c r="W753" s="65"/>
      <c r="X753" s="65"/>
      <c r="Y753" s="30"/>
      <c r="Z753" s="65"/>
      <c r="AA753" s="65"/>
      <c r="AB753" s="65"/>
      <c r="AC753" s="30"/>
      <c r="AD753" s="65"/>
      <c r="AE753" s="65"/>
      <c r="AF753" s="65"/>
      <c r="AG753" s="65"/>
      <c r="AH753" s="30"/>
      <c r="AI753" s="65"/>
      <c r="AJ753" s="65"/>
      <c r="AK753" s="65"/>
      <c r="AL753" s="65"/>
      <c r="AM753" s="65"/>
      <c r="AN753" s="65"/>
      <c r="AO753" s="65"/>
    </row>
    <row r="754">
      <c r="A754" s="30"/>
      <c r="B754" s="65"/>
      <c r="C754" s="65"/>
      <c r="D754" s="65"/>
      <c r="E754" s="30"/>
      <c r="F754" s="65"/>
      <c r="G754" s="65"/>
      <c r="H754" s="65"/>
      <c r="I754" s="30"/>
      <c r="J754" s="65"/>
      <c r="K754" s="65"/>
      <c r="L754" s="65"/>
      <c r="M754" s="30"/>
      <c r="N754" s="65"/>
      <c r="O754" s="65"/>
      <c r="P754" s="65"/>
      <c r="Q754" s="30"/>
      <c r="R754" s="65"/>
      <c r="S754" s="65"/>
      <c r="T754" s="65"/>
      <c r="U754" s="30"/>
      <c r="V754" s="65"/>
      <c r="W754" s="65"/>
      <c r="X754" s="65"/>
      <c r="Y754" s="30"/>
      <c r="Z754" s="65"/>
      <c r="AA754" s="65"/>
      <c r="AB754" s="65"/>
      <c r="AC754" s="30"/>
      <c r="AD754" s="65"/>
      <c r="AE754" s="65"/>
      <c r="AF754" s="65"/>
      <c r="AG754" s="65"/>
      <c r="AH754" s="30"/>
      <c r="AI754" s="65"/>
      <c r="AJ754" s="65"/>
      <c r="AK754" s="65"/>
      <c r="AL754" s="65"/>
      <c r="AM754" s="65"/>
      <c r="AN754" s="65"/>
      <c r="AO754" s="65"/>
    </row>
    <row r="755">
      <c r="A755" s="30"/>
      <c r="B755" s="65"/>
      <c r="C755" s="65"/>
      <c r="D755" s="65"/>
      <c r="E755" s="30"/>
      <c r="F755" s="65"/>
      <c r="G755" s="65"/>
      <c r="H755" s="65"/>
      <c r="I755" s="30"/>
      <c r="J755" s="65"/>
      <c r="K755" s="65"/>
      <c r="L755" s="65"/>
      <c r="M755" s="30"/>
      <c r="N755" s="65"/>
      <c r="O755" s="65"/>
      <c r="P755" s="65"/>
      <c r="Q755" s="30"/>
      <c r="R755" s="65"/>
      <c r="S755" s="65"/>
      <c r="T755" s="65"/>
      <c r="U755" s="30"/>
      <c r="V755" s="65"/>
      <c r="W755" s="65"/>
      <c r="X755" s="65"/>
      <c r="Y755" s="30"/>
      <c r="Z755" s="65"/>
      <c r="AA755" s="65"/>
      <c r="AB755" s="65"/>
      <c r="AC755" s="30"/>
      <c r="AD755" s="65"/>
      <c r="AE755" s="65"/>
      <c r="AF755" s="65"/>
      <c r="AG755" s="65"/>
      <c r="AH755" s="30"/>
      <c r="AI755" s="65"/>
      <c r="AJ755" s="65"/>
      <c r="AK755" s="65"/>
      <c r="AL755" s="65"/>
      <c r="AM755" s="65"/>
      <c r="AN755" s="65"/>
      <c r="AO755" s="65"/>
    </row>
    <row r="756">
      <c r="A756" s="30"/>
      <c r="B756" s="65"/>
      <c r="C756" s="65"/>
      <c r="D756" s="65"/>
      <c r="E756" s="30"/>
      <c r="F756" s="65"/>
      <c r="G756" s="65"/>
      <c r="H756" s="65"/>
      <c r="I756" s="30"/>
      <c r="J756" s="65"/>
      <c r="K756" s="65"/>
      <c r="L756" s="65"/>
      <c r="M756" s="30"/>
      <c r="N756" s="65"/>
      <c r="O756" s="65"/>
      <c r="P756" s="65"/>
      <c r="Q756" s="30"/>
      <c r="R756" s="65"/>
      <c r="S756" s="65"/>
      <c r="T756" s="65"/>
      <c r="U756" s="30"/>
      <c r="V756" s="65"/>
      <c r="W756" s="65"/>
      <c r="X756" s="65"/>
      <c r="Y756" s="30"/>
      <c r="Z756" s="65"/>
      <c r="AA756" s="65"/>
      <c r="AB756" s="65"/>
      <c r="AC756" s="30"/>
      <c r="AD756" s="65"/>
      <c r="AE756" s="65"/>
      <c r="AF756" s="65"/>
      <c r="AG756" s="65"/>
      <c r="AH756" s="30"/>
      <c r="AI756" s="65"/>
      <c r="AJ756" s="65"/>
      <c r="AK756" s="65"/>
      <c r="AL756" s="65"/>
      <c r="AM756" s="65"/>
      <c r="AN756" s="65"/>
      <c r="AO756" s="65"/>
    </row>
    <row r="757">
      <c r="A757" s="30"/>
      <c r="B757" s="65"/>
      <c r="C757" s="65"/>
      <c r="D757" s="65"/>
      <c r="E757" s="30"/>
      <c r="F757" s="65"/>
      <c r="G757" s="65"/>
      <c r="H757" s="65"/>
      <c r="I757" s="30"/>
      <c r="J757" s="65"/>
      <c r="K757" s="65"/>
      <c r="L757" s="65"/>
      <c r="M757" s="30"/>
      <c r="N757" s="65"/>
      <c r="O757" s="65"/>
      <c r="P757" s="65"/>
      <c r="Q757" s="30"/>
      <c r="R757" s="65"/>
      <c r="S757" s="65"/>
      <c r="T757" s="65"/>
      <c r="U757" s="30"/>
      <c r="V757" s="65"/>
      <c r="W757" s="65"/>
      <c r="X757" s="65"/>
      <c r="Y757" s="30"/>
      <c r="Z757" s="65"/>
      <c r="AA757" s="65"/>
      <c r="AB757" s="65"/>
      <c r="AC757" s="30"/>
      <c r="AD757" s="65"/>
      <c r="AE757" s="65"/>
      <c r="AF757" s="65"/>
      <c r="AG757" s="65"/>
      <c r="AH757" s="30"/>
      <c r="AI757" s="65"/>
      <c r="AJ757" s="65"/>
      <c r="AK757" s="65"/>
      <c r="AL757" s="65"/>
      <c r="AM757" s="65"/>
      <c r="AN757" s="65"/>
      <c r="AO757" s="65"/>
    </row>
    <row r="758">
      <c r="A758" s="30"/>
      <c r="B758" s="65"/>
      <c r="C758" s="65"/>
      <c r="D758" s="65"/>
      <c r="E758" s="30"/>
      <c r="F758" s="65"/>
      <c r="G758" s="65"/>
      <c r="H758" s="65"/>
      <c r="I758" s="30"/>
      <c r="J758" s="65"/>
      <c r="K758" s="65"/>
      <c r="L758" s="65"/>
      <c r="M758" s="30"/>
      <c r="N758" s="65"/>
      <c r="O758" s="65"/>
      <c r="P758" s="65"/>
      <c r="Q758" s="30"/>
      <c r="R758" s="65"/>
      <c r="S758" s="65"/>
      <c r="T758" s="65"/>
      <c r="U758" s="30"/>
      <c r="V758" s="65"/>
      <c r="W758" s="65"/>
      <c r="X758" s="65"/>
      <c r="Y758" s="30"/>
      <c r="Z758" s="65"/>
      <c r="AA758" s="65"/>
      <c r="AB758" s="65"/>
      <c r="AC758" s="30"/>
      <c r="AD758" s="65"/>
      <c r="AE758" s="65"/>
      <c r="AF758" s="65"/>
      <c r="AG758" s="65"/>
      <c r="AH758" s="30"/>
      <c r="AI758" s="65"/>
      <c r="AJ758" s="65"/>
      <c r="AK758" s="65"/>
      <c r="AL758" s="65"/>
      <c r="AM758" s="65"/>
      <c r="AN758" s="65"/>
      <c r="AO758" s="65"/>
    </row>
    <row r="759">
      <c r="A759" s="30"/>
      <c r="B759" s="65"/>
      <c r="C759" s="65"/>
      <c r="D759" s="65"/>
      <c r="E759" s="30"/>
      <c r="F759" s="65"/>
      <c r="G759" s="65"/>
      <c r="H759" s="65"/>
      <c r="I759" s="30"/>
      <c r="J759" s="65"/>
      <c r="K759" s="65"/>
      <c r="L759" s="65"/>
      <c r="M759" s="30"/>
      <c r="N759" s="65"/>
      <c r="O759" s="65"/>
      <c r="P759" s="65"/>
      <c r="Q759" s="30"/>
      <c r="R759" s="65"/>
      <c r="S759" s="65"/>
      <c r="T759" s="65"/>
      <c r="U759" s="30"/>
      <c r="V759" s="65"/>
      <c r="W759" s="65"/>
      <c r="X759" s="65"/>
      <c r="Y759" s="30"/>
      <c r="Z759" s="65"/>
      <c r="AA759" s="65"/>
      <c r="AB759" s="65"/>
      <c r="AC759" s="30"/>
      <c r="AD759" s="65"/>
      <c r="AE759" s="65"/>
      <c r="AF759" s="65"/>
      <c r="AG759" s="65"/>
      <c r="AH759" s="30"/>
      <c r="AI759" s="65"/>
      <c r="AJ759" s="65"/>
      <c r="AK759" s="65"/>
      <c r="AL759" s="65"/>
      <c r="AM759" s="65"/>
      <c r="AN759" s="65"/>
      <c r="AO759" s="65"/>
    </row>
    <row r="760">
      <c r="A760" s="30"/>
      <c r="B760" s="65"/>
      <c r="C760" s="65"/>
      <c r="D760" s="65"/>
      <c r="E760" s="30"/>
      <c r="F760" s="65"/>
      <c r="G760" s="65"/>
      <c r="H760" s="65"/>
      <c r="I760" s="30"/>
      <c r="J760" s="65"/>
      <c r="K760" s="65"/>
      <c r="L760" s="65"/>
      <c r="M760" s="30"/>
      <c r="N760" s="65"/>
      <c r="O760" s="65"/>
      <c r="P760" s="65"/>
      <c r="Q760" s="30"/>
      <c r="R760" s="65"/>
      <c r="S760" s="65"/>
      <c r="T760" s="65"/>
      <c r="U760" s="30"/>
      <c r="V760" s="65"/>
      <c r="W760" s="65"/>
      <c r="X760" s="65"/>
      <c r="Y760" s="30"/>
      <c r="Z760" s="65"/>
      <c r="AA760" s="65"/>
      <c r="AB760" s="65"/>
      <c r="AC760" s="30"/>
      <c r="AD760" s="65"/>
      <c r="AE760" s="65"/>
      <c r="AF760" s="65"/>
      <c r="AG760" s="65"/>
      <c r="AH760" s="30"/>
      <c r="AI760" s="65"/>
      <c r="AJ760" s="65"/>
      <c r="AK760" s="65"/>
      <c r="AL760" s="65"/>
      <c r="AM760" s="65"/>
      <c r="AN760" s="65"/>
      <c r="AO760" s="65"/>
    </row>
    <row r="761">
      <c r="A761" s="30"/>
      <c r="B761" s="65"/>
      <c r="C761" s="65"/>
      <c r="D761" s="65"/>
      <c r="E761" s="30"/>
      <c r="F761" s="65"/>
      <c r="G761" s="65"/>
      <c r="H761" s="65"/>
      <c r="I761" s="30"/>
      <c r="J761" s="65"/>
      <c r="K761" s="65"/>
      <c r="L761" s="65"/>
      <c r="M761" s="30"/>
      <c r="N761" s="65"/>
      <c r="O761" s="65"/>
      <c r="P761" s="65"/>
      <c r="Q761" s="30"/>
      <c r="R761" s="65"/>
      <c r="S761" s="65"/>
      <c r="T761" s="65"/>
      <c r="U761" s="30"/>
      <c r="V761" s="65"/>
      <c r="W761" s="65"/>
      <c r="X761" s="65"/>
      <c r="Y761" s="30"/>
      <c r="Z761" s="65"/>
      <c r="AA761" s="65"/>
      <c r="AB761" s="65"/>
      <c r="AC761" s="30"/>
      <c r="AD761" s="65"/>
      <c r="AE761" s="65"/>
      <c r="AF761" s="65"/>
      <c r="AG761" s="65"/>
      <c r="AH761" s="30"/>
      <c r="AI761" s="65"/>
      <c r="AJ761" s="65"/>
      <c r="AK761" s="65"/>
      <c r="AL761" s="65"/>
      <c r="AM761" s="65"/>
      <c r="AN761" s="65"/>
      <c r="AO761" s="65"/>
    </row>
    <row r="762">
      <c r="A762" s="30"/>
      <c r="B762" s="65"/>
      <c r="C762" s="65"/>
      <c r="D762" s="65"/>
      <c r="E762" s="30"/>
      <c r="F762" s="65"/>
      <c r="G762" s="65"/>
      <c r="H762" s="65"/>
      <c r="I762" s="30"/>
      <c r="J762" s="65"/>
      <c r="K762" s="65"/>
      <c r="L762" s="65"/>
      <c r="M762" s="30"/>
      <c r="N762" s="65"/>
      <c r="O762" s="65"/>
      <c r="P762" s="65"/>
      <c r="Q762" s="30"/>
      <c r="R762" s="65"/>
      <c r="S762" s="65"/>
      <c r="T762" s="65"/>
      <c r="U762" s="30"/>
      <c r="V762" s="65"/>
      <c r="W762" s="65"/>
      <c r="X762" s="65"/>
      <c r="Y762" s="30"/>
      <c r="Z762" s="65"/>
      <c r="AA762" s="65"/>
      <c r="AB762" s="65"/>
      <c r="AC762" s="30"/>
      <c r="AD762" s="65"/>
      <c r="AE762" s="65"/>
      <c r="AF762" s="65"/>
      <c r="AG762" s="65"/>
      <c r="AH762" s="30"/>
      <c r="AI762" s="65"/>
      <c r="AJ762" s="65"/>
      <c r="AK762" s="65"/>
      <c r="AL762" s="65"/>
      <c r="AM762" s="65"/>
      <c r="AN762" s="65"/>
      <c r="AO762" s="65"/>
    </row>
    <row r="763">
      <c r="A763" s="30"/>
      <c r="B763" s="65"/>
      <c r="C763" s="65"/>
      <c r="D763" s="65"/>
      <c r="E763" s="30"/>
      <c r="F763" s="65"/>
      <c r="G763" s="65"/>
      <c r="H763" s="65"/>
      <c r="I763" s="30"/>
      <c r="J763" s="65"/>
      <c r="K763" s="65"/>
      <c r="L763" s="65"/>
      <c r="M763" s="30"/>
      <c r="N763" s="65"/>
      <c r="O763" s="65"/>
      <c r="P763" s="65"/>
      <c r="Q763" s="30"/>
      <c r="R763" s="65"/>
      <c r="S763" s="65"/>
      <c r="T763" s="65"/>
      <c r="U763" s="30"/>
      <c r="V763" s="65"/>
      <c r="W763" s="65"/>
      <c r="X763" s="65"/>
      <c r="Y763" s="30"/>
      <c r="Z763" s="65"/>
      <c r="AA763" s="65"/>
      <c r="AB763" s="65"/>
      <c r="AC763" s="30"/>
      <c r="AD763" s="65"/>
      <c r="AE763" s="65"/>
      <c r="AF763" s="65"/>
      <c r="AG763" s="65"/>
      <c r="AH763" s="30"/>
      <c r="AI763" s="65"/>
      <c r="AJ763" s="65"/>
      <c r="AK763" s="65"/>
      <c r="AL763" s="65"/>
      <c r="AM763" s="65"/>
      <c r="AN763" s="65"/>
      <c r="AO763" s="65"/>
    </row>
    <row r="764">
      <c r="A764" s="30"/>
      <c r="B764" s="65"/>
      <c r="C764" s="65"/>
      <c r="D764" s="65"/>
      <c r="E764" s="30"/>
      <c r="F764" s="65"/>
      <c r="G764" s="65"/>
      <c r="H764" s="65"/>
      <c r="I764" s="30"/>
      <c r="J764" s="65"/>
      <c r="K764" s="65"/>
      <c r="L764" s="65"/>
      <c r="M764" s="30"/>
      <c r="N764" s="65"/>
      <c r="O764" s="65"/>
      <c r="P764" s="65"/>
      <c r="Q764" s="30"/>
      <c r="R764" s="65"/>
      <c r="S764" s="65"/>
      <c r="T764" s="65"/>
      <c r="U764" s="30"/>
      <c r="V764" s="65"/>
      <c r="W764" s="65"/>
      <c r="X764" s="65"/>
      <c r="Y764" s="30"/>
      <c r="Z764" s="65"/>
      <c r="AA764" s="65"/>
      <c r="AB764" s="65"/>
      <c r="AC764" s="30"/>
      <c r="AD764" s="65"/>
      <c r="AE764" s="65"/>
      <c r="AF764" s="65"/>
      <c r="AG764" s="65"/>
      <c r="AH764" s="30"/>
      <c r="AI764" s="65"/>
      <c r="AJ764" s="65"/>
      <c r="AK764" s="65"/>
      <c r="AL764" s="65"/>
      <c r="AM764" s="65"/>
      <c r="AN764" s="65"/>
      <c r="AO764" s="65"/>
    </row>
    <row r="765">
      <c r="A765" s="30"/>
      <c r="B765" s="65"/>
      <c r="C765" s="65"/>
      <c r="D765" s="65"/>
      <c r="E765" s="30"/>
      <c r="F765" s="65"/>
      <c r="G765" s="65"/>
      <c r="H765" s="65"/>
      <c r="I765" s="30"/>
      <c r="J765" s="65"/>
      <c r="K765" s="65"/>
      <c r="L765" s="65"/>
      <c r="M765" s="30"/>
      <c r="N765" s="65"/>
      <c r="O765" s="65"/>
      <c r="P765" s="65"/>
      <c r="Q765" s="30"/>
      <c r="R765" s="65"/>
      <c r="S765" s="65"/>
      <c r="T765" s="65"/>
      <c r="U765" s="30"/>
      <c r="V765" s="65"/>
      <c r="W765" s="65"/>
      <c r="X765" s="65"/>
      <c r="Y765" s="30"/>
      <c r="Z765" s="65"/>
      <c r="AA765" s="65"/>
      <c r="AB765" s="65"/>
      <c r="AC765" s="30"/>
      <c r="AD765" s="65"/>
      <c r="AE765" s="65"/>
      <c r="AF765" s="65"/>
      <c r="AG765" s="65"/>
      <c r="AH765" s="30"/>
      <c r="AI765" s="65"/>
      <c r="AJ765" s="65"/>
      <c r="AK765" s="65"/>
      <c r="AL765" s="65"/>
      <c r="AM765" s="65"/>
      <c r="AN765" s="65"/>
      <c r="AO765" s="65"/>
    </row>
    <row r="766">
      <c r="A766" s="30"/>
      <c r="B766" s="65"/>
      <c r="C766" s="65"/>
      <c r="D766" s="65"/>
      <c r="E766" s="30"/>
      <c r="F766" s="65"/>
      <c r="G766" s="65"/>
      <c r="H766" s="65"/>
      <c r="I766" s="30"/>
      <c r="J766" s="65"/>
      <c r="K766" s="65"/>
      <c r="L766" s="65"/>
      <c r="M766" s="30"/>
      <c r="N766" s="65"/>
      <c r="O766" s="65"/>
      <c r="P766" s="65"/>
      <c r="Q766" s="30"/>
      <c r="R766" s="65"/>
      <c r="S766" s="65"/>
      <c r="T766" s="65"/>
      <c r="U766" s="30"/>
      <c r="V766" s="65"/>
      <c r="W766" s="65"/>
      <c r="X766" s="65"/>
      <c r="Y766" s="30"/>
      <c r="Z766" s="65"/>
      <c r="AA766" s="65"/>
      <c r="AB766" s="65"/>
      <c r="AC766" s="30"/>
      <c r="AD766" s="65"/>
      <c r="AE766" s="65"/>
      <c r="AF766" s="65"/>
      <c r="AG766" s="65"/>
      <c r="AH766" s="30"/>
      <c r="AI766" s="65"/>
      <c r="AJ766" s="65"/>
      <c r="AK766" s="65"/>
      <c r="AL766" s="65"/>
      <c r="AM766" s="65"/>
      <c r="AN766" s="65"/>
      <c r="AO766" s="65"/>
    </row>
    <row r="767">
      <c r="A767" s="30"/>
      <c r="B767" s="65"/>
      <c r="C767" s="65"/>
      <c r="D767" s="65"/>
      <c r="E767" s="30"/>
      <c r="F767" s="65"/>
      <c r="G767" s="65"/>
      <c r="H767" s="65"/>
      <c r="I767" s="30"/>
      <c r="J767" s="65"/>
      <c r="K767" s="65"/>
      <c r="L767" s="65"/>
      <c r="M767" s="30"/>
      <c r="N767" s="65"/>
      <c r="O767" s="65"/>
      <c r="P767" s="65"/>
      <c r="Q767" s="30"/>
      <c r="R767" s="65"/>
      <c r="S767" s="65"/>
      <c r="T767" s="65"/>
      <c r="U767" s="30"/>
      <c r="V767" s="65"/>
      <c r="W767" s="65"/>
      <c r="X767" s="65"/>
      <c r="Y767" s="30"/>
      <c r="Z767" s="65"/>
      <c r="AA767" s="65"/>
      <c r="AB767" s="65"/>
      <c r="AC767" s="30"/>
      <c r="AD767" s="65"/>
      <c r="AE767" s="65"/>
      <c r="AF767" s="65"/>
      <c r="AG767" s="65"/>
      <c r="AH767" s="30"/>
      <c r="AI767" s="65"/>
      <c r="AJ767" s="65"/>
      <c r="AK767" s="65"/>
      <c r="AL767" s="65"/>
      <c r="AM767" s="65"/>
      <c r="AN767" s="65"/>
      <c r="AO767" s="65"/>
    </row>
    <row r="768">
      <c r="A768" s="30"/>
      <c r="B768" s="65"/>
      <c r="C768" s="65"/>
      <c r="D768" s="65"/>
      <c r="E768" s="30"/>
      <c r="F768" s="65"/>
      <c r="G768" s="65"/>
      <c r="H768" s="65"/>
      <c r="I768" s="30"/>
      <c r="J768" s="65"/>
      <c r="K768" s="65"/>
      <c r="L768" s="65"/>
      <c r="M768" s="30"/>
      <c r="N768" s="65"/>
      <c r="O768" s="65"/>
      <c r="P768" s="65"/>
      <c r="Q768" s="30"/>
      <c r="R768" s="65"/>
      <c r="S768" s="65"/>
      <c r="T768" s="65"/>
      <c r="U768" s="30"/>
      <c r="V768" s="65"/>
      <c r="W768" s="65"/>
      <c r="X768" s="65"/>
      <c r="Y768" s="30"/>
      <c r="Z768" s="65"/>
      <c r="AA768" s="65"/>
      <c r="AB768" s="65"/>
      <c r="AC768" s="30"/>
      <c r="AD768" s="65"/>
      <c r="AE768" s="65"/>
      <c r="AF768" s="65"/>
      <c r="AG768" s="65"/>
      <c r="AH768" s="30"/>
      <c r="AI768" s="65"/>
      <c r="AJ768" s="65"/>
      <c r="AK768" s="65"/>
      <c r="AL768" s="65"/>
      <c r="AM768" s="65"/>
      <c r="AN768" s="65"/>
      <c r="AO768" s="65"/>
    </row>
    <row r="769">
      <c r="A769" s="30"/>
      <c r="B769" s="65"/>
      <c r="C769" s="65"/>
      <c r="D769" s="65"/>
      <c r="E769" s="30"/>
      <c r="F769" s="65"/>
      <c r="G769" s="65"/>
      <c r="H769" s="65"/>
      <c r="I769" s="30"/>
      <c r="J769" s="65"/>
      <c r="K769" s="65"/>
      <c r="L769" s="65"/>
      <c r="M769" s="30"/>
      <c r="N769" s="65"/>
      <c r="O769" s="65"/>
      <c r="P769" s="65"/>
      <c r="Q769" s="30"/>
      <c r="R769" s="65"/>
      <c r="S769" s="65"/>
      <c r="T769" s="65"/>
      <c r="U769" s="30"/>
      <c r="V769" s="65"/>
      <c r="W769" s="65"/>
      <c r="X769" s="65"/>
      <c r="Y769" s="30"/>
      <c r="Z769" s="65"/>
      <c r="AA769" s="65"/>
      <c r="AB769" s="65"/>
      <c r="AC769" s="30"/>
      <c r="AD769" s="65"/>
      <c r="AE769" s="65"/>
      <c r="AF769" s="65"/>
      <c r="AG769" s="65"/>
      <c r="AH769" s="30"/>
      <c r="AI769" s="65"/>
      <c r="AJ769" s="65"/>
      <c r="AK769" s="65"/>
      <c r="AL769" s="65"/>
      <c r="AM769" s="65"/>
      <c r="AN769" s="65"/>
      <c r="AO769" s="65"/>
    </row>
    <row r="770">
      <c r="A770" s="30"/>
      <c r="B770" s="65"/>
      <c r="C770" s="65"/>
      <c r="D770" s="65"/>
      <c r="E770" s="30"/>
      <c r="F770" s="65"/>
      <c r="G770" s="65"/>
      <c r="H770" s="65"/>
      <c r="I770" s="30"/>
      <c r="J770" s="65"/>
      <c r="K770" s="65"/>
      <c r="L770" s="65"/>
      <c r="M770" s="30"/>
      <c r="N770" s="65"/>
      <c r="O770" s="65"/>
      <c r="P770" s="65"/>
      <c r="Q770" s="30"/>
      <c r="R770" s="65"/>
      <c r="S770" s="65"/>
      <c r="T770" s="65"/>
      <c r="U770" s="30"/>
      <c r="V770" s="65"/>
      <c r="W770" s="65"/>
      <c r="X770" s="65"/>
      <c r="Y770" s="30"/>
      <c r="Z770" s="65"/>
      <c r="AA770" s="65"/>
      <c r="AB770" s="65"/>
      <c r="AC770" s="30"/>
      <c r="AD770" s="65"/>
      <c r="AE770" s="65"/>
      <c r="AF770" s="65"/>
      <c r="AG770" s="65"/>
      <c r="AH770" s="30"/>
      <c r="AI770" s="65"/>
      <c r="AJ770" s="65"/>
      <c r="AK770" s="65"/>
      <c r="AL770" s="65"/>
      <c r="AM770" s="65"/>
      <c r="AN770" s="65"/>
      <c r="AO770" s="65"/>
    </row>
    <row r="771">
      <c r="A771" s="30"/>
      <c r="B771" s="65"/>
      <c r="C771" s="65"/>
      <c r="D771" s="65"/>
      <c r="E771" s="30"/>
      <c r="F771" s="65"/>
      <c r="G771" s="65"/>
      <c r="H771" s="65"/>
      <c r="I771" s="30"/>
      <c r="J771" s="65"/>
      <c r="K771" s="65"/>
      <c r="L771" s="65"/>
      <c r="M771" s="30"/>
      <c r="N771" s="65"/>
      <c r="O771" s="65"/>
      <c r="P771" s="65"/>
      <c r="Q771" s="30"/>
      <c r="R771" s="65"/>
      <c r="S771" s="65"/>
      <c r="T771" s="65"/>
      <c r="U771" s="30"/>
      <c r="V771" s="65"/>
      <c r="W771" s="65"/>
      <c r="X771" s="65"/>
      <c r="Y771" s="30"/>
      <c r="Z771" s="65"/>
      <c r="AA771" s="65"/>
      <c r="AB771" s="65"/>
      <c r="AC771" s="30"/>
      <c r="AD771" s="65"/>
      <c r="AE771" s="65"/>
      <c r="AF771" s="65"/>
      <c r="AG771" s="65"/>
      <c r="AH771" s="30"/>
      <c r="AI771" s="65"/>
      <c r="AJ771" s="65"/>
      <c r="AK771" s="65"/>
      <c r="AL771" s="65"/>
      <c r="AM771" s="65"/>
      <c r="AN771" s="65"/>
      <c r="AO771" s="65"/>
    </row>
    <row r="772">
      <c r="A772" s="30"/>
      <c r="B772" s="65"/>
      <c r="C772" s="65"/>
      <c r="D772" s="65"/>
      <c r="E772" s="30"/>
      <c r="F772" s="65"/>
      <c r="G772" s="65"/>
      <c r="H772" s="65"/>
      <c r="I772" s="30"/>
      <c r="J772" s="65"/>
      <c r="K772" s="65"/>
      <c r="L772" s="65"/>
      <c r="M772" s="30"/>
      <c r="N772" s="65"/>
      <c r="O772" s="65"/>
      <c r="P772" s="65"/>
      <c r="Q772" s="30"/>
      <c r="R772" s="65"/>
      <c r="S772" s="65"/>
      <c r="T772" s="65"/>
      <c r="U772" s="30"/>
      <c r="V772" s="65"/>
      <c r="W772" s="65"/>
      <c r="X772" s="65"/>
      <c r="Y772" s="30"/>
      <c r="Z772" s="65"/>
      <c r="AA772" s="65"/>
      <c r="AB772" s="65"/>
      <c r="AC772" s="30"/>
      <c r="AD772" s="65"/>
      <c r="AE772" s="65"/>
      <c r="AF772" s="65"/>
      <c r="AG772" s="65"/>
      <c r="AH772" s="30"/>
      <c r="AI772" s="65"/>
      <c r="AJ772" s="65"/>
      <c r="AK772" s="65"/>
      <c r="AL772" s="65"/>
      <c r="AM772" s="65"/>
      <c r="AN772" s="65"/>
      <c r="AO772" s="65"/>
    </row>
    <row r="773">
      <c r="A773" s="30"/>
      <c r="B773" s="65"/>
      <c r="C773" s="65"/>
      <c r="D773" s="65"/>
      <c r="E773" s="30"/>
      <c r="F773" s="65"/>
      <c r="G773" s="65"/>
      <c r="H773" s="65"/>
      <c r="I773" s="30"/>
      <c r="J773" s="65"/>
      <c r="K773" s="65"/>
      <c r="L773" s="65"/>
      <c r="M773" s="30"/>
      <c r="N773" s="65"/>
      <c r="O773" s="65"/>
      <c r="P773" s="65"/>
      <c r="Q773" s="30"/>
      <c r="R773" s="65"/>
      <c r="S773" s="65"/>
      <c r="T773" s="65"/>
      <c r="U773" s="30"/>
      <c r="V773" s="65"/>
      <c r="W773" s="65"/>
      <c r="X773" s="65"/>
      <c r="Y773" s="30"/>
      <c r="Z773" s="65"/>
      <c r="AA773" s="65"/>
      <c r="AB773" s="65"/>
      <c r="AC773" s="30"/>
      <c r="AD773" s="65"/>
      <c r="AE773" s="65"/>
      <c r="AF773" s="65"/>
      <c r="AG773" s="65"/>
      <c r="AH773" s="30"/>
      <c r="AI773" s="65"/>
      <c r="AJ773" s="65"/>
      <c r="AK773" s="65"/>
      <c r="AL773" s="65"/>
      <c r="AM773" s="65"/>
      <c r="AN773" s="65"/>
      <c r="AO773" s="65"/>
    </row>
    <row r="774">
      <c r="A774" s="30"/>
      <c r="B774" s="65"/>
      <c r="C774" s="65"/>
      <c r="D774" s="65"/>
      <c r="E774" s="30"/>
      <c r="F774" s="65"/>
      <c r="G774" s="65"/>
      <c r="H774" s="65"/>
      <c r="I774" s="30"/>
      <c r="J774" s="65"/>
      <c r="K774" s="65"/>
      <c r="L774" s="65"/>
      <c r="M774" s="30"/>
      <c r="N774" s="65"/>
      <c r="O774" s="65"/>
      <c r="P774" s="65"/>
      <c r="Q774" s="30"/>
      <c r="R774" s="65"/>
      <c r="S774" s="65"/>
      <c r="T774" s="65"/>
      <c r="U774" s="30"/>
      <c r="V774" s="65"/>
      <c r="W774" s="65"/>
      <c r="X774" s="65"/>
      <c r="Y774" s="30"/>
      <c r="Z774" s="65"/>
      <c r="AA774" s="65"/>
      <c r="AB774" s="65"/>
      <c r="AC774" s="30"/>
      <c r="AD774" s="65"/>
      <c r="AE774" s="65"/>
      <c r="AF774" s="65"/>
      <c r="AG774" s="65"/>
      <c r="AH774" s="30"/>
      <c r="AI774" s="65"/>
      <c r="AJ774" s="65"/>
      <c r="AK774" s="65"/>
      <c r="AL774" s="65"/>
      <c r="AM774" s="65"/>
      <c r="AN774" s="65"/>
      <c r="AO774" s="65"/>
    </row>
    <row r="775">
      <c r="A775" s="30"/>
      <c r="B775" s="65"/>
      <c r="C775" s="65"/>
      <c r="D775" s="65"/>
      <c r="E775" s="30"/>
      <c r="F775" s="65"/>
      <c r="G775" s="65"/>
      <c r="H775" s="65"/>
      <c r="I775" s="30"/>
      <c r="J775" s="65"/>
      <c r="K775" s="65"/>
      <c r="L775" s="65"/>
      <c r="M775" s="30"/>
      <c r="N775" s="65"/>
      <c r="O775" s="65"/>
      <c r="P775" s="65"/>
      <c r="Q775" s="30"/>
      <c r="R775" s="65"/>
      <c r="S775" s="65"/>
      <c r="T775" s="65"/>
      <c r="U775" s="30"/>
      <c r="V775" s="65"/>
      <c r="W775" s="65"/>
      <c r="X775" s="65"/>
      <c r="Y775" s="30"/>
      <c r="Z775" s="65"/>
      <c r="AA775" s="65"/>
      <c r="AB775" s="65"/>
      <c r="AC775" s="30"/>
      <c r="AD775" s="65"/>
      <c r="AE775" s="65"/>
      <c r="AF775" s="65"/>
      <c r="AG775" s="65"/>
      <c r="AH775" s="30"/>
      <c r="AI775" s="65"/>
      <c r="AJ775" s="65"/>
      <c r="AK775" s="65"/>
      <c r="AL775" s="65"/>
      <c r="AM775" s="65"/>
      <c r="AN775" s="65"/>
      <c r="AO775" s="65"/>
    </row>
    <row r="776">
      <c r="A776" s="30"/>
      <c r="B776" s="65"/>
      <c r="C776" s="65"/>
      <c r="D776" s="65"/>
      <c r="E776" s="30"/>
      <c r="F776" s="65"/>
      <c r="G776" s="65"/>
      <c r="H776" s="65"/>
      <c r="I776" s="30"/>
      <c r="J776" s="65"/>
      <c r="K776" s="65"/>
      <c r="L776" s="65"/>
      <c r="M776" s="30"/>
      <c r="N776" s="65"/>
      <c r="O776" s="65"/>
      <c r="P776" s="65"/>
      <c r="Q776" s="30"/>
      <c r="R776" s="65"/>
      <c r="S776" s="65"/>
      <c r="T776" s="65"/>
      <c r="U776" s="30"/>
      <c r="V776" s="65"/>
      <c r="W776" s="65"/>
      <c r="X776" s="65"/>
      <c r="Y776" s="30"/>
      <c r="Z776" s="65"/>
      <c r="AA776" s="65"/>
      <c r="AB776" s="65"/>
      <c r="AC776" s="30"/>
      <c r="AD776" s="65"/>
      <c r="AE776" s="65"/>
      <c r="AF776" s="65"/>
      <c r="AG776" s="65"/>
      <c r="AH776" s="30"/>
      <c r="AI776" s="65"/>
      <c r="AJ776" s="65"/>
      <c r="AK776" s="65"/>
      <c r="AL776" s="65"/>
      <c r="AM776" s="65"/>
      <c r="AN776" s="65"/>
      <c r="AO776" s="65"/>
    </row>
    <row r="777">
      <c r="A777" s="30"/>
      <c r="B777" s="65"/>
      <c r="C777" s="65"/>
      <c r="D777" s="65"/>
      <c r="E777" s="30"/>
      <c r="F777" s="65"/>
      <c r="G777" s="65"/>
      <c r="H777" s="65"/>
      <c r="I777" s="30"/>
      <c r="J777" s="65"/>
      <c r="K777" s="65"/>
      <c r="L777" s="65"/>
      <c r="M777" s="30"/>
      <c r="N777" s="65"/>
      <c r="O777" s="65"/>
      <c r="P777" s="65"/>
      <c r="Q777" s="30"/>
      <c r="R777" s="65"/>
      <c r="S777" s="65"/>
      <c r="T777" s="65"/>
      <c r="U777" s="30"/>
      <c r="V777" s="65"/>
      <c r="W777" s="65"/>
      <c r="X777" s="65"/>
      <c r="Y777" s="30"/>
      <c r="Z777" s="65"/>
      <c r="AA777" s="65"/>
      <c r="AB777" s="65"/>
      <c r="AC777" s="30"/>
      <c r="AD777" s="65"/>
      <c r="AE777" s="65"/>
      <c r="AF777" s="65"/>
      <c r="AG777" s="65"/>
      <c r="AH777" s="30"/>
      <c r="AI777" s="65"/>
      <c r="AJ777" s="65"/>
      <c r="AK777" s="65"/>
      <c r="AL777" s="65"/>
      <c r="AM777" s="65"/>
      <c r="AN777" s="65"/>
      <c r="AO777" s="65"/>
    </row>
    <row r="778">
      <c r="A778" s="30"/>
      <c r="B778" s="65"/>
      <c r="C778" s="65"/>
      <c r="D778" s="65"/>
      <c r="E778" s="30"/>
      <c r="F778" s="65"/>
      <c r="G778" s="65"/>
      <c r="H778" s="65"/>
      <c r="I778" s="30"/>
      <c r="J778" s="65"/>
      <c r="K778" s="65"/>
      <c r="L778" s="65"/>
      <c r="M778" s="30"/>
      <c r="N778" s="65"/>
      <c r="O778" s="65"/>
      <c r="P778" s="65"/>
      <c r="Q778" s="30"/>
      <c r="R778" s="65"/>
      <c r="S778" s="65"/>
      <c r="T778" s="65"/>
      <c r="U778" s="30"/>
      <c r="V778" s="65"/>
      <c r="W778" s="65"/>
      <c r="X778" s="65"/>
      <c r="Y778" s="30"/>
      <c r="Z778" s="65"/>
      <c r="AA778" s="65"/>
      <c r="AB778" s="65"/>
      <c r="AC778" s="30"/>
      <c r="AD778" s="65"/>
      <c r="AE778" s="65"/>
      <c r="AF778" s="65"/>
      <c r="AG778" s="65"/>
      <c r="AH778" s="30"/>
      <c r="AI778" s="65"/>
      <c r="AJ778" s="65"/>
      <c r="AK778" s="65"/>
      <c r="AL778" s="65"/>
      <c r="AM778" s="65"/>
      <c r="AN778" s="65"/>
      <c r="AO778" s="65"/>
    </row>
    <row r="779">
      <c r="A779" s="30"/>
      <c r="B779" s="65"/>
      <c r="C779" s="65"/>
      <c r="D779" s="65"/>
      <c r="E779" s="30"/>
      <c r="F779" s="65"/>
      <c r="G779" s="65"/>
      <c r="H779" s="65"/>
      <c r="I779" s="30"/>
      <c r="J779" s="65"/>
      <c r="K779" s="65"/>
      <c r="L779" s="65"/>
      <c r="M779" s="30"/>
      <c r="N779" s="65"/>
      <c r="O779" s="65"/>
      <c r="P779" s="65"/>
      <c r="Q779" s="30"/>
      <c r="R779" s="65"/>
      <c r="S779" s="65"/>
      <c r="T779" s="65"/>
      <c r="U779" s="30"/>
      <c r="V779" s="65"/>
      <c r="W779" s="65"/>
      <c r="X779" s="65"/>
      <c r="Y779" s="30"/>
      <c r="Z779" s="65"/>
      <c r="AA779" s="65"/>
      <c r="AB779" s="65"/>
      <c r="AC779" s="30"/>
      <c r="AD779" s="65"/>
      <c r="AE779" s="65"/>
      <c r="AF779" s="65"/>
      <c r="AG779" s="65"/>
      <c r="AH779" s="30"/>
      <c r="AI779" s="65"/>
      <c r="AJ779" s="65"/>
      <c r="AK779" s="65"/>
      <c r="AL779" s="65"/>
      <c r="AM779" s="65"/>
      <c r="AN779" s="65"/>
      <c r="AO779" s="65"/>
    </row>
    <row r="780">
      <c r="A780" s="30"/>
      <c r="B780" s="65"/>
      <c r="C780" s="65"/>
      <c r="D780" s="65"/>
      <c r="E780" s="30"/>
      <c r="F780" s="65"/>
      <c r="G780" s="65"/>
      <c r="H780" s="65"/>
      <c r="I780" s="30"/>
      <c r="J780" s="65"/>
      <c r="K780" s="65"/>
      <c r="L780" s="65"/>
      <c r="M780" s="30"/>
      <c r="N780" s="65"/>
      <c r="O780" s="65"/>
      <c r="P780" s="65"/>
      <c r="Q780" s="30"/>
      <c r="R780" s="65"/>
      <c r="S780" s="65"/>
      <c r="T780" s="65"/>
      <c r="U780" s="30"/>
      <c r="V780" s="65"/>
      <c r="W780" s="65"/>
      <c r="X780" s="65"/>
      <c r="Y780" s="30"/>
      <c r="Z780" s="65"/>
      <c r="AA780" s="65"/>
      <c r="AB780" s="65"/>
      <c r="AC780" s="30"/>
      <c r="AD780" s="65"/>
      <c r="AE780" s="65"/>
      <c r="AF780" s="65"/>
      <c r="AG780" s="65"/>
      <c r="AH780" s="30"/>
      <c r="AI780" s="65"/>
      <c r="AJ780" s="65"/>
      <c r="AK780" s="65"/>
      <c r="AL780" s="65"/>
      <c r="AM780" s="65"/>
      <c r="AN780" s="65"/>
      <c r="AO780" s="65"/>
    </row>
    <row r="781">
      <c r="A781" s="30"/>
      <c r="B781" s="65"/>
      <c r="C781" s="65"/>
      <c r="D781" s="65"/>
      <c r="E781" s="30"/>
      <c r="F781" s="65"/>
      <c r="G781" s="65"/>
      <c r="H781" s="65"/>
      <c r="I781" s="30"/>
      <c r="J781" s="65"/>
      <c r="K781" s="65"/>
      <c r="L781" s="65"/>
      <c r="M781" s="30"/>
      <c r="N781" s="65"/>
      <c r="O781" s="65"/>
      <c r="P781" s="65"/>
      <c r="Q781" s="30"/>
      <c r="R781" s="65"/>
      <c r="S781" s="65"/>
      <c r="T781" s="65"/>
      <c r="U781" s="30"/>
      <c r="V781" s="65"/>
      <c r="W781" s="65"/>
      <c r="X781" s="65"/>
      <c r="Y781" s="30"/>
      <c r="Z781" s="65"/>
      <c r="AA781" s="65"/>
      <c r="AB781" s="65"/>
      <c r="AC781" s="30"/>
      <c r="AD781" s="65"/>
      <c r="AE781" s="65"/>
      <c r="AF781" s="65"/>
      <c r="AG781" s="65"/>
      <c r="AH781" s="30"/>
      <c r="AI781" s="65"/>
      <c r="AJ781" s="65"/>
      <c r="AK781" s="65"/>
      <c r="AL781" s="65"/>
      <c r="AM781" s="65"/>
      <c r="AN781" s="65"/>
      <c r="AO781" s="65"/>
    </row>
    <row r="782">
      <c r="A782" s="30"/>
      <c r="B782" s="65"/>
      <c r="C782" s="65"/>
      <c r="D782" s="65"/>
      <c r="E782" s="30"/>
      <c r="F782" s="65"/>
      <c r="G782" s="65"/>
      <c r="H782" s="65"/>
      <c r="I782" s="30"/>
      <c r="J782" s="65"/>
      <c r="K782" s="65"/>
      <c r="L782" s="65"/>
      <c r="M782" s="30"/>
      <c r="N782" s="65"/>
      <c r="O782" s="65"/>
      <c r="P782" s="65"/>
      <c r="Q782" s="30"/>
      <c r="R782" s="65"/>
      <c r="S782" s="65"/>
      <c r="T782" s="65"/>
      <c r="U782" s="30"/>
      <c r="V782" s="65"/>
      <c r="W782" s="65"/>
      <c r="X782" s="65"/>
      <c r="Y782" s="30"/>
      <c r="Z782" s="65"/>
      <c r="AA782" s="65"/>
      <c r="AB782" s="65"/>
      <c r="AC782" s="30"/>
      <c r="AD782" s="65"/>
      <c r="AE782" s="65"/>
      <c r="AF782" s="65"/>
      <c r="AG782" s="65"/>
      <c r="AH782" s="30"/>
      <c r="AI782" s="65"/>
      <c r="AJ782" s="65"/>
      <c r="AK782" s="65"/>
      <c r="AL782" s="65"/>
      <c r="AM782" s="65"/>
      <c r="AN782" s="65"/>
      <c r="AO782" s="65"/>
    </row>
    <row r="783">
      <c r="A783" s="30"/>
      <c r="B783" s="65"/>
      <c r="C783" s="65"/>
      <c r="D783" s="65"/>
      <c r="E783" s="30"/>
      <c r="F783" s="65"/>
      <c r="G783" s="65"/>
      <c r="H783" s="65"/>
      <c r="I783" s="30"/>
      <c r="J783" s="65"/>
      <c r="K783" s="65"/>
      <c r="L783" s="65"/>
      <c r="M783" s="30"/>
      <c r="N783" s="65"/>
      <c r="O783" s="65"/>
      <c r="P783" s="65"/>
      <c r="Q783" s="30"/>
      <c r="R783" s="65"/>
      <c r="S783" s="65"/>
      <c r="T783" s="65"/>
      <c r="U783" s="30"/>
      <c r="V783" s="65"/>
      <c r="W783" s="65"/>
      <c r="X783" s="65"/>
      <c r="Y783" s="30"/>
      <c r="Z783" s="65"/>
      <c r="AA783" s="65"/>
      <c r="AB783" s="65"/>
      <c r="AC783" s="30"/>
      <c r="AD783" s="65"/>
      <c r="AE783" s="65"/>
      <c r="AF783" s="65"/>
      <c r="AG783" s="65"/>
      <c r="AH783" s="30"/>
      <c r="AI783" s="65"/>
      <c r="AJ783" s="65"/>
      <c r="AK783" s="65"/>
      <c r="AL783" s="65"/>
      <c r="AM783" s="65"/>
      <c r="AN783" s="65"/>
      <c r="AO783" s="65"/>
    </row>
    <row r="784">
      <c r="A784" s="30"/>
      <c r="B784" s="65"/>
      <c r="C784" s="65"/>
      <c r="D784" s="65"/>
      <c r="E784" s="30"/>
      <c r="F784" s="65"/>
      <c r="G784" s="65"/>
      <c r="H784" s="65"/>
      <c r="I784" s="30"/>
      <c r="J784" s="65"/>
      <c r="K784" s="65"/>
      <c r="L784" s="65"/>
      <c r="M784" s="30"/>
      <c r="N784" s="65"/>
      <c r="O784" s="65"/>
      <c r="P784" s="65"/>
      <c r="Q784" s="30"/>
      <c r="R784" s="65"/>
      <c r="S784" s="65"/>
      <c r="T784" s="65"/>
      <c r="U784" s="30"/>
      <c r="V784" s="65"/>
      <c r="W784" s="65"/>
      <c r="X784" s="65"/>
      <c r="Y784" s="30"/>
      <c r="Z784" s="65"/>
      <c r="AA784" s="65"/>
      <c r="AB784" s="65"/>
      <c r="AC784" s="30"/>
      <c r="AD784" s="65"/>
      <c r="AE784" s="65"/>
      <c r="AF784" s="65"/>
      <c r="AG784" s="65"/>
      <c r="AH784" s="30"/>
      <c r="AI784" s="65"/>
      <c r="AJ784" s="65"/>
      <c r="AK784" s="65"/>
      <c r="AL784" s="65"/>
      <c r="AM784" s="65"/>
      <c r="AN784" s="65"/>
      <c r="AO784" s="65"/>
    </row>
    <row r="785">
      <c r="A785" s="30"/>
      <c r="B785" s="65"/>
      <c r="C785" s="65"/>
      <c r="D785" s="65"/>
      <c r="E785" s="30"/>
      <c r="F785" s="65"/>
      <c r="G785" s="65"/>
      <c r="H785" s="65"/>
      <c r="I785" s="30"/>
      <c r="J785" s="65"/>
      <c r="K785" s="65"/>
      <c r="L785" s="65"/>
      <c r="M785" s="30"/>
      <c r="N785" s="65"/>
      <c r="O785" s="65"/>
      <c r="P785" s="65"/>
      <c r="Q785" s="30"/>
      <c r="R785" s="65"/>
      <c r="S785" s="65"/>
      <c r="T785" s="65"/>
      <c r="U785" s="30"/>
      <c r="V785" s="65"/>
      <c r="W785" s="65"/>
      <c r="X785" s="65"/>
      <c r="Y785" s="30"/>
      <c r="Z785" s="65"/>
      <c r="AA785" s="65"/>
      <c r="AB785" s="65"/>
      <c r="AC785" s="30"/>
      <c r="AD785" s="65"/>
      <c r="AE785" s="65"/>
      <c r="AF785" s="65"/>
      <c r="AG785" s="65"/>
      <c r="AH785" s="30"/>
      <c r="AI785" s="65"/>
      <c r="AJ785" s="65"/>
      <c r="AK785" s="65"/>
      <c r="AL785" s="65"/>
      <c r="AM785" s="65"/>
      <c r="AN785" s="65"/>
      <c r="AO785" s="65"/>
    </row>
    <row r="786">
      <c r="A786" s="30"/>
      <c r="B786" s="65"/>
      <c r="C786" s="65"/>
      <c r="D786" s="65"/>
      <c r="E786" s="30"/>
      <c r="F786" s="65"/>
      <c r="G786" s="65"/>
      <c r="H786" s="65"/>
      <c r="I786" s="30"/>
      <c r="J786" s="65"/>
      <c r="K786" s="65"/>
      <c r="L786" s="65"/>
      <c r="M786" s="30"/>
      <c r="N786" s="65"/>
      <c r="O786" s="65"/>
      <c r="P786" s="65"/>
      <c r="Q786" s="30"/>
      <c r="R786" s="65"/>
      <c r="S786" s="65"/>
      <c r="T786" s="65"/>
      <c r="U786" s="30"/>
      <c r="V786" s="65"/>
      <c r="W786" s="65"/>
      <c r="X786" s="65"/>
      <c r="Y786" s="30"/>
      <c r="Z786" s="65"/>
      <c r="AA786" s="65"/>
      <c r="AB786" s="65"/>
      <c r="AC786" s="30"/>
      <c r="AD786" s="65"/>
      <c r="AE786" s="65"/>
      <c r="AF786" s="65"/>
      <c r="AG786" s="65"/>
      <c r="AH786" s="30"/>
      <c r="AI786" s="65"/>
      <c r="AJ786" s="65"/>
      <c r="AK786" s="65"/>
      <c r="AL786" s="65"/>
      <c r="AM786" s="65"/>
      <c r="AN786" s="65"/>
      <c r="AO786" s="65"/>
    </row>
    <row r="787">
      <c r="A787" s="30"/>
      <c r="B787" s="65"/>
      <c r="C787" s="65"/>
      <c r="D787" s="65"/>
      <c r="E787" s="30"/>
      <c r="F787" s="65"/>
      <c r="G787" s="65"/>
      <c r="H787" s="65"/>
      <c r="I787" s="30"/>
      <c r="J787" s="65"/>
      <c r="K787" s="65"/>
      <c r="L787" s="65"/>
      <c r="M787" s="30"/>
      <c r="N787" s="65"/>
      <c r="O787" s="65"/>
      <c r="P787" s="65"/>
      <c r="Q787" s="30"/>
      <c r="R787" s="65"/>
      <c r="S787" s="65"/>
      <c r="T787" s="65"/>
      <c r="U787" s="30"/>
      <c r="V787" s="65"/>
      <c r="W787" s="65"/>
      <c r="X787" s="65"/>
      <c r="Y787" s="30"/>
      <c r="Z787" s="65"/>
      <c r="AA787" s="65"/>
      <c r="AB787" s="65"/>
      <c r="AC787" s="30"/>
      <c r="AD787" s="65"/>
      <c r="AE787" s="65"/>
      <c r="AF787" s="65"/>
      <c r="AG787" s="65"/>
      <c r="AH787" s="30"/>
      <c r="AI787" s="65"/>
      <c r="AJ787" s="65"/>
      <c r="AK787" s="65"/>
      <c r="AL787" s="65"/>
      <c r="AM787" s="65"/>
      <c r="AN787" s="65"/>
      <c r="AO787" s="65"/>
    </row>
    <row r="788">
      <c r="A788" s="30"/>
      <c r="B788" s="65"/>
      <c r="C788" s="65"/>
      <c r="D788" s="65"/>
      <c r="E788" s="30"/>
      <c r="F788" s="65"/>
      <c r="G788" s="65"/>
      <c r="H788" s="65"/>
      <c r="I788" s="30"/>
      <c r="J788" s="65"/>
      <c r="K788" s="65"/>
      <c r="L788" s="65"/>
      <c r="M788" s="30"/>
      <c r="N788" s="65"/>
      <c r="O788" s="65"/>
      <c r="P788" s="65"/>
      <c r="Q788" s="30"/>
      <c r="R788" s="65"/>
      <c r="S788" s="65"/>
      <c r="T788" s="65"/>
      <c r="U788" s="30"/>
      <c r="V788" s="65"/>
      <c r="W788" s="65"/>
      <c r="X788" s="65"/>
      <c r="Y788" s="30"/>
      <c r="Z788" s="65"/>
      <c r="AA788" s="65"/>
      <c r="AB788" s="65"/>
      <c r="AC788" s="30"/>
      <c r="AD788" s="65"/>
      <c r="AE788" s="65"/>
      <c r="AF788" s="65"/>
      <c r="AG788" s="65"/>
      <c r="AH788" s="30"/>
      <c r="AI788" s="65"/>
      <c r="AJ788" s="65"/>
      <c r="AK788" s="65"/>
      <c r="AL788" s="65"/>
      <c r="AM788" s="65"/>
      <c r="AN788" s="65"/>
      <c r="AO788" s="65"/>
    </row>
    <row r="789">
      <c r="A789" s="30"/>
      <c r="B789" s="65"/>
      <c r="C789" s="65"/>
      <c r="D789" s="65"/>
      <c r="E789" s="30"/>
      <c r="F789" s="65"/>
      <c r="G789" s="65"/>
      <c r="H789" s="65"/>
      <c r="I789" s="30"/>
      <c r="J789" s="65"/>
      <c r="K789" s="65"/>
      <c r="L789" s="65"/>
      <c r="M789" s="30"/>
      <c r="N789" s="65"/>
      <c r="O789" s="65"/>
      <c r="P789" s="65"/>
      <c r="Q789" s="30"/>
      <c r="R789" s="65"/>
      <c r="S789" s="65"/>
      <c r="T789" s="65"/>
      <c r="U789" s="30"/>
      <c r="V789" s="65"/>
      <c r="W789" s="65"/>
      <c r="X789" s="65"/>
      <c r="Y789" s="30"/>
      <c r="Z789" s="65"/>
      <c r="AA789" s="65"/>
      <c r="AB789" s="65"/>
      <c r="AC789" s="30"/>
      <c r="AD789" s="65"/>
      <c r="AE789" s="65"/>
      <c r="AF789" s="65"/>
      <c r="AG789" s="65"/>
      <c r="AH789" s="30"/>
      <c r="AI789" s="65"/>
      <c r="AJ789" s="65"/>
      <c r="AK789" s="65"/>
      <c r="AL789" s="65"/>
      <c r="AM789" s="65"/>
      <c r="AN789" s="65"/>
      <c r="AO789" s="65"/>
    </row>
    <row r="790">
      <c r="A790" s="30"/>
      <c r="B790" s="65"/>
      <c r="C790" s="65"/>
      <c r="D790" s="65"/>
      <c r="E790" s="30"/>
      <c r="F790" s="65"/>
      <c r="G790" s="65"/>
      <c r="H790" s="65"/>
      <c r="I790" s="30"/>
      <c r="J790" s="65"/>
      <c r="K790" s="65"/>
      <c r="L790" s="65"/>
      <c r="M790" s="30"/>
      <c r="N790" s="65"/>
      <c r="O790" s="65"/>
      <c r="P790" s="65"/>
      <c r="Q790" s="30"/>
      <c r="R790" s="65"/>
      <c r="S790" s="65"/>
      <c r="T790" s="65"/>
      <c r="U790" s="30"/>
      <c r="V790" s="65"/>
      <c r="W790" s="65"/>
      <c r="X790" s="65"/>
      <c r="Y790" s="30"/>
      <c r="Z790" s="65"/>
      <c r="AA790" s="65"/>
      <c r="AB790" s="65"/>
      <c r="AC790" s="30"/>
      <c r="AD790" s="65"/>
      <c r="AE790" s="65"/>
      <c r="AF790" s="65"/>
      <c r="AG790" s="65"/>
      <c r="AH790" s="30"/>
      <c r="AI790" s="65"/>
      <c r="AJ790" s="65"/>
      <c r="AK790" s="65"/>
      <c r="AL790" s="65"/>
      <c r="AM790" s="65"/>
      <c r="AN790" s="65"/>
      <c r="AO790" s="65"/>
    </row>
    <row r="791">
      <c r="A791" s="30"/>
      <c r="B791" s="65"/>
      <c r="C791" s="65"/>
      <c r="D791" s="65"/>
      <c r="E791" s="30"/>
      <c r="F791" s="65"/>
      <c r="G791" s="65"/>
      <c r="H791" s="65"/>
      <c r="I791" s="30"/>
      <c r="J791" s="65"/>
      <c r="K791" s="65"/>
      <c r="L791" s="65"/>
      <c r="M791" s="30"/>
      <c r="N791" s="65"/>
      <c r="O791" s="65"/>
      <c r="P791" s="65"/>
      <c r="Q791" s="30"/>
      <c r="R791" s="65"/>
      <c r="S791" s="65"/>
      <c r="T791" s="65"/>
      <c r="U791" s="30"/>
      <c r="V791" s="65"/>
      <c r="W791" s="65"/>
      <c r="X791" s="65"/>
      <c r="Y791" s="30"/>
      <c r="Z791" s="65"/>
      <c r="AA791" s="65"/>
      <c r="AB791" s="65"/>
      <c r="AC791" s="30"/>
      <c r="AD791" s="65"/>
      <c r="AE791" s="65"/>
      <c r="AF791" s="65"/>
      <c r="AG791" s="65"/>
      <c r="AH791" s="30"/>
      <c r="AI791" s="65"/>
      <c r="AJ791" s="65"/>
      <c r="AK791" s="65"/>
      <c r="AL791" s="65"/>
      <c r="AM791" s="65"/>
      <c r="AN791" s="65"/>
      <c r="AO791" s="65"/>
    </row>
    <row r="792">
      <c r="A792" s="30"/>
      <c r="B792" s="65"/>
      <c r="C792" s="65"/>
      <c r="D792" s="65"/>
      <c r="E792" s="30"/>
      <c r="F792" s="65"/>
      <c r="G792" s="65"/>
      <c r="H792" s="65"/>
      <c r="I792" s="30"/>
      <c r="J792" s="65"/>
      <c r="K792" s="65"/>
      <c r="L792" s="65"/>
      <c r="M792" s="30"/>
      <c r="N792" s="65"/>
      <c r="O792" s="65"/>
      <c r="P792" s="65"/>
      <c r="Q792" s="30"/>
      <c r="R792" s="65"/>
      <c r="S792" s="65"/>
      <c r="T792" s="65"/>
      <c r="U792" s="30"/>
      <c r="V792" s="65"/>
      <c r="W792" s="65"/>
      <c r="X792" s="65"/>
      <c r="Y792" s="30"/>
      <c r="Z792" s="65"/>
      <c r="AA792" s="65"/>
      <c r="AB792" s="65"/>
      <c r="AC792" s="30"/>
      <c r="AD792" s="65"/>
      <c r="AE792" s="65"/>
      <c r="AF792" s="65"/>
      <c r="AG792" s="65"/>
      <c r="AH792" s="30"/>
      <c r="AI792" s="65"/>
      <c r="AJ792" s="65"/>
      <c r="AK792" s="65"/>
      <c r="AL792" s="65"/>
      <c r="AM792" s="65"/>
      <c r="AN792" s="65"/>
      <c r="AO792" s="65"/>
    </row>
    <row r="793">
      <c r="A793" s="30"/>
      <c r="B793" s="65"/>
      <c r="C793" s="65"/>
      <c r="D793" s="65"/>
      <c r="E793" s="30"/>
      <c r="F793" s="65"/>
      <c r="G793" s="65"/>
      <c r="H793" s="65"/>
      <c r="I793" s="30"/>
      <c r="J793" s="65"/>
      <c r="K793" s="65"/>
      <c r="L793" s="65"/>
      <c r="M793" s="30"/>
      <c r="N793" s="65"/>
      <c r="O793" s="65"/>
      <c r="P793" s="65"/>
      <c r="Q793" s="30"/>
      <c r="R793" s="65"/>
      <c r="S793" s="65"/>
      <c r="T793" s="65"/>
      <c r="U793" s="30"/>
      <c r="V793" s="65"/>
      <c r="W793" s="65"/>
      <c r="X793" s="65"/>
      <c r="Y793" s="30"/>
      <c r="Z793" s="65"/>
      <c r="AA793" s="65"/>
      <c r="AB793" s="65"/>
      <c r="AC793" s="30"/>
      <c r="AD793" s="65"/>
      <c r="AE793" s="65"/>
      <c r="AF793" s="65"/>
      <c r="AG793" s="65"/>
      <c r="AH793" s="30"/>
      <c r="AI793" s="65"/>
      <c r="AJ793" s="65"/>
      <c r="AK793" s="65"/>
      <c r="AL793" s="65"/>
      <c r="AM793" s="65"/>
      <c r="AN793" s="65"/>
      <c r="AO793" s="65"/>
    </row>
    <row r="794">
      <c r="A794" s="30"/>
      <c r="B794" s="65"/>
      <c r="C794" s="65"/>
      <c r="D794" s="65"/>
      <c r="E794" s="30"/>
      <c r="F794" s="65"/>
      <c r="G794" s="65"/>
      <c r="H794" s="65"/>
      <c r="I794" s="30"/>
      <c r="J794" s="65"/>
      <c r="K794" s="65"/>
      <c r="L794" s="65"/>
      <c r="M794" s="30"/>
      <c r="N794" s="65"/>
      <c r="O794" s="65"/>
      <c r="P794" s="65"/>
      <c r="Q794" s="30"/>
      <c r="R794" s="65"/>
      <c r="S794" s="65"/>
      <c r="T794" s="65"/>
      <c r="U794" s="30"/>
      <c r="V794" s="65"/>
      <c r="W794" s="65"/>
      <c r="X794" s="65"/>
      <c r="Y794" s="30"/>
      <c r="Z794" s="65"/>
      <c r="AA794" s="65"/>
      <c r="AB794" s="65"/>
      <c r="AC794" s="30"/>
      <c r="AD794" s="65"/>
      <c r="AE794" s="65"/>
      <c r="AF794" s="65"/>
      <c r="AG794" s="65"/>
      <c r="AH794" s="30"/>
      <c r="AI794" s="65"/>
      <c r="AJ794" s="65"/>
      <c r="AK794" s="65"/>
      <c r="AL794" s="65"/>
      <c r="AM794" s="65"/>
      <c r="AN794" s="65"/>
      <c r="AO794" s="65"/>
    </row>
    <row r="795">
      <c r="A795" s="30"/>
      <c r="B795" s="65"/>
      <c r="C795" s="65"/>
      <c r="D795" s="65"/>
      <c r="E795" s="30"/>
      <c r="F795" s="65"/>
      <c r="G795" s="65"/>
      <c r="H795" s="65"/>
      <c r="I795" s="30"/>
      <c r="J795" s="65"/>
      <c r="K795" s="65"/>
      <c r="L795" s="65"/>
      <c r="M795" s="30"/>
      <c r="N795" s="65"/>
      <c r="O795" s="65"/>
      <c r="P795" s="65"/>
      <c r="Q795" s="30"/>
      <c r="R795" s="65"/>
      <c r="S795" s="65"/>
      <c r="T795" s="65"/>
      <c r="U795" s="30"/>
      <c r="V795" s="65"/>
      <c r="W795" s="65"/>
      <c r="X795" s="65"/>
      <c r="Y795" s="30"/>
      <c r="Z795" s="65"/>
      <c r="AA795" s="65"/>
      <c r="AB795" s="65"/>
      <c r="AC795" s="30"/>
      <c r="AD795" s="65"/>
      <c r="AE795" s="65"/>
      <c r="AF795" s="65"/>
      <c r="AG795" s="65"/>
      <c r="AH795" s="30"/>
      <c r="AI795" s="65"/>
      <c r="AJ795" s="65"/>
      <c r="AK795" s="65"/>
      <c r="AL795" s="65"/>
      <c r="AM795" s="65"/>
      <c r="AN795" s="65"/>
      <c r="AO795" s="65"/>
    </row>
    <row r="796">
      <c r="A796" s="30"/>
      <c r="B796" s="65"/>
      <c r="C796" s="65"/>
      <c r="D796" s="65"/>
      <c r="E796" s="30"/>
      <c r="F796" s="65"/>
      <c r="G796" s="65"/>
      <c r="H796" s="65"/>
      <c r="I796" s="30"/>
      <c r="J796" s="65"/>
      <c r="K796" s="65"/>
      <c r="L796" s="65"/>
      <c r="M796" s="30"/>
      <c r="N796" s="65"/>
      <c r="O796" s="65"/>
      <c r="P796" s="65"/>
      <c r="Q796" s="30"/>
      <c r="R796" s="65"/>
      <c r="S796" s="65"/>
      <c r="T796" s="65"/>
      <c r="U796" s="30"/>
      <c r="V796" s="65"/>
      <c r="W796" s="65"/>
      <c r="X796" s="65"/>
      <c r="Y796" s="30"/>
      <c r="Z796" s="65"/>
      <c r="AA796" s="65"/>
      <c r="AB796" s="65"/>
      <c r="AC796" s="30"/>
      <c r="AD796" s="65"/>
      <c r="AE796" s="65"/>
      <c r="AF796" s="65"/>
      <c r="AG796" s="65"/>
      <c r="AH796" s="30"/>
      <c r="AI796" s="65"/>
      <c r="AJ796" s="65"/>
      <c r="AK796" s="65"/>
      <c r="AL796" s="65"/>
      <c r="AM796" s="65"/>
      <c r="AN796" s="65"/>
      <c r="AO796" s="65"/>
    </row>
    <row r="797">
      <c r="A797" s="30"/>
      <c r="B797" s="65"/>
      <c r="C797" s="65"/>
      <c r="D797" s="65"/>
      <c r="E797" s="30"/>
      <c r="F797" s="65"/>
      <c r="G797" s="65"/>
      <c r="H797" s="65"/>
      <c r="I797" s="30"/>
      <c r="J797" s="65"/>
      <c r="K797" s="65"/>
      <c r="L797" s="65"/>
      <c r="M797" s="30"/>
      <c r="N797" s="65"/>
      <c r="O797" s="65"/>
      <c r="P797" s="65"/>
      <c r="Q797" s="30"/>
      <c r="R797" s="65"/>
      <c r="S797" s="65"/>
      <c r="T797" s="65"/>
      <c r="U797" s="30"/>
      <c r="V797" s="65"/>
      <c r="W797" s="65"/>
      <c r="X797" s="65"/>
      <c r="Y797" s="30"/>
      <c r="Z797" s="65"/>
      <c r="AA797" s="65"/>
      <c r="AB797" s="65"/>
      <c r="AC797" s="30"/>
      <c r="AD797" s="65"/>
      <c r="AE797" s="65"/>
      <c r="AF797" s="65"/>
      <c r="AG797" s="65"/>
      <c r="AH797" s="30"/>
      <c r="AI797" s="65"/>
      <c r="AJ797" s="65"/>
      <c r="AK797" s="65"/>
      <c r="AL797" s="65"/>
      <c r="AM797" s="65"/>
      <c r="AN797" s="65"/>
      <c r="AO797" s="65"/>
    </row>
    <row r="798">
      <c r="A798" s="30"/>
      <c r="B798" s="65"/>
      <c r="C798" s="65"/>
      <c r="D798" s="65"/>
      <c r="E798" s="30"/>
      <c r="F798" s="65"/>
      <c r="G798" s="65"/>
      <c r="H798" s="65"/>
      <c r="I798" s="30"/>
      <c r="J798" s="65"/>
      <c r="K798" s="65"/>
      <c r="L798" s="65"/>
      <c r="M798" s="30"/>
      <c r="N798" s="65"/>
      <c r="O798" s="65"/>
      <c r="P798" s="65"/>
      <c r="Q798" s="30"/>
      <c r="R798" s="65"/>
      <c r="S798" s="65"/>
      <c r="T798" s="65"/>
      <c r="U798" s="30"/>
      <c r="V798" s="65"/>
      <c r="W798" s="65"/>
      <c r="X798" s="65"/>
      <c r="Y798" s="30"/>
      <c r="Z798" s="65"/>
      <c r="AA798" s="65"/>
      <c r="AB798" s="65"/>
      <c r="AC798" s="30"/>
      <c r="AD798" s="65"/>
      <c r="AE798" s="65"/>
      <c r="AF798" s="65"/>
      <c r="AG798" s="65"/>
      <c r="AH798" s="30"/>
      <c r="AI798" s="65"/>
      <c r="AJ798" s="65"/>
      <c r="AK798" s="65"/>
      <c r="AL798" s="65"/>
      <c r="AM798" s="65"/>
      <c r="AN798" s="65"/>
      <c r="AO798" s="65"/>
    </row>
    <row r="799">
      <c r="A799" s="30"/>
      <c r="B799" s="65"/>
      <c r="C799" s="65"/>
      <c r="D799" s="65"/>
      <c r="E799" s="30"/>
      <c r="F799" s="65"/>
      <c r="G799" s="65"/>
      <c r="H799" s="65"/>
      <c r="I799" s="30"/>
      <c r="J799" s="65"/>
      <c r="K799" s="65"/>
      <c r="L799" s="65"/>
      <c r="M799" s="30"/>
      <c r="N799" s="65"/>
      <c r="O799" s="65"/>
      <c r="P799" s="65"/>
      <c r="Q799" s="30"/>
      <c r="R799" s="65"/>
      <c r="S799" s="65"/>
      <c r="T799" s="65"/>
      <c r="U799" s="30"/>
      <c r="V799" s="65"/>
      <c r="W799" s="65"/>
      <c r="X799" s="65"/>
      <c r="Y799" s="30"/>
      <c r="Z799" s="65"/>
      <c r="AA799" s="65"/>
      <c r="AB799" s="65"/>
      <c r="AC799" s="30"/>
      <c r="AD799" s="65"/>
      <c r="AE799" s="65"/>
      <c r="AF799" s="65"/>
      <c r="AG799" s="65"/>
      <c r="AH799" s="30"/>
      <c r="AI799" s="65"/>
      <c r="AJ799" s="65"/>
      <c r="AK799" s="65"/>
      <c r="AL799" s="65"/>
      <c r="AM799" s="65"/>
      <c r="AN799" s="65"/>
      <c r="AO799" s="65"/>
    </row>
    <row r="800">
      <c r="A800" s="30"/>
      <c r="B800" s="65"/>
      <c r="C800" s="65"/>
      <c r="D800" s="65"/>
      <c r="E800" s="30"/>
      <c r="F800" s="65"/>
      <c r="G800" s="65"/>
      <c r="H800" s="65"/>
      <c r="I800" s="30"/>
      <c r="J800" s="65"/>
      <c r="K800" s="65"/>
      <c r="L800" s="65"/>
      <c r="M800" s="30"/>
      <c r="N800" s="65"/>
      <c r="O800" s="65"/>
      <c r="P800" s="65"/>
      <c r="Q800" s="30"/>
      <c r="R800" s="65"/>
      <c r="S800" s="65"/>
      <c r="T800" s="65"/>
      <c r="U800" s="30"/>
      <c r="V800" s="65"/>
      <c r="W800" s="65"/>
      <c r="X800" s="65"/>
      <c r="Y800" s="30"/>
      <c r="Z800" s="65"/>
      <c r="AA800" s="65"/>
      <c r="AB800" s="65"/>
      <c r="AC800" s="30"/>
      <c r="AD800" s="65"/>
      <c r="AE800" s="65"/>
      <c r="AF800" s="65"/>
      <c r="AG800" s="65"/>
      <c r="AH800" s="30"/>
      <c r="AI800" s="65"/>
      <c r="AJ800" s="65"/>
      <c r="AK800" s="65"/>
      <c r="AL800" s="65"/>
      <c r="AM800" s="65"/>
      <c r="AN800" s="65"/>
      <c r="AO800" s="65"/>
    </row>
    <row r="801">
      <c r="A801" s="30"/>
      <c r="B801" s="65"/>
      <c r="C801" s="65"/>
      <c r="D801" s="65"/>
      <c r="E801" s="30"/>
      <c r="F801" s="65"/>
      <c r="G801" s="65"/>
      <c r="H801" s="65"/>
      <c r="I801" s="30"/>
      <c r="J801" s="65"/>
      <c r="K801" s="65"/>
      <c r="L801" s="65"/>
      <c r="M801" s="30"/>
      <c r="N801" s="65"/>
      <c r="O801" s="65"/>
      <c r="P801" s="65"/>
      <c r="Q801" s="30"/>
      <c r="R801" s="65"/>
      <c r="S801" s="65"/>
      <c r="T801" s="65"/>
      <c r="U801" s="30"/>
      <c r="V801" s="65"/>
      <c r="W801" s="65"/>
      <c r="X801" s="65"/>
      <c r="Y801" s="30"/>
      <c r="Z801" s="65"/>
      <c r="AA801" s="65"/>
      <c r="AB801" s="65"/>
      <c r="AC801" s="30"/>
      <c r="AD801" s="65"/>
      <c r="AE801" s="65"/>
      <c r="AF801" s="65"/>
      <c r="AG801" s="65"/>
      <c r="AH801" s="30"/>
      <c r="AI801" s="65"/>
      <c r="AJ801" s="65"/>
      <c r="AK801" s="65"/>
      <c r="AL801" s="65"/>
      <c r="AM801" s="65"/>
      <c r="AN801" s="65"/>
      <c r="AO801" s="65"/>
    </row>
    <row r="802">
      <c r="A802" s="30"/>
      <c r="B802" s="65"/>
      <c r="C802" s="65"/>
      <c r="D802" s="65"/>
      <c r="E802" s="30"/>
      <c r="F802" s="65"/>
      <c r="G802" s="65"/>
      <c r="H802" s="65"/>
      <c r="I802" s="30"/>
      <c r="J802" s="65"/>
      <c r="K802" s="65"/>
      <c r="L802" s="65"/>
      <c r="M802" s="30"/>
      <c r="N802" s="65"/>
      <c r="O802" s="65"/>
      <c r="P802" s="65"/>
      <c r="Q802" s="30"/>
      <c r="R802" s="65"/>
      <c r="S802" s="65"/>
      <c r="T802" s="65"/>
      <c r="U802" s="30"/>
      <c r="V802" s="65"/>
      <c r="W802" s="65"/>
      <c r="X802" s="65"/>
      <c r="Y802" s="30"/>
      <c r="Z802" s="65"/>
      <c r="AA802" s="65"/>
      <c r="AB802" s="65"/>
      <c r="AC802" s="30"/>
      <c r="AD802" s="65"/>
      <c r="AE802" s="65"/>
      <c r="AF802" s="65"/>
      <c r="AG802" s="65"/>
      <c r="AH802" s="30"/>
      <c r="AI802" s="65"/>
      <c r="AJ802" s="65"/>
      <c r="AK802" s="65"/>
      <c r="AL802" s="65"/>
      <c r="AM802" s="65"/>
      <c r="AN802" s="65"/>
      <c r="AO802" s="65"/>
    </row>
    <row r="803">
      <c r="A803" s="30"/>
      <c r="B803" s="65"/>
      <c r="C803" s="65"/>
      <c r="D803" s="65"/>
      <c r="E803" s="30"/>
      <c r="F803" s="65"/>
      <c r="G803" s="65"/>
      <c r="H803" s="65"/>
      <c r="I803" s="30"/>
      <c r="J803" s="65"/>
      <c r="K803" s="65"/>
      <c r="L803" s="65"/>
      <c r="M803" s="30"/>
      <c r="N803" s="65"/>
      <c r="O803" s="65"/>
      <c r="P803" s="65"/>
      <c r="Q803" s="30"/>
      <c r="R803" s="65"/>
      <c r="S803" s="65"/>
      <c r="T803" s="65"/>
      <c r="U803" s="30"/>
      <c r="V803" s="65"/>
      <c r="W803" s="65"/>
      <c r="X803" s="65"/>
      <c r="Y803" s="30"/>
      <c r="Z803" s="65"/>
      <c r="AA803" s="65"/>
      <c r="AB803" s="65"/>
      <c r="AC803" s="30"/>
      <c r="AD803" s="65"/>
      <c r="AE803" s="65"/>
      <c r="AF803" s="65"/>
      <c r="AG803" s="65"/>
      <c r="AH803" s="30"/>
      <c r="AI803" s="65"/>
      <c r="AJ803" s="65"/>
      <c r="AK803" s="65"/>
      <c r="AL803" s="65"/>
      <c r="AM803" s="65"/>
      <c r="AN803" s="65"/>
      <c r="AO803" s="65"/>
    </row>
    <row r="804">
      <c r="A804" s="30"/>
      <c r="B804" s="65"/>
      <c r="C804" s="65"/>
      <c r="D804" s="65"/>
      <c r="E804" s="30"/>
      <c r="F804" s="65"/>
      <c r="G804" s="65"/>
      <c r="H804" s="65"/>
      <c r="I804" s="30"/>
      <c r="J804" s="65"/>
      <c r="K804" s="65"/>
      <c r="L804" s="65"/>
      <c r="M804" s="30"/>
      <c r="N804" s="65"/>
      <c r="O804" s="65"/>
      <c r="P804" s="65"/>
      <c r="Q804" s="30"/>
      <c r="R804" s="65"/>
      <c r="S804" s="65"/>
      <c r="T804" s="65"/>
      <c r="U804" s="30"/>
      <c r="V804" s="65"/>
      <c r="W804" s="65"/>
      <c r="X804" s="65"/>
      <c r="Y804" s="30"/>
      <c r="Z804" s="65"/>
      <c r="AA804" s="65"/>
      <c r="AB804" s="65"/>
      <c r="AC804" s="30"/>
      <c r="AD804" s="65"/>
      <c r="AE804" s="65"/>
      <c r="AF804" s="65"/>
      <c r="AG804" s="65"/>
      <c r="AH804" s="30"/>
      <c r="AI804" s="65"/>
      <c r="AJ804" s="65"/>
      <c r="AK804" s="65"/>
      <c r="AL804" s="65"/>
      <c r="AM804" s="65"/>
      <c r="AN804" s="65"/>
      <c r="AO804" s="65"/>
    </row>
    <row r="805">
      <c r="A805" s="30"/>
      <c r="B805" s="65"/>
      <c r="C805" s="65"/>
      <c r="D805" s="65"/>
      <c r="E805" s="30"/>
      <c r="F805" s="65"/>
      <c r="G805" s="65"/>
      <c r="H805" s="65"/>
      <c r="I805" s="30"/>
      <c r="J805" s="65"/>
      <c r="K805" s="65"/>
      <c r="L805" s="65"/>
      <c r="M805" s="30"/>
      <c r="N805" s="65"/>
      <c r="O805" s="65"/>
      <c r="P805" s="65"/>
      <c r="Q805" s="30"/>
      <c r="R805" s="65"/>
      <c r="S805" s="65"/>
      <c r="T805" s="65"/>
      <c r="U805" s="30"/>
      <c r="V805" s="65"/>
      <c r="W805" s="65"/>
      <c r="X805" s="65"/>
      <c r="Y805" s="30"/>
      <c r="Z805" s="65"/>
      <c r="AA805" s="65"/>
      <c r="AB805" s="65"/>
      <c r="AC805" s="30"/>
      <c r="AD805" s="65"/>
      <c r="AE805" s="65"/>
      <c r="AF805" s="65"/>
      <c r="AG805" s="65"/>
      <c r="AH805" s="30"/>
      <c r="AI805" s="65"/>
      <c r="AJ805" s="65"/>
      <c r="AK805" s="65"/>
      <c r="AL805" s="65"/>
      <c r="AM805" s="65"/>
      <c r="AN805" s="65"/>
      <c r="AO805" s="65"/>
    </row>
    <row r="806">
      <c r="A806" s="30"/>
      <c r="B806" s="65"/>
      <c r="C806" s="65"/>
      <c r="D806" s="65"/>
      <c r="E806" s="30"/>
      <c r="F806" s="65"/>
      <c r="G806" s="65"/>
      <c r="H806" s="65"/>
      <c r="I806" s="30"/>
      <c r="J806" s="65"/>
      <c r="K806" s="65"/>
      <c r="L806" s="65"/>
      <c r="M806" s="30"/>
      <c r="N806" s="65"/>
      <c r="O806" s="65"/>
      <c r="P806" s="65"/>
      <c r="Q806" s="30"/>
      <c r="R806" s="65"/>
      <c r="S806" s="65"/>
      <c r="T806" s="65"/>
      <c r="U806" s="30"/>
      <c r="V806" s="65"/>
      <c r="W806" s="65"/>
      <c r="X806" s="65"/>
      <c r="Y806" s="30"/>
      <c r="Z806" s="65"/>
      <c r="AA806" s="65"/>
      <c r="AB806" s="65"/>
      <c r="AC806" s="30"/>
      <c r="AD806" s="65"/>
      <c r="AE806" s="65"/>
      <c r="AF806" s="65"/>
      <c r="AG806" s="65"/>
      <c r="AH806" s="30"/>
      <c r="AI806" s="65"/>
      <c r="AJ806" s="65"/>
      <c r="AK806" s="65"/>
      <c r="AL806" s="65"/>
      <c r="AM806" s="65"/>
      <c r="AN806" s="65"/>
      <c r="AO806" s="65"/>
    </row>
    <row r="807">
      <c r="A807" s="30"/>
      <c r="B807" s="65"/>
      <c r="C807" s="65"/>
      <c r="D807" s="65"/>
      <c r="E807" s="30"/>
      <c r="F807" s="65"/>
      <c r="G807" s="65"/>
      <c r="H807" s="65"/>
      <c r="I807" s="30"/>
      <c r="J807" s="65"/>
      <c r="K807" s="65"/>
      <c r="L807" s="65"/>
      <c r="M807" s="30"/>
      <c r="N807" s="65"/>
      <c r="O807" s="65"/>
      <c r="P807" s="65"/>
      <c r="Q807" s="30"/>
      <c r="R807" s="65"/>
      <c r="S807" s="65"/>
      <c r="T807" s="65"/>
      <c r="U807" s="30"/>
      <c r="V807" s="65"/>
      <c r="W807" s="65"/>
      <c r="X807" s="65"/>
      <c r="Y807" s="30"/>
      <c r="Z807" s="65"/>
      <c r="AA807" s="65"/>
      <c r="AB807" s="65"/>
      <c r="AC807" s="30"/>
      <c r="AD807" s="65"/>
      <c r="AE807" s="65"/>
      <c r="AF807" s="65"/>
      <c r="AG807" s="65"/>
      <c r="AH807" s="30"/>
      <c r="AI807" s="65"/>
      <c r="AJ807" s="65"/>
      <c r="AK807" s="65"/>
      <c r="AL807" s="65"/>
      <c r="AM807" s="65"/>
      <c r="AN807" s="65"/>
      <c r="AO807" s="65"/>
    </row>
    <row r="808">
      <c r="A808" s="30"/>
      <c r="B808" s="65"/>
      <c r="C808" s="65"/>
      <c r="D808" s="65"/>
      <c r="E808" s="30"/>
      <c r="F808" s="65"/>
      <c r="G808" s="65"/>
      <c r="H808" s="65"/>
      <c r="I808" s="30"/>
      <c r="J808" s="65"/>
      <c r="K808" s="65"/>
      <c r="L808" s="65"/>
      <c r="M808" s="30"/>
      <c r="N808" s="65"/>
      <c r="O808" s="65"/>
      <c r="P808" s="65"/>
      <c r="Q808" s="30"/>
      <c r="R808" s="65"/>
      <c r="S808" s="65"/>
      <c r="T808" s="65"/>
      <c r="U808" s="30"/>
      <c r="V808" s="65"/>
      <c r="W808" s="65"/>
      <c r="X808" s="65"/>
      <c r="Y808" s="30"/>
      <c r="Z808" s="65"/>
      <c r="AA808" s="65"/>
      <c r="AB808" s="65"/>
      <c r="AC808" s="30"/>
      <c r="AD808" s="65"/>
      <c r="AE808" s="65"/>
      <c r="AF808" s="65"/>
      <c r="AG808" s="65"/>
      <c r="AH808" s="30"/>
      <c r="AI808" s="65"/>
      <c r="AJ808" s="65"/>
      <c r="AK808" s="65"/>
      <c r="AL808" s="65"/>
      <c r="AM808" s="65"/>
      <c r="AN808" s="65"/>
      <c r="AO808" s="65"/>
    </row>
    <row r="809">
      <c r="A809" s="30"/>
      <c r="B809" s="65"/>
      <c r="C809" s="65"/>
      <c r="D809" s="65"/>
      <c r="E809" s="30"/>
      <c r="F809" s="65"/>
      <c r="G809" s="65"/>
      <c r="H809" s="65"/>
      <c r="I809" s="30"/>
      <c r="J809" s="65"/>
      <c r="K809" s="65"/>
      <c r="L809" s="65"/>
      <c r="M809" s="30"/>
      <c r="N809" s="65"/>
      <c r="O809" s="65"/>
      <c r="P809" s="65"/>
      <c r="Q809" s="30"/>
      <c r="R809" s="65"/>
      <c r="S809" s="65"/>
      <c r="T809" s="65"/>
      <c r="U809" s="30"/>
      <c r="V809" s="65"/>
      <c r="W809" s="65"/>
      <c r="X809" s="65"/>
      <c r="Y809" s="30"/>
      <c r="Z809" s="65"/>
      <c r="AA809" s="65"/>
      <c r="AB809" s="65"/>
      <c r="AC809" s="30"/>
      <c r="AD809" s="65"/>
      <c r="AE809" s="65"/>
      <c r="AF809" s="65"/>
      <c r="AG809" s="65"/>
      <c r="AH809" s="30"/>
      <c r="AI809" s="65"/>
      <c r="AJ809" s="65"/>
      <c r="AK809" s="65"/>
      <c r="AL809" s="65"/>
      <c r="AM809" s="65"/>
      <c r="AN809" s="65"/>
      <c r="AO809" s="65"/>
    </row>
    <row r="810">
      <c r="A810" s="30"/>
      <c r="B810" s="65"/>
      <c r="C810" s="65"/>
      <c r="D810" s="65"/>
      <c r="E810" s="30"/>
      <c r="F810" s="65"/>
      <c r="G810" s="65"/>
      <c r="H810" s="65"/>
      <c r="I810" s="30"/>
      <c r="J810" s="65"/>
      <c r="K810" s="65"/>
      <c r="L810" s="65"/>
      <c r="M810" s="30"/>
      <c r="N810" s="65"/>
      <c r="O810" s="65"/>
      <c r="P810" s="65"/>
      <c r="Q810" s="30"/>
      <c r="R810" s="65"/>
      <c r="S810" s="65"/>
      <c r="T810" s="65"/>
      <c r="U810" s="30"/>
      <c r="V810" s="65"/>
      <c r="W810" s="65"/>
      <c r="X810" s="65"/>
      <c r="Y810" s="30"/>
      <c r="Z810" s="65"/>
      <c r="AA810" s="65"/>
      <c r="AB810" s="65"/>
      <c r="AC810" s="30"/>
      <c r="AD810" s="65"/>
      <c r="AE810" s="65"/>
      <c r="AF810" s="65"/>
      <c r="AG810" s="65"/>
      <c r="AH810" s="30"/>
      <c r="AI810" s="65"/>
      <c r="AJ810" s="65"/>
      <c r="AK810" s="65"/>
      <c r="AL810" s="65"/>
      <c r="AM810" s="65"/>
      <c r="AN810" s="65"/>
      <c r="AO810" s="65"/>
    </row>
    <row r="811">
      <c r="A811" s="30"/>
      <c r="B811" s="65"/>
      <c r="C811" s="65"/>
      <c r="D811" s="65"/>
      <c r="E811" s="30"/>
      <c r="F811" s="65"/>
      <c r="G811" s="65"/>
      <c r="H811" s="65"/>
      <c r="I811" s="30"/>
      <c r="J811" s="65"/>
      <c r="K811" s="65"/>
      <c r="L811" s="65"/>
      <c r="M811" s="30"/>
      <c r="N811" s="65"/>
      <c r="O811" s="65"/>
      <c r="P811" s="65"/>
      <c r="Q811" s="30"/>
      <c r="R811" s="65"/>
      <c r="S811" s="65"/>
      <c r="T811" s="65"/>
      <c r="U811" s="30"/>
      <c r="V811" s="65"/>
      <c r="W811" s="65"/>
      <c r="X811" s="65"/>
      <c r="Y811" s="30"/>
      <c r="Z811" s="65"/>
      <c r="AA811" s="65"/>
      <c r="AB811" s="65"/>
      <c r="AC811" s="30"/>
      <c r="AD811" s="65"/>
      <c r="AE811" s="65"/>
      <c r="AF811" s="65"/>
      <c r="AG811" s="65"/>
      <c r="AH811" s="30"/>
      <c r="AI811" s="65"/>
      <c r="AJ811" s="65"/>
      <c r="AK811" s="65"/>
      <c r="AL811" s="65"/>
      <c r="AM811" s="65"/>
      <c r="AN811" s="65"/>
      <c r="AO811" s="65"/>
    </row>
    <row r="812">
      <c r="A812" s="30"/>
      <c r="B812" s="65"/>
      <c r="C812" s="65"/>
      <c r="D812" s="65"/>
      <c r="E812" s="30"/>
      <c r="F812" s="65"/>
      <c r="G812" s="65"/>
      <c r="H812" s="65"/>
      <c r="I812" s="30"/>
      <c r="J812" s="65"/>
      <c r="K812" s="65"/>
      <c r="L812" s="65"/>
      <c r="M812" s="30"/>
      <c r="N812" s="65"/>
      <c r="O812" s="65"/>
      <c r="P812" s="65"/>
      <c r="Q812" s="30"/>
      <c r="R812" s="65"/>
      <c r="S812" s="65"/>
      <c r="T812" s="65"/>
      <c r="U812" s="30"/>
      <c r="V812" s="65"/>
      <c r="W812" s="65"/>
      <c r="X812" s="65"/>
      <c r="Y812" s="30"/>
      <c r="Z812" s="65"/>
      <c r="AA812" s="65"/>
      <c r="AB812" s="65"/>
      <c r="AC812" s="30"/>
      <c r="AD812" s="65"/>
      <c r="AE812" s="65"/>
      <c r="AF812" s="65"/>
      <c r="AG812" s="65"/>
      <c r="AH812" s="30"/>
      <c r="AI812" s="65"/>
      <c r="AJ812" s="65"/>
      <c r="AK812" s="65"/>
      <c r="AL812" s="65"/>
      <c r="AM812" s="65"/>
      <c r="AN812" s="65"/>
      <c r="AO812" s="65"/>
    </row>
    <row r="813">
      <c r="A813" s="30"/>
      <c r="B813" s="65"/>
      <c r="C813" s="65"/>
      <c r="D813" s="65"/>
      <c r="E813" s="30"/>
      <c r="F813" s="65"/>
      <c r="G813" s="65"/>
      <c r="H813" s="65"/>
      <c r="I813" s="30"/>
      <c r="J813" s="65"/>
      <c r="K813" s="65"/>
      <c r="L813" s="65"/>
      <c r="M813" s="30"/>
      <c r="N813" s="65"/>
      <c r="O813" s="65"/>
      <c r="P813" s="65"/>
      <c r="Q813" s="30"/>
      <c r="R813" s="65"/>
      <c r="S813" s="65"/>
      <c r="T813" s="65"/>
      <c r="U813" s="30"/>
      <c r="V813" s="65"/>
      <c r="W813" s="65"/>
      <c r="X813" s="65"/>
      <c r="Y813" s="30"/>
      <c r="Z813" s="65"/>
      <c r="AA813" s="65"/>
      <c r="AB813" s="65"/>
      <c r="AC813" s="30"/>
      <c r="AD813" s="65"/>
      <c r="AE813" s="65"/>
      <c r="AF813" s="65"/>
      <c r="AG813" s="65"/>
      <c r="AH813" s="30"/>
      <c r="AI813" s="65"/>
      <c r="AJ813" s="65"/>
      <c r="AK813" s="65"/>
      <c r="AL813" s="65"/>
      <c r="AM813" s="65"/>
      <c r="AN813" s="65"/>
      <c r="AO813" s="65"/>
    </row>
    <row r="814">
      <c r="A814" s="30"/>
      <c r="B814" s="65"/>
      <c r="C814" s="65"/>
      <c r="D814" s="65"/>
      <c r="E814" s="30"/>
      <c r="F814" s="65"/>
      <c r="G814" s="65"/>
      <c r="H814" s="65"/>
      <c r="I814" s="30"/>
      <c r="J814" s="65"/>
      <c r="K814" s="65"/>
      <c r="L814" s="65"/>
      <c r="M814" s="30"/>
      <c r="N814" s="65"/>
      <c r="O814" s="65"/>
      <c r="P814" s="65"/>
      <c r="Q814" s="30"/>
      <c r="R814" s="65"/>
      <c r="S814" s="65"/>
      <c r="T814" s="65"/>
      <c r="U814" s="30"/>
      <c r="V814" s="65"/>
      <c r="W814" s="65"/>
      <c r="X814" s="65"/>
      <c r="Y814" s="30"/>
      <c r="Z814" s="65"/>
      <c r="AA814" s="65"/>
      <c r="AB814" s="65"/>
      <c r="AC814" s="30"/>
      <c r="AD814" s="65"/>
      <c r="AE814" s="65"/>
      <c r="AF814" s="65"/>
      <c r="AG814" s="65"/>
      <c r="AH814" s="30"/>
      <c r="AI814" s="65"/>
      <c r="AJ814" s="65"/>
      <c r="AK814" s="65"/>
      <c r="AL814" s="65"/>
      <c r="AM814" s="65"/>
      <c r="AN814" s="65"/>
      <c r="AO814" s="65"/>
    </row>
    <row r="815">
      <c r="A815" s="30"/>
      <c r="B815" s="65"/>
      <c r="C815" s="65"/>
      <c r="D815" s="65"/>
      <c r="E815" s="30"/>
      <c r="F815" s="65"/>
      <c r="G815" s="65"/>
      <c r="H815" s="65"/>
      <c r="I815" s="30"/>
      <c r="J815" s="65"/>
      <c r="K815" s="65"/>
      <c r="L815" s="65"/>
      <c r="M815" s="30"/>
      <c r="N815" s="65"/>
      <c r="O815" s="65"/>
      <c r="P815" s="65"/>
      <c r="Q815" s="30"/>
      <c r="R815" s="65"/>
      <c r="S815" s="65"/>
      <c r="T815" s="65"/>
      <c r="U815" s="30"/>
      <c r="V815" s="65"/>
      <c r="W815" s="65"/>
      <c r="X815" s="65"/>
      <c r="Y815" s="30"/>
      <c r="Z815" s="65"/>
      <c r="AA815" s="65"/>
      <c r="AB815" s="65"/>
      <c r="AC815" s="30"/>
      <c r="AD815" s="65"/>
      <c r="AE815" s="65"/>
      <c r="AF815" s="65"/>
      <c r="AG815" s="65"/>
      <c r="AH815" s="30"/>
      <c r="AI815" s="65"/>
      <c r="AJ815" s="65"/>
      <c r="AK815" s="65"/>
      <c r="AL815" s="65"/>
      <c r="AM815" s="65"/>
      <c r="AN815" s="65"/>
      <c r="AO815" s="65"/>
    </row>
    <row r="816">
      <c r="A816" s="30"/>
      <c r="B816" s="65"/>
      <c r="C816" s="65"/>
      <c r="D816" s="65"/>
      <c r="E816" s="30"/>
      <c r="F816" s="65"/>
      <c r="G816" s="65"/>
      <c r="H816" s="65"/>
      <c r="I816" s="30"/>
      <c r="J816" s="65"/>
      <c r="K816" s="65"/>
      <c r="L816" s="65"/>
      <c r="M816" s="30"/>
      <c r="N816" s="65"/>
      <c r="O816" s="65"/>
      <c r="P816" s="65"/>
      <c r="Q816" s="30"/>
      <c r="R816" s="65"/>
      <c r="S816" s="65"/>
      <c r="T816" s="65"/>
      <c r="U816" s="30"/>
      <c r="V816" s="65"/>
      <c r="W816" s="65"/>
      <c r="X816" s="65"/>
      <c r="Y816" s="30"/>
      <c r="Z816" s="65"/>
      <c r="AA816" s="65"/>
      <c r="AB816" s="65"/>
      <c r="AC816" s="30"/>
      <c r="AD816" s="65"/>
      <c r="AE816" s="65"/>
      <c r="AF816" s="65"/>
      <c r="AG816" s="65"/>
      <c r="AH816" s="30"/>
      <c r="AI816" s="65"/>
      <c r="AJ816" s="65"/>
      <c r="AK816" s="65"/>
      <c r="AL816" s="65"/>
      <c r="AM816" s="65"/>
      <c r="AN816" s="65"/>
      <c r="AO816" s="65"/>
    </row>
    <row r="817">
      <c r="A817" s="30"/>
      <c r="B817" s="65"/>
      <c r="C817" s="65"/>
      <c r="D817" s="65"/>
      <c r="E817" s="30"/>
      <c r="F817" s="65"/>
      <c r="G817" s="65"/>
      <c r="H817" s="65"/>
      <c r="I817" s="30"/>
      <c r="J817" s="65"/>
      <c r="K817" s="65"/>
      <c r="L817" s="65"/>
      <c r="M817" s="30"/>
      <c r="N817" s="65"/>
      <c r="O817" s="65"/>
      <c r="P817" s="65"/>
      <c r="Q817" s="30"/>
      <c r="R817" s="65"/>
      <c r="S817" s="65"/>
      <c r="T817" s="65"/>
      <c r="U817" s="30"/>
      <c r="V817" s="65"/>
      <c r="W817" s="65"/>
      <c r="X817" s="65"/>
      <c r="Y817" s="30"/>
      <c r="Z817" s="65"/>
      <c r="AA817" s="65"/>
      <c r="AB817" s="65"/>
      <c r="AC817" s="30"/>
      <c r="AD817" s="65"/>
      <c r="AE817" s="65"/>
      <c r="AF817" s="65"/>
      <c r="AG817" s="65"/>
      <c r="AH817" s="30"/>
      <c r="AI817" s="65"/>
      <c r="AJ817" s="65"/>
      <c r="AK817" s="65"/>
      <c r="AL817" s="65"/>
      <c r="AM817" s="65"/>
      <c r="AN817" s="65"/>
      <c r="AO817" s="65"/>
    </row>
    <row r="818">
      <c r="A818" s="30"/>
      <c r="B818" s="65"/>
      <c r="C818" s="65"/>
      <c r="D818" s="65"/>
      <c r="E818" s="30"/>
      <c r="F818" s="65"/>
      <c r="G818" s="65"/>
      <c r="H818" s="65"/>
      <c r="I818" s="30"/>
      <c r="J818" s="65"/>
      <c r="K818" s="65"/>
      <c r="L818" s="65"/>
      <c r="M818" s="30"/>
      <c r="N818" s="65"/>
      <c r="O818" s="65"/>
      <c r="P818" s="65"/>
      <c r="Q818" s="30"/>
      <c r="R818" s="65"/>
      <c r="S818" s="65"/>
      <c r="T818" s="65"/>
      <c r="U818" s="30"/>
      <c r="V818" s="65"/>
      <c r="W818" s="65"/>
      <c r="X818" s="65"/>
      <c r="Y818" s="30"/>
      <c r="Z818" s="65"/>
      <c r="AA818" s="65"/>
      <c r="AB818" s="65"/>
      <c r="AC818" s="30"/>
      <c r="AD818" s="65"/>
      <c r="AE818" s="65"/>
      <c r="AF818" s="65"/>
      <c r="AG818" s="65"/>
      <c r="AH818" s="30"/>
      <c r="AI818" s="65"/>
      <c r="AJ818" s="65"/>
      <c r="AK818" s="65"/>
      <c r="AL818" s="65"/>
      <c r="AM818" s="65"/>
      <c r="AN818" s="65"/>
      <c r="AO818" s="65"/>
    </row>
    <row r="819">
      <c r="A819" s="30"/>
      <c r="B819" s="65"/>
      <c r="C819" s="65"/>
      <c r="D819" s="65"/>
      <c r="E819" s="30"/>
      <c r="F819" s="65"/>
      <c r="G819" s="65"/>
      <c r="H819" s="65"/>
      <c r="I819" s="30"/>
      <c r="J819" s="65"/>
      <c r="K819" s="65"/>
      <c r="L819" s="65"/>
      <c r="M819" s="30"/>
      <c r="N819" s="65"/>
      <c r="O819" s="65"/>
      <c r="P819" s="65"/>
      <c r="Q819" s="30"/>
      <c r="R819" s="65"/>
      <c r="S819" s="65"/>
      <c r="T819" s="65"/>
      <c r="U819" s="30"/>
      <c r="V819" s="65"/>
      <c r="W819" s="65"/>
      <c r="X819" s="65"/>
      <c r="Y819" s="30"/>
      <c r="Z819" s="65"/>
      <c r="AA819" s="65"/>
      <c r="AB819" s="65"/>
      <c r="AC819" s="30"/>
      <c r="AD819" s="65"/>
      <c r="AE819" s="65"/>
      <c r="AF819" s="65"/>
      <c r="AG819" s="65"/>
      <c r="AH819" s="30"/>
      <c r="AI819" s="65"/>
      <c r="AJ819" s="65"/>
      <c r="AK819" s="65"/>
      <c r="AL819" s="65"/>
      <c r="AM819" s="65"/>
      <c r="AN819" s="65"/>
      <c r="AO819" s="65"/>
    </row>
    <row r="820">
      <c r="A820" s="30"/>
      <c r="B820" s="65"/>
      <c r="C820" s="65"/>
      <c r="D820" s="65"/>
      <c r="E820" s="30"/>
      <c r="F820" s="65"/>
      <c r="G820" s="65"/>
      <c r="H820" s="65"/>
      <c r="I820" s="30"/>
      <c r="J820" s="65"/>
      <c r="K820" s="65"/>
      <c r="L820" s="65"/>
      <c r="M820" s="30"/>
      <c r="N820" s="65"/>
      <c r="O820" s="65"/>
      <c r="P820" s="65"/>
      <c r="Q820" s="30"/>
      <c r="R820" s="65"/>
      <c r="S820" s="65"/>
      <c r="T820" s="65"/>
      <c r="U820" s="30"/>
      <c r="V820" s="65"/>
      <c r="W820" s="65"/>
      <c r="X820" s="65"/>
      <c r="Y820" s="30"/>
      <c r="Z820" s="65"/>
      <c r="AA820" s="65"/>
      <c r="AB820" s="65"/>
      <c r="AC820" s="30"/>
      <c r="AD820" s="65"/>
      <c r="AE820" s="65"/>
      <c r="AF820" s="65"/>
      <c r="AG820" s="65"/>
      <c r="AH820" s="30"/>
      <c r="AI820" s="65"/>
      <c r="AJ820" s="65"/>
      <c r="AK820" s="65"/>
      <c r="AL820" s="65"/>
      <c r="AM820" s="65"/>
      <c r="AN820" s="65"/>
      <c r="AO820" s="65"/>
    </row>
    <row r="821">
      <c r="A821" s="30"/>
      <c r="B821" s="65"/>
      <c r="C821" s="65"/>
      <c r="D821" s="65"/>
      <c r="E821" s="30"/>
      <c r="F821" s="65"/>
      <c r="G821" s="65"/>
      <c r="H821" s="65"/>
      <c r="I821" s="30"/>
      <c r="J821" s="65"/>
      <c r="K821" s="65"/>
      <c r="L821" s="65"/>
      <c r="M821" s="30"/>
      <c r="N821" s="65"/>
      <c r="O821" s="65"/>
      <c r="P821" s="65"/>
      <c r="Q821" s="30"/>
      <c r="R821" s="65"/>
      <c r="S821" s="65"/>
      <c r="T821" s="65"/>
      <c r="U821" s="30"/>
      <c r="V821" s="65"/>
      <c r="W821" s="65"/>
      <c r="X821" s="65"/>
      <c r="Y821" s="30"/>
      <c r="Z821" s="65"/>
      <c r="AA821" s="65"/>
      <c r="AB821" s="65"/>
      <c r="AC821" s="30"/>
      <c r="AD821" s="65"/>
      <c r="AE821" s="65"/>
      <c r="AF821" s="65"/>
      <c r="AG821" s="65"/>
      <c r="AH821" s="30"/>
      <c r="AI821" s="65"/>
      <c r="AJ821" s="65"/>
      <c r="AK821" s="65"/>
      <c r="AL821" s="65"/>
      <c r="AM821" s="65"/>
      <c r="AN821" s="65"/>
      <c r="AO821" s="65"/>
    </row>
    <row r="822">
      <c r="A822" s="30"/>
      <c r="B822" s="65"/>
      <c r="C822" s="65"/>
      <c r="D822" s="65"/>
      <c r="E822" s="30"/>
      <c r="F822" s="65"/>
      <c r="G822" s="65"/>
      <c r="H822" s="65"/>
      <c r="I822" s="30"/>
      <c r="J822" s="65"/>
      <c r="K822" s="65"/>
      <c r="L822" s="65"/>
      <c r="M822" s="30"/>
      <c r="N822" s="65"/>
      <c r="O822" s="65"/>
      <c r="P822" s="65"/>
      <c r="Q822" s="30"/>
      <c r="R822" s="65"/>
      <c r="S822" s="65"/>
      <c r="T822" s="65"/>
      <c r="U822" s="30"/>
      <c r="V822" s="65"/>
      <c r="W822" s="65"/>
      <c r="X822" s="65"/>
      <c r="Y822" s="30"/>
      <c r="Z822" s="65"/>
      <c r="AA822" s="65"/>
      <c r="AB822" s="65"/>
      <c r="AC822" s="30"/>
      <c r="AD822" s="65"/>
      <c r="AE822" s="65"/>
      <c r="AF822" s="65"/>
      <c r="AG822" s="65"/>
      <c r="AH822" s="30"/>
      <c r="AI822" s="65"/>
      <c r="AJ822" s="65"/>
      <c r="AK822" s="65"/>
      <c r="AL822" s="65"/>
      <c r="AM822" s="65"/>
      <c r="AN822" s="65"/>
      <c r="AO822" s="65"/>
    </row>
    <row r="823">
      <c r="A823" s="30"/>
      <c r="B823" s="65"/>
      <c r="C823" s="65"/>
      <c r="D823" s="65"/>
      <c r="E823" s="30"/>
      <c r="F823" s="65"/>
      <c r="G823" s="65"/>
      <c r="H823" s="65"/>
      <c r="I823" s="30"/>
      <c r="J823" s="65"/>
      <c r="K823" s="65"/>
      <c r="L823" s="65"/>
      <c r="M823" s="30"/>
      <c r="N823" s="65"/>
      <c r="O823" s="65"/>
      <c r="P823" s="65"/>
      <c r="Q823" s="30"/>
      <c r="R823" s="65"/>
      <c r="S823" s="65"/>
      <c r="T823" s="65"/>
      <c r="U823" s="30"/>
      <c r="V823" s="65"/>
      <c r="W823" s="65"/>
      <c r="X823" s="65"/>
      <c r="Y823" s="30"/>
      <c r="Z823" s="65"/>
      <c r="AA823" s="65"/>
      <c r="AB823" s="65"/>
      <c r="AC823" s="30"/>
      <c r="AD823" s="65"/>
      <c r="AE823" s="65"/>
      <c r="AF823" s="65"/>
      <c r="AG823" s="65"/>
      <c r="AH823" s="30"/>
      <c r="AI823" s="65"/>
      <c r="AJ823" s="65"/>
      <c r="AK823" s="65"/>
      <c r="AL823" s="65"/>
      <c r="AM823" s="65"/>
      <c r="AN823" s="65"/>
      <c r="AO823" s="65"/>
    </row>
    <row r="824">
      <c r="A824" s="30"/>
      <c r="B824" s="65"/>
      <c r="C824" s="65"/>
      <c r="D824" s="65"/>
      <c r="E824" s="30"/>
      <c r="F824" s="65"/>
      <c r="G824" s="65"/>
      <c r="H824" s="65"/>
      <c r="I824" s="30"/>
      <c r="J824" s="65"/>
      <c r="K824" s="65"/>
      <c r="L824" s="65"/>
      <c r="M824" s="30"/>
      <c r="N824" s="65"/>
      <c r="O824" s="65"/>
      <c r="P824" s="65"/>
      <c r="Q824" s="30"/>
      <c r="R824" s="65"/>
      <c r="S824" s="65"/>
      <c r="T824" s="65"/>
      <c r="U824" s="30"/>
      <c r="V824" s="65"/>
      <c r="W824" s="65"/>
      <c r="X824" s="65"/>
      <c r="Y824" s="30"/>
      <c r="Z824" s="65"/>
      <c r="AA824" s="65"/>
      <c r="AB824" s="65"/>
      <c r="AC824" s="30"/>
      <c r="AD824" s="65"/>
      <c r="AE824" s="65"/>
      <c r="AF824" s="65"/>
      <c r="AG824" s="65"/>
      <c r="AH824" s="30"/>
      <c r="AI824" s="65"/>
      <c r="AJ824" s="65"/>
      <c r="AK824" s="65"/>
      <c r="AL824" s="65"/>
      <c r="AM824" s="65"/>
      <c r="AN824" s="65"/>
      <c r="AO824" s="65"/>
    </row>
    <row r="825">
      <c r="A825" s="30"/>
      <c r="B825" s="65"/>
      <c r="C825" s="65"/>
      <c r="D825" s="65"/>
      <c r="E825" s="30"/>
      <c r="F825" s="65"/>
      <c r="G825" s="65"/>
      <c r="H825" s="65"/>
      <c r="I825" s="30"/>
      <c r="J825" s="65"/>
      <c r="K825" s="65"/>
      <c r="L825" s="65"/>
      <c r="M825" s="30"/>
      <c r="N825" s="65"/>
      <c r="O825" s="65"/>
      <c r="P825" s="65"/>
      <c r="Q825" s="30"/>
      <c r="R825" s="65"/>
      <c r="S825" s="65"/>
      <c r="T825" s="65"/>
      <c r="U825" s="30"/>
      <c r="V825" s="65"/>
      <c r="W825" s="65"/>
      <c r="X825" s="65"/>
      <c r="Y825" s="30"/>
      <c r="Z825" s="65"/>
      <c r="AA825" s="65"/>
      <c r="AB825" s="65"/>
      <c r="AC825" s="30"/>
      <c r="AD825" s="65"/>
      <c r="AE825" s="65"/>
      <c r="AF825" s="65"/>
      <c r="AG825" s="65"/>
      <c r="AH825" s="30"/>
      <c r="AI825" s="65"/>
      <c r="AJ825" s="65"/>
      <c r="AK825" s="65"/>
      <c r="AL825" s="65"/>
      <c r="AM825" s="65"/>
      <c r="AN825" s="65"/>
      <c r="AO825" s="65"/>
    </row>
    <row r="826">
      <c r="A826" s="30"/>
      <c r="B826" s="65"/>
      <c r="C826" s="65"/>
      <c r="D826" s="65"/>
      <c r="E826" s="30"/>
      <c r="F826" s="65"/>
      <c r="G826" s="65"/>
      <c r="H826" s="65"/>
      <c r="I826" s="30"/>
      <c r="J826" s="65"/>
      <c r="K826" s="65"/>
      <c r="L826" s="65"/>
      <c r="M826" s="30"/>
      <c r="N826" s="65"/>
      <c r="O826" s="65"/>
      <c r="P826" s="65"/>
      <c r="Q826" s="30"/>
      <c r="R826" s="65"/>
      <c r="S826" s="65"/>
      <c r="T826" s="65"/>
      <c r="U826" s="30"/>
      <c r="V826" s="65"/>
      <c r="W826" s="65"/>
      <c r="X826" s="65"/>
      <c r="Y826" s="30"/>
      <c r="Z826" s="65"/>
      <c r="AA826" s="65"/>
      <c r="AB826" s="65"/>
      <c r="AC826" s="30"/>
      <c r="AD826" s="65"/>
      <c r="AE826" s="65"/>
      <c r="AF826" s="65"/>
      <c r="AG826" s="65"/>
      <c r="AH826" s="30"/>
      <c r="AI826" s="65"/>
      <c r="AJ826" s="65"/>
      <c r="AK826" s="65"/>
      <c r="AL826" s="65"/>
      <c r="AM826" s="65"/>
      <c r="AN826" s="65"/>
      <c r="AO826" s="65"/>
    </row>
    <row r="827">
      <c r="A827" s="30"/>
      <c r="B827" s="65"/>
      <c r="C827" s="65"/>
      <c r="D827" s="65"/>
      <c r="E827" s="30"/>
      <c r="F827" s="65"/>
      <c r="G827" s="65"/>
      <c r="H827" s="65"/>
      <c r="I827" s="30"/>
      <c r="J827" s="65"/>
      <c r="K827" s="65"/>
      <c r="L827" s="65"/>
      <c r="M827" s="30"/>
      <c r="N827" s="65"/>
      <c r="O827" s="65"/>
      <c r="P827" s="65"/>
      <c r="Q827" s="30"/>
      <c r="R827" s="65"/>
      <c r="S827" s="65"/>
      <c r="T827" s="65"/>
      <c r="U827" s="30"/>
      <c r="V827" s="65"/>
      <c r="W827" s="65"/>
      <c r="X827" s="65"/>
      <c r="Y827" s="30"/>
      <c r="Z827" s="65"/>
      <c r="AA827" s="65"/>
      <c r="AB827" s="65"/>
      <c r="AC827" s="30"/>
      <c r="AD827" s="65"/>
      <c r="AE827" s="65"/>
      <c r="AF827" s="65"/>
      <c r="AG827" s="65"/>
      <c r="AH827" s="30"/>
      <c r="AI827" s="65"/>
      <c r="AJ827" s="65"/>
      <c r="AK827" s="65"/>
      <c r="AL827" s="65"/>
      <c r="AM827" s="65"/>
      <c r="AN827" s="65"/>
      <c r="AO827" s="65"/>
    </row>
    <row r="828">
      <c r="A828" s="30"/>
      <c r="B828" s="65"/>
      <c r="C828" s="65"/>
      <c r="D828" s="65"/>
      <c r="E828" s="30"/>
      <c r="F828" s="65"/>
      <c r="G828" s="65"/>
      <c r="H828" s="65"/>
      <c r="I828" s="30"/>
      <c r="J828" s="65"/>
      <c r="K828" s="65"/>
      <c r="L828" s="65"/>
      <c r="M828" s="30"/>
      <c r="N828" s="65"/>
      <c r="O828" s="65"/>
      <c r="P828" s="65"/>
      <c r="Q828" s="30"/>
      <c r="R828" s="65"/>
      <c r="S828" s="65"/>
      <c r="T828" s="65"/>
      <c r="U828" s="30"/>
      <c r="V828" s="65"/>
      <c r="W828" s="65"/>
      <c r="X828" s="65"/>
      <c r="Y828" s="30"/>
      <c r="Z828" s="65"/>
      <c r="AA828" s="65"/>
      <c r="AB828" s="65"/>
      <c r="AC828" s="30"/>
      <c r="AD828" s="65"/>
      <c r="AE828" s="65"/>
      <c r="AF828" s="65"/>
      <c r="AG828" s="65"/>
      <c r="AH828" s="30"/>
      <c r="AI828" s="65"/>
      <c r="AJ828" s="65"/>
      <c r="AK828" s="65"/>
      <c r="AL828" s="65"/>
      <c r="AM828" s="65"/>
      <c r="AN828" s="65"/>
      <c r="AO828" s="65"/>
    </row>
    <row r="829">
      <c r="A829" s="30"/>
      <c r="B829" s="65"/>
      <c r="C829" s="65"/>
      <c r="D829" s="65"/>
      <c r="E829" s="30"/>
      <c r="F829" s="65"/>
      <c r="G829" s="65"/>
      <c r="H829" s="65"/>
      <c r="I829" s="30"/>
      <c r="J829" s="65"/>
      <c r="K829" s="65"/>
      <c r="L829" s="65"/>
      <c r="M829" s="30"/>
      <c r="N829" s="65"/>
      <c r="O829" s="65"/>
      <c r="P829" s="65"/>
      <c r="Q829" s="30"/>
      <c r="R829" s="65"/>
      <c r="S829" s="65"/>
      <c r="T829" s="65"/>
      <c r="U829" s="30"/>
      <c r="V829" s="65"/>
      <c r="W829" s="65"/>
      <c r="X829" s="65"/>
      <c r="Y829" s="30"/>
      <c r="Z829" s="65"/>
      <c r="AA829" s="65"/>
      <c r="AB829" s="65"/>
      <c r="AC829" s="30"/>
      <c r="AD829" s="65"/>
      <c r="AE829" s="65"/>
      <c r="AF829" s="65"/>
      <c r="AG829" s="65"/>
      <c r="AH829" s="30"/>
      <c r="AI829" s="65"/>
      <c r="AJ829" s="65"/>
      <c r="AK829" s="65"/>
      <c r="AL829" s="65"/>
      <c r="AM829" s="65"/>
      <c r="AN829" s="65"/>
      <c r="AO829" s="65"/>
    </row>
    <row r="830">
      <c r="A830" s="30"/>
      <c r="B830" s="65"/>
      <c r="C830" s="65"/>
      <c r="D830" s="65"/>
      <c r="E830" s="30"/>
      <c r="F830" s="65"/>
      <c r="G830" s="65"/>
      <c r="H830" s="65"/>
      <c r="I830" s="30"/>
      <c r="J830" s="65"/>
      <c r="K830" s="65"/>
      <c r="L830" s="65"/>
      <c r="M830" s="30"/>
      <c r="N830" s="65"/>
      <c r="O830" s="65"/>
      <c r="P830" s="65"/>
      <c r="Q830" s="30"/>
      <c r="R830" s="65"/>
      <c r="S830" s="65"/>
      <c r="T830" s="65"/>
      <c r="U830" s="30"/>
      <c r="V830" s="65"/>
      <c r="W830" s="65"/>
      <c r="X830" s="65"/>
      <c r="Y830" s="30"/>
      <c r="Z830" s="65"/>
      <c r="AA830" s="65"/>
      <c r="AB830" s="65"/>
      <c r="AC830" s="30"/>
      <c r="AD830" s="65"/>
      <c r="AE830" s="65"/>
      <c r="AF830" s="65"/>
      <c r="AG830" s="65"/>
      <c r="AH830" s="30"/>
      <c r="AI830" s="65"/>
      <c r="AJ830" s="65"/>
      <c r="AK830" s="65"/>
      <c r="AL830" s="65"/>
      <c r="AM830" s="65"/>
      <c r="AN830" s="65"/>
      <c r="AO830" s="65"/>
    </row>
    <row r="831">
      <c r="A831" s="30"/>
      <c r="B831" s="65"/>
      <c r="C831" s="65"/>
      <c r="D831" s="65"/>
      <c r="E831" s="30"/>
      <c r="F831" s="65"/>
      <c r="G831" s="65"/>
      <c r="H831" s="65"/>
      <c r="I831" s="30"/>
      <c r="J831" s="65"/>
      <c r="K831" s="65"/>
      <c r="L831" s="65"/>
      <c r="M831" s="30"/>
      <c r="N831" s="65"/>
      <c r="O831" s="65"/>
      <c r="P831" s="65"/>
      <c r="Q831" s="30"/>
      <c r="R831" s="65"/>
      <c r="S831" s="65"/>
      <c r="T831" s="65"/>
      <c r="U831" s="30"/>
      <c r="V831" s="65"/>
      <c r="W831" s="65"/>
      <c r="X831" s="65"/>
      <c r="Y831" s="30"/>
      <c r="Z831" s="65"/>
      <c r="AA831" s="65"/>
      <c r="AB831" s="65"/>
      <c r="AC831" s="30"/>
      <c r="AD831" s="65"/>
      <c r="AE831" s="65"/>
      <c r="AF831" s="65"/>
      <c r="AG831" s="65"/>
      <c r="AH831" s="30"/>
      <c r="AI831" s="65"/>
      <c r="AJ831" s="65"/>
      <c r="AK831" s="65"/>
      <c r="AL831" s="65"/>
      <c r="AM831" s="65"/>
      <c r="AN831" s="65"/>
      <c r="AO831" s="65"/>
    </row>
    <row r="832">
      <c r="A832" s="30"/>
      <c r="B832" s="65"/>
      <c r="C832" s="65"/>
      <c r="D832" s="65"/>
      <c r="E832" s="30"/>
      <c r="F832" s="65"/>
      <c r="G832" s="65"/>
      <c r="H832" s="65"/>
      <c r="I832" s="30"/>
      <c r="J832" s="65"/>
      <c r="K832" s="65"/>
      <c r="L832" s="65"/>
      <c r="M832" s="30"/>
      <c r="N832" s="65"/>
      <c r="O832" s="65"/>
      <c r="P832" s="65"/>
      <c r="Q832" s="30"/>
      <c r="R832" s="65"/>
      <c r="S832" s="65"/>
      <c r="T832" s="65"/>
      <c r="U832" s="30"/>
      <c r="V832" s="65"/>
      <c r="W832" s="65"/>
      <c r="X832" s="65"/>
      <c r="Y832" s="30"/>
      <c r="Z832" s="65"/>
      <c r="AA832" s="65"/>
      <c r="AB832" s="65"/>
      <c r="AC832" s="30"/>
      <c r="AD832" s="65"/>
      <c r="AE832" s="65"/>
      <c r="AF832" s="65"/>
      <c r="AG832" s="65"/>
      <c r="AH832" s="30"/>
      <c r="AI832" s="65"/>
      <c r="AJ832" s="65"/>
      <c r="AK832" s="65"/>
      <c r="AL832" s="65"/>
      <c r="AM832" s="65"/>
      <c r="AN832" s="65"/>
      <c r="AO832" s="65"/>
    </row>
    <row r="833">
      <c r="A833" s="30"/>
      <c r="B833" s="65"/>
      <c r="C833" s="65"/>
      <c r="D833" s="65"/>
      <c r="E833" s="30"/>
      <c r="F833" s="65"/>
      <c r="G833" s="65"/>
      <c r="H833" s="65"/>
      <c r="I833" s="30"/>
      <c r="J833" s="65"/>
      <c r="K833" s="65"/>
      <c r="L833" s="65"/>
      <c r="M833" s="30"/>
      <c r="N833" s="65"/>
      <c r="O833" s="65"/>
      <c r="P833" s="65"/>
      <c r="Q833" s="30"/>
      <c r="R833" s="65"/>
      <c r="S833" s="65"/>
      <c r="T833" s="65"/>
      <c r="U833" s="30"/>
      <c r="V833" s="65"/>
      <c r="W833" s="65"/>
      <c r="X833" s="65"/>
      <c r="Y833" s="30"/>
      <c r="Z833" s="65"/>
      <c r="AA833" s="65"/>
      <c r="AB833" s="65"/>
      <c r="AC833" s="30"/>
      <c r="AD833" s="65"/>
      <c r="AE833" s="65"/>
      <c r="AF833" s="65"/>
      <c r="AG833" s="65"/>
      <c r="AH833" s="30"/>
      <c r="AI833" s="65"/>
      <c r="AJ833" s="65"/>
      <c r="AK833" s="65"/>
      <c r="AL833" s="65"/>
      <c r="AM833" s="65"/>
      <c r="AN833" s="65"/>
      <c r="AO833" s="65"/>
    </row>
    <row r="834">
      <c r="A834" s="30"/>
      <c r="B834" s="65"/>
      <c r="C834" s="65"/>
      <c r="D834" s="65"/>
      <c r="E834" s="30"/>
      <c r="F834" s="65"/>
      <c r="G834" s="65"/>
      <c r="H834" s="65"/>
      <c r="I834" s="30"/>
      <c r="J834" s="65"/>
      <c r="K834" s="65"/>
      <c r="L834" s="65"/>
      <c r="M834" s="30"/>
      <c r="N834" s="65"/>
      <c r="O834" s="65"/>
      <c r="P834" s="65"/>
      <c r="Q834" s="30"/>
      <c r="R834" s="65"/>
      <c r="S834" s="65"/>
      <c r="T834" s="65"/>
      <c r="U834" s="30"/>
      <c r="V834" s="65"/>
      <c r="W834" s="65"/>
      <c r="X834" s="65"/>
      <c r="Y834" s="30"/>
      <c r="Z834" s="65"/>
      <c r="AA834" s="65"/>
      <c r="AB834" s="65"/>
      <c r="AC834" s="30"/>
      <c r="AD834" s="65"/>
      <c r="AE834" s="65"/>
      <c r="AF834" s="65"/>
      <c r="AG834" s="65"/>
      <c r="AH834" s="30"/>
      <c r="AI834" s="65"/>
      <c r="AJ834" s="65"/>
      <c r="AK834" s="65"/>
      <c r="AL834" s="65"/>
      <c r="AM834" s="65"/>
      <c r="AN834" s="65"/>
      <c r="AO834" s="65"/>
    </row>
    <row r="835">
      <c r="A835" s="30"/>
      <c r="B835" s="65"/>
      <c r="C835" s="65"/>
      <c r="D835" s="65"/>
      <c r="E835" s="30"/>
      <c r="F835" s="65"/>
      <c r="G835" s="65"/>
      <c r="H835" s="65"/>
      <c r="I835" s="30"/>
      <c r="J835" s="65"/>
      <c r="K835" s="65"/>
      <c r="L835" s="65"/>
      <c r="M835" s="30"/>
      <c r="N835" s="65"/>
      <c r="O835" s="65"/>
      <c r="P835" s="65"/>
      <c r="Q835" s="30"/>
      <c r="R835" s="65"/>
      <c r="S835" s="65"/>
      <c r="T835" s="65"/>
      <c r="U835" s="30"/>
      <c r="V835" s="65"/>
      <c r="W835" s="65"/>
      <c r="X835" s="65"/>
      <c r="Y835" s="30"/>
      <c r="Z835" s="65"/>
      <c r="AA835" s="65"/>
      <c r="AB835" s="65"/>
      <c r="AC835" s="30"/>
      <c r="AD835" s="65"/>
      <c r="AE835" s="65"/>
      <c r="AF835" s="65"/>
      <c r="AG835" s="65"/>
      <c r="AH835" s="30"/>
      <c r="AI835" s="65"/>
      <c r="AJ835" s="65"/>
      <c r="AK835" s="65"/>
      <c r="AL835" s="65"/>
      <c r="AM835" s="65"/>
      <c r="AN835" s="65"/>
      <c r="AO835" s="65"/>
    </row>
    <row r="836">
      <c r="A836" s="30"/>
      <c r="B836" s="65"/>
      <c r="C836" s="65"/>
      <c r="D836" s="65"/>
      <c r="E836" s="30"/>
      <c r="F836" s="65"/>
      <c r="G836" s="65"/>
      <c r="H836" s="65"/>
      <c r="I836" s="30"/>
      <c r="J836" s="65"/>
      <c r="K836" s="65"/>
      <c r="L836" s="65"/>
      <c r="M836" s="30"/>
      <c r="N836" s="65"/>
      <c r="O836" s="65"/>
      <c r="P836" s="65"/>
      <c r="Q836" s="30"/>
      <c r="R836" s="65"/>
      <c r="S836" s="65"/>
      <c r="T836" s="65"/>
      <c r="U836" s="30"/>
      <c r="V836" s="65"/>
      <c r="W836" s="65"/>
      <c r="X836" s="65"/>
      <c r="Y836" s="30"/>
      <c r="Z836" s="65"/>
      <c r="AA836" s="65"/>
      <c r="AB836" s="65"/>
      <c r="AC836" s="30"/>
      <c r="AD836" s="65"/>
      <c r="AE836" s="65"/>
      <c r="AF836" s="65"/>
      <c r="AG836" s="65"/>
      <c r="AH836" s="30"/>
      <c r="AI836" s="65"/>
      <c r="AJ836" s="65"/>
      <c r="AK836" s="65"/>
      <c r="AL836" s="65"/>
      <c r="AM836" s="65"/>
      <c r="AN836" s="65"/>
      <c r="AO836" s="65"/>
    </row>
    <row r="837">
      <c r="A837" s="30"/>
      <c r="B837" s="65"/>
      <c r="C837" s="65"/>
      <c r="D837" s="65"/>
      <c r="E837" s="30"/>
      <c r="F837" s="65"/>
      <c r="G837" s="65"/>
      <c r="H837" s="65"/>
      <c r="I837" s="30"/>
      <c r="J837" s="65"/>
      <c r="K837" s="65"/>
      <c r="L837" s="65"/>
      <c r="M837" s="30"/>
      <c r="N837" s="65"/>
      <c r="O837" s="65"/>
      <c r="P837" s="65"/>
      <c r="Q837" s="30"/>
      <c r="R837" s="65"/>
      <c r="S837" s="65"/>
      <c r="T837" s="65"/>
      <c r="U837" s="30"/>
      <c r="V837" s="65"/>
      <c r="W837" s="65"/>
      <c r="X837" s="65"/>
      <c r="Y837" s="30"/>
      <c r="Z837" s="65"/>
      <c r="AA837" s="65"/>
      <c r="AB837" s="65"/>
      <c r="AC837" s="30"/>
      <c r="AD837" s="65"/>
      <c r="AE837" s="65"/>
      <c r="AF837" s="65"/>
      <c r="AG837" s="65"/>
      <c r="AH837" s="30"/>
      <c r="AI837" s="65"/>
      <c r="AJ837" s="65"/>
      <c r="AK837" s="65"/>
      <c r="AL837" s="65"/>
      <c r="AM837" s="65"/>
      <c r="AN837" s="65"/>
      <c r="AO837" s="65"/>
    </row>
    <row r="838">
      <c r="A838" s="30"/>
      <c r="B838" s="65"/>
      <c r="C838" s="65"/>
      <c r="D838" s="65"/>
      <c r="E838" s="30"/>
      <c r="F838" s="65"/>
      <c r="G838" s="65"/>
      <c r="H838" s="65"/>
      <c r="I838" s="30"/>
      <c r="J838" s="65"/>
      <c r="K838" s="65"/>
      <c r="L838" s="65"/>
      <c r="M838" s="30"/>
      <c r="N838" s="65"/>
      <c r="O838" s="65"/>
      <c r="P838" s="65"/>
      <c r="Q838" s="30"/>
      <c r="R838" s="65"/>
      <c r="S838" s="65"/>
      <c r="T838" s="65"/>
      <c r="U838" s="30"/>
      <c r="V838" s="65"/>
      <c r="W838" s="65"/>
      <c r="X838" s="65"/>
      <c r="Y838" s="30"/>
      <c r="Z838" s="65"/>
      <c r="AA838" s="65"/>
      <c r="AB838" s="65"/>
      <c r="AC838" s="30"/>
      <c r="AD838" s="65"/>
      <c r="AE838" s="65"/>
      <c r="AF838" s="65"/>
      <c r="AG838" s="65"/>
      <c r="AH838" s="30"/>
      <c r="AI838" s="65"/>
      <c r="AJ838" s="65"/>
      <c r="AK838" s="65"/>
      <c r="AL838" s="65"/>
      <c r="AM838" s="65"/>
      <c r="AN838" s="65"/>
      <c r="AO838" s="65"/>
    </row>
    <row r="839">
      <c r="A839" s="30"/>
      <c r="B839" s="65"/>
      <c r="C839" s="65"/>
      <c r="D839" s="65"/>
      <c r="E839" s="30"/>
      <c r="F839" s="65"/>
      <c r="G839" s="65"/>
      <c r="H839" s="65"/>
      <c r="I839" s="30"/>
      <c r="J839" s="65"/>
      <c r="K839" s="65"/>
      <c r="L839" s="65"/>
      <c r="M839" s="30"/>
      <c r="N839" s="65"/>
      <c r="O839" s="65"/>
      <c r="P839" s="65"/>
      <c r="Q839" s="30"/>
      <c r="R839" s="65"/>
      <c r="S839" s="65"/>
      <c r="T839" s="65"/>
      <c r="U839" s="30"/>
      <c r="V839" s="65"/>
      <c r="W839" s="65"/>
      <c r="X839" s="65"/>
      <c r="Y839" s="30"/>
      <c r="Z839" s="65"/>
      <c r="AA839" s="65"/>
      <c r="AB839" s="65"/>
      <c r="AC839" s="30"/>
      <c r="AD839" s="65"/>
      <c r="AE839" s="65"/>
      <c r="AF839" s="65"/>
      <c r="AG839" s="65"/>
      <c r="AH839" s="30"/>
      <c r="AI839" s="65"/>
      <c r="AJ839" s="65"/>
      <c r="AK839" s="65"/>
      <c r="AL839" s="65"/>
      <c r="AM839" s="65"/>
      <c r="AN839" s="65"/>
      <c r="AO839" s="65"/>
    </row>
    <row r="840">
      <c r="A840" s="30"/>
      <c r="B840" s="65"/>
      <c r="C840" s="65"/>
      <c r="D840" s="65"/>
      <c r="E840" s="30"/>
      <c r="F840" s="65"/>
      <c r="G840" s="65"/>
      <c r="H840" s="65"/>
      <c r="I840" s="30"/>
      <c r="J840" s="65"/>
      <c r="K840" s="65"/>
      <c r="L840" s="65"/>
      <c r="M840" s="30"/>
      <c r="N840" s="65"/>
      <c r="O840" s="65"/>
      <c r="P840" s="65"/>
      <c r="Q840" s="30"/>
      <c r="R840" s="65"/>
      <c r="S840" s="65"/>
      <c r="T840" s="65"/>
      <c r="U840" s="30"/>
      <c r="V840" s="65"/>
      <c r="W840" s="65"/>
      <c r="X840" s="65"/>
      <c r="Y840" s="30"/>
      <c r="Z840" s="65"/>
      <c r="AA840" s="65"/>
      <c r="AB840" s="65"/>
      <c r="AC840" s="30"/>
      <c r="AD840" s="65"/>
      <c r="AE840" s="65"/>
      <c r="AF840" s="65"/>
      <c r="AG840" s="65"/>
      <c r="AH840" s="30"/>
      <c r="AI840" s="65"/>
      <c r="AJ840" s="65"/>
      <c r="AK840" s="65"/>
      <c r="AL840" s="65"/>
      <c r="AM840" s="65"/>
      <c r="AN840" s="65"/>
      <c r="AO840" s="65"/>
    </row>
    <row r="841">
      <c r="A841" s="30"/>
      <c r="B841" s="65"/>
      <c r="C841" s="65"/>
      <c r="D841" s="65"/>
      <c r="E841" s="30"/>
      <c r="F841" s="65"/>
      <c r="G841" s="65"/>
      <c r="H841" s="65"/>
      <c r="I841" s="30"/>
      <c r="J841" s="65"/>
      <c r="K841" s="65"/>
      <c r="L841" s="65"/>
      <c r="M841" s="30"/>
      <c r="N841" s="65"/>
      <c r="O841" s="65"/>
      <c r="P841" s="65"/>
      <c r="Q841" s="30"/>
      <c r="R841" s="65"/>
      <c r="S841" s="65"/>
      <c r="T841" s="65"/>
      <c r="U841" s="30"/>
      <c r="V841" s="65"/>
      <c r="W841" s="65"/>
      <c r="X841" s="65"/>
      <c r="Y841" s="30"/>
      <c r="Z841" s="65"/>
      <c r="AA841" s="65"/>
      <c r="AB841" s="65"/>
      <c r="AC841" s="30"/>
      <c r="AD841" s="65"/>
      <c r="AE841" s="65"/>
      <c r="AF841" s="65"/>
      <c r="AG841" s="65"/>
      <c r="AH841" s="30"/>
      <c r="AI841" s="65"/>
      <c r="AJ841" s="65"/>
      <c r="AK841" s="65"/>
      <c r="AL841" s="65"/>
      <c r="AM841" s="65"/>
      <c r="AN841" s="65"/>
      <c r="AO841" s="65"/>
    </row>
    <row r="842">
      <c r="A842" s="30"/>
      <c r="B842" s="65"/>
      <c r="C842" s="65"/>
      <c r="D842" s="65"/>
      <c r="E842" s="30"/>
      <c r="F842" s="65"/>
      <c r="G842" s="65"/>
      <c r="H842" s="65"/>
      <c r="I842" s="30"/>
      <c r="J842" s="65"/>
      <c r="K842" s="65"/>
      <c r="L842" s="65"/>
      <c r="M842" s="30"/>
      <c r="N842" s="65"/>
      <c r="O842" s="65"/>
      <c r="P842" s="65"/>
      <c r="Q842" s="30"/>
      <c r="R842" s="65"/>
      <c r="S842" s="65"/>
      <c r="T842" s="65"/>
      <c r="U842" s="30"/>
      <c r="V842" s="65"/>
      <c r="W842" s="65"/>
      <c r="X842" s="65"/>
      <c r="Y842" s="30"/>
      <c r="Z842" s="65"/>
      <c r="AA842" s="65"/>
      <c r="AB842" s="65"/>
      <c r="AC842" s="30"/>
      <c r="AD842" s="65"/>
      <c r="AE842" s="65"/>
      <c r="AF842" s="65"/>
      <c r="AG842" s="65"/>
      <c r="AH842" s="30"/>
      <c r="AI842" s="65"/>
      <c r="AJ842" s="65"/>
      <c r="AK842" s="65"/>
      <c r="AL842" s="65"/>
      <c r="AM842" s="65"/>
      <c r="AN842" s="65"/>
      <c r="AO842" s="65"/>
    </row>
    <row r="843">
      <c r="A843" s="30"/>
      <c r="B843" s="65"/>
      <c r="C843" s="65"/>
      <c r="D843" s="65"/>
      <c r="E843" s="30"/>
      <c r="F843" s="65"/>
      <c r="G843" s="65"/>
      <c r="H843" s="65"/>
      <c r="I843" s="30"/>
      <c r="J843" s="65"/>
      <c r="K843" s="65"/>
      <c r="L843" s="65"/>
      <c r="M843" s="30"/>
      <c r="N843" s="65"/>
      <c r="O843" s="65"/>
      <c r="P843" s="65"/>
      <c r="Q843" s="30"/>
      <c r="R843" s="65"/>
      <c r="S843" s="65"/>
      <c r="T843" s="65"/>
      <c r="U843" s="30"/>
      <c r="V843" s="65"/>
      <c r="W843" s="65"/>
      <c r="X843" s="65"/>
      <c r="Y843" s="30"/>
      <c r="Z843" s="65"/>
      <c r="AA843" s="65"/>
      <c r="AB843" s="65"/>
      <c r="AC843" s="30"/>
      <c r="AD843" s="65"/>
      <c r="AE843" s="65"/>
      <c r="AF843" s="65"/>
      <c r="AG843" s="65"/>
      <c r="AH843" s="30"/>
      <c r="AI843" s="65"/>
      <c r="AJ843" s="65"/>
      <c r="AK843" s="65"/>
      <c r="AL843" s="65"/>
      <c r="AM843" s="65"/>
      <c r="AN843" s="65"/>
      <c r="AO843" s="65"/>
    </row>
    <row r="844">
      <c r="A844" s="30"/>
      <c r="B844" s="65"/>
      <c r="C844" s="65"/>
      <c r="D844" s="65"/>
      <c r="E844" s="30"/>
      <c r="F844" s="65"/>
      <c r="G844" s="65"/>
      <c r="H844" s="65"/>
      <c r="I844" s="30"/>
      <c r="J844" s="65"/>
      <c r="K844" s="65"/>
      <c r="L844" s="65"/>
      <c r="M844" s="30"/>
      <c r="N844" s="65"/>
      <c r="O844" s="65"/>
      <c r="P844" s="65"/>
      <c r="Q844" s="30"/>
      <c r="R844" s="65"/>
      <c r="S844" s="65"/>
      <c r="T844" s="65"/>
      <c r="U844" s="30"/>
      <c r="V844" s="65"/>
      <c r="W844" s="65"/>
      <c r="X844" s="65"/>
      <c r="Y844" s="30"/>
      <c r="Z844" s="65"/>
      <c r="AA844" s="65"/>
      <c r="AB844" s="65"/>
      <c r="AC844" s="30"/>
      <c r="AD844" s="65"/>
      <c r="AE844" s="65"/>
      <c r="AF844" s="65"/>
      <c r="AG844" s="65"/>
      <c r="AH844" s="30"/>
      <c r="AI844" s="65"/>
      <c r="AJ844" s="65"/>
      <c r="AK844" s="65"/>
      <c r="AL844" s="65"/>
      <c r="AM844" s="65"/>
      <c r="AN844" s="65"/>
      <c r="AO844" s="65"/>
    </row>
    <row r="845">
      <c r="A845" s="30"/>
      <c r="B845" s="65"/>
      <c r="C845" s="65"/>
      <c r="D845" s="65"/>
      <c r="E845" s="30"/>
      <c r="F845" s="65"/>
      <c r="G845" s="65"/>
      <c r="H845" s="65"/>
      <c r="I845" s="30"/>
      <c r="J845" s="65"/>
      <c r="K845" s="65"/>
      <c r="L845" s="65"/>
      <c r="M845" s="30"/>
      <c r="N845" s="65"/>
      <c r="O845" s="65"/>
      <c r="P845" s="65"/>
      <c r="Q845" s="30"/>
      <c r="R845" s="65"/>
      <c r="S845" s="65"/>
      <c r="T845" s="65"/>
      <c r="U845" s="30"/>
      <c r="V845" s="65"/>
      <c r="W845" s="65"/>
      <c r="X845" s="65"/>
      <c r="Y845" s="30"/>
      <c r="Z845" s="65"/>
      <c r="AA845" s="65"/>
      <c r="AB845" s="65"/>
      <c r="AC845" s="30"/>
      <c r="AD845" s="65"/>
      <c r="AE845" s="65"/>
      <c r="AF845" s="65"/>
      <c r="AG845" s="65"/>
      <c r="AH845" s="30"/>
      <c r="AI845" s="65"/>
      <c r="AJ845" s="65"/>
      <c r="AK845" s="65"/>
      <c r="AL845" s="65"/>
      <c r="AM845" s="65"/>
      <c r="AN845" s="65"/>
      <c r="AO845" s="65"/>
    </row>
    <row r="846">
      <c r="A846" s="30"/>
      <c r="B846" s="65"/>
      <c r="C846" s="65"/>
      <c r="D846" s="65"/>
      <c r="E846" s="30"/>
      <c r="F846" s="65"/>
      <c r="G846" s="65"/>
      <c r="H846" s="65"/>
      <c r="I846" s="30"/>
      <c r="J846" s="65"/>
      <c r="K846" s="65"/>
      <c r="L846" s="65"/>
      <c r="M846" s="30"/>
      <c r="N846" s="65"/>
      <c r="O846" s="65"/>
      <c r="P846" s="65"/>
      <c r="Q846" s="30"/>
      <c r="R846" s="65"/>
      <c r="S846" s="65"/>
      <c r="T846" s="65"/>
      <c r="U846" s="30"/>
      <c r="V846" s="65"/>
      <c r="W846" s="65"/>
      <c r="X846" s="65"/>
      <c r="Y846" s="30"/>
      <c r="Z846" s="65"/>
      <c r="AA846" s="65"/>
      <c r="AB846" s="65"/>
      <c r="AC846" s="30"/>
      <c r="AD846" s="65"/>
      <c r="AE846" s="65"/>
      <c r="AF846" s="65"/>
      <c r="AG846" s="65"/>
      <c r="AH846" s="30"/>
      <c r="AI846" s="65"/>
      <c r="AJ846" s="65"/>
      <c r="AK846" s="65"/>
      <c r="AL846" s="65"/>
      <c r="AM846" s="65"/>
      <c r="AN846" s="65"/>
      <c r="AO846" s="65"/>
    </row>
    <row r="847">
      <c r="A847" s="30"/>
      <c r="B847" s="65"/>
      <c r="C847" s="65"/>
      <c r="D847" s="65"/>
      <c r="E847" s="30"/>
      <c r="F847" s="65"/>
      <c r="G847" s="65"/>
      <c r="H847" s="65"/>
      <c r="I847" s="30"/>
      <c r="J847" s="65"/>
      <c r="K847" s="65"/>
      <c r="L847" s="65"/>
      <c r="M847" s="30"/>
      <c r="N847" s="65"/>
      <c r="O847" s="65"/>
      <c r="P847" s="65"/>
      <c r="Q847" s="30"/>
      <c r="R847" s="65"/>
      <c r="S847" s="65"/>
      <c r="T847" s="65"/>
      <c r="U847" s="30"/>
      <c r="V847" s="65"/>
      <c r="W847" s="65"/>
      <c r="X847" s="65"/>
      <c r="Y847" s="30"/>
      <c r="Z847" s="65"/>
      <c r="AA847" s="65"/>
      <c r="AB847" s="65"/>
      <c r="AC847" s="30"/>
      <c r="AD847" s="65"/>
      <c r="AE847" s="65"/>
      <c r="AF847" s="65"/>
      <c r="AG847" s="65"/>
      <c r="AH847" s="30"/>
      <c r="AI847" s="65"/>
      <c r="AJ847" s="65"/>
      <c r="AK847" s="65"/>
      <c r="AL847" s="65"/>
      <c r="AM847" s="65"/>
      <c r="AN847" s="65"/>
      <c r="AO847" s="65"/>
    </row>
    <row r="848">
      <c r="A848" s="30"/>
      <c r="B848" s="65"/>
      <c r="C848" s="65"/>
      <c r="D848" s="65"/>
      <c r="E848" s="30"/>
      <c r="F848" s="65"/>
      <c r="G848" s="65"/>
      <c r="H848" s="65"/>
      <c r="I848" s="30"/>
      <c r="J848" s="65"/>
      <c r="K848" s="65"/>
      <c r="L848" s="65"/>
      <c r="M848" s="30"/>
      <c r="N848" s="65"/>
      <c r="O848" s="65"/>
      <c r="P848" s="65"/>
      <c r="Q848" s="30"/>
      <c r="R848" s="65"/>
      <c r="S848" s="65"/>
      <c r="T848" s="65"/>
      <c r="U848" s="30"/>
      <c r="V848" s="65"/>
      <c r="W848" s="65"/>
      <c r="X848" s="65"/>
      <c r="Y848" s="30"/>
      <c r="Z848" s="65"/>
      <c r="AA848" s="65"/>
      <c r="AB848" s="65"/>
      <c r="AC848" s="30"/>
      <c r="AD848" s="65"/>
      <c r="AE848" s="65"/>
      <c r="AF848" s="65"/>
      <c r="AG848" s="65"/>
      <c r="AH848" s="30"/>
      <c r="AI848" s="65"/>
      <c r="AJ848" s="65"/>
      <c r="AK848" s="65"/>
      <c r="AL848" s="65"/>
      <c r="AM848" s="65"/>
      <c r="AN848" s="65"/>
      <c r="AO848" s="65"/>
    </row>
    <row r="849">
      <c r="A849" s="30"/>
      <c r="B849" s="65"/>
      <c r="C849" s="65"/>
      <c r="D849" s="65"/>
      <c r="E849" s="30"/>
      <c r="F849" s="65"/>
      <c r="G849" s="65"/>
      <c r="H849" s="65"/>
      <c r="I849" s="30"/>
      <c r="J849" s="65"/>
      <c r="K849" s="65"/>
      <c r="L849" s="65"/>
      <c r="M849" s="30"/>
      <c r="N849" s="65"/>
      <c r="O849" s="65"/>
      <c r="P849" s="65"/>
      <c r="Q849" s="30"/>
      <c r="R849" s="65"/>
      <c r="S849" s="65"/>
      <c r="T849" s="65"/>
      <c r="U849" s="30"/>
      <c r="V849" s="65"/>
      <c r="W849" s="65"/>
      <c r="X849" s="65"/>
      <c r="Y849" s="30"/>
      <c r="Z849" s="65"/>
      <c r="AA849" s="65"/>
      <c r="AB849" s="65"/>
      <c r="AC849" s="30"/>
      <c r="AD849" s="65"/>
      <c r="AE849" s="65"/>
      <c r="AF849" s="65"/>
      <c r="AG849" s="65"/>
      <c r="AH849" s="30"/>
      <c r="AI849" s="65"/>
      <c r="AJ849" s="65"/>
      <c r="AK849" s="65"/>
      <c r="AL849" s="65"/>
      <c r="AM849" s="65"/>
      <c r="AN849" s="65"/>
      <c r="AO849" s="65"/>
    </row>
    <row r="850">
      <c r="A850" s="30"/>
      <c r="B850" s="65"/>
      <c r="C850" s="65"/>
      <c r="D850" s="65"/>
      <c r="E850" s="30"/>
      <c r="F850" s="65"/>
      <c r="G850" s="65"/>
      <c r="H850" s="65"/>
      <c r="I850" s="30"/>
      <c r="J850" s="65"/>
      <c r="K850" s="65"/>
      <c r="L850" s="65"/>
      <c r="M850" s="30"/>
      <c r="N850" s="65"/>
      <c r="O850" s="65"/>
      <c r="P850" s="65"/>
      <c r="Q850" s="30"/>
      <c r="R850" s="65"/>
      <c r="S850" s="65"/>
      <c r="T850" s="65"/>
      <c r="U850" s="30"/>
      <c r="V850" s="65"/>
      <c r="W850" s="65"/>
      <c r="X850" s="65"/>
      <c r="Y850" s="30"/>
      <c r="Z850" s="65"/>
      <c r="AA850" s="65"/>
      <c r="AB850" s="65"/>
      <c r="AC850" s="30"/>
      <c r="AD850" s="65"/>
      <c r="AE850" s="65"/>
      <c r="AF850" s="65"/>
      <c r="AG850" s="65"/>
      <c r="AH850" s="30"/>
      <c r="AI850" s="65"/>
      <c r="AJ850" s="65"/>
      <c r="AK850" s="65"/>
      <c r="AL850" s="65"/>
      <c r="AM850" s="65"/>
      <c r="AN850" s="65"/>
      <c r="AO850" s="65"/>
    </row>
    <row r="851">
      <c r="A851" s="30"/>
      <c r="B851" s="65"/>
      <c r="C851" s="65"/>
      <c r="D851" s="65"/>
      <c r="E851" s="30"/>
      <c r="F851" s="65"/>
      <c r="G851" s="65"/>
      <c r="H851" s="65"/>
      <c r="I851" s="30"/>
      <c r="J851" s="65"/>
      <c r="K851" s="65"/>
      <c r="L851" s="65"/>
      <c r="M851" s="30"/>
      <c r="N851" s="65"/>
      <c r="O851" s="65"/>
      <c r="P851" s="65"/>
      <c r="Q851" s="30"/>
      <c r="R851" s="65"/>
      <c r="S851" s="65"/>
      <c r="T851" s="65"/>
      <c r="U851" s="30"/>
      <c r="V851" s="65"/>
      <c r="W851" s="65"/>
      <c r="X851" s="65"/>
      <c r="Y851" s="30"/>
      <c r="Z851" s="65"/>
      <c r="AA851" s="65"/>
      <c r="AB851" s="65"/>
      <c r="AC851" s="30"/>
      <c r="AD851" s="65"/>
      <c r="AE851" s="65"/>
      <c r="AF851" s="65"/>
      <c r="AG851" s="65"/>
      <c r="AH851" s="30"/>
      <c r="AI851" s="65"/>
      <c r="AJ851" s="65"/>
      <c r="AK851" s="65"/>
      <c r="AL851" s="65"/>
      <c r="AM851" s="65"/>
      <c r="AN851" s="65"/>
      <c r="AO851" s="65"/>
    </row>
    <row r="852">
      <c r="A852" s="30"/>
      <c r="B852" s="65"/>
      <c r="C852" s="65"/>
      <c r="D852" s="65"/>
      <c r="E852" s="30"/>
      <c r="F852" s="65"/>
      <c r="G852" s="65"/>
      <c r="H852" s="65"/>
      <c r="I852" s="30"/>
      <c r="J852" s="65"/>
      <c r="K852" s="65"/>
      <c r="L852" s="65"/>
      <c r="M852" s="30"/>
      <c r="N852" s="65"/>
      <c r="O852" s="65"/>
      <c r="P852" s="65"/>
      <c r="Q852" s="30"/>
      <c r="R852" s="65"/>
      <c r="S852" s="65"/>
      <c r="T852" s="65"/>
      <c r="U852" s="30"/>
      <c r="V852" s="65"/>
      <c r="W852" s="65"/>
      <c r="X852" s="65"/>
      <c r="Y852" s="30"/>
      <c r="Z852" s="65"/>
      <c r="AA852" s="65"/>
      <c r="AB852" s="65"/>
      <c r="AC852" s="30"/>
      <c r="AD852" s="65"/>
      <c r="AE852" s="65"/>
      <c r="AF852" s="65"/>
      <c r="AG852" s="65"/>
      <c r="AH852" s="30"/>
      <c r="AI852" s="65"/>
      <c r="AJ852" s="65"/>
      <c r="AK852" s="65"/>
      <c r="AL852" s="65"/>
      <c r="AM852" s="65"/>
      <c r="AN852" s="65"/>
      <c r="AO852" s="65"/>
    </row>
    <row r="853">
      <c r="A853" s="30"/>
      <c r="B853" s="65"/>
      <c r="C853" s="65"/>
      <c r="D853" s="65"/>
      <c r="E853" s="30"/>
      <c r="F853" s="65"/>
      <c r="G853" s="65"/>
      <c r="H853" s="65"/>
      <c r="I853" s="30"/>
      <c r="J853" s="65"/>
      <c r="K853" s="65"/>
      <c r="L853" s="65"/>
      <c r="M853" s="30"/>
      <c r="N853" s="65"/>
      <c r="O853" s="65"/>
      <c r="P853" s="65"/>
      <c r="Q853" s="30"/>
      <c r="R853" s="65"/>
      <c r="S853" s="65"/>
      <c r="T853" s="65"/>
      <c r="U853" s="30"/>
      <c r="V853" s="65"/>
      <c r="W853" s="65"/>
      <c r="X853" s="65"/>
      <c r="Y853" s="30"/>
      <c r="Z853" s="65"/>
      <c r="AA853" s="65"/>
      <c r="AB853" s="65"/>
      <c r="AC853" s="30"/>
      <c r="AD853" s="65"/>
      <c r="AE853" s="65"/>
      <c r="AF853" s="65"/>
      <c r="AG853" s="65"/>
      <c r="AH853" s="30"/>
      <c r="AI853" s="65"/>
      <c r="AJ853" s="65"/>
      <c r="AK853" s="65"/>
      <c r="AL853" s="65"/>
      <c r="AM853" s="65"/>
      <c r="AN853" s="65"/>
      <c r="AO853" s="65"/>
    </row>
    <row r="854">
      <c r="A854" s="30"/>
      <c r="B854" s="65"/>
      <c r="C854" s="65"/>
      <c r="D854" s="65"/>
      <c r="E854" s="30"/>
      <c r="F854" s="65"/>
      <c r="G854" s="65"/>
      <c r="H854" s="65"/>
      <c r="I854" s="30"/>
      <c r="J854" s="65"/>
      <c r="K854" s="65"/>
      <c r="L854" s="65"/>
      <c r="M854" s="30"/>
      <c r="N854" s="65"/>
      <c r="O854" s="65"/>
      <c r="P854" s="65"/>
      <c r="Q854" s="30"/>
      <c r="R854" s="65"/>
      <c r="S854" s="65"/>
      <c r="T854" s="65"/>
      <c r="U854" s="30"/>
      <c r="V854" s="65"/>
      <c r="W854" s="65"/>
      <c r="X854" s="65"/>
      <c r="Y854" s="30"/>
      <c r="Z854" s="65"/>
      <c r="AA854" s="65"/>
      <c r="AB854" s="65"/>
      <c r="AC854" s="30"/>
      <c r="AD854" s="65"/>
      <c r="AE854" s="65"/>
      <c r="AF854" s="65"/>
      <c r="AG854" s="65"/>
      <c r="AH854" s="30"/>
      <c r="AI854" s="65"/>
      <c r="AJ854" s="65"/>
      <c r="AK854" s="65"/>
      <c r="AL854" s="65"/>
      <c r="AM854" s="65"/>
      <c r="AN854" s="65"/>
      <c r="AO854" s="65"/>
    </row>
    <row r="855">
      <c r="A855" s="30"/>
      <c r="B855" s="65"/>
      <c r="C855" s="65"/>
      <c r="D855" s="65"/>
      <c r="E855" s="30"/>
      <c r="F855" s="65"/>
      <c r="G855" s="65"/>
      <c r="H855" s="65"/>
      <c r="I855" s="30"/>
      <c r="J855" s="65"/>
      <c r="K855" s="65"/>
      <c r="L855" s="65"/>
      <c r="M855" s="30"/>
      <c r="N855" s="65"/>
      <c r="O855" s="65"/>
      <c r="P855" s="65"/>
      <c r="Q855" s="30"/>
      <c r="R855" s="65"/>
      <c r="S855" s="65"/>
      <c r="T855" s="65"/>
      <c r="U855" s="30"/>
      <c r="V855" s="65"/>
      <c r="W855" s="65"/>
      <c r="X855" s="65"/>
      <c r="Y855" s="30"/>
      <c r="Z855" s="65"/>
      <c r="AA855" s="65"/>
      <c r="AB855" s="65"/>
      <c r="AC855" s="30"/>
      <c r="AD855" s="65"/>
      <c r="AE855" s="65"/>
      <c r="AF855" s="65"/>
      <c r="AG855" s="65"/>
      <c r="AH855" s="30"/>
      <c r="AI855" s="65"/>
      <c r="AJ855" s="65"/>
      <c r="AK855" s="65"/>
      <c r="AL855" s="65"/>
      <c r="AM855" s="65"/>
      <c r="AN855" s="65"/>
      <c r="AO855" s="65"/>
    </row>
    <row r="856">
      <c r="A856" s="30"/>
      <c r="B856" s="65"/>
      <c r="C856" s="65"/>
      <c r="D856" s="65"/>
      <c r="E856" s="30"/>
      <c r="F856" s="65"/>
      <c r="G856" s="65"/>
      <c r="H856" s="65"/>
      <c r="I856" s="30"/>
      <c r="J856" s="65"/>
      <c r="K856" s="65"/>
      <c r="L856" s="65"/>
      <c r="M856" s="30"/>
      <c r="N856" s="65"/>
      <c r="O856" s="65"/>
      <c r="P856" s="65"/>
      <c r="Q856" s="30"/>
      <c r="R856" s="65"/>
      <c r="S856" s="65"/>
      <c r="T856" s="65"/>
      <c r="U856" s="30"/>
      <c r="V856" s="65"/>
      <c r="W856" s="65"/>
      <c r="X856" s="65"/>
      <c r="Y856" s="30"/>
      <c r="Z856" s="65"/>
      <c r="AA856" s="65"/>
      <c r="AB856" s="65"/>
      <c r="AC856" s="30"/>
      <c r="AD856" s="65"/>
      <c r="AE856" s="65"/>
      <c r="AF856" s="65"/>
      <c r="AG856" s="65"/>
      <c r="AH856" s="30"/>
      <c r="AI856" s="65"/>
      <c r="AJ856" s="65"/>
      <c r="AK856" s="65"/>
      <c r="AL856" s="65"/>
      <c r="AM856" s="65"/>
      <c r="AN856" s="65"/>
      <c r="AO856" s="65"/>
    </row>
    <row r="857">
      <c r="A857" s="30"/>
      <c r="B857" s="65"/>
      <c r="C857" s="65"/>
      <c r="D857" s="65"/>
      <c r="E857" s="30"/>
      <c r="F857" s="65"/>
      <c r="G857" s="65"/>
      <c r="H857" s="65"/>
      <c r="I857" s="30"/>
      <c r="J857" s="65"/>
      <c r="K857" s="65"/>
      <c r="L857" s="65"/>
      <c r="M857" s="30"/>
      <c r="N857" s="65"/>
      <c r="O857" s="65"/>
      <c r="P857" s="65"/>
      <c r="Q857" s="30"/>
      <c r="R857" s="65"/>
      <c r="S857" s="65"/>
      <c r="T857" s="65"/>
      <c r="U857" s="30"/>
      <c r="V857" s="65"/>
      <c r="W857" s="65"/>
      <c r="X857" s="65"/>
      <c r="Y857" s="30"/>
      <c r="Z857" s="65"/>
      <c r="AA857" s="65"/>
      <c r="AB857" s="65"/>
      <c r="AC857" s="30"/>
      <c r="AD857" s="65"/>
      <c r="AE857" s="65"/>
      <c r="AF857" s="65"/>
      <c r="AG857" s="65"/>
      <c r="AH857" s="30"/>
      <c r="AI857" s="65"/>
      <c r="AJ857" s="65"/>
      <c r="AK857" s="65"/>
      <c r="AL857" s="65"/>
      <c r="AM857" s="65"/>
      <c r="AN857" s="65"/>
      <c r="AO857" s="65"/>
    </row>
    <row r="858">
      <c r="A858" s="30"/>
      <c r="B858" s="65"/>
      <c r="C858" s="65"/>
      <c r="D858" s="65"/>
      <c r="E858" s="30"/>
      <c r="F858" s="65"/>
      <c r="G858" s="65"/>
      <c r="H858" s="65"/>
      <c r="I858" s="30"/>
      <c r="J858" s="65"/>
      <c r="K858" s="65"/>
      <c r="L858" s="65"/>
      <c r="M858" s="30"/>
      <c r="N858" s="65"/>
      <c r="O858" s="65"/>
      <c r="P858" s="65"/>
      <c r="Q858" s="30"/>
      <c r="R858" s="65"/>
      <c r="S858" s="65"/>
      <c r="T858" s="65"/>
      <c r="U858" s="30"/>
      <c r="V858" s="65"/>
      <c r="W858" s="65"/>
      <c r="X858" s="65"/>
      <c r="Y858" s="30"/>
      <c r="Z858" s="65"/>
      <c r="AA858" s="65"/>
      <c r="AB858" s="65"/>
      <c r="AC858" s="30"/>
      <c r="AD858" s="65"/>
      <c r="AE858" s="65"/>
      <c r="AF858" s="65"/>
      <c r="AG858" s="65"/>
      <c r="AH858" s="30"/>
      <c r="AI858" s="65"/>
      <c r="AJ858" s="65"/>
      <c r="AK858" s="65"/>
      <c r="AL858" s="65"/>
      <c r="AM858" s="65"/>
      <c r="AN858" s="65"/>
      <c r="AO858" s="65"/>
    </row>
    <row r="859">
      <c r="A859" s="30"/>
      <c r="B859" s="65"/>
      <c r="C859" s="65"/>
      <c r="D859" s="65"/>
      <c r="E859" s="30"/>
      <c r="F859" s="65"/>
      <c r="G859" s="65"/>
      <c r="H859" s="65"/>
      <c r="I859" s="30"/>
      <c r="J859" s="65"/>
      <c r="K859" s="65"/>
      <c r="L859" s="65"/>
      <c r="M859" s="30"/>
      <c r="N859" s="65"/>
      <c r="O859" s="65"/>
      <c r="P859" s="65"/>
      <c r="Q859" s="30"/>
      <c r="R859" s="65"/>
      <c r="S859" s="65"/>
      <c r="T859" s="65"/>
      <c r="U859" s="30"/>
      <c r="V859" s="65"/>
      <c r="W859" s="65"/>
      <c r="X859" s="65"/>
      <c r="Y859" s="30"/>
      <c r="Z859" s="65"/>
      <c r="AA859" s="65"/>
      <c r="AB859" s="65"/>
      <c r="AC859" s="30"/>
      <c r="AD859" s="65"/>
      <c r="AE859" s="65"/>
      <c r="AF859" s="65"/>
      <c r="AG859" s="65"/>
      <c r="AH859" s="30"/>
      <c r="AI859" s="65"/>
      <c r="AJ859" s="65"/>
      <c r="AK859" s="65"/>
      <c r="AL859" s="65"/>
      <c r="AM859" s="65"/>
      <c r="AN859" s="65"/>
      <c r="AO859" s="65"/>
    </row>
    <row r="860">
      <c r="A860" s="30"/>
      <c r="B860" s="65"/>
      <c r="C860" s="65"/>
      <c r="D860" s="65"/>
      <c r="E860" s="30"/>
      <c r="F860" s="65"/>
      <c r="G860" s="65"/>
      <c r="H860" s="65"/>
      <c r="I860" s="30"/>
      <c r="J860" s="65"/>
      <c r="K860" s="65"/>
      <c r="L860" s="65"/>
      <c r="M860" s="30"/>
      <c r="N860" s="65"/>
      <c r="O860" s="65"/>
      <c r="P860" s="65"/>
      <c r="Q860" s="30"/>
      <c r="R860" s="65"/>
      <c r="S860" s="65"/>
      <c r="T860" s="65"/>
      <c r="U860" s="30"/>
      <c r="V860" s="65"/>
      <c r="W860" s="65"/>
      <c r="X860" s="65"/>
      <c r="Y860" s="30"/>
      <c r="Z860" s="65"/>
      <c r="AA860" s="65"/>
      <c r="AB860" s="65"/>
      <c r="AC860" s="30"/>
      <c r="AD860" s="65"/>
      <c r="AE860" s="65"/>
      <c r="AF860" s="65"/>
      <c r="AG860" s="65"/>
      <c r="AH860" s="30"/>
      <c r="AI860" s="65"/>
      <c r="AJ860" s="65"/>
      <c r="AK860" s="65"/>
      <c r="AL860" s="65"/>
      <c r="AM860" s="65"/>
      <c r="AN860" s="65"/>
      <c r="AO860" s="65"/>
    </row>
    <row r="861">
      <c r="A861" s="30"/>
      <c r="B861" s="65"/>
      <c r="C861" s="65"/>
      <c r="D861" s="65"/>
      <c r="E861" s="30"/>
      <c r="F861" s="65"/>
      <c r="G861" s="65"/>
      <c r="H861" s="65"/>
      <c r="I861" s="30"/>
      <c r="J861" s="65"/>
      <c r="K861" s="65"/>
      <c r="L861" s="65"/>
      <c r="M861" s="30"/>
      <c r="N861" s="65"/>
      <c r="O861" s="65"/>
      <c r="P861" s="65"/>
      <c r="Q861" s="30"/>
      <c r="R861" s="65"/>
      <c r="S861" s="65"/>
      <c r="T861" s="65"/>
      <c r="U861" s="30"/>
      <c r="V861" s="65"/>
      <c r="W861" s="65"/>
      <c r="X861" s="65"/>
      <c r="Y861" s="30"/>
      <c r="Z861" s="65"/>
      <c r="AA861" s="65"/>
      <c r="AB861" s="65"/>
      <c r="AC861" s="30"/>
      <c r="AD861" s="65"/>
      <c r="AE861" s="65"/>
      <c r="AF861" s="65"/>
      <c r="AG861" s="65"/>
      <c r="AH861" s="30"/>
      <c r="AI861" s="65"/>
      <c r="AJ861" s="65"/>
      <c r="AK861" s="65"/>
      <c r="AL861" s="65"/>
      <c r="AM861" s="65"/>
      <c r="AN861" s="65"/>
      <c r="AO861" s="65"/>
    </row>
    <row r="862">
      <c r="A862" s="30"/>
      <c r="B862" s="65"/>
      <c r="C862" s="65"/>
      <c r="D862" s="65"/>
      <c r="E862" s="30"/>
      <c r="F862" s="65"/>
      <c r="G862" s="65"/>
      <c r="H862" s="65"/>
      <c r="I862" s="30"/>
      <c r="J862" s="65"/>
      <c r="K862" s="65"/>
      <c r="L862" s="65"/>
      <c r="M862" s="30"/>
      <c r="N862" s="65"/>
      <c r="O862" s="65"/>
      <c r="P862" s="65"/>
      <c r="Q862" s="30"/>
      <c r="R862" s="65"/>
      <c r="S862" s="65"/>
      <c r="T862" s="65"/>
      <c r="U862" s="30"/>
      <c r="V862" s="65"/>
      <c r="W862" s="65"/>
      <c r="X862" s="65"/>
      <c r="Y862" s="30"/>
      <c r="Z862" s="65"/>
      <c r="AA862" s="65"/>
      <c r="AB862" s="65"/>
      <c r="AC862" s="30"/>
      <c r="AD862" s="65"/>
      <c r="AE862" s="65"/>
      <c r="AF862" s="65"/>
      <c r="AG862" s="65"/>
      <c r="AH862" s="30"/>
      <c r="AI862" s="65"/>
      <c r="AJ862" s="65"/>
      <c r="AK862" s="65"/>
      <c r="AL862" s="65"/>
      <c r="AM862" s="65"/>
      <c r="AN862" s="65"/>
      <c r="AO862" s="65"/>
    </row>
    <row r="863">
      <c r="A863" s="30"/>
      <c r="B863" s="65"/>
      <c r="C863" s="65"/>
      <c r="D863" s="65"/>
      <c r="E863" s="30"/>
      <c r="F863" s="65"/>
      <c r="G863" s="65"/>
      <c r="H863" s="65"/>
      <c r="I863" s="30"/>
      <c r="J863" s="65"/>
      <c r="K863" s="65"/>
      <c r="L863" s="65"/>
      <c r="M863" s="30"/>
      <c r="N863" s="65"/>
      <c r="O863" s="65"/>
      <c r="P863" s="65"/>
      <c r="Q863" s="30"/>
      <c r="R863" s="65"/>
      <c r="S863" s="65"/>
      <c r="T863" s="65"/>
      <c r="U863" s="30"/>
      <c r="V863" s="65"/>
      <c r="W863" s="65"/>
      <c r="X863" s="65"/>
      <c r="Y863" s="30"/>
      <c r="Z863" s="65"/>
      <c r="AA863" s="65"/>
      <c r="AB863" s="65"/>
      <c r="AC863" s="30"/>
      <c r="AD863" s="65"/>
      <c r="AE863" s="65"/>
      <c r="AF863" s="65"/>
      <c r="AG863" s="65"/>
      <c r="AH863" s="30"/>
      <c r="AI863" s="65"/>
      <c r="AJ863" s="65"/>
      <c r="AK863" s="65"/>
      <c r="AL863" s="65"/>
      <c r="AM863" s="65"/>
      <c r="AN863" s="65"/>
      <c r="AO863" s="65"/>
    </row>
    <row r="864">
      <c r="A864" s="30"/>
      <c r="B864" s="65"/>
      <c r="C864" s="65"/>
      <c r="D864" s="65"/>
      <c r="E864" s="30"/>
      <c r="F864" s="65"/>
      <c r="G864" s="65"/>
      <c r="H864" s="65"/>
      <c r="I864" s="30"/>
      <c r="J864" s="65"/>
      <c r="K864" s="65"/>
      <c r="L864" s="65"/>
      <c r="M864" s="30"/>
      <c r="N864" s="65"/>
      <c r="O864" s="65"/>
      <c r="P864" s="65"/>
      <c r="Q864" s="30"/>
      <c r="R864" s="65"/>
      <c r="S864" s="65"/>
      <c r="T864" s="65"/>
      <c r="U864" s="30"/>
      <c r="V864" s="65"/>
      <c r="W864" s="65"/>
      <c r="X864" s="65"/>
      <c r="Y864" s="30"/>
      <c r="Z864" s="65"/>
      <c r="AA864" s="65"/>
      <c r="AB864" s="65"/>
      <c r="AC864" s="30"/>
      <c r="AD864" s="65"/>
      <c r="AE864" s="65"/>
      <c r="AF864" s="65"/>
      <c r="AG864" s="65"/>
      <c r="AH864" s="30"/>
      <c r="AI864" s="65"/>
      <c r="AJ864" s="65"/>
      <c r="AK864" s="65"/>
      <c r="AL864" s="65"/>
      <c r="AM864" s="65"/>
      <c r="AN864" s="65"/>
      <c r="AO864" s="65"/>
    </row>
    <row r="865">
      <c r="A865" s="30"/>
      <c r="B865" s="65"/>
      <c r="C865" s="65"/>
      <c r="D865" s="65"/>
      <c r="E865" s="30"/>
      <c r="F865" s="65"/>
      <c r="G865" s="65"/>
      <c r="H865" s="65"/>
      <c r="I865" s="30"/>
      <c r="J865" s="65"/>
      <c r="K865" s="65"/>
      <c r="L865" s="65"/>
      <c r="M865" s="30"/>
      <c r="N865" s="65"/>
      <c r="O865" s="65"/>
      <c r="P865" s="65"/>
      <c r="Q865" s="30"/>
      <c r="R865" s="65"/>
      <c r="S865" s="65"/>
      <c r="T865" s="65"/>
      <c r="U865" s="30"/>
      <c r="V865" s="65"/>
      <c r="W865" s="65"/>
      <c r="X865" s="65"/>
      <c r="Y865" s="30"/>
      <c r="Z865" s="65"/>
      <c r="AA865" s="65"/>
      <c r="AB865" s="65"/>
      <c r="AC865" s="30"/>
      <c r="AD865" s="65"/>
      <c r="AE865" s="65"/>
      <c r="AF865" s="65"/>
      <c r="AG865" s="65"/>
      <c r="AH865" s="30"/>
      <c r="AI865" s="65"/>
      <c r="AJ865" s="65"/>
      <c r="AK865" s="65"/>
      <c r="AL865" s="65"/>
      <c r="AM865" s="65"/>
      <c r="AN865" s="65"/>
      <c r="AO865" s="65"/>
    </row>
    <row r="866">
      <c r="A866" s="30"/>
      <c r="B866" s="65"/>
      <c r="C866" s="65"/>
      <c r="D866" s="65"/>
      <c r="E866" s="30"/>
      <c r="F866" s="65"/>
      <c r="G866" s="65"/>
      <c r="H866" s="65"/>
      <c r="I866" s="30"/>
      <c r="J866" s="65"/>
      <c r="K866" s="65"/>
      <c r="L866" s="65"/>
      <c r="M866" s="30"/>
      <c r="N866" s="65"/>
      <c r="O866" s="65"/>
      <c r="P866" s="65"/>
      <c r="Q866" s="30"/>
      <c r="R866" s="65"/>
      <c r="S866" s="65"/>
      <c r="T866" s="65"/>
      <c r="U866" s="30"/>
      <c r="V866" s="65"/>
      <c r="W866" s="65"/>
      <c r="X866" s="65"/>
      <c r="Y866" s="30"/>
      <c r="Z866" s="65"/>
      <c r="AA866" s="65"/>
      <c r="AB866" s="65"/>
      <c r="AC866" s="30"/>
      <c r="AD866" s="65"/>
      <c r="AE866" s="65"/>
      <c r="AF866" s="65"/>
      <c r="AG866" s="65"/>
      <c r="AH866" s="30"/>
      <c r="AI866" s="65"/>
      <c r="AJ866" s="65"/>
      <c r="AK866" s="65"/>
      <c r="AL866" s="65"/>
      <c r="AM866" s="65"/>
      <c r="AN866" s="65"/>
      <c r="AO866" s="65"/>
    </row>
    <row r="867">
      <c r="A867" s="30"/>
      <c r="B867" s="65"/>
      <c r="C867" s="65"/>
      <c r="D867" s="65"/>
      <c r="E867" s="30"/>
      <c r="F867" s="65"/>
      <c r="G867" s="65"/>
      <c r="H867" s="65"/>
      <c r="I867" s="30"/>
      <c r="J867" s="65"/>
      <c r="K867" s="65"/>
      <c r="L867" s="65"/>
      <c r="M867" s="30"/>
      <c r="N867" s="65"/>
      <c r="O867" s="65"/>
      <c r="P867" s="65"/>
      <c r="Q867" s="30"/>
      <c r="R867" s="65"/>
      <c r="S867" s="65"/>
      <c r="T867" s="65"/>
      <c r="U867" s="30"/>
      <c r="V867" s="65"/>
      <c r="W867" s="65"/>
      <c r="X867" s="65"/>
      <c r="Y867" s="30"/>
      <c r="Z867" s="65"/>
      <c r="AA867" s="65"/>
      <c r="AB867" s="65"/>
      <c r="AC867" s="30"/>
      <c r="AD867" s="65"/>
      <c r="AE867" s="65"/>
      <c r="AF867" s="65"/>
      <c r="AG867" s="65"/>
      <c r="AH867" s="30"/>
      <c r="AI867" s="65"/>
      <c r="AJ867" s="65"/>
      <c r="AK867" s="65"/>
      <c r="AL867" s="65"/>
      <c r="AM867" s="65"/>
      <c r="AN867" s="65"/>
      <c r="AO867" s="65"/>
    </row>
    <row r="868">
      <c r="A868" s="30"/>
      <c r="B868" s="65"/>
      <c r="C868" s="65"/>
      <c r="D868" s="65"/>
      <c r="E868" s="30"/>
      <c r="F868" s="65"/>
      <c r="G868" s="65"/>
      <c r="H868" s="65"/>
      <c r="I868" s="30"/>
      <c r="J868" s="65"/>
      <c r="K868" s="65"/>
      <c r="L868" s="65"/>
      <c r="M868" s="30"/>
      <c r="N868" s="65"/>
      <c r="O868" s="65"/>
      <c r="P868" s="65"/>
      <c r="Q868" s="30"/>
      <c r="R868" s="65"/>
      <c r="S868" s="65"/>
      <c r="T868" s="65"/>
      <c r="U868" s="30"/>
      <c r="V868" s="65"/>
      <c r="W868" s="65"/>
      <c r="X868" s="65"/>
      <c r="Y868" s="30"/>
      <c r="Z868" s="65"/>
      <c r="AA868" s="65"/>
      <c r="AB868" s="65"/>
      <c r="AC868" s="30"/>
      <c r="AD868" s="65"/>
      <c r="AE868" s="65"/>
      <c r="AF868" s="65"/>
      <c r="AG868" s="65"/>
      <c r="AH868" s="30"/>
      <c r="AI868" s="65"/>
      <c r="AJ868" s="65"/>
      <c r="AK868" s="65"/>
      <c r="AL868" s="65"/>
      <c r="AM868" s="65"/>
      <c r="AN868" s="65"/>
      <c r="AO868" s="65"/>
    </row>
    <row r="869">
      <c r="A869" s="30"/>
      <c r="B869" s="65"/>
      <c r="C869" s="65"/>
      <c r="D869" s="65"/>
      <c r="E869" s="30"/>
      <c r="F869" s="65"/>
      <c r="G869" s="65"/>
      <c r="H869" s="65"/>
      <c r="I869" s="30"/>
      <c r="J869" s="65"/>
      <c r="K869" s="65"/>
      <c r="L869" s="65"/>
      <c r="M869" s="30"/>
      <c r="N869" s="65"/>
      <c r="O869" s="65"/>
      <c r="P869" s="65"/>
      <c r="Q869" s="30"/>
      <c r="R869" s="65"/>
      <c r="S869" s="65"/>
      <c r="T869" s="65"/>
      <c r="U869" s="30"/>
      <c r="V869" s="65"/>
      <c r="W869" s="65"/>
      <c r="X869" s="65"/>
      <c r="Y869" s="30"/>
      <c r="Z869" s="65"/>
      <c r="AA869" s="65"/>
      <c r="AB869" s="65"/>
      <c r="AC869" s="30"/>
      <c r="AD869" s="65"/>
      <c r="AE869" s="65"/>
      <c r="AF869" s="65"/>
      <c r="AG869" s="65"/>
      <c r="AH869" s="30"/>
      <c r="AI869" s="65"/>
      <c r="AJ869" s="65"/>
      <c r="AK869" s="65"/>
      <c r="AL869" s="65"/>
      <c r="AM869" s="65"/>
      <c r="AN869" s="65"/>
      <c r="AO869" s="65"/>
    </row>
    <row r="870">
      <c r="A870" s="30"/>
      <c r="B870" s="65"/>
      <c r="C870" s="65"/>
      <c r="D870" s="65"/>
      <c r="E870" s="30"/>
      <c r="F870" s="65"/>
      <c r="G870" s="65"/>
      <c r="H870" s="65"/>
      <c r="I870" s="30"/>
      <c r="J870" s="65"/>
      <c r="K870" s="65"/>
      <c r="L870" s="65"/>
      <c r="M870" s="30"/>
      <c r="N870" s="65"/>
      <c r="O870" s="65"/>
      <c r="P870" s="65"/>
      <c r="Q870" s="30"/>
      <c r="R870" s="65"/>
      <c r="S870" s="65"/>
      <c r="T870" s="65"/>
      <c r="U870" s="30"/>
      <c r="V870" s="65"/>
      <c r="W870" s="65"/>
      <c r="X870" s="65"/>
      <c r="Y870" s="30"/>
      <c r="Z870" s="65"/>
      <c r="AA870" s="65"/>
      <c r="AB870" s="65"/>
      <c r="AC870" s="30"/>
      <c r="AD870" s="65"/>
      <c r="AE870" s="65"/>
      <c r="AF870" s="65"/>
      <c r="AG870" s="65"/>
      <c r="AH870" s="30"/>
      <c r="AI870" s="65"/>
      <c r="AJ870" s="65"/>
      <c r="AK870" s="65"/>
      <c r="AL870" s="65"/>
      <c r="AM870" s="65"/>
      <c r="AN870" s="65"/>
      <c r="AO870" s="65"/>
    </row>
    <row r="871">
      <c r="A871" s="30"/>
      <c r="B871" s="65"/>
      <c r="C871" s="65"/>
      <c r="D871" s="65"/>
      <c r="E871" s="30"/>
      <c r="F871" s="65"/>
      <c r="G871" s="65"/>
      <c r="H871" s="65"/>
      <c r="I871" s="30"/>
      <c r="J871" s="65"/>
      <c r="K871" s="65"/>
      <c r="L871" s="65"/>
      <c r="M871" s="30"/>
      <c r="N871" s="65"/>
      <c r="O871" s="65"/>
      <c r="P871" s="65"/>
      <c r="Q871" s="30"/>
      <c r="R871" s="65"/>
      <c r="S871" s="65"/>
      <c r="T871" s="65"/>
      <c r="U871" s="30"/>
      <c r="V871" s="65"/>
      <c r="W871" s="65"/>
      <c r="X871" s="65"/>
      <c r="Y871" s="30"/>
      <c r="Z871" s="65"/>
      <c r="AA871" s="65"/>
      <c r="AB871" s="65"/>
      <c r="AC871" s="30"/>
      <c r="AD871" s="65"/>
      <c r="AE871" s="65"/>
      <c r="AF871" s="65"/>
      <c r="AG871" s="65"/>
      <c r="AH871" s="30"/>
      <c r="AI871" s="65"/>
      <c r="AJ871" s="65"/>
      <c r="AK871" s="65"/>
      <c r="AL871" s="65"/>
      <c r="AM871" s="65"/>
      <c r="AN871" s="65"/>
      <c r="AO871" s="65"/>
    </row>
    <row r="872">
      <c r="A872" s="30"/>
      <c r="B872" s="65"/>
      <c r="C872" s="65"/>
      <c r="D872" s="65"/>
      <c r="E872" s="30"/>
      <c r="F872" s="65"/>
      <c r="G872" s="65"/>
      <c r="H872" s="65"/>
      <c r="I872" s="30"/>
      <c r="J872" s="65"/>
      <c r="K872" s="65"/>
      <c r="L872" s="65"/>
      <c r="M872" s="30"/>
      <c r="N872" s="65"/>
      <c r="O872" s="65"/>
      <c r="P872" s="65"/>
      <c r="Q872" s="30"/>
      <c r="R872" s="65"/>
      <c r="S872" s="65"/>
      <c r="T872" s="65"/>
      <c r="U872" s="30"/>
      <c r="V872" s="65"/>
      <c r="W872" s="65"/>
      <c r="X872" s="65"/>
      <c r="Y872" s="30"/>
      <c r="Z872" s="65"/>
      <c r="AA872" s="65"/>
      <c r="AB872" s="65"/>
      <c r="AC872" s="30"/>
      <c r="AD872" s="65"/>
      <c r="AE872" s="65"/>
      <c r="AF872" s="65"/>
      <c r="AG872" s="65"/>
      <c r="AH872" s="30"/>
      <c r="AI872" s="65"/>
      <c r="AJ872" s="65"/>
      <c r="AK872" s="65"/>
      <c r="AL872" s="65"/>
      <c r="AM872" s="65"/>
      <c r="AN872" s="65"/>
      <c r="AO872" s="65"/>
    </row>
    <row r="873">
      <c r="A873" s="30"/>
      <c r="B873" s="65"/>
      <c r="C873" s="65"/>
      <c r="D873" s="65"/>
      <c r="E873" s="30"/>
      <c r="F873" s="65"/>
      <c r="G873" s="65"/>
      <c r="H873" s="65"/>
      <c r="I873" s="30"/>
      <c r="J873" s="65"/>
      <c r="K873" s="65"/>
      <c r="L873" s="65"/>
      <c r="M873" s="30"/>
      <c r="N873" s="65"/>
      <c r="O873" s="65"/>
      <c r="P873" s="65"/>
      <c r="Q873" s="30"/>
      <c r="R873" s="65"/>
      <c r="S873" s="65"/>
      <c r="T873" s="65"/>
      <c r="U873" s="30"/>
      <c r="V873" s="65"/>
      <c r="W873" s="65"/>
      <c r="X873" s="65"/>
      <c r="Y873" s="30"/>
      <c r="Z873" s="65"/>
      <c r="AA873" s="65"/>
      <c r="AB873" s="65"/>
      <c r="AC873" s="30"/>
      <c r="AD873" s="65"/>
      <c r="AE873" s="65"/>
      <c r="AF873" s="65"/>
      <c r="AG873" s="65"/>
      <c r="AH873" s="30"/>
      <c r="AI873" s="65"/>
      <c r="AJ873" s="65"/>
      <c r="AK873" s="65"/>
      <c r="AL873" s="65"/>
      <c r="AM873" s="65"/>
      <c r="AN873" s="65"/>
      <c r="AO873" s="65"/>
    </row>
    <row r="874">
      <c r="A874" s="30"/>
      <c r="B874" s="65"/>
      <c r="C874" s="65"/>
      <c r="D874" s="65"/>
      <c r="E874" s="30"/>
      <c r="F874" s="65"/>
      <c r="G874" s="65"/>
      <c r="H874" s="65"/>
      <c r="I874" s="30"/>
      <c r="J874" s="65"/>
      <c r="K874" s="65"/>
      <c r="L874" s="65"/>
      <c r="M874" s="30"/>
      <c r="N874" s="65"/>
      <c r="O874" s="65"/>
      <c r="P874" s="65"/>
      <c r="Q874" s="30"/>
      <c r="R874" s="65"/>
      <c r="S874" s="65"/>
      <c r="T874" s="65"/>
      <c r="U874" s="30"/>
      <c r="V874" s="65"/>
      <c r="W874" s="65"/>
      <c r="X874" s="65"/>
      <c r="Y874" s="30"/>
      <c r="Z874" s="65"/>
      <c r="AA874" s="65"/>
      <c r="AB874" s="65"/>
      <c r="AC874" s="30"/>
      <c r="AD874" s="65"/>
      <c r="AE874" s="65"/>
      <c r="AF874" s="65"/>
      <c r="AG874" s="65"/>
      <c r="AH874" s="30"/>
      <c r="AI874" s="65"/>
      <c r="AJ874" s="65"/>
      <c r="AK874" s="65"/>
      <c r="AL874" s="65"/>
      <c r="AM874" s="65"/>
      <c r="AN874" s="65"/>
      <c r="AO874" s="65"/>
    </row>
    <row r="875">
      <c r="A875" s="30"/>
      <c r="B875" s="65"/>
      <c r="C875" s="65"/>
      <c r="D875" s="65"/>
      <c r="E875" s="30"/>
      <c r="F875" s="65"/>
      <c r="G875" s="65"/>
      <c r="H875" s="65"/>
      <c r="I875" s="30"/>
      <c r="J875" s="65"/>
      <c r="K875" s="65"/>
      <c r="L875" s="65"/>
      <c r="M875" s="30"/>
      <c r="N875" s="65"/>
      <c r="O875" s="65"/>
      <c r="P875" s="65"/>
      <c r="Q875" s="30"/>
      <c r="R875" s="65"/>
      <c r="S875" s="65"/>
      <c r="T875" s="65"/>
      <c r="U875" s="30"/>
      <c r="V875" s="65"/>
      <c r="W875" s="65"/>
      <c r="X875" s="65"/>
      <c r="Y875" s="30"/>
      <c r="Z875" s="65"/>
      <c r="AA875" s="65"/>
      <c r="AB875" s="65"/>
      <c r="AC875" s="30"/>
      <c r="AD875" s="65"/>
      <c r="AE875" s="65"/>
      <c r="AF875" s="65"/>
      <c r="AG875" s="65"/>
      <c r="AH875" s="30"/>
      <c r="AI875" s="65"/>
      <c r="AJ875" s="65"/>
      <c r="AK875" s="65"/>
      <c r="AL875" s="65"/>
      <c r="AM875" s="65"/>
      <c r="AN875" s="65"/>
      <c r="AO875" s="65"/>
    </row>
    <row r="876">
      <c r="A876" s="30"/>
      <c r="B876" s="65"/>
      <c r="C876" s="65"/>
      <c r="D876" s="65"/>
      <c r="E876" s="30"/>
      <c r="F876" s="65"/>
      <c r="G876" s="65"/>
      <c r="H876" s="65"/>
      <c r="I876" s="30"/>
      <c r="J876" s="65"/>
      <c r="K876" s="65"/>
      <c r="L876" s="65"/>
      <c r="M876" s="30"/>
      <c r="N876" s="65"/>
      <c r="O876" s="65"/>
      <c r="P876" s="65"/>
      <c r="Q876" s="30"/>
      <c r="R876" s="65"/>
      <c r="S876" s="65"/>
      <c r="T876" s="65"/>
      <c r="U876" s="30"/>
      <c r="V876" s="65"/>
      <c r="W876" s="65"/>
      <c r="X876" s="65"/>
      <c r="Y876" s="30"/>
      <c r="Z876" s="65"/>
      <c r="AA876" s="65"/>
      <c r="AB876" s="65"/>
      <c r="AC876" s="30"/>
      <c r="AD876" s="65"/>
      <c r="AE876" s="65"/>
      <c r="AF876" s="65"/>
      <c r="AG876" s="65"/>
      <c r="AH876" s="30"/>
      <c r="AI876" s="65"/>
      <c r="AJ876" s="65"/>
      <c r="AK876" s="65"/>
      <c r="AL876" s="65"/>
      <c r="AM876" s="65"/>
      <c r="AN876" s="65"/>
      <c r="AO876" s="65"/>
    </row>
    <row r="877">
      <c r="A877" s="30"/>
      <c r="B877" s="65"/>
      <c r="C877" s="65"/>
      <c r="D877" s="65"/>
      <c r="E877" s="30"/>
      <c r="F877" s="65"/>
      <c r="G877" s="65"/>
      <c r="H877" s="65"/>
      <c r="I877" s="30"/>
      <c r="J877" s="65"/>
      <c r="K877" s="65"/>
      <c r="L877" s="65"/>
      <c r="M877" s="30"/>
      <c r="N877" s="65"/>
      <c r="O877" s="65"/>
      <c r="P877" s="65"/>
      <c r="Q877" s="30"/>
      <c r="R877" s="65"/>
      <c r="S877" s="65"/>
      <c r="T877" s="65"/>
      <c r="U877" s="30"/>
      <c r="V877" s="65"/>
      <c r="W877" s="65"/>
      <c r="X877" s="65"/>
      <c r="Y877" s="30"/>
      <c r="Z877" s="65"/>
      <c r="AA877" s="65"/>
      <c r="AB877" s="65"/>
      <c r="AC877" s="30"/>
      <c r="AD877" s="65"/>
      <c r="AE877" s="65"/>
      <c r="AF877" s="65"/>
      <c r="AG877" s="65"/>
      <c r="AH877" s="30"/>
      <c r="AI877" s="65"/>
      <c r="AJ877" s="65"/>
      <c r="AK877" s="65"/>
      <c r="AL877" s="65"/>
      <c r="AM877" s="65"/>
      <c r="AN877" s="65"/>
      <c r="AO877" s="65"/>
    </row>
    <row r="878">
      <c r="A878" s="30"/>
      <c r="B878" s="65"/>
      <c r="C878" s="65"/>
      <c r="D878" s="65"/>
      <c r="E878" s="30"/>
      <c r="F878" s="65"/>
      <c r="G878" s="65"/>
      <c r="H878" s="65"/>
      <c r="I878" s="30"/>
      <c r="J878" s="65"/>
      <c r="K878" s="65"/>
      <c r="L878" s="65"/>
      <c r="M878" s="30"/>
      <c r="N878" s="65"/>
      <c r="O878" s="65"/>
      <c r="P878" s="65"/>
      <c r="Q878" s="30"/>
      <c r="R878" s="65"/>
      <c r="S878" s="65"/>
      <c r="T878" s="65"/>
      <c r="U878" s="30"/>
      <c r="V878" s="65"/>
      <c r="W878" s="65"/>
      <c r="X878" s="65"/>
      <c r="Y878" s="30"/>
      <c r="Z878" s="65"/>
      <c r="AA878" s="65"/>
      <c r="AB878" s="65"/>
      <c r="AC878" s="30"/>
      <c r="AD878" s="65"/>
      <c r="AE878" s="65"/>
      <c r="AF878" s="65"/>
      <c r="AG878" s="65"/>
      <c r="AH878" s="30"/>
      <c r="AI878" s="65"/>
      <c r="AJ878" s="65"/>
      <c r="AK878" s="65"/>
      <c r="AL878" s="65"/>
      <c r="AM878" s="65"/>
      <c r="AN878" s="65"/>
      <c r="AO878" s="65"/>
    </row>
    <row r="879">
      <c r="A879" s="30"/>
      <c r="B879" s="65"/>
      <c r="C879" s="65"/>
      <c r="D879" s="65"/>
      <c r="E879" s="30"/>
      <c r="F879" s="65"/>
      <c r="G879" s="65"/>
      <c r="H879" s="65"/>
      <c r="I879" s="30"/>
      <c r="J879" s="65"/>
      <c r="K879" s="65"/>
      <c r="L879" s="65"/>
      <c r="M879" s="30"/>
      <c r="N879" s="65"/>
      <c r="O879" s="65"/>
      <c r="P879" s="65"/>
      <c r="Q879" s="30"/>
      <c r="R879" s="65"/>
      <c r="S879" s="65"/>
      <c r="T879" s="65"/>
      <c r="U879" s="30"/>
      <c r="V879" s="65"/>
      <c r="W879" s="65"/>
      <c r="X879" s="65"/>
      <c r="Y879" s="30"/>
      <c r="Z879" s="65"/>
      <c r="AA879" s="65"/>
      <c r="AB879" s="65"/>
      <c r="AC879" s="30"/>
      <c r="AD879" s="65"/>
      <c r="AE879" s="65"/>
      <c r="AF879" s="65"/>
      <c r="AG879" s="65"/>
      <c r="AH879" s="30"/>
      <c r="AI879" s="65"/>
      <c r="AJ879" s="65"/>
      <c r="AK879" s="65"/>
      <c r="AL879" s="65"/>
      <c r="AM879" s="65"/>
      <c r="AN879" s="65"/>
      <c r="AO879" s="65"/>
    </row>
    <row r="880">
      <c r="A880" s="30"/>
      <c r="B880" s="65"/>
      <c r="C880" s="65"/>
      <c r="D880" s="65"/>
      <c r="E880" s="30"/>
      <c r="F880" s="65"/>
      <c r="G880" s="65"/>
      <c r="H880" s="65"/>
      <c r="I880" s="30"/>
      <c r="J880" s="65"/>
      <c r="K880" s="65"/>
      <c r="L880" s="65"/>
      <c r="M880" s="30"/>
      <c r="N880" s="65"/>
      <c r="O880" s="65"/>
      <c r="P880" s="65"/>
      <c r="Q880" s="30"/>
      <c r="R880" s="65"/>
      <c r="S880" s="65"/>
      <c r="T880" s="65"/>
      <c r="U880" s="30"/>
      <c r="V880" s="65"/>
      <c r="W880" s="65"/>
      <c r="X880" s="65"/>
      <c r="Y880" s="30"/>
      <c r="Z880" s="65"/>
      <c r="AA880" s="65"/>
      <c r="AB880" s="65"/>
      <c r="AC880" s="30"/>
      <c r="AD880" s="65"/>
      <c r="AE880" s="65"/>
      <c r="AF880" s="65"/>
      <c r="AG880" s="65"/>
      <c r="AH880" s="30"/>
      <c r="AI880" s="65"/>
      <c r="AJ880" s="65"/>
      <c r="AK880" s="65"/>
      <c r="AL880" s="65"/>
      <c r="AM880" s="65"/>
      <c r="AN880" s="65"/>
      <c r="AO880" s="65"/>
    </row>
    <row r="881">
      <c r="A881" s="30"/>
      <c r="B881" s="65"/>
      <c r="C881" s="65"/>
      <c r="D881" s="65"/>
      <c r="E881" s="30"/>
      <c r="F881" s="65"/>
      <c r="G881" s="65"/>
      <c r="H881" s="65"/>
      <c r="I881" s="30"/>
      <c r="J881" s="65"/>
      <c r="K881" s="65"/>
      <c r="L881" s="65"/>
      <c r="M881" s="30"/>
      <c r="N881" s="65"/>
      <c r="O881" s="65"/>
      <c r="P881" s="65"/>
      <c r="Q881" s="30"/>
      <c r="R881" s="65"/>
      <c r="S881" s="65"/>
      <c r="T881" s="65"/>
      <c r="U881" s="30"/>
      <c r="V881" s="65"/>
      <c r="W881" s="65"/>
      <c r="X881" s="65"/>
      <c r="Y881" s="30"/>
      <c r="Z881" s="65"/>
      <c r="AA881" s="65"/>
      <c r="AB881" s="65"/>
      <c r="AC881" s="30"/>
      <c r="AD881" s="65"/>
      <c r="AE881" s="65"/>
      <c r="AF881" s="65"/>
      <c r="AG881" s="65"/>
      <c r="AH881" s="30"/>
      <c r="AI881" s="65"/>
      <c r="AJ881" s="65"/>
      <c r="AK881" s="65"/>
      <c r="AL881" s="65"/>
      <c r="AM881" s="65"/>
      <c r="AN881" s="65"/>
      <c r="AO881" s="65"/>
    </row>
    <row r="882">
      <c r="A882" s="30"/>
      <c r="B882" s="65"/>
      <c r="C882" s="65"/>
      <c r="D882" s="65"/>
      <c r="E882" s="30"/>
      <c r="F882" s="65"/>
      <c r="G882" s="65"/>
      <c r="H882" s="65"/>
      <c r="I882" s="30"/>
      <c r="J882" s="65"/>
      <c r="K882" s="65"/>
      <c r="L882" s="65"/>
      <c r="M882" s="30"/>
      <c r="N882" s="65"/>
      <c r="O882" s="65"/>
      <c r="P882" s="65"/>
      <c r="Q882" s="30"/>
      <c r="R882" s="65"/>
      <c r="S882" s="65"/>
      <c r="T882" s="65"/>
      <c r="U882" s="30"/>
      <c r="V882" s="65"/>
      <c r="W882" s="65"/>
      <c r="X882" s="65"/>
      <c r="Y882" s="30"/>
      <c r="Z882" s="65"/>
      <c r="AA882" s="65"/>
      <c r="AB882" s="65"/>
      <c r="AC882" s="30"/>
      <c r="AD882" s="65"/>
      <c r="AE882" s="65"/>
      <c r="AF882" s="65"/>
      <c r="AG882" s="65"/>
      <c r="AH882" s="30"/>
      <c r="AI882" s="65"/>
      <c r="AJ882" s="65"/>
      <c r="AK882" s="65"/>
      <c r="AL882" s="65"/>
      <c r="AM882" s="65"/>
      <c r="AN882" s="65"/>
      <c r="AO882" s="65"/>
    </row>
    <row r="883">
      <c r="A883" s="30"/>
      <c r="B883" s="65"/>
      <c r="C883" s="65"/>
      <c r="D883" s="65"/>
      <c r="E883" s="30"/>
      <c r="F883" s="65"/>
      <c r="G883" s="65"/>
      <c r="H883" s="65"/>
      <c r="I883" s="30"/>
      <c r="J883" s="65"/>
      <c r="K883" s="65"/>
      <c r="L883" s="65"/>
      <c r="M883" s="30"/>
      <c r="N883" s="65"/>
      <c r="O883" s="65"/>
      <c r="P883" s="65"/>
      <c r="Q883" s="30"/>
      <c r="R883" s="65"/>
      <c r="S883" s="65"/>
      <c r="T883" s="65"/>
      <c r="U883" s="30"/>
      <c r="V883" s="65"/>
      <c r="W883" s="65"/>
      <c r="X883" s="65"/>
      <c r="Y883" s="30"/>
      <c r="Z883" s="65"/>
      <c r="AA883" s="65"/>
      <c r="AB883" s="65"/>
      <c r="AC883" s="30"/>
      <c r="AD883" s="65"/>
      <c r="AE883" s="65"/>
      <c r="AF883" s="65"/>
      <c r="AG883" s="65"/>
      <c r="AH883" s="30"/>
      <c r="AI883" s="65"/>
      <c r="AJ883" s="65"/>
      <c r="AK883" s="65"/>
      <c r="AL883" s="65"/>
      <c r="AM883" s="65"/>
      <c r="AN883" s="65"/>
      <c r="AO883" s="65"/>
    </row>
    <row r="884">
      <c r="A884" s="30"/>
      <c r="B884" s="65"/>
      <c r="C884" s="65"/>
      <c r="D884" s="65"/>
      <c r="E884" s="30"/>
      <c r="F884" s="65"/>
      <c r="G884" s="65"/>
      <c r="H884" s="65"/>
      <c r="I884" s="30"/>
      <c r="J884" s="65"/>
      <c r="K884" s="65"/>
      <c r="L884" s="65"/>
      <c r="M884" s="30"/>
      <c r="N884" s="65"/>
      <c r="O884" s="65"/>
      <c r="P884" s="65"/>
      <c r="Q884" s="30"/>
      <c r="R884" s="65"/>
      <c r="S884" s="65"/>
      <c r="T884" s="65"/>
      <c r="U884" s="30"/>
      <c r="V884" s="65"/>
      <c r="W884" s="65"/>
      <c r="X884" s="65"/>
      <c r="Y884" s="30"/>
      <c r="Z884" s="65"/>
      <c r="AA884" s="65"/>
      <c r="AB884" s="65"/>
      <c r="AC884" s="30"/>
      <c r="AD884" s="65"/>
      <c r="AE884" s="65"/>
      <c r="AF884" s="65"/>
      <c r="AG884" s="65"/>
      <c r="AH884" s="30"/>
      <c r="AI884" s="65"/>
      <c r="AJ884" s="65"/>
      <c r="AK884" s="65"/>
      <c r="AL884" s="65"/>
      <c r="AM884" s="65"/>
      <c r="AN884" s="65"/>
      <c r="AO884" s="65"/>
    </row>
    <row r="885">
      <c r="A885" s="30"/>
      <c r="B885" s="65"/>
      <c r="C885" s="65"/>
      <c r="D885" s="65"/>
      <c r="E885" s="30"/>
      <c r="F885" s="65"/>
      <c r="G885" s="65"/>
      <c r="H885" s="65"/>
      <c r="I885" s="30"/>
      <c r="J885" s="65"/>
      <c r="K885" s="65"/>
      <c r="L885" s="65"/>
      <c r="M885" s="30"/>
      <c r="N885" s="65"/>
      <c r="O885" s="65"/>
      <c r="P885" s="65"/>
      <c r="Q885" s="30"/>
      <c r="R885" s="65"/>
      <c r="S885" s="65"/>
      <c r="T885" s="65"/>
      <c r="U885" s="30"/>
      <c r="V885" s="65"/>
      <c r="W885" s="65"/>
      <c r="X885" s="65"/>
      <c r="Y885" s="30"/>
      <c r="Z885" s="65"/>
      <c r="AA885" s="65"/>
      <c r="AB885" s="65"/>
      <c r="AC885" s="30"/>
      <c r="AD885" s="65"/>
      <c r="AE885" s="65"/>
      <c r="AF885" s="65"/>
      <c r="AG885" s="65"/>
      <c r="AH885" s="30"/>
      <c r="AI885" s="65"/>
      <c r="AJ885" s="65"/>
      <c r="AK885" s="65"/>
      <c r="AL885" s="65"/>
      <c r="AM885" s="65"/>
      <c r="AN885" s="65"/>
      <c r="AO885" s="65"/>
    </row>
    <row r="886">
      <c r="A886" s="30"/>
      <c r="B886" s="65"/>
      <c r="C886" s="65"/>
      <c r="D886" s="65"/>
      <c r="E886" s="30"/>
      <c r="F886" s="65"/>
      <c r="G886" s="65"/>
      <c r="H886" s="65"/>
      <c r="I886" s="30"/>
      <c r="J886" s="65"/>
      <c r="K886" s="65"/>
      <c r="L886" s="65"/>
      <c r="M886" s="30"/>
      <c r="N886" s="65"/>
      <c r="O886" s="65"/>
      <c r="P886" s="65"/>
      <c r="Q886" s="30"/>
      <c r="R886" s="65"/>
      <c r="S886" s="65"/>
      <c r="T886" s="65"/>
      <c r="U886" s="30"/>
      <c r="V886" s="65"/>
      <c r="W886" s="65"/>
      <c r="X886" s="65"/>
      <c r="Y886" s="30"/>
      <c r="Z886" s="65"/>
      <c r="AA886" s="65"/>
      <c r="AB886" s="65"/>
      <c r="AC886" s="30"/>
      <c r="AD886" s="65"/>
      <c r="AE886" s="65"/>
      <c r="AF886" s="65"/>
      <c r="AG886" s="65"/>
      <c r="AH886" s="30"/>
      <c r="AI886" s="65"/>
      <c r="AJ886" s="65"/>
      <c r="AK886" s="65"/>
      <c r="AL886" s="65"/>
      <c r="AM886" s="65"/>
      <c r="AN886" s="65"/>
      <c r="AO886" s="65"/>
    </row>
    <row r="887">
      <c r="A887" s="30"/>
      <c r="B887" s="65"/>
      <c r="C887" s="65"/>
      <c r="D887" s="65"/>
      <c r="E887" s="30"/>
      <c r="F887" s="65"/>
      <c r="G887" s="65"/>
      <c r="H887" s="65"/>
      <c r="I887" s="30"/>
      <c r="J887" s="65"/>
      <c r="K887" s="65"/>
      <c r="L887" s="65"/>
      <c r="M887" s="30"/>
      <c r="N887" s="65"/>
      <c r="O887" s="65"/>
      <c r="P887" s="65"/>
      <c r="Q887" s="30"/>
      <c r="R887" s="65"/>
      <c r="S887" s="65"/>
      <c r="T887" s="65"/>
      <c r="U887" s="30"/>
      <c r="V887" s="65"/>
      <c r="W887" s="65"/>
      <c r="X887" s="65"/>
      <c r="Y887" s="30"/>
      <c r="Z887" s="65"/>
      <c r="AA887" s="65"/>
      <c r="AB887" s="65"/>
      <c r="AC887" s="30"/>
      <c r="AD887" s="65"/>
      <c r="AE887" s="65"/>
      <c r="AF887" s="65"/>
      <c r="AG887" s="65"/>
      <c r="AH887" s="30"/>
      <c r="AI887" s="65"/>
      <c r="AJ887" s="65"/>
      <c r="AK887" s="65"/>
      <c r="AL887" s="65"/>
      <c r="AM887" s="65"/>
      <c r="AN887" s="65"/>
      <c r="AO887" s="65"/>
    </row>
    <row r="888">
      <c r="A888" s="30"/>
      <c r="B888" s="65"/>
      <c r="C888" s="65"/>
      <c r="D888" s="65"/>
      <c r="E888" s="30"/>
      <c r="F888" s="65"/>
      <c r="G888" s="65"/>
      <c r="H888" s="65"/>
      <c r="I888" s="30"/>
      <c r="J888" s="65"/>
      <c r="K888" s="65"/>
      <c r="L888" s="65"/>
      <c r="M888" s="30"/>
      <c r="N888" s="65"/>
      <c r="O888" s="65"/>
      <c r="P888" s="65"/>
      <c r="Q888" s="30"/>
      <c r="R888" s="65"/>
      <c r="S888" s="65"/>
      <c r="T888" s="65"/>
      <c r="U888" s="30"/>
      <c r="V888" s="65"/>
      <c r="W888" s="65"/>
      <c r="X888" s="65"/>
      <c r="Y888" s="30"/>
      <c r="Z888" s="65"/>
      <c r="AA888" s="65"/>
      <c r="AB888" s="65"/>
      <c r="AC888" s="30"/>
      <c r="AD888" s="65"/>
      <c r="AE888" s="65"/>
      <c r="AF888" s="65"/>
      <c r="AG888" s="65"/>
      <c r="AH888" s="30"/>
      <c r="AI888" s="65"/>
      <c r="AJ888" s="65"/>
      <c r="AK888" s="65"/>
      <c r="AL888" s="65"/>
      <c r="AM888" s="65"/>
      <c r="AN888" s="65"/>
      <c r="AO888" s="65"/>
    </row>
    <row r="889">
      <c r="A889" s="30"/>
      <c r="B889" s="65"/>
      <c r="C889" s="65"/>
      <c r="D889" s="65"/>
      <c r="E889" s="30"/>
      <c r="F889" s="65"/>
      <c r="G889" s="65"/>
      <c r="H889" s="65"/>
      <c r="I889" s="30"/>
      <c r="J889" s="65"/>
      <c r="K889" s="65"/>
      <c r="L889" s="65"/>
      <c r="M889" s="30"/>
      <c r="N889" s="65"/>
      <c r="O889" s="65"/>
      <c r="P889" s="65"/>
      <c r="Q889" s="30"/>
      <c r="R889" s="65"/>
      <c r="S889" s="65"/>
      <c r="T889" s="65"/>
      <c r="U889" s="30"/>
      <c r="V889" s="65"/>
      <c r="W889" s="65"/>
      <c r="X889" s="65"/>
      <c r="Y889" s="30"/>
      <c r="Z889" s="65"/>
      <c r="AA889" s="65"/>
      <c r="AB889" s="65"/>
      <c r="AC889" s="30"/>
      <c r="AD889" s="65"/>
      <c r="AE889" s="65"/>
      <c r="AF889" s="65"/>
      <c r="AG889" s="65"/>
      <c r="AH889" s="30"/>
      <c r="AI889" s="65"/>
      <c r="AJ889" s="65"/>
      <c r="AK889" s="65"/>
      <c r="AL889" s="65"/>
      <c r="AM889" s="65"/>
      <c r="AN889" s="65"/>
      <c r="AO889" s="65"/>
    </row>
    <row r="890">
      <c r="A890" s="30"/>
      <c r="B890" s="65"/>
      <c r="C890" s="65"/>
      <c r="D890" s="65"/>
      <c r="E890" s="30"/>
      <c r="F890" s="65"/>
      <c r="G890" s="65"/>
      <c r="H890" s="65"/>
      <c r="I890" s="30"/>
      <c r="J890" s="65"/>
      <c r="K890" s="65"/>
      <c r="L890" s="65"/>
      <c r="M890" s="30"/>
      <c r="N890" s="65"/>
      <c r="O890" s="65"/>
      <c r="P890" s="65"/>
      <c r="Q890" s="30"/>
      <c r="R890" s="65"/>
      <c r="S890" s="65"/>
      <c r="T890" s="65"/>
      <c r="U890" s="30"/>
      <c r="V890" s="65"/>
      <c r="W890" s="65"/>
      <c r="X890" s="65"/>
      <c r="Y890" s="30"/>
      <c r="Z890" s="65"/>
      <c r="AA890" s="65"/>
      <c r="AB890" s="65"/>
      <c r="AC890" s="30"/>
      <c r="AD890" s="65"/>
      <c r="AE890" s="65"/>
      <c r="AF890" s="65"/>
      <c r="AG890" s="65"/>
      <c r="AH890" s="30"/>
      <c r="AI890" s="65"/>
      <c r="AJ890" s="65"/>
      <c r="AK890" s="65"/>
      <c r="AL890" s="65"/>
      <c r="AM890" s="65"/>
      <c r="AN890" s="65"/>
      <c r="AO890" s="65"/>
    </row>
    <row r="891">
      <c r="A891" s="30"/>
      <c r="B891" s="65"/>
      <c r="C891" s="65"/>
      <c r="D891" s="65"/>
      <c r="E891" s="30"/>
      <c r="F891" s="65"/>
      <c r="G891" s="65"/>
      <c r="H891" s="65"/>
      <c r="I891" s="30"/>
      <c r="J891" s="65"/>
      <c r="K891" s="65"/>
      <c r="L891" s="65"/>
      <c r="M891" s="30"/>
      <c r="N891" s="65"/>
      <c r="O891" s="65"/>
      <c r="P891" s="65"/>
      <c r="Q891" s="30"/>
      <c r="R891" s="65"/>
      <c r="S891" s="65"/>
      <c r="T891" s="65"/>
      <c r="U891" s="30"/>
      <c r="V891" s="65"/>
      <c r="W891" s="65"/>
      <c r="X891" s="65"/>
      <c r="Y891" s="30"/>
      <c r="Z891" s="65"/>
      <c r="AA891" s="65"/>
      <c r="AB891" s="65"/>
      <c r="AC891" s="30"/>
      <c r="AD891" s="65"/>
      <c r="AE891" s="65"/>
      <c r="AF891" s="65"/>
      <c r="AG891" s="65"/>
      <c r="AH891" s="30"/>
      <c r="AI891" s="65"/>
      <c r="AJ891" s="65"/>
      <c r="AK891" s="65"/>
      <c r="AL891" s="65"/>
      <c r="AM891" s="65"/>
      <c r="AN891" s="65"/>
      <c r="AO891" s="65"/>
    </row>
    <row r="892">
      <c r="A892" s="30"/>
      <c r="B892" s="65"/>
      <c r="C892" s="65"/>
      <c r="D892" s="65"/>
      <c r="E892" s="30"/>
      <c r="F892" s="65"/>
      <c r="G892" s="65"/>
      <c r="H892" s="65"/>
      <c r="I892" s="30"/>
      <c r="J892" s="65"/>
      <c r="K892" s="65"/>
      <c r="L892" s="65"/>
      <c r="M892" s="30"/>
      <c r="N892" s="65"/>
      <c r="O892" s="65"/>
      <c r="P892" s="65"/>
      <c r="Q892" s="30"/>
      <c r="R892" s="65"/>
      <c r="S892" s="65"/>
      <c r="T892" s="65"/>
      <c r="U892" s="30"/>
      <c r="V892" s="65"/>
      <c r="W892" s="65"/>
      <c r="X892" s="65"/>
      <c r="Y892" s="30"/>
      <c r="Z892" s="65"/>
      <c r="AA892" s="65"/>
      <c r="AB892" s="65"/>
      <c r="AC892" s="30"/>
      <c r="AD892" s="65"/>
      <c r="AE892" s="65"/>
      <c r="AF892" s="65"/>
      <c r="AG892" s="65"/>
      <c r="AH892" s="30"/>
      <c r="AI892" s="65"/>
      <c r="AJ892" s="65"/>
      <c r="AK892" s="65"/>
      <c r="AL892" s="65"/>
      <c r="AM892" s="65"/>
      <c r="AN892" s="65"/>
      <c r="AO892" s="65"/>
    </row>
    <row r="893">
      <c r="A893" s="30"/>
      <c r="B893" s="65"/>
      <c r="C893" s="65"/>
      <c r="D893" s="65"/>
      <c r="E893" s="30"/>
      <c r="F893" s="65"/>
      <c r="G893" s="65"/>
      <c r="H893" s="65"/>
      <c r="I893" s="30"/>
      <c r="J893" s="65"/>
      <c r="K893" s="65"/>
      <c r="L893" s="65"/>
      <c r="M893" s="30"/>
      <c r="N893" s="65"/>
      <c r="O893" s="65"/>
      <c r="P893" s="65"/>
      <c r="Q893" s="30"/>
      <c r="R893" s="65"/>
      <c r="S893" s="65"/>
      <c r="T893" s="65"/>
      <c r="U893" s="30"/>
      <c r="V893" s="65"/>
      <c r="W893" s="65"/>
      <c r="X893" s="65"/>
      <c r="Y893" s="30"/>
      <c r="Z893" s="65"/>
      <c r="AA893" s="65"/>
      <c r="AB893" s="65"/>
      <c r="AC893" s="30"/>
      <c r="AD893" s="65"/>
      <c r="AE893" s="65"/>
      <c r="AF893" s="65"/>
      <c r="AG893" s="65"/>
      <c r="AH893" s="30"/>
      <c r="AI893" s="65"/>
      <c r="AJ893" s="65"/>
      <c r="AK893" s="65"/>
      <c r="AL893" s="65"/>
      <c r="AM893" s="65"/>
      <c r="AN893" s="65"/>
      <c r="AO893" s="65"/>
    </row>
    <row r="894">
      <c r="A894" s="30"/>
      <c r="B894" s="65"/>
      <c r="C894" s="65"/>
      <c r="D894" s="65"/>
      <c r="E894" s="30"/>
      <c r="F894" s="65"/>
      <c r="G894" s="65"/>
      <c r="H894" s="65"/>
      <c r="I894" s="30"/>
      <c r="J894" s="65"/>
      <c r="K894" s="65"/>
      <c r="L894" s="65"/>
      <c r="M894" s="30"/>
      <c r="N894" s="65"/>
      <c r="O894" s="65"/>
      <c r="P894" s="65"/>
      <c r="Q894" s="30"/>
      <c r="R894" s="65"/>
      <c r="S894" s="65"/>
      <c r="T894" s="65"/>
      <c r="U894" s="30"/>
      <c r="V894" s="65"/>
      <c r="W894" s="65"/>
      <c r="X894" s="65"/>
      <c r="Y894" s="30"/>
      <c r="Z894" s="65"/>
      <c r="AA894" s="65"/>
      <c r="AB894" s="65"/>
      <c r="AC894" s="30"/>
      <c r="AD894" s="65"/>
      <c r="AE894" s="65"/>
      <c r="AF894" s="65"/>
      <c r="AG894" s="65"/>
      <c r="AH894" s="30"/>
      <c r="AI894" s="65"/>
      <c r="AJ894" s="65"/>
      <c r="AK894" s="65"/>
      <c r="AL894" s="65"/>
      <c r="AM894" s="65"/>
      <c r="AN894" s="65"/>
      <c r="AO894" s="65"/>
    </row>
    <row r="895">
      <c r="A895" s="30"/>
      <c r="B895" s="65"/>
      <c r="C895" s="65"/>
      <c r="D895" s="65"/>
      <c r="E895" s="30"/>
      <c r="F895" s="65"/>
      <c r="G895" s="65"/>
      <c r="H895" s="65"/>
      <c r="I895" s="30"/>
      <c r="J895" s="65"/>
      <c r="K895" s="65"/>
      <c r="L895" s="65"/>
      <c r="M895" s="30"/>
      <c r="N895" s="65"/>
      <c r="O895" s="65"/>
      <c r="P895" s="65"/>
      <c r="Q895" s="30"/>
      <c r="R895" s="65"/>
      <c r="S895" s="65"/>
      <c r="T895" s="65"/>
      <c r="U895" s="30"/>
      <c r="V895" s="65"/>
      <c r="W895" s="65"/>
      <c r="X895" s="65"/>
      <c r="Y895" s="30"/>
      <c r="Z895" s="65"/>
      <c r="AA895" s="65"/>
      <c r="AB895" s="65"/>
      <c r="AC895" s="30"/>
      <c r="AD895" s="65"/>
      <c r="AE895" s="65"/>
      <c r="AF895" s="65"/>
      <c r="AG895" s="65"/>
      <c r="AH895" s="30"/>
      <c r="AI895" s="65"/>
      <c r="AJ895" s="65"/>
      <c r="AK895" s="65"/>
      <c r="AL895" s="65"/>
      <c r="AM895" s="65"/>
      <c r="AN895" s="65"/>
      <c r="AO895" s="65"/>
    </row>
    <row r="896">
      <c r="A896" s="30"/>
      <c r="B896" s="65"/>
      <c r="C896" s="65"/>
      <c r="D896" s="65"/>
      <c r="E896" s="30"/>
      <c r="F896" s="65"/>
      <c r="G896" s="65"/>
      <c r="H896" s="65"/>
      <c r="I896" s="30"/>
      <c r="J896" s="65"/>
      <c r="K896" s="65"/>
      <c r="L896" s="65"/>
      <c r="M896" s="30"/>
      <c r="N896" s="65"/>
      <c r="O896" s="65"/>
      <c r="P896" s="65"/>
      <c r="Q896" s="30"/>
      <c r="R896" s="65"/>
      <c r="S896" s="65"/>
      <c r="T896" s="65"/>
      <c r="U896" s="30"/>
      <c r="V896" s="65"/>
      <c r="W896" s="65"/>
      <c r="X896" s="65"/>
      <c r="Y896" s="30"/>
      <c r="Z896" s="65"/>
      <c r="AA896" s="65"/>
      <c r="AB896" s="65"/>
      <c r="AC896" s="30"/>
      <c r="AD896" s="65"/>
      <c r="AE896" s="65"/>
      <c r="AF896" s="65"/>
      <c r="AG896" s="65"/>
      <c r="AH896" s="30"/>
      <c r="AI896" s="65"/>
      <c r="AJ896" s="65"/>
      <c r="AK896" s="65"/>
      <c r="AL896" s="65"/>
      <c r="AM896" s="65"/>
      <c r="AN896" s="65"/>
      <c r="AO896" s="65"/>
    </row>
    <row r="897">
      <c r="A897" s="30"/>
      <c r="B897" s="65"/>
      <c r="C897" s="65"/>
      <c r="D897" s="65"/>
      <c r="E897" s="30"/>
      <c r="F897" s="65"/>
      <c r="G897" s="65"/>
      <c r="H897" s="65"/>
      <c r="I897" s="30"/>
      <c r="J897" s="65"/>
      <c r="K897" s="65"/>
      <c r="L897" s="65"/>
      <c r="M897" s="30"/>
      <c r="N897" s="65"/>
      <c r="O897" s="65"/>
      <c r="P897" s="65"/>
      <c r="Q897" s="30"/>
      <c r="R897" s="65"/>
      <c r="S897" s="65"/>
      <c r="T897" s="65"/>
      <c r="U897" s="30"/>
      <c r="V897" s="65"/>
      <c r="W897" s="65"/>
      <c r="X897" s="65"/>
      <c r="Y897" s="30"/>
      <c r="Z897" s="65"/>
      <c r="AA897" s="65"/>
      <c r="AB897" s="65"/>
      <c r="AC897" s="30"/>
      <c r="AD897" s="65"/>
      <c r="AE897" s="65"/>
      <c r="AF897" s="65"/>
      <c r="AG897" s="65"/>
      <c r="AH897" s="30"/>
      <c r="AI897" s="65"/>
      <c r="AJ897" s="65"/>
      <c r="AK897" s="65"/>
      <c r="AL897" s="65"/>
      <c r="AM897" s="65"/>
      <c r="AN897" s="65"/>
      <c r="AO897" s="65"/>
    </row>
    <row r="898">
      <c r="A898" s="30"/>
      <c r="B898" s="65"/>
      <c r="C898" s="65"/>
      <c r="D898" s="65"/>
      <c r="E898" s="30"/>
      <c r="F898" s="65"/>
      <c r="G898" s="65"/>
      <c r="H898" s="65"/>
      <c r="I898" s="30"/>
      <c r="J898" s="65"/>
      <c r="K898" s="65"/>
      <c r="L898" s="65"/>
      <c r="M898" s="30"/>
      <c r="N898" s="65"/>
      <c r="O898" s="65"/>
      <c r="P898" s="65"/>
      <c r="Q898" s="30"/>
      <c r="R898" s="65"/>
      <c r="S898" s="65"/>
      <c r="T898" s="65"/>
      <c r="U898" s="30"/>
      <c r="V898" s="65"/>
      <c r="W898" s="65"/>
      <c r="X898" s="65"/>
      <c r="Y898" s="30"/>
      <c r="Z898" s="65"/>
      <c r="AA898" s="65"/>
      <c r="AB898" s="65"/>
      <c r="AC898" s="30"/>
      <c r="AD898" s="65"/>
      <c r="AE898" s="65"/>
      <c r="AF898" s="65"/>
      <c r="AG898" s="65"/>
      <c r="AH898" s="30"/>
      <c r="AI898" s="65"/>
      <c r="AJ898" s="65"/>
      <c r="AK898" s="65"/>
      <c r="AL898" s="65"/>
      <c r="AM898" s="65"/>
      <c r="AN898" s="65"/>
      <c r="AO898" s="65"/>
    </row>
    <row r="899">
      <c r="A899" s="30"/>
      <c r="B899" s="65"/>
      <c r="C899" s="65"/>
      <c r="D899" s="65"/>
      <c r="E899" s="30"/>
      <c r="F899" s="65"/>
      <c r="G899" s="65"/>
      <c r="H899" s="65"/>
      <c r="I899" s="30"/>
      <c r="J899" s="65"/>
      <c r="K899" s="65"/>
      <c r="L899" s="65"/>
      <c r="M899" s="30"/>
      <c r="N899" s="65"/>
      <c r="O899" s="65"/>
      <c r="P899" s="65"/>
      <c r="Q899" s="30"/>
      <c r="R899" s="65"/>
      <c r="S899" s="65"/>
      <c r="T899" s="65"/>
      <c r="U899" s="30"/>
      <c r="V899" s="65"/>
      <c r="W899" s="65"/>
      <c r="X899" s="65"/>
      <c r="Y899" s="30"/>
      <c r="Z899" s="65"/>
      <c r="AA899" s="65"/>
      <c r="AB899" s="65"/>
      <c r="AC899" s="30"/>
      <c r="AD899" s="65"/>
      <c r="AE899" s="65"/>
      <c r="AF899" s="65"/>
      <c r="AG899" s="65"/>
      <c r="AH899" s="30"/>
      <c r="AI899" s="65"/>
      <c r="AJ899" s="65"/>
      <c r="AK899" s="65"/>
      <c r="AL899" s="65"/>
      <c r="AM899" s="65"/>
      <c r="AN899" s="65"/>
      <c r="AO899" s="65"/>
    </row>
    <row r="900">
      <c r="A900" s="30"/>
      <c r="B900" s="65"/>
      <c r="C900" s="65"/>
      <c r="D900" s="65"/>
      <c r="E900" s="30"/>
      <c r="F900" s="65"/>
      <c r="G900" s="65"/>
      <c r="H900" s="65"/>
      <c r="I900" s="30"/>
      <c r="J900" s="65"/>
      <c r="K900" s="65"/>
      <c r="L900" s="65"/>
      <c r="M900" s="30"/>
      <c r="N900" s="65"/>
      <c r="O900" s="65"/>
      <c r="P900" s="65"/>
      <c r="Q900" s="30"/>
      <c r="R900" s="65"/>
      <c r="S900" s="65"/>
      <c r="T900" s="65"/>
      <c r="U900" s="30"/>
      <c r="V900" s="65"/>
      <c r="W900" s="65"/>
      <c r="X900" s="65"/>
      <c r="Y900" s="30"/>
      <c r="Z900" s="65"/>
      <c r="AA900" s="65"/>
      <c r="AB900" s="65"/>
      <c r="AC900" s="30"/>
      <c r="AD900" s="65"/>
      <c r="AE900" s="65"/>
      <c r="AF900" s="65"/>
      <c r="AG900" s="65"/>
      <c r="AH900" s="30"/>
      <c r="AI900" s="65"/>
      <c r="AJ900" s="65"/>
      <c r="AK900" s="65"/>
      <c r="AL900" s="65"/>
      <c r="AM900" s="65"/>
      <c r="AN900" s="65"/>
      <c r="AO900" s="65"/>
    </row>
    <row r="901">
      <c r="A901" s="30"/>
      <c r="B901" s="65"/>
      <c r="C901" s="65"/>
      <c r="D901" s="65"/>
      <c r="E901" s="30"/>
      <c r="F901" s="65"/>
      <c r="G901" s="65"/>
      <c r="H901" s="65"/>
      <c r="I901" s="30"/>
      <c r="J901" s="65"/>
      <c r="K901" s="65"/>
      <c r="L901" s="65"/>
      <c r="M901" s="30"/>
      <c r="N901" s="65"/>
      <c r="O901" s="65"/>
      <c r="P901" s="65"/>
      <c r="Q901" s="30"/>
      <c r="R901" s="65"/>
      <c r="S901" s="65"/>
      <c r="T901" s="65"/>
      <c r="U901" s="30"/>
      <c r="V901" s="65"/>
      <c r="W901" s="65"/>
      <c r="X901" s="65"/>
      <c r="Y901" s="30"/>
      <c r="Z901" s="65"/>
      <c r="AA901" s="65"/>
      <c r="AB901" s="65"/>
      <c r="AC901" s="30"/>
      <c r="AD901" s="65"/>
      <c r="AE901" s="65"/>
      <c r="AF901" s="65"/>
      <c r="AG901" s="65"/>
      <c r="AH901" s="30"/>
      <c r="AI901" s="65"/>
      <c r="AJ901" s="65"/>
      <c r="AK901" s="65"/>
      <c r="AL901" s="65"/>
      <c r="AM901" s="65"/>
      <c r="AN901" s="65"/>
      <c r="AO901" s="65"/>
    </row>
    <row r="902">
      <c r="A902" s="30"/>
      <c r="B902" s="65"/>
      <c r="C902" s="65"/>
      <c r="D902" s="65"/>
      <c r="E902" s="30"/>
      <c r="F902" s="65"/>
      <c r="G902" s="65"/>
      <c r="H902" s="65"/>
      <c r="I902" s="30"/>
      <c r="J902" s="65"/>
      <c r="K902" s="65"/>
      <c r="L902" s="65"/>
      <c r="M902" s="30"/>
      <c r="N902" s="65"/>
      <c r="O902" s="65"/>
      <c r="P902" s="65"/>
      <c r="Q902" s="30"/>
      <c r="R902" s="65"/>
      <c r="S902" s="65"/>
      <c r="T902" s="65"/>
      <c r="U902" s="30"/>
      <c r="V902" s="65"/>
      <c r="W902" s="65"/>
      <c r="X902" s="65"/>
      <c r="Y902" s="30"/>
      <c r="Z902" s="65"/>
      <c r="AA902" s="65"/>
      <c r="AB902" s="65"/>
      <c r="AC902" s="30"/>
      <c r="AD902" s="65"/>
      <c r="AE902" s="65"/>
      <c r="AF902" s="65"/>
      <c r="AG902" s="65"/>
      <c r="AH902" s="30"/>
      <c r="AI902" s="65"/>
      <c r="AJ902" s="65"/>
      <c r="AK902" s="65"/>
      <c r="AL902" s="65"/>
      <c r="AM902" s="65"/>
      <c r="AN902" s="65"/>
      <c r="AO902" s="65"/>
    </row>
    <row r="903">
      <c r="A903" s="30"/>
      <c r="B903" s="65"/>
      <c r="C903" s="65"/>
      <c r="D903" s="65"/>
      <c r="E903" s="30"/>
      <c r="F903" s="65"/>
      <c r="G903" s="65"/>
      <c r="H903" s="65"/>
      <c r="I903" s="30"/>
      <c r="J903" s="65"/>
      <c r="K903" s="65"/>
      <c r="L903" s="65"/>
      <c r="M903" s="30"/>
      <c r="N903" s="65"/>
      <c r="O903" s="65"/>
      <c r="P903" s="65"/>
      <c r="Q903" s="30"/>
      <c r="R903" s="65"/>
      <c r="S903" s="65"/>
      <c r="T903" s="65"/>
      <c r="U903" s="30"/>
      <c r="V903" s="65"/>
      <c r="W903" s="65"/>
      <c r="X903" s="65"/>
      <c r="Y903" s="30"/>
      <c r="Z903" s="65"/>
      <c r="AA903" s="65"/>
      <c r="AB903" s="65"/>
      <c r="AC903" s="30"/>
      <c r="AD903" s="65"/>
      <c r="AE903" s="65"/>
      <c r="AF903" s="65"/>
      <c r="AG903" s="65"/>
      <c r="AH903" s="30"/>
      <c r="AI903" s="65"/>
      <c r="AJ903" s="65"/>
      <c r="AK903" s="65"/>
      <c r="AL903" s="65"/>
      <c r="AM903" s="65"/>
      <c r="AN903" s="65"/>
      <c r="AO903" s="65"/>
    </row>
    <row r="904">
      <c r="A904" s="30"/>
      <c r="B904" s="65"/>
      <c r="C904" s="65"/>
      <c r="D904" s="65"/>
      <c r="E904" s="30"/>
      <c r="F904" s="65"/>
      <c r="G904" s="65"/>
      <c r="H904" s="65"/>
      <c r="I904" s="30"/>
      <c r="J904" s="65"/>
      <c r="K904" s="65"/>
      <c r="L904" s="65"/>
      <c r="M904" s="30"/>
      <c r="N904" s="65"/>
      <c r="O904" s="65"/>
      <c r="P904" s="65"/>
      <c r="Q904" s="30"/>
      <c r="R904" s="65"/>
      <c r="S904" s="65"/>
      <c r="T904" s="65"/>
      <c r="U904" s="30"/>
      <c r="V904" s="65"/>
      <c r="W904" s="65"/>
      <c r="X904" s="65"/>
      <c r="Y904" s="30"/>
      <c r="Z904" s="65"/>
      <c r="AA904" s="65"/>
      <c r="AB904" s="65"/>
      <c r="AC904" s="30"/>
      <c r="AD904" s="65"/>
      <c r="AE904" s="65"/>
      <c r="AF904" s="65"/>
      <c r="AG904" s="65"/>
      <c r="AH904" s="30"/>
      <c r="AI904" s="65"/>
      <c r="AJ904" s="65"/>
      <c r="AK904" s="65"/>
      <c r="AL904" s="65"/>
      <c r="AM904" s="65"/>
      <c r="AN904" s="65"/>
      <c r="AO904" s="65"/>
    </row>
    <row r="905">
      <c r="A905" s="30"/>
      <c r="B905" s="65"/>
      <c r="C905" s="65"/>
      <c r="D905" s="65"/>
      <c r="E905" s="30"/>
      <c r="F905" s="65"/>
      <c r="G905" s="65"/>
      <c r="H905" s="65"/>
      <c r="I905" s="30"/>
      <c r="J905" s="65"/>
      <c r="K905" s="65"/>
      <c r="L905" s="65"/>
      <c r="M905" s="30"/>
      <c r="N905" s="65"/>
      <c r="O905" s="65"/>
      <c r="P905" s="65"/>
      <c r="Q905" s="30"/>
      <c r="R905" s="65"/>
      <c r="S905" s="65"/>
      <c r="T905" s="65"/>
      <c r="U905" s="30"/>
      <c r="V905" s="65"/>
      <c r="W905" s="65"/>
      <c r="X905" s="65"/>
      <c r="Y905" s="30"/>
      <c r="Z905" s="65"/>
      <c r="AA905" s="65"/>
      <c r="AB905" s="65"/>
      <c r="AC905" s="30"/>
      <c r="AD905" s="65"/>
      <c r="AE905" s="65"/>
      <c r="AF905" s="65"/>
      <c r="AG905" s="65"/>
      <c r="AH905" s="30"/>
      <c r="AI905" s="65"/>
      <c r="AJ905" s="65"/>
      <c r="AK905" s="65"/>
      <c r="AL905" s="65"/>
      <c r="AM905" s="65"/>
      <c r="AN905" s="65"/>
      <c r="AO905" s="65"/>
    </row>
    <row r="906">
      <c r="A906" s="30"/>
      <c r="B906" s="65"/>
      <c r="C906" s="65"/>
      <c r="D906" s="65"/>
      <c r="E906" s="30"/>
      <c r="F906" s="65"/>
      <c r="G906" s="65"/>
      <c r="H906" s="65"/>
      <c r="I906" s="30"/>
      <c r="J906" s="65"/>
      <c r="K906" s="65"/>
      <c r="L906" s="65"/>
      <c r="M906" s="30"/>
      <c r="N906" s="65"/>
      <c r="O906" s="65"/>
      <c r="P906" s="65"/>
      <c r="Q906" s="30"/>
      <c r="R906" s="65"/>
      <c r="S906" s="65"/>
      <c r="T906" s="65"/>
      <c r="U906" s="30"/>
      <c r="V906" s="65"/>
      <c r="W906" s="65"/>
      <c r="X906" s="65"/>
      <c r="Y906" s="30"/>
      <c r="Z906" s="65"/>
      <c r="AA906" s="65"/>
      <c r="AB906" s="65"/>
      <c r="AC906" s="30"/>
      <c r="AD906" s="65"/>
      <c r="AE906" s="65"/>
      <c r="AF906" s="65"/>
      <c r="AG906" s="65"/>
      <c r="AH906" s="30"/>
      <c r="AI906" s="65"/>
      <c r="AJ906" s="65"/>
      <c r="AK906" s="65"/>
      <c r="AL906" s="65"/>
      <c r="AM906" s="65"/>
      <c r="AN906" s="65"/>
      <c r="AO906" s="65"/>
    </row>
    <row r="907">
      <c r="A907" s="30"/>
      <c r="B907" s="65"/>
      <c r="C907" s="65"/>
      <c r="D907" s="65"/>
      <c r="E907" s="30"/>
      <c r="F907" s="65"/>
      <c r="G907" s="65"/>
      <c r="H907" s="65"/>
      <c r="I907" s="30"/>
      <c r="J907" s="65"/>
      <c r="K907" s="65"/>
      <c r="L907" s="65"/>
      <c r="M907" s="30"/>
      <c r="N907" s="65"/>
      <c r="O907" s="65"/>
      <c r="P907" s="65"/>
      <c r="Q907" s="30"/>
      <c r="R907" s="65"/>
      <c r="S907" s="65"/>
      <c r="T907" s="65"/>
      <c r="U907" s="30"/>
      <c r="V907" s="65"/>
      <c r="W907" s="65"/>
      <c r="X907" s="65"/>
      <c r="Y907" s="30"/>
      <c r="Z907" s="65"/>
      <c r="AA907" s="65"/>
      <c r="AB907" s="65"/>
      <c r="AC907" s="30"/>
      <c r="AD907" s="65"/>
      <c r="AE907" s="65"/>
      <c r="AF907" s="65"/>
      <c r="AG907" s="65"/>
      <c r="AH907" s="30"/>
      <c r="AI907" s="65"/>
      <c r="AJ907" s="65"/>
      <c r="AK907" s="65"/>
      <c r="AL907" s="65"/>
      <c r="AM907" s="65"/>
      <c r="AN907" s="65"/>
      <c r="AO907" s="65"/>
    </row>
    <row r="908">
      <c r="A908" s="30"/>
      <c r="B908" s="65"/>
      <c r="C908" s="65"/>
      <c r="D908" s="65"/>
      <c r="E908" s="30"/>
      <c r="F908" s="65"/>
      <c r="G908" s="65"/>
      <c r="H908" s="65"/>
      <c r="I908" s="30"/>
      <c r="J908" s="65"/>
      <c r="K908" s="65"/>
      <c r="L908" s="65"/>
      <c r="M908" s="30"/>
      <c r="N908" s="65"/>
      <c r="O908" s="65"/>
      <c r="P908" s="65"/>
      <c r="Q908" s="30"/>
      <c r="R908" s="65"/>
      <c r="S908" s="65"/>
      <c r="T908" s="65"/>
      <c r="U908" s="30"/>
      <c r="V908" s="65"/>
      <c r="W908" s="65"/>
      <c r="X908" s="65"/>
      <c r="Y908" s="30"/>
      <c r="Z908" s="65"/>
      <c r="AA908" s="65"/>
      <c r="AB908" s="65"/>
      <c r="AC908" s="30"/>
      <c r="AD908" s="65"/>
      <c r="AE908" s="65"/>
      <c r="AF908" s="65"/>
      <c r="AG908" s="65"/>
      <c r="AH908" s="30"/>
      <c r="AI908" s="65"/>
      <c r="AJ908" s="65"/>
      <c r="AK908" s="65"/>
      <c r="AL908" s="65"/>
      <c r="AM908" s="65"/>
      <c r="AN908" s="65"/>
      <c r="AO908" s="65"/>
    </row>
    <row r="909">
      <c r="A909" s="30"/>
      <c r="B909" s="65"/>
      <c r="C909" s="65"/>
      <c r="D909" s="65"/>
      <c r="E909" s="30"/>
      <c r="F909" s="65"/>
      <c r="G909" s="65"/>
      <c r="H909" s="65"/>
      <c r="I909" s="30"/>
      <c r="J909" s="65"/>
      <c r="K909" s="65"/>
      <c r="L909" s="65"/>
      <c r="M909" s="30"/>
      <c r="N909" s="65"/>
      <c r="O909" s="65"/>
      <c r="P909" s="65"/>
      <c r="Q909" s="30"/>
      <c r="R909" s="65"/>
      <c r="S909" s="65"/>
      <c r="T909" s="65"/>
      <c r="U909" s="30"/>
      <c r="V909" s="65"/>
      <c r="W909" s="65"/>
      <c r="X909" s="65"/>
      <c r="Y909" s="30"/>
      <c r="Z909" s="65"/>
      <c r="AA909" s="65"/>
      <c r="AB909" s="65"/>
      <c r="AC909" s="30"/>
      <c r="AD909" s="65"/>
      <c r="AE909" s="65"/>
      <c r="AF909" s="65"/>
      <c r="AG909" s="65"/>
      <c r="AH909" s="30"/>
      <c r="AI909" s="65"/>
      <c r="AJ909" s="65"/>
      <c r="AK909" s="65"/>
      <c r="AL909" s="65"/>
      <c r="AM909" s="65"/>
      <c r="AN909" s="65"/>
      <c r="AO909" s="65"/>
    </row>
    <row r="910">
      <c r="A910" s="30"/>
      <c r="B910" s="65"/>
      <c r="C910" s="65"/>
      <c r="D910" s="65"/>
      <c r="E910" s="30"/>
      <c r="F910" s="65"/>
      <c r="G910" s="65"/>
      <c r="H910" s="65"/>
      <c r="I910" s="30"/>
      <c r="J910" s="65"/>
      <c r="K910" s="65"/>
      <c r="L910" s="65"/>
      <c r="M910" s="30"/>
      <c r="N910" s="65"/>
      <c r="O910" s="65"/>
      <c r="P910" s="65"/>
      <c r="Q910" s="30"/>
      <c r="R910" s="65"/>
      <c r="S910" s="65"/>
      <c r="T910" s="65"/>
      <c r="U910" s="30"/>
      <c r="V910" s="65"/>
      <c r="W910" s="65"/>
      <c r="X910" s="65"/>
      <c r="Y910" s="30"/>
      <c r="Z910" s="65"/>
      <c r="AA910" s="65"/>
      <c r="AB910" s="65"/>
      <c r="AC910" s="30"/>
      <c r="AD910" s="65"/>
      <c r="AE910" s="65"/>
      <c r="AF910" s="65"/>
      <c r="AG910" s="65"/>
      <c r="AH910" s="30"/>
      <c r="AI910" s="65"/>
      <c r="AJ910" s="65"/>
      <c r="AK910" s="65"/>
      <c r="AL910" s="65"/>
      <c r="AM910" s="65"/>
      <c r="AN910" s="65"/>
      <c r="AO910" s="65"/>
    </row>
    <row r="911">
      <c r="A911" s="30"/>
      <c r="B911" s="65"/>
      <c r="C911" s="65"/>
      <c r="D911" s="65"/>
      <c r="E911" s="30"/>
      <c r="F911" s="65"/>
      <c r="G911" s="65"/>
      <c r="H911" s="65"/>
      <c r="I911" s="30"/>
      <c r="J911" s="65"/>
      <c r="K911" s="65"/>
      <c r="L911" s="65"/>
      <c r="M911" s="30"/>
      <c r="N911" s="65"/>
      <c r="O911" s="65"/>
      <c r="P911" s="65"/>
      <c r="Q911" s="30"/>
      <c r="R911" s="65"/>
      <c r="S911" s="65"/>
      <c r="T911" s="65"/>
      <c r="U911" s="30"/>
      <c r="V911" s="65"/>
      <c r="W911" s="65"/>
      <c r="X911" s="65"/>
      <c r="Y911" s="30"/>
      <c r="Z911" s="65"/>
      <c r="AA911" s="65"/>
      <c r="AB911" s="65"/>
      <c r="AC911" s="30"/>
      <c r="AD911" s="65"/>
      <c r="AE911" s="65"/>
      <c r="AF911" s="65"/>
      <c r="AG911" s="65"/>
      <c r="AH911" s="30"/>
      <c r="AI911" s="65"/>
      <c r="AJ911" s="65"/>
      <c r="AK911" s="65"/>
      <c r="AL911" s="65"/>
      <c r="AM911" s="65"/>
      <c r="AN911" s="65"/>
      <c r="AO911" s="65"/>
    </row>
    <row r="912">
      <c r="A912" s="30"/>
      <c r="B912" s="65"/>
      <c r="C912" s="65"/>
      <c r="D912" s="65"/>
      <c r="E912" s="30"/>
      <c r="F912" s="65"/>
      <c r="G912" s="65"/>
      <c r="H912" s="65"/>
      <c r="I912" s="30"/>
      <c r="J912" s="65"/>
      <c r="K912" s="65"/>
      <c r="L912" s="65"/>
      <c r="M912" s="30"/>
      <c r="N912" s="65"/>
      <c r="O912" s="65"/>
      <c r="P912" s="65"/>
      <c r="Q912" s="30"/>
      <c r="R912" s="65"/>
      <c r="S912" s="65"/>
      <c r="T912" s="65"/>
      <c r="U912" s="30"/>
      <c r="V912" s="65"/>
      <c r="W912" s="65"/>
      <c r="X912" s="65"/>
      <c r="Y912" s="30"/>
      <c r="Z912" s="65"/>
      <c r="AA912" s="65"/>
      <c r="AB912" s="65"/>
      <c r="AC912" s="30"/>
      <c r="AD912" s="65"/>
      <c r="AE912" s="65"/>
      <c r="AF912" s="65"/>
      <c r="AG912" s="65"/>
      <c r="AH912" s="30"/>
      <c r="AI912" s="65"/>
      <c r="AJ912" s="65"/>
      <c r="AK912" s="65"/>
      <c r="AL912" s="65"/>
      <c r="AM912" s="65"/>
      <c r="AN912" s="65"/>
      <c r="AO912" s="65"/>
    </row>
    <row r="913">
      <c r="A913" s="30"/>
      <c r="B913" s="65"/>
      <c r="C913" s="65"/>
      <c r="D913" s="65"/>
      <c r="E913" s="30"/>
      <c r="F913" s="65"/>
      <c r="G913" s="65"/>
      <c r="H913" s="65"/>
      <c r="I913" s="30"/>
      <c r="J913" s="65"/>
      <c r="K913" s="65"/>
      <c r="L913" s="65"/>
      <c r="M913" s="30"/>
      <c r="N913" s="65"/>
      <c r="O913" s="65"/>
      <c r="P913" s="65"/>
      <c r="Q913" s="30"/>
      <c r="R913" s="65"/>
      <c r="S913" s="65"/>
      <c r="T913" s="65"/>
      <c r="U913" s="30"/>
      <c r="V913" s="65"/>
      <c r="W913" s="65"/>
      <c r="X913" s="65"/>
      <c r="Y913" s="30"/>
      <c r="Z913" s="65"/>
      <c r="AA913" s="65"/>
      <c r="AB913" s="65"/>
      <c r="AC913" s="30"/>
      <c r="AD913" s="65"/>
      <c r="AE913" s="65"/>
      <c r="AF913" s="65"/>
      <c r="AG913" s="65"/>
      <c r="AH913" s="30"/>
      <c r="AI913" s="65"/>
      <c r="AJ913" s="65"/>
      <c r="AK913" s="65"/>
      <c r="AL913" s="65"/>
      <c r="AM913" s="65"/>
      <c r="AN913" s="65"/>
      <c r="AO913" s="65"/>
    </row>
    <row r="914">
      <c r="A914" s="30"/>
      <c r="B914" s="65"/>
      <c r="C914" s="65"/>
      <c r="D914" s="65"/>
      <c r="E914" s="30"/>
      <c r="F914" s="65"/>
      <c r="G914" s="65"/>
      <c r="H914" s="65"/>
      <c r="I914" s="30"/>
      <c r="J914" s="65"/>
      <c r="K914" s="65"/>
      <c r="L914" s="65"/>
      <c r="M914" s="30"/>
      <c r="N914" s="65"/>
      <c r="O914" s="65"/>
      <c r="P914" s="65"/>
      <c r="Q914" s="30"/>
      <c r="R914" s="65"/>
      <c r="S914" s="65"/>
      <c r="T914" s="65"/>
      <c r="U914" s="30"/>
      <c r="V914" s="65"/>
      <c r="W914" s="65"/>
      <c r="X914" s="65"/>
      <c r="Y914" s="30"/>
      <c r="Z914" s="65"/>
      <c r="AA914" s="65"/>
      <c r="AB914" s="65"/>
      <c r="AC914" s="30"/>
      <c r="AD914" s="65"/>
      <c r="AE914" s="65"/>
      <c r="AF914" s="65"/>
      <c r="AG914" s="65"/>
      <c r="AH914" s="30"/>
      <c r="AI914" s="65"/>
      <c r="AJ914" s="65"/>
      <c r="AK914" s="65"/>
      <c r="AL914" s="65"/>
      <c r="AM914" s="65"/>
      <c r="AN914" s="65"/>
      <c r="AO914" s="65"/>
    </row>
    <row r="915">
      <c r="A915" s="30"/>
      <c r="B915" s="65"/>
      <c r="C915" s="65"/>
      <c r="D915" s="65"/>
      <c r="E915" s="30"/>
      <c r="F915" s="65"/>
      <c r="G915" s="65"/>
      <c r="H915" s="65"/>
      <c r="I915" s="30"/>
      <c r="J915" s="65"/>
      <c r="K915" s="65"/>
      <c r="L915" s="65"/>
      <c r="M915" s="30"/>
      <c r="N915" s="65"/>
      <c r="O915" s="65"/>
      <c r="P915" s="65"/>
      <c r="Q915" s="30"/>
      <c r="R915" s="65"/>
      <c r="S915" s="65"/>
      <c r="T915" s="65"/>
      <c r="U915" s="30"/>
      <c r="V915" s="65"/>
      <c r="W915" s="65"/>
      <c r="X915" s="65"/>
      <c r="Y915" s="30"/>
      <c r="Z915" s="65"/>
      <c r="AA915" s="65"/>
      <c r="AB915" s="65"/>
      <c r="AC915" s="30"/>
      <c r="AD915" s="65"/>
      <c r="AE915" s="65"/>
      <c r="AF915" s="65"/>
      <c r="AG915" s="65"/>
      <c r="AH915" s="30"/>
      <c r="AI915" s="65"/>
      <c r="AJ915" s="65"/>
      <c r="AK915" s="65"/>
      <c r="AL915" s="65"/>
      <c r="AM915" s="65"/>
      <c r="AN915" s="65"/>
      <c r="AO915" s="65"/>
    </row>
    <row r="916">
      <c r="A916" s="30"/>
      <c r="B916" s="65"/>
      <c r="C916" s="65"/>
      <c r="D916" s="65"/>
      <c r="E916" s="30"/>
      <c r="F916" s="65"/>
      <c r="G916" s="65"/>
      <c r="H916" s="65"/>
      <c r="I916" s="30"/>
      <c r="J916" s="65"/>
      <c r="K916" s="65"/>
      <c r="L916" s="65"/>
      <c r="M916" s="30"/>
      <c r="N916" s="65"/>
      <c r="O916" s="65"/>
      <c r="P916" s="65"/>
      <c r="Q916" s="30"/>
      <c r="R916" s="65"/>
      <c r="S916" s="65"/>
      <c r="T916" s="65"/>
      <c r="U916" s="30"/>
      <c r="V916" s="65"/>
      <c r="W916" s="65"/>
      <c r="X916" s="65"/>
      <c r="Y916" s="30"/>
      <c r="Z916" s="65"/>
      <c r="AA916" s="65"/>
      <c r="AB916" s="65"/>
      <c r="AC916" s="30"/>
      <c r="AD916" s="65"/>
      <c r="AE916" s="65"/>
      <c r="AF916" s="65"/>
      <c r="AG916" s="65"/>
      <c r="AH916" s="30"/>
      <c r="AI916" s="65"/>
      <c r="AJ916" s="65"/>
      <c r="AK916" s="65"/>
      <c r="AL916" s="65"/>
      <c r="AM916" s="65"/>
      <c r="AN916" s="65"/>
      <c r="AO916" s="65"/>
    </row>
    <row r="917">
      <c r="A917" s="30"/>
      <c r="B917" s="65"/>
      <c r="C917" s="65"/>
      <c r="D917" s="65"/>
      <c r="E917" s="30"/>
      <c r="F917" s="65"/>
      <c r="G917" s="65"/>
      <c r="H917" s="65"/>
      <c r="I917" s="30"/>
      <c r="J917" s="65"/>
      <c r="K917" s="65"/>
      <c r="L917" s="65"/>
      <c r="M917" s="30"/>
      <c r="N917" s="65"/>
      <c r="O917" s="65"/>
      <c r="P917" s="65"/>
      <c r="Q917" s="30"/>
      <c r="R917" s="65"/>
      <c r="S917" s="65"/>
      <c r="T917" s="65"/>
      <c r="U917" s="30"/>
      <c r="V917" s="65"/>
      <c r="W917" s="65"/>
      <c r="X917" s="65"/>
      <c r="Y917" s="30"/>
      <c r="Z917" s="65"/>
      <c r="AA917" s="65"/>
      <c r="AB917" s="65"/>
      <c r="AC917" s="30"/>
      <c r="AD917" s="65"/>
      <c r="AE917" s="65"/>
      <c r="AF917" s="65"/>
      <c r="AG917" s="65"/>
      <c r="AH917" s="30"/>
      <c r="AI917" s="65"/>
      <c r="AJ917" s="65"/>
      <c r="AK917" s="65"/>
      <c r="AL917" s="65"/>
      <c r="AM917" s="65"/>
      <c r="AN917" s="65"/>
      <c r="AO917" s="65"/>
    </row>
    <row r="918">
      <c r="A918" s="30"/>
      <c r="B918" s="65"/>
      <c r="C918" s="65"/>
      <c r="D918" s="65"/>
      <c r="E918" s="30"/>
      <c r="F918" s="65"/>
      <c r="G918" s="65"/>
      <c r="H918" s="65"/>
      <c r="I918" s="30"/>
      <c r="J918" s="65"/>
      <c r="K918" s="65"/>
      <c r="L918" s="65"/>
      <c r="M918" s="30"/>
      <c r="N918" s="65"/>
      <c r="O918" s="65"/>
      <c r="P918" s="65"/>
      <c r="Q918" s="30"/>
      <c r="R918" s="65"/>
      <c r="S918" s="65"/>
      <c r="T918" s="65"/>
      <c r="U918" s="30"/>
      <c r="V918" s="65"/>
      <c r="W918" s="65"/>
      <c r="X918" s="65"/>
      <c r="Y918" s="30"/>
      <c r="Z918" s="65"/>
      <c r="AA918" s="65"/>
      <c r="AB918" s="65"/>
      <c r="AC918" s="30"/>
      <c r="AD918" s="65"/>
      <c r="AE918" s="65"/>
      <c r="AF918" s="65"/>
      <c r="AG918" s="65"/>
      <c r="AH918" s="30"/>
      <c r="AI918" s="65"/>
      <c r="AJ918" s="65"/>
      <c r="AK918" s="65"/>
      <c r="AL918" s="65"/>
      <c r="AM918" s="65"/>
      <c r="AN918" s="65"/>
      <c r="AO918" s="65"/>
    </row>
    <row r="919">
      <c r="A919" s="30"/>
      <c r="B919" s="65"/>
      <c r="C919" s="65"/>
      <c r="D919" s="65"/>
      <c r="E919" s="30"/>
      <c r="F919" s="65"/>
      <c r="G919" s="65"/>
      <c r="H919" s="65"/>
      <c r="I919" s="30"/>
      <c r="J919" s="65"/>
      <c r="K919" s="65"/>
      <c r="L919" s="65"/>
      <c r="M919" s="30"/>
      <c r="N919" s="65"/>
      <c r="O919" s="65"/>
      <c r="P919" s="65"/>
      <c r="Q919" s="30"/>
      <c r="R919" s="65"/>
      <c r="S919" s="65"/>
      <c r="T919" s="65"/>
      <c r="U919" s="30"/>
      <c r="V919" s="65"/>
      <c r="W919" s="65"/>
      <c r="X919" s="65"/>
      <c r="Y919" s="30"/>
      <c r="Z919" s="65"/>
      <c r="AA919" s="65"/>
      <c r="AB919" s="65"/>
      <c r="AC919" s="30"/>
      <c r="AD919" s="65"/>
      <c r="AE919" s="65"/>
      <c r="AF919" s="65"/>
      <c r="AG919" s="65"/>
      <c r="AH919" s="30"/>
      <c r="AI919" s="65"/>
      <c r="AJ919" s="65"/>
      <c r="AK919" s="65"/>
      <c r="AL919" s="65"/>
      <c r="AM919" s="65"/>
      <c r="AN919" s="65"/>
      <c r="AO919" s="65"/>
    </row>
    <row r="920">
      <c r="A920" s="30"/>
      <c r="B920" s="65"/>
      <c r="C920" s="65"/>
      <c r="D920" s="65"/>
      <c r="E920" s="30"/>
      <c r="F920" s="65"/>
      <c r="G920" s="65"/>
      <c r="H920" s="65"/>
      <c r="I920" s="30"/>
      <c r="J920" s="65"/>
      <c r="K920" s="65"/>
      <c r="L920" s="65"/>
      <c r="M920" s="30"/>
      <c r="N920" s="65"/>
      <c r="O920" s="65"/>
      <c r="P920" s="65"/>
      <c r="Q920" s="30"/>
      <c r="R920" s="65"/>
      <c r="S920" s="65"/>
      <c r="T920" s="65"/>
      <c r="U920" s="30"/>
      <c r="V920" s="65"/>
      <c r="W920" s="65"/>
      <c r="X920" s="65"/>
      <c r="Y920" s="30"/>
      <c r="Z920" s="65"/>
      <c r="AA920" s="65"/>
      <c r="AB920" s="65"/>
      <c r="AC920" s="30"/>
      <c r="AD920" s="65"/>
      <c r="AE920" s="65"/>
      <c r="AF920" s="65"/>
      <c r="AG920" s="65"/>
      <c r="AH920" s="30"/>
      <c r="AI920" s="65"/>
      <c r="AJ920" s="65"/>
      <c r="AK920" s="65"/>
      <c r="AL920" s="65"/>
      <c r="AM920" s="65"/>
      <c r="AN920" s="65"/>
      <c r="AO920" s="65"/>
    </row>
    <row r="921">
      <c r="A921" s="30"/>
      <c r="B921" s="65"/>
      <c r="C921" s="65"/>
      <c r="D921" s="65"/>
      <c r="E921" s="30"/>
      <c r="F921" s="65"/>
      <c r="G921" s="65"/>
      <c r="H921" s="65"/>
      <c r="I921" s="30"/>
      <c r="J921" s="65"/>
      <c r="K921" s="65"/>
      <c r="L921" s="65"/>
      <c r="M921" s="30"/>
      <c r="N921" s="65"/>
      <c r="O921" s="65"/>
      <c r="P921" s="65"/>
      <c r="Q921" s="30"/>
      <c r="R921" s="65"/>
      <c r="S921" s="65"/>
      <c r="T921" s="65"/>
      <c r="U921" s="30"/>
      <c r="V921" s="65"/>
      <c r="W921" s="65"/>
      <c r="X921" s="65"/>
      <c r="Y921" s="30"/>
      <c r="Z921" s="65"/>
      <c r="AA921" s="65"/>
      <c r="AB921" s="65"/>
      <c r="AC921" s="30"/>
      <c r="AD921" s="65"/>
      <c r="AE921" s="65"/>
      <c r="AF921" s="65"/>
      <c r="AG921" s="65"/>
      <c r="AH921" s="30"/>
      <c r="AI921" s="65"/>
      <c r="AJ921" s="65"/>
      <c r="AK921" s="65"/>
      <c r="AL921" s="65"/>
      <c r="AM921" s="65"/>
      <c r="AN921" s="65"/>
      <c r="AO921" s="65"/>
    </row>
    <row r="922">
      <c r="A922" s="30"/>
      <c r="B922" s="65"/>
      <c r="C922" s="65"/>
      <c r="D922" s="65"/>
      <c r="E922" s="30"/>
      <c r="F922" s="65"/>
      <c r="G922" s="65"/>
      <c r="H922" s="65"/>
      <c r="I922" s="30"/>
      <c r="J922" s="65"/>
      <c r="K922" s="65"/>
      <c r="L922" s="65"/>
      <c r="M922" s="30"/>
      <c r="N922" s="65"/>
      <c r="O922" s="65"/>
      <c r="P922" s="65"/>
      <c r="Q922" s="30"/>
      <c r="R922" s="65"/>
      <c r="S922" s="65"/>
      <c r="T922" s="65"/>
      <c r="U922" s="30"/>
      <c r="V922" s="65"/>
      <c r="W922" s="65"/>
      <c r="X922" s="65"/>
      <c r="Y922" s="30"/>
      <c r="Z922" s="65"/>
      <c r="AA922" s="65"/>
      <c r="AB922" s="65"/>
      <c r="AC922" s="30"/>
      <c r="AD922" s="65"/>
      <c r="AE922" s="65"/>
      <c r="AF922" s="65"/>
      <c r="AG922" s="65"/>
      <c r="AH922" s="30"/>
      <c r="AI922" s="65"/>
      <c r="AJ922" s="65"/>
      <c r="AK922" s="65"/>
      <c r="AL922" s="65"/>
      <c r="AM922" s="65"/>
      <c r="AN922" s="65"/>
      <c r="AO922" s="65"/>
    </row>
    <row r="923">
      <c r="A923" s="30"/>
      <c r="B923" s="65"/>
      <c r="C923" s="65"/>
      <c r="D923" s="65"/>
      <c r="E923" s="30"/>
      <c r="F923" s="65"/>
      <c r="G923" s="65"/>
      <c r="H923" s="65"/>
      <c r="I923" s="30"/>
      <c r="J923" s="65"/>
      <c r="K923" s="65"/>
      <c r="L923" s="65"/>
      <c r="M923" s="30"/>
      <c r="N923" s="65"/>
      <c r="O923" s="65"/>
      <c r="P923" s="65"/>
      <c r="Q923" s="30"/>
      <c r="R923" s="65"/>
      <c r="S923" s="65"/>
      <c r="T923" s="65"/>
      <c r="U923" s="30"/>
      <c r="V923" s="65"/>
      <c r="W923" s="65"/>
      <c r="X923" s="65"/>
      <c r="Y923" s="30"/>
      <c r="Z923" s="65"/>
      <c r="AA923" s="65"/>
      <c r="AB923" s="65"/>
      <c r="AC923" s="30"/>
      <c r="AD923" s="65"/>
      <c r="AE923" s="65"/>
      <c r="AF923" s="65"/>
      <c r="AG923" s="65"/>
      <c r="AH923" s="30"/>
      <c r="AI923" s="65"/>
      <c r="AJ923" s="65"/>
      <c r="AK923" s="65"/>
      <c r="AL923" s="65"/>
      <c r="AM923" s="65"/>
      <c r="AN923" s="65"/>
      <c r="AO923" s="65"/>
    </row>
    <row r="924">
      <c r="A924" s="30"/>
      <c r="B924" s="65"/>
      <c r="C924" s="65"/>
      <c r="D924" s="65"/>
      <c r="E924" s="30"/>
      <c r="F924" s="65"/>
      <c r="G924" s="65"/>
      <c r="H924" s="65"/>
      <c r="I924" s="30"/>
      <c r="J924" s="65"/>
      <c r="K924" s="65"/>
      <c r="L924" s="65"/>
      <c r="M924" s="30"/>
      <c r="N924" s="65"/>
      <c r="O924" s="65"/>
      <c r="P924" s="65"/>
      <c r="Q924" s="30"/>
      <c r="R924" s="65"/>
      <c r="S924" s="65"/>
      <c r="T924" s="65"/>
      <c r="U924" s="30"/>
      <c r="V924" s="65"/>
      <c r="W924" s="65"/>
      <c r="X924" s="65"/>
      <c r="Y924" s="30"/>
      <c r="Z924" s="65"/>
      <c r="AA924" s="65"/>
      <c r="AB924" s="65"/>
      <c r="AC924" s="30"/>
      <c r="AD924" s="65"/>
      <c r="AE924" s="65"/>
      <c r="AF924" s="65"/>
      <c r="AG924" s="65"/>
      <c r="AH924" s="30"/>
      <c r="AI924" s="65"/>
      <c r="AJ924" s="65"/>
      <c r="AK924" s="65"/>
      <c r="AL924" s="65"/>
      <c r="AM924" s="65"/>
      <c r="AN924" s="65"/>
      <c r="AO924" s="65"/>
    </row>
    <row r="925">
      <c r="A925" s="30"/>
      <c r="B925" s="65"/>
      <c r="C925" s="65"/>
      <c r="D925" s="65"/>
      <c r="E925" s="30"/>
      <c r="F925" s="65"/>
      <c r="G925" s="65"/>
      <c r="H925" s="65"/>
      <c r="I925" s="30"/>
      <c r="J925" s="65"/>
      <c r="K925" s="65"/>
      <c r="L925" s="65"/>
      <c r="M925" s="30"/>
      <c r="N925" s="65"/>
      <c r="O925" s="65"/>
      <c r="P925" s="65"/>
      <c r="Q925" s="30"/>
      <c r="R925" s="65"/>
      <c r="S925" s="65"/>
      <c r="T925" s="65"/>
      <c r="U925" s="30"/>
      <c r="V925" s="65"/>
      <c r="W925" s="65"/>
      <c r="X925" s="65"/>
      <c r="Y925" s="30"/>
      <c r="Z925" s="65"/>
      <c r="AA925" s="65"/>
      <c r="AB925" s="65"/>
      <c r="AC925" s="30"/>
      <c r="AD925" s="65"/>
      <c r="AE925" s="65"/>
      <c r="AF925" s="65"/>
      <c r="AG925" s="65"/>
      <c r="AH925" s="30"/>
      <c r="AI925" s="65"/>
      <c r="AJ925" s="65"/>
      <c r="AK925" s="65"/>
      <c r="AL925" s="65"/>
      <c r="AM925" s="65"/>
      <c r="AN925" s="65"/>
      <c r="AO925" s="65"/>
    </row>
    <row r="926">
      <c r="A926" s="30"/>
      <c r="B926" s="65"/>
      <c r="C926" s="65"/>
      <c r="D926" s="65"/>
      <c r="E926" s="30"/>
      <c r="F926" s="65"/>
      <c r="G926" s="65"/>
      <c r="H926" s="65"/>
      <c r="I926" s="30"/>
      <c r="J926" s="65"/>
      <c r="K926" s="65"/>
      <c r="L926" s="65"/>
      <c r="M926" s="30"/>
      <c r="N926" s="65"/>
      <c r="O926" s="65"/>
      <c r="P926" s="65"/>
      <c r="Q926" s="30"/>
      <c r="R926" s="65"/>
      <c r="S926" s="65"/>
      <c r="T926" s="65"/>
      <c r="U926" s="30"/>
      <c r="V926" s="65"/>
      <c r="W926" s="65"/>
      <c r="X926" s="65"/>
      <c r="Y926" s="30"/>
      <c r="Z926" s="65"/>
      <c r="AA926" s="65"/>
      <c r="AB926" s="65"/>
      <c r="AC926" s="30"/>
      <c r="AD926" s="65"/>
      <c r="AE926" s="65"/>
      <c r="AF926" s="65"/>
      <c r="AG926" s="65"/>
      <c r="AH926" s="30"/>
      <c r="AI926" s="65"/>
      <c r="AJ926" s="65"/>
      <c r="AK926" s="65"/>
      <c r="AL926" s="65"/>
      <c r="AM926" s="65"/>
      <c r="AN926" s="65"/>
      <c r="AO926" s="65"/>
    </row>
    <row r="927">
      <c r="A927" s="30"/>
      <c r="B927" s="65"/>
      <c r="C927" s="65"/>
      <c r="D927" s="65"/>
      <c r="E927" s="30"/>
      <c r="F927" s="65"/>
      <c r="G927" s="65"/>
      <c r="H927" s="65"/>
      <c r="I927" s="30"/>
      <c r="J927" s="65"/>
      <c r="K927" s="65"/>
      <c r="L927" s="65"/>
      <c r="M927" s="30"/>
      <c r="N927" s="65"/>
      <c r="O927" s="65"/>
      <c r="P927" s="65"/>
      <c r="Q927" s="30"/>
      <c r="R927" s="65"/>
      <c r="S927" s="65"/>
      <c r="T927" s="65"/>
      <c r="U927" s="30"/>
      <c r="V927" s="65"/>
      <c r="W927" s="65"/>
      <c r="X927" s="65"/>
      <c r="Y927" s="30"/>
      <c r="Z927" s="65"/>
      <c r="AA927" s="65"/>
      <c r="AB927" s="65"/>
      <c r="AC927" s="30"/>
      <c r="AD927" s="65"/>
      <c r="AE927" s="65"/>
      <c r="AF927" s="65"/>
      <c r="AG927" s="65"/>
      <c r="AH927" s="30"/>
      <c r="AI927" s="65"/>
      <c r="AJ927" s="65"/>
      <c r="AK927" s="65"/>
      <c r="AL927" s="65"/>
      <c r="AM927" s="65"/>
      <c r="AN927" s="65"/>
      <c r="AO927" s="65"/>
    </row>
    <row r="928">
      <c r="A928" s="30"/>
      <c r="B928" s="65"/>
      <c r="C928" s="65"/>
      <c r="D928" s="65"/>
      <c r="E928" s="30"/>
      <c r="F928" s="65"/>
      <c r="G928" s="65"/>
      <c r="H928" s="65"/>
      <c r="I928" s="30"/>
      <c r="J928" s="65"/>
      <c r="K928" s="65"/>
      <c r="L928" s="65"/>
      <c r="M928" s="30"/>
      <c r="N928" s="65"/>
      <c r="O928" s="65"/>
      <c r="P928" s="65"/>
      <c r="Q928" s="30"/>
      <c r="R928" s="65"/>
      <c r="S928" s="65"/>
      <c r="T928" s="65"/>
      <c r="U928" s="30"/>
      <c r="V928" s="65"/>
      <c r="W928" s="65"/>
      <c r="X928" s="65"/>
      <c r="Y928" s="30"/>
      <c r="Z928" s="65"/>
      <c r="AA928" s="65"/>
      <c r="AB928" s="65"/>
      <c r="AC928" s="30"/>
      <c r="AD928" s="65"/>
      <c r="AE928" s="65"/>
      <c r="AF928" s="65"/>
      <c r="AG928" s="65"/>
      <c r="AH928" s="30"/>
      <c r="AI928" s="65"/>
      <c r="AJ928" s="65"/>
      <c r="AK928" s="65"/>
      <c r="AL928" s="65"/>
      <c r="AM928" s="65"/>
      <c r="AN928" s="65"/>
      <c r="AO928" s="65"/>
    </row>
    <row r="929">
      <c r="A929" s="30"/>
      <c r="B929" s="65"/>
      <c r="C929" s="65"/>
      <c r="D929" s="65"/>
      <c r="E929" s="30"/>
      <c r="F929" s="65"/>
      <c r="G929" s="65"/>
      <c r="H929" s="65"/>
      <c r="I929" s="30"/>
      <c r="J929" s="65"/>
      <c r="K929" s="65"/>
      <c r="L929" s="65"/>
      <c r="M929" s="30"/>
      <c r="N929" s="65"/>
      <c r="O929" s="65"/>
      <c r="P929" s="65"/>
      <c r="Q929" s="30"/>
      <c r="R929" s="65"/>
      <c r="S929" s="65"/>
      <c r="T929" s="65"/>
      <c r="U929" s="30"/>
      <c r="V929" s="65"/>
      <c r="W929" s="65"/>
      <c r="X929" s="65"/>
      <c r="Y929" s="30"/>
      <c r="Z929" s="65"/>
      <c r="AA929" s="65"/>
      <c r="AB929" s="65"/>
      <c r="AC929" s="30"/>
      <c r="AD929" s="65"/>
      <c r="AE929" s="65"/>
      <c r="AF929" s="65"/>
      <c r="AG929" s="65"/>
      <c r="AH929" s="30"/>
      <c r="AI929" s="65"/>
      <c r="AJ929" s="65"/>
      <c r="AK929" s="65"/>
      <c r="AL929" s="65"/>
      <c r="AM929" s="65"/>
      <c r="AN929" s="65"/>
      <c r="AO929" s="65"/>
    </row>
    <row r="930">
      <c r="A930" s="30"/>
      <c r="B930" s="65"/>
      <c r="C930" s="65"/>
      <c r="D930" s="65"/>
      <c r="E930" s="30"/>
      <c r="F930" s="65"/>
      <c r="G930" s="65"/>
      <c r="H930" s="65"/>
      <c r="I930" s="30"/>
      <c r="J930" s="65"/>
      <c r="K930" s="65"/>
      <c r="L930" s="65"/>
      <c r="M930" s="30"/>
      <c r="N930" s="65"/>
      <c r="O930" s="65"/>
      <c r="P930" s="65"/>
      <c r="Q930" s="30"/>
      <c r="R930" s="65"/>
      <c r="S930" s="65"/>
      <c r="T930" s="65"/>
      <c r="U930" s="30"/>
      <c r="V930" s="65"/>
      <c r="W930" s="65"/>
      <c r="X930" s="65"/>
      <c r="Y930" s="30"/>
      <c r="Z930" s="65"/>
      <c r="AA930" s="65"/>
      <c r="AB930" s="65"/>
      <c r="AC930" s="30"/>
      <c r="AD930" s="65"/>
      <c r="AE930" s="65"/>
      <c r="AF930" s="65"/>
      <c r="AG930" s="65"/>
      <c r="AH930" s="30"/>
      <c r="AI930" s="65"/>
      <c r="AJ930" s="65"/>
      <c r="AK930" s="65"/>
      <c r="AL930" s="65"/>
      <c r="AM930" s="65"/>
      <c r="AN930" s="65"/>
      <c r="AO930" s="65"/>
    </row>
    <row r="931">
      <c r="A931" s="30"/>
      <c r="B931" s="65"/>
      <c r="C931" s="65"/>
      <c r="D931" s="65"/>
      <c r="E931" s="30"/>
      <c r="F931" s="65"/>
      <c r="G931" s="65"/>
      <c r="H931" s="65"/>
      <c r="I931" s="30"/>
      <c r="J931" s="65"/>
      <c r="K931" s="65"/>
      <c r="L931" s="65"/>
      <c r="M931" s="30"/>
      <c r="N931" s="65"/>
      <c r="O931" s="65"/>
      <c r="P931" s="65"/>
      <c r="Q931" s="30"/>
      <c r="R931" s="65"/>
      <c r="S931" s="65"/>
      <c r="T931" s="65"/>
      <c r="U931" s="30"/>
      <c r="V931" s="65"/>
      <c r="W931" s="65"/>
      <c r="X931" s="65"/>
      <c r="Y931" s="30"/>
      <c r="Z931" s="65"/>
      <c r="AA931" s="65"/>
      <c r="AB931" s="65"/>
      <c r="AC931" s="30"/>
      <c r="AD931" s="65"/>
      <c r="AE931" s="65"/>
      <c r="AF931" s="65"/>
      <c r="AG931" s="65"/>
      <c r="AH931" s="30"/>
      <c r="AI931" s="65"/>
      <c r="AJ931" s="65"/>
      <c r="AK931" s="65"/>
      <c r="AL931" s="65"/>
      <c r="AM931" s="65"/>
      <c r="AN931" s="65"/>
      <c r="AO931" s="65"/>
    </row>
    <row r="932">
      <c r="A932" s="30"/>
      <c r="B932" s="65"/>
      <c r="C932" s="65"/>
      <c r="D932" s="65"/>
      <c r="E932" s="30"/>
      <c r="F932" s="65"/>
      <c r="G932" s="65"/>
      <c r="H932" s="65"/>
      <c r="I932" s="30"/>
      <c r="J932" s="65"/>
      <c r="K932" s="65"/>
      <c r="L932" s="65"/>
      <c r="M932" s="30"/>
      <c r="N932" s="65"/>
      <c r="O932" s="65"/>
      <c r="P932" s="65"/>
      <c r="Q932" s="30"/>
      <c r="R932" s="65"/>
      <c r="S932" s="65"/>
      <c r="T932" s="65"/>
      <c r="U932" s="30"/>
      <c r="V932" s="65"/>
      <c r="W932" s="65"/>
      <c r="X932" s="65"/>
      <c r="Y932" s="30"/>
      <c r="Z932" s="65"/>
      <c r="AA932" s="65"/>
      <c r="AB932" s="65"/>
      <c r="AC932" s="30"/>
      <c r="AD932" s="65"/>
      <c r="AE932" s="65"/>
      <c r="AF932" s="65"/>
      <c r="AG932" s="65"/>
      <c r="AH932" s="30"/>
      <c r="AI932" s="65"/>
      <c r="AJ932" s="65"/>
      <c r="AK932" s="65"/>
      <c r="AL932" s="65"/>
      <c r="AM932" s="65"/>
      <c r="AN932" s="65"/>
      <c r="AO932" s="65"/>
    </row>
    <row r="933">
      <c r="A933" s="30"/>
      <c r="B933" s="65"/>
      <c r="C933" s="65"/>
      <c r="D933" s="65"/>
      <c r="E933" s="30"/>
      <c r="F933" s="65"/>
      <c r="G933" s="65"/>
      <c r="H933" s="65"/>
      <c r="I933" s="30"/>
      <c r="J933" s="65"/>
      <c r="K933" s="65"/>
      <c r="L933" s="65"/>
      <c r="M933" s="30"/>
      <c r="N933" s="65"/>
      <c r="O933" s="65"/>
      <c r="P933" s="65"/>
      <c r="Q933" s="30"/>
      <c r="R933" s="65"/>
      <c r="S933" s="65"/>
      <c r="T933" s="65"/>
      <c r="U933" s="30"/>
      <c r="V933" s="65"/>
      <c r="W933" s="65"/>
      <c r="X933" s="65"/>
      <c r="Y933" s="30"/>
      <c r="Z933" s="65"/>
      <c r="AA933" s="65"/>
      <c r="AB933" s="65"/>
      <c r="AC933" s="30"/>
      <c r="AD933" s="65"/>
      <c r="AE933" s="65"/>
      <c r="AF933" s="65"/>
      <c r="AG933" s="65"/>
      <c r="AH933" s="30"/>
      <c r="AI933" s="65"/>
      <c r="AJ933" s="65"/>
      <c r="AK933" s="65"/>
      <c r="AL933" s="65"/>
      <c r="AM933" s="65"/>
      <c r="AN933" s="65"/>
      <c r="AO933" s="65"/>
    </row>
    <row r="934">
      <c r="A934" s="30"/>
      <c r="B934" s="65"/>
      <c r="C934" s="65"/>
      <c r="D934" s="65"/>
      <c r="E934" s="30"/>
      <c r="F934" s="65"/>
      <c r="G934" s="65"/>
      <c r="H934" s="65"/>
      <c r="I934" s="30"/>
      <c r="J934" s="65"/>
      <c r="K934" s="65"/>
      <c r="L934" s="65"/>
      <c r="M934" s="30"/>
      <c r="N934" s="65"/>
      <c r="O934" s="65"/>
      <c r="P934" s="65"/>
      <c r="Q934" s="30"/>
      <c r="R934" s="65"/>
      <c r="S934" s="65"/>
      <c r="T934" s="65"/>
      <c r="U934" s="30"/>
      <c r="V934" s="65"/>
      <c r="W934" s="65"/>
      <c r="X934" s="65"/>
      <c r="Y934" s="30"/>
      <c r="Z934" s="65"/>
      <c r="AA934" s="65"/>
      <c r="AB934" s="65"/>
      <c r="AC934" s="30"/>
      <c r="AD934" s="65"/>
      <c r="AE934" s="65"/>
      <c r="AF934" s="65"/>
      <c r="AG934" s="65"/>
      <c r="AH934" s="30"/>
      <c r="AI934" s="65"/>
      <c r="AJ934" s="65"/>
      <c r="AK934" s="65"/>
      <c r="AL934" s="65"/>
      <c r="AM934" s="65"/>
      <c r="AN934" s="65"/>
      <c r="AO934" s="65"/>
    </row>
    <row r="935">
      <c r="A935" s="30"/>
      <c r="B935" s="65"/>
      <c r="C935" s="65"/>
      <c r="D935" s="65"/>
      <c r="E935" s="30"/>
      <c r="F935" s="65"/>
      <c r="G935" s="65"/>
      <c r="H935" s="65"/>
      <c r="I935" s="30"/>
      <c r="J935" s="65"/>
      <c r="K935" s="65"/>
      <c r="L935" s="65"/>
      <c r="M935" s="30"/>
      <c r="N935" s="65"/>
      <c r="O935" s="65"/>
      <c r="P935" s="65"/>
      <c r="Q935" s="30"/>
      <c r="R935" s="65"/>
      <c r="S935" s="65"/>
      <c r="T935" s="65"/>
      <c r="U935" s="30"/>
      <c r="V935" s="65"/>
      <c r="W935" s="65"/>
      <c r="X935" s="65"/>
      <c r="Y935" s="30"/>
      <c r="Z935" s="65"/>
      <c r="AA935" s="65"/>
      <c r="AB935" s="65"/>
      <c r="AC935" s="30"/>
      <c r="AD935" s="65"/>
      <c r="AE935" s="65"/>
      <c r="AF935" s="65"/>
      <c r="AG935" s="65"/>
      <c r="AH935" s="30"/>
      <c r="AI935" s="65"/>
      <c r="AJ935" s="65"/>
      <c r="AK935" s="65"/>
      <c r="AL935" s="65"/>
      <c r="AM935" s="65"/>
      <c r="AN935" s="65"/>
      <c r="AO935" s="65"/>
    </row>
    <row r="936">
      <c r="A936" s="30"/>
      <c r="B936" s="65"/>
      <c r="C936" s="65"/>
      <c r="D936" s="65"/>
      <c r="E936" s="30"/>
      <c r="F936" s="65"/>
      <c r="G936" s="65"/>
      <c r="H936" s="65"/>
      <c r="I936" s="30"/>
      <c r="J936" s="65"/>
      <c r="K936" s="65"/>
      <c r="L936" s="65"/>
      <c r="M936" s="30"/>
      <c r="N936" s="65"/>
      <c r="O936" s="65"/>
      <c r="P936" s="65"/>
      <c r="Q936" s="30"/>
      <c r="R936" s="65"/>
      <c r="S936" s="65"/>
      <c r="T936" s="65"/>
      <c r="U936" s="30"/>
      <c r="V936" s="65"/>
      <c r="W936" s="65"/>
      <c r="X936" s="65"/>
      <c r="Y936" s="30"/>
      <c r="Z936" s="65"/>
      <c r="AA936" s="65"/>
      <c r="AB936" s="65"/>
      <c r="AC936" s="30"/>
      <c r="AD936" s="65"/>
      <c r="AE936" s="65"/>
      <c r="AF936" s="65"/>
      <c r="AG936" s="65"/>
      <c r="AH936" s="30"/>
      <c r="AI936" s="65"/>
      <c r="AJ936" s="65"/>
      <c r="AK936" s="65"/>
      <c r="AL936" s="65"/>
      <c r="AM936" s="65"/>
      <c r="AN936" s="65"/>
      <c r="AO936" s="65"/>
    </row>
    <row r="937">
      <c r="A937" s="30"/>
      <c r="B937" s="65"/>
      <c r="C937" s="65"/>
      <c r="D937" s="65"/>
      <c r="E937" s="30"/>
      <c r="F937" s="65"/>
      <c r="G937" s="65"/>
      <c r="H937" s="65"/>
      <c r="I937" s="30"/>
      <c r="J937" s="65"/>
      <c r="K937" s="65"/>
      <c r="L937" s="65"/>
      <c r="M937" s="30"/>
      <c r="N937" s="65"/>
      <c r="O937" s="65"/>
      <c r="P937" s="65"/>
      <c r="Q937" s="30"/>
      <c r="R937" s="65"/>
      <c r="S937" s="65"/>
      <c r="T937" s="65"/>
      <c r="U937" s="30"/>
      <c r="V937" s="65"/>
      <c r="W937" s="65"/>
      <c r="X937" s="65"/>
      <c r="Y937" s="30"/>
      <c r="Z937" s="65"/>
      <c r="AA937" s="65"/>
      <c r="AB937" s="65"/>
      <c r="AC937" s="30"/>
      <c r="AD937" s="65"/>
      <c r="AE937" s="65"/>
      <c r="AF937" s="65"/>
      <c r="AG937" s="65"/>
      <c r="AH937" s="30"/>
      <c r="AI937" s="65"/>
      <c r="AJ937" s="65"/>
      <c r="AK937" s="65"/>
      <c r="AL937" s="65"/>
      <c r="AM937" s="65"/>
      <c r="AN937" s="65"/>
      <c r="AO937" s="65"/>
    </row>
    <row r="938">
      <c r="A938" s="30"/>
      <c r="B938" s="65"/>
      <c r="C938" s="65"/>
      <c r="D938" s="65"/>
      <c r="E938" s="30"/>
      <c r="F938" s="65"/>
      <c r="G938" s="65"/>
      <c r="H938" s="65"/>
      <c r="I938" s="30"/>
      <c r="J938" s="65"/>
      <c r="K938" s="65"/>
      <c r="L938" s="65"/>
      <c r="M938" s="30"/>
      <c r="N938" s="65"/>
      <c r="O938" s="65"/>
      <c r="P938" s="65"/>
      <c r="Q938" s="30"/>
      <c r="R938" s="65"/>
      <c r="S938" s="65"/>
      <c r="T938" s="65"/>
      <c r="U938" s="30"/>
      <c r="V938" s="65"/>
      <c r="W938" s="65"/>
      <c r="X938" s="65"/>
      <c r="Y938" s="30"/>
      <c r="Z938" s="65"/>
      <c r="AA938" s="65"/>
      <c r="AB938" s="65"/>
      <c r="AC938" s="30"/>
      <c r="AD938" s="65"/>
      <c r="AE938" s="65"/>
      <c r="AF938" s="65"/>
      <c r="AG938" s="65"/>
      <c r="AH938" s="30"/>
      <c r="AI938" s="65"/>
      <c r="AJ938" s="65"/>
      <c r="AK938" s="65"/>
      <c r="AL938" s="65"/>
      <c r="AM938" s="65"/>
      <c r="AN938" s="65"/>
      <c r="AO938" s="65"/>
    </row>
    <row r="939">
      <c r="A939" s="30"/>
      <c r="B939" s="65"/>
      <c r="C939" s="65"/>
      <c r="D939" s="65"/>
      <c r="E939" s="30"/>
      <c r="F939" s="65"/>
      <c r="G939" s="65"/>
      <c r="H939" s="65"/>
      <c r="I939" s="30"/>
      <c r="J939" s="65"/>
      <c r="K939" s="65"/>
      <c r="L939" s="65"/>
      <c r="M939" s="30"/>
      <c r="N939" s="65"/>
      <c r="O939" s="65"/>
      <c r="P939" s="65"/>
      <c r="Q939" s="30"/>
      <c r="R939" s="65"/>
      <c r="S939" s="65"/>
      <c r="T939" s="65"/>
      <c r="U939" s="30"/>
      <c r="V939" s="65"/>
      <c r="W939" s="65"/>
      <c r="X939" s="65"/>
      <c r="Y939" s="30"/>
      <c r="Z939" s="65"/>
      <c r="AA939" s="65"/>
      <c r="AB939" s="65"/>
      <c r="AC939" s="30"/>
      <c r="AD939" s="65"/>
      <c r="AE939" s="65"/>
      <c r="AF939" s="65"/>
      <c r="AG939" s="65"/>
      <c r="AH939" s="30"/>
      <c r="AI939" s="65"/>
      <c r="AJ939" s="65"/>
      <c r="AK939" s="65"/>
      <c r="AL939" s="65"/>
      <c r="AM939" s="65"/>
      <c r="AN939" s="65"/>
      <c r="AO939" s="65"/>
    </row>
    <row r="940">
      <c r="A940" s="30"/>
      <c r="B940" s="65"/>
      <c r="C940" s="65"/>
      <c r="D940" s="65"/>
      <c r="E940" s="30"/>
      <c r="F940" s="65"/>
      <c r="G940" s="65"/>
      <c r="H940" s="65"/>
      <c r="I940" s="30"/>
      <c r="J940" s="65"/>
      <c r="K940" s="65"/>
      <c r="L940" s="65"/>
      <c r="M940" s="30"/>
      <c r="N940" s="65"/>
      <c r="O940" s="65"/>
      <c r="P940" s="65"/>
      <c r="Q940" s="30"/>
      <c r="R940" s="65"/>
      <c r="S940" s="65"/>
      <c r="T940" s="65"/>
      <c r="U940" s="30"/>
      <c r="V940" s="65"/>
      <c r="W940" s="65"/>
      <c r="X940" s="65"/>
      <c r="Y940" s="30"/>
      <c r="Z940" s="65"/>
      <c r="AA940" s="65"/>
      <c r="AB940" s="65"/>
      <c r="AC940" s="30"/>
      <c r="AD940" s="65"/>
      <c r="AE940" s="65"/>
      <c r="AF940" s="65"/>
      <c r="AG940" s="65"/>
      <c r="AH940" s="30"/>
      <c r="AI940" s="65"/>
      <c r="AJ940" s="65"/>
      <c r="AK940" s="65"/>
      <c r="AL940" s="65"/>
      <c r="AM940" s="65"/>
      <c r="AN940" s="65"/>
      <c r="AO940" s="65"/>
    </row>
    <row r="941">
      <c r="A941" s="30"/>
      <c r="B941" s="65"/>
      <c r="C941" s="65"/>
      <c r="D941" s="65"/>
      <c r="E941" s="30"/>
      <c r="F941" s="65"/>
      <c r="G941" s="65"/>
      <c r="H941" s="65"/>
      <c r="I941" s="30"/>
      <c r="J941" s="65"/>
      <c r="K941" s="65"/>
      <c r="L941" s="65"/>
      <c r="M941" s="30"/>
      <c r="N941" s="65"/>
      <c r="O941" s="65"/>
      <c r="P941" s="65"/>
      <c r="Q941" s="30"/>
      <c r="R941" s="65"/>
      <c r="S941" s="65"/>
      <c r="T941" s="65"/>
      <c r="U941" s="30"/>
      <c r="V941" s="65"/>
      <c r="W941" s="65"/>
      <c r="X941" s="65"/>
      <c r="Y941" s="30"/>
      <c r="Z941" s="65"/>
      <c r="AA941" s="65"/>
      <c r="AB941" s="65"/>
      <c r="AC941" s="30"/>
      <c r="AD941" s="65"/>
      <c r="AE941" s="65"/>
      <c r="AF941" s="65"/>
      <c r="AG941" s="65"/>
      <c r="AH941" s="30"/>
      <c r="AI941" s="65"/>
      <c r="AJ941" s="65"/>
      <c r="AK941" s="65"/>
      <c r="AL941" s="65"/>
      <c r="AM941" s="65"/>
      <c r="AN941" s="65"/>
      <c r="AO941" s="65"/>
    </row>
    <row r="942">
      <c r="A942" s="30"/>
      <c r="B942" s="65"/>
      <c r="C942" s="65"/>
      <c r="D942" s="65"/>
      <c r="E942" s="30"/>
      <c r="F942" s="65"/>
      <c r="G942" s="65"/>
      <c r="H942" s="65"/>
      <c r="I942" s="30"/>
      <c r="J942" s="65"/>
      <c r="K942" s="65"/>
      <c r="L942" s="65"/>
      <c r="M942" s="30"/>
      <c r="N942" s="65"/>
      <c r="O942" s="65"/>
      <c r="P942" s="65"/>
      <c r="Q942" s="30"/>
      <c r="R942" s="65"/>
      <c r="S942" s="65"/>
      <c r="T942" s="65"/>
      <c r="U942" s="30"/>
      <c r="V942" s="65"/>
      <c r="W942" s="65"/>
      <c r="X942" s="65"/>
      <c r="Y942" s="30"/>
      <c r="Z942" s="65"/>
      <c r="AA942" s="65"/>
      <c r="AB942" s="65"/>
      <c r="AC942" s="30"/>
      <c r="AD942" s="65"/>
      <c r="AE942" s="65"/>
      <c r="AF942" s="65"/>
      <c r="AG942" s="65"/>
      <c r="AH942" s="30"/>
      <c r="AI942" s="65"/>
      <c r="AJ942" s="65"/>
      <c r="AK942" s="65"/>
      <c r="AL942" s="65"/>
      <c r="AM942" s="65"/>
      <c r="AN942" s="65"/>
      <c r="AO942" s="65"/>
    </row>
    <row r="943">
      <c r="A943" s="30"/>
      <c r="B943" s="65"/>
      <c r="C943" s="65"/>
      <c r="D943" s="65"/>
      <c r="E943" s="30"/>
      <c r="F943" s="65"/>
      <c r="G943" s="65"/>
      <c r="H943" s="65"/>
      <c r="I943" s="30"/>
      <c r="J943" s="65"/>
      <c r="K943" s="65"/>
      <c r="L943" s="65"/>
      <c r="M943" s="30"/>
      <c r="N943" s="65"/>
      <c r="O943" s="65"/>
      <c r="P943" s="65"/>
      <c r="Q943" s="30"/>
      <c r="R943" s="65"/>
      <c r="S943" s="65"/>
      <c r="T943" s="65"/>
      <c r="U943" s="30"/>
      <c r="V943" s="65"/>
      <c r="W943" s="65"/>
      <c r="X943" s="65"/>
      <c r="Y943" s="30"/>
      <c r="Z943" s="65"/>
      <c r="AA943" s="65"/>
      <c r="AB943" s="65"/>
      <c r="AC943" s="30"/>
      <c r="AD943" s="65"/>
      <c r="AE943" s="65"/>
      <c r="AF943" s="65"/>
      <c r="AG943" s="65"/>
      <c r="AH943" s="30"/>
      <c r="AI943" s="65"/>
      <c r="AJ943" s="65"/>
      <c r="AK943" s="65"/>
      <c r="AL943" s="65"/>
      <c r="AM943" s="65"/>
      <c r="AN943" s="65"/>
      <c r="AO943" s="65"/>
    </row>
    <row r="944">
      <c r="A944" s="30"/>
      <c r="B944" s="65"/>
      <c r="C944" s="65"/>
      <c r="D944" s="65"/>
      <c r="E944" s="30"/>
      <c r="F944" s="65"/>
      <c r="G944" s="65"/>
      <c r="H944" s="65"/>
      <c r="I944" s="30"/>
      <c r="J944" s="65"/>
      <c r="K944" s="65"/>
      <c r="L944" s="65"/>
      <c r="M944" s="30"/>
      <c r="N944" s="65"/>
      <c r="O944" s="65"/>
      <c r="P944" s="65"/>
      <c r="Q944" s="30"/>
      <c r="R944" s="65"/>
      <c r="S944" s="65"/>
      <c r="T944" s="65"/>
      <c r="U944" s="30"/>
      <c r="V944" s="65"/>
      <c r="W944" s="65"/>
      <c r="X944" s="65"/>
      <c r="Y944" s="30"/>
      <c r="Z944" s="65"/>
      <c r="AA944" s="65"/>
      <c r="AB944" s="65"/>
      <c r="AC944" s="30"/>
      <c r="AD944" s="65"/>
      <c r="AE944" s="65"/>
      <c r="AF944" s="65"/>
      <c r="AG944" s="65"/>
      <c r="AH944" s="30"/>
      <c r="AI944" s="65"/>
      <c r="AJ944" s="65"/>
      <c r="AK944" s="65"/>
      <c r="AL944" s="65"/>
      <c r="AM944" s="65"/>
      <c r="AN944" s="65"/>
      <c r="AO944" s="65"/>
    </row>
    <row r="945">
      <c r="A945" s="30"/>
      <c r="B945" s="65"/>
      <c r="C945" s="65"/>
      <c r="D945" s="65"/>
      <c r="E945" s="30"/>
      <c r="F945" s="65"/>
      <c r="G945" s="65"/>
      <c r="H945" s="65"/>
      <c r="I945" s="30"/>
      <c r="J945" s="65"/>
      <c r="K945" s="65"/>
      <c r="L945" s="65"/>
      <c r="M945" s="30"/>
      <c r="N945" s="65"/>
      <c r="O945" s="65"/>
      <c r="P945" s="65"/>
      <c r="Q945" s="30"/>
      <c r="R945" s="65"/>
      <c r="S945" s="65"/>
      <c r="T945" s="65"/>
      <c r="U945" s="30"/>
      <c r="V945" s="65"/>
      <c r="W945" s="65"/>
      <c r="X945" s="65"/>
      <c r="Y945" s="30"/>
      <c r="Z945" s="65"/>
      <c r="AA945" s="65"/>
      <c r="AB945" s="65"/>
      <c r="AC945" s="30"/>
      <c r="AD945" s="65"/>
      <c r="AE945" s="65"/>
      <c r="AF945" s="65"/>
      <c r="AG945" s="65"/>
      <c r="AH945" s="30"/>
      <c r="AI945" s="65"/>
      <c r="AJ945" s="65"/>
      <c r="AK945" s="65"/>
      <c r="AL945" s="65"/>
      <c r="AM945" s="65"/>
      <c r="AN945" s="65"/>
      <c r="AO945" s="65"/>
    </row>
    <row r="946">
      <c r="A946" s="30"/>
      <c r="B946" s="65"/>
      <c r="C946" s="65"/>
      <c r="D946" s="65"/>
      <c r="E946" s="30"/>
      <c r="F946" s="65"/>
      <c r="G946" s="65"/>
      <c r="H946" s="65"/>
      <c r="I946" s="30"/>
      <c r="J946" s="65"/>
      <c r="K946" s="65"/>
      <c r="L946" s="65"/>
      <c r="M946" s="30"/>
      <c r="N946" s="65"/>
      <c r="O946" s="65"/>
      <c r="P946" s="65"/>
      <c r="Q946" s="30"/>
      <c r="R946" s="65"/>
      <c r="S946" s="65"/>
      <c r="T946" s="65"/>
      <c r="U946" s="30"/>
      <c r="V946" s="65"/>
      <c r="W946" s="65"/>
      <c r="X946" s="65"/>
      <c r="Y946" s="30"/>
      <c r="Z946" s="65"/>
      <c r="AA946" s="65"/>
      <c r="AB946" s="65"/>
      <c r="AC946" s="30"/>
      <c r="AD946" s="65"/>
      <c r="AE946" s="65"/>
      <c r="AF946" s="65"/>
      <c r="AG946" s="65"/>
      <c r="AH946" s="30"/>
      <c r="AI946" s="65"/>
      <c r="AJ946" s="65"/>
      <c r="AK946" s="65"/>
      <c r="AL946" s="65"/>
      <c r="AM946" s="65"/>
      <c r="AN946" s="65"/>
      <c r="AO946" s="65"/>
    </row>
    <row r="947">
      <c r="A947" s="30"/>
      <c r="B947" s="65"/>
      <c r="C947" s="65"/>
      <c r="D947" s="65"/>
      <c r="E947" s="30"/>
      <c r="F947" s="65"/>
      <c r="G947" s="65"/>
      <c r="H947" s="65"/>
      <c r="I947" s="30"/>
      <c r="J947" s="65"/>
      <c r="K947" s="65"/>
      <c r="L947" s="65"/>
      <c r="M947" s="30"/>
      <c r="N947" s="65"/>
      <c r="O947" s="65"/>
      <c r="P947" s="65"/>
      <c r="Q947" s="30"/>
      <c r="R947" s="65"/>
      <c r="S947" s="65"/>
      <c r="T947" s="65"/>
      <c r="U947" s="30"/>
      <c r="V947" s="65"/>
      <c r="W947" s="65"/>
      <c r="X947" s="65"/>
      <c r="Y947" s="30"/>
      <c r="Z947" s="65"/>
      <c r="AA947" s="65"/>
      <c r="AB947" s="65"/>
      <c r="AC947" s="30"/>
      <c r="AD947" s="65"/>
      <c r="AE947" s="65"/>
      <c r="AF947" s="65"/>
      <c r="AG947" s="65"/>
      <c r="AH947" s="30"/>
      <c r="AI947" s="65"/>
      <c r="AJ947" s="65"/>
      <c r="AK947" s="65"/>
      <c r="AL947" s="65"/>
      <c r="AM947" s="65"/>
      <c r="AN947" s="65"/>
      <c r="AO947" s="65"/>
    </row>
    <row r="948">
      <c r="A948" s="30"/>
      <c r="B948" s="65"/>
      <c r="C948" s="65"/>
      <c r="D948" s="65"/>
      <c r="E948" s="30"/>
      <c r="F948" s="65"/>
      <c r="G948" s="65"/>
      <c r="H948" s="65"/>
      <c r="I948" s="30"/>
      <c r="J948" s="65"/>
      <c r="K948" s="65"/>
      <c r="L948" s="65"/>
      <c r="M948" s="30"/>
      <c r="N948" s="65"/>
      <c r="O948" s="65"/>
      <c r="P948" s="65"/>
      <c r="Q948" s="30"/>
      <c r="R948" s="65"/>
      <c r="S948" s="65"/>
      <c r="T948" s="65"/>
      <c r="U948" s="30"/>
      <c r="V948" s="65"/>
      <c r="W948" s="65"/>
      <c r="X948" s="65"/>
      <c r="Y948" s="30"/>
      <c r="Z948" s="65"/>
      <c r="AA948" s="65"/>
      <c r="AB948" s="65"/>
      <c r="AC948" s="30"/>
      <c r="AD948" s="65"/>
      <c r="AE948" s="65"/>
      <c r="AF948" s="65"/>
      <c r="AG948" s="65"/>
      <c r="AH948" s="30"/>
      <c r="AI948" s="65"/>
      <c r="AJ948" s="65"/>
      <c r="AK948" s="65"/>
      <c r="AL948" s="65"/>
      <c r="AM948" s="65"/>
      <c r="AN948" s="65"/>
      <c r="AO948" s="65"/>
    </row>
    <row r="949">
      <c r="A949" s="30"/>
      <c r="B949" s="65"/>
      <c r="C949" s="65"/>
      <c r="D949" s="65"/>
      <c r="E949" s="30"/>
      <c r="F949" s="65"/>
      <c r="G949" s="65"/>
      <c r="H949" s="65"/>
      <c r="I949" s="30"/>
      <c r="J949" s="65"/>
      <c r="K949" s="65"/>
      <c r="L949" s="65"/>
      <c r="M949" s="30"/>
      <c r="N949" s="65"/>
      <c r="O949" s="65"/>
      <c r="P949" s="65"/>
      <c r="Q949" s="30"/>
      <c r="R949" s="65"/>
      <c r="S949" s="65"/>
      <c r="T949" s="65"/>
      <c r="U949" s="30"/>
      <c r="V949" s="65"/>
      <c r="W949" s="65"/>
      <c r="X949" s="65"/>
      <c r="Y949" s="30"/>
      <c r="Z949" s="65"/>
      <c r="AA949" s="65"/>
      <c r="AB949" s="65"/>
      <c r="AC949" s="30"/>
      <c r="AD949" s="65"/>
      <c r="AE949" s="65"/>
      <c r="AF949" s="65"/>
      <c r="AG949" s="65"/>
      <c r="AH949" s="30"/>
      <c r="AI949" s="65"/>
      <c r="AJ949" s="65"/>
      <c r="AK949" s="65"/>
      <c r="AL949" s="65"/>
      <c r="AM949" s="65"/>
      <c r="AN949" s="65"/>
      <c r="AO949" s="65"/>
    </row>
    <row r="950">
      <c r="A950" s="30"/>
      <c r="B950" s="65"/>
      <c r="C950" s="65"/>
      <c r="D950" s="65"/>
      <c r="E950" s="30"/>
      <c r="F950" s="65"/>
      <c r="G950" s="65"/>
      <c r="H950" s="65"/>
      <c r="I950" s="30"/>
      <c r="J950" s="65"/>
      <c r="K950" s="65"/>
      <c r="L950" s="65"/>
      <c r="M950" s="30"/>
      <c r="N950" s="65"/>
      <c r="O950" s="65"/>
      <c r="P950" s="65"/>
      <c r="Q950" s="30"/>
      <c r="R950" s="65"/>
      <c r="S950" s="65"/>
      <c r="T950" s="65"/>
      <c r="U950" s="30"/>
      <c r="V950" s="65"/>
      <c r="W950" s="65"/>
      <c r="X950" s="65"/>
      <c r="Y950" s="30"/>
      <c r="Z950" s="65"/>
      <c r="AA950" s="65"/>
      <c r="AB950" s="65"/>
      <c r="AC950" s="30"/>
      <c r="AD950" s="65"/>
      <c r="AE950" s="65"/>
      <c r="AF950" s="65"/>
      <c r="AG950" s="65"/>
      <c r="AH950" s="30"/>
      <c r="AI950" s="65"/>
      <c r="AJ950" s="65"/>
      <c r="AK950" s="65"/>
      <c r="AL950" s="65"/>
      <c r="AM950" s="65"/>
      <c r="AN950" s="65"/>
      <c r="AO950" s="65"/>
    </row>
    <row r="951">
      <c r="A951" s="30"/>
      <c r="B951" s="65"/>
      <c r="C951" s="65"/>
      <c r="D951" s="65"/>
      <c r="E951" s="30"/>
      <c r="F951" s="65"/>
      <c r="G951" s="65"/>
      <c r="H951" s="65"/>
      <c r="I951" s="30"/>
      <c r="J951" s="65"/>
      <c r="K951" s="65"/>
      <c r="L951" s="65"/>
      <c r="M951" s="30"/>
      <c r="N951" s="65"/>
      <c r="O951" s="65"/>
      <c r="P951" s="65"/>
      <c r="Q951" s="30"/>
      <c r="R951" s="65"/>
      <c r="S951" s="65"/>
      <c r="T951" s="65"/>
      <c r="U951" s="30"/>
      <c r="V951" s="65"/>
      <c r="W951" s="65"/>
      <c r="X951" s="65"/>
      <c r="Y951" s="30"/>
      <c r="Z951" s="65"/>
      <c r="AA951" s="65"/>
      <c r="AB951" s="65"/>
      <c r="AC951" s="30"/>
      <c r="AD951" s="65"/>
      <c r="AE951" s="65"/>
      <c r="AF951" s="65"/>
      <c r="AG951" s="65"/>
      <c r="AH951" s="30"/>
      <c r="AI951" s="65"/>
      <c r="AJ951" s="65"/>
      <c r="AK951" s="65"/>
      <c r="AL951" s="65"/>
      <c r="AM951" s="65"/>
      <c r="AN951" s="65"/>
      <c r="AO951" s="65"/>
    </row>
    <row r="952">
      <c r="A952" s="30"/>
      <c r="B952" s="65"/>
      <c r="C952" s="65"/>
      <c r="D952" s="65"/>
      <c r="E952" s="30"/>
      <c r="F952" s="65"/>
      <c r="G952" s="65"/>
      <c r="H952" s="65"/>
      <c r="I952" s="30"/>
      <c r="J952" s="65"/>
      <c r="K952" s="65"/>
      <c r="L952" s="65"/>
      <c r="M952" s="30"/>
      <c r="N952" s="65"/>
      <c r="O952" s="65"/>
      <c r="P952" s="65"/>
      <c r="Q952" s="30"/>
      <c r="R952" s="65"/>
      <c r="S952" s="65"/>
      <c r="T952" s="65"/>
      <c r="U952" s="30"/>
      <c r="V952" s="65"/>
      <c r="W952" s="65"/>
      <c r="X952" s="65"/>
      <c r="Y952" s="30"/>
      <c r="Z952" s="65"/>
      <c r="AA952" s="65"/>
      <c r="AB952" s="65"/>
      <c r="AC952" s="30"/>
      <c r="AD952" s="65"/>
      <c r="AE952" s="65"/>
      <c r="AF952" s="65"/>
      <c r="AG952" s="65"/>
      <c r="AH952" s="30"/>
      <c r="AI952" s="65"/>
      <c r="AJ952" s="65"/>
      <c r="AK952" s="65"/>
      <c r="AL952" s="65"/>
      <c r="AM952" s="65"/>
      <c r="AN952" s="65"/>
      <c r="AO952" s="65"/>
    </row>
    <row r="953">
      <c r="A953" s="30"/>
      <c r="B953" s="65"/>
      <c r="C953" s="65"/>
      <c r="D953" s="65"/>
      <c r="E953" s="30"/>
      <c r="F953" s="65"/>
      <c r="G953" s="65"/>
      <c r="H953" s="65"/>
      <c r="I953" s="30"/>
      <c r="J953" s="65"/>
      <c r="K953" s="65"/>
      <c r="L953" s="65"/>
      <c r="M953" s="30"/>
      <c r="N953" s="65"/>
      <c r="O953" s="65"/>
      <c r="P953" s="65"/>
      <c r="Q953" s="30"/>
      <c r="R953" s="65"/>
      <c r="S953" s="65"/>
      <c r="T953" s="65"/>
      <c r="U953" s="30"/>
      <c r="V953" s="65"/>
      <c r="W953" s="65"/>
      <c r="X953" s="65"/>
      <c r="Y953" s="30"/>
      <c r="Z953" s="65"/>
      <c r="AA953" s="65"/>
      <c r="AB953" s="65"/>
      <c r="AC953" s="30"/>
      <c r="AD953" s="65"/>
      <c r="AE953" s="65"/>
      <c r="AF953" s="65"/>
      <c r="AG953" s="65"/>
      <c r="AH953" s="30"/>
      <c r="AI953" s="65"/>
      <c r="AJ953" s="65"/>
      <c r="AK953" s="65"/>
      <c r="AL953" s="65"/>
      <c r="AM953" s="65"/>
      <c r="AN953" s="65"/>
      <c r="AO953" s="65"/>
    </row>
    <row r="954">
      <c r="A954" s="30"/>
      <c r="B954" s="65"/>
      <c r="C954" s="65"/>
      <c r="D954" s="65"/>
      <c r="E954" s="30"/>
      <c r="F954" s="65"/>
      <c r="G954" s="65"/>
      <c r="H954" s="65"/>
      <c r="I954" s="30"/>
      <c r="J954" s="65"/>
      <c r="K954" s="65"/>
      <c r="L954" s="65"/>
      <c r="M954" s="30"/>
      <c r="N954" s="65"/>
      <c r="O954" s="65"/>
      <c r="P954" s="65"/>
      <c r="Q954" s="30"/>
      <c r="R954" s="65"/>
      <c r="S954" s="65"/>
      <c r="T954" s="65"/>
      <c r="U954" s="30"/>
      <c r="V954" s="65"/>
      <c r="W954" s="65"/>
      <c r="X954" s="65"/>
      <c r="Y954" s="30"/>
      <c r="Z954" s="65"/>
      <c r="AA954" s="65"/>
      <c r="AB954" s="65"/>
      <c r="AC954" s="30"/>
      <c r="AD954" s="65"/>
      <c r="AE954" s="65"/>
      <c r="AF954" s="65"/>
      <c r="AG954" s="65"/>
      <c r="AH954" s="30"/>
      <c r="AI954" s="65"/>
      <c r="AJ954" s="65"/>
      <c r="AK954" s="65"/>
      <c r="AL954" s="65"/>
      <c r="AM954" s="65"/>
      <c r="AN954" s="65"/>
      <c r="AO954" s="65"/>
    </row>
    <row r="955">
      <c r="A955" s="30"/>
      <c r="B955" s="65"/>
      <c r="C955" s="65"/>
      <c r="D955" s="65"/>
      <c r="E955" s="30"/>
      <c r="F955" s="65"/>
      <c r="G955" s="65"/>
      <c r="H955" s="65"/>
      <c r="I955" s="30"/>
      <c r="J955" s="65"/>
      <c r="K955" s="65"/>
      <c r="L955" s="65"/>
      <c r="M955" s="30"/>
      <c r="N955" s="65"/>
      <c r="O955" s="65"/>
      <c r="P955" s="65"/>
      <c r="Q955" s="30"/>
      <c r="R955" s="65"/>
      <c r="S955" s="65"/>
      <c r="T955" s="65"/>
      <c r="U955" s="30"/>
      <c r="V955" s="65"/>
      <c r="W955" s="65"/>
      <c r="X955" s="65"/>
      <c r="Y955" s="30"/>
      <c r="Z955" s="65"/>
      <c r="AA955" s="65"/>
      <c r="AB955" s="65"/>
      <c r="AC955" s="30"/>
      <c r="AD955" s="65"/>
      <c r="AE955" s="65"/>
      <c r="AF955" s="65"/>
      <c r="AG955" s="65"/>
      <c r="AH955" s="30"/>
      <c r="AI955" s="65"/>
      <c r="AJ955" s="65"/>
      <c r="AK955" s="65"/>
      <c r="AL955" s="65"/>
      <c r="AM955" s="65"/>
      <c r="AN955" s="65"/>
      <c r="AO955" s="65"/>
    </row>
    <row r="956">
      <c r="A956" s="30"/>
      <c r="B956" s="65"/>
      <c r="C956" s="65"/>
      <c r="D956" s="65"/>
      <c r="E956" s="30"/>
      <c r="F956" s="65"/>
      <c r="G956" s="65"/>
      <c r="H956" s="65"/>
      <c r="I956" s="30"/>
      <c r="J956" s="65"/>
      <c r="K956" s="65"/>
      <c r="L956" s="65"/>
      <c r="M956" s="30"/>
      <c r="N956" s="65"/>
      <c r="O956" s="65"/>
      <c r="P956" s="65"/>
      <c r="Q956" s="30"/>
      <c r="R956" s="65"/>
      <c r="S956" s="65"/>
      <c r="T956" s="65"/>
      <c r="U956" s="30"/>
      <c r="V956" s="65"/>
      <c r="W956" s="65"/>
      <c r="X956" s="65"/>
      <c r="Y956" s="30"/>
      <c r="Z956" s="65"/>
      <c r="AA956" s="65"/>
      <c r="AB956" s="65"/>
      <c r="AC956" s="30"/>
      <c r="AD956" s="65"/>
      <c r="AE956" s="65"/>
      <c r="AF956" s="65"/>
      <c r="AG956" s="65"/>
      <c r="AH956" s="30"/>
      <c r="AI956" s="65"/>
      <c r="AJ956" s="65"/>
      <c r="AK956" s="65"/>
      <c r="AL956" s="65"/>
      <c r="AM956" s="65"/>
      <c r="AN956" s="65"/>
      <c r="AO956" s="65"/>
    </row>
    <row r="957">
      <c r="A957" s="30"/>
      <c r="B957" s="65"/>
      <c r="C957" s="65"/>
      <c r="D957" s="65"/>
      <c r="E957" s="30"/>
      <c r="F957" s="65"/>
      <c r="G957" s="65"/>
      <c r="H957" s="65"/>
      <c r="I957" s="30"/>
      <c r="J957" s="65"/>
      <c r="K957" s="65"/>
      <c r="L957" s="65"/>
      <c r="M957" s="30"/>
      <c r="N957" s="65"/>
      <c r="O957" s="65"/>
      <c r="P957" s="65"/>
      <c r="Q957" s="30"/>
      <c r="R957" s="65"/>
      <c r="S957" s="65"/>
      <c r="T957" s="65"/>
      <c r="U957" s="30"/>
      <c r="V957" s="65"/>
      <c r="W957" s="65"/>
      <c r="X957" s="65"/>
      <c r="Y957" s="30"/>
      <c r="Z957" s="65"/>
      <c r="AA957" s="65"/>
      <c r="AB957" s="65"/>
      <c r="AC957" s="30"/>
      <c r="AD957" s="65"/>
      <c r="AE957" s="65"/>
      <c r="AF957" s="65"/>
      <c r="AG957" s="147"/>
      <c r="AH957" s="148"/>
      <c r="AI957" s="149"/>
      <c r="AJ957" s="71"/>
      <c r="AK957" s="147"/>
      <c r="AL957" s="150"/>
      <c r="AM957" s="149"/>
      <c r="AN957" s="71"/>
      <c r="AO957" s="65"/>
    </row>
    <row r="958">
      <c r="A958" s="30"/>
      <c r="B958" s="65"/>
      <c r="C958" s="65"/>
      <c r="D958" s="65"/>
      <c r="E958" s="30"/>
      <c r="F958" s="65"/>
      <c r="G958" s="65"/>
      <c r="H958" s="65"/>
      <c r="I958" s="30"/>
      <c r="J958" s="65"/>
      <c r="K958" s="65"/>
      <c r="L958" s="65"/>
      <c r="M958" s="30"/>
      <c r="N958" s="65"/>
      <c r="O958" s="65"/>
      <c r="P958" s="65"/>
      <c r="Q958" s="30"/>
      <c r="R958" s="65"/>
      <c r="S958" s="65"/>
      <c r="T958" s="65"/>
      <c r="U958" s="30"/>
      <c r="V958" s="65"/>
      <c r="W958" s="65"/>
      <c r="X958" s="65"/>
      <c r="Y958" s="30"/>
      <c r="Z958" s="65"/>
      <c r="AA958" s="65"/>
      <c r="AB958" s="65"/>
      <c r="AC958" s="30"/>
      <c r="AD958" s="65"/>
      <c r="AE958" s="65"/>
      <c r="AF958" s="65"/>
      <c r="AG958" s="147"/>
      <c r="AH958" s="148"/>
      <c r="AI958" s="149"/>
      <c r="AJ958" s="71"/>
      <c r="AK958" s="147"/>
      <c r="AL958" s="150"/>
      <c r="AM958" s="149"/>
      <c r="AN958" s="71"/>
      <c r="AO958" s="65"/>
    </row>
    <row r="959">
      <c r="A959" s="30"/>
      <c r="B959" s="65"/>
      <c r="C959" s="65"/>
      <c r="D959" s="65"/>
      <c r="E959" s="30"/>
      <c r="F959" s="65"/>
      <c r="G959" s="65"/>
      <c r="H959" s="65"/>
      <c r="I959" s="30"/>
      <c r="J959" s="65"/>
      <c r="K959" s="65"/>
      <c r="L959" s="65"/>
      <c r="M959" s="30"/>
      <c r="N959" s="65"/>
      <c r="O959" s="65"/>
      <c r="P959" s="65"/>
      <c r="Q959" s="30"/>
      <c r="R959" s="65"/>
      <c r="S959" s="65"/>
      <c r="T959" s="65"/>
      <c r="U959" s="30"/>
      <c r="V959" s="65"/>
      <c r="W959" s="65"/>
      <c r="X959" s="65"/>
      <c r="Y959" s="30"/>
      <c r="Z959" s="65"/>
      <c r="AA959" s="65"/>
      <c r="AB959" s="65"/>
      <c r="AC959" s="30"/>
      <c r="AD959" s="65"/>
      <c r="AE959" s="65"/>
      <c r="AF959" s="65"/>
      <c r="AG959" s="147"/>
      <c r="AH959" s="148"/>
      <c r="AI959" s="149"/>
      <c r="AJ959" s="71"/>
      <c r="AK959" s="147"/>
      <c r="AL959" s="150"/>
      <c r="AM959" s="149"/>
      <c r="AN959" s="71"/>
      <c r="AO959" s="65"/>
    </row>
    <row r="960">
      <c r="A960" s="30"/>
      <c r="B960" s="65"/>
      <c r="C960" s="65"/>
      <c r="D960" s="65"/>
      <c r="E960" s="30"/>
      <c r="F960" s="65"/>
      <c r="G960" s="65"/>
      <c r="H960" s="65"/>
      <c r="I960" s="30"/>
      <c r="J960" s="65"/>
      <c r="K960" s="65"/>
      <c r="L960" s="65"/>
      <c r="M960" s="30"/>
      <c r="N960" s="65"/>
      <c r="O960" s="65"/>
      <c r="P960" s="65"/>
      <c r="Q960" s="30"/>
      <c r="R960" s="65"/>
      <c r="S960" s="65"/>
      <c r="T960" s="65"/>
      <c r="U960" s="30"/>
      <c r="V960" s="65"/>
      <c r="W960" s="65"/>
      <c r="X960" s="65"/>
      <c r="Y960" s="30"/>
      <c r="Z960" s="65"/>
      <c r="AA960" s="65"/>
      <c r="AB960" s="65"/>
      <c r="AC960" s="30"/>
      <c r="AD960" s="65"/>
      <c r="AE960" s="65"/>
      <c r="AF960" s="65"/>
      <c r="AG960" s="147"/>
      <c r="AH960" s="148"/>
      <c r="AI960" s="149"/>
      <c r="AJ960" s="71"/>
      <c r="AK960" s="147"/>
      <c r="AL960" s="150"/>
      <c r="AM960" s="149"/>
      <c r="AN960" s="71"/>
      <c r="AO960" s="65"/>
    </row>
    <row r="961">
      <c r="A961" s="30"/>
      <c r="B961" s="65"/>
      <c r="C961" s="65"/>
      <c r="D961" s="65"/>
      <c r="E961" s="30"/>
      <c r="F961" s="65"/>
      <c r="G961" s="65"/>
      <c r="H961" s="65"/>
      <c r="I961" s="30"/>
      <c r="J961" s="65"/>
      <c r="K961" s="65"/>
      <c r="L961" s="65"/>
      <c r="M961" s="30"/>
      <c r="N961" s="65"/>
      <c r="O961" s="65"/>
      <c r="P961" s="65"/>
      <c r="Q961" s="30"/>
      <c r="R961" s="65"/>
      <c r="S961" s="65"/>
      <c r="T961" s="65"/>
      <c r="U961" s="30"/>
      <c r="V961" s="65"/>
      <c r="W961" s="65"/>
      <c r="X961" s="65"/>
      <c r="Y961" s="30"/>
      <c r="Z961" s="65"/>
      <c r="AA961" s="65"/>
      <c r="AB961" s="65"/>
      <c r="AC961" s="30"/>
      <c r="AD961" s="65"/>
      <c r="AE961" s="65"/>
      <c r="AF961" s="65"/>
      <c r="AG961" s="147"/>
      <c r="AH961" s="148"/>
      <c r="AI961" s="149"/>
      <c r="AJ961" s="71"/>
      <c r="AK961" s="147"/>
      <c r="AL961" s="150"/>
      <c r="AM961" s="149"/>
      <c r="AN961" s="71"/>
      <c r="AO961" s="65"/>
    </row>
    <row r="962">
      <c r="A962" s="30"/>
      <c r="B962" s="65"/>
      <c r="C962" s="65"/>
      <c r="D962" s="65"/>
      <c r="E962" s="30"/>
      <c r="F962" s="65"/>
      <c r="G962" s="65"/>
      <c r="H962" s="65"/>
      <c r="I962" s="30"/>
      <c r="J962" s="65"/>
      <c r="K962" s="65"/>
      <c r="L962" s="65"/>
      <c r="M962" s="30"/>
      <c r="N962" s="65"/>
      <c r="O962" s="65"/>
      <c r="P962" s="65"/>
      <c r="Q962" s="30"/>
      <c r="R962" s="65"/>
      <c r="S962" s="65"/>
      <c r="T962" s="65"/>
      <c r="U962" s="30"/>
      <c r="V962" s="65"/>
      <c r="W962" s="65"/>
      <c r="X962" s="65"/>
      <c r="Y962" s="30"/>
      <c r="Z962" s="65"/>
      <c r="AA962" s="65"/>
      <c r="AB962" s="65"/>
      <c r="AC962" s="30"/>
      <c r="AD962" s="65"/>
      <c r="AE962" s="65"/>
      <c r="AF962" s="65"/>
      <c r="AG962" s="147"/>
      <c r="AH962" s="148"/>
      <c r="AI962" s="149"/>
      <c r="AJ962" s="71"/>
      <c r="AK962" s="147"/>
      <c r="AL962" s="150"/>
      <c r="AM962" s="149"/>
      <c r="AN962" s="71"/>
      <c r="AO962" s="65"/>
    </row>
    <row r="963">
      <c r="A963" s="30"/>
      <c r="B963" s="65"/>
      <c r="C963" s="65"/>
      <c r="D963" s="65"/>
      <c r="E963" s="30"/>
      <c r="F963" s="65"/>
      <c r="G963" s="65"/>
      <c r="H963" s="65"/>
      <c r="I963" s="30"/>
      <c r="J963" s="65"/>
      <c r="K963" s="65"/>
      <c r="L963" s="65"/>
      <c r="M963" s="30"/>
      <c r="N963" s="65"/>
      <c r="O963" s="65"/>
      <c r="P963" s="65"/>
      <c r="Q963" s="30"/>
      <c r="R963" s="65"/>
      <c r="S963" s="65"/>
      <c r="T963" s="65"/>
      <c r="U963" s="30"/>
      <c r="V963" s="65"/>
      <c r="W963" s="65"/>
      <c r="X963" s="65"/>
      <c r="Y963" s="30"/>
      <c r="Z963" s="65"/>
      <c r="AA963" s="65"/>
      <c r="AB963" s="65"/>
      <c r="AC963" s="30"/>
      <c r="AD963" s="65"/>
      <c r="AE963" s="65"/>
      <c r="AF963" s="65"/>
      <c r="AG963" s="147"/>
      <c r="AH963" s="148"/>
      <c r="AI963" s="149"/>
      <c r="AJ963" s="71"/>
      <c r="AK963" s="147"/>
      <c r="AL963" s="150"/>
      <c r="AM963" s="149"/>
      <c r="AN963" s="71"/>
      <c r="AO963" s="65"/>
    </row>
    <row r="964">
      <c r="A964" s="30"/>
      <c r="B964" s="65"/>
      <c r="C964" s="65"/>
      <c r="D964" s="65"/>
      <c r="E964" s="30"/>
      <c r="F964" s="65"/>
      <c r="G964" s="65"/>
      <c r="H964" s="65"/>
      <c r="I964" s="30"/>
      <c r="J964" s="65"/>
      <c r="K964" s="65"/>
      <c r="L964" s="65"/>
      <c r="M964" s="30"/>
      <c r="N964" s="65"/>
      <c r="O964" s="65"/>
      <c r="P964" s="65"/>
      <c r="Q964" s="30"/>
      <c r="R964" s="65"/>
      <c r="S964" s="65"/>
      <c r="T964" s="65"/>
      <c r="U964" s="30"/>
      <c r="V964" s="65"/>
      <c r="W964" s="65"/>
      <c r="X964" s="65"/>
      <c r="Y964" s="30"/>
      <c r="Z964" s="65"/>
      <c r="AA964" s="65"/>
      <c r="AB964" s="65"/>
      <c r="AC964" s="30"/>
      <c r="AD964" s="65"/>
      <c r="AE964" s="65"/>
      <c r="AF964" s="65"/>
      <c r="AG964" s="147"/>
      <c r="AH964" s="148"/>
      <c r="AI964" s="149"/>
      <c r="AJ964" s="71"/>
      <c r="AK964" s="147"/>
      <c r="AL964" s="150"/>
      <c r="AM964" s="149"/>
      <c r="AN964" s="71"/>
      <c r="AO964" s="65"/>
    </row>
    <row r="965">
      <c r="A965" s="30"/>
      <c r="B965" s="65"/>
      <c r="C965" s="65"/>
      <c r="D965" s="65"/>
      <c r="E965" s="30"/>
      <c r="F965" s="65"/>
      <c r="G965" s="65"/>
      <c r="H965" s="65"/>
      <c r="I965" s="30"/>
      <c r="J965" s="65"/>
      <c r="K965" s="65"/>
      <c r="L965" s="65"/>
      <c r="M965" s="30"/>
      <c r="N965" s="65"/>
      <c r="O965" s="65"/>
      <c r="P965" s="65"/>
      <c r="Q965" s="30"/>
      <c r="R965" s="65"/>
      <c r="S965" s="65"/>
      <c r="T965" s="65"/>
      <c r="U965" s="30"/>
      <c r="V965" s="65"/>
      <c r="W965" s="65"/>
      <c r="X965" s="65"/>
      <c r="Y965" s="30"/>
      <c r="Z965" s="65"/>
      <c r="AA965" s="65"/>
      <c r="AB965" s="65"/>
      <c r="AC965" s="30"/>
      <c r="AD965" s="65"/>
      <c r="AE965" s="65"/>
      <c r="AF965" s="65"/>
      <c r="AG965" s="147"/>
      <c r="AH965" s="148"/>
      <c r="AI965" s="149"/>
      <c r="AJ965" s="71"/>
      <c r="AK965" s="147"/>
      <c r="AL965" s="150"/>
      <c r="AM965" s="149"/>
      <c r="AN965" s="71"/>
      <c r="AO965" s="65"/>
    </row>
    <row r="966">
      <c r="A966" s="30"/>
      <c r="B966" s="65"/>
      <c r="C966" s="65"/>
      <c r="D966" s="65"/>
      <c r="E966" s="30"/>
      <c r="F966" s="65"/>
      <c r="G966" s="65"/>
      <c r="H966" s="65"/>
      <c r="I966" s="30"/>
      <c r="J966" s="65"/>
      <c r="K966" s="65"/>
      <c r="L966" s="65"/>
      <c r="M966" s="30"/>
      <c r="N966" s="65"/>
      <c r="O966" s="65"/>
      <c r="P966" s="65"/>
      <c r="Q966" s="30"/>
      <c r="R966" s="65"/>
      <c r="S966" s="65"/>
      <c r="T966" s="65"/>
      <c r="U966" s="30"/>
      <c r="V966" s="65"/>
      <c r="W966" s="65"/>
      <c r="X966" s="65"/>
      <c r="Y966" s="30"/>
      <c r="Z966" s="65"/>
      <c r="AA966" s="65"/>
      <c r="AB966" s="65"/>
      <c r="AC966" s="30"/>
      <c r="AD966" s="65"/>
      <c r="AE966" s="65"/>
      <c r="AF966" s="65"/>
      <c r="AG966" s="147"/>
      <c r="AH966" s="148"/>
      <c r="AI966" s="149"/>
      <c r="AJ966" s="71"/>
      <c r="AK966" s="147"/>
      <c r="AL966" s="150"/>
      <c r="AM966" s="149"/>
      <c r="AN966" s="71"/>
      <c r="AO966" s="65"/>
    </row>
    <row r="967">
      <c r="A967" s="30"/>
      <c r="B967" s="65"/>
      <c r="C967" s="65"/>
      <c r="D967" s="65"/>
      <c r="E967" s="30"/>
      <c r="F967" s="65"/>
      <c r="G967" s="65"/>
      <c r="H967" s="65"/>
      <c r="I967" s="30"/>
      <c r="J967" s="65"/>
      <c r="K967" s="65"/>
      <c r="L967" s="65"/>
      <c r="M967" s="30"/>
      <c r="N967" s="65"/>
      <c r="O967" s="65"/>
      <c r="P967" s="65"/>
      <c r="Q967" s="30"/>
      <c r="R967" s="65"/>
      <c r="S967" s="65"/>
      <c r="T967" s="65"/>
      <c r="U967" s="30"/>
      <c r="V967" s="65"/>
      <c r="W967" s="65"/>
      <c r="X967" s="65"/>
      <c r="Y967" s="30"/>
      <c r="Z967" s="65"/>
      <c r="AA967" s="65"/>
      <c r="AB967" s="65"/>
      <c r="AC967" s="30"/>
      <c r="AD967" s="65"/>
      <c r="AE967" s="65"/>
      <c r="AF967" s="65"/>
      <c r="AG967" s="147"/>
      <c r="AH967" s="148"/>
      <c r="AI967" s="149"/>
      <c r="AJ967" s="71"/>
      <c r="AK967" s="147"/>
      <c r="AL967" s="150"/>
      <c r="AM967" s="149"/>
      <c r="AN967" s="71"/>
      <c r="AO967" s="65"/>
    </row>
    <row r="968">
      <c r="A968" s="30"/>
      <c r="B968" s="65"/>
      <c r="C968" s="65"/>
      <c r="D968" s="65"/>
      <c r="E968" s="30"/>
      <c r="F968" s="65"/>
      <c r="G968" s="65"/>
      <c r="H968" s="65"/>
      <c r="I968" s="30"/>
      <c r="J968" s="65"/>
      <c r="K968" s="65"/>
      <c r="L968" s="65"/>
      <c r="M968" s="30"/>
      <c r="N968" s="65"/>
      <c r="O968" s="65"/>
      <c r="P968" s="65"/>
      <c r="Q968" s="30"/>
      <c r="R968" s="65"/>
      <c r="S968" s="65"/>
      <c r="T968" s="65"/>
      <c r="U968" s="30"/>
      <c r="V968" s="65"/>
      <c r="W968" s="65"/>
      <c r="X968" s="65"/>
      <c r="Y968" s="30"/>
      <c r="Z968" s="65"/>
      <c r="AA968" s="65"/>
      <c r="AB968" s="65"/>
      <c r="AC968" s="30"/>
      <c r="AD968" s="65"/>
      <c r="AE968" s="65"/>
      <c r="AF968" s="65"/>
      <c r="AG968" s="147"/>
      <c r="AH968" s="148"/>
      <c r="AI968" s="149"/>
      <c r="AJ968" s="71"/>
      <c r="AK968" s="147"/>
      <c r="AL968" s="150"/>
      <c r="AM968" s="149"/>
      <c r="AN968" s="71"/>
      <c r="AO968" s="65"/>
    </row>
    <row r="969">
      <c r="A969" s="30"/>
      <c r="B969" s="65"/>
      <c r="C969" s="65"/>
      <c r="D969" s="65"/>
      <c r="E969" s="30"/>
      <c r="F969" s="65"/>
      <c r="G969" s="65"/>
      <c r="H969" s="65"/>
      <c r="I969" s="30"/>
      <c r="J969" s="65"/>
      <c r="K969" s="65"/>
      <c r="L969" s="65"/>
      <c r="M969" s="30"/>
      <c r="N969" s="65"/>
      <c r="O969" s="65"/>
      <c r="P969" s="65"/>
      <c r="Q969" s="30"/>
      <c r="R969" s="65"/>
      <c r="S969" s="65"/>
      <c r="T969" s="65"/>
      <c r="U969" s="30"/>
      <c r="V969" s="65"/>
      <c r="W969" s="65"/>
      <c r="X969" s="65"/>
      <c r="Y969" s="30"/>
      <c r="Z969" s="65"/>
      <c r="AA969" s="65"/>
      <c r="AB969" s="65"/>
      <c r="AC969" s="30"/>
      <c r="AD969" s="65"/>
      <c r="AE969" s="65"/>
      <c r="AF969" s="65"/>
      <c r="AG969" s="147"/>
      <c r="AH969" s="148"/>
      <c r="AI969" s="149"/>
      <c r="AJ969" s="71"/>
      <c r="AK969" s="147"/>
      <c r="AL969" s="150"/>
      <c r="AM969" s="149"/>
      <c r="AN969" s="71"/>
      <c r="AO969" s="65"/>
    </row>
    <row r="970">
      <c r="A970" s="30"/>
      <c r="B970" s="65"/>
      <c r="C970" s="65"/>
      <c r="D970" s="65"/>
      <c r="E970" s="30"/>
      <c r="F970" s="65"/>
      <c r="G970" s="65"/>
      <c r="H970" s="65"/>
      <c r="I970" s="30"/>
      <c r="J970" s="65"/>
      <c r="K970" s="65"/>
      <c r="L970" s="65"/>
      <c r="M970" s="30"/>
      <c r="N970" s="65"/>
      <c r="O970" s="65"/>
      <c r="P970" s="65"/>
      <c r="Q970" s="30"/>
      <c r="R970" s="65"/>
      <c r="S970" s="65"/>
      <c r="T970" s="65"/>
      <c r="U970" s="30"/>
      <c r="V970" s="65"/>
      <c r="W970" s="65"/>
      <c r="X970" s="65"/>
      <c r="Y970" s="30"/>
      <c r="Z970" s="65"/>
      <c r="AA970" s="65"/>
      <c r="AB970" s="65"/>
      <c r="AC970" s="30"/>
      <c r="AD970" s="65"/>
      <c r="AE970" s="65"/>
      <c r="AF970" s="65"/>
      <c r="AG970" s="147"/>
      <c r="AH970" s="148"/>
      <c r="AI970" s="149"/>
      <c r="AJ970" s="71"/>
      <c r="AK970" s="147"/>
      <c r="AL970" s="150"/>
      <c r="AM970" s="149"/>
      <c r="AN970" s="71"/>
      <c r="AO970" s="65"/>
    </row>
    <row r="971">
      <c r="A971" s="30"/>
      <c r="B971" s="65"/>
      <c r="C971" s="65"/>
      <c r="D971" s="65"/>
      <c r="E971" s="30"/>
      <c r="F971" s="65"/>
      <c r="G971" s="65"/>
      <c r="H971" s="65"/>
      <c r="I971" s="30"/>
      <c r="J971" s="65"/>
      <c r="K971" s="65"/>
      <c r="L971" s="65"/>
      <c r="M971" s="30"/>
      <c r="N971" s="65"/>
      <c r="O971" s="65"/>
      <c r="P971" s="65"/>
      <c r="Q971" s="30"/>
      <c r="R971" s="65"/>
      <c r="S971" s="65"/>
      <c r="T971" s="65"/>
      <c r="U971" s="30"/>
      <c r="V971" s="65"/>
      <c r="W971" s="65"/>
      <c r="X971" s="65"/>
      <c r="Y971" s="30"/>
      <c r="Z971" s="65"/>
      <c r="AA971" s="65"/>
      <c r="AB971" s="65"/>
      <c r="AC971" s="30"/>
      <c r="AD971" s="65"/>
      <c r="AE971" s="65"/>
      <c r="AF971" s="65"/>
      <c r="AG971" s="147"/>
      <c r="AH971" s="148"/>
      <c r="AI971" s="149"/>
      <c r="AJ971" s="71"/>
      <c r="AK971" s="147"/>
      <c r="AL971" s="150"/>
      <c r="AM971" s="149"/>
      <c r="AN971" s="71"/>
      <c r="AO971" s="65"/>
    </row>
    <row r="972">
      <c r="A972" s="30"/>
      <c r="B972" s="65"/>
      <c r="C972" s="65"/>
      <c r="D972" s="65"/>
      <c r="E972" s="30"/>
      <c r="F972" s="65"/>
      <c r="G972" s="65"/>
      <c r="H972" s="65"/>
      <c r="I972" s="30"/>
      <c r="J972" s="65"/>
      <c r="K972" s="65"/>
      <c r="L972" s="65"/>
      <c r="M972" s="30"/>
      <c r="N972" s="65"/>
      <c r="O972" s="65"/>
      <c r="P972" s="65"/>
      <c r="Q972" s="30"/>
      <c r="R972" s="65"/>
      <c r="S972" s="65"/>
      <c r="T972" s="65"/>
      <c r="U972" s="30"/>
      <c r="V972" s="65"/>
      <c r="W972" s="65"/>
      <c r="X972" s="65"/>
      <c r="Y972" s="30"/>
      <c r="Z972" s="65"/>
      <c r="AA972" s="65"/>
      <c r="AB972" s="65"/>
      <c r="AC972" s="30"/>
      <c r="AD972" s="65"/>
      <c r="AE972" s="65"/>
      <c r="AF972" s="65"/>
      <c r="AG972" s="147"/>
      <c r="AH972" s="148"/>
      <c r="AI972" s="149"/>
      <c r="AJ972" s="71"/>
      <c r="AK972" s="147"/>
      <c r="AL972" s="150"/>
      <c r="AM972" s="149"/>
      <c r="AN972" s="71"/>
      <c r="AO972" s="65"/>
    </row>
    <row r="973">
      <c r="A973" s="30"/>
      <c r="B973" s="65"/>
      <c r="C973" s="65"/>
      <c r="D973" s="65"/>
      <c r="E973" s="30"/>
      <c r="F973" s="65"/>
      <c r="G973" s="65"/>
      <c r="H973" s="65"/>
      <c r="I973" s="30"/>
      <c r="J973" s="65"/>
      <c r="K973" s="65"/>
      <c r="L973" s="65"/>
      <c r="M973" s="30"/>
      <c r="N973" s="65"/>
      <c r="O973" s="65"/>
      <c r="P973" s="65"/>
      <c r="Q973" s="30"/>
      <c r="R973" s="65"/>
      <c r="S973" s="65"/>
      <c r="T973" s="65"/>
      <c r="U973" s="30"/>
      <c r="V973" s="65"/>
      <c r="W973" s="65"/>
      <c r="X973" s="65"/>
      <c r="Y973" s="30"/>
      <c r="Z973" s="65"/>
      <c r="AA973" s="65"/>
      <c r="AB973" s="65"/>
      <c r="AC973" s="30"/>
      <c r="AD973" s="65"/>
      <c r="AE973" s="65"/>
      <c r="AF973" s="65"/>
      <c r="AG973" s="147"/>
      <c r="AH973" s="148"/>
      <c r="AI973" s="149"/>
      <c r="AJ973" s="71"/>
      <c r="AK973" s="147"/>
      <c r="AL973" s="150"/>
      <c r="AM973" s="149"/>
      <c r="AN973" s="71"/>
      <c r="AO973" s="65"/>
    </row>
    <row r="974">
      <c r="A974" s="30"/>
      <c r="B974" s="65"/>
      <c r="C974" s="65"/>
      <c r="D974" s="65"/>
      <c r="E974" s="30"/>
      <c r="F974" s="65"/>
      <c r="G974" s="65"/>
      <c r="H974" s="65"/>
      <c r="I974" s="30"/>
      <c r="J974" s="65"/>
      <c r="K974" s="65"/>
      <c r="L974" s="65"/>
      <c r="M974" s="30"/>
      <c r="N974" s="65"/>
      <c r="O974" s="65"/>
      <c r="P974" s="65"/>
      <c r="Q974" s="30"/>
      <c r="R974" s="65"/>
      <c r="S974" s="65"/>
      <c r="T974" s="65"/>
      <c r="U974" s="30"/>
      <c r="V974" s="65"/>
      <c r="W974" s="65"/>
      <c r="X974" s="65"/>
      <c r="Y974" s="30"/>
      <c r="Z974" s="65"/>
      <c r="AA974" s="65"/>
      <c r="AB974" s="65"/>
      <c r="AC974" s="30"/>
      <c r="AD974" s="65"/>
      <c r="AE974" s="65"/>
      <c r="AF974" s="65"/>
      <c r="AG974" s="147"/>
      <c r="AH974" s="148"/>
      <c r="AI974" s="149"/>
      <c r="AJ974" s="71"/>
      <c r="AK974" s="147"/>
      <c r="AL974" s="150"/>
      <c r="AM974" s="149"/>
      <c r="AN974" s="71"/>
      <c r="AO974" s="65"/>
    </row>
    <row r="975">
      <c r="A975" s="30"/>
      <c r="B975" s="65"/>
      <c r="C975" s="65"/>
      <c r="D975" s="65"/>
      <c r="E975" s="30"/>
      <c r="F975" s="65"/>
      <c r="G975" s="65"/>
      <c r="H975" s="65"/>
      <c r="I975" s="30"/>
      <c r="J975" s="65"/>
      <c r="K975" s="65"/>
      <c r="L975" s="65"/>
      <c r="M975" s="30"/>
      <c r="N975" s="65"/>
      <c r="O975" s="65"/>
      <c r="P975" s="65"/>
      <c r="Q975" s="30"/>
      <c r="R975" s="65"/>
      <c r="S975" s="65"/>
      <c r="T975" s="65"/>
      <c r="U975" s="30"/>
      <c r="V975" s="65"/>
      <c r="W975" s="65"/>
      <c r="X975" s="65"/>
      <c r="Y975" s="30"/>
      <c r="Z975" s="65"/>
      <c r="AA975" s="65"/>
      <c r="AB975" s="65"/>
      <c r="AC975" s="30"/>
      <c r="AD975" s="65"/>
      <c r="AE975" s="65"/>
      <c r="AF975" s="65"/>
      <c r="AG975" s="147"/>
      <c r="AH975" s="148"/>
      <c r="AI975" s="149"/>
      <c r="AJ975" s="71"/>
      <c r="AK975" s="147"/>
      <c r="AL975" s="150"/>
      <c r="AM975" s="149"/>
      <c r="AN975" s="71"/>
      <c r="AO975" s="65"/>
    </row>
    <row r="976">
      <c r="A976" s="30"/>
      <c r="B976" s="65"/>
      <c r="C976" s="65"/>
      <c r="D976" s="65"/>
      <c r="E976" s="30"/>
      <c r="F976" s="65"/>
      <c r="G976" s="65"/>
      <c r="H976" s="65"/>
      <c r="I976" s="30"/>
      <c r="J976" s="65"/>
      <c r="K976" s="65"/>
      <c r="L976" s="65"/>
      <c r="M976" s="30"/>
      <c r="N976" s="65"/>
      <c r="O976" s="65"/>
      <c r="P976" s="65"/>
      <c r="Q976" s="30"/>
      <c r="R976" s="65"/>
      <c r="S976" s="65"/>
      <c r="T976" s="65"/>
      <c r="U976" s="30"/>
      <c r="V976" s="65"/>
      <c r="W976" s="65"/>
      <c r="X976" s="65"/>
      <c r="Y976" s="30"/>
      <c r="Z976" s="65"/>
      <c r="AA976" s="65"/>
      <c r="AB976" s="65"/>
      <c r="AC976" s="30"/>
      <c r="AD976" s="65"/>
      <c r="AE976" s="65"/>
      <c r="AF976" s="65"/>
      <c r="AG976" s="147"/>
      <c r="AH976" s="148"/>
      <c r="AI976" s="149"/>
      <c r="AJ976" s="71"/>
      <c r="AK976" s="147"/>
      <c r="AL976" s="150"/>
      <c r="AM976" s="149"/>
      <c r="AN976" s="71"/>
      <c r="AO976" s="65"/>
    </row>
    <row r="977">
      <c r="A977" s="30"/>
      <c r="B977" s="65"/>
      <c r="C977" s="65"/>
      <c r="D977" s="65"/>
      <c r="E977" s="30"/>
      <c r="F977" s="65"/>
      <c r="G977" s="65"/>
      <c r="H977" s="65"/>
      <c r="I977" s="30"/>
      <c r="J977" s="65"/>
      <c r="K977" s="65"/>
      <c r="L977" s="65"/>
      <c r="M977" s="30"/>
      <c r="N977" s="65"/>
      <c r="O977" s="65"/>
      <c r="P977" s="65"/>
      <c r="Q977" s="30"/>
      <c r="R977" s="65"/>
      <c r="S977" s="65"/>
      <c r="T977" s="65"/>
      <c r="U977" s="30"/>
      <c r="V977" s="65"/>
      <c r="W977" s="65"/>
      <c r="X977" s="65"/>
      <c r="Y977" s="30"/>
      <c r="Z977" s="65"/>
      <c r="AA977" s="65"/>
      <c r="AB977" s="65"/>
      <c r="AC977" s="30"/>
      <c r="AD977" s="65"/>
      <c r="AE977" s="65"/>
      <c r="AF977" s="65"/>
      <c r="AG977" s="147"/>
      <c r="AH977" s="148"/>
      <c r="AI977" s="149"/>
      <c r="AJ977" s="71"/>
      <c r="AK977" s="147"/>
      <c r="AL977" s="150"/>
      <c r="AM977" s="149"/>
      <c r="AN977" s="71"/>
      <c r="AO977" s="65"/>
    </row>
    <row r="978">
      <c r="A978" s="30"/>
      <c r="B978" s="65"/>
      <c r="C978" s="65"/>
      <c r="D978" s="65"/>
      <c r="E978" s="30"/>
      <c r="F978" s="65"/>
      <c r="G978" s="65"/>
      <c r="H978" s="65"/>
      <c r="I978" s="30"/>
      <c r="J978" s="65"/>
      <c r="K978" s="65"/>
      <c r="L978" s="65"/>
      <c r="M978" s="30"/>
      <c r="N978" s="65"/>
      <c r="O978" s="65"/>
      <c r="P978" s="65"/>
      <c r="Q978" s="30"/>
      <c r="R978" s="65"/>
      <c r="S978" s="65"/>
      <c r="T978" s="65"/>
      <c r="U978" s="30"/>
      <c r="V978" s="65"/>
      <c r="W978" s="65"/>
      <c r="X978" s="65"/>
      <c r="Y978" s="30"/>
      <c r="Z978" s="65"/>
      <c r="AA978" s="65"/>
      <c r="AB978" s="65"/>
      <c r="AC978" s="30"/>
      <c r="AD978" s="65"/>
      <c r="AE978" s="65"/>
      <c r="AF978" s="65"/>
      <c r="AG978" s="147"/>
      <c r="AH978" s="148"/>
      <c r="AI978" s="149"/>
      <c r="AJ978" s="71"/>
      <c r="AK978" s="147"/>
      <c r="AL978" s="150"/>
      <c r="AM978" s="149"/>
      <c r="AN978" s="71"/>
      <c r="AO978" s="65"/>
    </row>
    <row r="979">
      <c r="A979" s="30"/>
      <c r="B979" s="65"/>
      <c r="C979" s="65"/>
      <c r="D979" s="65"/>
      <c r="E979" s="30"/>
      <c r="F979" s="65"/>
      <c r="G979" s="65"/>
      <c r="H979" s="65"/>
      <c r="I979" s="30"/>
      <c r="J979" s="65"/>
      <c r="K979" s="65"/>
      <c r="L979" s="65"/>
      <c r="M979" s="30"/>
      <c r="N979" s="65"/>
      <c r="O979" s="65"/>
      <c r="P979" s="65"/>
      <c r="Q979" s="30"/>
      <c r="R979" s="65"/>
      <c r="S979" s="65"/>
      <c r="T979" s="65"/>
      <c r="U979" s="30"/>
      <c r="V979" s="65"/>
      <c r="W979" s="65"/>
      <c r="X979" s="65"/>
      <c r="Y979" s="30"/>
      <c r="Z979" s="65"/>
      <c r="AA979" s="65"/>
      <c r="AB979" s="65"/>
      <c r="AC979" s="30"/>
      <c r="AD979" s="65"/>
      <c r="AE979" s="65"/>
      <c r="AF979" s="65"/>
      <c r="AG979" s="147"/>
      <c r="AH979" s="148"/>
      <c r="AI979" s="149"/>
      <c r="AJ979" s="71"/>
      <c r="AK979" s="147"/>
      <c r="AL979" s="150"/>
      <c r="AM979" s="149"/>
      <c r="AN979" s="71"/>
      <c r="AO979" s="65"/>
    </row>
    <row r="980">
      <c r="A980" s="30"/>
      <c r="B980" s="65"/>
      <c r="C980" s="65"/>
      <c r="D980" s="65"/>
      <c r="E980" s="30"/>
      <c r="F980" s="65"/>
      <c r="G980" s="65"/>
      <c r="H980" s="65"/>
      <c r="I980" s="30"/>
      <c r="J980" s="65"/>
      <c r="K980" s="65"/>
      <c r="L980" s="65"/>
      <c r="M980" s="30"/>
      <c r="N980" s="65"/>
      <c r="O980" s="65"/>
      <c r="P980" s="65"/>
      <c r="Q980" s="30"/>
      <c r="R980" s="65"/>
      <c r="S980" s="65"/>
      <c r="T980" s="65"/>
      <c r="U980" s="30"/>
      <c r="V980" s="65"/>
      <c r="W980" s="65"/>
      <c r="X980" s="65"/>
      <c r="Y980" s="30"/>
      <c r="Z980" s="65"/>
      <c r="AA980" s="65"/>
      <c r="AB980" s="65"/>
      <c r="AC980" s="30"/>
      <c r="AD980" s="65"/>
      <c r="AE980" s="65"/>
      <c r="AF980" s="65"/>
      <c r="AG980" s="147"/>
      <c r="AH980" s="148"/>
      <c r="AI980" s="149"/>
      <c r="AJ980" s="71"/>
      <c r="AK980" s="147"/>
      <c r="AL980" s="150"/>
      <c r="AM980" s="149"/>
      <c r="AN980" s="71"/>
      <c r="AO980" s="65"/>
    </row>
    <row r="981">
      <c r="A981" s="30"/>
      <c r="B981" s="65"/>
      <c r="C981" s="65"/>
      <c r="D981" s="65"/>
      <c r="E981" s="30"/>
      <c r="F981" s="65"/>
      <c r="G981" s="65"/>
      <c r="H981" s="65"/>
      <c r="I981" s="30"/>
      <c r="J981" s="65"/>
      <c r="K981" s="65"/>
      <c r="L981" s="65"/>
      <c r="M981" s="30"/>
      <c r="N981" s="65"/>
      <c r="O981" s="65"/>
      <c r="P981" s="65"/>
      <c r="Q981" s="30"/>
      <c r="R981" s="65"/>
      <c r="S981" s="65"/>
      <c r="T981" s="65"/>
      <c r="U981" s="30"/>
      <c r="V981" s="65"/>
      <c r="W981" s="65"/>
      <c r="X981" s="65"/>
      <c r="Y981" s="30"/>
      <c r="Z981" s="65"/>
      <c r="AA981" s="65"/>
      <c r="AB981" s="65"/>
      <c r="AC981" s="30"/>
      <c r="AD981" s="65"/>
      <c r="AE981" s="65"/>
      <c r="AF981" s="65"/>
      <c r="AG981" s="147"/>
      <c r="AH981" s="148"/>
      <c r="AI981" s="149"/>
      <c r="AJ981" s="71"/>
      <c r="AK981" s="147"/>
      <c r="AL981" s="150"/>
      <c r="AM981" s="149"/>
      <c r="AN981" s="71"/>
      <c r="AO981" s="65"/>
    </row>
    <row r="982">
      <c r="A982" s="30"/>
      <c r="B982" s="65"/>
      <c r="C982" s="65"/>
      <c r="D982" s="65"/>
      <c r="E982" s="30"/>
      <c r="F982" s="65"/>
      <c r="G982" s="65"/>
      <c r="H982" s="65"/>
      <c r="I982" s="30"/>
      <c r="J982" s="65"/>
      <c r="K982" s="65"/>
      <c r="L982" s="65"/>
      <c r="M982" s="30"/>
      <c r="N982" s="65"/>
      <c r="O982" s="65"/>
      <c r="P982" s="65"/>
      <c r="Q982" s="30"/>
      <c r="R982" s="65"/>
      <c r="S982" s="65"/>
      <c r="T982" s="65"/>
      <c r="U982" s="30"/>
      <c r="V982" s="65"/>
      <c r="W982" s="65"/>
      <c r="X982" s="65"/>
      <c r="Y982" s="30"/>
      <c r="Z982" s="65"/>
      <c r="AA982" s="65"/>
      <c r="AB982" s="65"/>
      <c r="AC982" s="30"/>
      <c r="AD982" s="65"/>
      <c r="AE982" s="65"/>
      <c r="AF982" s="65"/>
      <c r="AG982" s="147"/>
      <c r="AH982" s="148"/>
      <c r="AI982" s="149"/>
      <c r="AJ982" s="71"/>
      <c r="AK982" s="147"/>
      <c r="AL982" s="150"/>
      <c r="AM982" s="149"/>
      <c r="AN982" s="71"/>
      <c r="AO982" s="65"/>
    </row>
    <row r="983">
      <c r="A983" s="30"/>
      <c r="B983" s="65"/>
      <c r="C983" s="65"/>
      <c r="D983" s="65"/>
      <c r="E983" s="30"/>
      <c r="F983" s="65"/>
      <c r="G983" s="65"/>
      <c r="H983" s="65"/>
      <c r="I983" s="30"/>
      <c r="J983" s="65"/>
      <c r="K983" s="65"/>
      <c r="L983" s="65"/>
      <c r="M983" s="30"/>
      <c r="N983" s="65"/>
      <c r="O983" s="65"/>
      <c r="P983" s="65"/>
      <c r="Q983" s="30"/>
      <c r="R983" s="65"/>
      <c r="S983" s="65"/>
      <c r="T983" s="65"/>
      <c r="U983" s="30"/>
      <c r="V983" s="65"/>
      <c r="W983" s="65"/>
      <c r="X983" s="65"/>
      <c r="Y983" s="30"/>
      <c r="Z983" s="65"/>
      <c r="AA983" s="65"/>
      <c r="AB983" s="65"/>
      <c r="AC983" s="30"/>
      <c r="AD983" s="65"/>
      <c r="AE983" s="65"/>
      <c r="AF983" s="65"/>
      <c r="AG983" s="147"/>
      <c r="AH983" s="148"/>
      <c r="AI983" s="149"/>
      <c r="AJ983" s="71"/>
      <c r="AK983" s="147"/>
      <c r="AL983" s="150"/>
      <c r="AM983" s="149"/>
      <c r="AN983" s="71"/>
      <c r="AO983" s="65"/>
    </row>
    <row r="984">
      <c r="A984" s="30"/>
      <c r="B984" s="65"/>
      <c r="C984" s="65"/>
      <c r="D984" s="65"/>
      <c r="E984" s="30"/>
      <c r="F984" s="65"/>
      <c r="G984" s="65"/>
      <c r="H984" s="65"/>
      <c r="I984" s="30"/>
      <c r="J984" s="65"/>
      <c r="K984" s="65"/>
      <c r="L984" s="65"/>
      <c r="M984" s="30"/>
      <c r="N984" s="65"/>
      <c r="O984" s="65"/>
      <c r="P984" s="65"/>
      <c r="Q984" s="30"/>
      <c r="R984" s="65"/>
      <c r="S984" s="65"/>
      <c r="T984" s="65"/>
      <c r="U984" s="30"/>
      <c r="V984" s="65"/>
      <c r="W984" s="65"/>
      <c r="X984" s="65"/>
      <c r="Y984" s="30"/>
      <c r="Z984" s="65"/>
      <c r="AA984" s="65"/>
      <c r="AB984" s="65"/>
      <c r="AC984" s="30"/>
      <c r="AD984" s="65"/>
      <c r="AE984" s="65"/>
      <c r="AF984" s="65"/>
      <c r="AG984" s="147"/>
      <c r="AH984" s="148"/>
      <c r="AI984" s="149"/>
      <c r="AJ984" s="71"/>
      <c r="AK984" s="147"/>
      <c r="AL984" s="150"/>
      <c r="AM984" s="149"/>
      <c r="AN984" s="71"/>
      <c r="AO984" s="65"/>
    </row>
    <row r="985">
      <c r="A985" s="30"/>
      <c r="B985" s="65"/>
      <c r="C985" s="65"/>
      <c r="D985" s="65"/>
      <c r="E985" s="30"/>
      <c r="F985" s="65"/>
      <c r="G985" s="65"/>
      <c r="H985" s="65"/>
      <c r="I985" s="30"/>
      <c r="J985" s="65"/>
      <c r="K985" s="65"/>
      <c r="L985" s="65"/>
      <c r="M985" s="30"/>
      <c r="N985" s="65"/>
      <c r="O985" s="65"/>
      <c r="P985" s="65"/>
      <c r="Q985" s="30"/>
      <c r="R985" s="65"/>
      <c r="S985" s="65"/>
      <c r="T985" s="65"/>
      <c r="U985" s="30"/>
      <c r="V985" s="65"/>
      <c r="W985" s="65"/>
      <c r="X985" s="65"/>
      <c r="Y985" s="30"/>
      <c r="Z985" s="65"/>
      <c r="AA985" s="65"/>
      <c r="AB985" s="65"/>
      <c r="AC985" s="30"/>
      <c r="AD985" s="65"/>
      <c r="AE985" s="65"/>
      <c r="AF985" s="65"/>
      <c r="AG985" s="147"/>
      <c r="AH985" s="148"/>
      <c r="AI985" s="149"/>
      <c r="AJ985" s="71"/>
      <c r="AK985" s="147"/>
      <c r="AL985" s="150"/>
      <c r="AM985" s="149"/>
      <c r="AN985" s="71"/>
      <c r="AO985" s="65"/>
    </row>
    <row r="986">
      <c r="A986" s="30"/>
      <c r="B986" s="65"/>
      <c r="C986" s="65"/>
      <c r="D986" s="65"/>
      <c r="E986" s="30"/>
      <c r="F986" s="65"/>
      <c r="G986" s="65"/>
      <c r="H986" s="65"/>
      <c r="I986" s="30"/>
      <c r="J986" s="65"/>
      <c r="K986" s="65"/>
      <c r="L986" s="65"/>
      <c r="M986" s="30"/>
      <c r="N986" s="65"/>
      <c r="O986" s="65"/>
      <c r="P986" s="65"/>
      <c r="Q986" s="30"/>
      <c r="R986" s="65"/>
      <c r="S986" s="65"/>
      <c r="T986" s="65"/>
      <c r="U986" s="30"/>
      <c r="V986" s="65"/>
      <c r="W986" s="65"/>
      <c r="X986" s="65"/>
      <c r="Y986" s="30"/>
      <c r="Z986" s="65"/>
      <c r="AA986" s="65"/>
      <c r="AB986" s="65"/>
      <c r="AC986" s="30"/>
      <c r="AD986" s="65"/>
      <c r="AE986" s="65"/>
      <c r="AF986" s="65"/>
      <c r="AG986" s="147"/>
      <c r="AH986" s="148"/>
      <c r="AI986" s="149"/>
      <c r="AJ986" s="71"/>
      <c r="AK986" s="147"/>
      <c r="AL986" s="150"/>
      <c r="AM986" s="149"/>
      <c r="AN986" s="71"/>
      <c r="AO986" s="65"/>
    </row>
    <row r="987">
      <c r="A987" s="30"/>
      <c r="B987" s="65"/>
      <c r="C987" s="65"/>
      <c r="D987" s="65"/>
      <c r="E987" s="30"/>
      <c r="F987" s="65"/>
      <c r="G987" s="65"/>
      <c r="H987" s="65"/>
      <c r="I987" s="30"/>
      <c r="J987" s="65"/>
      <c r="K987" s="65"/>
      <c r="L987" s="65"/>
      <c r="M987" s="30"/>
      <c r="N987" s="65"/>
      <c r="O987" s="65"/>
      <c r="P987" s="65"/>
      <c r="Q987" s="30"/>
      <c r="R987" s="65"/>
      <c r="S987" s="65"/>
      <c r="T987" s="65"/>
      <c r="U987" s="30"/>
      <c r="V987" s="65"/>
      <c r="W987" s="65"/>
      <c r="X987" s="65"/>
      <c r="Y987" s="30"/>
      <c r="Z987" s="65"/>
      <c r="AA987" s="65"/>
      <c r="AB987" s="65"/>
      <c r="AC987" s="30"/>
      <c r="AD987" s="65"/>
      <c r="AE987" s="65"/>
      <c r="AF987" s="65"/>
      <c r="AG987" s="147"/>
      <c r="AH987" s="148"/>
      <c r="AI987" s="149"/>
      <c r="AJ987" s="71"/>
      <c r="AK987" s="147"/>
      <c r="AL987" s="150"/>
      <c r="AM987" s="149"/>
      <c r="AN987" s="71"/>
      <c r="AO987" s="65"/>
    </row>
    <row r="988">
      <c r="A988" s="30"/>
      <c r="B988" s="65"/>
      <c r="C988" s="65"/>
      <c r="D988" s="65"/>
      <c r="E988" s="30"/>
      <c r="F988" s="65"/>
      <c r="G988" s="65"/>
      <c r="H988" s="65"/>
      <c r="I988" s="30"/>
      <c r="J988" s="65"/>
      <c r="K988" s="65"/>
      <c r="L988" s="65"/>
      <c r="M988" s="30"/>
      <c r="N988" s="65"/>
      <c r="O988" s="65"/>
      <c r="P988" s="65"/>
      <c r="Q988" s="30"/>
      <c r="R988" s="65"/>
      <c r="S988" s="65"/>
      <c r="T988" s="65"/>
      <c r="U988" s="30"/>
      <c r="V988" s="65"/>
      <c r="W988" s="65"/>
      <c r="X988" s="65"/>
      <c r="Y988" s="30"/>
      <c r="Z988" s="65"/>
      <c r="AA988" s="65"/>
      <c r="AB988" s="65"/>
      <c r="AC988" s="30"/>
      <c r="AD988" s="65"/>
      <c r="AE988" s="65"/>
      <c r="AF988" s="65"/>
      <c r="AG988" s="147"/>
      <c r="AH988" s="148"/>
      <c r="AI988" s="149"/>
      <c r="AJ988" s="71"/>
      <c r="AK988" s="147"/>
      <c r="AL988" s="150"/>
      <c r="AM988" s="149"/>
      <c r="AN988" s="71"/>
      <c r="AO988" s="65"/>
    </row>
    <row r="989">
      <c r="A989" s="30"/>
      <c r="B989" s="65"/>
      <c r="C989" s="65"/>
      <c r="D989" s="65"/>
      <c r="E989" s="30"/>
      <c r="F989" s="65"/>
      <c r="G989" s="65"/>
      <c r="H989" s="65"/>
      <c r="I989" s="30"/>
      <c r="J989" s="65"/>
      <c r="K989" s="65"/>
      <c r="L989" s="65"/>
      <c r="M989" s="30"/>
      <c r="N989" s="65"/>
      <c r="O989" s="65"/>
      <c r="P989" s="65"/>
      <c r="Q989" s="30"/>
      <c r="R989" s="65"/>
      <c r="S989" s="65"/>
      <c r="T989" s="65"/>
      <c r="U989" s="30"/>
      <c r="V989" s="65"/>
      <c r="W989" s="65"/>
      <c r="X989" s="65"/>
      <c r="Y989" s="30"/>
      <c r="Z989" s="65"/>
      <c r="AA989" s="65"/>
      <c r="AB989" s="65"/>
      <c r="AC989" s="30"/>
      <c r="AD989" s="65"/>
      <c r="AE989" s="65"/>
      <c r="AF989" s="65"/>
      <c r="AG989" s="147"/>
      <c r="AH989" s="148"/>
      <c r="AI989" s="149"/>
      <c r="AJ989" s="71"/>
      <c r="AK989" s="147"/>
      <c r="AL989" s="150"/>
      <c r="AM989" s="149"/>
      <c r="AN989" s="71"/>
      <c r="AO989" s="65"/>
    </row>
    <row r="990">
      <c r="A990" s="30"/>
      <c r="B990" s="65"/>
      <c r="C990" s="65"/>
      <c r="D990" s="65"/>
      <c r="E990" s="30"/>
      <c r="F990" s="65"/>
      <c r="G990" s="65"/>
      <c r="H990" s="65"/>
      <c r="I990" s="30"/>
      <c r="J990" s="65"/>
      <c r="K990" s="65"/>
      <c r="L990" s="65"/>
      <c r="M990" s="30"/>
      <c r="N990" s="65"/>
      <c r="O990" s="65"/>
      <c r="P990" s="65"/>
      <c r="Q990" s="30"/>
      <c r="R990" s="65"/>
      <c r="S990" s="65"/>
      <c r="T990" s="65"/>
      <c r="U990" s="30"/>
      <c r="V990" s="65"/>
      <c r="W990" s="65"/>
      <c r="X990" s="65"/>
      <c r="Y990" s="30"/>
      <c r="Z990" s="65"/>
      <c r="AA990" s="65"/>
      <c r="AB990" s="65"/>
      <c r="AC990" s="30"/>
      <c r="AD990" s="65"/>
      <c r="AE990" s="65"/>
      <c r="AF990" s="65"/>
      <c r="AG990" s="147"/>
      <c r="AH990" s="148"/>
      <c r="AI990" s="149"/>
      <c r="AJ990" s="71"/>
      <c r="AK990" s="147"/>
      <c r="AL990" s="150"/>
      <c r="AM990" s="149"/>
      <c r="AN990" s="71"/>
      <c r="AO990" s="65"/>
    </row>
    <row r="991">
      <c r="A991" s="30"/>
      <c r="B991" s="65"/>
      <c r="C991" s="65"/>
      <c r="D991" s="65"/>
      <c r="E991" s="30"/>
      <c r="F991" s="65"/>
      <c r="G991" s="65"/>
      <c r="H991" s="65"/>
      <c r="I991" s="30"/>
      <c r="J991" s="65"/>
      <c r="K991" s="65"/>
      <c r="L991" s="65"/>
      <c r="M991" s="30"/>
      <c r="N991" s="65"/>
      <c r="O991" s="65"/>
      <c r="P991" s="65"/>
      <c r="Q991" s="30"/>
      <c r="R991" s="65"/>
      <c r="S991" s="65"/>
      <c r="T991" s="65"/>
      <c r="U991" s="30"/>
      <c r="V991" s="65"/>
      <c r="W991" s="65"/>
      <c r="X991" s="65"/>
      <c r="Y991" s="30"/>
      <c r="Z991" s="65"/>
      <c r="AA991" s="65"/>
      <c r="AB991" s="65"/>
      <c r="AC991" s="30"/>
      <c r="AD991" s="65"/>
      <c r="AE991" s="65"/>
      <c r="AF991" s="65"/>
      <c r="AG991" s="147"/>
      <c r="AH991" s="148"/>
      <c r="AI991" s="149"/>
      <c r="AJ991" s="71"/>
      <c r="AK991" s="147"/>
      <c r="AL991" s="150"/>
      <c r="AM991" s="149"/>
      <c r="AN991" s="71"/>
      <c r="AO991" s="65"/>
    </row>
    <row r="992">
      <c r="A992" s="30"/>
      <c r="B992" s="65"/>
      <c r="C992" s="65"/>
      <c r="D992" s="65"/>
      <c r="E992" s="30"/>
      <c r="F992" s="65"/>
      <c r="G992" s="65"/>
      <c r="H992" s="65"/>
      <c r="I992" s="30"/>
      <c r="J992" s="65"/>
      <c r="K992" s="65"/>
      <c r="L992" s="65"/>
      <c r="M992" s="30"/>
      <c r="N992" s="65"/>
      <c r="O992" s="65"/>
      <c r="P992" s="65"/>
      <c r="Q992" s="30"/>
      <c r="R992" s="65"/>
      <c r="S992" s="65"/>
      <c r="T992" s="65"/>
      <c r="U992" s="30"/>
      <c r="V992" s="65"/>
      <c r="W992" s="65"/>
      <c r="X992" s="65"/>
      <c r="Y992" s="30"/>
      <c r="Z992" s="65"/>
      <c r="AA992" s="65"/>
      <c r="AB992" s="65"/>
      <c r="AC992" s="30"/>
      <c r="AD992" s="65"/>
      <c r="AE992" s="65"/>
      <c r="AF992" s="65"/>
      <c r="AG992" s="147"/>
      <c r="AH992" s="148"/>
      <c r="AI992" s="149"/>
      <c r="AJ992" s="71"/>
      <c r="AK992" s="147"/>
      <c r="AL992" s="150"/>
      <c r="AM992" s="149"/>
      <c r="AN992" s="71"/>
      <c r="AO992" s="65"/>
    </row>
    <row r="993">
      <c r="A993" s="30"/>
      <c r="B993" s="65"/>
      <c r="C993" s="65"/>
      <c r="D993" s="65"/>
      <c r="E993" s="30"/>
      <c r="F993" s="65"/>
      <c r="G993" s="65"/>
      <c r="H993" s="65"/>
      <c r="I993" s="30"/>
      <c r="J993" s="65"/>
      <c r="K993" s="65"/>
      <c r="L993" s="65"/>
      <c r="M993" s="30"/>
      <c r="N993" s="65"/>
      <c r="O993" s="65"/>
      <c r="P993" s="65"/>
      <c r="Q993" s="30"/>
      <c r="R993" s="65"/>
      <c r="S993" s="65"/>
      <c r="T993" s="65"/>
      <c r="U993" s="30"/>
      <c r="V993" s="65"/>
      <c r="W993" s="65"/>
      <c r="X993" s="65"/>
      <c r="Y993" s="30"/>
      <c r="Z993" s="65"/>
      <c r="AA993" s="65"/>
      <c r="AB993" s="65"/>
      <c r="AC993" s="30"/>
      <c r="AD993" s="65"/>
      <c r="AE993" s="65"/>
      <c r="AF993" s="65"/>
      <c r="AG993" s="147"/>
      <c r="AH993" s="148"/>
      <c r="AI993" s="149"/>
      <c r="AJ993" s="71"/>
      <c r="AK993" s="147"/>
      <c r="AL993" s="150"/>
      <c r="AM993" s="149"/>
      <c r="AN993" s="71"/>
      <c r="AO993" s="65"/>
    </row>
    <row r="994">
      <c r="A994" s="30"/>
      <c r="B994" s="65"/>
      <c r="C994" s="65"/>
      <c r="D994" s="65"/>
      <c r="E994" s="30"/>
      <c r="F994" s="65"/>
      <c r="G994" s="65"/>
      <c r="H994" s="65"/>
      <c r="I994" s="30"/>
      <c r="J994" s="65"/>
      <c r="K994" s="65"/>
      <c r="L994" s="65"/>
      <c r="M994" s="30"/>
      <c r="N994" s="65"/>
      <c r="O994" s="65"/>
      <c r="P994" s="65"/>
      <c r="Q994" s="30"/>
      <c r="R994" s="65"/>
      <c r="S994" s="65"/>
      <c r="T994" s="65"/>
      <c r="U994" s="30"/>
      <c r="V994" s="65"/>
      <c r="W994" s="65"/>
      <c r="X994" s="65"/>
      <c r="Y994" s="30"/>
      <c r="Z994" s="65"/>
      <c r="AA994" s="65"/>
      <c r="AB994" s="65"/>
      <c r="AC994" s="30"/>
      <c r="AD994" s="65"/>
      <c r="AE994" s="65"/>
      <c r="AF994" s="65"/>
      <c r="AG994" s="147"/>
      <c r="AH994" s="148"/>
      <c r="AI994" s="149"/>
      <c r="AJ994" s="71"/>
      <c r="AK994" s="147"/>
      <c r="AL994" s="150"/>
      <c r="AM994" s="149"/>
      <c r="AN994" s="71"/>
      <c r="AO994" s="65"/>
    </row>
    <row r="995">
      <c r="A995" s="30"/>
      <c r="B995" s="65"/>
      <c r="C995" s="65"/>
      <c r="D995" s="65"/>
      <c r="E995" s="30"/>
      <c r="F995" s="65"/>
      <c r="G995" s="65"/>
      <c r="H995" s="65"/>
      <c r="I995" s="30"/>
      <c r="J995" s="65"/>
      <c r="K995" s="65"/>
      <c r="L995" s="65"/>
      <c r="M995" s="30"/>
      <c r="N995" s="65"/>
      <c r="O995" s="65"/>
      <c r="P995" s="65"/>
      <c r="Q995" s="30"/>
      <c r="R995" s="65"/>
      <c r="S995" s="65"/>
      <c r="T995" s="65"/>
      <c r="U995" s="30"/>
      <c r="V995" s="65"/>
      <c r="W995" s="65"/>
      <c r="X995" s="65"/>
      <c r="Y995" s="30"/>
      <c r="Z995" s="65"/>
      <c r="AA995" s="65"/>
      <c r="AB995" s="65"/>
      <c r="AC995" s="30"/>
      <c r="AD995" s="65"/>
      <c r="AE995" s="65"/>
      <c r="AF995" s="65"/>
      <c r="AG995" s="147"/>
      <c r="AH995" s="148"/>
      <c r="AI995" s="149"/>
      <c r="AJ995" s="71"/>
      <c r="AK995" s="147"/>
      <c r="AL995" s="150"/>
      <c r="AM995" s="149"/>
      <c r="AN995" s="71"/>
      <c r="AO995" s="65"/>
    </row>
    <row r="996">
      <c r="A996" s="30"/>
      <c r="B996" s="65"/>
      <c r="C996" s="65"/>
      <c r="D996" s="65"/>
      <c r="E996" s="30"/>
      <c r="F996" s="65"/>
      <c r="G996" s="65"/>
      <c r="H996" s="65"/>
      <c r="I996" s="30"/>
      <c r="J996" s="65"/>
      <c r="K996" s="65"/>
      <c r="L996" s="65"/>
      <c r="M996" s="30"/>
      <c r="N996" s="65"/>
      <c r="O996" s="65"/>
      <c r="P996" s="65"/>
      <c r="Q996" s="30"/>
      <c r="R996" s="65"/>
      <c r="S996" s="65"/>
      <c r="T996" s="65"/>
      <c r="U996" s="30"/>
      <c r="V996" s="65"/>
      <c r="W996" s="65"/>
      <c r="X996" s="65"/>
      <c r="Y996" s="30"/>
      <c r="Z996" s="65"/>
      <c r="AA996" s="65"/>
      <c r="AB996" s="65"/>
      <c r="AC996" s="30"/>
      <c r="AD996" s="65"/>
      <c r="AE996" s="65"/>
      <c r="AF996" s="65"/>
      <c r="AG996" s="147"/>
      <c r="AH996" s="148"/>
      <c r="AI996" s="149"/>
      <c r="AJ996" s="71"/>
      <c r="AK996" s="147"/>
      <c r="AL996" s="150"/>
      <c r="AM996" s="149"/>
      <c r="AN996" s="71"/>
      <c r="AO996" s="65"/>
    </row>
    <row r="997">
      <c r="A997" s="30"/>
      <c r="B997" s="65"/>
      <c r="C997" s="65"/>
      <c r="D997" s="65"/>
      <c r="E997" s="30"/>
      <c r="F997" s="65"/>
      <c r="G997" s="65"/>
      <c r="H997" s="65"/>
      <c r="I997" s="30"/>
      <c r="J997" s="65"/>
      <c r="K997" s="65"/>
      <c r="L997" s="65"/>
      <c r="M997" s="30"/>
      <c r="N997" s="65"/>
      <c r="O997" s="65"/>
      <c r="P997" s="65"/>
      <c r="Q997" s="30"/>
      <c r="R997" s="65"/>
      <c r="S997" s="65"/>
      <c r="T997" s="65"/>
      <c r="U997" s="30"/>
      <c r="V997" s="65"/>
      <c r="W997" s="65"/>
      <c r="X997" s="65"/>
      <c r="Y997" s="30"/>
      <c r="Z997" s="65"/>
      <c r="AA997" s="65"/>
      <c r="AB997" s="65"/>
      <c r="AC997" s="30"/>
      <c r="AD997" s="65"/>
      <c r="AE997" s="65"/>
      <c r="AF997" s="65"/>
      <c r="AG997" s="147"/>
      <c r="AH997" s="148"/>
      <c r="AI997" s="149"/>
      <c r="AJ997" s="71"/>
      <c r="AK997" s="147"/>
      <c r="AL997" s="150"/>
      <c r="AM997" s="149"/>
      <c r="AN997" s="71"/>
      <c r="AO997" s="65"/>
    </row>
    <row r="998">
      <c r="A998" s="30"/>
      <c r="B998" s="65"/>
      <c r="C998" s="65"/>
      <c r="D998" s="65"/>
      <c r="E998" s="30"/>
      <c r="F998" s="65"/>
      <c r="G998" s="65"/>
      <c r="H998" s="65"/>
      <c r="I998" s="30"/>
      <c r="J998" s="65"/>
      <c r="K998" s="65"/>
      <c r="L998" s="65"/>
      <c r="M998" s="30"/>
      <c r="N998" s="65"/>
      <c r="O998" s="65"/>
      <c r="P998" s="65"/>
      <c r="Q998" s="30"/>
      <c r="R998" s="65"/>
      <c r="S998" s="65"/>
      <c r="T998" s="65"/>
      <c r="U998" s="30"/>
      <c r="V998" s="65"/>
      <c r="W998" s="65"/>
      <c r="X998" s="65"/>
      <c r="Y998" s="30"/>
      <c r="Z998" s="65"/>
      <c r="AA998" s="65"/>
      <c r="AB998" s="65"/>
      <c r="AC998" s="30"/>
      <c r="AD998" s="65"/>
      <c r="AE998" s="65"/>
      <c r="AF998" s="65"/>
      <c r="AG998" s="147"/>
      <c r="AH998" s="148"/>
      <c r="AI998" s="149"/>
      <c r="AJ998" s="71"/>
      <c r="AK998" s="147"/>
      <c r="AL998" s="150"/>
      <c r="AM998" s="149"/>
      <c r="AN998" s="71"/>
      <c r="AO998" s="65"/>
    </row>
    <row r="999">
      <c r="A999" s="30"/>
      <c r="B999" s="65"/>
      <c r="C999" s="65"/>
      <c r="D999" s="65"/>
      <c r="E999" s="30"/>
      <c r="F999" s="65"/>
      <c r="G999" s="65"/>
      <c r="H999" s="65"/>
      <c r="I999" s="30"/>
      <c r="J999" s="65"/>
      <c r="K999" s="65"/>
      <c r="L999" s="65"/>
      <c r="M999" s="30"/>
      <c r="N999" s="65"/>
      <c r="O999" s="65"/>
      <c r="P999" s="65"/>
      <c r="Q999" s="30"/>
      <c r="R999" s="65"/>
      <c r="S999" s="65"/>
      <c r="T999" s="65"/>
      <c r="U999" s="30"/>
      <c r="V999" s="65"/>
      <c r="W999" s="65"/>
      <c r="X999" s="65"/>
      <c r="Y999" s="30"/>
      <c r="Z999" s="65"/>
      <c r="AA999" s="65"/>
      <c r="AB999" s="65"/>
      <c r="AC999" s="30"/>
      <c r="AD999" s="65"/>
      <c r="AE999" s="65"/>
      <c r="AF999" s="65"/>
      <c r="AG999" s="147"/>
      <c r="AH999" s="148"/>
      <c r="AI999" s="149"/>
      <c r="AJ999" s="71"/>
      <c r="AK999" s="147"/>
      <c r="AL999" s="150"/>
      <c r="AM999" s="149"/>
      <c r="AN999" s="71"/>
      <c r="AO999" s="65"/>
    </row>
    <row r="1000">
      <c r="A1000" s="30"/>
      <c r="B1000" s="65"/>
      <c r="C1000" s="65"/>
      <c r="D1000" s="65"/>
      <c r="E1000" s="30"/>
      <c r="F1000" s="65"/>
      <c r="G1000" s="65"/>
      <c r="H1000" s="65"/>
      <c r="I1000" s="30"/>
      <c r="J1000" s="65"/>
      <c r="K1000" s="65"/>
      <c r="L1000" s="65"/>
      <c r="M1000" s="30"/>
      <c r="N1000" s="65"/>
      <c r="O1000" s="65"/>
      <c r="P1000" s="65"/>
      <c r="Q1000" s="30"/>
      <c r="R1000" s="65"/>
      <c r="S1000" s="65"/>
      <c r="T1000" s="65"/>
      <c r="U1000" s="30"/>
      <c r="V1000" s="65"/>
      <c r="W1000" s="65"/>
      <c r="X1000" s="65"/>
      <c r="Y1000" s="30"/>
      <c r="Z1000" s="65"/>
      <c r="AA1000" s="65"/>
      <c r="AB1000" s="65"/>
      <c r="AC1000" s="30"/>
      <c r="AD1000" s="65"/>
      <c r="AE1000" s="65"/>
      <c r="AF1000" s="65"/>
      <c r="AG1000" s="147"/>
      <c r="AH1000" s="148"/>
      <c r="AI1000" s="149"/>
      <c r="AJ1000" s="71"/>
      <c r="AK1000" s="147"/>
      <c r="AL1000" s="150"/>
      <c r="AM1000" s="149"/>
      <c r="AN1000" s="71"/>
      <c r="AO1000" s="65"/>
    </row>
    <row r="1001">
      <c r="A1001" s="30"/>
      <c r="B1001" s="65"/>
      <c r="C1001" s="65"/>
      <c r="D1001" s="65"/>
      <c r="E1001" s="30"/>
      <c r="F1001" s="65"/>
      <c r="G1001" s="65"/>
      <c r="H1001" s="65"/>
      <c r="I1001" s="30"/>
      <c r="J1001" s="65"/>
      <c r="K1001" s="65"/>
      <c r="L1001" s="65"/>
      <c r="M1001" s="30"/>
      <c r="N1001" s="65"/>
      <c r="O1001" s="65"/>
      <c r="P1001" s="65"/>
      <c r="Q1001" s="30"/>
      <c r="R1001" s="65"/>
      <c r="S1001" s="65"/>
      <c r="T1001" s="65"/>
      <c r="U1001" s="30"/>
      <c r="V1001" s="65"/>
      <c r="W1001" s="65"/>
      <c r="X1001" s="65"/>
      <c r="Y1001" s="30"/>
      <c r="Z1001" s="65"/>
      <c r="AA1001" s="65"/>
      <c r="AB1001" s="65"/>
      <c r="AC1001" s="30"/>
      <c r="AD1001" s="65"/>
      <c r="AE1001" s="65"/>
      <c r="AF1001" s="65"/>
      <c r="AG1001" s="147"/>
      <c r="AH1001" s="148"/>
      <c r="AI1001" s="149"/>
      <c r="AJ1001" s="71"/>
      <c r="AK1001" s="147"/>
      <c r="AL1001" s="150"/>
      <c r="AM1001" s="149"/>
      <c r="AN1001" s="71"/>
      <c r="AO1001" s="65"/>
    </row>
    <row r="1002">
      <c r="A1002" s="30"/>
      <c r="B1002" s="65"/>
      <c r="C1002" s="65"/>
      <c r="D1002" s="65"/>
      <c r="E1002" s="30"/>
      <c r="F1002" s="65"/>
      <c r="G1002" s="65"/>
      <c r="H1002" s="65"/>
      <c r="I1002" s="30"/>
      <c r="J1002" s="65"/>
      <c r="K1002" s="65"/>
      <c r="L1002" s="65"/>
      <c r="M1002" s="30"/>
      <c r="N1002" s="65"/>
      <c r="O1002" s="65"/>
      <c r="P1002" s="65"/>
      <c r="Q1002" s="30"/>
      <c r="R1002" s="65"/>
      <c r="S1002" s="65"/>
      <c r="T1002" s="65"/>
      <c r="U1002" s="30"/>
      <c r="V1002" s="65"/>
      <c r="W1002" s="65"/>
      <c r="X1002" s="65"/>
      <c r="Y1002" s="30"/>
      <c r="Z1002" s="65"/>
      <c r="AA1002" s="65"/>
      <c r="AB1002" s="65"/>
      <c r="AC1002" s="30"/>
      <c r="AD1002" s="65"/>
      <c r="AE1002" s="65"/>
      <c r="AF1002" s="65"/>
      <c r="AG1002" s="147"/>
      <c r="AH1002" s="148"/>
      <c r="AI1002" s="149"/>
      <c r="AJ1002" s="71"/>
      <c r="AK1002" s="147"/>
      <c r="AL1002" s="150"/>
      <c r="AM1002" s="149"/>
      <c r="AN1002" s="71"/>
      <c r="AO1002" s="65"/>
    </row>
    <row r="1003">
      <c r="A1003" s="137"/>
      <c r="B1003" s="102"/>
      <c r="C1003" s="103"/>
      <c r="D1003" s="71"/>
      <c r="E1003" s="137"/>
      <c r="F1003" s="102"/>
      <c r="G1003" s="103"/>
      <c r="H1003" s="71"/>
      <c r="I1003" s="137"/>
      <c r="J1003" s="102"/>
      <c r="K1003" s="103"/>
      <c r="L1003" s="71"/>
      <c r="M1003" s="137"/>
      <c r="N1003" s="102"/>
      <c r="O1003" s="103"/>
      <c r="P1003" s="71"/>
      <c r="Q1003" s="30"/>
      <c r="R1003" s="65"/>
      <c r="S1003" s="65"/>
      <c r="T1003" s="65"/>
      <c r="U1003" s="30"/>
      <c r="V1003" s="65"/>
      <c r="W1003" s="65"/>
      <c r="X1003" s="65"/>
      <c r="Y1003" s="137"/>
      <c r="Z1003" s="151"/>
      <c r="AA1003" s="151"/>
      <c r="AB1003" s="151"/>
      <c r="AC1003" s="137"/>
      <c r="AD1003" s="65"/>
      <c r="AE1003" s="152"/>
      <c r="AF1003" s="152"/>
      <c r="AG1003" s="147"/>
      <c r="AH1003" s="148"/>
      <c r="AI1003" s="149"/>
      <c r="AJ1003" s="71"/>
      <c r="AK1003" s="147"/>
      <c r="AL1003" s="150"/>
      <c r="AM1003" s="149"/>
      <c r="AN1003" s="71"/>
      <c r="AO1003" s="71"/>
    </row>
    <row r="1004">
      <c r="A1004" s="137"/>
      <c r="B1004" s="102"/>
      <c r="C1004" s="103"/>
      <c r="D1004" s="71"/>
      <c r="E1004" s="137"/>
      <c r="F1004" s="102"/>
      <c r="G1004" s="103"/>
      <c r="H1004" s="71"/>
      <c r="I1004" s="137"/>
      <c r="J1004" s="102"/>
      <c r="K1004" s="103"/>
      <c r="L1004" s="71"/>
      <c r="M1004" s="137"/>
      <c r="N1004" s="102"/>
      <c r="O1004" s="103"/>
      <c r="P1004" s="71"/>
      <c r="Q1004" s="30"/>
      <c r="R1004" s="65"/>
      <c r="S1004" s="65"/>
      <c r="T1004" s="65"/>
      <c r="U1004" s="30"/>
      <c r="V1004" s="65"/>
      <c r="W1004" s="65"/>
      <c r="X1004" s="65"/>
      <c r="Y1004" s="137"/>
      <c r="Z1004" s="151"/>
      <c r="AA1004" s="151"/>
      <c r="AB1004" s="151"/>
      <c r="AC1004" s="137"/>
      <c r="AD1004" s="65"/>
      <c r="AE1004" s="152"/>
      <c r="AF1004" s="152"/>
      <c r="AG1004" s="147"/>
      <c r="AH1004" s="148"/>
      <c r="AI1004" s="149"/>
      <c r="AJ1004" s="71"/>
      <c r="AK1004" s="147"/>
      <c r="AL1004" s="150"/>
      <c r="AM1004" s="149"/>
      <c r="AN1004" s="71"/>
      <c r="AO1004" s="71"/>
    </row>
    <row r="1005">
      <c r="A1005" s="137"/>
      <c r="B1005" s="102"/>
      <c r="C1005" s="103"/>
      <c r="D1005" s="71"/>
      <c r="E1005" s="137"/>
      <c r="F1005" s="102"/>
      <c r="G1005" s="103"/>
      <c r="H1005" s="71"/>
      <c r="I1005" s="137"/>
      <c r="J1005" s="102"/>
      <c r="K1005" s="103"/>
      <c r="L1005" s="71"/>
      <c r="M1005" s="137"/>
      <c r="N1005" s="102"/>
      <c r="O1005" s="103"/>
      <c r="P1005" s="71"/>
      <c r="Q1005" s="30"/>
      <c r="R1005" s="65"/>
      <c r="S1005" s="65"/>
      <c r="T1005" s="65"/>
      <c r="U1005" s="30"/>
      <c r="V1005" s="65"/>
      <c r="W1005" s="65"/>
      <c r="X1005" s="65"/>
      <c r="Y1005" s="137"/>
      <c r="Z1005" s="151"/>
      <c r="AA1005" s="151"/>
      <c r="AB1005" s="151"/>
      <c r="AC1005" s="137"/>
      <c r="AD1005" s="65"/>
      <c r="AE1005" s="152"/>
      <c r="AF1005" s="152"/>
      <c r="AG1005" s="147"/>
      <c r="AH1005" s="148"/>
      <c r="AI1005" s="149"/>
      <c r="AJ1005" s="71"/>
      <c r="AK1005" s="147"/>
      <c r="AL1005" s="150"/>
      <c r="AM1005" s="149"/>
      <c r="AN1005" s="71"/>
      <c r="AO1005" s="71"/>
    </row>
    <row r="1006">
      <c r="A1006" s="137"/>
      <c r="B1006" s="102"/>
      <c r="C1006" s="103"/>
      <c r="D1006" s="71"/>
      <c r="E1006" s="137"/>
      <c r="F1006" s="102"/>
      <c r="G1006" s="103"/>
      <c r="H1006" s="71"/>
      <c r="I1006" s="137"/>
      <c r="J1006" s="102"/>
      <c r="K1006" s="103"/>
      <c r="L1006" s="71"/>
      <c r="M1006" s="137"/>
      <c r="N1006" s="102"/>
      <c r="O1006" s="103"/>
      <c r="P1006" s="71"/>
      <c r="Q1006" s="30"/>
      <c r="R1006" s="65"/>
      <c r="S1006" s="65"/>
      <c r="T1006" s="65"/>
      <c r="U1006" s="30"/>
      <c r="V1006" s="65"/>
      <c r="W1006" s="65"/>
      <c r="X1006" s="65"/>
      <c r="Y1006" s="137"/>
      <c r="Z1006" s="151"/>
      <c r="AA1006" s="151"/>
      <c r="AB1006" s="151"/>
      <c r="AC1006" s="137"/>
      <c r="AD1006" s="65"/>
      <c r="AE1006" s="152"/>
      <c r="AF1006" s="152"/>
      <c r="AG1006" s="147"/>
      <c r="AH1006" s="148"/>
      <c r="AI1006" s="149"/>
      <c r="AJ1006" s="71"/>
      <c r="AK1006" s="147"/>
      <c r="AL1006" s="150"/>
      <c r="AM1006" s="149"/>
      <c r="AN1006" s="71"/>
      <c r="AO1006" s="71"/>
    </row>
    <row r="1007">
      <c r="A1007" s="137"/>
      <c r="B1007" s="102"/>
      <c r="C1007" s="103"/>
      <c r="D1007" s="71"/>
      <c r="E1007" s="137"/>
      <c r="F1007" s="102"/>
      <c r="G1007" s="103"/>
      <c r="H1007" s="71"/>
      <c r="I1007" s="137"/>
      <c r="J1007" s="102"/>
      <c r="K1007" s="103"/>
      <c r="L1007" s="71"/>
      <c r="M1007" s="137"/>
      <c r="N1007" s="102"/>
      <c r="O1007" s="103"/>
      <c r="P1007" s="71"/>
      <c r="Q1007" s="30"/>
      <c r="R1007" s="65"/>
      <c r="S1007" s="65"/>
      <c r="T1007" s="65"/>
      <c r="U1007" s="30"/>
      <c r="V1007" s="65"/>
      <c r="W1007" s="65"/>
      <c r="X1007" s="65"/>
      <c r="Y1007" s="137"/>
      <c r="Z1007" s="151"/>
      <c r="AA1007" s="151"/>
      <c r="AB1007" s="151"/>
      <c r="AC1007" s="137"/>
      <c r="AD1007" s="65"/>
      <c r="AE1007" s="152"/>
      <c r="AF1007" s="152"/>
      <c r="AG1007" s="147"/>
      <c r="AH1007" s="148"/>
      <c r="AI1007" s="149"/>
      <c r="AJ1007" s="71"/>
      <c r="AK1007" s="147"/>
      <c r="AL1007" s="150"/>
      <c r="AM1007" s="149"/>
      <c r="AN1007" s="71"/>
      <c r="AO1007" s="71"/>
    </row>
    <row r="1008">
      <c r="A1008" s="137"/>
      <c r="B1008" s="102"/>
      <c r="C1008" s="103"/>
      <c r="D1008" s="71"/>
      <c r="E1008" s="137"/>
      <c r="F1008" s="102"/>
      <c r="G1008" s="103"/>
      <c r="H1008" s="71"/>
      <c r="I1008" s="137"/>
      <c r="J1008" s="102"/>
      <c r="K1008" s="103"/>
      <c r="L1008" s="71"/>
      <c r="M1008" s="137"/>
      <c r="N1008" s="102"/>
      <c r="O1008" s="103"/>
      <c r="P1008" s="71"/>
      <c r="Q1008" s="30"/>
      <c r="R1008" s="65"/>
      <c r="S1008" s="65"/>
      <c r="T1008" s="65"/>
      <c r="U1008" s="30"/>
      <c r="V1008" s="65"/>
      <c r="W1008" s="65"/>
      <c r="X1008" s="65"/>
      <c r="Y1008" s="137"/>
      <c r="Z1008" s="151"/>
      <c r="AA1008" s="151"/>
      <c r="AB1008" s="151"/>
      <c r="AC1008" s="137"/>
      <c r="AD1008" s="65"/>
      <c r="AE1008" s="152"/>
      <c r="AF1008" s="152"/>
      <c r="AG1008" s="147"/>
      <c r="AH1008" s="148"/>
      <c r="AI1008" s="149"/>
      <c r="AJ1008" s="71"/>
      <c r="AK1008" s="147"/>
      <c r="AL1008" s="150"/>
      <c r="AM1008" s="149"/>
      <c r="AN1008" s="71"/>
      <c r="AO1008" s="71"/>
    </row>
    <row r="1009">
      <c r="A1009" s="137"/>
      <c r="B1009" s="102"/>
      <c r="C1009" s="103"/>
      <c r="D1009" s="71"/>
      <c r="E1009" s="137"/>
      <c r="F1009" s="102"/>
      <c r="G1009" s="103"/>
      <c r="H1009" s="71"/>
      <c r="I1009" s="137"/>
      <c r="J1009" s="102"/>
      <c r="K1009" s="103"/>
      <c r="L1009" s="71"/>
      <c r="M1009" s="137"/>
      <c r="N1009" s="102"/>
      <c r="O1009" s="103"/>
      <c r="P1009" s="71"/>
      <c r="Q1009" s="30"/>
      <c r="R1009" s="65"/>
      <c r="S1009" s="65"/>
      <c r="T1009" s="65"/>
      <c r="U1009" s="30"/>
      <c r="V1009" s="65"/>
      <c r="W1009" s="65"/>
      <c r="X1009" s="65"/>
      <c r="Y1009" s="137"/>
      <c r="Z1009" s="151"/>
      <c r="AA1009" s="151"/>
      <c r="AB1009" s="151"/>
      <c r="AC1009" s="137"/>
      <c r="AD1009" s="65"/>
      <c r="AE1009" s="152"/>
      <c r="AF1009" s="152"/>
      <c r="AG1009" s="147"/>
      <c r="AH1009" s="148"/>
      <c r="AI1009" s="149"/>
      <c r="AJ1009" s="71"/>
      <c r="AK1009" s="147"/>
      <c r="AL1009" s="150"/>
      <c r="AM1009" s="149"/>
      <c r="AN1009" s="71"/>
      <c r="AO1009" s="71"/>
    </row>
    <row r="1010">
      <c r="A1010" s="137"/>
      <c r="B1010" s="102"/>
      <c r="C1010" s="103"/>
      <c r="D1010" s="71"/>
      <c r="E1010" s="137"/>
      <c r="F1010" s="102"/>
      <c r="G1010" s="103"/>
      <c r="H1010" s="71"/>
      <c r="I1010" s="137"/>
      <c r="J1010" s="102"/>
      <c r="K1010" s="103"/>
      <c r="L1010" s="71"/>
      <c r="M1010" s="137"/>
      <c r="N1010" s="102"/>
      <c r="O1010" s="103"/>
      <c r="P1010" s="71"/>
      <c r="Q1010" s="30"/>
      <c r="R1010" s="65"/>
      <c r="S1010" s="65"/>
      <c r="T1010" s="65"/>
      <c r="U1010" s="30"/>
      <c r="V1010" s="65"/>
      <c r="W1010" s="65"/>
      <c r="X1010" s="65"/>
      <c r="Y1010" s="137"/>
      <c r="Z1010" s="151"/>
      <c r="AA1010" s="151"/>
      <c r="AB1010" s="151"/>
      <c r="AC1010" s="137"/>
      <c r="AD1010" s="65"/>
      <c r="AE1010" s="152"/>
      <c r="AF1010" s="152"/>
      <c r="AG1010" s="147"/>
      <c r="AH1010" s="148"/>
      <c r="AI1010" s="149"/>
      <c r="AJ1010" s="71"/>
      <c r="AK1010" s="147"/>
      <c r="AL1010" s="150"/>
      <c r="AM1010" s="149"/>
      <c r="AN1010" s="71"/>
      <c r="AO1010" s="71"/>
    </row>
    <row r="1011">
      <c r="A1011" s="137"/>
      <c r="B1011" s="102"/>
      <c r="C1011" s="103"/>
      <c r="D1011" s="71"/>
      <c r="E1011" s="137"/>
      <c r="F1011" s="102"/>
      <c r="G1011" s="103"/>
      <c r="H1011" s="71"/>
      <c r="I1011" s="137"/>
      <c r="J1011" s="102"/>
      <c r="K1011" s="103"/>
      <c r="L1011" s="71"/>
      <c r="M1011" s="137"/>
      <c r="N1011" s="102"/>
      <c r="O1011" s="103"/>
      <c r="P1011" s="71"/>
      <c r="Q1011" s="30"/>
      <c r="R1011" s="65"/>
      <c r="S1011" s="65"/>
      <c r="T1011" s="65"/>
      <c r="U1011" s="30"/>
      <c r="V1011" s="65"/>
      <c r="W1011" s="65"/>
      <c r="X1011" s="65"/>
      <c r="Y1011" s="137"/>
      <c r="Z1011" s="151"/>
      <c r="AA1011" s="151"/>
      <c r="AB1011" s="151"/>
      <c r="AC1011" s="137"/>
      <c r="AD1011" s="65"/>
      <c r="AE1011" s="152"/>
      <c r="AF1011" s="152"/>
      <c r="AG1011" s="147"/>
      <c r="AH1011" s="148"/>
      <c r="AI1011" s="149"/>
      <c r="AJ1011" s="71"/>
      <c r="AK1011" s="147"/>
      <c r="AL1011" s="150"/>
      <c r="AM1011" s="149"/>
      <c r="AN1011" s="71"/>
      <c r="AO1011" s="71"/>
    </row>
    <row r="1012">
      <c r="A1012" s="137"/>
      <c r="B1012" s="102"/>
      <c r="C1012" s="103"/>
      <c r="D1012" s="71"/>
      <c r="E1012" s="137"/>
      <c r="F1012" s="102"/>
      <c r="G1012" s="103"/>
      <c r="H1012" s="71"/>
      <c r="I1012" s="137"/>
      <c r="J1012" s="102"/>
      <c r="K1012" s="103"/>
      <c r="L1012" s="71"/>
      <c r="M1012" s="137"/>
      <c r="N1012" s="102"/>
      <c r="O1012" s="103"/>
      <c r="P1012" s="71"/>
      <c r="Q1012" s="30"/>
      <c r="R1012" s="65"/>
      <c r="S1012" s="65"/>
      <c r="T1012" s="65"/>
      <c r="U1012" s="30"/>
      <c r="V1012" s="65"/>
      <c r="W1012" s="65"/>
      <c r="X1012" s="65"/>
      <c r="Y1012" s="137"/>
      <c r="Z1012" s="151"/>
      <c r="AA1012" s="151"/>
      <c r="AB1012" s="151"/>
      <c r="AC1012" s="137"/>
      <c r="AD1012" s="65"/>
      <c r="AE1012" s="152"/>
      <c r="AF1012" s="152"/>
      <c r="AG1012" s="147"/>
      <c r="AH1012" s="148"/>
      <c r="AI1012" s="149"/>
      <c r="AJ1012" s="71"/>
      <c r="AK1012" s="147"/>
      <c r="AL1012" s="150"/>
      <c r="AM1012" s="149"/>
      <c r="AN1012" s="71"/>
      <c r="AO1012" s="71"/>
    </row>
    <row r="1013">
      <c r="A1013" s="137"/>
      <c r="B1013" s="102"/>
      <c r="C1013" s="103"/>
      <c r="D1013" s="71"/>
      <c r="E1013" s="137"/>
      <c r="F1013" s="102"/>
      <c r="G1013" s="103"/>
      <c r="H1013" s="71"/>
      <c r="I1013" s="137"/>
      <c r="J1013" s="102"/>
      <c r="K1013" s="103"/>
      <c r="L1013" s="71"/>
      <c r="M1013" s="137"/>
      <c r="N1013" s="102"/>
      <c r="O1013" s="103"/>
      <c r="P1013" s="71"/>
      <c r="Q1013" s="30"/>
      <c r="R1013" s="65"/>
      <c r="S1013" s="65"/>
      <c r="T1013" s="65"/>
      <c r="U1013" s="30"/>
      <c r="V1013" s="65"/>
      <c r="W1013" s="65"/>
      <c r="X1013" s="65"/>
      <c r="Y1013" s="137"/>
      <c r="Z1013" s="151"/>
      <c r="AA1013" s="151"/>
      <c r="AB1013" s="151"/>
      <c r="AC1013" s="137"/>
      <c r="AD1013" s="65"/>
      <c r="AE1013" s="152"/>
      <c r="AF1013" s="152"/>
      <c r="AG1013" s="147"/>
      <c r="AH1013" s="148"/>
      <c r="AI1013" s="149"/>
      <c r="AJ1013" s="71"/>
      <c r="AK1013" s="147"/>
      <c r="AL1013" s="150"/>
      <c r="AM1013" s="149"/>
      <c r="AN1013" s="71"/>
      <c r="AO1013" s="71"/>
    </row>
    <row r="1014">
      <c r="A1014" s="137"/>
      <c r="B1014" s="102"/>
      <c r="C1014" s="103"/>
      <c r="D1014" s="71"/>
      <c r="E1014" s="137"/>
      <c r="F1014" s="102"/>
      <c r="G1014" s="103"/>
      <c r="H1014" s="71"/>
      <c r="I1014" s="137"/>
      <c r="J1014" s="102"/>
      <c r="K1014" s="103"/>
      <c r="L1014" s="71"/>
      <c r="M1014" s="137"/>
      <c r="N1014" s="102"/>
      <c r="O1014" s="103"/>
      <c r="P1014" s="71"/>
      <c r="Q1014" s="30"/>
      <c r="R1014" s="65"/>
      <c r="S1014" s="65"/>
      <c r="T1014" s="65"/>
      <c r="U1014" s="30"/>
      <c r="V1014" s="65"/>
      <c r="W1014" s="65"/>
      <c r="X1014" s="65"/>
      <c r="Y1014" s="137"/>
      <c r="Z1014" s="151"/>
      <c r="AA1014" s="151"/>
      <c r="AB1014" s="151"/>
      <c r="AC1014" s="137"/>
      <c r="AD1014" s="65"/>
      <c r="AE1014" s="152"/>
      <c r="AF1014" s="152"/>
      <c r="AG1014" s="147"/>
      <c r="AH1014" s="148"/>
      <c r="AI1014" s="149"/>
      <c r="AJ1014" s="71"/>
      <c r="AK1014" s="147"/>
      <c r="AL1014" s="150"/>
      <c r="AM1014" s="149"/>
      <c r="AN1014" s="71"/>
      <c r="AO1014" s="71"/>
    </row>
    <row r="1015">
      <c r="A1015" s="137"/>
      <c r="B1015" s="102"/>
      <c r="C1015" s="103"/>
      <c r="D1015" s="71"/>
      <c r="E1015" s="137"/>
      <c r="F1015" s="102"/>
      <c r="G1015" s="103"/>
      <c r="H1015" s="71"/>
      <c r="I1015" s="137"/>
      <c r="J1015" s="102"/>
      <c r="K1015" s="103"/>
      <c r="L1015" s="71"/>
      <c r="M1015" s="137"/>
      <c r="N1015" s="102"/>
      <c r="O1015" s="103"/>
      <c r="P1015" s="71"/>
      <c r="Q1015" s="30"/>
      <c r="R1015" s="65"/>
      <c r="S1015" s="65"/>
      <c r="T1015" s="65"/>
      <c r="U1015" s="30"/>
      <c r="V1015" s="65"/>
      <c r="W1015" s="65"/>
      <c r="X1015" s="65"/>
      <c r="Y1015" s="137"/>
      <c r="Z1015" s="151"/>
      <c r="AA1015" s="151"/>
      <c r="AB1015" s="151"/>
      <c r="AC1015" s="137"/>
      <c r="AD1015" s="65"/>
      <c r="AE1015" s="152"/>
      <c r="AF1015" s="152"/>
      <c r="AG1015" s="147"/>
      <c r="AH1015" s="148"/>
      <c r="AI1015" s="149"/>
      <c r="AJ1015" s="71"/>
      <c r="AK1015" s="147"/>
      <c r="AL1015" s="150"/>
      <c r="AM1015" s="149"/>
      <c r="AN1015" s="71"/>
      <c r="AO1015" s="71"/>
    </row>
    <row r="1016">
      <c r="A1016" s="137"/>
      <c r="B1016" s="102"/>
      <c r="C1016" s="103"/>
      <c r="D1016" s="71"/>
      <c r="E1016" s="137"/>
      <c r="F1016" s="102"/>
      <c r="G1016" s="103"/>
      <c r="H1016" s="71"/>
      <c r="I1016" s="137"/>
      <c r="J1016" s="102"/>
      <c r="K1016" s="103"/>
      <c r="L1016" s="71"/>
      <c r="M1016" s="137"/>
      <c r="N1016" s="102"/>
      <c r="O1016" s="103"/>
      <c r="P1016" s="71"/>
      <c r="Q1016" s="30"/>
      <c r="R1016" s="65"/>
      <c r="S1016" s="65"/>
      <c r="T1016" s="65"/>
      <c r="U1016" s="30"/>
      <c r="V1016" s="65"/>
      <c r="W1016" s="65"/>
      <c r="X1016" s="65"/>
      <c r="Y1016" s="137"/>
      <c r="Z1016" s="151"/>
      <c r="AA1016" s="151"/>
      <c r="AB1016" s="151"/>
      <c r="AC1016" s="137"/>
      <c r="AD1016" s="65"/>
      <c r="AE1016" s="152"/>
      <c r="AF1016" s="152"/>
      <c r="AG1016" s="147"/>
      <c r="AH1016" s="148"/>
      <c r="AI1016" s="149"/>
      <c r="AJ1016" s="71"/>
      <c r="AK1016" s="147"/>
      <c r="AL1016" s="150"/>
      <c r="AM1016" s="149"/>
      <c r="AN1016" s="71"/>
      <c r="AO1016" s="71"/>
    </row>
    <row r="1017">
      <c r="A1017" s="137"/>
      <c r="B1017" s="102"/>
      <c r="C1017" s="103"/>
      <c r="D1017" s="71"/>
      <c r="E1017" s="137"/>
      <c r="F1017" s="102"/>
      <c r="G1017" s="103"/>
      <c r="H1017" s="71"/>
      <c r="I1017" s="137"/>
      <c r="J1017" s="102"/>
      <c r="K1017" s="103"/>
      <c r="L1017" s="71"/>
      <c r="M1017" s="137"/>
      <c r="N1017" s="102"/>
      <c r="O1017" s="103"/>
      <c r="P1017" s="71"/>
      <c r="Q1017" s="30"/>
      <c r="R1017" s="65"/>
      <c r="S1017" s="65"/>
      <c r="T1017" s="65"/>
      <c r="U1017" s="30"/>
      <c r="V1017" s="65"/>
      <c r="W1017" s="65"/>
      <c r="X1017" s="65"/>
      <c r="Y1017" s="137"/>
      <c r="Z1017" s="151"/>
      <c r="AA1017" s="151"/>
      <c r="AB1017" s="151"/>
      <c r="AC1017" s="137"/>
      <c r="AD1017" s="65"/>
      <c r="AE1017" s="152"/>
      <c r="AF1017" s="152"/>
      <c r="AG1017" s="147"/>
      <c r="AH1017" s="148"/>
      <c r="AI1017" s="149"/>
      <c r="AJ1017" s="71"/>
      <c r="AK1017" s="147"/>
      <c r="AL1017" s="150"/>
      <c r="AM1017" s="149"/>
      <c r="AN1017" s="71"/>
      <c r="AO1017" s="71"/>
    </row>
    <row r="1018">
      <c r="A1018" s="137"/>
      <c r="B1018" s="102"/>
      <c r="C1018" s="103"/>
      <c r="D1018" s="71"/>
      <c r="E1018" s="137"/>
      <c r="F1018" s="102"/>
      <c r="G1018" s="103"/>
      <c r="H1018" s="71"/>
      <c r="I1018" s="137"/>
      <c r="J1018" s="102"/>
      <c r="K1018" s="103"/>
      <c r="L1018" s="71"/>
      <c r="M1018" s="137"/>
      <c r="N1018" s="102"/>
      <c r="O1018" s="103"/>
      <c r="P1018" s="71"/>
      <c r="Q1018" s="30"/>
      <c r="R1018" s="65"/>
      <c r="S1018" s="65"/>
      <c r="T1018" s="65"/>
      <c r="U1018" s="30"/>
      <c r="V1018" s="65"/>
      <c r="W1018" s="65"/>
      <c r="X1018" s="65"/>
      <c r="Y1018" s="137"/>
      <c r="Z1018" s="151"/>
      <c r="AA1018" s="151"/>
      <c r="AB1018" s="151"/>
      <c r="AC1018" s="137"/>
      <c r="AD1018" s="65"/>
      <c r="AE1018" s="152"/>
      <c r="AF1018" s="152"/>
      <c r="AG1018" s="147"/>
      <c r="AH1018" s="148"/>
      <c r="AI1018" s="149"/>
      <c r="AJ1018" s="71"/>
      <c r="AK1018" s="147"/>
      <c r="AL1018" s="150"/>
      <c r="AM1018" s="149"/>
      <c r="AN1018" s="71"/>
      <c r="AO1018" s="71"/>
    </row>
    <row r="1019">
      <c r="A1019" s="137"/>
      <c r="B1019" s="102"/>
      <c r="C1019" s="103"/>
      <c r="D1019" s="71"/>
      <c r="E1019" s="137"/>
      <c r="F1019" s="102"/>
      <c r="G1019" s="103"/>
      <c r="H1019" s="71"/>
      <c r="I1019" s="137"/>
      <c r="J1019" s="102"/>
      <c r="K1019" s="103"/>
      <c r="L1019" s="71"/>
      <c r="M1019" s="137"/>
      <c r="N1019" s="102"/>
      <c r="O1019" s="103"/>
      <c r="P1019" s="71"/>
      <c r="Q1019" s="30"/>
      <c r="R1019" s="65"/>
      <c r="S1019" s="65"/>
      <c r="T1019" s="65"/>
      <c r="U1019" s="30"/>
      <c r="V1019" s="65"/>
      <c r="W1019" s="65"/>
      <c r="X1019" s="65"/>
      <c r="Y1019" s="137"/>
      <c r="Z1019" s="151"/>
      <c r="AA1019" s="151"/>
      <c r="AB1019" s="151"/>
      <c r="AC1019" s="137"/>
      <c r="AD1019" s="65"/>
      <c r="AE1019" s="152"/>
      <c r="AF1019" s="152"/>
      <c r="AG1019" s="147"/>
      <c r="AH1019" s="148"/>
      <c r="AI1019" s="149"/>
      <c r="AJ1019" s="71"/>
      <c r="AK1019" s="147"/>
      <c r="AL1019" s="150"/>
      <c r="AM1019" s="149"/>
      <c r="AN1019" s="71"/>
      <c r="AO1019" s="71"/>
    </row>
    <row r="1020">
      <c r="A1020" s="137"/>
      <c r="B1020" s="102"/>
      <c r="C1020" s="103"/>
      <c r="D1020" s="71"/>
      <c r="E1020" s="137"/>
      <c r="F1020" s="102"/>
      <c r="G1020" s="103"/>
      <c r="H1020" s="71"/>
      <c r="I1020" s="137"/>
      <c r="J1020" s="102"/>
      <c r="K1020" s="103"/>
      <c r="L1020" s="71"/>
      <c r="M1020" s="137"/>
      <c r="N1020" s="102"/>
      <c r="O1020" s="103"/>
      <c r="P1020" s="71"/>
      <c r="Q1020" s="30"/>
      <c r="R1020" s="65"/>
      <c r="S1020" s="65"/>
      <c r="T1020" s="65"/>
      <c r="U1020" s="30"/>
      <c r="V1020" s="65"/>
      <c r="W1020" s="65"/>
      <c r="X1020" s="65"/>
      <c r="Y1020" s="137"/>
      <c r="Z1020" s="151"/>
      <c r="AA1020" s="151"/>
      <c r="AB1020" s="151"/>
      <c r="AC1020" s="137"/>
      <c r="AD1020" s="65"/>
      <c r="AE1020" s="152"/>
      <c r="AF1020" s="152"/>
      <c r="AG1020" s="147"/>
      <c r="AH1020" s="148"/>
      <c r="AI1020" s="149"/>
      <c r="AJ1020" s="71"/>
      <c r="AK1020" s="147"/>
      <c r="AL1020" s="150"/>
      <c r="AM1020" s="149"/>
      <c r="AN1020" s="71"/>
      <c r="AO1020" s="71"/>
    </row>
    <row r="1021">
      <c r="A1021" s="137"/>
      <c r="B1021" s="102"/>
      <c r="C1021" s="103"/>
      <c r="D1021" s="71"/>
      <c r="E1021" s="137"/>
      <c r="F1021" s="102"/>
      <c r="G1021" s="103"/>
      <c r="H1021" s="71"/>
      <c r="I1021" s="137"/>
      <c r="J1021" s="102"/>
      <c r="K1021" s="103"/>
      <c r="L1021" s="71"/>
      <c r="M1021" s="137"/>
      <c r="N1021" s="102"/>
      <c r="O1021" s="103"/>
      <c r="P1021" s="71"/>
      <c r="Q1021" s="30"/>
      <c r="R1021" s="65"/>
      <c r="S1021" s="65"/>
      <c r="T1021" s="65"/>
      <c r="U1021" s="30"/>
      <c r="V1021" s="65"/>
      <c r="W1021" s="65"/>
      <c r="X1021" s="65"/>
      <c r="Y1021" s="137"/>
      <c r="Z1021" s="151"/>
      <c r="AA1021" s="151"/>
      <c r="AB1021" s="151"/>
      <c r="AC1021" s="137"/>
      <c r="AD1021" s="65"/>
      <c r="AE1021" s="152"/>
      <c r="AF1021" s="152"/>
      <c r="AG1021" s="147"/>
      <c r="AH1021" s="148"/>
      <c r="AI1021" s="149"/>
      <c r="AJ1021" s="71"/>
      <c r="AK1021" s="147"/>
      <c r="AL1021" s="150"/>
      <c r="AM1021" s="149"/>
      <c r="AN1021" s="71"/>
      <c r="AO1021" s="71"/>
    </row>
    <row r="1022">
      <c r="A1022" s="137"/>
      <c r="B1022" s="102"/>
      <c r="C1022" s="103"/>
      <c r="D1022" s="71"/>
      <c r="E1022" s="137"/>
      <c r="F1022" s="102"/>
      <c r="G1022" s="103"/>
      <c r="H1022" s="71"/>
      <c r="I1022" s="137"/>
      <c r="J1022" s="102"/>
      <c r="K1022" s="103"/>
      <c r="L1022" s="71"/>
      <c r="M1022" s="137"/>
      <c r="N1022" s="102"/>
      <c r="O1022" s="103"/>
      <c r="P1022" s="71"/>
      <c r="Q1022" s="30"/>
      <c r="R1022" s="65"/>
      <c r="S1022" s="65"/>
      <c r="T1022" s="65"/>
      <c r="U1022" s="30"/>
      <c r="V1022" s="65"/>
      <c r="W1022" s="65"/>
      <c r="X1022" s="65"/>
      <c r="Y1022" s="137"/>
      <c r="Z1022" s="151"/>
      <c r="AA1022" s="151"/>
      <c r="AB1022" s="151"/>
      <c r="AC1022" s="137"/>
      <c r="AD1022" s="65"/>
      <c r="AE1022" s="152"/>
      <c r="AF1022" s="152"/>
      <c r="AG1022" s="147"/>
      <c r="AH1022" s="148"/>
      <c r="AI1022" s="149"/>
      <c r="AJ1022" s="71"/>
      <c r="AK1022" s="147"/>
      <c r="AL1022" s="150"/>
      <c r="AM1022" s="149"/>
      <c r="AN1022" s="71"/>
      <c r="AO1022" s="71"/>
    </row>
    <row r="1023">
      <c r="A1023" s="137"/>
      <c r="B1023" s="102"/>
      <c r="C1023" s="103"/>
      <c r="D1023" s="71"/>
      <c r="E1023" s="137"/>
      <c r="F1023" s="102"/>
      <c r="G1023" s="103"/>
      <c r="H1023" s="71"/>
      <c r="I1023" s="137"/>
      <c r="J1023" s="102"/>
      <c r="K1023" s="103"/>
      <c r="L1023" s="71"/>
      <c r="M1023" s="137"/>
      <c r="N1023" s="102"/>
      <c r="O1023" s="103"/>
      <c r="P1023" s="71"/>
      <c r="Q1023" s="30"/>
      <c r="R1023" s="65"/>
      <c r="S1023" s="65"/>
      <c r="T1023" s="65"/>
      <c r="U1023" s="30"/>
      <c r="V1023" s="65"/>
      <c r="W1023" s="65"/>
      <c r="X1023" s="65"/>
      <c r="Y1023" s="137"/>
      <c r="Z1023" s="151"/>
      <c r="AA1023" s="151"/>
      <c r="AB1023" s="151"/>
      <c r="AC1023" s="137"/>
      <c r="AD1023" s="65"/>
      <c r="AE1023" s="152"/>
      <c r="AF1023" s="152"/>
      <c r="AG1023" s="147"/>
      <c r="AH1023" s="148"/>
      <c r="AI1023" s="149"/>
      <c r="AJ1023" s="71"/>
      <c r="AK1023" s="147"/>
      <c r="AL1023" s="150"/>
      <c r="AM1023" s="149"/>
      <c r="AN1023" s="71"/>
      <c r="AO1023" s="71"/>
    </row>
    <row r="1024">
      <c r="A1024" s="137"/>
      <c r="B1024" s="102"/>
      <c r="C1024" s="103"/>
      <c r="D1024" s="71"/>
      <c r="E1024" s="137"/>
      <c r="F1024" s="102"/>
      <c r="G1024" s="103"/>
      <c r="H1024" s="71"/>
      <c r="I1024" s="137"/>
      <c r="J1024" s="102"/>
      <c r="K1024" s="103"/>
      <c r="L1024" s="71"/>
      <c r="M1024" s="137"/>
      <c r="N1024" s="102"/>
      <c r="O1024" s="103"/>
      <c r="P1024" s="71"/>
      <c r="Q1024" s="30"/>
      <c r="R1024" s="65"/>
      <c r="S1024" s="65"/>
      <c r="T1024" s="65"/>
      <c r="U1024" s="30"/>
      <c r="V1024" s="65"/>
      <c r="W1024" s="65"/>
      <c r="X1024" s="65"/>
      <c r="Y1024" s="137"/>
      <c r="Z1024" s="151"/>
      <c r="AA1024" s="151"/>
      <c r="AB1024" s="151"/>
      <c r="AC1024" s="137"/>
      <c r="AD1024" s="65"/>
      <c r="AE1024" s="152"/>
      <c r="AF1024" s="152"/>
      <c r="AG1024" s="147"/>
      <c r="AH1024" s="148"/>
      <c r="AI1024" s="149"/>
      <c r="AJ1024" s="71"/>
      <c r="AK1024" s="147"/>
      <c r="AL1024" s="150"/>
      <c r="AM1024" s="149"/>
      <c r="AN1024" s="71"/>
      <c r="AO1024" s="71"/>
    </row>
    <row r="1025">
      <c r="A1025" s="137"/>
      <c r="B1025" s="102"/>
      <c r="C1025" s="103"/>
      <c r="D1025" s="71"/>
      <c r="E1025" s="137"/>
      <c r="F1025" s="102"/>
      <c r="G1025" s="103"/>
      <c r="H1025" s="71"/>
      <c r="I1025" s="137"/>
      <c r="J1025" s="102"/>
      <c r="K1025" s="103"/>
      <c r="L1025" s="71"/>
      <c r="M1025" s="137"/>
      <c r="N1025" s="102"/>
      <c r="O1025" s="103"/>
      <c r="P1025" s="71"/>
      <c r="Q1025" s="30"/>
      <c r="R1025" s="65"/>
      <c r="S1025" s="65"/>
      <c r="T1025" s="65"/>
      <c r="U1025" s="30"/>
      <c r="V1025" s="65"/>
      <c r="W1025" s="65"/>
      <c r="X1025" s="65"/>
      <c r="Y1025" s="137"/>
      <c r="Z1025" s="151"/>
      <c r="AA1025" s="151"/>
      <c r="AB1025" s="151"/>
      <c r="AC1025" s="137"/>
      <c r="AD1025" s="65"/>
      <c r="AE1025" s="152"/>
      <c r="AF1025" s="152"/>
      <c r="AG1025" s="147"/>
      <c r="AH1025" s="148"/>
      <c r="AI1025" s="149"/>
      <c r="AJ1025" s="71"/>
      <c r="AK1025" s="147"/>
      <c r="AL1025" s="150"/>
      <c r="AM1025" s="149"/>
      <c r="AN1025" s="71"/>
      <c r="AO1025" s="71"/>
    </row>
    <row r="1026">
      <c r="A1026" s="137"/>
      <c r="B1026" s="102"/>
      <c r="C1026" s="103"/>
      <c r="D1026" s="71"/>
      <c r="E1026" s="137"/>
      <c r="F1026" s="102"/>
      <c r="G1026" s="103"/>
      <c r="H1026" s="71"/>
      <c r="I1026" s="137"/>
      <c r="J1026" s="102"/>
      <c r="K1026" s="103"/>
      <c r="L1026" s="71"/>
      <c r="M1026" s="137"/>
      <c r="N1026" s="102"/>
      <c r="O1026" s="103"/>
      <c r="P1026" s="71"/>
      <c r="Q1026" s="30"/>
      <c r="R1026" s="65"/>
      <c r="S1026" s="65"/>
      <c r="T1026" s="65"/>
      <c r="U1026" s="30"/>
      <c r="V1026" s="65"/>
      <c r="W1026" s="65"/>
      <c r="X1026" s="65"/>
      <c r="Y1026" s="137"/>
      <c r="Z1026" s="151"/>
      <c r="AA1026" s="151"/>
      <c r="AB1026" s="151"/>
      <c r="AC1026" s="137"/>
      <c r="AD1026" s="65"/>
      <c r="AE1026" s="152"/>
      <c r="AF1026" s="152"/>
      <c r="AG1026" s="147"/>
      <c r="AH1026" s="148"/>
      <c r="AI1026" s="149"/>
      <c r="AJ1026" s="71"/>
      <c r="AK1026" s="147"/>
      <c r="AL1026" s="150"/>
      <c r="AM1026" s="149"/>
      <c r="AN1026" s="71"/>
      <c r="AO1026" s="71"/>
    </row>
    <row r="1027">
      <c r="A1027" s="137"/>
      <c r="B1027" s="102"/>
      <c r="C1027" s="103"/>
      <c r="D1027" s="71"/>
      <c r="E1027" s="137"/>
      <c r="F1027" s="102"/>
      <c r="G1027" s="103"/>
      <c r="H1027" s="71"/>
      <c r="I1027" s="137"/>
      <c r="J1027" s="102"/>
      <c r="K1027" s="103"/>
      <c r="L1027" s="71"/>
      <c r="M1027" s="137"/>
      <c r="N1027" s="102"/>
      <c r="O1027" s="103"/>
      <c r="P1027" s="71"/>
      <c r="Q1027" s="30"/>
      <c r="R1027" s="65"/>
      <c r="S1027" s="65"/>
      <c r="T1027" s="65"/>
      <c r="U1027" s="30"/>
      <c r="V1027" s="65"/>
      <c r="W1027" s="65"/>
      <c r="X1027" s="65"/>
      <c r="Y1027" s="137"/>
      <c r="Z1027" s="151"/>
      <c r="AA1027" s="151"/>
      <c r="AB1027" s="151"/>
      <c r="AC1027" s="137"/>
      <c r="AD1027" s="65"/>
      <c r="AE1027" s="152"/>
      <c r="AF1027" s="152"/>
      <c r="AG1027" s="147"/>
      <c r="AH1027" s="148"/>
      <c r="AI1027" s="149"/>
      <c r="AJ1027" s="71"/>
      <c r="AK1027" s="147"/>
      <c r="AL1027" s="150"/>
      <c r="AM1027" s="149"/>
      <c r="AN1027" s="71"/>
      <c r="AO1027" s="71"/>
    </row>
    <row r="1028">
      <c r="A1028" s="137"/>
      <c r="B1028" s="102"/>
      <c r="C1028" s="103"/>
      <c r="D1028" s="71"/>
      <c r="E1028" s="137"/>
      <c r="F1028" s="102"/>
      <c r="G1028" s="103"/>
      <c r="H1028" s="71"/>
      <c r="I1028" s="137"/>
      <c r="J1028" s="102"/>
      <c r="K1028" s="103"/>
      <c r="L1028" s="71"/>
      <c r="M1028" s="137"/>
      <c r="N1028" s="102"/>
      <c r="O1028" s="103"/>
      <c r="P1028" s="71"/>
      <c r="Q1028" s="30"/>
      <c r="R1028" s="65"/>
      <c r="S1028" s="65"/>
      <c r="T1028" s="65"/>
      <c r="U1028" s="30"/>
      <c r="V1028" s="65"/>
      <c r="W1028" s="65"/>
      <c r="X1028" s="65"/>
      <c r="Y1028" s="137"/>
      <c r="Z1028" s="151"/>
      <c r="AA1028" s="151"/>
      <c r="AB1028" s="151"/>
      <c r="AC1028" s="137"/>
      <c r="AD1028" s="65"/>
      <c r="AE1028" s="152"/>
      <c r="AF1028" s="152"/>
      <c r="AG1028" s="147"/>
      <c r="AH1028" s="148"/>
      <c r="AI1028" s="149"/>
      <c r="AJ1028" s="71"/>
      <c r="AK1028" s="147"/>
      <c r="AL1028" s="150"/>
      <c r="AM1028" s="149"/>
      <c r="AN1028" s="71"/>
      <c r="AO1028" s="71"/>
    </row>
    <row r="1029">
      <c r="A1029" s="137"/>
      <c r="B1029" s="102"/>
      <c r="C1029" s="103"/>
      <c r="D1029" s="71"/>
      <c r="E1029" s="137"/>
      <c r="F1029" s="102"/>
      <c r="G1029" s="103"/>
      <c r="H1029" s="71"/>
      <c r="I1029" s="137"/>
      <c r="J1029" s="102"/>
      <c r="K1029" s="103"/>
      <c r="L1029" s="71"/>
      <c r="M1029" s="137"/>
      <c r="N1029" s="102"/>
      <c r="O1029" s="103"/>
      <c r="P1029" s="71"/>
      <c r="Q1029" s="30"/>
      <c r="R1029" s="65"/>
      <c r="S1029" s="65"/>
      <c r="T1029" s="65"/>
      <c r="U1029" s="30"/>
      <c r="V1029" s="65"/>
      <c r="W1029" s="65"/>
      <c r="X1029" s="65"/>
      <c r="Y1029" s="137"/>
      <c r="Z1029" s="151"/>
      <c r="AA1029" s="151"/>
      <c r="AB1029" s="151"/>
      <c r="AC1029" s="137"/>
      <c r="AD1029" s="65"/>
      <c r="AE1029" s="152"/>
      <c r="AF1029" s="152"/>
      <c r="AG1029" s="147"/>
      <c r="AH1029" s="148"/>
      <c r="AI1029" s="149"/>
      <c r="AJ1029" s="71"/>
      <c r="AK1029" s="147"/>
      <c r="AL1029" s="150"/>
      <c r="AM1029" s="149"/>
      <c r="AN1029" s="71"/>
      <c r="AO1029" s="71"/>
    </row>
  </sheetData>
  <mergeCells count="100">
    <mergeCell ref="AC1:AF2"/>
    <mergeCell ref="AG1:AJ2"/>
    <mergeCell ref="AK1:AN2"/>
    <mergeCell ref="A1:D2"/>
    <mergeCell ref="E1:H2"/>
    <mergeCell ref="I1:L2"/>
    <mergeCell ref="M1:P2"/>
    <mergeCell ref="Q1:T2"/>
    <mergeCell ref="U1:X2"/>
    <mergeCell ref="Y1:AB2"/>
    <mergeCell ref="AD5:AF5"/>
    <mergeCell ref="AH5:AJ5"/>
    <mergeCell ref="AL5:AN5"/>
    <mergeCell ref="B5:D5"/>
    <mergeCell ref="F5:H5"/>
    <mergeCell ref="J5:L5"/>
    <mergeCell ref="N5:P5"/>
    <mergeCell ref="R5:T5"/>
    <mergeCell ref="V5:X5"/>
    <mergeCell ref="Z5:AB5"/>
    <mergeCell ref="AC6:AC9"/>
    <mergeCell ref="AD6:AD9"/>
    <mergeCell ref="AG6:AG9"/>
    <mergeCell ref="AH6:AH9"/>
    <mergeCell ref="AK6:AK9"/>
    <mergeCell ref="AL6:AL9"/>
    <mergeCell ref="N6:N9"/>
    <mergeCell ref="Q6:Q9"/>
    <mergeCell ref="R6:R9"/>
    <mergeCell ref="U6:U9"/>
    <mergeCell ref="V6:V9"/>
    <mergeCell ref="Y6:Y9"/>
    <mergeCell ref="Z6:Z9"/>
    <mergeCell ref="A6:A9"/>
    <mergeCell ref="B6:B9"/>
    <mergeCell ref="E6:E9"/>
    <mergeCell ref="F6:F9"/>
    <mergeCell ref="I6:I9"/>
    <mergeCell ref="J6:J9"/>
    <mergeCell ref="M6:M9"/>
    <mergeCell ref="AD90:AF90"/>
    <mergeCell ref="AH90:AJ90"/>
    <mergeCell ref="AL90:AN90"/>
    <mergeCell ref="B90:D90"/>
    <mergeCell ref="F90:H90"/>
    <mergeCell ref="J90:L90"/>
    <mergeCell ref="N90:P90"/>
    <mergeCell ref="R90:T90"/>
    <mergeCell ref="V90:X90"/>
    <mergeCell ref="Z90:AB90"/>
    <mergeCell ref="AD100:AF100"/>
    <mergeCell ref="AH100:AJ100"/>
    <mergeCell ref="AL100:AN100"/>
    <mergeCell ref="B100:D100"/>
    <mergeCell ref="F100:H100"/>
    <mergeCell ref="J100:L100"/>
    <mergeCell ref="N100:P100"/>
    <mergeCell ref="R100:T100"/>
    <mergeCell ref="V100:X100"/>
    <mergeCell ref="Z100:AB100"/>
    <mergeCell ref="AD36:AF36"/>
    <mergeCell ref="AH36:AJ36"/>
    <mergeCell ref="AL36:AN36"/>
    <mergeCell ref="B36:D36"/>
    <mergeCell ref="F36:H36"/>
    <mergeCell ref="J36:L36"/>
    <mergeCell ref="N36:P36"/>
    <mergeCell ref="R36:T36"/>
    <mergeCell ref="V36:X36"/>
    <mergeCell ref="Z36:AB36"/>
    <mergeCell ref="AD51:AF51"/>
    <mergeCell ref="AH51:AJ51"/>
    <mergeCell ref="AL51:AN51"/>
    <mergeCell ref="B51:D51"/>
    <mergeCell ref="F51:H51"/>
    <mergeCell ref="J51:L51"/>
    <mergeCell ref="N51:P51"/>
    <mergeCell ref="R51:T51"/>
    <mergeCell ref="V51:X51"/>
    <mergeCell ref="Z51:AB51"/>
    <mergeCell ref="AD83:AF83"/>
    <mergeCell ref="AH83:AJ83"/>
    <mergeCell ref="AL83:AN83"/>
    <mergeCell ref="B83:D83"/>
    <mergeCell ref="F83:H83"/>
    <mergeCell ref="J83:L83"/>
    <mergeCell ref="N83:P83"/>
    <mergeCell ref="R83:T83"/>
    <mergeCell ref="V83:X83"/>
    <mergeCell ref="Z83:AB83"/>
    <mergeCell ref="AD110:AF110"/>
    <mergeCell ref="AH110:AJ110"/>
    <mergeCell ref="AL110:AN110"/>
    <mergeCell ref="B110:D110"/>
    <mergeCell ref="F110:H110"/>
    <mergeCell ref="J110:L110"/>
    <mergeCell ref="N110:P110"/>
    <mergeCell ref="R110:T110"/>
    <mergeCell ref="V110:X110"/>
    <mergeCell ref="Z110:AB11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1" width="33.63"/>
  </cols>
  <sheetData>
    <row r="1" ht="42.75" customHeight="1">
      <c r="A1" s="72" t="s">
        <v>233</v>
      </c>
      <c r="E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72" t="s">
        <v>234</v>
      </c>
      <c r="M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4"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7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75" t="s">
        <v>2355</v>
      </c>
      <c r="AK1" s="76" t="s">
        <v>237</v>
      </c>
      <c r="AO1" s="75"/>
    </row>
    <row r="2" ht="42.75" customHeight="1">
      <c r="AO2" s="75"/>
    </row>
    <row r="3">
      <c r="A3" s="153" t="s">
        <v>238</v>
      </c>
      <c r="B3" s="85" t="s">
        <v>2356</v>
      </c>
      <c r="C3" s="86" t="s">
        <v>240</v>
      </c>
      <c r="D3" s="87" t="s">
        <v>241</v>
      </c>
      <c r="E3" s="153" t="s">
        <v>238</v>
      </c>
      <c r="F3" s="85" t="str">
        <f>IFERROR(__xludf.DUMMYFUNCTION("GOOGLETRANSLATE(B3,""zh-tw"",""ja"")"),"RPGイベント")</f>
        <v>RPGイベント</v>
      </c>
      <c r="G3" s="86" t="str">
        <f>IFERROR(__xludf.DUMMYFUNCTION("GOOGLETRANSLATE(C3,""zh-tw"",""ja"")"),"説明する")</f>
        <v>説明する</v>
      </c>
      <c r="H3" s="87" t="str">
        <f>IFERROR(__xludf.DUMMYFUNCTION("GOOGLETRANSLATE(D3,""zh-tw"",""ja"")"),"結果")</f>
        <v>結果</v>
      </c>
      <c r="I3" s="153" t="s">
        <v>238</v>
      </c>
      <c r="J3" s="85" t="s">
        <v>2357</v>
      </c>
      <c r="K3" s="86" t="s">
        <v>243</v>
      </c>
      <c r="L3" s="87" t="s">
        <v>244</v>
      </c>
      <c r="M3" s="81" t="str">
        <f>IFERROR(__xludf.DUMMYFUNCTION("GOOGLETRANSLATE(E3,""zh-tw"",""en"")"),"NO.")</f>
        <v>NO.</v>
      </c>
      <c r="N3" s="82" t="str">
        <f>IFERROR(__xludf.DUMMYFUNCTION("GOOGLETRANSLATE(B3,""zh-tw"",""zh"")"),"RPG事件")</f>
        <v>RPG事件</v>
      </c>
      <c r="O3" s="83" t="str">
        <f>IFERROR(__xludf.DUMMYFUNCTION("GOOGLETRANSLATE(C3,""zh-tw"",""zh"")"),"说明")</f>
        <v>说明</v>
      </c>
      <c r="P3" s="154" t="str">
        <f>IFERROR(__xludf.DUMMYFUNCTION("GOOGLETRANSLATE(D3,""zh-tw"",""zh"")"),"结果")</f>
        <v>结果</v>
      </c>
      <c r="Q3" s="81" t="s">
        <v>238</v>
      </c>
      <c r="R3" s="82" t="str">
        <f>IFERROR(__xludf.DUMMYFUNCTION("GOOGLETRANSLATE(B3,""zh-tw"",""es-MX"")"),"Evento de rol")</f>
        <v>Evento de rol</v>
      </c>
      <c r="S3" s="83" t="str">
        <f>IFERROR(__xludf.DUMMYFUNCTION("GOOGLETRANSLATE(C3,""zh-tw"",""es-MX"")"),"ilustrar")</f>
        <v>ilustrar</v>
      </c>
      <c r="T3" s="84" t="str">
        <f>IFERROR(__xludf.DUMMYFUNCTION("GOOGLETRANSLATE(D3,""zh-tw"",""es-MX"")"),"resultado")</f>
        <v>resultado</v>
      </c>
      <c r="U3" s="81" t="s">
        <v>238</v>
      </c>
      <c r="V3" s="82" t="str">
        <f>IFERROR(__xludf.DUMMYFUNCTION("GOOGLETRANSLATE(B3,""zh-tw"",""KO"")"),"RPG 이벤트")</f>
        <v>RPG 이벤트</v>
      </c>
      <c r="W3" s="83" t="str">
        <f>IFERROR(__xludf.DUMMYFUNCTION("GOOGLETRANSLATE(C3,""zh-tw"",""KO"")"),"설명하다")</f>
        <v>설명하다</v>
      </c>
      <c r="X3" s="84" t="str">
        <f>IFERROR(__xludf.DUMMYFUNCTION("GOOGLETRANSLATE(D3,""zh-tw"",""KO"")"),"결과")</f>
        <v>결과</v>
      </c>
      <c r="Y3" s="153" t="s">
        <v>238</v>
      </c>
      <c r="Z3" s="82" t="str">
        <f>IFERROR(__xludf.DUMMYFUNCTION("GOOGLETRANSLATE(B3,""zh-tw"",""ru"")"),"РПГ-событие")</f>
        <v>РПГ-событие</v>
      </c>
      <c r="AA3" s="155" t="str">
        <f>IFERROR(__xludf.DUMMYFUNCTION("GOOGLETRANSLATE(C3,""zh-tw"",""RU"")"),"проиллюстрировать")</f>
        <v>проиллюстрировать</v>
      </c>
      <c r="AB3" s="84" t="str">
        <f>IFERROR(__xludf.DUMMYFUNCTION("GOOGLETRANSLATE(D3,""zh-tw"",""RU"")"),"результат")</f>
        <v>результат</v>
      </c>
      <c r="AC3" s="153" t="s">
        <v>238</v>
      </c>
      <c r="AD3" s="85" t="s">
        <v>2358</v>
      </c>
      <c r="AE3" s="156" t="s">
        <v>2359</v>
      </c>
      <c r="AF3" s="87" t="s">
        <v>2360</v>
      </c>
      <c r="AG3" s="157" t="s">
        <v>2361</v>
      </c>
      <c r="AH3" s="158" t="s">
        <v>2362</v>
      </c>
      <c r="AI3" s="159" t="s">
        <v>2363</v>
      </c>
      <c r="AJ3" s="160" t="s">
        <v>257</v>
      </c>
      <c r="AK3" s="81" t="s">
        <v>238</v>
      </c>
      <c r="AL3" s="82" t="s">
        <v>2364</v>
      </c>
      <c r="AM3" s="83" t="s">
        <v>259</v>
      </c>
      <c r="AN3" s="84" t="s">
        <v>247</v>
      </c>
      <c r="AO3" s="84"/>
    </row>
    <row r="4">
      <c r="A4" s="121" t="s">
        <v>2365</v>
      </c>
      <c r="B4" s="118" t="s">
        <v>2366</v>
      </c>
      <c r="C4" s="109" t="s">
        <v>2367</v>
      </c>
      <c r="D4" s="69" t="s">
        <v>2368</v>
      </c>
      <c r="E4" s="121" t="str">
        <f>IFERROR(__xludf.DUMMYFUNCTION("GOOGLETRANSLATE(A4,""zh-tw"",""ja"")"),"R1")</f>
        <v>R1</v>
      </c>
      <c r="F4" s="118" t="s">
        <v>2369</v>
      </c>
      <c r="G4" s="109" t="s">
        <v>2370</v>
      </c>
      <c r="H4" s="69" t="s">
        <v>2371</v>
      </c>
      <c r="I4" s="121" t="str">
        <f>IFERROR(__xludf.DUMMYFUNCTION("GOOGLETRANSLATE(A4,""zh-tw"",""en"")"),"R1")</f>
        <v>R1</v>
      </c>
      <c r="J4" s="118" t="s">
        <v>2372</v>
      </c>
      <c r="K4" s="109" t="s">
        <v>2373</v>
      </c>
      <c r="L4" s="69" t="s">
        <v>2374</v>
      </c>
      <c r="M4" s="137" t="str">
        <f>IFERROR(__xludf.DUMMYFUNCTION("GOOGLETRANSLATE(A4,""zh-tw"",""en"")"),"R1")</f>
        <v>R1</v>
      </c>
      <c r="N4" s="118" t="str">
        <f>IFERROR(__xludf.DUMMYFUNCTION("GOOGLETRANSLATE(B4,""zh-tw"",""zh"")"),"提前回家")</f>
        <v>提前回家</v>
      </c>
      <c r="O4" s="103" t="str">
        <f>IFERROR(__xludf.DUMMYFUNCTION("GOOGLETRANSLATE(C4,""zh-tw"",""zh"")"),"于冒险者的街道
起始点往下走，是提前回家。")</f>
        <v>于冒险者的街道
起始点往下走，是提前回家。</v>
      </c>
      <c r="P4" s="71" t="str">
        <f>IFERROR(__xludf.DUMMYFUNCTION("GOOGLETRANSLATE(D4,""zh-tw"",""zh"")"),"第一次会触发一段特殊剧情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4" s="137" t="str">
        <f>IFERROR(__xludf.DUMMYFUNCTION("GOOGLETRANSLATE(A4,""zh-tw"",""ja"")"),"R1")</f>
        <v>R1</v>
      </c>
      <c r="R4" s="138" t="str">
        <f>IFERROR(__xludf.DUMMYFUNCTION("GOOGLETRANSLATE(B4,""zh-tw"",""es-MX"")"),"Vete a casa temprano")</f>
        <v>Vete a casa temprano</v>
      </c>
      <c r="S4" s="103" t="str">
        <f>IFERROR(__xludf.DUMMYFUNCTION("GOOGLETRANSLATE(C4,""zh-tw"",""es-MX"")"),"En la calle de los aventureros, bajar desde el punto de partida es la forma de volver a casa temprano.")</f>
        <v>En la calle de los aventureros, bajar desde el punto de partida es la forma de volver a casa temprano.</v>
      </c>
      <c r="T4" s="71" t="str">
        <f>IFERROR(__xludf.DUMMYFUNCTION("GOOGLETRANSLATE(D4,""zh-tw"",""es-MX"")"),"La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4" s="161" t="str">
        <f>IFERROR(__xludf.DUMMYFUNCTION("GOOGLETRANSLATE(A4,""zh-tw"",""en"")"),"R1")</f>
        <v>R1</v>
      </c>
      <c r="V4" s="118" t="s">
        <v>2375</v>
      </c>
      <c r="W4" s="103" t="str">
        <f>IFERROR(__xludf.DUMMYFUNCTION("GOOGLETRANSLATE(C4,""zh-tw"",""KO"")"),"모험가의 거리에서는 시작지점에서 내려가는 것이 일찍 집에 가는 길입니다.")</f>
        <v>모험가의 거리에서는 시작지점에서 내려가는 것이 일찍 집에 가는 길입니다.</v>
      </c>
      <c r="X4" s="69" t="s">
        <v>2376</v>
      </c>
      <c r="Y4" s="161" t="str">
        <f>IFERROR(__xludf.DUMMYFUNCTION("GOOGLETRANSLATE(E4,""zh-tw"",""en"")"),"R1")</f>
        <v>R1</v>
      </c>
      <c r="Z4" s="118" t="str">
        <f>IFERROR(__xludf.DUMMYFUNCTION("GOOGLETRANSLATE(B4,""zh-tw"",""ru"")"),"Иди домой пораньше")</f>
        <v>Иди домой пораньше</v>
      </c>
      <c r="AA4" s="162" t="str">
        <f>IFERROR(__xludf.DUMMYFUNCTION("GOOGLETRANSLATE(C4,""zh-tw"",""RU"")"),"На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4" s="64" t="str">
        <f>IFERROR(__xludf.DUMMYFUNCTION("GOOGLETRANSLATE(D4,""zh-tw"",""RU"")"),"Первый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4" s="163" t="str">
        <f>IFERROR(__xludf.DUMMYFUNCTION("GOOGLETRANSLATE(I4,""zh-tw"",""en"")"),"R1")</f>
        <v>R1</v>
      </c>
      <c r="AD4" s="118" t="s">
        <v>2377</v>
      </c>
      <c r="AE4" s="164" t="s">
        <v>2378</v>
      </c>
      <c r="AF4" s="119" t="s">
        <v>2379</v>
      </c>
      <c r="AG4" s="98" t="s">
        <v>2365</v>
      </c>
      <c r="AH4" s="106" t="s">
        <v>2380</v>
      </c>
      <c r="AI4" s="165" t="s">
        <v>2381</v>
      </c>
      <c r="AJ4" s="67" t="s">
        <v>2382</v>
      </c>
      <c r="AK4" s="137" t="s">
        <v>2365</v>
      </c>
      <c r="AL4" s="138" t="s">
        <v>2383</v>
      </c>
      <c r="AM4" s="123" t="s">
        <v>2384</v>
      </c>
      <c r="AN4" s="66" t="s">
        <v>2385</v>
      </c>
      <c r="AO4" s="124"/>
    </row>
    <row r="5">
      <c r="A5" s="121" t="s">
        <v>2386</v>
      </c>
      <c r="B5" s="118" t="s">
        <v>2387</v>
      </c>
      <c r="C5" s="109" t="s">
        <v>2388</v>
      </c>
      <c r="D5" s="69" t="s">
        <v>2389</v>
      </c>
      <c r="E5" s="121" t="str">
        <f>IFERROR(__xludf.DUMMYFUNCTION("GOOGLETRANSLATE(A5,""zh-tw"",""ja"")"),"R2")</f>
        <v>R2</v>
      </c>
      <c r="F5" s="118" t="s">
        <v>2387</v>
      </c>
      <c r="G5" s="109" t="s">
        <v>2390</v>
      </c>
      <c r="H5" s="69" t="s">
        <v>2391</v>
      </c>
      <c r="I5" s="121" t="str">
        <f>IFERROR(__xludf.DUMMYFUNCTION("GOOGLETRANSLATE(A5,""zh-tw"",""en"")"),"R2")</f>
        <v>R2</v>
      </c>
      <c r="J5" s="118" t="s">
        <v>2392</v>
      </c>
      <c r="K5" s="109" t="s">
        <v>2393</v>
      </c>
      <c r="L5" s="69" t="s">
        <v>2394</v>
      </c>
      <c r="M5" s="137" t="str">
        <f>IFERROR(__xludf.DUMMYFUNCTION("GOOGLETRANSLATE(A5,""zh-tw"",""en"")"),"R2")</f>
        <v>R2</v>
      </c>
      <c r="N5" s="118" t="str">
        <f>IFERROR(__xludf.DUMMYFUNCTION("GOOGLETRANSLATE(B5,""zh-tw"",""zh"")"),"闪步太刀")</f>
        <v>闪步太刀</v>
      </c>
      <c r="O5" s="109" t="s">
        <v>2395</v>
      </c>
      <c r="P5" s="71" t="str">
        <f>IFERROR(__xludf.DUMMYFUNCTION("GOOGLETRANSLATE(D5,""zh-tw"",""zh"")"),"习得技能:闪步太刀")</f>
        <v>习得技能:闪步太刀</v>
      </c>
      <c r="Q5" s="137" t="str">
        <f>IFERROR(__xludf.DUMMYFUNCTION("GOOGLETRANSLATE(A5,""zh-tw"",""ja"")"),"R2")</f>
        <v>R2</v>
      </c>
      <c r="R5" s="138" t="str">
        <f>IFERROR(__xludf.DUMMYFUNCTION("GOOGLETRANSLATE(B5,""zh-tw"",""es-MX"")"),"Espada de paso rápido")</f>
        <v>Espada de paso rápido</v>
      </c>
      <c r="S5" s="103" t="str">
        <f>IFERROR(__xludf.DUMMYFUNCTION("GOOGLETRANSLATE(C5,""zh-tw"",""es-MX"")"),"Equipa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5" s="71" t="str">
        <f>IFERROR(__xludf.DUMMYFUNCTION("GOOGLETRANSLATE(D5,""zh-tw"",""es-MX"")"),"Habilidad aprendida: Flash Step Katana")</f>
        <v>Habilidad aprendida: Flash Step Katana</v>
      </c>
      <c r="U5" s="161" t="str">
        <f>IFERROR(__xludf.DUMMYFUNCTION("GOOGLETRANSLATE(A5,""zh-tw"",""en"")"),"R2")</f>
        <v>R2</v>
      </c>
      <c r="V5" s="138" t="str">
        <f>IFERROR(__xludf.DUMMYFUNCTION("GOOGLETRANSLATE(B5,""zh-tw"",""KO"")"),"플래시 스텝 소드")</f>
        <v>플래시 스텝 소드</v>
      </c>
      <c r="W5" s="103" t="str">
        <f>IFERROR(__xludf.DUMMYFUNCTION("GOOGLETRANSLATE(C5,""zh-tw"",""KO"")"),"""단단한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5" s="71" t="str">
        <f>IFERROR(__xludf.DUMMYFUNCTION("GOOGLETRANSLATE(D5,""zh-tw"",""KO"")"),"습득 기술: 플래시 스텝 카타나")</f>
        <v>습득 기술: 플래시 스텝 카타나</v>
      </c>
      <c r="Y5" s="161" t="str">
        <f>IFERROR(__xludf.DUMMYFUNCTION("GOOGLETRANSLATE(E5,""zh-tw"",""en"")"),"R2")</f>
        <v>R2</v>
      </c>
      <c r="Z5" s="118" t="str">
        <f>IFERROR(__xludf.DUMMYFUNCTION("GOOGLETRANSLATE(B5,""zh-tw"",""ru"")"),"Меч-флеш-шаг")</f>
        <v>Меч-флеш-шаг</v>
      </c>
      <c r="AA5" s="162" t="str">
        <f>IFERROR(__xludf.DUMMYFUNCTION("GOOGLETRANSLATE(C5,""zh-tw"",""RU"")"),"Вооружитесь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5" s="64" t="str">
        <f>IFERROR(__xludf.DUMMYFUNCTION("GOOGLETRANSLATE(D5,""zh-tw"",""RU"")"),"Изученный навык: Молниеносный шаг катаны")</f>
        <v>Изученный навык: Молниеносный шаг катаны</v>
      </c>
      <c r="AC5" s="161" t="str">
        <f>IFERROR(__xludf.DUMMYFUNCTION("GOOGLETRANSLATE(I5,""zh-tw"",""en"")"),"R2")</f>
        <v>R2</v>
      </c>
      <c r="AD5" s="118" t="s">
        <v>2396</v>
      </c>
      <c r="AE5" s="164" t="s">
        <v>2397</v>
      </c>
      <c r="AF5" s="119" t="s">
        <v>2398</v>
      </c>
      <c r="AG5" s="98" t="s">
        <v>2386</v>
      </c>
      <c r="AH5" s="106" t="s">
        <v>2392</v>
      </c>
      <c r="AI5" s="165" t="s">
        <v>2399</v>
      </c>
      <c r="AJ5" s="67" t="s">
        <v>2400</v>
      </c>
      <c r="AK5" s="137" t="s">
        <v>2386</v>
      </c>
      <c r="AL5" s="138" t="s">
        <v>2392</v>
      </c>
      <c r="AM5" s="123" t="s">
        <v>2401</v>
      </c>
      <c r="AN5" s="124" t="s">
        <v>2402</v>
      </c>
      <c r="AO5" s="124"/>
    </row>
    <row r="6" ht="167.25" customHeight="1">
      <c r="A6" s="121" t="s">
        <v>2403</v>
      </c>
      <c r="B6" s="118" t="s">
        <v>2404</v>
      </c>
      <c r="C6" s="109" t="s">
        <v>2405</v>
      </c>
      <c r="D6" s="69" t="s">
        <v>2406</v>
      </c>
      <c r="E6" s="121" t="str">
        <f>IFERROR(__xludf.DUMMYFUNCTION("GOOGLETRANSLATE(A6,""zh-tw"",""ja"")"),"R3")</f>
        <v>R3</v>
      </c>
      <c r="F6" s="118" t="s">
        <v>2407</v>
      </c>
      <c r="G6" s="109" t="s">
        <v>2408</v>
      </c>
      <c r="H6" s="69" t="s">
        <v>2409</v>
      </c>
      <c r="I6" s="121" t="str">
        <f>IFERROR(__xludf.DUMMYFUNCTION("GOOGLETRANSLATE(A6,""zh-tw"",""en"")"),"R3")</f>
        <v>R3</v>
      </c>
      <c r="J6" s="118" t="s">
        <v>2410</v>
      </c>
      <c r="K6" s="109" t="s">
        <v>2411</v>
      </c>
      <c r="L6" s="69" t="s">
        <v>2412</v>
      </c>
      <c r="M6" s="137" t="str">
        <f>IFERROR(__xludf.DUMMYFUNCTION("GOOGLETRANSLATE(A6,""zh-tw"",""en"")"),"R3")</f>
        <v>R3</v>
      </c>
      <c r="N6" s="118" t="str">
        <f>IFERROR(__xludf.DUMMYFUNCTION("GOOGLETRANSLATE(B6,""zh-tw"",""zh"")"),"剑术修行")</f>
        <v>剑术修行</v>
      </c>
      <c r="O6" s="103" t="str">
        <f>IFERROR(__xludf.DUMMYFUNCTION("GOOGLETRANSLATE(C6,""zh-tw"",""zh"")"),"习得「闪步太刀」后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6" s="71" t="str">
        <f>IFERROR(__xludf.DUMMYFUNCTION("GOOGLETRANSLATE(D6,""zh-tw"",""zh"")"),"在修行过程中，将逐步累积隐藏数值，最高可达空挥36000次。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6" s="137" t="str">
        <f>IFERROR(__xludf.DUMMYFUNCTION("GOOGLETRANSLATE(A6,""zh-tw"",""ja"")"),"R3")</f>
        <v>R3</v>
      </c>
      <c r="R6" s="138" t="str">
        <f>IFERROR(__xludf.DUMMYFUNCTION("GOOGLETRANSLATE(B6,""zh-tw"",""es-MX"")"),"Entrenamiento de esgrima")</f>
        <v>Entrenamiento de esgrima</v>
      </c>
      <c r="S6" s="103" t="str">
        <f>IFERROR(__xludf.DUMMYFUNCTION("GOOGLETRANSLATE(C6,""zh-tw"",""es-MX"")"),"Tras aprender la ""Katana de Paso Rápido"", equipar un arma cuerpo a cuerpo y realizar un cuarto corte aéreo entrará automáticamente en un estado de entrenamiento de esgrima oculta.
Usar un arma agrandada puede aumentar la eficiencia del entrenamiento (p"&amp;"or ejemplo, usando cartas del tarot o habilidades inherentes al arma).")</f>
        <v>Tras aprender la "Katana de Paso Rápido", equipar un arma cuerpo a cuerpo y realizar un cuarto corte aéreo entrará automáticamente en un estado de entrenamiento de esgrima oculta.
Usar un arma agrandada puede aumentar la eficiencia del entrenamiento (por ejemplo, usando cartas del tarot o habilidades inherentes al arma).</v>
      </c>
      <c r="T6" s="71" t="str">
        <f>IFERROR(__xludf.DUMMYFUNCTION("GOOGLETRANSLATE(D6,""zh-tw"",""es-MX"")"),"Durante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6" s="161" t="str">
        <f>IFERROR(__xludf.DUMMYFUNCTION("GOOGLETRANSLATE(A6,""zh-tw"",""en"")"),"R3")</f>
        <v>R3</v>
      </c>
      <c r="V6" s="138" t="str">
        <f>IFERROR(__xludf.DUMMYFUNCTION("GOOGLETRANSLATE(B6,""zh-tw"",""KO"")"),"검술 훈련")</f>
        <v>검술 훈련</v>
      </c>
      <c r="W6" s="103" t="str">
        <f>IFERROR(__xludf.DUMMYFUNCTION("GOOGLETRANSLATE(C6,""zh-tw"",""KO"")"),"""플래시 스텝 카타나""를 습득한 후, ""근접 무기""를 장착하고 4번째 공중 베기를 시전하면 자동으로 숨겨진 검술 수련 상태로 전환됩니다.
확대된 무기를 사용하면 수련 효율을 높일 수 있습니다(예: 타로 카드 사용 또는 무기 고유 기술 사용).")</f>
        <v>"플래시 스텝 카타나"를 습득한 후, "근접 무기"를 장착하고 4번째 공중 베기를 시전하면 자동으로 숨겨진 검술 수련 상태로 전환됩니다.
확대된 무기를 사용하면 수련 효율을 높일 수 있습니다(예: 타로 카드 사용 또는 무기 고유 기술 사용).</v>
      </c>
      <c r="X6" s="71" t="str">
        <f>IFERROR(__xludf.DUMMYFUNCTION("GOOGLETRANSLATE(D6,""zh-tw"",""KO"")"),"훈련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6" s="161" t="str">
        <f>IFERROR(__xludf.DUMMYFUNCTION("GOOGLETRANSLATE(E6,""zh-tw"",""en"")"),"R3")</f>
        <v>R3</v>
      </c>
      <c r="Z6" s="118" t="str">
        <f>IFERROR(__xludf.DUMMYFUNCTION("GOOGLETRANSLATE(B6,""zh-tw"",""ru"")"),"Обучение фехтованию")</f>
        <v>Обучение фехтованию</v>
      </c>
      <c r="AA6" s="162" t="str">
        <f>IFERROR(__xludf.DUMMYFUNCTION("GOOGLETRANSLATE(C6,""zh-tw"",""RU"")"),"После освоения техники «Быстрый шаг катаны», экипировка «оружия ближнего боя» и выполнение четвёртого воздушного удара автоматически переведут вас в скрытое состояние обучения фехтованию.
Использование увеличенного оружия может повысить эффективность тре"&amp;"нировок (например, использование карт Таро или навыков, присущих самому оружию).")</f>
        <v>После освоения техники «Быстрый шаг катаны», экипировка «оружия ближнего боя» и выполнение четвёртого воздушного удара автоматически переведут вас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6" s="64" t="str">
        <f>IFERROR(__xludf.DUMMYFUNCTION("GOOGLETRANSLATE(D6,""zh-tw"",""RU"")"),"Во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6" s="161" t="str">
        <f>IFERROR(__xludf.DUMMYFUNCTION("GOOGLETRANSLATE(I6,""zh-tw"",""en"")"),"R3")</f>
        <v>R3</v>
      </c>
      <c r="AD6" s="118" t="s">
        <v>2413</v>
      </c>
      <c r="AE6" s="164" t="s">
        <v>2414</v>
      </c>
      <c r="AF6" s="119" t="s">
        <v>2415</v>
      </c>
      <c r="AG6" s="98" t="s">
        <v>2403</v>
      </c>
      <c r="AH6" s="106" t="s">
        <v>2416</v>
      </c>
      <c r="AI6" s="165" t="s">
        <v>2417</v>
      </c>
      <c r="AJ6" s="67" t="s">
        <v>2418</v>
      </c>
      <c r="AK6" s="137" t="s">
        <v>2403</v>
      </c>
      <c r="AL6" s="138" t="s">
        <v>2419</v>
      </c>
      <c r="AM6" s="123" t="s">
        <v>2420</v>
      </c>
      <c r="AN6" s="124" t="s">
        <v>2421</v>
      </c>
      <c r="AO6" s="124"/>
    </row>
    <row r="7">
      <c r="A7" s="121" t="s">
        <v>2422</v>
      </c>
      <c r="B7" s="118" t="s">
        <v>2423</v>
      </c>
      <c r="C7" s="109" t="s">
        <v>2424</v>
      </c>
      <c r="D7" s="69" t="s">
        <v>2425</v>
      </c>
      <c r="E7" s="121" t="str">
        <f>IFERROR(__xludf.DUMMYFUNCTION("GOOGLETRANSLATE(A7,""zh-tw"",""ja"")"),"R4")</f>
        <v>R4</v>
      </c>
      <c r="F7" s="118" t="s">
        <v>2426</v>
      </c>
      <c r="G7" s="135" t="s">
        <v>2427</v>
      </c>
      <c r="H7" s="69" t="s">
        <v>2428</v>
      </c>
      <c r="I7" s="121" t="str">
        <f>IFERROR(__xludf.DUMMYFUNCTION("GOOGLETRANSLATE(A7,""zh-tw"",""en"")"),"R4")</f>
        <v>R4</v>
      </c>
      <c r="J7" s="118" t="s">
        <v>2429</v>
      </c>
      <c r="K7" s="135" t="s">
        <v>2430</v>
      </c>
      <c r="L7" s="69" t="s">
        <v>2431</v>
      </c>
      <c r="M7" s="137" t="str">
        <f>IFERROR(__xludf.DUMMYFUNCTION("GOOGLETRANSLATE(A7,""zh-tw"",""en"")"),"R4")</f>
        <v>R4</v>
      </c>
      <c r="N7" s="118" t="str">
        <f>IFERROR(__xludf.DUMMYFUNCTION("GOOGLETRANSLATE(B7,""zh-tw"",""zh"")"),"攻略在哪里?")</f>
        <v>攻略在哪里?</v>
      </c>
      <c r="O7" s="103" t="str">
        <f>IFERROR(__xludf.DUMMYFUNCTION("GOOGLETRANSLATE(C7,""zh-tw"",""zh"")"),"冒险者小道:集结地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7" s="71" t="str">
        <f>IFERROR(__xludf.DUMMYFUNCTION("GOOGLETRANSLATE(D7,""zh-tw"",""zh"")"),"获得道具：冒险者心得
*后续剧情待更新")</f>
        <v>获得道具：冒险者心得
*后续剧情待更新</v>
      </c>
      <c r="Q7" s="137" t="str">
        <f>IFERROR(__xludf.DUMMYFUNCTION("GOOGLETRANSLATE(A7,""zh-tw"",""ja"")"),"R4")</f>
        <v>R4</v>
      </c>
      <c r="R7" s="138" t="str">
        <f>IFERROR(__xludf.DUMMYFUNCTION("GOOGLETRANSLATE(B7,""zh-tw"",""es-MX"")"),"¿Dónde puedo encontrar el tutorial?")</f>
        <v>¿Dónde puedo encontrar el tutorial?</v>
      </c>
      <c r="S7" s="103"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71" t="str">
        <f>IFERROR(__xludf.DUMMYFUNCTION("GOOGLETRANSLATE(D7,""zh-tw"",""es-MX"")"),"Objeto obtenido: Perspectivas del Aventurero
*Se actualizará la historia próximamente.")</f>
        <v>Objeto obtenido: Perspectivas del Aventurero
*Se actualizará la historia próximamente.</v>
      </c>
      <c r="U7" s="161" t="str">
        <f>IFERROR(__xludf.DUMMYFUNCTION("GOOGLETRANSLATE(A7,""zh-tw"",""en"")"),"R4")</f>
        <v>R4</v>
      </c>
      <c r="V7" s="138" t="str">
        <f>IFERROR(__xludf.DUMMYFUNCTION("GOOGLETRANSLATE(B7,""zh-tw"",""KO"")"),"연습문제는 어디서 볼 수 있나요?")</f>
        <v>연습문제는 어디서 볼 수 있나요?</v>
      </c>
      <c r="W7" s="103" t="str">
        <f>IFERROR(__xludf.DUMMYFUNCTION("GOOGLETRANSLATE(C7,""zh-tw"",""KO"")"),"모험가의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7" s="71" t="str">
        <f>IFERROR(__xludf.DUMMYFUNCTION("GOOGLETRANSLATE(D7,""zh-tw"",""KO"")"),"획득 아이템: 모험가의 통찰력
*추가 스토리는 추후 업데이트됩니다.")</f>
        <v>획득 아이템: 모험가의 통찰력
*추가 스토리는 추후 업데이트됩니다.</v>
      </c>
      <c r="Y7" s="161" t="str">
        <f>IFERROR(__xludf.DUMMYFUNCTION("GOOGLETRANSLATE(E7,""zh-tw"",""en"")"),"R4")</f>
        <v>R4</v>
      </c>
      <c r="Z7" s="118" t="str">
        <f>IFERROR(__xludf.DUMMYFUNCTION("GOOGLETRANSLATE(B7,""zh-tw"",""ru"")"),"Где я могу найти пошаговое руководство?")</f>
        <v>Где я могу найти пошаговое руководство?</v>
      </c>
      <c r="AA7" s="162" t="str">
        <f>IFERROR(__xludf.DUMMYFUNCTION("GOOGLETRANSLATE(C7,""zh-tw"",""RU"")"),"Путь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7" s="64" t="str">
        <f>IFERROR(__xludf.DUMMYFUNCTION("GOOGLETRANSLATE(D7,""zh-tw"",""RU"")"),"Полученный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7" s="161" t="str">
        <f>IFERROR(__xludf.DUMMYFUNCTION("GOOGLETRANSLATE(I7,""zh-tw"",""en"")"),"R4")</f>
        <v>R4</v>
      </c>
      <c r="AD7" s="118" t="s">
        <v>2432</v>
      </c>
      <c r="AE7" s="164" t="s">
        <v>2433</v>
      </c>
      <c r="AF7" s="119" t="s">
        <v>2434</v>
      </c>
      <c r="AG7" s="98" t="s">
        <v>2422</v>
      </c>
      <c r="AH7" s="118" t="s">
        <v>2435</v>
      </c>
      <c r="AI7" s="166" t="s">
        <v>2436</v>
      </c>
      <c r="AJ7" s="66" t="s">
        <v>2437</v>
      </c>
      <c r="AK7" s="137" t="s">
        <v>2422</v>
      </c>
      <c r="AL7" s="138" t="s">
        <v>2438</v>
      </c>
      <c r="AM7" s="141" t="s">
        <v>2439</v>
      </c>
      <c r="AN7" s="124" t="s">
        <v>2440</v>
      </c>
      <c r="AO7" s="124"/>
    </row>
    <row r="8">
      <c r="A8" s="121" t="s">
        <v>2441</v>
      </c>
      <c r="B8" s="118" t="s">
        <v>2442</v>
      </c>
      <c r="C8" s="109" t="s">
        <v>2443</v>
      </c>
      <c r="D8" s="136" t="s">
        <v>813</v>
      </c>
      <c r="E8" s="121" t="str">
        <f>IFERROR(__xludf.DUMMYFUNCTION("GOOGLETRANSLATE(A8,""zh-tw"",""ja"")"),"R5")</f>
        <v>R5</v>
      </c>
      <c r="F8" s="118" t="s">
        <v>2444</v>
      </c>
      <c r="G8" s="109" t="s">
        <v>2445</v>
      </c>
      <c r="H8" s="136" t="str">
        <f>IFERROR(__xludf.DUMMYFUNCTION("GOOGLETRANSLATE(D8,""zh-tw"",""ja"")"),"-")</f>
        <v>-</v>
      </c>
      <c r="I8" s="121" t="str">
        <f>IFERROR(__xludf.DUMMYFUNCTION("GOOGLETRANSLATE(A8,""zh-tw"",""en"")"),"R5")</f>
        <v>R5</v>
      </c>
      <c r="J8" s="118" t="s">
        <v>2446</v>
      </c>
      <c r="K8" s="109" t="s">
        <v>2447</v>
      </c>
      <c r="L8" s="71" t="str">
        <f>IFERROR(__xludf.DUMMYFUNCTION("GOOGLETRANSLATE(D8,""zh-tw"",""en"")"),"-")</f>
        <v>-</v>
      </c>
      <c r="M8" s="137" t="str">
        <f>IFERROR(__xludf.DUMMYFUNCTION("GOOGLETRANSLATE(A8,""zh-tw"",""en"")"),"R5")</f>
        <v>R5</v>
      </c>
      <c r="N8" s="118" t="str">
        <f>IFERROR(__xludf.DUMMYFUNCTION("GOOGLETRANSLATE(B8,""zh-tw"",""zh"")"),"饮料贩售机重生")</f>
        <v>饮料贩售机重生</v>
      </c>
      <c r="O8" s="109" t="s">
        <v>2448</v>
      </c>
      <c r="P8" s="142" t="str">
        <f>IFERROR(__xludf.DUMMYFUNCTION("GOOGLETRANSLATE(D8,""zh-tw"",""zh"")"),"-")</f>
        <v>-</v>
      </c>
      <c r="Q8" s="137" t="str">
        <f>IFERROR(__xludf.DUMMYFUNCTION("GOOGLETRANSLATE(A8,""zh-tw"",""ja"")"),"R5")</f>
        <v>R5</v>
      </c>
      <c r="R8" s="138" t="str">
        <f>IFERROR(__xludf.DUMMYFUNCTION("GOOGLETRANSLATE(B8,""zh-tw"",""es-MX"")"),"La máquina expendedora de bebidas renace")</f>
        <v>La máquina expendedora de bebidas renace</v>
      </c>
      <c r="S8" s="103"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142" t="str">
        <f>IFERROR(__xludf.DUMMYFUNCTION("GOOGLETRANSLATE(D8,""zh-tw"",""es-MX"")"),"-")</f>
        <v>-</v>
      </c>
      <c r="U8" s="161" t="str">
        <f>IFERROR(__xludf.DUMMYFUNCTION("GOOGLETRANSLATE(A8,""zh-tw"",""en"")"),"R5")</f>
        <v>R5</v>
      </c>
      <c r="V8" s="138" t="str">
        <f>IFERROR(__xludf.DUMMYFUNCTION("GOOGLETRANSLATE(B8,""zh-tw"",""KO"")"),"음료 자판기 부활")</f>
        <v>음료 자판기 부활</v>
      </c>
      <c r="W8" s="103" t="str">
        <f>IFERROR(__xludf.DUMMYFUNCTION("GOOGLETRANSLATE(C8,""zh-tw"",""KO"")"),"모험가의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8" s="142" t="str">
        <f>IFERROR(__xludf.DUMMYFUNCTION("GOOGLETRANSLATE(D8,""zh-tw"",""KO"")"),"-")</f>
        <v>-</v>
      </c>
      <c r="Y8" s="161" t="str">
        <f>IFERROR(__xludf.DUMMYFUNCTION("GOOGLETRANSLATE(E8,""zh-tw"",""en"")"),"R5")</f>
        <v>R5</v>
      </c>
      <c r="Z8" s="118" t="str">
        <f>IFERROR(__xludf.DUMMYFUNCTION("GOOGLETRANSLATE(B8,""zh-tw"",""ru"")"),"Возрождение автомата по продаже напитков")</f>
        <v>Возрождение автомата по продаже напитков</v>
      </c>
      <c r="AA8" s="162" t="str">
        <f>IFERROR(__xludf.DUMMYFUNCTION("GOOGLETRANSLATE(C8,""zh-tw"",""RU"")"),"Путь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8" s="167" t="str">
        <f>IFERROR(__xludf.DUMMYFUNCTION("GOOGLETRANSLATE(D8,""zh-tw"",""RU"")"),"-")</f>
        <v>-</v>
      </c>
      <c r="AC8" s="161" t="str">
        <f>IFERROR(__xludf.DUMMYFUNCTION("GOOGLETRANSLATE(I8,""zh-tw"",""en"")"),"R5")</f>
        <v>R5</v>
      </c>
      <c r="AD8" s="118" t="s">
        <v>2449</v>
      </c>
      <c r="AE8" s="164" t="s">
        <v>2450</v>
      </c>
      <c r="AF8" s="119" t="s">
        <v>2451</v>
      </c>
      <c r="AG8" s="98" t="s">
        <v>2441</v>
      </c>
      <c r="AH8" s="106" t="s">
        <v>2452</v>
      </c>
      <c r="AI8" s="165" t="s">
        <v>2453</v>
      </c>
      <c r="AJ8" s="51" t="s">
        <v>813</v>
      </c>
      <c r="AK8" s="137" t="s">
        <v>2441</v>
      </c>
      <c r="AL8" s="138" t="s">
        <v>2454</v>
      </c>
      <c r="AM8" s="123" t="s">
        <v>2455</v>
      </c>
      <c r="AN8" s="124" t="s">
        <v>813</v>
      </c>
      <c r="AO8" s="124"/>
    </row>
    <row r="9" ht="122.25" customHeight="1">
      <c r="A9" s="121" t="s">
        <v>2456</v>
      </c>
      <c r="B9" s="106" t="s">
        <v>2457</v>
      </c>
      <c r="C9" s="115" t="s">
        <v>2458</v>
      </c>
      <c r="D9" s="101" t="s">
        <v>2459</v>
      </c>
      <c r="E9" s="121" t="str">
        <f>IFERROR(__xludf.DUMMYFUNCTION("GOOGLETRANSLATE(A9,""zh-tw"",""ja"")"),"R6")</f>
        <v>R6</v>
      </c>
      <c r="F9" s="118" t="s">
        <v>2460</v>
      </c>
      <c r="G9" s="135" t="s">
        <v>2461</v>
      </c>
      <c r="H9" s="69" t="s">
        <v>2462</v>
      </c>
      <c r="I9" s="121" t="str">
        <f>IFERROR(__xludf.DUMMYFUNCTION("GOOGLETRANSLATE(A9,""zh-tw"",""en"")"),"R6")</f>
        <v>R6</v>
      </c>
      <c r="J9" s="118" t="s">
        <v>2463</v>
      </c>
      <c r="K9" s="109" t="s">
        <v>2464</v>
      </c>
      <c r="L9" s="69" t="s">
        <v>2465</v>
      </c>
      <c r="M9" s="137" t="str">
        <f>IFERROR(__xludf.DUMMYFUNCTION("GOOGLETRANSLATE(A9,""zh-tw"",""en"")"),"R6")</f>
        <v>R6</v>
      </c>
      <c r="N9" s="118" t="str">
        <f>IFERROR(__xludf.DUMMYFUNCTION("GOOGLETRANSLATE(B9,""zh-tw"",""zh"")"),"垃圾桶")</f>
        <v>垃圾桶</v>
      </c>
      <c r="O9" s="103" t="str">
        <f>IFERROR(__xludf.DUMMYFUNCTION("GOOGLETRANSLATE(C9,""zh-tw"",""zh"")"),"冒险者小道:集结地
于垃圾桶丢弃装备，打爆垃圾桶会获得道具。
只限制丢弃的当天，隔天就不算。")</f>
        <v>冒险者小道:集结地
于垃圾桶丢弃装备，打爆垃圾桶会获得道具。
只限制丢弃的当天，隔天就不算。</v>
      </c>
      <c r="P9" s="71" t="str">
        <f>IFERROR(__xludf.DUMMYFUNCTION("GOOGLETRANSLATE(D9,""zh-tw"",""zh"")"),"获得道具：魔力小凝胶
用于拓展背包格子")</f>
        <v>获得道具：魔力小凝胶
用于拓展背包格子</v>
      </c>
      <c r="Q9" s="137" t="str">
        <f>IFERROR(__xludf.DUMMYFUNCTION("GOOGLETRANSLATE(A9,""zh-tw"",""ja"")"),"R6")</f>
        <v>R6</v>
      </c>
      <c r="R9" s="138" t="str">
        <f>IFERROR(__xludf.DUMMYFUNCTION("GOOGLETRANSLATE(B9,""zh-tw"",""es-MX"")"),"cubo de la basura")</f>
        <v>cubo de la basura</v>
      </c>
      <c r="S9" s="103" t="str">
        <f>IFERROR(__xludf.DUMMYFUNCTION("GOOGLETRANSLATE(C9,""zh-tw"",""es-MX"")"),"Sendero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9" s="71" t="str">
        <f>IFERROR(__xludf.DUMMYFUNCTION("GOOGLETRANSLATE(D9,""zh-tw"",""es-MX"")"),"Obtener objeto: Gel Mágico
Se usa para ampliar las ranuras de la mochila.")</f>
        <v>Obtener objeto: Gel Mágico
Se usa para ampliar las ranuras de la mochila.</v>
      </c>
      <c r="U9" s="161" t="str">
        <f>IFERROR(__xludf.DUMMYFUNCTION("GOOGLETRANSLATE(A9,""zh-tw"",""en"")"),"R6")</f>
        <v>R6</v>
      </c>
      <c r="V9" s="138" t="str">
        <f>IFERROR(__xludf.DUMMYFUNCTION("GOOGLETRANSLATE(B9,""zh-tw"",""KO"")"),"쓰레기통")</f>
        <v>쓰레기통</v>
      </c>
      <c r="W9" s="103" t="str">
        <f>IFERROR(__xludf.DUMMYFUNCTION("GOOGLETRANSLATE(C9,""zh-tw"",""KO"")"),"모험가의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9" s="71" t="str">
        <f>IFERROR(__xludf.DUMMYFUNCTION("GOOGLETRANSLATE(D9,""zh-tw"",""KO"")"),"획득 아이템: 마법 젤
백팩 슬롯 확장에 사용")</f>
        <v>획득 아이템: 마법 젤
백팩 슬롯 확장에 사용</v>
      </c>
      <c r="Y9" s="161" t="str">
        <f>IFERROR(__xludf.DUMMYFUNCTION("GOOGLETRANSLATE(E9,""zh-tw"",""en"")"),"R6")</f>
        <v>R6</v>
      </c>
      <c r="Z9" s="118" t="str">
        <f>IFERROR(__xludf.DUMMYFUNCTION("GOOGLETRANSLATE(B9,""zh-tw"",""ru"")"),"мусорный бак")</f>
        <v>мусорный бак</v>
      </c>
      <c r="AA9" s="162" t="str">
        <f>IFERROR(__xludf.DUMMYFUNCTION("GOOGLETRANSLATE(C9,""zh-tw"",""RU"")"),"Путь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9" s="64" t="str">
        <f>IFERROR(__xludf.DUMMYFUNCTION("GOOGLETRANSLATE(D9,""zh-tw"",""RU"")"),"Получить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9" s="161" t="str">
        <f>IFERROR(__xludf.DUMMYFUNCTION("GOOGLETRANSLATE(I9,""zh-tw"",""en"")"),"R6")</f>
        <v>R6</v>
      </c>
      <c r="AD9" s="118" t="s">
        <v>2466</v>
      </c>
      <c r="AE9" s="164" t="s">
        <v>2467</v>
      </c>
      <c r="AF9" s="119" t="s">
        <v>2468</v>
      </c>
      <c r="AG9" s="98" t="s">
        <v>2456</v>
      </c>
      <c r="AH9" s="106" t="s">
        <v>2469</v>
      </c>
      <c r="AI9" s="165" t="s">
        <v>2470</v>
      </c>
      <c r="AJ9" s="67" t="s">
        <v>2471</v>
      </c>
      <c r="AK9" s="137" t="s">
        <v>2456</v>
      </c>
      <c r="AL9" s="138" t="s">
        <v>2472</v>
      </c>
      <c r="AM9" s="123" t="s">
        <v>2473</v>
      </c>
      <c r="AN9" s="124" t="s">
        <v>2474</v>
      </c>
      <c r="AO9" s="124"/>
    </row>
    <row r="10">
      <c r="A10" s="121" t="s">
        <v>2475</v>
      </c>
      <c r="B10" s="118" t="s">
        <v>2476</v>
      </c>
      <c r="C10" s="109" t="s">
        <v>2477</v>
      </c>
      <c r="D10" s="69" t="s">
        <v>2478</v>
      </c>
      <c r="E10" s="121" t="str">
        <f>IFERROR(__xludf.DUMMYFUNCTION("GOOGLETRANSLATE(A10,""zh-tw"",""ja"")"),"R7")</f>
        <v>R7</v>
      </c>
      <c r="F10" s="118" t="s">
        <v>2479</v>
      </c>
      <c r="G10" s="109" t="s">
        <v>2480</v>
      </c>
      <c r="H10" s="69" t="s">
        <v>2481</v>
      </c>
      <c r="I10" s="121" t="str">
        <f>IFERROR(__xludf.DUMMYFUNCTION("GOOGLETRANSLATE(A10,""zh-tw"",""en"")"),"R7")</f>
        <v>R7</v>
      </c>
      <c r="J10" s="118" t="s">
        <v>2482</v>
      </c>
      <c r="K10" s="109" t="s">
        <v>2483</v>
      </c>
      <c r="L10" s="69" t="s">
        <v>2484</v>
      </c>
      <c r="M10" s="137" t="str">
        <f>IFERROR(__xludf.DUMMYFUNCTION("GOOGLETRANSLATE(A10,""zh-tw"",""en"")"),"R7")</f>
        <v>R7</v>
      </c>
      <c r="N10" s="118" t="str">
        <f>IFERROR(__xludf.DUMMYFUNCTION("GOOGLETRANSLATE(B10,""zh-tw"",""zh"")"),"5000$")</f>
        <v>5000$</v>
      </c>
      <c r="O10" s="103" t="str">
        <f>IFERROR(__xludf.DUMMYFUNCTION("GOOGLETRANSLATE(C10,""zh-tw"",""zh"")"),"冒险者小道:林间 
小木屋烟囱后方捡取
(木屋左方斧头可捡到斧头)")</f>
        <v>冒险者小道:林间 
小木屋烟囱后方捡取
(木屋左方斧头可捡到斧头)</v>
      </c>
      <c r="P10" s="69" t="s">
        <v>2485</v>
      </c>
      <c r="Q10" s="137" t="str">
        <f>IFERROR(__xludf.DUMMYFUNCTION("GOOGLETRANSLATE(A10,""zh-tw"",""ja"")"),"R7")</f>
        <v>R7</v>
      </c>
      <c r="R10" s="138" t="str">
        <f>IFERROR(__xludf.DUMMYFUNCTION("GOOGLETRANSLATE(B10,""zh-tw"",""es-MX"")"),"$5000")</f>
        <v>$5000</v>
      </c>
      <c r="S10" s="103" t="str">
        <f>IFERROR(__xludf.DUMMYFUNCTION("GOOGLETRANSLATE(C10,""zh-tw"",""es-MX"")"),"Sendero del Aventurero: Bosque
Recoge el hacha tras la chimenea de la cabaña.
(El hacha se encuentra a la izquierda de la cabaña).")</f>
        <v>Sendero del Aventurero: Bosque
Recoge el hacha tras la chimenea de la cabaña.
(El hacha se encuentra a la izquierda de la cabaña).</v>
      </c>
      <c r="T10" s="71" t="str">
        <f>IFERROR(__xludf.DUMMYFUNCTION("GOOGLETRANSLATE(D10,""zh-tw"",""es-MX"")"),"Los $5000 se refrescarán después de que llueva, pero el monto será menor.")</f>
        <v>Los $5000 se refrescarán después de que llueva, pero el monto será menor.</v>
      </c>
      <c r="U10" s="161" t="str">
        <f>IFERROR(__xludf.DUMMYFUNCTION("GOOGLETRANSLATE(A10,""zh-tw"",""en"")"),"R7")</f>
        <v>R7</v>
      </c>
      <c r="V10" s="118" t="s">
        <v>2486</v>
      </c>
      <c r="W10" s="109" t="s">
        <v>2487</v>
      </c>
      <c r="X10" s="69" t="s">
        <v>2488</v>
      </c>
      <c r="Y10" s="161" t="str">
        <f>IFERROR(__xludf.DUMMYFUNCTION("GOOGLETRANSLATE(E10,""zh-tw"",""en"")"),"R7")</f>
        <v>R7</v>
      </c>
      <c r="Z10" s="118" t="str">
        <f>IFERROR(__xludf.DUMMYFUNCTION("GOOGLETRANSLATE(B10,""zh-tw"",""ru"")"),"5000 долларов")</f>
        <v>5000 долларов</v>
      </c>
      <c r="AA10" s="162" t="str">
        <f>IFERROR(__xludf.DUMMYFUNCTION("GOOGLETRANSLATE(C10,""zh-tw"",""RU"")"),"Тропа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0" s="64" t="str">
        <f>IFERROR(__xludf.DUMMYFUNCTION("GOOGLETRANSLATE(D10,""zh-tw"",""RU"")"),"После дождя $5000 снова станут доступными, но сумма уменьшится.")</f>
        <v>После дождя $5000 снова станут доступными, но сумма уменьшится.</v>
      </c>
      <c r="AC10" s="161" t="str">
        <f>IFERROR(__xludf.DUMMYFUNCTION("GOOGLETRANSLATE(I10,""zh-tw"",""en"")"),"R7")</f>
        <v>R7</v>
      </c>
      <c r="AD10" s="118" t="s">
        <v>2489</v>
      </c>
      <c r="AE10" s="164" t="s">
        <v>2490</v>
      </c>
      <c r="AF10" s="119" t="s">
        <v>2491</v>
      </c>
      <c r="AG10" s="98" t="s">
        <v>2475</v>
      </c>
      <c r="AH10" s="106" t="s">
        <v>2492</v>
      </c>
      <c r="AI10" s="165" t="s">
        <v>2493</v>
      </c>
      <c r="AJ10" s="67" t="s">
        <v>2494</v>
      </c>
      <c r="AK10" s="137" t="s">
        <v>2475</v>
      </c>
      <c r="AL10" s="138" t="s">
        <v>2495</v>
      </c>
      <c r="AM10" s="123" t="s">
        <v>2496</v>
      </c>
      <c r="AN10" s="124" t="s">
        <v>2497</v>
      </c>
      <c r="AO10" s="124"/>
    </row>
    <row r="11">
      <c r="A11" s="121" t="s">
        <v>2498</v>
      </c>
      <c r="B11" s="118" t="s">
        <v>2499</v>
      </c>
      <c r="C11" s="109" t="s">
        <v>2500</v>
      </c>
      <c r="D11" s="69" t="s">
        <v>2501</v>
      </c>
      <c r="E11" s="121" t="str">
        <f>IFERROR(__xludf.DUMMYFUNCTION("GOOGLETRANSLATE(A11,""zh-tw"",""ja"")"),"R8")</f>
        <v>R8</v>
      </c>
      <c r="F11" s="118" t="s">
        <v>2502</v>
      </c>
      <c r="G11" s="109" t="s">
        <v>2503</v>
      </c>
      <c r="H11" s="69" t="s">
        <v>2504</v>
      </c>
      <c r="I11" s="121" t="str">
        <f>IFERROR(__xludf.DUMMYFUNCTION("GOOGLETRANSLATE(A11,""zh-tw"",""en"")"),"R8")</f>
        <v>R8</v>
      </c>
      <c r="J11" s="118" t="s">
        <v>2505</v>
      </c>
      <c r="K11" s="109" t="s">
        <v>2506</v>
      </c>
      <c r="L11" s="69" t="s">
        <v>2507</v>
      </c>
      <c r="M11" s="137" t="str">
        <f>IFERROR(__xludf.DUMMYFUNCTION("GOOGLETRANSLATE(A11,""zh-tw"",""en"")"),"R8")</f>
        <v>R8</v>
      </c>
      <c r="N11" s="118" t="str">
        <f>IFERROR(__xludf.DUMMYFUNCTION("GOOGLETRANSLATE(B11,""zh-tw"",""zh"")"),"游戏机")</f>
        <v>游戏机</v>
      </c>
      <c r="O11" s="109" t="s">
        <v>2508</v>
      </c>
      <c r="P11" s="71" t="str">
        <f>IFERROR(__xludf.DUMMYFUNCTION("GOOGLETRANSLATE(D11,""zh-tw"",""zh"")"),"获得""JoyStation V""
回家后触发和开启与妹妹游戏的功能")</f>
        <v>获得"JoyStation V"
回家后触发和开启与妹妹游戏的功能</v>
      </c>
      <c r="Q11" s="137" t="str">
        <f>IFERROR(__xludf.DUMMYFUNCTION("GOOGLETRANSLATE(A11,""zh-tw"",""ja"")"),"R8")</f>
        <v>R8</v>
      </c>
      <c r="R11" s="138" t="str">
        <f>IFERROR(__xludf.DUMMYFUNCTION("GOOGLETRANSLATE(B11,""zh-tw"",""es-MX"")"),"consola de juegos")</f>
        <v>consola de juegos</v>
      </c>
      <c r="S11" s="103" t="str">
        <f>IFERROR(__xludf.DUMMYFUNCTION("GOOGLETRANSLATE(C11,""zh-tw"",""es-MX"")"),"Sendero del Aventurero: Lugar de Encuentro
Ubicado en la Calle del Aventurero, se compra al caballero por $5000.")</f>
        <v>Sendero del Aventurero: Lugar de Encuentro
Ubicado en la Calle del Aventurero, se compra al caballero por $5000.</v>
      </c>
      <c r="T11" s="71" t="str">
        <f>IFERROR(__xludf.DUMMYFUNCTION("GOOGLETRANSLATE(D11,""zh-tw"",""es-MX"")"),"Después de obtener ""JoyStation V"", podrás activar el juego con tu hermana al regresar a casa.")</f>
        <v>Después de obtener "JoyStation V", podrás activar el juego con tu hermana al regresar a casa.</v>
      </c>
      <c r="U11" s="161" t="str">
        <f>IFERROR(__xludf.DUMMYFUNCTION("GOOGLETRANSLATE(A11,""zh-tw"",""en"")"),"R8")</f>
        <v>R8</v>
      </c>
      <c r="V11" s="138" t="str">
        <f>IFERROR(__xludf.DUMMYFUNCTION("GOOGLETRANSLATE(B11,""zh-tw"",""KO"")"),"게임 콘솔")</f>
        <v>게임 콘솔</v>
      </c>
      <c r="W11" s="103" t="str">
        <f>IFERROR(__xludf.DUMMYFUNCTION("GOOGLETRANSLATE(C11,""zh-tw"",""KO"")"),"모험가의 길: 모임 장소
모험가의 거리에 위치하며, 기사에게서 5,000달러에 구매하세요.")</f>
        <v>모험가의 길: 모임 장소
모험가의 거리에 위치하며, 기사에게서 5,000달러에 구매하세요.</v>
      </c>
      <c r="X11" s="71" t="str">
        <f>IFERROR(__xludf.DUMMYFUNCTION("GOOGLETRANSLATE(D11,""zh-tw"",""KO"")"),"""조이스테이션 V""를 획득한 후, 집으로 돌아와 여동생과 함께 게임을 시작하고 활성화할 수 있습니다.")</f>
        <v>"조이스테이션 V"를 획득한 후, 집으로 돌아와 여동생과 함께 게임을 시작하고 활성화할 수 있습니다.</v>
      </c>
      <c r="Y11" s="161" t="str">
        <f>IFERROR(__xludf.DUMMYFUNCTION("GOOGLETRANSLATE(E11,""zh-tw"",""en"")"),"R8")</f>
        <v>R8</v>
      </c>
      <c r="Z11" s="118" t="str">
        <f>IFERROR(__xludf.DUMMYFUNCTION("GOOGLETRANSLATE(B11,""zh-tw"",""ru"")"),"игровая консоль")</f>
        <v>игровая консоль</v>
      </c>
      <c r="AA11" s="162" t="str">
        <f>IFERROR(__xludf.DUMMYFUNCTION("GOOGLETRANSLATE(C11,""zh-tw"",""RU"")"),"Путь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1" s="64" t="str">
        <f>IFERROR(__xludf.DUMMYFUNCTION("GOOGLETRANSLATE(D11,""zh-tw"",""RU"")"),"Получив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1" s="161" t="str">
        <f>IFERROR(__xludf.DUMMYFUNCTION("GOOGLETRANSLATE(I11,""zh-tw"",""en"")"),"R8")</f>
        <v>R8</v>
      </c>
      <c r="AD11" s="118" t="s">
        <v>2509</v>
      </c>
      <c r="AE11" s="164" t="s">
        <v>2510</v>
      </c>
      <c r="AF11" s="119" t="s">
        <v>2511</v>
      </c>
      <c r="AG11" s="98" t="s">
        <v>2498</v>
      </c>
      <c r="AH11" s="106" t="s">
        <v>2512</v>
      </c>
      <c r="AI11" s="165" t="s">
        <v>2513</v>
      </c>
      <c r="AJ11" s="67" t="s">
        <v>2514</v>
      </c>
      <c r="AK11" s="137" t="s">
        <v>2498</v>
      </c>
      <c r="AL11" s="138" t="s">
        <v>2515</v>
      </c>
      <c r="AM11" s="123" t="s">
        <v>2516</v>
      </c>
      <c r="AN11" s="124" t="s">
        <v>2517</v>
      </c>
      <c r="AO11" s="124"/>
    </row>
    <row r="12">
      <c r="A12" s="121" t="s">
        <v>2518</v>
      </c>
      <c r="B12" s="118" t="s">
        <v>2519</v>
      </c>
      <c r="C12" s="109" t="s">
        <v>2520</v>
      </c>
      <c r="D12" s="69" t="s">
        <v>2521</v>
      </c>
      <c r="E12" s="121" t="str">
        <f>IFERROR(__xludf.DUMMYFUNCTION("GOOGLETRANSLATE(A12,""zh-tw"",""ja"")"),"R9")</f>
        <v>R9</v>
      </c>
      <c r="F12" s="118" t="s">
        <v>2522</v>
      </c>
      <c r="G12" s="109" t="s">
        <v>2523</v>
      </c>
      <c r="H12" s="69" t="s">
        <v>2524</v>
      </c>
      <c r="I12" s="121" t="str">
        <f>IFERROR(__xludf.DUMMYFUNCTION("GOOGLETRANSLATE(A12,""zh-tw"",""en"")"),"R9")</f>
        <v>R9</v>
      </c>
      <c r="J12" s="118" t="s">
        <v>2525</v>
      </c>
      <c r="K12" s="109" t="s">
        <v>2526</v>
      </c>
      <c r="L12" s="69" t="s">
        <v>2527</v>
      </c>
      <c r="M12" s="137" t="str">
        <f>IFERROR(__xludf.DUMMYFUNCTION("GOOGLETRANSLATE(A12,""zh-tw"",""en"")"),"R9")</f>
        <v>R9</v>
      </c>
      <c r="N12" s="118" t="str">
        <f>IFERROR(__xludf.DUMMYFUNCTION("GOOGLETRANSLATE(B12,""zh-tw"",""zh"")"),"鸭鸭")</f>
        <v>鸭鸭</v>
      </c>
      <c r="O12" s="103" t="str">
        <f>IFERROR(__xludf.DUMMYFUNCTION("GOOGLETRANSLATE(C12,""zh-tw"",""zh"")"),"冒险者小道:纪念碑
在右边的岸边可以捡到
*若你从遗迹之森-4的瀑布被冲到此处，会触发另一段对话。")</f>
        <v>冒险者小道:纪念碑
在右边的岸边可以捡到
*若你从遗迹之森-4的瀑布被冲到此处，会触发另一段对话。</v>
      </c>
      <c r="P12" s="71" t="str">
        <f>IFERROR(__xludf.DUMMYFUNCTION("GOOGLETRANSLATE(D12,""zh-tw"",""zh"")"),"获得""橡胶鸭""道具
可于洗澡时可放入")</f>
        <v>获得"橡胶鸭"道具
可于洗澡时可放入</v>
      </c>
      <c r="Q12" s="137" t="str">
        <f>IFERROR(__xludf.DUMMYFUNCTION("GOOGLETRANSLATE(A12,""zh-tw"",""ja"")"),"R9")</f>
        <v>R9</v>
      </c>
      <c r="R12" s="118" t="s">
        <v>2528</v>
      </c>
      <c r="S12" s="109" t="s">
        <v>2529</v>
      </c>
      <c r="T12" s="71" t="str">
        <f>IFERROR(__xludf.DUMMYFUNCTION("GOOGLETRANSLATE(D12,""zh-tw"",""es-MX"")"),"Consigue el objeto ""Pato de goma""; se puede colocar dentro de la bañera.")</f>
        <v>Consigue el objeto "Pato de goma"; se puede colocar dentro de la bañera.</v>
      </c>
      <c r="U12" s="161" t="str">
        <f>IFERROR(__xludf.DUMMYFUNCTION("GOOGLETRANSLATE(A12,""zh-tw"",""en"")"),"R9")</f>
        <v>R9</v>
      </c>
      <c r="V12" s="138" t="str">
        <f>IFERROR(__xludf.DUMMYFUNCTION("GOOGLETRANSLATE(B12,""zh-tw"",""KO"")"),"오리")</f>
        <v>오리</v>
      </c>
      <c r="W12" s="103" t="str">
        <f>IFERROR(__xludf.DUMMYFUNCTION("GOOGLETRANSLATE(C12,""zh-tw"",""KO"")"),"모험가의 길: 기념물
오른쪽 강둑에 있습니다.
*폐허의 숲-4에 있는 폭포에서 이곳으로 휩쓸려 왔다면, 또 다른 대화가 시작됩니다.")</f>
        <v>모험가의 길: 기념물
오른쪽 강둑에 있습니다.
*폐허의 숲-4에 있는 폭포에서 이곳으로 휩쓸려 왔다면, 또 다른 대화가 시작됩니다.</v>
      </c>
      <c r="X12" s="71" t="str">
        <f>IFERROR(__xludf.DUMMYFUNCTION("GOOGLETRANSLATE(D12,""zh-tw"",""KO"")"),"""고무 오리"" 아이템을 얻으세요. 욕조 안에 넣을 수 있습니다.")</f>
        <v>"고무 오리" 아이템을 얻으세요. 욕조 안에 넣을 수 있습니다.</v>
      </c>
      <c r="Y12" s="161" t="str">
        <f>IFERROR(__xludf.DUMMYFUNCTION("GOOGLETRANSLATE(E12,""zh-tw"",""en"")"),"R9")</f>
        <v>R9</v>
      </c>
      <c r="Z12" s="118" t="str">
        <f>IFERROR(__xludf.DUMMYFUNCTION("GOOGLETRANSLATE(B12,""zh-tw"",""ru"")"),"утка")</f>
        <v>утка</v>
      </c>
      <c r="AA12" s="162" t="str">
        <f>IFERROR(__xludf.DUMMYFUNCTION("GOOGLETRANSLATE(C12,""zh-tw"",""RU"")"),"Тропа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2" s="64" t="str">
        <f>IFERROR(__xludf.DUMMYFUNCTION("GOOGLETRANSLATE(D12,""zh-tw"",""RU"")"),"Получите предмет «Резиновая уточка»; ее можно поместить внутрь ванны.")</f>
        <v>Получите предмет «Резиновая уточка»; ее можно поместить внутрь ванны.</v>
      </c>
      <c r="AC12" s="161" t="str">
        <f>IFERROR(__xludf.DUMMYFUNCTION("GOOGLETRANSLATE(I12,""zh-tw"",""en"")"),"R9")</f>
        <v>R9</v>
      </c>
      <c r="AD12" s="118" t="s">
        <v>2530</v>
      </c>
      <c r="AE12" s="164" t="s">
        <v>2531</v>
      </c>
      <c r="AF12" s="119" t="s">
        <v>2532</v>
      </c>
      <c r="AG12" s="98" t="s">
        <v>2518</v>
      </c>
      <c r="AH12" s="106" t="s">
        <v>2533</v>
      </c>
      <c r="AI12" s="165" t="s">
        <v>2534</v>
      </c>
      <c r="AJ12" s="67" t="s">
        <v>2535</v>
      </c>
      <c r="AK12" s="137" t="s">
        <v>2518</v>
      </c>
      <c r="AL12" s="138" t="s">
        <v>2525</v>
      </c>
      <c r="AM12" s="123" t="s">
        <v>2536</v>
      </c>
      <c r="AN12" s="124" t="s">
        <v>2537</v>
      </c>
      <c r="AO12" s="124"/>
    </row>
    <row r="13">
      <c r="A13" s="121" t="s">
        <v>2538</v>
      </c>
      <c r="B13" s="118" t="s">
        <v>2539</v>
      </c>
      <c r="C13" s="109" t="s">
        <v>2540</v>
      </c>
      <c r="D13" s="69" t="s">
        <v>2541</v>
      </c>
      <c r="E13" s="121" t="str">
        <f>IFERROR(__xludf.DUMMYFUNCTION("GOOGLETRANSLATE(A13,""zh-tw"",""ja"")"),"R10")</f>
        <v>R10</v>
      </c>
      <c r="F13" s="118" t="s">
        <v>2542</v>
      </c>
      <c r="G13" s="109" t="s">
        <v>2543</v>
      </c>
      <c r="H13" s="69" t="s">
        <v>2544</v>
      </c>
      <c r="I13" s="121" t="str">
        <f>IFERROR(__xludf.DUMMYFUNCTION("GOOGLETRANSLATE(A13,""zh-tw"",""en"")"),"R10")</f>
        <v>R10</v>
      </c>
      <c r="J13" s="118" t="s">
        <v>2545</v>
      </c>
      <c r="K13" s="109" t="s">
        <v>2546</v>
      </c>
      <c r="L13" s="69" t="s">
        <v>2547</v>
      </c>
      <c r="M13" s="137" t="str">
        <f>IFERROR(__xludf.DUMMYFUNCTION("GOOGLETRANSLATE(A13,""zh-tw"",""en"")"),"R10")</f>
        <v>R10</v>
      </c>
      <c r="N13" s="118" t="str">
        <f>IFERROR(__xludf.DUMMYFUNCTION("GOOGLETRANSLATE(B13,""zh-tw"",""zh"")"),"连结遗迹洞口")</f>
        <v>连结遗迹洞口</v>
      </c>
      <c r="O13" s="103" t="str">
        <f>IFERROR(__xludf.DUMMYFUNCTION("GOOGLETRANSLATE(C13,""zh-tw"",""zh"")"),"遗迹之森-4
地图中央的岩石清除完毕")</f>
        <v>遗迹之森-4
地图中央的岩石清除完毕</v>
      </c>
      <c r="P13" s="71" t="str">
        <f>IFERROR(__xludf.DUMMYFUNCTION("GOOGLETRANSLATE(D13,""zh-tw"",""zh"")"),"连结至遗迹地图
见闻")</f>
        <v>连结至遗迹地图
见闻</v>
      </c>
      <c r="Q13" s="137" t="str">
        <f>IFERROR(__xludf.DUMMYFUNCTION("GOOGLETRANSLATE(A13,""zh-tw"",""ja"")"),"R10")</f>
        <v>R10</v>
      </c>
      <c r="R13" s="118" t="s">
        <v>2548</v>
      </c>
      <c r="S13" s="109" t="s">
        <v>2549</v>
      </c>
      <c r="T13" s="71" t="str">
        <f>IFERROR(__xludf.DUMMYFUNCTION("GOOGLETRANSLATE(D13,""zh-tw"",""es-MX"")"),"Enlace al mapa de ruinas
Observaciones")</f>
        <v>Enlace al mapa de ruinas
Observaciones</v>
      </c>
      <c r="U13" s="161" t="str">
        <f>IFERROR(__xludf.DUMMYFUNCTION("GOOGLETRANSLATE(A13,""zh-tw"",""en"")"),"R10")</f>
        <v>R10</v>
      </c>
      <c r="V13" s="138" t="str">
        <f>IFERROR(__xludf.DUMMYFUNCTION("GOOGLETRANSLATE(B13,""zh-tw"",""KO"")"),"유적지 입구 연결")</f>
        <v>유적지 입구 연결</v>
      </c>
      <c r="W13" s="103" t="str">
        <f>IFERROR(__xludf.DUMMYFUNCTION("GOOGLETRANSLATE(C13,""zh-tw"",""KO"")"),"폐허 숲 - 4 맵 중앙의 바위가 제거되었습니다.")</f>
        <v>폐허 숲 - 4 맵 중앙의 바위가 제거되었습니다.</v>
      </c>
      <c r="X13" s="71" t="str">
        <f>IFERROR(__xludf.DUMMYFUNCTION("GOOGLETRANSLATE(D13,""zh-tw"",""KO"")"),"유적지 지도 링크
관찰")</f>
        <v>유적지 지도 링크
관찰</v>
      </c>
      <c r="Y13" s="161" t="str">
        <f>IFERROR(__xludf.DUMMYFUNCTION("GOOGLETRANSLATE(E13,""zh-tw"",""en"")"),"R10")</f>
        <v>R10</v>
      </c>
      <c r="Z13" s="118" t="str">
        <f>IFERROR(__xludf.DUMMYFUNCTION("GOOGLETRANSLATE(B13,""zh-tw"",""ru"")"),"Соединение входов в руины")</f>
        <v>Соединение входов в руины</v>
      </c>
      <c r="AA13" s="162" t="str">
        <f>IFERROR(__xludf.DUMMYFUNCTION("GOOGLETRANSLATE(C13,""zh-tw"",""RU"")"),"Камни в центре карты «Лес руин - 4» были расчищены.")</f>
        <v>Камни в центре карты «Лес руин - 4» были расчищены.</v>
      </c>
      <c r="AB13" s="64" t="str">
        <f>IFERROR(__xludf.DUMMYFUNCTION("GOOGLETRANSLATE(D13,""zh-tw"",""RU"")"),"Ссылка на карту руин
Наблюдения")</f>
        <v>Ссылка на карту руин
Наблюдения</v>
      </c>
      <c r="AC13" s="161" t="str">
        <f>IFERROR(__xludf.DUMMYFUNCTION("GOOGLETRANSLATE(I13,""zh-tw"",""en"")"),"R10")</f>
        <v>R10</v>
      </c>
      <c r="AD13" s="118" t="s">
        <v>2550</v>
      </c>
      <c r="AE13" s="164" t="s">
        <v>2551</v>
      </c>
      <c r="AF13" s="119" t="s">
        <v>2552</v>
      </c>
      <c r="AG13" s="98" t="s">
        <v>2538</v>
      </c>
      <c r="AH13" s="106" t="s">
        <v>2553</v>
      </c>
      <c r="AI13" s="165" t="s">
        <v>2554</v>
      </c>
      <c r="AJ13" s="67" t="s">
        <v>2555</v>
      </c>
      <c r="AK13" s="137" t="s">
        <v>2538</v>
      </c>
      <c r="AL13" s="138" t="s">
        <v>2556</v>
      </c>
      <c r="AM13" s="123" t="s">
        <v>2557</v>
      </c>
      <c r="AN13" s="124" t="s">
        <v>2558</v>
      </c>
      <c r="AO13" s="124"/>
    </row>
    <row r="14">
      <c r="A14" s="121" t="s">
        <v>2559</v>
      </c>
      <c r="B14" s="106" t="s">
        <v>2560</v>
      </c>
      <c r="C14" s="115" t="s">
        <v>2561</v>
      </c>
      <c r="D14" s="69" t="s">
        <v>2562</v>
      </c>
      <c r="E14" s="121" t="str">
        <f>IFERROR(__xludf.DUMMYFUNCTION("GOOGLETRANSLATE(A14,""zh-tw"",""ja"")"),"R11")</f>
        <v>R11</v>
      </c>
      <c r="F14" s="118" t="str">
        <f>IFERROR(__xludf.DUMMYFUNCTION("GOOGLETRANSLATE(B14,""zh-tw"",""ja"")"),"未知の洞窟")</f>
        <v>未知の洞窟</v>
      </c>
      <c r="G14" s="109" t="s">
        <v>2563</v>
      </c>
      <c r="H14" s="69" t="s">
        <v>2564</v>
      </c>
      <c r="I14" s="121" t="str">
        <f>IFERROR(__xludf.DUMMYFUNCTION("GOOGLETRANSLATE(A14,""zh-tw"",""en"")"),"R11")</f>
        <v>R11</v>
      </c>
      <c r="J14" s="118" t="s">
        <v>2565</v>
      </c>
      <c r="K14" s="109" t="s">
        <v>2566</v>
      </c>
      <c r="L14" s="69" t="s">
        <v>2567</v>
      </c>
      <c r="M14" s="137" t="str">
        <f>IFERROR(__xludf.DUMMYFUNCTION("GOOGLETRANSLATE(A14,""zh-tw"",""en"")"),"R11")</f>
        <v>R11</v>
      </c>
      <c r="N14" s="118" t="str">
        <f>IFERROR(__xludf.DUMMYFUNCTION("GOOGLETRANSLATE(B14,""zh-tw"",""zh"")"),"不知名地洞")</f>
        <v>不知名地洞</v>
      </c>
      <c r="O14" s="103" t="str">
        <f>IFERROR(__xludf.DUMMYFUNCTION("GOOGLETRANSLATE(C14,""zh-tw"",""zh"")"),"在遗迹门前
往右下方寻找一块石头并且清除
里面有一条个地道，并且可以捡到道具")</f>
        <v>在遗迹门前
往右下方寻找一块石头并且清除
里面有一条个地道，并且可以捡到道具</v>
      </c>
      <c r="P14" s="71" t="str">
        <f>IFERROR(__xludf.DUMMYFUNCTION("GOOGLETRANSLATE(D14,""zh-tw"",""zh"")"),"门的后方须从开发中区域(矿坑)-2，突破后才可以自由进出")</f>
        <v>门的后方须从开发中区域(矿坑)-2，突破后才可以自由进出</v>
      </c>
      <c r="Q14" s="137" t="str">
        <f>IFERROR(__xludf.DUMMYFUNCTION("GOOGLETRANSLATE(A14,""zh-tw"",""ja"")"),"R11")</f>
        <v>R11</v>
      </c>
      <c r="R14" s="138" t="str">
        <f>IFERROR(__xludf.DUMMYFUNCTION("GOOGLETRANSLATE(B14,""zh-tw"",""es-MX"")"),"Cueva desconocida")</f>
        <v>Cueva desconocida</v>
      </c>
      <c r="S14" s="103" t="str">
        <f>IFERROR(__xludf.DUMMYFUNCTION("GOOGLETRANSLATE(C14,""zh-tw"",""es-MX"")"),"Frente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4" s="71" t="str">
        <f>IFERROR(__xludf.DUMMYFUNCTION("GOOGLETRANSLATE(D14,""zh-tw"",""es-MX"")"),"Al área detrás de la puerta solo se puede entrar y salir libremente después de atravesar el área no desarrollada (mina) -2.")</f>
        <v>Al área detrás de la puerta solo se puede entrar y salir libremente después de atravesar el área no desarrollada (mina) -2.</v>
      </c>
      <c r="U14" s="161" t="str">
        <f>IFERROR(__xludf.DUMMYFUNCTION("GOOGLETRANSLATE(A14,""zh-tw"",""en"")"),"R11")</f>
        <v>R11</v>
      </c>
      <c r="V14" s="138" t="str">
        <f>IFERROR(__xludf.DUMMYFUNCTION("GOOGLETRANSLATE(B14,""zh-tw"",""KO"")"),"알려지지 않은 동굴")</f>
        <v>알려지지 않은 동굴</v>
      </c>
      <c r="W14" s="103" t="str">
        <f>IFERROR(__xludf.DUMMYFUNCTION("GOOGLETRANSLATE(C14,""zh-tw"",""KO"")"),"유적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4" s="71" t="str">
        <f>IFERROR(__xludf.DUMMYFUNCTION("GOOGLETRANSLATE(D14,""zh-tw"",""KO"")"),"문 뒤쪽 공간은 미개발 구역(광산)을 돌파한 후에만 자유롭게 출입이 가능합니다.-2.")</f>
        <v>문 뒤쪽 공간은 미개발 구역(광산)을 돌파한 후에만 자유롭게 출입이 가능합니다.-2.</v>
      </c>
      <c r="Y14" s="161" t="str">
        <f>IFERROR(__xludf.DUMMYFUNCTION("GOOGLETRANSLATE(E14,""zh-tw"",""en"")"),"R11")</f>
        <v>R11</v>
      </c>
      <c r="Z14" s="118" t="str">
        <f>IFERROR(__xludf.DUMMYFUNCTION("GOOGLETRANSLATE(B14,""zh-tw"",""ru"")"),"Неизвестная пещера")</f>
        <v>Неизвестная пещера</v>
      </c>
      <c r="AA14" s="162" t="str">
        <f>IFERROR(__xludf.DUMMYFUNCTION("GOOGLETRANSLATE(C14,""zh-tw"",""RU"")"),"Перед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4" s="64" t="str">
        <f>IFERROR(__xludf.DUMMYFUNCTION("GOOGLETRANSLATE(D14,""zh-tw"",""RU"")"),"Свободный вход и выход из зоны за дверью возможен только после прорыва неразработанной зоны (шахты)-2.")</f>
        <v>Свободный вход и выход из зоны за дверью возможен только после прорыва неразработанной зоны (шахты)-2.</v>
      </c>
      <c r="AC14" s="161" t="str">
        <f>IFERROR(__xludf.DUMMYFUNCTION("GOOGLETRANSLATE(I14,""zh-tw"",""en"")"),"R11")</f>
        <v>R11</v>
      </c>
      <c r="AD14" s="118" t="s">
        <v>2568</v>
      </c>
      <c r="AE14" s="164" t="s">
        <v>2569</v>
      </c>
      <c r="AF14" s="119" t="s">
        <v>2570</v>
      </c>
      <c r="AG14" s="98" t="s">
        <v>2559</v>
      </c>
      <c r="AH14" s="106" t="s">
        <v>2571</v>
      </c>
      <c r="AI14" s="168" t="s">
        <v>2572</v>
      </c>
      <c r="AJ14" s="66" t="s">
        <v>2573</v>
      </c>
      <c r="AK14" s="137" t="s">
        <v>2559</v>
      </c>
      <c r="AL14" s="138" t="s">
        <v>2574</v>
      </c>
      <c r="AM14" s="123" t="s">
        <v>2575</v>
      </c>
      <c r="AN14" s="124" t="s">
        <v>2576</v>
      </c>
      <c r="AO14" s="124"/>
    </row>
    <row r="15">
      <c r="A15" s="121" t="s">
        <v>2577</v>
      </c>
      <c r="B15" s="118" t="s">
        <v>2578</v>
      </c>
      <c r="C15" s="109" t="s">
        <v>2579</v>
      </c>
      <c r="D15" s="69" t="s">
        <v>2580</v>
      </c>
      <c r="E15" s="121" t="str">
        <f>IFERROR(__xludf.DUMMYFUNCTION("GOOGLETRANSLATE(A15,""zh-tw"",""ja"")"),"R12")</f>
        <v>R12</v>
      </c>
      <c r="F15" s="118" t="s">
        <v>2581</v>
      </c>
      <c r="G15" s="109" t="str">
        <f>IFERROR(__xludf.DUMMYFUNCTION("GOOGLETRANSLATE(C15,""zh-tw"",""ja"")"),"冒険者の道：森の右下隅に隠されたアイテム。")</f>
        <v>冒険者の道：森の右下隅に隠されたアイテム。</v>
      </c>
      <c r="H15" s="69" t="s">
        <v>2582</v>
      </c>
      <c r="I15" s="121" t="str">
        <f>IFERROR(__xludf.DUMMYFUNCTION("GOOGLETRANSLATE(A15,""zh-tw"",""en"")"),"R12")</f>
        <v>R12</v>
      </c>
      <c r="J15" s="118" t="s">
        <v>2583</v>
      </c>
      <c r="K15" s="109" t="s">
        <v>2584</v>
      </c>
      <c r="L15" s="69" t="s">
        <v>2585</v>
      </c>
      <c r="M15" s="137" t="str">
        <f>IFERROR(__xludf.DUMMYFUNCTION("GOOGLETRANSLATE(A15,""zh-tw"",""en"")"),"R12")</f>
        <v>R12</v>
      </c>
      <c r="N15" s="118" t="str">
        <f>IFERROR(__xludf.DUMMYFUNCTION("GOOGLETRANSLATE(B15,""zh-tw"",""zh"")"),"隐藏通道1")</f>
        <v>隐藏通道1</v>
      </c>
      <c r="O15" s="103" t="str">
        <f>IFERROR(__xludf.DUMMYFUNCTION("GOOGLETRANSLATE(C15,""zh-tw"",""zh"")"),"冒险者小道:林间 右下角树林，有隐藏物品")</f>
        <v>冒险者小道:林间 右下角树林，有隐藏物品</v>
      </c>
      <c r="P15" s="71" t="str">
        <f>IFERROR(__xludf.DUMMYFUNCTION("GOOGLETRANSLATE(D15,""zh-tw"",""zh"")"),"获得道具")</f>
        <v>获得道具</v>
      </c>
      <c r="Q15" s="137" t="str">
        <f>IFERROR(__xludf.DUMMYFUNCTION("GOOGLETRANSLATE(A15,""zh-tw"",""ja"")"),"R12")</f>
        <v>R12</v>
      </c>
      <c r="R15" s="118" t="s">
        <v>2586</v>
      </c>
      <c r="S15" s="103" t="str">
        <f>IFERROR(__xludf.DUMMYFUNCTION("GOOGLETRANSLATE(C15,""zh-tw"",""es-MX"")"),"Sendero del Aventurero: Objeto oculto en la esquina inferior derecha del bosque.")</f>
        <v>Sendero del Aventurero: Objeto oculto en la esquina inferior derecha del bosque.</v>
      </c>
      <c r="T15" s="71" t="str">
        <f>IFERROR(__xludf.DUMMYFUNCTION("GOOGLETRANSLATE(D15,""zh-tw"",""es-MX"")"),"Obtener artículos")</f>
        <v>Obtener artículos</v>
      </c>
      <c r="U15" s="161" t="str">
        <f>IFERROR(__xludf.DUMMYFUNCTION("GOOGLETRANSLATE(A15,""zh-tw"",""en"")"),"R12")</f>
        <v>R12</v>
      </c>
      <c r="V15" s="138" t="str">
        <f>IFERROR(__xludf.DUMMYFUNCTION("GOOGLETRANSLATE(B15,""zh-tw"",""KO"")"),"숨겨진 통로 1")</f>
        <v>숨겨진 통로 1</v>
      </c>
      <c r="W15" s="103" t="str">
        <f>IFERROR(__xludf.DUMMYFUNCTION("GOOGLETRANSLATE(C15,""zh-tw"",""KO"")"),"모험가의 길: 숲의 오른쪽 하단에 숨겨진 아이템입니다.")</f>
        <v>모험가의 길: 숲의 오른쪽 하단에 숨겨진 아이템입니다.</v>
      </c>
      <c r="X15" s="71" t="str">
        <f>IFERROR(__xludf.DUMMYFUNCTION("GOOGLETRANSLATE(D15,""zh-tw"",""KO"")"),"아이템 획득")</f>
        <v>아이템 획득</v>
      </c>
      <c r="Y15" s="161" t="str">
        <f>IFERROR(__xludf.DUMMYFUNCTION("GOOGLETRANSLATE(E15,""zh-tw"",""en"")"),"R12")</f>
        <v>R12</v>
      </c>
      <c r="Z15" s="118" t="str">
        <f>IFERROR(__xludf.DUMMYFUNCTION("GOOGLETRANSLATE(B15,""zh-tw"",""ru"")"),"Скрытый проход 1")</f>
        <v>Скрытый проход 1</v>
      </c>
      <c r="AA15" s="162" t="str">
        <f>IFERROR(__xludf.DUMMYFUNCTION("GOOGLETRANSLATE(C15,""zh-tw"",""RU"")"),"Путь искателя приключений: скрытый предмет в правом нижнем углу леса.")</f>
        <v>Путь искателя приключений: скрытый предмет в правом нижнем углу леса.</v>
      </c>
      <c r="AB15" s="64" t="str">
        <f>IFERROR(__xludf.DUMMYFUNCTION("GOOGLETRANSLATE(D15,""zh-tw"",""RU"")"),"Получить предметы")</f>
        <v>Получить предметы</v>
      </c>
      <c r="AC15" s="161" t="str">
        <f>IFERROR(__xludf.DUMMYFUNCTION("GOOGLETRANSLATE(I15,""zh-tw"",""en"")"),"R12")</f>
        <v>R12</v>
      </c>
      <c r="AD15" s="118" t="s">
        <v>2587</v>
      </c>
      <c r="AE15" s="164" t="s">
        <v>2588</v>
      </c>
      <c r="AF15" s="119" t="s">
        <v>2589</v>
      </c>
      <c r="AG15" s="98" t="s">
        <v>2577</v>
      </c>
      <c r="AH15" s="106" t="s">
        <v>2590</v>
      </c>
      <c r="AI15" s="165" t="s">
        <v>2591</v>
      </c>
      <c r="AJ15" s="67" t="s">
        <v>2592</v>
      </c>
      <c r="AK15" s="137" t="s">
        <v>2577</v>
      </c>
      <c r="AL15" s="138" t="s">
        <v>2593</v>
      </c>
      <c r="AM15" s="123" t="s">
        <v>2594</v>
      </c>
      <c r="AN15" s="124" t="s">
        <v>2595</v>
      </c>
      <c r="AO15" s="124"/>
    </row>
    <row r="16">
      <c r="A16" s="121" t="s">
        <v>2596</v>
      </c>
      <c r="B16" s="118" t="s">
        <v>2597</v>
      </c>
      <c r="C16" s="109" t="s">
        <v>2598</v>
      </c>
      <c r="D16" s="69" t="s">
        <v>2599</v>
      </c>
      <c r="E16" s="121" t="str">
        <f>IFERROR(__xludf.DUMMYFUNCTION("GOOGLETRANSLATE(A16,""zh-tw"",""ja"")"),"R13")</f>
        <v>R13</v>
      </c>
      <c r="F16" s="118" t="s">
        <v>2600</v>
      </c>
      <c r="G16" s="135" t="str">
        <f>IFERROR(__xludf.DUMMYFUNCTION("GOOGLETRANSLATE(C16,""zh-tw"",""ja"")"),"冒険者の道：集合場所、左上に宝箱があります。")</f>
        <v>冒険者の道：集合場所、左上に宝箱があります。</v>
      </c>
      <c r="H16" s="69" t="s">
        <v>2601</v>
      </c>
      <c r="I16" s="121" t="str">
        <f>IFERROR(__xludf.DUMMYFUNCTION("GOOGLETRANSLATE(A16,""zh-tw"",""en"")"),"R13")</f>
        <v>R13</v>
      </c>
      <c r="J16" s="118" t="s">
        <v>2602</v>
      </c>
      <c r="K16" s="109" t="s">
        <v>2603</v>
      </c>
      <c r="L16" s="69" t="s">
        <v>2604</v>
      </c>
      <c r="M16" s="137" t="str">
        <f>IFERROR(__xludf.DUMMYFUNCTION("GOOGLETRANSLATE(A16,""zh-tw"",""en"")"),"R13")</f>
        <v>R13</v>
      </c>
      <c r="N16" s="118" t="str">
        <f>IFERROR(__xludf.DUMMYFUNCTION("GOOGLETRANSLATE(B16,""zh-tw"",""zh"")"),"隐藏通道2")</f>
        <v>隐藏通道2</v>
      </c>
      <c r="O16" s="103" t="str">
        <f>IFERROR(__xludf.DUMMYFUNCTION("GOOGLETRANSLATE(C16,""zh-tw"",""zh"")"),"冒险者小道:集结地，左上方有个宝箱")</f>
        <v>冒险者小道:集结地，左上方有个宝箱</v>
      </c>
      <c r="P16" s="71" t="str">
        <f>IFERROR(__xludf.DUMMYFUNCTION("GOOGLETRANSLATE(D16,""zh-tw"",""zh"")"),"获得武器-千鸟、特殊字条剧情")</f>
        <v>获得武器-千鸟、特殊字条剧情</v>
      </c>
      <c r="Q16" s="137" t="str">
        <f>IFERROR(__xludf.DUMMYFUNCTION("GOOGLETRANSLATE(A16,""zh-tw"",""ja"")"),"R13")</f>
        <v>R13</v>
      </c>
      <c r="R16" s="118" t="s">
        <v>2605</v>
      </c>
      <c r="S16" s="103" t="str">
        <f>IFERROR(__xludf.DUMMYFUNCTION("GOOGLETRANSLATE(C16,""zh-tw"",""es-MX"")"),"Sendero del Aventurero: Punto de Encuentro, hay un cofre del tesoro en la esquina superior izquierda.")</f>
        <v>Sendero del Aventurero: Punto de Encuentro, hay un cofre del tesoro en la esquina superior izquierda.</v>
      </c>
      <c r="T16" s="71" t="str">
        <f>IFERROR(__xludf.DUMMYFUNCTION("GOOGLETRANSLATE(D16,""zh-tw"",""es-MX"")"),"Obtener arma - Chidori, historia de nota especial")</f>
        <v>Obtener arma - Chidori, historia de nota especial</v>
      </c>
      <c r="U16" s="161" t="str">
        <f>IFERROR(__xludf.DUMMYFUNCTION("GOOGLETRANSLATE(A16,""zh-tw"",""en"")"),"R13")</f>
        <v>R13</v>
      </c>
      <c r="V16" s="138" t="str">
        <f>IFERROR(__xludf.DUMMYFUNCTION("GOOGLETRANSLATE(B16,""zh-tw"",""KO"")"),"숨겨진 통로 2")</f>
        <v>숨겨진 통로 2</v>
      </c>
      <c r="W16" s="103" t="str">
        <f>IFERROR(__xludf.DUMMYFUNCTION("GOOGLETRANSLATE(C16,""zh-tw"",""KO"")"),"모험가의 길: 모임 장소, 왼쪽 상단 모서리에 보물 상자가 있습니다.")</f>
        <v>모험가의 길: 모임 장소, 왼쪽 상단 모서리에 보물 상자가 있습니다.</v>
      </c>
      <c r="X16" s="71" t="str">
        <f>IFERROR(__xludf.DUMMYFUNCTION("GOOGLETRANSLATE(D16,""zh-tw"",""KO"")"),"무기 획득 - 치도리, 스페셜 노트 스토리라인")</f>
        <v>무기 획득 - 치도리, 스페셜 노트 스토리라인</v>
      </c>
      <c r="Y16" s="161" t="str">
        <f>IFERROR(__xludf.DUMMYFUNCTION("GOOGLETRANSLATE(E16,""zh-tw"",""en"")"),"R13")</f>
        <v>R13</v>
      </c>
      <c r="Z16" s="118" t="str">
        <f>IFERROR(__xludf.DUMMYFUNCTION("GOOGLETRANSLATE(B16,""zh-tw"",""ru"")"),"Скрытый проход 2")</f>
        <v>Скрытый проход 2</v>
      </c>
      <c r="AA16" s="162" t="str">
        <f>IFERROR(__xludf.DUMMYFUNCTION("GOOGLETRANSLATE(C16,""zh-tw"",""RU"")"),"Путь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6" s="64" t="str">
        <f>IFERROR(__xludf.DUMMYFUNCTION("GOOGLETRANSLATE(D16,""zh-tw"",""RU"")"),"Получить оружие — Чидори, особое примечание к сюжетной линии")</f>
        <v>Получить оружие — Чидори, особое примечание к сюжетной линии</v>
      </c>
      <c r="AC16" s="161" t="str">
        <f>IFERROR(__xludf.DUMMYFUNCTION("GOOGLETRANSLATE(I16,""zh-tw"",""en"")"),"R13")</f>
        <v>R13</v>
      </c>
      <c r="AD16" s="118" t="s">
        <v>2606</v>
      </c>
      <c r="AE16" s="164" t="s">
        <v>2607</v>
      </c>
      <c r="AF16" s="119" t="s">
        <v>2608</v>
      </c>
      <c r="AG16" s="98" t="s">
        <v>2596</v>
      </c>
      <c r="AH16" s="106" t="s">
        <v>2609</v>
      </c>
      <c r="AI16" s="165" t="s">
        <v>2610</v>
      </c>
      <c r="AJ16" s="67" t="s">
        <v>2611</v>
      </c>
      <c r="AK16" s="137" t="s">
        <v>2596</v>
      </c>
      <c r="AL16" s="138" t="s">
        <v>2612</v>
      </c>
      <c r="AM16" s="123" t="s">
        <v>2613</v>
      </c>
      <c r="AN16" s="124" t="s">
        <v>2614</v>
      </c>
      <c r="AO16" s="124"/>
    </row>
    <row r="17">
      <c r="A17" s="121" t="s">
        <v>2615</v>
      </c>
      <c r="B17" s="118" t="s">
        <v>2616</v>
      </c>
      <c r="C17" s="109" t="s">
        <v>2617</v>
      </c>
      <c r="D17" s="69" t="s">
        <v>2618</v>
      </c>
      <c r="E17" s="121" t="str">
        <f>IFERROR(__xludf.DUMMYFUNCTION("GOOGLETRANSLATE(A17,""zh-tw"",""ja"")"),"R14")</f>
        <v>R14</v>
      </c>
      <c r="F17" s="118" t="s">
        <v>2619</v>
      </c>
      <c r="G17" s="135" t="s">
        <v>2620</v>
      </c>
      <c r="H17" s="69" t="s">
        <v>2621</v>
      </c>
      <c r="I17" s="121" t="str">
        <f>IFERROR(__xludf.DUMMYFUNCTION("GOOGLETRANSLATE(A17,""zh-tw"",""en"")"),"R14")</f>
        <v>R14</v>
      </c>
      <c r="J17" s="118" t="s">
        <v>2622</v>
      </c>
      <c r="K17" s="109" t="s">
        <v>2623</v>
      </c>
      <c r="L17" s="69" t="s">
        <v>2624</v>
      </c>
      <c r="M17" s="137" t="str">
        <f>IFERROR(__xludf.DUMMYFUNCTION("GOOGLETRANSLATE(A17,""zh-tw"",""en"")"),"R14")</f>
        <v>R14</v>
      </c>
      <c r="N17" s="118" t="str">
        <f>IFERROR(__xludf.DUMMYFUNCTION("GOOGLETRANSLATE(B17,""zh-tw"",""zh"")"),"隐藏通道3")</f>
        <v>隐藏通道3</v>
      </c>
      <c r="O17" s="103" t="str">
        <f>IFERROR(__xludf.DUMMYFUNCTION("GOOGLETRANSLATE(C17,""zh-tw"",""zh"")"),"冒险者小道:纪念碑，下方的石碑后方，有隐藏道具")</f>
        <v>冒险者小道:纪念碑，下方的石碑后方，有隐藏道具</v>
      </c>
      <c r="P17" s="71" t="str">
        <f>IFERROR(__xludf.DUMMYFUNCTION("GOOGLETRANSLATE(D17,""zh-tw"",""zh"")"),"获得道具和武器-熔岩杖")</f>
        <v>获得道具和武器-熔岩杖</v>
      </c>
      <c r="Q17" s="137" t="str">
        <f>IFERROR(__xludf.DUMMYFUNCTION("GOOGLETRANSLATE(A17,""zh-tw"",""ja"")"),"R14")</f>
        <v>R14</v>
      </c>
      <c r="R17" s="118" t="s">
        <v>2625</v>
      </c>
      <c r="S17" s="103" t="str">
        <f>IFERROR(__xludf.DUMMYFUNCTION("GOOGLETRANSLATE(C17,""zh-tw"",""es-MX"")"),"Sendero del Aventurero: Detrás del monumento de abajo, hay un objeto oculto.")</f>
        <v>Sendero del Aventurero: Detrás del monumento de abajo, hay un objeto oculto.</v>
      </c>
      <c r="T17" s="71" t="str">
        <f>IFERROR(__xludf.DUMMYFUNCTION("GOOGLETRANSLATE(D17,""zh-tw"",""es-MX"")"),"Obtén el objeto y el arma: Bastón de lava")</f>
        <v>Obtén el objeto y el arma: Bastón de lava</v>
      </c>
      <c r="U17" s="161" t="str">
        <f>IFERROR(__xludf.DUMMYFUNCTION("GOOGLETRANSLATE(A17,""zh-tw"",""en"")"),"R14")</f>
        <v>R14</v>
      </c>
      <c r="V17" s="138" t="str">
        <f>IFERROR(__xludf.DUMMYFUNCTION("GOOGLETRANSLATE(B17,""zh-tw"",""KO"")"),"숨겨진 통로 3")</f>
        <v>숨겨진 통로 3</v>
      </c>
      <c r="W17" s="103" t="str">
        <f>IFERROR(__xludf.DUMMYFUNCTION("GOOGLETRANSLATE(C17,""zh-tw"",""KO"")"),"모험가의 길: 아래 기념물 뒤에는 숨겨진 아이템이 있습니다.")</f>
        <v>모험가의 길: 아래 기념물 뒤에는 숨겨진 아이템이 있습니다.</v>
      </c>
      <c r="X17" s="71" t="str">
        <f>IFERROR(__xludf.DUMMYFUNCTION("GOOGLETRANSLATE(D17,""zh-tw"",""KO"")"),"아이템과 무기 획득 - 라바 스태프")</f>
        <v>아이템과 무기 획득 - 라바 스태프</v>
      </c>
      <c r="Y17" s="161" t="str">
        <f>IFERROR(__xludf.DUMMYFUNCTION("GOOGLETRANSLATE(E17,""zh-tw"",""en"")"),"R14")</f>
        <v>R14</v>
      </c>
      <c r="Z17" s="118" t="str">
        <f>IFERROR(__xludf.DUMMYFUNCTION("GOOGLETRANSLATE(B17,""zh-tw"",""ru"")"),"Скрытый проход 3")</f>
        <v>Скрытый проход 3</v>
      </c>
      <c r="AA17" s="162" t="str">
        <f>IFERROR(__xludf.DUMMYFUNCTION("GOOGLETRANSLATE(C17,""zh-tw"",""RU"")"),"Путь искателя приключений: за памятником внизу спрятан предмет.")</f>
        <v>Путь искателя приключений: за памятником внизу спрятан предмет.</v>
      </c>
      <c r="AB17" s="64" t="str">
        <f>IFERROR(__xludf.DUMMYFUNCTION("GOOGLETRANSLATE(D17,""zh-tw"",""RU"")"),"Получите предмет и оружие — Лавовый посох.")</f>
        <v>Получите предмет и оружие — Лавовый посох.</v>
      </c>
      <c r="AC17" s="161" t="str">
        <f>IFERROR(__xludf.DUMMYFUNCTION("GOOGLETRANSLATE(I17,""zh-tw"",""en"")"),"R14")</f>
        <v>R14</v>
      </c>
      <c r="AD17" s="118" t="s">
        <v>2626</v>
      </c>
      <c r="AE17" s="164" t="s">
        <v>2627</v>
      </c>
      <c r="AF17" s="119" t="s">
        <v>2628</v>
      </c>
      <c r="AG17" s="98" t="s">
        <v>2615</v>
      </c>
      <c r="AH17" s="106" t="s">
        <v>2629</v>
      </c>
      <c r="AI17" s="165" t="s">
        <v>2630</v>
      </c>
      <c r="AJ17" s="67" t="s">
        <v>2631</v>
      </c>
      <c r="AK17" s="137" t="s">
        <v>2615</v>
      </c>
      <c r="AL17" s="138" t="s">
        <v>2632</v>
      </c>
      <c r="AM17" s="123" t="s">
        <v>2633</v>
      </c>
      <c r="AN17" s="124" t="s">
        <v>2634</v>
      </c>
      <c r="AO17" s="124"/>
    </row>
    <row r="18">
      <c r="A18" s="121" t="s">
        <v>2635</v>
      </c>
      <c r="B18" s="118" t="s">
        <v>2636</v>
      </c>
      <c r="C18" s="109" t="s">
        <v>2637</v>
      </c>
      <c r="D18" s="69" t="s">
        <v>2580</v>
      </c>
      <c r="E18" s="121" t="str">
        <f>IFERROR(__xludf.DUMMYFUNCTION("GOOGLETRANSLATE(A18,""zh-tw"",""ja"")"),"R15")</f>
        <v>R15</v>
      </c>
      <c r="F18" s="118" t="s">
        <v>2638</v>
      </c>
      <c r="G18" s="109" t="s">
        <v>2639</v>
      </c>
      <c r="H18" s="69" t="s">
        <v>2582</v>
      </c>
      <c r="I18" s="121" t="str">
        <f>IFERROR(__xludf.DUMMYFUNCTION("GOOGLETRANSLATE(A18,""zh-tw"",""en"")"),"R15")</f>
        <v>R15</v>
      </c>
      <c r="J18" s="118" t="s">
        <v>2640</v>
      </c>
      <c r="K18" s="109" t="s">
        <v>2641</v>
      </c>
      <c r="L18" s="69" t="s">
        <v>2585</v>
      </c>
      <c r="M18" s="137" t="str">
        <f>IFERROR(__xludf.DUMMYFUNCTION("GOOGLETRANSLATE(A18,""zh-tw"",""en"")"),"R15")</f>
        <v>R15</v>
      </c>
      <c r="N18" s="118" t="str">
        <f>IFERROR(__xludf.DUMMYFUNCTION("GOOGLETRANSLATE(B18,""zh-tw"",""zh"")"),"隐藏通道4")</f>
        <v>隐藏通道4</v>
      </c>
      <c r="O18" s="103" t="str">
        <f>IFERROR(__xludf.DUMMYFUNCTION("GOOGLETRANSLATE(C18,""zh-tw"",""zh"")"),"""遗迹之森-4""右下角树林，有隐藏物品")</f>
        <v>"遗迹之森-4"右下角树林，有隐藏物品</v>
      </c>
      <c r="P18" s="71" t="str">
        <f>IFERROR(__xludf.DUMMYFUNCTION("GOOGLETRANSLATE(D18,""zh-tw"",""zh"")"),"获得道具")</f>
        <v>获得道具</v>
      </c>
      <c r="Q18" s="137" t="str">
        <f>IFERROR(__xludf.DUMMYFUNCTION("GOOGLETRANSLATE(A18,""zh-tw"",""ja"")"),"R15")</f>
        <v>R15</v>
      </c>
      <c r="R18" s="118" t="s">
        <v>2642</v>
      </c>
      <c r="S18" s="103" t="str">
        <f>IFERROR(__xludf.DUMMYFUNCTION("GOOGLETRANSLATE(C18,""zh-tw"",""es-MX"")"),"Hay un objeto oculto en el bosque en la esquina inferior derecha de ""Ruinas del Bosque-4"".")</f>
        <v>Hay un objeto oculto en el bosque en la esquina inferior derecha de "Ruinas del Bosque-4".</v>
      </c>
      <c r="T18" s="69" t="s">
        <v>2643</v>
      </c>
      <c r="U18" s="161" t="str">
        <f>IFERROR(__xludf.DUMMYFUNCTION("GOOGLETRANSLATE(A18,""zh-tw"",""en"")"),"R15")</f>
        <v>R15</v>
      </c>
      <c r="V18" s="138" t="str">
        <f>IFERROR(__xludf.DUMMYFUNCTION("GOOGLETRANSLATE(B18,""zh-tw"",""KO"")"),"숨겨진 통로 4")</f>
        <v>숨겨진 통로 4</v>
      </c>
      <c r="W18" s="103" t="str">
        <f>IFERROR(__xludf.DUMMYFUNCTION("GOOGLETRANSLATE(C18,""zh-tw"",""KO"")"),"""유적의 숲-4""의 오른쪽 하단에 있는 숲에 숨겨진 아이템이 있습니다.")</f>
        <v>"유적의 숲-4"의 오른쪽 하단에 있는 숲에 숨겨진 아이템이 있습니다.</v>
      </c>
      <c r="X18" s="71" t="str">
        <f>IFERROR(__xludf.DUMMYFUNCTION("GOOGLETRANSLATE(D18,""zh-tw"",""KO"")"),"아이템 획득")</f>
        <v>아이템 획득</v>
      </c>
      <c r="Y18" s="161" t="str">
        <f>IFERROR(__xludf.DUMMYFUNCTION("GOOGLETRANSLATE(E18,""zh-tw"",""en"")"),"R15")</f>
        <v>R15</v>
      </c>
      <c r="Z18" s="118" t="str">
        <f>IFERROR(__xludf.DUMMYFUNCTION("GOOGLETRANSLATE(B18,""zh-tw"",""ru"")"),"Скрытый проход 4")</f>
        <v>Скрытый проход 4</v>
      </c>
      <c r="AA18" s="162" t="str">
        <f>IFERROR(__xludf.DUMMYFUNCTION("GOOGLETRANSLATE(C18,""zh-tw"",""RU"")"),"В правом нижнем углу леса «Руины леса-4» спрятан предмет.")</f>
        <v>В правом нижнем углу леса «Руины леса-4» спрятан предмет.</v>
      </c>
      <c r="AB18" s="64" t="str">
        <f>IFERROR(__xludf.DUMMYFUNCTION("GOOGLETRANSLATE(D18,""zh-tw"",""RU"")"),"Получить предметы")</f>
        <v>Получить предметы</v>
      </c>
      <c r="AC18" s="161" t="str">
        <f>IFERROR(__xludf.DUMMYFUNCTION("GOOGLETRANSLATE(I18,""zh-tw"",""en"")"),"R15")</f>
        <v>R15</v>
      </c>
      <c r="AD18" s="118" t="s">
        <v>2644</v>
      </c>
      <c r="AE18" s="164" t="s">
        <v>2645</v>
      </c>
      <c r="AF18" s="119" t="s">
        <v>2646</v>
      </c>
      <c r="AG18" s="98" t="s">
        <v>2635</v>
      </c>
      <c r="AH18" s="106" t="s">
        <v>2647</v>
      </c>
      <c r="AI18" s="165" t="s">
        <v>2648</v>
      </c>
      <c r="AJ18" s="67" t="s">
        <v>2592</v>
      </c>
      <c r="AK18" s="137" t="s">
        <v>2635</v>
      </c>
      <c r="AL18" s="138" t="s">
        <v>2649</v>
      </c>
      <c r="AM18" s="123" t="s">
        <v>2650</v>
      </c>
      <c r="AN18" s="124" t="s">
        <v>2651</v>
      </c>
      <c r="AO18" s="124"/>
    </row>
    <row r="19">
      <c r="A19" s="121" t="s">
        <v>2652</v>
      </c>
      <c r="B19" s="118" t="s">
        <v>2653</v>
      </c>
      <c r="C19" s="109" t="s">
        <v>2654</v>
      </c>
      <c r="D19" s="69" t="s">
        <v>2655</v>
      </c>
      <c r="E19" s="121" t="str">
        <f>IFERROR(__xludf.DUMMYFUNCTION("GOOGLETRANSLATE(A19,""zh-tw"",""ja"")"),"R16")</f>
        <v>R16</v>
      </c>
      <c r="F19" s="118" t="s">
        <v>2656</v>
      </c>
      <c r="G19" s="109" t="s">
        <v>2657</v>
      </c>
      <c r="H19" s="69" t="s">
        <v>2658</v>
      </c>
      <c r="I19" s="121" t="str">
        <f>IFERROR(__xludf.DUMMYFUNCTION("GOOGLETRANSLATE(A19,""zh-tw"",""en"")"),"R16")</f>
        <v>R16</v>
      </c>
      <c r="J19" s="118" t="s">
        <v>2659</v>
      </c>
      <c r="K19" s="109" t="s">
        <v>2660</v>
      </c>
      <c r="L19" s="69" t="s">
        <v>2661</v>
      </c>
      <c r="M19" s="137" t="str">
        <f>IFERROR(__xludf.DUMMYFUNCTION("GOOGLETRANSLATE(A19,""zh-tw"",""en"")"),"R16")</f>
        <v>R16</v>
      </c>
      <c r="N19" s="118" t="str">
        <f>IFERROR(__xludf.DUMMYFUNCTION("GOOGLETRANSLATE(B19,""zh-tw"",""zh"")"),"隐藏通道5")</f>
        <v>隐藏通道5</v>
      </c>
      <c r="O19" s="103" t="str">
        <f>IFERROR(__xludf.DUMMYFUNCTION("GOOGLETRANSLATE(C19,""zh-tw"",""zh"")"),"被遗弃的森林，依照发光的蘑菇走，到达终点地图后的右下方宝箱")</f>
        <v>被遗弃的森林，依照发光的蘑菇走，到达终点地图后的右下方宝箱</v>
      </c>
      <c r="P19" s="71" t="str">
        <f>IFERROR(__xludf.DUMMYFUNCTION("GOOGLETRANSLATE(D19,""zh-tw"",""zh"")"),"获得""熔岩杖""武器")</f>
        <v>获得"熔岩杖"武器</v>
      </c>
      <c r="Q19" s="137" t="str">
        <f>IFERROR(__xludf.DUMMYFUNCTION("GOOGLETRANSLATE(A19,""zh-tw"",""ja"")"),"R16")</f>
        <v>R16</v>
      </c>
      <c r="R19" s="118" t="s">
        <v>2662</v>
      </c>
      <c r="S19" s="103" t="str">
        <f>IFERROR(__xludf.DUMMYFUNCTION("GOOGLETRANSLATE(C19,""zh-tw"",""es-MX"")"),"En el bosque abandonado, sigue los hongos brillantes para llegar al cofre del tesoro en la esquina inferior derecha del mapa.")</f>
        <v>En el bosque abandonado, sigue los hongos brillantes para llegar al cofre del tesoro en la esquina inferior derecha del mapa.</v>
      </c>
      <c r="T19" s="71" t="str">
        <f>IFERROR(__xludf.DUMMYFUNCTION("GOOGLETRANSLATE(D19,""zh-tw"",""es-MX"")"),"Consigue el arma ""Bastón de lava""")</f>
        <v>Consigue el arma "Bastón de lava"</v>
      </c>
      <c r="U19" s="161" t="str">
        <f>IFERROR(__xludf.DUMMYFUNCTION("GOOGLETRANSLATE(A19,""zh-tw"",""en"")"),"R16")</f>
        <v>R16</v>
      </c>
      <c r="V19" s="138" t="str">
        <f>IFERROR(__xludf.DUMMYFUNCTION("GOOGLETRANSLATE(B19,""zh-tw"",""KO"")"),"숨겨진 통로 5")</f>
        <v>숨겨진 통로 5</v>
      </c>
      <c r="W19" s="103" t="str">
        <f>IFERROR(__xludf.DUMMYFUNCTION("GOOGLETRANSLATE(C19,""zh-tw"",""KO"")"),"버려진 숲에서 빛나는 버섯을 따라가면 지도 오른쪽 하단에 있는 보물 상자에 도착합니다.")</f>
        <v>버려진 숲에서 빛나는 버섯을 따라가면 지도 오른쪽 하단에 있는 보물 상자에 도착합니다.</v>
      </c>
      <c r="X19" s="71" t="str">
        <f>IFERROR(__xludf.DUMMYFUNCTION("GOOGLETRANSLATE(D19,""zh-tw"",""KO"")"),"""용암 지팡이"" 무기를 획득하세요")</f>
        <v>"용암 지팡이" 무기를 획득하세요</v>
      </c>
      <c r="Y19" s="161" t="str">
        <f>IFERROR(__xludf.DUMMYFUNCTION("GOOGLETRANSLATE(E19,""zh-tw"",""en"")"),"R16")</f>
        <v>R16</v>
      </c>
      <c r="Z19" s="118" t="str">
        <f>IFERROR(__xludf.DUMMYFUNCTION("GOOGLETRANSLATE(B19,""zh-tw"",""ru"")"),"Скрытый проход 5")</f>
        <v>Скрытый проход 5</v>
      </c>
      <c r="AA19" s="162" t="str">
        <f>IFERROR(__xludf.DUMMYFUNCTION("GOOGLETRANSLATE(C19,""zh-tw"",""RU"")"),"В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9" s="64" t="str">
        <f>IFERROR(__xludf.DUMMYFUNCTION("GOOGLETRANSLATE(D19,""zh-tw"",""RU"")"),"Получите оружие «Лавовый посох».")</f>
        <v>Получите оружие «Лавовый посох».</v>
      </c>
      <c r="AC19" s="161" t="str">
        <f>IFERROR(__xludf.DUMMYFUNCTION("GOOGLETRANSLATE(I19,""zh-tw"",""en"")"),"R16")</f>
        <v>R16</v>
      </c>
      <c r="AD19" s="118" t="s">
        <v>2663</v>
      </c>
      <c r="AE19" s="164" t="s">
        <v>2664</v>
      </c>
      <c r="AF19" s="119" t="s">
        <v>2665</v>
      </c>
      <c r="AG19" s="98" t="s">
        <v>2652</v>
      </c>
      <c r="AH19" s="106" t="s">
        <v>2666</v>
      </c>
      <c r="AI19" s="165" t="s">
        <v>2667</v>
      </c>
      <c r="AJ19" s="67" t="s">
        <v>2668</v>
      </c>
      <c r="AK19" s="137" t="s">
        <v>2652</v>
      </c>
      <c r="AL19" s="138" t="s">
        <v>2669</v>
      </c>
      <c r="AM19" s="123" t="s">
        <v>2670</v>
      </c>
      <c r="AN19" s="124" t="s">
        <v>2671</v>
      </c>
      <c r="AO19" s="124"/>
    </row>
    <row r="20">
      <c r="A20" s="121" t="s">
        <v>2672</v>
      </c>
      <c r="B20" s="118" t="s">
        <v>2673</v>
      </c>
      <c r="C20" s="109" t="s">
        <v>2674</v>
      </c>
      <c r="D20" s="69" t="s">
        <v>2675</v>
      </c>
      <c r="E20" s="121" t="str">
        <f>IFERROR(__xludf.DUMMYFUNCTION("GOOGLETRANSLATE(A20,""zh-tw"",""ja"")"),"R17")</f>
        <v>R17</v>
      </c>
      <c r="F20" s="118" t="s">
        <v>2676</v>
      </c>
      <c r="G20" s="135" t="str">
        <f>IFERROR(__xludf.DUMMYFUNCTION("GOOGLETRANSLATE(C20,""zh-tw"",""ja"")"),"開発地域（鉱山）-1ではトロッコで最遠地点まで到達することで装備を入手できます。")</f>
        <v>開発地域（鉱山）-1ではトロッコで最遠地点まで到達することで装備を入手できます。</v>
      </c>
      <c r="H20" s="69" t="s">
        <v>2677</v>
      </c>
      <c r="I20" s="121" t="str">
        <f>IFERROR(__xludf.DUMMYFUNCTION("GOOGLETRANSLATE(A20,""zh-tw"",""en"")"),"R17")</f>
        <v>R17</v>
      </c>
      <c r="J20" s="118" t="s">
        <v>2678</v>
      </c>
      <c r="K20" s="109" t="s">
        <v>2679</v>
      </c>
      <c r="L20" s="69" t="s">
        <v>2680</v>
      </c>
      <c r="M20" s="137" t="str">
        <f>IFERROR(__xludf.DUMMYFUNCTION("GOOGLETRANSLATE(A20,""zh-tw"",""en"")"),"R17")</f>
        <v>R17</v>
      </c>
      <c r="N20" s="118" t="str">
        <f>IFERROR(__xludf.DUMMYFUNCTION("GOOGLETRANSLATE(B20,""zh-tw"",""zh"")"),"隐藏通道6")</f>
        <v>隐藏通道6</v>
      </c>
      <c r="O20" s="103" t="str">
        <f>IFERROR(__xludf.DUMMYFUNCTION("GOOGLETRANSLATE(C20,""zh-tw"",""zh"")"),"开发中区域(矿坑)-1，矿车到达最远处，可以取得装备")</f>
        <v>开发中区域(矿坑)-1，矿车到达最远处，可以取得装备</v>
      </c>
      <c r="P20" s="71" t="str">
        <f>IFERROR(__xludf.DUMMYFUNCTION("GOOGLETRANSLATE(D20,""zh-tw"",""zh"")"),"获得装备-倒吊人骨戒")</f>
        <v>获得装备-倒吊人骨戒</v>
      </c>
      <c r="Q20" s="137" t="str">
        <f>IFERROR(__xludf.DUMMYFUNCTION("GOOGLETRANSLATE(A20,""zh-tw"",""ja"")"),"R17")</f>
        <v>R17</v>
      </c>
      <c r="R20" s="118" t="s">
        <v>2681</v>
      </c>
      <c r="S20" s="109" t="s">
        <v>2682</v>
      </c>
      <c r="T20" s="71" t="str">
        <f>IFERROR(__xludf.DUMMYFUNCTION("GOOGLETRANSLATE(D20,""zh-tw"",""es-MX"")"),"Obtener equipo - Anillo de hueso del ahorcado")</f>
        <v>Obtener equipo - Anillo de hueso del ahorcado</v>
      </c>
      <c r="U20" s="161" t="str">
        <f>IFERROR(__xludf.DUMMYFUNCTION("GOOGLETRANSLATE(A20,""zh-tw"",""en"")"),"R17")</f>
        <v>R17</v>
      </c>
      <c r="V20" s="138" t="str">
        <f>IFERROR(__xludf.DUMMYFUNCTION("GOOGLETRANSLATE(B20,""zh-tw"",""KO"")"),"숨겨진 통로 6")</f>
        <v>숨겨진 통로 6</v>
      </c>
      <c r="W20" s="103" t="str">
        <f>IFERROR(__xludf.DUMMYFUNCTION("GOOGLETRANSLATE(C20,""zh-tw"",""KO"")"),"개발 지역(광산)-1에서는 광산 수레를 타고 가장 먼 지점까지 이동하면 장비를 얻을 수 있습니다.")</f>
        <v>개발 지역(광산)-1에서는 광산 수레를 타고 가장 먼 지점까지 이동하면 장비를 얻을 수 있습니다.</v>
      </c>
      <c r="X20" s="71" t="str">
        <f>IFERROR(__xludf.DUMMYFUNCTION("GOOGLETRANSLATE(D20,""zh-tw"",""KO"")"),"장비 획득 - 교수형 남자 뼈 반지")</f>
        <v>장비 획득 - 교수형 남자 뼈 반지</v>
      </c>
      <c r="Y20" s="161" t="str">
        <f>IFERROR(__xludf.DUMMYFUNCTION("GOOGLETRANSLATE(E20,""zh-tw"",""en"")"),"R17")</f>
        <v>R17</v>
      </c>
      <c r="Z20" s="118" t="str">
        <f>IFERROR(__xludf.DUMMYFUNCTION("GOOGLETRANSLATE(B20,""zh-tw"",""ru"")"),"Скрытый проход 6")</f>
        <v>Скрытый проход 6</v>
      </c>
      <c r="AA20" s="162" t="str">
        <f>IFERROR(__xludf.DUMMYFUNCTION("GOOGLETRANSLATE(C20,""zh-tw"",""RU"")"),"В зоне разработки (шахте)-1 вы можете получить оборудование, доехав до самой дальней точки на вагонетке.")</f>
        <v>В зоне разработки (шахте)-1 вы можете получить оборудование, доехав до самой дальней точки на вагонетке.</v>
      </c>
      <c r="AB20" s="64" t="str">
        <f>IFERROR(__xludf.DUMMYFUNCTION("GOOGLETRANSLATE(D20,""zh-tw"",""RU"")"),"Получить снаряжение – Кольцо из костей повешенного")</f>
        <v>Получить снаряжение – Кольцо из костей повешенного</v>
      </c>
      <c r="AC20" s="161" t="str">
        <f>IFERROR(__xludf.DUMMYFUNCTION("GOOGLETRANSLATE(I20,""zh-tw"",""en"")"),"R17")</f>
        <v>R17</v>
      </c>
      <c r="AD20" s="118" t="s">
        <v>2683</v>
      </c>
      <c r="AE20" s="164" t="s">
        <v>2684</v>
      </c>
      <c r="AF20" s="119" t="s">
        <v>2685</v>
      </c>
      <c r="AG20" s="98" t="s">
        <v>2672</v>
      </c>
      <c r="AH20" s="106" t="s">
        <v>2686</v>
      </c>
      <c r="AI20" s="165" t="s">
        <v>2687</v>
      </c>
      <c r="AJ20" s="66" t="s">
        <v>2688</v>
      </c>
      <c r="AK20" s="137" t="s">
        <v>2672</v>
      </c>
      <c r="AL20" s="138" t="s">
        <v>2689</v>
      </c>
      <c r="AM20" s="123" t="s">
        <v>2690</v>
      </c>
      <c r="AN20" s="124" t="s">
        <v>2691</v>
      </c>
      <c r="AO20" s="124"/>
    </row>
    <row r="21">
      <c r="A21" s="121" t="s">
        <v>2692</v>
      </c>
      <c r="B21" s="118" t="s">
        <v>2693</v>
      </c>
      <c r="C21" s="109" t="s">
        <v>2694</v>
      </c>
      <c r="D21" s="69" t="s">
        <v>2695</v>
      </c>
      <c r="E21" s="121" t="str">
        <f>IFERROR(__xludf.DUMMYFUNCTION("GOOGLETRANSLATE(A21,""zh-tw"",""ja"")"),"R18")</f>
        <v>R18</v>
      </c>
      <c r="F21" s="118" t="s">
        <v>2696</v>
      </c>
      <c r="G21" s="135" t="s">
        <v>2697</v>
      </c>
      <c r="H21" s="69" t="s">
        <v>2698</v>
      </c>
      <c r="I21" s="121" t="str">
        <f>IFERROR(__xludf.DUMMYFUNCTION("GOOGLETRANSLATE(A21,""zh-tw"",""en"")"),"R18")</f>
        <v>R18</v>
      </c>
      <c r="J21" s="118" t="s">
        <v>2699</v>
      </c>
      <c r="K21" s="109" t="s">
        <v>2700</v>
      </c>
      <c r="L21" s="69" t="s">
        <v>2701</v>
      </c>
      <c r="M21" s="137" t="str">
        <f>IFERROR(__xludf.DUMMYFUNCTION("GOOGLETRANSLATE(A21,""zh-tw"",""en"")"),"R18")</f>
        <v>R18</v>
      </c>
      <c r="N21" s="118" t="str">
        <f>IFERROR(__xludf.DUMMYFUNCTION("GOOGLETRANSLATE(B21,""zh-tw"",""zh"")"),"隐藏通道7")</f>
        <v>隐藏通道7</v>
      </c>
      <c r="O21" s="103" t="str">
        <f>IFERROR(__xludf.DUMMYFUNCTION("GOOGLETRANSLATE(C21,""zh-tw"",""zh"")"),"于被遗忘的墓穴，将左侧坟墓打掉，会有隐藏通道")</f>
        <v>于被遗忘的墓穴，将左侧坟墓打掉，会有隐藏通道</v>
      </c>
      <c r="P21" s="71" t="str">
        <f>IFERROR(__xludf.DUMMYFUNCTION("GOOGLETRANSLATE(D21,""zh-tw"",""zh"")"),"隐藏地图内可获得""魔力汲取手套""、营火地点
*0.75版本实装  忍者NPC")</f>
        <v>隐藏地图内可获得"魔力汲取手套"、营火地点
*0.75版本实装  忍者NPC</v>
      </c>
      <c r="Q21" s="137" t="str">
        <f>IFERROR(__xludf.DUMMYFUNCTION("GOOGLETRANSLATE(A21,""zh-tw"",""ja"")"),"R18")</f>
        <v>R18</v>
      </c>
      <c r="R21" s="118" t="s">
        <v>2702</v>
      </c>
      <c r="S21" s="103" t="str">
        <f>IFERROR(__xludf.DUMMYFUNCTION("GOOGLETRANSLATE(C21,""zh-tw"",""es-MX"")"),"En la Tumba Olvidada, al destruir la tumba de la izquierda se revelará un pasaje oculto.")</f>
        <v>En la Tumba Olvidada, al destruir la tumba de la izquierda se revelará un pasaje oculto.</v>
      </c>
      <c r="T21" s="71" t="str">
        <f>IFERROR(__xludf.DUMMYFUNCTION("GOOGLETRANSLATE(D21,""zh-tw"",""es-MX"")"),"Los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21" s="161" t="str">
        <f>IFERROR(__xludf.DUMMYFUNCTION("GOOGLETRANSLATE(A21,""zh-tw"",""en"")"),"R18")</f>
        <v>R18</v>
      </c>
      <c r="V21" s="138" t="str">
        <f>IFERROR(__xludf.DUMMYFUNCTION("GOOGLETRANSLATE(B21,""zh-tw"",""KO"")"),"숨겨진 통로 7")</f>
        <v>숨겨진 통로 7</v>
      </c>
      <c r="W21" s="103" t="str">
        <f>IFERROR(__xludf.DUMMYFUNCTION("GOOGLETRANSLATE(C21,""zh-tw"",""KO"")"),"잊혀진 무덤에서 왼쪽의 무덤을 파괴하면 숨겨진 통로가 드러납니다.")</f>
        <v>잊혀진 무덤에서 왼쪽의 무덤을 파괴하면 숨겨진 통로가 드러납니다.</v>
      </c>
      <c r="X21" s="71" t="str">
        <f>IFERROR(__xludf.DUMMYFUNCTION("GOOGLETRANSLATE(D21,""zh-tw"",""KO"")"),"""마나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1" s="161" t="str">
        <f>IFERROR(__xludf.DUMMYFUNCTION("GOOGLETRANSLATE(E21,""zh-tw"",""en"")"),"R18")</f>
        <v>R18</v>
      </c>
      <c r="Z21" s="118" t="str">
        <f>IFERROR(__xludf.DUMMYFUNCTION("GOOGLETRANSLATE(B21,""zh-tw"",""ru"")"),"Скрытый проход 7")</f>
        <v>Скрытый проход 7</v>
      </c>
      <c r="AA21" s="162" t="str">
        <f>IFERROR(__xludf.DUMMYFUNCTION("GOOGLETRANSLATE(C21,""zh-tw"",""RU"")"),"В Забытой Гробнице разрушение могилы слева откроет скрытый проход.")</f>
        <v>В Забытой Гробнице разрушение могилы слева откроет скрытый проход.</v>
      </c>
      <c r="AB21" s="64" t="str">
        <f>IFERROR(__xludf.DUMMYFUNCTION("GOOGLETRANSLATE(D21,""zh-tw"",""RU"")"),"Перчатки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1" s="161" t="str">
        <f>IFERROR(__xludf.DUMMYFUNCTION("GOOGLETRANSLATE(I21,""zh-tw"",""en"")"),"R18")</f>
        <v>R18</v>
      </c>
      <c r="AD21" s="118" t="s">
        <v>2703</v>
      </c>
      <c r="AE21" s="164" t="s">
        <v>2704</v>
      </c>
      <c r="AF21" s="119" t="s">
        <v>2705</v>
      </c>
      <c r="AG21" s="98" t="s">
        <v>2692</v>
      </c>
      <c r="AH21" s="106" t="s">
        <v>2706</v>
      </c>
      <c r="AI21" s="165" t="s">
        <v>2707</v>
      </c>
      <c r="AJ21" s="67" t="s">
        <v>2708</v>
      </c>
      <c r="AK21" s="137" t="s">
        <v>2692</v>
      </c>
      <c r="AL21" s="138" t="s">
        <v>2709</v>
      </c>
      <c r="AM21" s="123" t="s">
        <v>2710</v>
      </c>
      <c r="AN21" s="124" t="s">
        <v>2711</v>
      </c>
      <c r="AO21" s="124"/>
    </row>
    <row r="22">
      <c r="A22" s="121" t="s">
        <v>2712</v>
      </c>
      <c r="B22" s="118" t="s">
        <v>2713</v>
      </c>
      <c r="C22" s="109" t="s">
        <v>2714</v>
      </c>
      <c r="D22" s="69" t="s">
        <v>2715</v>
      </c>
      <c r="E22" s="121" t="str">
        <f>IFERROR(__xludf.DUMMYFUNCTION("GOOGLETRANSLATE(A22,""zh-tw"",""ja"")"),"R19")</f>
        <v>R19</v>
      </c>
      <c r="F22" s="118" t="s">
        <v>2716</v>
      </c>
      <c r="G22" s="135" t="s">
        <v>2717</v>
      </c>
      <c r="H22" s="69" t="s">
        <v>2718</v>
      </c>
      <c r="I22" s="121" t="str">
        <f>IFERROR(__xludf.DUMMYFUNCTION("GOOGLETRANSLATE(A22,""zh-tw"",""en"")"),"R19")</f>
        <v>R19</v>
      </c>
      <c r="J22" s="118" t="s">
        <v>2719</v>
      </c>
      <c r="K22" s="109" t="s">
        <v>2720</v>
      </c>
      <c r="L22" s="69" t="s">
        <v>2721</v>
      </c>
      <c r="M22" s="137" t="str">
        <f>IFERROR(__xludf.DUMMYFUNCTION("GOOGLETRANSLATE(A22,""zh-tw"",""en"")"),"R19")</f>
        <v>R19</v>
      </c>
      <c r="N22" s="118" t="str">
        <f>IFERROR(__xludf.DUMMYFUNCTION("GOOGLETRANSLATE(B22,""zh-tw"",""zh"")"),"隐藏通道8")</f>
        <v>隐藏通道8</v>
      </c>
      <c r="O22" s="103" t="str">
        <f>IFERROR(__xludf.DUMMYFUNCTION("GOOGLETRANSLATE(C22,""zh-tw"",""zh"")"),"于被遗忘的墓穴，将右侧石板打掉，会有隐藏通道")</f>
        <v>于被遗忘的墓穴，将右侧石板打掉，会有隐藏通道</v>
      </c>
      <c r="P22" s="71" t="str">
        <f>IFERROR(__xludf.DUMMYFUNCTION("GOOGLETRANSLATE(D22,""zh-tw"",""zh"")"),"隐藏地图内可获得宝箱与隐藏光点")</f>
        <v>隐藏地图内可获得宝箱与隐藏光点</v>
      </c>
      <c r="Q22" s="137" t="str">
        <f>IFERROR(__xludf.DUMMYFUNCTION("GOOGLETRANSLATE(A22,""zh-tw"",""ja"")"),"R19")</f>
        <v>R19</v>
      </c>
      <c r="R22" s="118" t="s">
        <v>2722</v>
      </c>
      <c r="S22" s="103" t="str">
        <f>IFERROR(__xludf.DUMMYFUNCTION("GOOGLETRANSLATE(C22,""zh-tw"",""es-MX"")"),"En la tumba olvidada, al romper la losa de piedra de la derecha se revelará un pasaje oculto.")</f>
        <v>En la tumba olvidada, al romper la losa de piedra de la derecha se revelará un pasaje oculto.</v>
      </c>
      <c r="T22" s="71" t="str">
        <f>IFERROR(__xludf.DUMMYFUNCTION("GOOGLETRANSLATE(D22,""zh-tw"",""es-MX"")"),"Se pueden encontrar cofres del tesoro y puntos brillantes ocultos dentro del mapa oculto.")</f>
        <v>Se pueden encontrar cofres del tesoro y puntos brillantes ocultos dentro del mapa oculto.</v>
      </c>
      <c r="U22" s="161" t="str">
        <f>IFERROR(__xludf.DUMMYFUNCTION("GOOGLETRANSLATE(A22,""zh-tw"",""en"")"),"R19")</f>
        <v>R19</v>
      </c>
      <c r="V22" s="138" t="str">
        <f>IFERROR(__xludf.DUMMYFUNCTION("GOOGLETRANSLATE(B22,""zh-tw"",""KO"")"),"숨겨진 통로 8")</f>
        <v>숨겨진 통로 8</v>
      </c>
      <c r="W22" s="103" t="str">
        <f>IFERROR(__xludf.DUMMYFUNCTION("GOOGLETRANSLATE(C22,""zh-tw"",""KO"")"),"잊혀진 무덤에서 오른쪽에 있는 돌판을 부수면 숨겨진 통로가 드러납니다.")</f>
        <v>잊혀진 무덤에서 오른쪽에 있는 돌판을 부수면 숨겨진 통로가 드러납니다.</v>
      </c>
      <c r="X22" s="71" t="str">
        <f>IFERROR(__xludf.DUMMYFUNCTION("GOOGLETRANSLATE(D22,""zh-tw"",""KO"")"),"숨겨진 지도 안에서는 보물상자와 숨겨진 빛나는 장소를 찾을 수 있습니다.")</f>
        <v>숨겨진 지도 안에서는 보물상자와 숨겨진 빛나는 장소를 찾을 수 있습니다.</v>
      </c>
      <c r="Y22" s="161" t="str">
        <f>IFERROR(__xludf.DUMMYFUNCTION("GOOGLETRANSLATE(E22,""zh-tw"",""en"")"),"R19")</f>
        <v>R19</v>
      </c>
      <c r="Z22" s="118" t="str">
        <f>IFERROR(__xludf.DUMMYFUNCTION("GOOGLETRANSLATE(B22,""zh-tw"",""ru"")"),"Скрытый проход 8")</f>
        <v>Скрытый проход 8</v>
      </c>
      <c r="AA22" s="162" t="str">
        <f>IFERROR(__xludf.DUMMYFUNCTION("GOOGLETRANSLATE(C22,""zh-tw"",""RU"")"),"В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2" s="64" t="str">
        <f>IFERROR(__xludf.DUMMYFUNCTION("GOOGLETRANSLATE(D22,""zh-tw"",""RU"")"),"Сундуки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2" s="161" t="str">
        <f>IFERROR(__xludf.DUMMYFUNCTION("GOOGLETRANSLATE(I22,""zh-tw"",""en"")"),"R19")</f>
        <v>R19</v>
      </c>
      <c r="AD22" s="118" t="s">
        <v>2723</v>
      </c>
      <c r="AE22" s="164" t="s">
        <v>2724</v>
      </c>
      <c r="AF22" s="119" t="s">
        <v>2725</v>
      </c>
      <c r="AG22" s="98" t="s">
        <v>2712</v>
      </c>
      <c r="AH22" s="106" t="s">
        <v>2726</v>
      </c>
      <c r="AI22" s="165" t="s">
        <v>2727</v>
      </c>
      <c r="AJ22" s="67" t="s">
        <v>2728</v>
      </c>
      <c r="AK22" s="137" t="s">
        <v>2712</v>
      </c>
      <c r="AL22" s="138" t="s">
        <v>2729</v>
      </c>
      <c r="AM22" s="123" t="s">
        <v>2730</v>
      </c>
      <c r="AN22" s="124" t="s">
        <v>2731</v>
      </c>
      <c r="AO22" s="124"/>
    </row>
    <row r="23">
      <c r="A23" s="121" t="s">
        <v>2732</v>
      </c>
      <c r="B23" s="118" t="s">
        <v>2733</v>
      </c>
      <c r="C23" s="109" t="s">
        <v>2734</v>
      </c>
      <c r="D23" s="69" t="s">
        <v>2735</v>
      </c>
      <c r="E23" s="121" t="str">
        <f>IFERROR(__xludf.DUMMYFUNCTION("GOOGLETRANSLATE(A23,""zh-tw"",""ja"")"),"R20")</f>
        <v>R20</v>
      </c>
      <c r="F23" s="118" t="s">
        <v>2736</v>
      </c>
      <c r="G23" s="109" t="s">
        <v>2737</v>
      </c>
      <c r="H23" s="69" t="s">
        <v>2677</v>
      </c>
      <c r="I23" s="121" t="str">
        <f>IFERROR(__xludf.DUMMYFUNCTION("GOOGLETRANSLATE(A23,""zh-tw"",""en"")"),"R20")</f>
        <v>R20</v>
      </c>
      <c r="J23" s="118" t="s">
        <v>2738</v>
      </c>
      <c r="K23" s="109" t="s">
        <v>2739</v>
      </c>
      <c r="L23" s="69" t="s">
        <v>2680</v>
      </c>
      <c r="M23" s="137" t="str">
        <f>IFERROR(__xludf.DUMMYFUNCTION("GOOGLETRANSLATE(A23,""zh-tw"",""en"")"),"R20")</f>
        <v>R20</v>
      </c>
      <c r="N23" s="118" t="str">
        <f>IFERROR(__xludf.DUMMYFUNCTION("GOOGLETRANSLATE(B23,""zh-tw"",""zh"")"),"隐藏通道9")</f>
        <v>隐藏通道9</v>
      </c>
      <c r="O23" s="103" t="str">
        <f>IFERROR(__xludf.DUMMYFUNCTION("GOOGLETRANSLATE(C23,""zh-tw"",""zh"")"),"被遗忘的墓穴-2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3" s="71" t="str">
        <f>IFERROR(__xludf.DUMMYFUNCTION("GOOGLETRANSLATE(D23,""zh-tw"",""zh"")"),"获得""倒吊人的骨戒""装备")</f>
        <v>获得"倒吊人的骨戒"装备</v>
      </c>
      <c r="Q23" s="137" t="str">
        <f>IFERROR(__xludf.DUMMYFUNCTION("GOOGLETRANSLATE(A23,""zh-tw"",""ja"")"),"R20")</f>
        <v>R20</v>
      </c>
      <c r="R23" s="118" t="s">
        <v>2740</v>
      </c>
      <c r="S23" s="109" t="s">
        <v>2741</v>
      </c>
      <c r="T23" s="71" t="str">
        <f>IFERROR(__xludf.DUMMYFUNCTION("GOOGLETRANSLATE(D23,""zh-tw"",""es-MX"")"),"Consigue el equipo ""Anillo de hueso del ahorcado"".")</f>
        <v>Consigue el equipo "Anillo de hueso del ahorcado".</v>
      </c>
      <c r="U23" s="161" t="str">
        <f>IFERROR(__xludf.DUMMYFUNCTION("GOOGLETRANSLATE(A23,""zh-tw"",""en"")"),"R20")</f>
        <v>R20</v>
      </c>
      <c r="V23" s="138" t="str">
        <f>IFERROR(__xludf.DUMMYFUNCTION("GOOGLETRANSLATE(B23,""zh-tw"",""KO"")"),"숨겨진 통로 9")</f>
        <v>숨겨진 통로 9</v>
      </c>
      <c r="W23" s="103" t="str">
        <f>IFERROR(__xludf.DUMMYFUNCTION("GOOGLETRANSLATE(C23,""zh-tw"",""KO"")"),"잊혀진 무덤 - 2개의 유적 보스 - 격노하는 붉은 짐승. 아이템을 사용하여 아래 절벽을 건너 보물 상자를 찾으세요.
또는 부활 깃털을 사용하여 이전 레벨의 왼쪽 하단 모서리에서 뛰어내려 보스를 건너뛰고 해당 지역으로 들어갈 수 있습니다.")</f>
        <v>잊혀진 무덤 - 2개의 유적 보스 - 격노하는 붉은 짐승. 아이템을 사용하여 아래 절벽을 건너 보물 상자를 찾으세요.
또는 부활 깃털을 사용하여 이전 레벨의 왼쪽 하단 모서리에서 뛰어내려 보스를 건너뛰고 해당 지역으로 들어갈 수 있습니다.</v>
      </c>
      <c r="X23" s="71" t="str">
        <f>IFERROR(__xludf.DUMMYFUNCTION("GOOGLETRANSLATE(D23,""zh-tw"",""KO"")"),"""교수형에 처해진 남자의 뼈 반지"" 장비를 획득하세요.")</f>
        <v>"교수형에 처해진 남자의 뼈 반지" 장비를 획득하세요.</v>
      </c>
      <c r="Y23" s="161" t="str">
        <f>IFERROR(__xludf.DUMMYFUNCTION("GOOGLETRANSLATE(E23,""zh-tw"",""en"")"),"R20")</f>
        <v>R20</v>
      </c>
      <c r="Z23" s="118" t="str">
        <f>IFERROR(__xludf.DUMMYFUNCTION("GOOGLETRANSLATE(B23,""zh-tw"",""ru"")"),"Скрытый проход 9")</f>
        <v>Скрытый проход 9</v>
      </c>
      <c r="AA23" s="162" t="str">
        <f>IFERROR(__xludf.DUMMYFUNCTION("GOOGLETRANSLATE(C23,""zh-tw"",""RU"")"),"Забытая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и"&amp;" попав в эту зону.")</f>
        <v>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3" s="64" t="str">
        <f>IFERROR(__xludf.DUMMYFUNCTION("GOOGLETRANSLATE(D23,""zh-tw"",""RU"")"),"Получите снаряжение «Кольцо из костей повешенного».")</f>
        <v>Получите снаряжение «Кольцо из костей повешенного».</v>
      </c>
      <c r="AC23" s="161" t="str">
        <f>IFERROR(__xludf.DUMMYFUNCTION("GOOGLETRANSLATE(I23,""zh-tw"",""en"")"),"R20")</f>
        <v>R20</v>
      </c>
      <c r="AD23" s="118" t="s">
        <v>2742</v>
      </c>
      <c r="AE23" s="164" t="s">
        <v>2743</v>
      </c>
      <c r="AF23" s="119" t="s">
        <v>2744</v>
      </c>
      <c r="AG23" s="98" t="s">
        <v>2732</v>
      </c>
      <c r="AH23" s="106" t="s">
        <v>2745</v>
      </c>
      <c r="AI23" s="165" t="s">
        <v>2746</v>
      </c>
      <c r="AJ23" s="66" t="s">
        <v>2688</v>
      </c>
      <c r="AK23" s="137" t="s">
        <v>2732</v>
      </c>
      <c r="AL23" s="138" t="s">
        <v>2747</v>
      </c>
      <c r="AM23" s="123" t="s">
        <v>2748</v>
      </c>
      <c r="AN23" s="124" t="s">
        <v>2749</v>
      </c>
      <c r="AO23" s="124"/>
    </row>
    <row r="24">
      <c r="A24" s="121" t="s">
        <v>2750</v>
      </c>
      <c r="B24" s="118" t="s">
        <v>2751</v>
      </c>
      <c r="C24" s="109" t="s">
        <v>2752</v>
      </c>
      <c r="D24" s="69" t="s">
        <v>2753</v>
      </c>
      <c r="E24" s="121" t="str">
        <f>IFERROR(__xludf.DUMMYFUNCTION("GOOGLETRANSLATE(A24,""zh-tw"",""ja"")"),"R21")</f>
        <v>R21</v>
      </c>
      <c r="F24" s="118" t="s">
        <v>2754</v>
      </c>
      <c r="G24" s="109" t="s">
        <v>2755</v>
      </c>
      <c r="H24" s="69" t="s">
        <v>2756</v>
      </c>
      <c r="I24" s="121" t="str">
        <f>IFERROR(__xludf.DUMMYFUNCTION("GOOGLETRANSLATE(A24,""zh-tw"",""en"")"),"R21")</f>
        <v>R21</v>
      </c>
      <c r="J24" s="118" t="s">
        <v>2757</v>
      </c>
      <c r="K24" s="109" t="s">
        <v>2758</v>
      </c>
      <c r="L24" s="69" t="s">
        <v>2759</v>
      </c>
      <c r="M24" s="137" t="str">
        <f>IFERROR(__xludf.DUMMYFUNCTION("GOOGLETRANSLATE(A24,""zh-tw"",""en"")"),"R21")</f>
        <v>R21</v>
      </c>
      <c r="N24" s="118" t="str">
        <f>IFERROR(__xludf.DUMMYFUNCTION("GOOGLETRANSLATE(B24,""zh-tw"",""zh"")"),"隐藏通道10
机甲")</f>
        <v>隐藏通道10
机甲</v>
      </c>
      <c r="O24" s="109" t="s">
        <v>2760</v>
      </c>
      <c r="P24" s="71" t="str">
        <f>IFERROR(__xludf.DUMMYFUNCTION("GOOGLETRANSLATE(D24,""zh-tw"",""zh"")"),"发现机甲，第二天前往后会消失，此时才可触发见闻
(后续未实装)
获得道具：初号核心")</f>
        <v>发现机甲，第二天前往后会消失，此时才可触发见闻
(后续未实装)
获得道具：初号核心</v>
      </c>
      <c r="Q24" s="137" t="str">
        <f>IFERROR(__xludf.DUMMYFUNCTION("GOOGLETRANSLATE(A24,""zh-tw"",""ja"")"),"R21")</f>
        <v>R21</v>
      </c>
      <c r="R24" s="118" t="s">
        <v>2761</v>
      </c>
      <c r="S24" s="103" t="str">
        <f>IFERROR(__xludf.DUMMYFUNCTION("GOOGLETRANSLATE(C24,""zh-tw"",""es-MX"")"),"Después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4" s="71" t="str">
        <f>IFERROR(__xludf.DUMMYFUNCTION("GOOGLETRANSLATE(D24,""zh-tw"",""es-MX"")"),"El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4" s="161" t="str">
        <f>IFERROR(__xludf.DUMMYFUNCTION("GOOGLETRANSLATE(A24,""zh-tw"",""en"")"),"R21")</f>
        <v>R21</v>
      </c>
      <c r="V24" s="138" t="str">
        <f>IFERROR(__xludf.DUMMYFUNCTION("GOOGLETRANSLATE(B24,""zh-tw"",""KO"")"),"숨겨진 통로 10 메크")</f>
        <v>숨겨진 통로 10 메크</v>
      </c>
      <c r="W24" s="103" t="str">
        <f>IFERROR(__xludf.DUMMYFUNCTION("GOOGLETRANSLATE(C24,""zh-tw"",""KO"")"),"""모험가의 길: 모임 장소""의 자판기 오른쪽에 있는 로프를 타고 올라가면 숨겨진 통로가 아래쪽의 큰 숲으로 이어집니다.")</f>
        <v>"모험가의 길: 모임 장소"의 자판기 오른쪽에 있는 로프를 타고 올라가면 숨겨진 통로가 아래쪽의 큰 숲으로 이어집니다.</v>
      </c>
      <c r="X24" s="71" t="str">
        <f>IFERROR(__xludf.DUMMYFUNCTION("GOOGLETRANSLATE(D24,""zh-tw"",""KO"")"),"발견한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4" s="161" t="str">
        <f>IFERROR(__xludf.DUMMYFUNCTION("GOOGLETRANSLATE(E24,""zh-tw"",""en"")"),"R21")</f>
        <v>R21</v>
      </c>
      <c r="Z24" s="118" t="str">
        <f>IFERROR(__xludf.DUMMYFUNCTION("GOOGLETRANSLATE(B24,""zh-tw"",""ru"")"),"Скрытый проход 10 Мех")</f>
        <v>Скрытый проход 10 Мех</v>
      </c>
      <c r="AA24" s="162" t="str">
        <f>IFERROR(__xludf.DUMMYFUNCTION("GOOGLETRANSLATE(C24,""zh-tw"",""RU"")"),"Поднявшись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4" s="64" t="str">
        <f>IFERROR(__xludf.DUMMYFUNCTION("GOOGLETRANSLATE(D24,""zh-tw"",""RU"")"),"Обнаруженный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4" s="161" t="str">
        <f>IFERROR(__xludf.DUMMYFUNCTION("GOOGLETRANSLATE(I24,""zh-tw"",""en"")"),"R21")</f>
        <v>R21</v>
      </c>
      <c r="AD24" s="118" t="s">
        <v>2762</v>
      </c>
      <c r="AE24" s="164" t="s">
        <v>2763</v>
      </c>
      <c r="AF24" s="119" t="s">
        <v>2764</v>
      </c>
      <c r="AG24" s="98" t="s">
        <v>2750</v>
      </c>
      <c r="AH24" s="106" t="s">
        <v>2765</v>
      </c>
      <c r="AI24" s="165" t="s">
        <v>2766</v>
      </c>
      <c r="AJ24" s="67" t="s">
        <v>2767</v>
      </c>
      <c r="AK24" s="137" t="s">
        <v>2750</v>
      </c>
      <c r="AL24" s="138" t="s">
        <v>2768</v>
      </c>
      <c r="AM24" s="123" t="s">
        <v>2769</v>
      </c>
      <c r="AN24" s="124" t="s">
        <v>2770</v>
      </c>
      <c r="AO24" s="124"/>
    </row>
    <row r="25">
      <c r="A25" s="121" t="s">
        <v>2771</v>
      </c>
      <c r="B25" s="118" t="s">
        <v>2772</v>
      </c>
      <c r="C25" s="109" t="s">
        <v>2773</v>
      </c>
      <c r="D25" s="69" t="s">
        <v>2774</v>
      </c>
      <c r="E25" s="121" t="str">
        <f>IFERROR(__xludf.DUMMYFUNCTION("GOOGLETRANSLATE(A25,""zh-tw"",""ja"")"),"R22")</f>
        <v>R22</v>
      </c>
      <c r="F25" s="118" t="s">
        <v>2775</v>
      </c>
      <c r="G25" s="135" t="str">
        <f>IFERROR(__xludf.DUMMYFUNCTION("GOOGLETRANSLATE(C25,""zh-tw"",""ja"")"),"「大コーク溶岩帯」の左側にある柱の後ろには、隠しアイテムと収集ポイントがあります。")</f>
        <v>「大コーク溶岩帯」の左側にある柱の後ろには、隠しアイテムと収集ポイントがあります。</v>
      </c>
      <c r="H25" s="136" t="s">
        <v>2776</v>
      </c>
      <c r="I25" s="121" t="str">
        <f>IFERROR(__xludf.DUMMYFUNCTION("GOOGLETRANSLATE(A25,""zh-tw"",""en"")"),"R22")</f>
        <v>R22</v>
      </c>
      <c r="J25" s="118" t="s">
        <v>2777</v>
      </c>
      <c r="K25" s="109" t="s">
        <v>2778</v>
      </c>
      <c r="L25" s="69" t="s">
        <v>2779</v>
      </c>
      <c r="M25" s="137" t="str">
        <f>IFERROR(__xludf.DUMMYFUNCTION("GOOGLETRANSLATE(A25,""zh-tw"",""en"")"),"R22")</f>
        <v>R22</v>
      </c>
      <c r="N25" s="118" t="str">
        <f>IFERROR(__xludf.DUMMYFUNCTION("GOOGLETRANSLATE(B25,""zh-tw"",""zh"")"),"隐藏通道11")</f>
        <v>隐藏通道11</v>
      </c>
      <c r="O25" s="103" t="str">
        <f>IFERROR(__xludf.DUMMYFUNCTION("GOOGLETRANSLATE(C25,""zh-tw"",""zh"")"),"于""大焦热溶岩带""左侧柱子后面，有个隐藏物品与采集处")</f>
        <v>于"大焦热溶岩带"左侧柱子后面，有个隐藏物品与采集处</v>
      </c>
      <c r="P25" s="71" t="str">
        <f>IFERROR(__xludf.DUMMYFUNCTION("GOOGLETRANSLATE(D25,""zh-tw"",""zh"")"),"装备:熔岩戒指
*此道具可以通过地图刷新后重复取得")</f>
        <v>装备:熔岩戒指
*此道具可以通过地图刷新后重复取得</v>
      </c>
      <c r="Q25" s="137" t="str">
        <f>IFERROR(__xludf.DUMMYFUNCTION("GOOGLETRANSLATE(A25,""zh-tw"",""ja"")"),"R22")</f>
        <v>R22</v>
      </c>
      <c r="R25" s="118" t="s">
        <v>2780</v>
      </c>
      <c r="S25" s="103" t="str">
        <f>IFERROR(__xludf.DUMMYFUNCTION("GOOGLETRANSLATE(C25,""zh-tw"",""es-MX"")"),"Detrás del pilar del lado izquierdo del ""Gran Cinturón de Lava de Coca-Cola"", hay un objeto oculto y un punto de recolección.")</f>
        <v>Detrás del pilar del lado izquierdo del "Gran Cinturón de Lava de Coca-Cola", hay un objeto oculto y un punto de recolección.</v>
      </c>
      <c r="T25" s="71" t="str">
        <f>IFERROR(__xludf.DUMMYFUNCTION("GOOGLETRANSLATE(D25,""zh-tw"",""es-MX"")"),"Equipo: Anillo de lava
*Este objeto se puede obtener repetidamente tras actualizar el mapa.")</f>
        <v>Equipo: Anillo de lava
*Este objeto se puede obtener repetidamente tras actualizar el mapa.</v>
      </c>
      <c r="U25" s="161" t="str">
        <f>IFERROR(__xludf.DUMMYFUNCTION("GOOGLETRANSLATE(A25,""zh-tw"",""en"")"),"R22")</f>
        <v>R22</v>
      </c>
      <c r="V25" s="138" t="str">
        <f>IFERROR(__xludf.DUMMYFUNCTION("GOOGLETRANSLATE(B25,""zh-tw"",""KO"")"),"숨겨진 통로 11")</f>
        <v>숨겨진 통로 11</v>
      </c>
      <c r="W25" s="103" t="str">
        <f>IFERROR(__xludf.DUMMYFUNCTION("GOOGLETRANSLATE(C25,""zh-tw"",""KO"")"),"""그레이트 코크 용암 벨트"" 왼쪽 기둥 뒤에는 숨겨진 아이템과 수집 지점이 있습니다.")</f>
        <v>"그레이트 코크 용암 벨트" 왼쪽 기둥 뒤에는 숨겨진 아이템과 수집 지점이 있습니다.</v>
      </c>
      <c r="X25" s="71" t="str">
        <f>IFERROR(__xludf.DUMMYFUNCTION("GOOGLETRANSLATE(D25,""zh-tw"",""KO"")"),"장비: 용암 반지
*이 아이템은 맵이 새로고침된 후에도 반복해서 획득할 수 있습니다.")</f>
        <v>장비: 용암 반지
*이 아이템은 맵이 새로고침된 후에도 반복해서 획득할 수 있습니다.</v>
      </c>
      <c r="Y25" s="161" t="str">
        <f>IFERROR(__xludf.DUMMYFUNCTION("GOOGLETRANSLATE(E25,""zh-tw"",""en"")"),"R22")</f>
        <v>R22</v>
      </c>
      <c r="Z25" s="118" t="str">
        <f>IFERROR(__xludf.DUMMYFUNCTION("GOOGLETRANSLATE(B25,""zh-tw"",""ru"")"),"Скрытый проход 11")</f>
        <v>Скрытый проход 11</v>
      </c>
      <c r="AA25" s="162" t="str">
        <f>IFERROR(__xludf.DUMMYFUNCTION("GOOGLETRANSLATE(C25,""zh-tw"",""RU"")"),"За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5" s="64" t="str">
        <f>IFERROR(__xludf.DUMMYFUNCTION("GOOGLETRANSLATE(D25,""zh-tw"",""RU"")"),"Снаряжение: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5" s="161" t="str">
        <f>IFERROR(__xludf.DUMMYFUNCTION("GOOGLETRANSLATE(I25,""zh-tw"",""en"")"),"R22")</f>
        <v>R22</v>
      </c>
      <c r="AD25" s="118" t="s">
        <v>2781</v>
      </c>
      <c r="AE25" s="164" t="s">
        <v>2782</v>
      </c>
      <c r="AF25" s="119" t="s">
        <v>2783</v>
      </c>
      <c r="AG25" s="98" t="s">
        <v>2771</v>
      </c>
      <c r="AH25" s="106" t="s">
        <v>2784</v>
      </c>
      <c r="AI25" s="165" t="s">
        <v>2785</v>
      </c>
      <c r="AJ25" s="66" t="s">
        <v>2786</v>
      </c>
      <c r="AK25" s="137" t="s">
        <v>2771</v>
      </c>
      <c r="AL25" s="138" t="s">
        <v>2787</v>
      </c>
      <c r="AM25" s="123" t="s">
        <v>2788</v>
      </c>
      <c r="AN25" s="124" t="s">
        <v>2789</v>
      </c>
      <c r="AO25" s="124"/>
    </row>
    <row r="26">
      <c r="A26" s="121" t="s">
        <v>2790</v>
      </c>
      <c r="B26" s="118" t="s">
        <v>2791</v>
      </c>
      <c r="C26" s="109" t="s">
        <v>2792</v>
      </c>
      <c r="D26" s="69" t="s">
        <v>2793</v>
      </c>
      <c r="E26" s="121" t="str">
        <f>IFERROR(__xludf.DUMMYFUNCTION("GOOGLETRANSLATE(A26,""zh-tw"",""ja"")"),"R23")</f>
        <v>R23</v>
      </c>
      <c r="F26" s="118" t="str">
        <f>IFERROR(__xludf.DUMMYFUNCTION("GOOGLETRANSLATE(B26,""zh-tw"",""ja"")"),"穴に落ちる")</f>
        <v>穴に落ちる</v>
      </c>
      <c r="G26" s="109" t="s">
        <v>2794</v>
      </c>
      <c r="H26" s="69" t="s">
        <v>2795</v>
      </c>
      <c r="I26" s="121" t="str">
        <f>IFERROR(__xludf.DUMMYFUNCTION("GOOGLETRANSLATE(A26,""zh-tw"",""en"")"),"R23")</f>
        <v>R23</v>
      </c>
      <c r="J26" s="118" t="s">
        <v>2796</v>
      </c>
      <c r="K26" s="109" t="s">
        <v>2797</v>
      </c>
      <c r="L26" s="69" t="s">
        <v>2798</v>
      </c>
      <c r="M26" s="137" t="str">
        <f>IFERROR(__xludf.DUMMYFUNCTION("GOOGLETRANSLATE(A26,""zh-tw"",""en"")"),"R23")</f>
        <v>R23</v>
      </c>
      <c r="N26" s="118" t="str">
        <f>IFERROR(__xludf.DUMMYFUNCTION("GOOGLETRANSLATE(B26,""zh-tw"",""zh"")"),"摔洞里")</f>
        <v>摔洞里</v>
      </c>
      <c r="O26" s="103" t="str">
        <f>IFERROR(__xludf.DUMMYFUNCTION("GOOGLETRANSLATE(C26,""zh-tw"",""zh"")"),"开发中区域(矿坑)
矿坑地图掉下去")</f>
        <v>开发中区域(矿坑)
矿坑地图掉下去</v>
      </c>
      <c r="P26" s="71" t="str">
        <f>IFERROR(__xludf.DUMMYFUNCTION("GOOGLETRANSLATE(D26,""zh-tw"",""zh"")"),"见闻：掉到洞窟")</f>
        <v>见闻：掉到洞窟</v>
      </c>
      <c r="Q26" s="137" t="str">
        <f>IFERROR(__xludf.DUMMYFUNCTION("GOOGLETRANSLATE(A26,""zh-tw"",""ja"")"),"R23")</f>
        <v>R23</v>
      </c>
      <c r="R26" s="138" t="str">
        <f>IFERROR(__xludf.DUMMYFUNCTION("GOOGLETRANSLATE(B26,""zh-tw"",""es-MX"")"),"Caer en el agujero")</f>
        <v>Caer en el agujero</v>
      </c>
      <c r="S26" s="109" t="s">
        <v>2799</v>
      </c>
      <c r="T26" s="71" t="str">
        <f>IFERROR(__xludf.DUMMYFUNCTION("GOOGLETRANSLATE(D26,""zh-tw"",""es-MX"")"),"Lo que vi: Caí en una cueva.")</f>
        <v>Lo que vi: Caí en una cueva.</v>
      </c>
      <c r="U26" s="161" t="str">
        <f>IFERROR(__xludf.DUMMYFUNCTION("GOOGLETRANSLATE(A26,""zh-tw"",""en"")"),"R23")</f>
        <v>R23</v>
      </c>
      <c r="V26" s="138" t="str">
        <f>IFERROR(__xludf.DUMMYFUNCTION("GOOGLETRANSLATE(B26,""zh-tw"",""KO"")"),"구멍에 빠지다")</f>
        <v>구멍에 빠지다</v>
      </c>
      <c r="W26" s="103" t="str">
        <f>IFERROR(__xludf.DUMMYFUNCTION("GOOGLETRANSLATE(C26,""zh-tw"",""KO"")"),"개발 지역(광산) - 광산 지도에 들어가게 됩니다.")</f>
        <v>개발 지역(광산) - 광산 지도에 들어가게 됩니다.</v>
      </c>
      <c r="X26" s="71" t="str">
        <f>IFERROR(__xludf.DUMMYFUNCTION("GOOGLETRANSLATE(D26,""zh-tw"",""KO"")"),"내가 본 것: 나는 동굴에 빠졌다")</f>
        <v>내가 본 것: 나는 동굴에 빠졌다</v>
      </c>
      <c r="Y26" s="161" t="str">
        <f>IFERROR(__xludf.DUMMYFUNCTION("GOOGLETRANSLATE(E26,""zh-tw"",""en"")"),"R23")</f>
        <v>R23</v>
      </c>
      <c r="Z26" s="118" t="str">
        <f>IFERROR(__xludf.DUMMYFUNCTION("GOOGLETRANSLATE(B26,""zh-tw"",""ru"")"),"Упасть в яму")</f>
        <v>Упасть в яму</v>
      </c>
      <c r="AA26" s="162" t="str">
        <f>IFERROR(__xludf.DUMMYFUNCTION("GOOGLETRANSLATE(C26,""zh-tw"",""RU"")"),"Разрабатываемая территория (шахта) - Вы попадете на карту шахты.")</f>
        <v>Разрабатываемая территория (шахта) - Вы попадете на карту шахты.</v>
      </c>
      <c r="AB26" s="64" t="str">
        <f>IFERROR(__xludf.DUMMYFUNCTION("GOOGLETRANSLATE(D26,""zh-tw"",""RU"")"),"Что я увидел: Я упал в пещеру.")</f>
        <v>Что я увидел: Я упал в пещеру.</v>
      </c>
      <c r="AC26" s="161" t="str">
        <f>IFERROR(__xludf.DUMMYFUNCTION("GOOGLETRANSLATE(I26,""zh-tw"",""en"")"),"R23")</f>
        <v>R23</v>
      </c>
      <c r="AD26" s="118" t="s">
        <v>2800</v>
      </c>
      <c r="AE26" s="164" t="s">
        <v>2801</v>
      </c>
      <c r="AF26" s="119" t="s">
        <v>2802</v>
      </c>
      <c r="AG26" s="98" t="s">
        <v>2790</v>
      </c>
      <c r="AH26" s="106" t="s">
        <v>2803</v>
      </c>
      <c r="AI26" s="165" t="s">
        <v>2804</v>
      </c>
      <c r="AJ26" s="67" t="s">
        <v>2805</v>
      </c>
      <c r="AK26" s="137" t="s">
        <v>2790</v>
      </c>
      <c r="AL26" s="138" t="s">
        <v>2806</v>
      </c>
      <c r="AM26" s="123" t="s">
        <v>2807</v>
      </c>
      <c r="AN26" s="124" t="s">
        <v>2808</v>
      </c>
      <c r="AO26" s="124"/>
    </row>
    <row r="27">
      <c r="A27" s="121" t="s">
        <v>2809</v>
      </c>
      <c r="B27" s="118" t="s">
        <v>2810</v>
      </c>
      <c r="C27" s="109" t="s">
        <v>2811</v>
      </c>
      <c r="D27" s="69" t="s">
        <v>2812</v>
      </c>
      <c r="E27" s="121" t="str">
        <f>IFERROR(__xludf.DUMMYFUNCTION("GOOGLETRANSLATE(A27,""zh-tw"",""ja"")"),"R24")</f>
        <v>R24</v>
      </c>
      <c r="F27" s="118" t="s">
        <v>2813</v>
      </c>
      <c r="G27" s="109" t="s">
        <v>2814</v>
      </c>
      <c r="H27" s="69" t="s">
        <v>2815</v>
      </c>
      <c r="I27" s="121" t="str">
        <f>IFERROR(__xludf.DUMMYFUNCTION("GOOGLETRANSLATE(A27,""zh-tw"",""en"")"),"R24")</f>
        <v>R24</v>
      </c>
      <c r="J27" s="118" t="s">
        <v>2816</v>
      </c>
      <c r="K27" s="109" t="s">
        <v>2817</v>
      </c>
      <c r="L27" s="69" t="s">
        <v>2818</v>
      </c>
      <c r="M27" s="137" t="str">
        <f>IFERROR(__xludf.DUMMYFUNCTION("GOOGLETRANSLATE(A27,""zh-tw"",""en"")"),"R24")</f>
        <v>R24</v>
      </c>
      <c r="N27" s="118" t="str">
        <f>IFERROR(__xludf.DUMMYFUNCTION("GOOGLETRANSLATE(B27,""zh-tw"",""zh"")"),"矿坑宝箱")</f>
        <v>矿坑宝箱</v>
      </c>
      <c r="O27" s="103" t="str">
        <f>IFERROR(__xludf.DUMMYFUNCTION("GOOGLETRANSLATE(C27,""zh-tw"",""zh"")"),"开发中地带(矿坑)-1，沿着楼梯的中央有宝箱")</f>
        <v>开发中地带(矿坑)-1，沿着楼梯的中央有宝箱</v>
      </c>
      <c r="P27" s="71" t="str">
        <f>IFERROR(__xludf.DUMMYFUNCTION("GOOGLETRANSLATE(D27,""zh-tw"",""zh"")"),"获得道具：魔力小凝胶x10
雨天刷新")</f>
        <v>获得道具：魔力小凝胶x10
雨天刷新</v>
      </c>
      <c r="Q27" s="137" t="str">
        <f>IFERROR(__xludf.DUMMYFUNCTION("GOOGLETRANSLATE(A27,""zh-tw"",""ja"")"),"R24")</f>
        <v>R24</v>
      </c>
      <c r="R27" s="138" t="str">
        <f>IFERROR(__xludf.DUMMYFUNCTION("GOOGLETRANSLATE(B27,""zh-tw"",""es-MX"")"),"Cofre del tesoro de la mina")</f>
        <v>Cofre del tesoro de la mina</v>
      </c>
      <c r="S27" s="109" t="s">
        <v>2819</v>
      </c>
      <c r="T27" s="71" t="str">
        <f>IFERROR(__xludf.DUMMYFUNCTION("GOOGLETRANSLATE(D27,""zh-tw"",""es-MX"")"),"Objeto obtenido: Gel mágico x10 (Refresca en días lluviosos)")</f>
        <v>Objeto obtenido: Gel mágico x10 (Refresca en días lluviosos)</v>
      </c>
      <c r="U27" s="161" t="str">
        <f>IFERROR(__xludf.DUMMYFUNCTION("GOOGLETRANSLATE(A27,""zh-tw"",""en"")"),"R24")</f>
        <v>R24</v>
      </c>
      <c r="V27" s="138" t="str">
        <f>IFERROR(__xludf.DUMMYFUNCTION("GOOGLETRANSLATE(B27,""zh-tw"",""KO"")"),"광산 보물 상자")</f>
        <v>광산 보물 상자</v>
      </c>
      <c r="W27" s="103" t="str">
        <f>IFERROR(__xludf.DUMMYFUNCTION("GOOGLETRANSLATE(C27,""zh-tw"",""KO"")"),"개발 구역(광산)-1에는 계단 중앙에 보물상자가 있습니다.")</f>
        <v>개발 구역(광산)-1에는 계단 중앙에 보물상자가 있습니다.</v>
      </c>
      <c r="X27" s="71" t="str">
        <f>IFERROR(__xludf.DUMMYFUNCTION("GOOGLETRANSLATE(D27,""zh-tw"",""KO"")"),"획득 아이템 : 마법 젤 x10 (비오는 날 상쾌하게)")</f>
        <v>획득 아이템 : 마법 젤 x10 (비오는 날 상쾌하게)</v>
      </c>
      <c r="Y27" s="161" t="str">
        <f>IFERROR(__xludf.DUMMYFUNCTION("GOOGLETRANSLATE(E27,""zh-tw"",""en"")"),"R24")</f>
        <v>R24</v>
      </c>
      <c r="Z27" s="118" t="str">
        <f>IFERROR(__xludf.DUMMYFUNCTION("GOOGLETRANSLATE(B27,""zh-tw"",""ru"")"),"Мой сундук с сокровищами")</f>
        <v>Мой сундук с сокровищами</v>
      </c>
      <c r="AA27" s="162" t="str">
        <f>IFERROR(__xludf.DUMMYFUNCTION("GOOGLETRANSLATE(C27,""zh-tw"",""RU"")"),"В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7" s="64" t="str">
        <f>IFERROR(__xludf.DUMMYFUNCTION("GOOGLETRANSLATE(D27,""zh-tw"",""RU"")"),"Полученный предмет: Волшебный гель x10 (Освежает в дождливые дни)")</f>
        <v>Полученный предмет: Волшебный гель x10 (Освежает в дождливые дни)</v>
      </c>
      <c r="AC27" s="161" t="str">
        <f>IFERROR(__xludf.DUMMYFUNCTION("GOOGLETRANSLATE(I27,""zh-tw"",""en"")"),"R24")</f>
        <v>R24</v>
      </c>
      <c r="AD27" s="118" t="s">
        <v>2820</v>
      </c>
      <c r="AE27" s="164" t="s">
        <v>2821</v>
      </c>
      <c r="AF27" s="119" t="s">
        <v>2822</v>
      </c>
      <c r="AG27" s="98" t="s">
        <v>2809</v>
      </c>
      <c r="AH27" s="106" t="s">
        <v>2823</v>
      </c>
      <c r="AI27" s="165" t="s">
        <v>2824</v>
      </c>
      <c r="AJ27" s="67" t="s">
        <v>2825</v>
      </c>
      <c r="AK27" s="137" t="s">
        <v>2809</v>
      </c>
      <c r="AL27" s="138" t="s">
        <v>2826</v>
      </c>
      <c r="AM27" s="123" t="s">
        <v>2827</v>
      </c>
      <c r="AN27" s="124" t="s">
        <v>2828</v>
      </c>
      <c r="AO27" s="124"/>
    </row>
    <row r="28">
      <c r="A28" s="121" t="s">
        <v>2829</v>
      </c>
      <c r="B28" s="118" t="s">
        <v>2830</v>
      </c>
      <c r="C28" s="109" t="s">
        <v>2831</v>
      </c>
      <c r="D28" s="66" t="s">
        <v>2832</v>
      </c>
      <c r="E28" s="98" t="str">
        <f>IFERROR(__xludf.DUMMYFUNCTION("GOOGLETRANSLATE(A28,""zh-tw"",""ja"")"),"R25")</f>
        <v>R25</v>
      </c>
      <c r="F28" s="106" t="s">
        <v>2833</v>
      </c>
      <c r="G28" s="108" t="s">
        <v>2834</v>
      </c>
      <c r="H28" s="67" t="s">
        <v>2835</v>
      </c>
      <c r="I28" s="98" t="str">
        <f>IFERROR(__xludf.DUMMYFUNCTION("GOOGLETRANSLATE(A28,""zh-tw"",""en"")"),"R25")</f>
        <v>R25</v>
      </c>
      <c r="J28" s="106" t="s">
        <v>2836</v>
      </c>
      <c r="K28" s="108" t="s">
        <v>2837</v>
      </c>
      <c r="L28" s="69" t="s">
        <v>2838</v>
      </c>
      <c r="M28" s="137" t="str">
        <f>IFERROR(__xludf.DUMMYFUNCTION("GOOGLETRANSLATE(A28,""zh-tw"",""en"")"),"R25")</f>
        <v>R25</v>
      </c>
      <c r="N28" s="106" t="str">
        <f>IFERROR(__xludf.DUMMYFUNCTION("GOOGLETRANSLATE(B28,""zh-tw"",""zh"")"),"遗迹宝箱1")</f>
        <v>遗迹宝箱1</v>
      </c>
      <c r="O28" s="123" t="str">
        <f>IFERROR(__xludf.DUMMYFUNCTION("GOOGLETRANSLATE(C28,""zh-tw"",""zh"")"),"浅层遗迹迷宫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8" s="142" t="str">
        <f>IFERROR(__xludf.DUMMYFUNCTION("GOOGLETRANSLATE(D28,""zh-tw"",""zh"")"),"白宝箱获得：漏电的不良品、火烧云
红宝箱获得：霜月、战车塔罗牌 (红宝箱可以刷新)")</f>
        <v>白宝箱获得：漏电的不良品、火烧云
红宝箱获得：霜月、战车塔罗牌 (红宝箱可以刷新)</v>
      </c>
      <c r="Q28" s="137" t="str">
        <f>IFERROR(__xludf.DUMMYFUNCTION("GOOGLETRANSLATE(A28,""zh-tw"",""ja"")"),"R25")</f>
        <v>R25</v>
      </c>
      <c r="R28" s="138" t="str">
        <f>IFERROR(__xludf.DUMMYFUNCTION("GOOGLETRANSLATE(B28,""zh-tw"",""es-MX"")"),"Cofre de reliquias 1")</f>
        <v>Cofre de reliquias 1</v>
      </c>
      <c r="S28" s="108" t="s">
        <v>2839</v>
      </c>
      <c r="T28" s="71" t="str">
        <f>IFERROR(__xludf.DUMMYFUNCTION("GOOGLETRANSLATE(D28,""zh-tw"",""es-MX"")"),"Cofre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8" s="161" t="str">
        <f>IFERROR(__xludf.DUMMYFUNCTION("GOOGLETRANSLATE(A28,""zh-tw"",""en"")"),"R25")</f>
        <v>R25</v>
      </c>
      <c r="V28" s="138" t="str">
        <f>IFERROR(__xludf.DUMMYFUNCTION("GOOGLETRANSLATE(B28,""zh-tw"",""KO"")"),"유물 상자 1")</f>
        <v>유물 상자 1</v>
      </c>
      <c r="W28" s="123" t="str">
        <f>IFERROR(__xludf.DUMMYFUNCTION("GOOGLETRANSLATE(C28,""zh-tw"",""KO"")"),"얕은 유적 미로
유적 1층
오른쪽 기계 장치와 왼쪽 외부 연결 지점에 흰색 보물상자가 있습니다.
왼쪽에 빨간색 보물상자가 있습니다. 덩굴 가장자리를 따라 걸어가면 보물상자에 도착할 수 있습니다.")</f>
        <v>얕은 유적 미로
유적 1층
오른쪽 기계 장치와 왼쪽 외부 연결 지점에 흰색 보물상자가 있습니다.
왼쪽에 빨간색 보물상자가 있습니다. 덩굴 가장자리를 따라 걸어가면 보물상자에 도착할 수 있습니다.</v>
      </c>
      <c r="X28" s="71" t="str">
        <f>IFERROR(__xludf.DUMMYFUNCTION("GOOGLETRANSLATE(D28,""zh-tw"",""KO"")"),"하얀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8" s="161" t="str">
        <f>IFERROR(__xludf.DUMMYFUNCTION("GOOGLETRANSLATE(E28,""zh-tw"",""en"")"),"R25")</f>
        <v>R25</v>
      </c>
      <c r="Z28" s="106" t="str">
        <f>IFERROR(__xludf.DUMMYFUNCTION("GOOGLETRANSLATE(B28,""zh-tw"",""ru"")"),"Сундук с реликвиями 1")</f>
        <v>Сундук с реликвиями 1</v>
      </c>
      <c r="AA28" s="123" t="str">
        <f>IFERROR(__xludf.DUMMYFUNCTION("GOOGLETRANSLATE(C28,""zh-tw"",""RU"")"),"Лабиринт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f>
        <v>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v>
      </c>
      <c r="AB28" s="64" t="str">
        <f>IFERROR(__xludf.DUMMYFUNCTION("GOOGLETRANSLATE(D28,""zh-tw"",""RU"")"),"Белый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8" s="161" t="str">
        <f>IFERROR(__xludf.DUMMYFUNCTION("GOOGLETRANSLATE(I28,""zh-tw"",""en"")"),"R25")</f>
        <v>R25</v>
      </c>
      <c r="AD28" s="106" t="s">
        <v>2840</v>
      </c>
      <c r="AE28" s="108" t="s">
        <v>2841</v>
      </c>
      <c r="AF28" s="67" t="s">
        <v>2842</v>
      </c>
      <c r="AG28" s="98" t="s">
        <v>2829</v>
      </c>
      <c r="AH28" s="106" t="s">
        <v>2843</v>
      </c>
      <c r="AI28" s="165" t="s">
        <v>2844</v>
      </c>
      <c r="AJ28" s="67" t="s">
        <v>2845</v>
      </c>
      <c r="AK28" s="137" t="s">
        <v>2829</v>
      </c>
      <c r="AL28" s="138" t="s">
        <v>2846</v>
      </c>
      <c r="AM28" s="123" t="s">
        <v>2847</v>
      </c>
      <c r="AN28" s="124" t="s">
        <v>2848</v>
      </c>
      <c r="AO28" s="124"/>
    </row>
    <row r="29">
      <c r="A29" s="121" t="s">
        <v>2849</v>
      </c>
      <c r="B29" s="118" t="s">
        <v>2850</v>
      </c>
      <c r="C29" s="109" t="s">
        <v>2851</v>
      </c>
      <c r="D29" s="69" t="s">
        <v>2852</v>
      </c>
      <c r="E29" s="121" t="str">
        <f>IFERROR(__xludf.DUMMYFUNCTION("GOOGLETRANSLATE(A29,""zh-tw"",""ja"")"),"R26")</f>
        <v>R26</v>
      </c>
      <c r="F29" s="118" t="s">
        <v>2853</v>
      </c>
      <c r="G29" s="135" t="s">
        <v>2854</v>
      </c>
      <c r="H29" s="69" t="s">
        <v>2658</v>
      </c>
      <c r="I29" s="121" t="str">
        <f>IFERROR(__xludf.DUMMYFUNCTION("GOOGLETRANSLATE(A29,""zh-tw"",""en"")"),"R26")</f>
        <v>R26</v>
      </c>
      <c r="J29" s="118" t="s">
        <v>2855</v>
      </c>
      <c r="K29" s="109" t="s">
        <v>2856</v>
      </c>
      <c r="L29" s="69" t="s">
        <v>2857</v>
      </c>
      <c r="M29" s="137" t="str">
        <f>IFERROR(__xludf.DUMMYFUNCTION("GOOGLETRANSLATE(A29,""zh-tw"",""en"")"),"R26")</f>
        <v>R26</v>
      </c>
      <c r="N29" s="118" t="str">
        <f>IFERROR(__xludf.DUMMYFUNCTION("GOOGLETRANSLATE(B29,""zh-tw"",""zh"")"),"遗迹宝箱2")</f>
        <v>遗迹宝箱2</v>
      </c>
      <c r="O29" s="103" t="str">
        <f>IFERROR(__xludf.DUMMYFUNCTION("GOOGLETRANSLATE(C29,""zh-tw"",""zh"")"),"被遗忘的墓穴第一层右边洞窟出入口旁，在一排蛋的左边有一个宝箱")</f>
        <v>被遗忘的墓穴第一层右边洞窟出入口旁，在一排蛋的左边有一个宝箱</v>
      </c>
      <c r="P29" s="71" t="str">
        <f>IFERROR(__xludf.DUMMYFUNCTION("GOOGLETRANSLATE(D29,""zh-tw"",""zh"")"),"获得武器-臭鱼骨")</f>
        <v>获得武器-臭鱼骨</v>
      </c>
      <c r="Q29" s="137" t="str">
        <f>IFERROR(__xludf.DUMMYFUNCTION("GOOGLETRANSLATE(A29,""zh-tw"",""ja"")"),"R26")</f>
        <v>R26</v>
      </c>
      <c r="R29" s="138" t="str">
        <f>IFERROR(__xludf.DUMMYFUNCTION("GOOGLETRANSLATE(B29,""zh-tw"",""es-MX"")"),"Cofre de reliquias 2")</f>
        <v>Cofre de reliquias 2</v>
      </c>
      <c r="S29" s="109" t="s">
        <v>2858</v>
      </c>
      <c r="T29" s="71" t="str">
        <f>IFERROR(__xludf.DUMMYFUNCTION("GOOGLETRANSLATE(D29,""zh-tw"",""es-MX"")"),"Obtener arma - Espina de pescado apestosa")</f>
        <v>Obtener arma - Espina de pescado apestosa</v>
      </c>
      <c r="U29" s="161" t="str">
        <f>IFERROR(__xludf.DUMMYFUNCTION("GOOGLETRANSLATE(A29,""zh-tw"",""en"")"),"R26")</f>
        <v>R26</v>
      </c>
      <c r="V29" s="138" t="str">
        <f>IFERROR(__xludf.DUMMYFUNCTION("GOOGLETRANSLATE(B29,""zh-tw"",""KO"")"),"유물 상자 2")</f>
        <v>유물 상자 2</v>
      </c>
      <c r="W29" s="103" t="str">
        <f>IFERROR(__xludf.DUMMYFUNCTION("GOOGLETRANSLATE(C29,""zh-tw"",""KO"")"),"잊혀진 무덤 1층의 오른쪽 동굴 입구 옆, 계란 줄 왼쪽에 보물 상자가 있습니다.")</f>
        <v>잊혀진 무덤 1층의 오른쪽 동굴 입구 옆, 계란 줄 왼쪽에 보물 상자가 있습니다.</v>
      </c>
      <c r="X29" s="71" t="str">
        <f>IFERROR(__xludf.DUMMYFUNCTION("GOOGLETRANSLATE(D29,""zh-tw"",""KO"")"),"무기 획득 - 냄새나는 생선뼈")</f>
        <v>무기 획득 - 냄새나는 생선뼈</v>
      </c>
      <c r="Y29" s="161" t="str">
        <f>IFERROR(__xludf.DUMMYFUNCTION("GOOGLETRANSLATE(E29,""zh-tw"",""en"")"),"R26")</f>
        <v>R26</v>
      </c>
      <c r="Z29" s="118" t="str">
        <f>IFERROR(__xludf.DUMMYFUNCTION("GOOGLETRANSLATE(B29,""zh-tw"",""ru"")"),"Сундук с реликвиями 2")</f>
        <v>Сундук с реликвиями 2</v>
      </c>
      <c r="AA29" s="162" t="str">
        <f>IFERROR(__xludf.DUMMYFUNCTION("GOOGLETRANSLATE(C29,""zh-tw"",""RU"")"),"Слева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9" s="64" t="str">
        <f>IFERROR(__xludf.DUMMYFUNCTION("GOOGLETRANSLATE(D29,""zh-tw"",""RU"")"),"Получить оружие - Вонючая Рыбья Кость")</f>
        <v>Получить оружие - Вонючая Рыбья Кость</v>
      </c>
      <c r="AC29" s="161" t="str">
        <f>IFERROR(__xludf.DUMMYFUNCTION("GOOGLETRANSLATE(I29,""zh-tw"",""en"")"),"R26")</f>
        <v>R26</v>
      </c>
      <c r="AD29" s="118" t="s">
        <v>2859</v>
      </c>
      <c r="AE29" s="162" t="str">
        <f>IFERROR(__xludf.DUMMYFUNCTION("GOOGLETRANSLATE(C29,""zh-tw"",""DE"")"),"Links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9" s="119" t="s">
        <v>2860</v>
      </c>
      <c r="AG29" s="98" t="s">
        <v>2849</v>
      </c>
      <c r="AH29" s="106" t="s">
        <v>2861</v>
      </c>
      <c r="AI29" s="165" t="s">
        <v>2862</v>
      </c>
      <c r="AJ29" s="67" t="s">
        <v>2863</v>
      </c>
      <c r="AK29" s="137" t="s">
        <v>2849</v>
      </c>
      <c r="AL29" s="138" t="s">
        <v>2864</v>
      </c>
      <c r="AM29" s="123" t="s">
        <v>2865</v>
      </c>
      <c r="AN29" s="124" t="s">
        <v>2866</v>
      </c>
      <c r="AO29" s="124"/>
    </row>
    <row r="30">
      <c r="A30" s="121" t="s">
        <v>2867</v>
      </c>
      <c r="B30" s="118" t="s">
        <v>2868</v>
      </c>
      <c r="C30" s="109" t="s">
        <v>2869</v>
      </c>
      <c r="D30" s="69" t="s">
        <v>2870</v>
      </c>
      <c r="E30" s="121" t="str">
        <f>IFERROR(__xludf.DUMMYFUNCTION("GOOGLETRANSLATE(A30,""zh-tw"",""ja"")"),"R27")</f>
        <v>R27</v>
      </c>
      <c r="F30" s="118" t="s">
        <v>2871</v>
      </c>
      <c r="G30" s="135" t="s">
        <v>2872</v>
      </c>
      <c r="H30" s="69" t="s">
        <v>2658</v>
      </c>
      <c r="I30" s="121" t="str">
        <f>IFERROR(__xludf.DUMMYFUNCTION("GOOGLETRANSLATE(A30,""zh-tw"",""en"")"),"R27")</f>
        <v>R27</v>
      </c>
      <c r="J30" s="118" t="s">
        <v>2873</v>
      </c>
      <c r="K30" s="109" t="s">
        <v>2874</v>
      </c>
      <c r="L30" s="69" t="s">
        <v>2875</v>
      </c>
      <c r="M30" s="137" t="str">
        <f>IFERROR(__xludf.DUMMYFUNCTION("GOOGLETRANSLATE(A30,""zh-tw"",""en"")"),"R27")</f>
        <v>R27</v>
      </c>
      <c r="N30" s="118" t="str">
        <f>IFERROR(__xludf.DUMMYFUNCTION("GOOGLETRANSLATE(B30,""zh-tw"",""zh"")"),"遗迹宝箱3")</f>
        <v>遗迹宝箱3</v>
      </c>
      <c r="O30" s="103" t="str">
        <f>IFERROR(__xludf.DUMMYFUNCTION("GOOGLETRANSLATE(C30,""zh-tw"",""zh"")"),"被遗忘的墓穴-1，中间的蛋附近一个宝箱")</f>
        <v>被遗忘的墓穴-1，中间的蛋附近一个宝箱</v>
      </c>
      <c r="P30" s="71" t="str">
        <f>IFERROR(__xludf.DUMMYFUNCTION("GOOGLETRANSLATE(D30,""zh-tw"",""zh"")"),"获得武器-雪见")</f>
        <v>获得武器-雪见</v>
      </c>
      <c r="Q30" s="137" t="str">
        <f>IFERROR(__xludf.DUMMYFUNCTION("GOOGLETRANSLATE(A30,""zh-tw"",""ja"")"),"R27")</f>
        <v>R27</v>
      </c>
      <c r="R30" s="138" t="str">
        <f>IFERROR(__xludf.DUMMYFUNCTION("GOOGLETRANSLATE(B30,""zh-tw"",""es-MX"")"),"Cofre de reliquias 3")</f>
        <v>Cofre de reliquias 3</v>
      </c>
      <c r="S30" s="109" t="s">
        <v>2876</v>
      </c>
      <c r="T30" s="71" t="str">
        <f>IFERROR(__xludf.DUMMYFUNCTION("GOOGLETRANSLATE(D30,""zh-tw"",""es-MX"")"),"Obtener arma - Xuejian")</f>
        <v>Obtener arma - Xuejian</v>
      </c>
      <c r="U30" s="161" t="str">
        <f>IFERROR(__xludf.DUMMYFUNCTION("GOOGLETRANSLATE(A30,""zh-tw"",""en"")"),"R27")</f>
        <v>R27</v>
      </c>
      <c r="V30" s="138" t="str">
        <f>IFERROR(__xludf.DUMMYFUNCTION("GOOGLETRANSLATE(B30,""zh-tw"",""KO"")"),"유물 상자 3")</f>
        <v>유물 상자 3</v>
      </c>
      <c r="W30" s="103" t="str">
        <f>IFERROR(__xludf.DUMMYFUNCTION("GOOGLETRANSLATE(C30,""zh-tw"",""KO"")"),"잊혀진 무덤-1, 가운데에 있는 달걀 근처의 보물 상자.")</f>
        <v>잊혀진 무덤-1, 가운데에 있는 달걀 근처의 보물 상자.</v>
      </c>
      <c r="X30" s="71" t="str">
        <f>IFERROR(__xludf.DUMMYFUNCTION("GOOGLETRANSLATE(D30,""zh-tw"",""KO"")"),"무기 획득 - 쉐젠")</f>
        <v>무기 획득 - 쉐젠</v>
      </c>
      <c r="Y30" s="161" t="str">
        <f>IFERROR(__xludf.DUMMYFUNCTION("GOOGLETRANSLATE(E30,""zh-tw"",""en"")"),"R27")</f>
        <v>R27</v>
      </c>
      <c r="Z30" s="118" t="str">
        <f>IFERROR(__xludf.DUMMYFUNCTION("GOOGLETRANSLATE(B30,""zh-tw"",""ru"")"),"Сундук с реликвиями 3")</f>
        <v>Сундук с реликвиями 3</v>
      </c>
      <c r="AA30" s="162" t="str">
        <f>IFERROR(__xludf.DUMMYFUNCTION("GOOGLETRANSLATE(C30,""zh-tw"",""RU"")"),"Забытая Гробница-1, сундук с сокровищами возле яйца посередине.")</f>
        <v>Забытая Гробница-1, сундук с сокровищами возле яйца посередине.</v>
      </c>
      <c r="AB30" s="64" t="str">
        <f>IFERROR(__xludf.DUMMYFUNCTION("GOOGLETRANSLATE(D30,""zh-tw"",""RU"")"),"Получить оружие - Сюэцзянь")</f>
        <v>Получить оружие - Сюэцзянь</v>
      </c>
      <c r="AC30" s="161" t="str">
        <f>IFERROR(__xludf.DUMMYFUNCTION("GOOGLETRANSLATE(I30,""zh-tw"",""en"")"),"R27")</f>
        <v>R27</v>
      </c>
      <c r="AD30" s="118" t="s">
        <v>2877</v>
      </c>
      <c r="AE30" s="162" t="str">
        <f>IFERROR(__xludf.DUMMYFUNCTION("GOOGLETRANSLATE(C30,""zh-tw"",""DE"")"),"Vergessenes Grab-1, eine Schatztruhe in der Nähe des Eis in der Mitte.")</f>
        <v>Vergessenes Grab-1, eine Schatztruhe in der Nähe des Eis in der Mitte.</v>
      </c>
      <c r="AF30" s="119" t="s">
        <v>2878</v>
      </c>
      <c r="AG30" s="98" t="s">
        <v>2867</v>
      </c>
      <c r="AH30" s="106" t="s">
        <v>2879</v>
      </c>
      <c r="AI30" s="165" t="s">
        <v>2880</v>
      </c>
      <c r="AJ30" s="67" t="s">
        <v>2881</v>
      </c>
      <c r="AK30" s="137" t="s">
        <v>2867</v>
      </c>
      <c r="AL30" s="138" t="s">
        <v>2882</v>
      </c>
      <c r="AM30" s="123" t="s">
        <v>2883</v>
      </c>
      <c r="AN30" s="124" t="s">
        <v>2884</v>
      </c>
      <c r="AO30" s="124"/>
    </row>
    <row r="31">
      <c r="A31" s="121" t="s">
        <v>2885</v>
      </c>
      <c r="B31" s="118" t="s">
        <v>2886</v>
      </c>
      <c r="C31" s="109" t="s">
        <v>2887</v>
      </c>
      <c r="D31" s="69" t="s">
        <v>2888</v>
      </c>
      <c r="E31" s="121" t="str">
        <f>IFERROR(__xludf.DUMMYFUNCTION("GOOGLETRANSLATE(A31,""zh-tw"",""ja"")"),"R28")</f>
        <v>R28</v>
      </c>
      <c r="F31" s="118" t="str">
        <f>IFERROR(__xludf.DUMMYFUNCTION("GOOGLETRANSLATE(B31,""zh-tw"",""ja"")"),"ダウンロードコンテンツ")</f>
        <v>ダウンロードコンテンツ</v>
      </c>
      <c r="G31" s="109" t="s">
        <v>2889</v>
      </c>
      <c r="H31" s="69" t="s">
        <v>2890</v>
      </c>
      <c r="I31" s="121" t="str">
        <f>IFERROR(__xludf.DUMMYFUNCTION("GOOGLETRANSLATE(A31,""zh-tw"",""en"")"),"R28")</f>
        <v>R28</v>
      </c>
      <c r="J31" s="118" t="s">
        <v>2886</v>
      </c>
      <c r="K31" s="109" t="s">
        <v>2891</v>
      </c>
      <c r="L31" s="69" t="s">
        <v>2892</v>
      </c>
      <c r="M31" s="137" t="str">
        <f>IFERROR(__xludf.DUMMYFUNCTION("GOOGLETRANSLATE(A31,""zh-tw"",""en"")"),"R28")</f>
        <v>R28</v>
      </c>
      <c r="N31" s="118" t="str">
        <f>IFERROR(__xludf.DUMMYFUNCTION("GOOGLETRANSLATE(B31,""zh-tw"",""zh"")"),"DLC")</f>
        <v>DLC</v>
      </c>
      <c r="O31" s="103" t="str">
        <f>IFERROR(__xludf.DUMMYFUNCTION("GOOGLETRANSLATE(C31,""zh-tw"",""zh"")"),"冒险者小道:集结地
和骑士分享一定数量的见闻可以获得")</f>
        <v>冒险者小道:集结地
和骑士分享一定数量的见闻可以获得</v>
      </c>
      <c r="P31" s="71" t="str">
        <f>IFERROR(__xludf.DUMMYFUNCTION("GOOGLETRANSLATE(D31,""zh-tw"",""zh"")"),"暗影之魂-DLC")</f>
        <v>暗影之魂-DLC</v>
      </c>
      <c r="Q31" s="137" t="str">
        <f>IFERROR(__xludf.DUMMYFUNCTION("GOOGLETRANSLATE(A31,""zh-tw"",""ja"")"),"R28")</f>
        <v>R28</v>
      </c>
      <c r="R31" s="138" t="str">
        <f>IFERROR(__xludf.DUMMYFUNCTION("GOOGLETRANSLATE(B31,""zh-tw"",""es-MX"")"),"Contenido descargable")</f>
        <v>Contenido descargable</v>
      </c>
      <c r="S31" s="109" t="s">
        <v>2893</v>
      </c>
      <c r="T31" s="71" t="str">
        <f>IFERROR(__xludf.DUMMYFUNCTION("GOOGLETRANSLATE(D31,""zh-tw"",""es-MX"")"),"Almas de las Sombras - DLC")</f>
        <v>Almas de las Sombras - DLC</v>
      </c>
      <c r="U31" s="161" t="str">
        <f>IFERROR(__xludf.DUMMYFUNCTION("GOOGLETRANSLATE(A31,""zh-tw"",""en"")"),"R28")</f>
        <v>R28</v>
      </c>
      <c r="V31" s="138" t="str">
        <f>IFERROR(__xludf.DUMMYFUNCTION("GOOGLETRANSLATE(B31,""zh-tw"",""KO"")"),"다운로드")</f>
        <v>다운로드</v>
      </c>
      <c r="W31" s="103" t="str">
        <f>IFERROR(__xludf.DUMMYFUNCTION("GOOGLETRANSLATE(C31,""zh-tw"",""KO"")"),"모험가의 길: 모임 장소 기사와 일정 횟수 이상의 만남을 공유하면 [무언가]를 획득할 수 있습니다.")</f>
        <v>모험가의 길: 모임 장소 기사와 일정 횟수 이상의 만남을 공유하면 [무언가]를 획득할 수 있습니다.</v>
      </c>
      <c r="X31" s="71" t="str">
        <f>IFERROR(__xludf.DUMMYFUNCTION("GOOGLETRANSLATE(D31,""zh-tw"",""KO"")"),"섀도우 소울 - DLC")</f>
        <v>섀도우 소울 - DLC</v>
      </c>
      <c r="Y31" s="161" t="str">
        <f>IFERROR(__xludf.DUMMYFUNCTION("GOOGLETRANSLATE(E31,""zh-tw"",""en"")"),"R28")</f>
        <v>R28</v>
      </c>
      <c r="Z31" s="118" t="str">
        <f>IFERROR(__xludf.DUMMYFUNCTION("GOOGLETRANSLATE(B31,""zh-tw"",""ru"")"),"DLC")</f>
        <v>DLC</v>
      </c>
      <c r="AA31" s="162" t="str">
        <f>IFERROR(__xludf.DUMMYFUNCTION("GOOGLETRANSLATE(C31,""zh-tw"",""RU"")"),"Путь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1" s="64" t="str">
        <f>IFERROR(__xludf.DUMMYFUNCTION("GOOGLETRANSLATE(D31,""zh-tw"",""RU"")"),"Shadow Souls - DLC")</f>
        <v>Shadow Souls - DLC</v>
      </c>
      <c r="AC31" s="161" t="str">
        <f>IFERROR(__xludf.DUMMYFUNCTION("GOOGLETRANSLATE(I31,""zh-tw"",""en"")"),"R28")</f>
        <v>R28</v>
      </c>
      <c r="AD31" s="118" t="s">
        <v>2886</v>
      </c>
      <c r="AE31" s="162" t="str">
        <f>IFERROR(__xludf.DUMMYFUNCTION("GOOGLETRANSLATE(C31,""zh-tw"",""DE"")"),"Pfad des Abenteurers: Treffpunkt Du kannst [etwas] erhalten, indem du eine bestimmte Anzahl von Begegnungen mit dem Ritter absolvierst.")</f>
        <v>Pfad des Abenteurers: Treffpunkt Du kannst [etwas] erhalten, indem du eine bestimmte Anzahl von Begegnungen mit dem Ritter absolvierst.</v>
      </c>
      <c r="AF31" s="119" t="s">
        <v>2894</v>
      </c>
      <c r="AG31" s="98" t="s">
        <v>2885</v>
      </c>
      <c r="AH31" s="106" t="s">
        <v>2886</v>
      </c>
      <c r="AI31" s="165" t="s">
        <v>2895</v>
      </c>
      <c r="AJ31" s="67" t="s">
        <v>2896</v>
      </c>
      <c r="AK31" s="137" t="s">
        <v>2885</v>
      </c>
      <c r="AL31" s="138" t="s">
        <v>2886</v>
      </c>
      <c r="AM31" s="123" t="s">
        <v>2897</v>
      </c>
      <c r="AN31" s="124" t="s">
        <v>2898</v>
      </c>
      <c r="AO31" s="124"/>
    </row>
    <row r="32">
      <c r="A32" s="121" t="s">
        <v>2899</v>
      </c>
      <c r="B32" s="118" t="s">
        <v>2900</v>
      </c>
      <c r="C32" s="109" t="s">
        <v>2901</v>
      </c>
      <c r="D32" s="69" t="s">
        <v>2902</v>
      </c>
      <c r="E32" s="121" t="str">
        <f>IFERROR(__xludf.DUMMYFUNCTION("GOOGLETRANSLATE(A32,""zh-tw"",""ja"")"),"R29")</f>
        <v>R29</v>
      </c>
      <c r="F32" s="118" t="s">
        <v>2903</v>
      </c>
      <c r="G32" s="109" t="s">
        <v>2904</v>
      </c>
      <c r="H32" s="69" t="s">
        <v>2905</v>
      </c>
      <c r="I32" s="121" t="str">
        <f>IFERROR(__xludf.DUMMYFUNCTION("GOOGLETRANSLATE(A32,""zh-tw"",""en"")"),"R29")</f>
        <v>R29</v>
      </c>
      <c r="J32" s="118" t="s">
        <v>2906</v>
      </c>
      <c r="K32" s="109" t="s">
        <v>2907</v>
      </c>
      <c r="L32" s="69" t="s">
        <v>2908</v>
      </c>
      <c r="M32" s="137" t="str">
        <f>IFERROR(__xludf.DUMMYFUNCTION("GOOGLETRANSLATE(A32,""zh-tw"",""en"")"),"R29")</f>
        <v>R29</v>
      </c>
      <c r="N32" s="118" t="str">
        <f>IFERROR(__xludf.DUMMYFUNCTION("GOOGLETRANSLATE(B32,""zh-tw"",""zh"")"),"全部见闻")</f>
        <v>全部见闻</v>
      </c>
      <c r="O32" s="103" t="str">
        <f>IFERROR(__xludf.DUMMYFUNCTION("GOOGLETRANSLATE(C32,""zh-tw"",""zh"")"),"于冒险步道的骑士分享见闻：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2" s="71" t="str">
        <f>IFERROR(__xludf.DUMMYFUNCTION("GOOGLETRANSLATE(D32,""zh-tw"",""zh"")"),"分享一定数量见闻后，会获得「特典T恤」，回家后会看到妹妹穿着的剧情。
(后续更衣功能尚未实装)")</f>
        <v>分享一定数量见闻后，会获得「特典T恤」，回家后会看到妹妹穿着的剧情。
(后续更衣功能尚未实装)</v>
      </c>
      <c r="Q32" s="137" t="str">
        <f>IFERROR(__xludf.DUMMYFUNCTION("GOOGLETRANSLATE(A32,""zh-tw"",""ja"")"),"R29")</f>
        <v>R29</v>
      </c>
      <c r="R32" s="118" t="s">
        <v>2909</v>
      </c>
      <c r="S32" s="109" t="s">
        <v>2910</v>
      </c>
      <c r="T32" s="71" t="str">
        <f>IFERROR(__xludf.DUMMYFUNCTION("GOOGLETRANSLATE(D32,""zh-tw"",""es-MX"")"),"Tras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2" s="161" t="str">
        <f>IFERROR(__xludf.DUMMYFUNCTION("GOOGLETRANSLATE(A32,""zh-tw"",""en"")"),"R29")</f>
        <v>R29</v>
      </c>
      <c r="V32" s="138" t="str">
        <f>IFERROR(__xludf.DUMMYFUNCTION("GOOGLETRANSLATE(B32,""zh-tw"",""KO"")"),"모든 관찰")</f>
        <v>모든 관찰</v>
      </c>
      <c r="W32" s="103" t="str">
        <f>IFERROR(__xludf.DUMMYFUNCTION("GOOGLETRANSLATE(C32,""zh-tw"",""KO"")"),"모험의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v>
      </c>
      <c r="X32" s="71" t="str">
        <f>IFERROR(__xludf.DUMMYFUNCTION("GOOGLETRANSLATE(D32,""zh-tw"",""KO"")"),"일정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2" s="161" t="str">
        <f>IFERROR(__xludf.DUMMYFUNCTION("GOOGLETRANSLATE(E32,""zh-tw"",""en"")"),"R29")</f>
        <v>R29</v>
      </c>
      <c r="Z32" s="118" t="str">
        <f>IFERROR(__xludf.DUMMYFUNCTION("GOOGLETRANSLATE(B32,""zh-tw"",""ru"")"),"Все наблюдения")</f>
        <v>Все наблюдения</v>
      </c>
      <c r="AA32" s="162" t="str">
        <f>IFERROR(__xludf.DUMMYFUNCTION("GOOGLETRANSLATE(C32,""zh-tw"",""RU"")"),"Рыцари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2" s="64" t="str">
        <f>IFERROR(__xludf.DUMMYFUNCTION("GOOGLETRANSLATE(D32,""zh-tw"",""RU"")"),"Поделившись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2" s="161" t="str">
        <f>IFERROR(__xludf.DUMMYFUNCTION("GOOGLETRANSLATE(I32,""zh-tw"",""en"")"),"R29")</f>
        <v>R29</v>
      </c>
      <c r="AD32" s="118" t="s">
        <v>2911</v>
      </c>
      <c r="AE32" s="164" t="s">
        <v>2912</v>
      </c>
      <c r="AF32" s="119" t="s">
        <v>2913</v>
      </c>
      <c r="AG32" s="98" t="s">
        <v>2899</v>
      </c>
      <c r="AH32" s="106" t="s">
        <v>2914</v>
      </c>
      <c r="AI32" s="165" t="s">
        <v>2915</v>
      </c>
      <c r="AJ32" s="67" t="s">
        <v>2916</v>
      </c>
      <c r="AK32" s="137" t="s">
        <v>2899</v>
      </c>
      <c r="AL32" s="138" t="s">
        <v>2917</v>
      </c>
      <c r="AM32" s="123" t="s">
        <v>2918</v>
      </c>
      <c r="AN32" s="124" t="s">
        <v>2919</v>
      </c>
      <c r="AO32" s="124"/>
    </row>
    <row r="33">
      <c r="A33" s="121" t="s">
        <v>2920</v>
      </c>
      <c r="B33" s="118" t="s">
        <v>2921</v>
      </c>
      <c r="C33" s="109" t="s">
        <v>2922</v>
      </c>
      <c r="D33" s="69" t="s">
        <v>2923</v>
      </c>
      <c r="E33" s="121" t="str">
        <f>IFERROR(__xludf.DUMMYFUNCTION("GOOGLETRANSLATE(A33,""zh-tw"",""ja"")"),"R30")</f>
        <v>R30</v>
      </c>
      <c r="F33" s="118" t="s">
        <v>2924</v>
      </c>
      <c r="G33" s="109" t="s">
        <v>2925</v>
      </c>
      <c r="H33" s="69" t="s">
        <v>2926</v>
      </c>
      <c r="I33" s="121" t="str">
        <f>IFERROR(__xludf.DUMMYFUNCTION("GOOGLETRANSLATE(A33,""zh-tw"",""en"")"),"R30")</f>
        <v>R30</v>
      </c>
      <c r="J33" s="118" t="s">
        <v>2927</v>
      </c>
      <c r="K33" s="109" t="s">
        <v>2928</v>
      </c>
      <c r="L33" s="69" t="s">
        <v>2929</v>
      </c>
      <c r="M33" s="137" t="str">
        <f>IFERROR(__xludf.DUMMYFUNCTION("GOOGLETRANSLATE(A33,""zh-tw"",""en"")"),"R30")</f>
        <v>R30</v>
      </c>
      <c r="N33" s="118" t="str">
        <f>IFERROR(__xludf.DUMMYFUNCTION("GOOGLETRANSLATE(B33,""zh-tw"",""zh"")"),"遗留信")</f>
        <v>遗留信</v>
      </c>
      <c r="O33" s="103" t="str">
        <f>IFERROR(__xludf.DUMMYFUNCTION("GOOGLETRANSLATE(C33,""zh-tw"",""zh"")"),"冒险者小道:集结地
当完成骑士的相关的所有任务后，会发现信件，照着上面的提示前进吧")</f>
        <v>冒险者小道:集结地
当完成骑士的相关的所有任务后，会发现信件，照着上面的提示前进吧</v>
      </c>
      <c r="P33" s="71" t="str">
        <f>IFERROR(__xludf.DUMMYFUNCTION("GOOGLETRANSLATE(D33,""zh-tw"",""zh"")"),"遗留信内容
(后续未实装)")</f>
        <v>遗留信内容
(后续未实装)</v>
      </c>
      <c r="Q33" s="137" t="str">
        <f>IFERROR(__xludf.DUMMYFUNCTION("GOOGLETRANSLATE(A33,""zh-tw"",""ja"")"),"R30")</f>
        <v>R30</v>
      </c>
      <c r="R33" s="138" t="str">
        <f>IFERROR(__xludf.DUMMYFUNCTION("GOOGLETRANSLATE(B33,""zh-tw"",""es-MX"")"),"Última carta")</f>
        <v>Última carta</v>
      </c>
      <c r="S33" s="103" t="str">
        <f>IFERROR(__xludf.DUMMYFUNCTION("GOOGLETRANSLATE(C33,""zh-tw"",""es-MX"")"),"Sendero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3" s="71" t="str">
        <f>IFERROR(__xludf.DUMMYFUNCTION("GOOGLETRANSLATE(D33,""zh-tw"",""es-MX"")"),"Contenido de la carta que se conserva
(No se implementó posteriormente)")</f>
        <v>Contenido de la carta que se conserva
(No se implementó posteriormente)</v>
      </c>
      <c r="U33" s="161" t="str">
        <f>IFERROR(__xludf.DUMMYFUNCTION("GOOGLETRANSLATE(A33,""zh-tw"",""en"")"),"R30")</f>
        <v>R30</v>
      </c>
      <c r="V33" s="138" t="str">
        <f>IFERROR(__xludf.DUMMYFUNCTION("GOOGLETRANSLATE(B33,""zh-tw"",""KO"")"),"전신")</f>
        <v>전신</v>
      </c>
      <c r="W33" s="103" t="str">
        <f>IFERROR(__xludf.DUMMYFUNCTION("GOOGLETRANSLATE(C33,""zh-tw"",""KO"")"),"모험가의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3" s="71" t="str">
        <f>IFERROR(__xludf.DUMMYFUNCTION("GOOGLETRANSLATE(D33,""zh-tw"",""KO"")"),"남아 있는 편지의 내용
(이후 시행되지 않음)")</f>
        <v>남아 있는 편지의 내용
(이후 시행되지 않음)</v>
      </c>
      <c r="Y33" s="161" t="str">
        <f>IFERROR(__xludf.DUMMYFUNCTION("GOOGLETRANSLATE(E33,""zh-tw"",""en"")"),"R30")</f>
        <v>R30</v>
      </c>
      <c r="Z33" s="118" t="str">
        <f>IFERROR(__xludf.DUMMYFUNCTION("GOOGLETRANSLATE(B33,""zh-tw"",""ru"")"),"Последнее письмо")</f>
        <v>Последнее письмо</v>
      </c>
      <c r="AA33" s="162" t="str">
        <f>IFERROR(__xludf.DUMMYFUNCTION("GOOGLETRANSLATE(C33,""zh-tw"",""RU"")"),"Путь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3" s="64" t="str">
        <f>IFERROR(__xludf.DUMMYFUNCTION("GOOGLETRANSLATE(D33,""zh-tw"",""RU"")"),"Содержание сохранившегося письма
(Впоследствии не реализовано)")</f>
        <v>Содержание сохранившегося письма
(Впоследствии не реализовано)</v>
      </c>
      <c r="AC33" s="161" t="str">
        <f>IFERROR(__xludf.DUMMYFUNCTION("GOOGLETRANSLATE(I33,""zh-tw"",""en"")"),"R30")</f>
        <v>R30</v>
      </c>
      <c r="AD33" s="118" t="s">
        <v>2930</v>
      </c>
      <c r="AE33" s="164" t="s">
        <v>2931</v>
      </c>
      <c r="AF33" s="119" t="s">
        <v>2932</v>
      </c>
      <c r="AG33" s="98" t="s">
        <v>2920</v>
      </c>
      <c r="AH33" s="106" t="s">
        <v>2933</v>
      </c>
      <c r="AI33" s="165" t="s">
        <v>2934</v>
      </c>
      <c r="AJ33" s="67" t="s">
        <v>2935</v>
      </c>
      <c r="AK33" s="137" t="s">
        <v>2920</v>
      </c>
      <c r="AL33" s="138" t="s">
        <v>2936</v>
      </c>
      <c r="AM33" s="123" t="s">
        <v>2937</v>
      </c>
      <c r="AN33" s="124" t="s">
        <v>2938</v>
      </c>
      <c r="AO33" s="124"/>
    </row>
    <row r="34">
      <c r="A34" s="121" t="s">
        <v>2939</v>
      </c>
      <c r="B34" s="118" t="s">
        <v>2940</v>
      </c>
      <c r="C34" s="109" t="s">
        <v>2941</v>
      </c>
      <c r="D34" s="69" t="s">
        <v>2942</v>
      </c>
      <c r="E34" s="121" t="str">
        <f>IFERROR(__xludf.DUMMYFUNCTION("GOOGLETRANSLATE(A34,""zh-tw"",""ja"")"),"R31")</f>
        <v>R31</v>
      </c>
      <c r="F34" s="118" t="s">
        <v>2943</v>
      </c>
      <c r="G34" s="109" t="s">
        <v>2944</v>
      </c>
      <c r="H34" s="69" t="s">
        <v>2945</v>
      </c>
      <c r="I34" s="121" t="str">
        <f>IFERROR(__xludf.DUMMYFUNCTION("GOOGLETRANSLATE(A34,""zh-tw"",""en"")"),"R31")</f>
        <v>R31</v>
      </c>
      <c r="J34" s="118" t="s">
        <v>2946</v>
      </c>
      <c r="K34" s="109" t="s">
        <v>2947</v>
      </c>
      <c r="L34" s="69" t="s">
        <v>2948</v>
      </c>
      <c r="M34" s="137" t="str">
        <f>IFERROR(__xludf.DUMMYFUNCTION("GOOGLETRANSLATE(A34,""zh-tw"",""en"")"),"R31")</f>
        <v>R31</v>
      </c>
      <c r="N34" s="118" t="str">
        <f>IFERROR(__xludf.DUMMYFUNCTION("GOOGLETRANSLATE(B34,""zh-tw"",""zh"")"),"炎热天气1")</f>
        <v>炎热天气1</v>
      </c>
      <c r="O34" s="103" t="str">
        <f>IFERROR(__xludf.DUMMYFUNCTION("GOOGLETRANSLATE(C34,""zh-tw"",""zh"")"),"晴天时，外出有机率变为炎热。
(妹妹若已经收到了T恤，炎热机率会提升)")</f>
        <v>晴天时，外出有机率变为炎热。
(妹妹若已经收到了T恤，炎热机率会提升)</v>
      </c>
      <c r="P34" s="71" t="str">
        <f>IFERROR(__xludf.DUMMYFUNCTION("GOOGLETRANSLATE(D34,""zh-tw"",""zh"")"),"部分NPC会躲起来
若提前回家(不可使用星之门)，妹妹有炎热天气相关剧情")</f>
        <v>部分NPC会躲起来
若提前回家(不可使用星之门)，妹妹有炎热天气相关剧情</v>
      </c>
      <c r="Q34" s="137" t="str">
        <f>IFERROR(__xludf.DUMMYFUNCTION("GOOGLETRANSLATE(A34,""zh-tw"",""ja"")"),"R31")</f>
        <v>R31</v>
      </c>
      <c r="R34" s="118" t="s">
        <v>2949</v>
      </c>
      <c r="S34" s="103" t="str">
        <f>IFERROR(__xludf.DUMMYFUNCTION("GOOGLETRANSLATE(C34,""zh-tw"",""es-MX"")"),"En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4" s="71" t="str">
        <f>IFERROR(__xludf.DUMMYFUNCTION("GOOGLETRANSLATE(D34,""zh-tw"",""es-MX"")"),"Algunos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4" s="161" t="str">
        <f>IFERROR(__xludf.DUMMYFUNCTION("GOOGLETRANSLATE(A34,""zh-tw"",""en"")"),"R31")</f>
        <v>R31</v>
      </c>
      <c r="V34" s="138" t="str">
        <f>IFERROR(__xludf.DUMMYFUNCTION("GOOGLETRANSLATE(B34,""zh-tw"",""KO"")"),"더운 날씨 1")</f>
        <v>더운 날씨 1</v>
      </c>
      <c r="W34" s="103" t="str">
        <f>IFERROR(__xludf.DUMMYFUNCTION("GOOGLETRANSLATE(C34,""zh-tw"",""KO"")"),"화창한 날에는 밖이 더울 수 있습니다.
(자매님이 이미 티셔츠를 받았다면 더울 가능성이 커집니다.)")</f>
        <v>화창한 날에는 밖이 더울 수 있습니다.
(자매님이 이미 티셔츠를 받았다면 더울 가능성이 커집니다.)</v>
      </c>
      <c r="X34" s="71" t="str">
        <f>IFERROR(__xludf.DUMMYFUNCTION("GOOGLETRANSLATE(D34,""zh-tw"",""KO"")"),"일부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4" s="161" t="str">
        <f>IFERROR(__xludf.DUMMYFUNCTION("GOOGLETRANSLATE(E34,""zh-tw"",""en"")"),"R31")</f>
        <v>R31</v>
      </c>
      <c r="Z34" s="118" t="str">
        <f>IFERROR(__xludf.DUMMYFUNCTION("GOOGLETRANSLATE(B34,""zh-tw"",""ru"")"),"Жаркая погода 1")</f>
        <v>Жаркая погода 1</v>
      </c>
      <c r="AA34" s="162" t="str">
        <f>IFERROR(__xludf.DUMMYFUNCTION("GOOGLETRANSLATE(C34,""zh-tw"",""RU"")"),"В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4" s="64" t="str">
        <f>IFERROR(__xludf.DUMMYFUNCTION("GOOGLETRANSLATE(D34,""zh-tw"",""RU"")"),"Некоторые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4" s="161" t="str">
        <f>IFERROR(__xludf.DUMMYFUNCTION("GOOGLETRANSLATE(I34,""zh-tw"",""en"")"),"R31")</f>
        <v>R31</v>
      </c>
      <c r="AD34" s="118" t="s">
        <v>2950</v>
      </c>
      <c r="AE34" s="164" t="s">
        <v>2951</v>
      </c>
      <c r="AF34" s="119" t="s">
        <v>2952</v>
      </c>
      <c r="AG34" s="98" t="s">
        <v>2939</v>
      </c>
      <c r="AH34" s="106" t="s">
        <v>2953</v>
      </c>
      <c r="AI34" s="165" t="s">
        <v>2954</v>
      </c>
      <c r="AJ34" s="67" t="s">
        <v>2955</v>
      </c>
      <c r="AK34" s="137" t="s">
        <v>2939</v>
      </c>
      <c r="AL34" s="138" t="s">
        <v>2956</v>
      </c>
      <c r="AM34" s="123" t="s">
        <v>2957</v>
      </c>
      <c r="AN34" s="124" t="s">
        <v>2958</v>
      </c>
      <c r="AO34" s="124"/>
    </row>
    <row r="35">
      <c r="A35" s="121" t="s">
        <v>2959</v>
      </c>
      <c r="B35" s="118" t="s">
        <v>2960</v>
      </c>
      <c r="C35" s="109" t="s">
        <v>2961</v>
      </c>
      <c r="D35" s="69" t="s">
        <v>2962</v>
      </c>
      <c r="E35" s="121" t="str">
        <f>IFERROR(__xludf.DUMMYFUNCTION("GOOGLETRANSLATE(A35,""zh-tw"",""ja"")"),"R32")</f>
        <v>R32</v>
      </c>
      <c r="F35" s="118" t="s">
        <v>2963</v>
      </c>
      <c r="G35" s="109" t="s">
        <v>2964</v>
      </c>
      <c r="H35" s="69" t="s">
        <v>2965</v>
      </c>
      <c r="I35" s="121" t="str">
        <f>IFERROR(__xludf.DUMMYFUNCTION("GOOGLETRANSLATE(A35,""zh-tw"",""en"")"),"R32")</f>
        <v>R32</v>
      </c>
      <c r="J35" s="118" t="s">
        <v>2966</v>
      </c>
      <c r="K35" s="109" t="s">
        <v>2967</v>
      </c>
      <c r="L35" s="69" t="s">
        <v>2968</v>
      </c>
      <c r="M35" s="137" t="str">
        <f>IFERROR(__xludf.DUMMYFUNCTION("GOOGLETRANSLATE(A35,""zh-tw"",""en"")"),"R32")</f>
        <v>R32</v>
      </c>
      <c r="N35" s="118" t="str">
        <f>IFERROR(__xludf.DUMMYFUNCTION("GOOGLETRANSLATE(B35,""zh-tw"",""zh"")"),"炎热天气2
特典T恤")</f>
        <v>炎热天气2
特典T恤</v>
      </c>
      <c r="O35" s="103" t="str">
        <f>IFERROR(__xludf.DUMMYFUNCTION("GOOGLETRANSLATE(C35,""zh-tw"",""zh"")"),"同上，若有T恤时，将有分支剧情")</f>
        <v>同上，若有T恤时，将有分支剧情</v>
      </c>
      <c r="P35" s="71" t="str">
        <f>IFERROR(__xludf.DUMMYFUNCTION("GOOGLETRANSLATE(D35,""zh-tw"",""zh"")"),"同上
炎热天气分支剧情
(现版本不管你有没有取得T恤，都会是自动穿上这套)")</f>
        <v>同上
炎热天气分支剧情
(现版本不管你有没有取得T恤，都会是自动穿上这套)</v>
      </c>
      <c r="Q35" s="137" t="str">
        <f>IFERROR(__xludf.DUMMYFUNCTION("GOOGLETRANSLATE(A35,""zh-tw"",""ja"")"),"R32")</f>
        <v>R32</v>
      </c>
      <c r="R35" s="118" t="s">
        <v>2969</v>
      </c>
      <c r="S35" s="109" t="s">
        <v>2970</v>
      </c>
      <c r="T35" s="71" t="str">
        <f>IFERROR(__xludf.DUMMYFUNCTION("GOOGLETRANSLATE(D35,""zh-tw"",""es-MX"")"),"Igual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5" s="161" t="str">
        <f>IFERROR(__xludf.DUMMYFUNCTION("GOOGLETRANSLATE(A35,""zh-tw"",""en"")"),"R32")</f>
        <v>R32</v>
      </c>
      <c r="V35" s="138" t="str">
        <f>IFERROR(__xludf.DUMMYFUNCTION("GOOGLETRANSLATE(B35,""zh-tw"",""KO"")"),"더운 날씨 2 보너스 티셔츠")</f>
        <v>더운 날씨 2 보너스 티셔츠</v>
      </c>
      <c r="W35" s="103" t="str">
        <f>IFERROR(__xludf.DUMMYFUNCTION("GOOGLETRANSLATE(C35,""zh-tw"",""KO"")"),"위와 같이 티셔츠가 있으면 스토리라인이 분기화됩니다.")</f>
        <v>위와 같이 티셔츠가 있으면 스토리라인이 분기화됩니다.</v>
      </c>
      <c r="X35" s="71" t="str">
        <f>IFERROR(__xludf.DUMMYFUNCTION("GOOGLETRANSLATE(D35,""zh-tw"",""KO"")"),"위와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5" s="161" t="str">
        <f>IFERROR(__xludf.DUMMYFUNCTION("GOOGLETRANSLATE(E35,""zh-tw"",""en"")"),"R32")</f>
        <v>R32</v>
      </c>
      <c r="Z35" s="118" t="str">
        <f>IFERROR(__xludf.DUMMYFUNCTION("GOOGLETRANSLATE(B35,""zh-tw"",""ru"")"),"Бонусная футболка «Жаркая погода 2»")</f>
        <v>Бонусная футболка «Жаркая погода 2»</v>
      </c>
      <c r="AA35" s="162" t="str">
        <f>IFERROR(__xludf.DUMMYFUNCTION("GOOGLETRANSLATE(C35,""zh-tw"",""RU"")"),"Как и в предыдущем случае, если присутствует футболка, то сюжетная линия будет разветвленной.")</f>
        <v>Как и в предыдущем случае, если присутствует футболка, то сюжетная линия будет разветвленной.</v>
      </c>
      <c r="AB35" s="64" t="str">
        <f>IFERROR(__xludf.DUMMYFUNCTION("GOOGLETRANSLATE(D35,""zh-tw"",""RU"")"),"То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5" s="161" t="str">
        <f>IFERROR(__xludf.DUMMYFUNCTION("GOOGLETRANSLATE(I35,""zh-tw"",""en"")"),"R32")</f>
        <v>R32</v>
      </c>
      <c r="AD35" s="118" t="s">
        <v>2971</v>
      </c>
      <c r="AE35" s="164" t="s">
        <v>2972</v>
      </c>
      <c r="AF35" s="119" t="s">
        <v>2973</v>
      </c>
      <c r="AG35" s="98" t="s">
        <v>2959</v>
      </c>
      <c r="AH35" s="106" t="s">
        <v>2974</v>
      </c>
      <c r="AI35" s="165" t="s">
        <v>2975</v>
      </c>
      <c r="AJ35" s="67" t="s">
        <v>2976</v>
      </c>
      <c r="AK35" s="137" t="s">
        <v>2959</v>
      </c>
      <c r="AL35" s="138" t="s">
        <v>2977</v>
      </c>
      <c r="AM35" s="123" t="s">
        <v>2978</v>
      </c>
      <c r="AN35" s="124" t="s">
        <v>2979</v>
      </c>
      <c r="AO35" s="124"/>
    </row>
    <row r="36">
      <c r="A36" s="121" t="s">
        <v>2980</v>
      </c>
      <c r="B36" s="118" t="s">
        <v>2981</v>
      </c>
      <c r="C36" s="109" t="s">
        <v>2982</v>
      </c>
      <c r="D36" s="69" t="s">
        <v>2983</v>
      </c>
      <c r="E36" s="121" t="str">
        <f>IFERROR(__xludf.DUMMYFUNCTION("GOOGLETRANSLATE(A36,""zh-tw"",""ja"")"),"R33")</f>
        <v>R33</v>
      </c>
      <c r="F36" s="118" t="s">
        <v>2984</v>
      </c>
      <c r="G36" s="135" t="str">
        <f>IFERROR(__xludf.DUMMYFUNCTION("GOOGLETRANSLATE(C36,""zh-tw"",""ja"")"),"同様に、「戦車」のタロットカードで召喚されたショップカートから扇風機を購入することができます。")</f>
        <v>同様に、「戦車」のタロットカードで召喚されたショップカートから扇風機を購入することができます。</v>
      </c>
      <c r="H36" s="69" t="s">
        <v>2985</v>
      </c>
      <c r="I36" s="121" t="str">
        <f>IFERROR(__xludf.DUMMYFUNCTION("GOOGLETRANSLATE(A36,""zh-tw"",""en"")"),"R33")</f>
        <v>R33</v>
      </c>
      <c r="J36" s="118" t="s">
        <v>2986</v>
      </c>
      <c r="K36" s="135" t="s">
        <v>2987</v>
      </c>
      <c r="L36" s="69" t="s">
        <v>2988</v>
      </c>
      <c r="M36" s="137" t="str">
        <f>IFERROR(__xludf.DUMMYFUNCTION("GOOGLETRANSLATE(A36,""zh-tw"",""en"")"),"R33")</f>
        <v>R33</v>
      </c>
      <c r="N36" s="118" t="str">
        <f>IFERROR(__xludf.DUMMYFUNCTION("GOOGLETRANSLATE(B36,""zh-tw"",""zh"")"),"炎热天气3
电风扇")</f>
        <v>炎热天气3
电风扇</v>
      </c>
      <c r="O36" s="103" t="str">
        <f>IFERROR(__xludf.DUMMYFUNCTION("GOOGLETRANSLATE(C36,""zh-tw"",""zh"")"),"同上，可以透过""战车""塔罗牌召唤的商店车中，购买电风扇")</f>
        <v>同上，可以透过"战车"塔罗牌召唤的商店车中，购买电风扇</v>
      </c>
      <c r="P36" s="71" t="str">
        <f>IFERROR(__xludf.DUMMYFUNCTION("GOOGLETRANSLATE(D36,""zh-tw"",""zh"")"),"获得电风扇
炎热天气分支剧情")</f>
        <v>获得电风扇
炎热天气分支剧情</v>
      </c>
      <c r="Q36" s="137" t="str">
        <f>IFERROR(__xludf.DUMMYFUNCTION("GOOGLETRANSLATE(A36,""zh-tw"",""ja"")"),"R33")</f>
        <v>R33</v>
      </c>
      <c r="R36" s="118" t="s">
        <v>2989</v>
      </c>
      <c r="S36" s="109" t="s">
        <v>2990</v>
      </c>
      <c r="T36" s="71" t="str">
        <f>IFERROR(__xludf.DUMMYFUNCTION("GOOGLETRANSLATE(D36,""zh-tw"",""es-MX"")"),"Consigue un ventilador eléctrico. Historia paralela del calor.")</f>
        <v>Consigue un ventilador eléctrico. Historia paralela del calor.</v>
      </c>
      <c r="U36" s="161" t="str">
        <f>IFERROR(__xludf.DUMMYFUNCTION("GOOGLETRANSLATE(A36,""zh-tw"",""en"")"),"R33")</f>
        <v>R33</v>
      </c>
      <c r="V36" s="138" t="str">
        <f>IFERROR(__xludf.DUMMYFUNCTION("GOOGLETRANSLATE(B36,""zh-tw"",""KO"")"),"더운 날씨 3. 전기 선풍기")</f>
        <v>더운 날씨 3. 전기 선풍기</v>
      </c>
      <c r="W36" s="103" t="str">
        <f>IFERROR(__xludf.DUMMYFUNCTION("GOOGLETRANSLATE(C36,""zh-tw"",""KO"")"),"마찬가지로, 타로 카드 ""전차""가 소환한 상점 카트에서 전기 선풍기를 구매할 수 있습니다.")</f>
        <v>마찬가지로, 타로 카드 "전차"가 소환한 상점 카트에서 전기 선풍기를 구매할 수 있습니다.</v>
      </c>
      <c r="X36" s="71" t="str">
        <f>IFERROR(__xludf.DUMMYFUNCTION("GOOGLETRANSLATE(D36,""zh-tw"",""KO"")"),"선풍기를 구하세요. 더운 날씨에 대한 이야기입니다.")</f>
        <v>선풍기를 구하세요. 더운 날씨에 대한 이야기입니다.</v>
      </c>
      <c r="Y36" s="161" t="str">
        <f>IFERROR(__xludf.DUMMYFUNCTION("GOOGLETRANSLATE(E36,""zh-tw"",""en"")"),"R33")</f>
        <v>R33</v>
      </c>
      <c r="Z36" s="118" t="str">
        <f>IFERROR(__xludf.DUMMYFUNCTION("GOOGLETRANSLATE(B36,""zh-tw"",""ru"")"),"Жаркая погода 3. Электрический вентилятор")</f>
        <v>Жаркая погода 3. Электрический вентилятор</v>
      </c>
      <c r="AA36" s="162" t="str">
        <f>IFERROR(__xludf.DUMMYFUNCTION("GOOGLETRANSLATE(C36,""zh-tw"",""RU"")"),"Аналогичным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6" s="64" t="str">
        <f>IFERROR(__xludf.DUMMYFUNCTION("GOOGLETRANSLATE(D36,""zh-tw"",""RU"")"),"Купите электрический вентилятор. История о жаркой погоде.")</f>
        <v>Купите электрический вентилятор. История о жаркой погоде.</v>
      </c>
      <c r="AC36" s="161" t="str">
        <f>IFERROR(__xludf.DUMMYFUNCTION("GOOGLETRANSLATE(I36,""zh-tw"",""en"")"),"R33")</f>
        <v>R33</v>
      </c>
      <c r="AD36" s="118" t="s">
        <v>2991</v>
      </c>
      <c r="AE36" s="164" t="s">
        <v>2992</v>
      </c>
      <c r="AF36" s="119" t="s">
        <v>2993</v>
      </c>
      <c r="AG36" s="98" t="s">
        <v>2980</v>
      </c>
      <c r="AH36" s="106" t="s">
        <v>2994</v>
      </c>
      <c r="AI36" s="165" t="s">
        <v>2995</v>
      </c>
      <c r="AJ36" s="67" t="s">
        <v>2996</v>
      </c>
      <c r="AK36" s="137" t="s">
        <v>2980</v>
      </c>
      <c r="AL36" s="138" t="s">
        <v>2997</v>
      </c>
      <c r="AM36" s="141" t="s">
        <v>2998</v>
      </c>
      <c r="AN36" s="124" t="s">
        <v>2999</v>
      </c>
      <c r="AO36" s="124"/>
    </row>
    <row r="37">
      <c r="A37" s="121" t="s">
        <v>3000</v>
      </c>
      <c r="B37" s="138" t="s">
        <v>3001</v>
      </c>
      <c r="C37" s="123" t="s">
        <v>3002</v>
      </c>
      <c r="D37" s="124" t="s">
        <v>3003</v>
      </c>
      <c r="E37" s="121" t="s">
        <v>3000</v>
      </c>
      <c r="F37" s="138" t="s">
        <v>3004</v>
      </c>
      <c r="G37" s="141" t="s">
        <v>3005</v>
      </c>
      <c r="H37" s="142" t="s">
        <v>3006</v>
      </c>
      <c r="I37" s="121" t="s">
        <v>3000</v>
      </c>
      <c r="J37" s="138" t="s">
        <v>3007</v>
      </c>
      <c r="K37" s="141" t="s">
        <v>3008</v>
      </c>
      <c r="L37" s="142" t="s">
        <v>3009</v>
      </c>
      <c r="M37" s="121" t="s">
        <v>3000</v>
      </c>
      <c r="N37" s="125" t="s">
        <v>3001</v>
      </c>
      <c r="O37" s="123" t="s">
        <v>3010</v>
      </c>
      <c r="P37" s="124" t="s">
        <v>3011</v>
      </c>
      <c r="Q37" s="121" t="s">
        <v>3000</v>
      </c>
      <c r="R37" s="125" t="str">
        <f>IFERROR(__xludf.DUMMYFUNCTION("GOOGLETRANSLATE(B37,""zh-tw"",""es-MX"")"),"No soy el flautista de Hamem~")</f>
        <v>No soy el flautista de Hamem~</v>
      </c>
      <c r="S37" s="123" t="str">
        <f>IFERROR(__xludf.DUMMYFUNCTION("GOOGLETRANSLATE(C37,""zh-tw"",""es-MX"")"),"Z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7" s="124" t="str">
        <f>IFERROR(__xludf.DUMMYFUNCTION("GOOGLETRANSLATE(D37,""zh-tw"",""es-MX"")"),"Oportunidad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7" s="121" t="s">
        <v>3000</v>
      </c>
      <c r="V37" s="125" t="str">
        <f>IFERROR(__xludf.DUMMYFUNCTION("GOOGLETRANSLATE(B37,""zh-tw"",""KO"")"),"나는 하멤의 파이퍼가 아니야~")</f>
        <v>나는 하멤의 파이퍼가 아니야~</v>
      </c>
      <c r="W37" s="123" t="str">
        <f>IFERROR(__xludf.DUMMYFUNCTION("GOOGLETRANSLATE(C37,""zh-tw"",""KO"")"),"Z는 보통 잃어버린 숲에서만 나타납니다. Z와 접촉하면 일정 확률로 특수 상태를 얻습니다. 이 상태에서는 맵을 이동할 때 Z가 일정 확률로 계속 따라옵니다.")</f>
        <v>Z는 보통 잃어버린 숲에서만 나타납니다. Z와 접촉하면 일정 확률로 특수 상태를 얻습니다. 이 상태에서는 맵을 이동할 때 Z가 일정 확률로 계속 따라옵니다.</v>
      </c>
      <c r="X37" s="124" t="str">
        <f>IFERROR(__xludf.DUMMYFUNCTION("GOOGLETRANSLATE(D37,""zh-tw"",""KO"")"),"상태 효과 획득 및 Z가 따라올 확률
벌레 퇴치제는 네코가미 상점 카트에서 구매할 수 있습니다.")</f>
        <v>상태 효과 획득 및 Z가 따라올 확률
벌레 퇴치제는 네코가미 상점 카트에서 구매할 수 있습니다.</v>
      </c>
      <c r="Y37" s="121" t="s">
        <v>3000</v>
      </c>
      <c r="Z37" s="126" t="str">
        <f>IFERROR(__xludf.DUMMYFUNCTION("IF(J37="""", """", GOOGLETRANSLATE(J37,""en"",""RU""))"),"Я не Крысолов")</f>
        <v>Я не Крысолов</v>
      </c>
      <c r="AA37" s="127" t="str">
        <f>IFERROR(__xludf.DUMMYFUNCTION("IF(K37="""", """", GOOGLETRANSLATE(K37,""en"",""RU""))"),"Безымянный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f>
        <v>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v>
      </c>
      <c r="AB37" s="128" t="str">
        <f>IFERROR(__xludf.DUMMYFUNCTION("IF(L37="""", """", GOOGLETRANSLATE(L37, ""en"", ""ru""))
"),"Имеет шанс получить статусные эффекты и сопровождаться «C».
Вы можете купить «Посох отравителя вредителей» в фургоне Кошачьей Девочки.")</f>
        <v>Имеет шанс получить статусные эффекты и сопровождаться «C».
Вы можете купить «Посох отравителя вредителей» в фургоне Кошачьей Девочки.</v>
      </c>
      <c r="AC37" s="121" t="s">
        <v>3000</v>
      </c>
      <c r="AD37" s="126" t="str">
        <f>IFERROR(__xludf.DUMMYFUNCTION("IF(N37="""", """", GOOGLETRANSLATE(J37,""en"",""DE""))"),"Ich bin nicht der Rattenfänger von Hameln")</f>
        <v>Ich bin nicht der Rattenfänger von Hameln</v>
      </c>
      <c r="AE37" s="141" t="s">
        <v>3012</v>
      </c>
      <c r="AF37" s="142" t="s">
        <v>3013</v>
      </c>
      <c r="AG37" s="121" t="s">
        <v>3000</v>
      </c>
      <c r="AH37" s="169" t="s">
        <v>3014</v>
      </c>
      <c r="AI37" s="170" t="s">
        <v>3015</v>
      </c>
      <c r="AJ37" s="171" t="s">
        <v>3016</v>
      </c>
      <c r="AK37" s="121" t="s">
        <v>3000</v>
      </c>
      <c r="AL37" s="138" t="s">
        <v>3017</v>
      </c>
      <c r="AM37" s="123" t="s">
        <v>3018</v>
      </c>
      <c r="AN37" s="124" t="s">
        <v>3019</v>
      </c>
      <c r="AO37" s="172"/>
    </row>
    <row r="38">
      <c r="A38" s="121" t="s">
        <v>3020</v>
      </c>
      <c r="B38" s="118" t="s">
        <v>3021</v>
      </c>
      <c r="C38" s="109" t="s">
        <v>3022</v>
      </c>
      <c r="D38" s="69" t="s">
        <v>3023</v>
      </c>
      <c r="E38" s="121" t="str">
        <f>IFERROR(__xludf.DUMMYFUNCTION("GOOGLETRANSLATE(A38,""zh-tw"",""ja"")"),"R35")</f>
        <v>R35</v>
      </c>
      <c r="F38" s="118" t="s">
        <v>3024</v>
      </c>
      <c r="G38" s="135" t="s">
        <v>3025</v>
      </c>
      <c r="H38" s="69" t="s">
        <v>3026</v>
      </c>
      <c r="I38" s="121" t="str">
        <f>IFERROR(__xludf.DUMMYFUNCTION("GOOGLETRANSLATE(A38,""zh-tw"",""en"")"),"R35")</f>
        <v>R35</v>
      </c>
      <c r="J38" s="118" t="s">
        <v>3027</v>
      </c>
      <c r="K38" s="109" t="s">
        <v>3028</v>
      </c>
      <c r="L38" s="69" t="s">
        <v>3029</v>
      </c>
      <c r="M38" s="137" t="str">
        <f>IFERROR(__xludf.DUMMYFUNCTION("GOOGLETRANSLATE(A38,""zh-tw"",""en"")"),"R35")</f>
        <v>R35</v>
      </c>
      <c r="N38" s="118" t="str">
        <f>IFERROR(__xludf.DUMMYFUNCTION("GOOGLETRANSLATE(B38,""zh-tw"",""zh"")"),"神秘商店")</f>
        <v>神秘商店</v>
      </c>
      <c r="O38" s="109" t="s">
        <v>3030</v>
      </c>
      <c r="P38" s="71" t="str">
        <f>IFERROR(__xludf.DUMMYFUNCTION("GOOGLETRANSLATE(D38,""zh-tw"",""zh"")"),"初次见到时有两个选项的对话，""""请记得都要对话完成""""。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8" s="137" t="str">
        <f>IFERROR(__xludf.DUMMYFUNCTION("GOOGLETRANSLATE(A38,""zh-tw"",""ja"")"),"R35")</f>
        <v>R35</v>
      </c>
      <c r="R38" s="118" t="s">
        <v>3031</v>
      </c>
      <c r="S38" s="109" t="s">
        <v>3032</v>
      </c>
      <c r="T38" s="71" t="str">
        <f>IFERROR(__xludf.DUMMYFUNCTION("GOOGLETRANSLATE(D38,""zh-tw"",""es-MX"")"),"Al entrar en la tienda por primera vez, verás dos opciones de diálogo. ""Recuerda completar ambas opciones de diálogo"".
De lo contrario, perderás objetos en el futuro.
* Puedes usar este código (solo para abrir la tienda; puede causar errores, úsalo co"&amp;"n precaución):
En un día soleado, busca un espacio abierto en el Bosque de las Ruinas, presiona F12 -&gt; Segunda pestaña (Consola).
Introduce el script:
QJ.SE.spawnRegionNum(1,94,[118],1,true)
Luego presiona ENTER para abrir la tienda.")</f>
        <v>Al entrar en la tienda por primera vez, verás dos opciones de diálogo. "Recuerda completar ambas opciones de diálogo".
De lo contrario, perderás objetos en el futuro.
* Puedes usar este código (solo para abrir la tienda; puede causar errores, úsalo con precaución):
En un día soleado, busca un espacio abierto en el Bosque de las Ruinas, presiona F12 -&gt; Segunda pestaña (Consola).
Introduce el script:
QJ.SE.spawnRegionNum(1,94,[118],1,true)
Luego presiona ENTER para abrir la tienda.</v>
      </c>
      <c r="U38" s="161" t="str">
        <f>IFERROR(__xludf.DUMMYFUNCTION("GOOGLETRANSLATE(A38,""zh-tw"",""en"")"),"R35")</f>
        <v>R35</v>
      </c>
      <c r="V38" s="138" t="str">
        <f>IFERROR(__xludf.DUMMYFUNCTION("GOOGLETRANSLATE(B38,""zh-tw"",""KO"")"),"미스터리 샵")</f>
        <v>미스터리 샵</v>
      </c>
      <c r="W38" s="103" t="str">
        <f>IFERROR(__xludf.DUMMYFUNCTION("GOOGLETRANSLATE(C38,""zh-tw"",""KO"")"),"화창한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8" s="71" t="str">
        <f>IFERROR(__xludf.DUMMYFUNCTION("GOOGLETRANSLATE(D38,""zh-tw"",""KO"")"),"상점을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
그런 다음 Enter 키를 눌러 소환합니다.</v>
      </c>
      <c r="Y38" s="161" t="str">
        <f>IFERROR(__xludf.DUMMYFUNCTION("GOOGLETRANSLATE(E38,""zh-tw"",""en"")"),"R35")</f>
        <v>R35</v>
      </c>
      <c r="Z38" s="118" t="str">
        <f>IFERROR(__xludf.DUMMYFUNCTION("GOOGLETRANSLATE(B38,""zh-tw"",""ru"")"),"Тайный магазин")</f>
        <v>Тайный магазин</v>
      </c>
      <c r="AA38" s="162" t="str">
        <f>IFERROR(__xludf.DUMMYFUNCTION("GOOGLETRANSLATE(C38,""zh-tw"",""RU"")"),"В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8" s="64" t="str">
        <f>IFERROR(__xludf.DUMMYFUNCTION("GOOGLETRANSLATE(D38,""zh-tw"",""RU"")"),"При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8" s="161" t="str">
        <f>IFERROR(__xludf.DUMMYFUNCTION("GOOGLETRANSLATE(I38,""zh-tw"",""en"")"),"R35")</f>
        <v>R35</v>
      </c>
      <c r="AD38" s="118" t="s">
        <v>3033</v>
      </c>
      <c r="AE38" s="164" t="s">
        <v>3034</v>
      </c>
      <c r="AF38" s="119" t="s">
        <v>3035</v>
      </c>
      <c r="AG38" s="98" t="s">
        <v>3020</v>
      </c>
      <c r="AH38" s="106" t="s">
        <v>3036</v>
      </c>
      <c r="AI38" s="165" t="s">
        <v>3037</v>
      </c>
      <c r="AJ38" s="67" t="s">
        <v>3038</v>
      </c>
      <c r="AK38" s="137" t="s">
        <v>3020</v>
      </c>
      <c r="AL38" s="138" t="s">
        <v>3039</v>
      </c>
      <c r="AM38" s="123" t="s">
        <v>3040</v>
      </c>
      <c r="AN38" s="124" t="s">
        <v>3041</v>
      </c>
      <c r="AO38" s="124"/>
    </row>
    <row r="39">
      <c r="A39" s="121" t="s">
        <v>3042</v>
      </c>
      <c r="B39" s="118" t="s">
        <v>3043</v>
      </c>
      <c r="C39" s="109" t="s">
        <v>3044</v>
      </c>
      <c r="D39" s="69" t="s">
        <v>3045</v>
      </c>
      <c r="E39" s="121" t="str">
        <f>IFERROR(__xludf.DUMMYFUNCTION("GOOGLETRANSLATE(A39,""zh-tw"",""ja"")"),"R36")</f>
        <v>R36</v>
      </c>
      <c r="F39" s="118" t="s">
        <v>3046</v>
      </c>
      <c r="G39" s="135" t="s">
        <v>3047</v>
      </c>
      <c r="H39" s="69" t="s">
        <v>3048</v>
      </c>
      <c r="I39" s="121" t="str">
        <f>IFERROR(__xludf.DUMMYFUNCTION("GOOGLETRANSLATE(A39,""zh-tw"",""en"")"),"R36")</f>
        <v>R36</v>
      </c>
      <c r="J39" s="118" t="s">
        <v>3049</v>
      </c>
      <c r="K39" s="109" t="s">
        <v>3050</v>
      </c>
      <c r="L39" s="69" t="s">
        <v>3051</v>
      </c>
      <c r="M39" s="137" t="str">
        <f>IFERROR(__xludf.DUMMYFUNCTION("GOOGLETRANSLATE(A39,""zh-tw"",""en"")"),"R36")</f>
        <v>R36</v>
      </c>
      <c r="N39" s="118" t="str">
        <f>IFERROR(__xludf.DUMMYFUNCTION("GOOGLETRANSLATE(B39,""zh-tw"",""zh"")"),"神秘商店-1")</f>
        <v>神秘商店-1</v>
      </c>
      <c r="O39" s="103" t="str">
        <f>IFERROR(__xludf.DUMMYFUNCTION("GOOGLETRANSLATE(C39,""zh-tw"",""zh"")"),"于神秘商店的扭蛋，花费5千元或指定道具")</f>
        <v>于神秘商店的扭蛋，花费5千元或指定道具</v>
      </c>
      <c r="P39" s="71" t="str">
        <f>IFERROR(__xludf.DUMMYFUNCTION("GOOGLETRANSLATE(D39,""zh-tw"",""zh"")"),"随机获得蓝色、绿色、粉色的金平糖
""商店主人的好感度越高，花费越低""")</f>
        <v>随机获得蓝色、绿色、粉色的金平糖
"商店主人的好感度越高，花费越低"</v>
      </c>
      <c r="Q39" s="137" t="str">
        <f>IFERROR(__xludf.DUMMYFUNCTION("GOOGLETRANSLATE(A39,""zh-tw"",""ja"")"),"R36")</f>
        <v>R36</v>
      </c>
      <c r="R39" s="118" t="s">
        <v>3052</v>
      </c>
      <c r="S39" s="109" t="s">
        <v>3053</v>
      </c>
      <c r="T39" s="71" t="str">
        <f>IFERROR(__xludf.DUMMYFUNCTION("GOOGLETRANSLATE(D39,""zh-tw"",""es-MX"")"),"Consigue al azar konpeito (dulce japonés) azul, verde o rosa.
""Cuanto mejor sea tu relación con el vendedor, menor será el precio.""")</f>
        <v>Consigue al azar konpeito (dulce japonés) azul, verde o rosa.
"Cuanto mejor sea tu relación con el vendedor, menor será el precio."</v>
      </c>
      <c r="U39" s="161" t="str">
        <f>IFERROR(__xludf.DUMMYFUNCTION("GOOGLETRANSLATE(A39,""zh-tw"",""en"")"),"R36")</f>
        <v>R36</v>
      </c>
      <c r="V39" s="138" t="str">
        <f>IFERROR(__xludf.DUMMYFUNCTION("GOOGLETRANSLATE(B39,""zh-tw"",""KO"")"),"미스터리 샵 - 1")</f>
        <v>미스터리 샵 - 1</v>
      </c>
      <c r="W39" s="103" t="str">
        <f>IFERROR(__xludf.DUMMYFUNCTION("GOOGLETRANSLATE(C39,""zh-tw"",""KO"")"),"미스터리 숍의 가챠 시스템에서는 5,000엔을 쓰거나 특정 아이템을 사용할 수 있습니다.")</f>
        <v>미스터리 숍의 가챠 시스템에서는 5,000엔을 쓰거나 특정 아이템을 사용할 수 있습니다.</v>
      </c>
      <c r="X39" s="71" t="str">
        <f>IFERROR(__xludf.DUMMYFUNCTION("GOOGLETRANSLATE(D39,""zh-tw"",""KO"")"),"파란색,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39" s="161" t="str">
        <f>IFERROR(__xludf.DUMMYFUNCTION("GOOGLETRANSLATE(E39,""zh-tw"",""en"")"),"R36")</f>
        <v>R36</v>
      </c>
      <c r="Z39" s="118" t="str">
        <f>IFERROR(__xludf.DUMMYFUNCTION("GOOGLETRANSLATE(B39,""zh-tw"",""ru"")"),"Тайный магазин - 1")</f>
        <v>Тайный магазин - 1</v>
      </c>
      <c r="AA39" s="162" t="str">
        <f>IFERROR(__xludf.DUMMYFUNCTION("GOOGLETRANSLATE(C39,""zh-tw"",""RU"")"),"В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39" s="64" t="str">
        <f>IFERROR(__xludf.DUMMYFUNCTION("GOOGLETRANSLATE(D39,""zh-tw"",""RU"")"),"Случайным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39" s="161" t="str">
        <f>IFERROR(__xludf.DUMMYFUNCTION("GOOGLETRANSLATE(I39,""zh-tw"",""en"")"),"R36")</f>
        <v>R36</v>
      </c>
      <c r="AD39" s="118" t="s">
        <v>3054</v>
      </c>
      <c r="AE39" s="164" t="s">
        <v>3055</v>
      </c>
      <c r="AF39" s="119" t="s">
        <v>3056</v>
      </c>
      <c r="AG39" s="98" t="s">
        <v>3042</v>
      </c>
      <c r="AH39" s="106" t="s">
        <v>3057</v>
      </c>
      <c r="AI39" s="165" t="s">
        <v>3058</v>
      </c>
      <c r="AJ39" s="67" t="s">
        <v>3059</v>
      </c>
      <c r="AK39" s="137" t="s">
        <v>3042</v>
      </c>
      <c r="AL39" s="138" t="s">
        <v>3060</v>
      </c>
      <c r="AM39" s="123" t="s">
        <v>3061</v>
      </c>
      <c r="AN39" s="124" t="s">
        <v>3062</v>
      </c>
      <c r="AO39" s="124"/>
    </row>
    <row r="40">
      <c r="A40" s="121" t="s">
        <v>3063</v>
      </c>
      <c r="B40" s="118" t="s">
        <v>3064</v>
      </c>
      <c r="C40" s="109" t="s">
        <v>3065</v>
      </c>
      <c r="D40" s="69" t="s">
        <v>3066</v>
      </c>
      <c r="E40" s="121" t="str">
        <f>IFERROR(__xludf.DUMMYFUNCTION("GOOGLETRANSLATE(A40,""zh-tw"",""ja"")"),"R37")</f>
        <v>R37</v>
      </c>
      <c r="F40" s="118" t="s">
        <v>3067</v>
      </c>
      <c r="G40" s="135" t="str">
        <f>IFERROR(__xludf.DUMMYFUNCTION("GOOGLETRANSLATE(C40,""zh-tw"",""ja"")"),"不思議なお店の店主と話して「鮭」をあげましょう。")</f>
        <v>不思議なお店の店主と話して「鮭」をあげましょう。</v>
      </c>
      <c r="H40" s="69" t="str">
        <f>IFERROR(__xludf.DUMMYFUNCTION("GOOGLETRANSLATE(D40,""zh-tw"",""ja"")"),"キャンディマシンの価格が50ドル値下げされました
*キャンディマシンの最低価格は500ドルです")</f>
        <v>キャンディマシンの価格が50ドル値下げされました
*キャンディマシンの最低価格は500ドルです</v>
      </c>
      <c r="I40" s="121" t="str">
        <f>IFERROR(__xludf.DUMMYFUNCTION("GOOGLETRANSLATE(A40,""zh-tw"",""en"")"),"R37")</f>
        <v>R37</v>
      </c>
      <c r="J40" s="118" t="s">
        <v>3068</v>
      </c>
      <c r="K40" s="109" t="s">
        <v>3069</v>
      </c>
      <c r="L40" s="69" t="s">
        <v>3070</v>
      </c>
      <c r="M40" s="137" t="str">
        <f>IFERROR(__xludf.DUMMYFUNCTION("GOOGLETRANSLATE(A40,""zh-tw"",""en"")"),"R37")</f>
        <v>R37</v>
      </c>
      <c r="N40" s="118" t="str">
        <f>IFERROR(__xludf.DUMMYFUNCTION("GOOGLETRANSLATE(B40,""zh-tw"",""zh"")"),"神秘商店-2")</f>
        <v>神秘商店-2</v>
      </c>
      <c r="O40" s="103" t="str">
        <f>IFERROR(__xludf.DUMMYFUNCTION("GOOGLETRANSLATE(C40,""zh-tw"",""zh"")"),"于神秘商店的店长对话，并给予""鲑鱼""。")</f>
        <v>于神秘商店的店长对话，并给予"鲑鱼"。</v>
      </c>
      <c r="P40" s="71" t="str">
        <f>IFERROR(__xludf.DUMMYFUNCTION("GOOGLETRANSLATE(D40,""zh-tw"",""zh"")"),"糖果机降价$50
*糖果机最低价格为$500")</f>
        <v>糖果机降价$50
*糖果机最低价格为$500</v>
      </c>
      <c r="Q40" s="137" t="str">
        <f>IFERROR(__xludf.DUMMYFUNCTION("GOOGLETRANSLATE(A40,""zh-tw"",""ja"")"),"R37")</f>
        <v>R37</v>
      </c>
      <c r="R40" s="118" t="s">
        <v>3071</v>
      </c>
      <c r="S40" s="103" t="str">
        <f>IFERROR(__xludf.DUMMYFUNCTION("GOOGLETRANSLATE(C40,""zh-tw"",""es-MX"")"),"Habla con el comerciante de la Tienda Misteriosa y dale un ""Salmón"".")</f>
        <v>Habla con el comerciante de la Tienda Misteriosa y dale un "Salmón".</v>
      </c>
      <c r="T40" s="71" t="str">
        <f>IFERROR(__xludf.DUMMYFUNCTION("GOOGLETRANSLATE(D40,""zh-tw"",""es-MX"")"),"Precio de la máquina de dulces reducido en $50
*El precio mínimo de la máquina de dulces es de $500")</f>
        <v>Precio de la máquina de dulces reducido en $50
*El precio mínimo de la máquina de dulces es de $500</v>
      </c>
      <c r="U40" s="161" t="str">
        <f>IFERROR(__xludf.DUMMYFUNCTION("GOOGLETRANSLATE(A40,""zh-tw"",""en"")"),"R37")</f>
        <v>R37</v>
      </c>
      <c r="V40" s="138" t="str">
        <f>IFERROR(__xludf.DUMMYFUNCTION("GOOGLETRANSLATE(B40,""zh-tw"",""KO"")"),"미스터리 샵 - 2")</f>
        <v>미스터리 샵 - 2</v>
      </c>
      <c r="W40" s="103" t="str">
        <f>IFERROR(__xludf.DUMMYFUNCTION("GOOGLETRANSLATE(C40,""zh-tw"",""KO"")"),"신비한 상점의 주인과 대화하여 ""연어""를 주세요.")</f>
        <v>신비한 상점의 주인과 대화하여 "연어"를 주세요.</v>
      </c>
      <c r="X40" s="71" t="str">
        <f>IFERROR(__xludf.DUMMYFUNCTION("GOOGLETRANSLATE(D40,""zh-tw"",""KO"")"),"사탕 기계 가격 $50 인하
*사탕 기계 최저가는 $500입니다.")</f>
        <v>사탕 기계 가격 $50 인하
*사탕 기계 최저가는 $500입니다.</v>
      </c>
      <c r="Y40" s="161" t="str">
        <f>IFERROR(__xludf.DUMMYFUNCTION("GOOGLETRANSLATE(E40,""zh-tw"",""en"")"),"R37")</f>
        <v>R37</v>
      </c>
      <c r="Z40" s="118" t="str">
        <f>IFERROR(__xludf.DUMMYFUNCTION("GOOGLETRANSLATE(B40,""zh-tw"",""ru"")"),"Тайный магазин - 2")</f>
        <v>Тайный магазин - 2</v>
      </c>
      <c r="AA40" s="162" t="str">
        <f>IFERROR(__xludf.DUMMYFUNCTION("GOOGLETRANSLATE(C40,""zh-tw"",""RU"")"),"Поговорите с продавцом Таинственной Лавки и отдайте ему «Лосось».")</f>
        <v>Поговорите с продавцом Таинственной Лавки и отдайте ему «Лосось».</v>
      </c>
      <c r="AB40" s="64" t="str">
        <f>IFERROR(__xludf.DUMMYFUNCTION("GOOGLETRANSLATE(D40,""zh-tw"",""RU"")"),"Цена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0" s="161" t="str">
        <f>IFERROR(__xludf.DUMMYFUNCTION("GOOGLETRANSLATE(I40,""zh-tw"",""en"")"),"R37")</f>
        <v>R37</v>
      </c>
      <c r="AD40" s="118" t="s">
        <v>3072</v>
      </c>
      <c r="AE40" s="164" t="s">
        <v>3073</v>
      </c>
      <c r="AF40" s="119" t="s">
        <v>3074</v>
      </c>
      <c r="AG40" s="98" t="s">
        <v>3063</v>
      </c>
      <c r="AH40" s="106" t="s">
        <v>3075</v>
      </c>
      <c r="AI40" s="165" t="s">
        <v>3076</v>
      </c>
      <c r="AJ40" s="66" t="s">
        <v>3077</v>
      </c>
      <c r="AK40" s="137" t="s">
        <v>3063</v>
      </c>
      <c r="AL40" s="138" t="s">
        <v>3078</v>
      </c>
      <c r="AM40" s="123" t="s">
        <v>3079</v>
      </c>
      <c r="AN40" s="124" t="s">
        <v>3080</v>
      </c>
      <c r="AO40" s="124"/>
    </row>
    <row r="41">
      <c r="A41" s="121" t="s">
        <v>3081</v>
      </c>
      <c r="B41" s="118" t="s">
        <v>3082</v>
      </c>
      <c r="C41" s="109" t="s">
        <v>3083</v>
      </c>
      <c r="D41" s="69" t="s">
        <v>3084</v>
      </c>
      <c r="E41" s="121" t="str">
        <f>IFERROR(__xludf.DUMMYFUNCTION("GOOGLETRANSLATE(A41,""zh-tw"",""ja"")"),"R38")</f>
        <v>R38</v>
      </c>
      <c r="F41" s="118" t="s">
        <v>3085</v>
      </c>
      <c r="G41" s="135" t="str">
        <f>IFERROR(__xludf.DUMMYFUNCTION("GOOGLETRANSLATE(C41,""zh-tw"",""ja"")"),"不思議なお店の店主と話して「キングサーモン」を渡す。")</f>
        <v>不思議なお店の店主と話して「キングサーモン」を渡す。</v>
      </c>
      <c r="H41" s="69" t="str">
        <f>IFERROR(__xludf.DUMMYFUNCTION("GOOGLETRANSLATE(D41,""zh-tw"",""ja"")"),"キャンディマシンの価格が500ドル値下げされました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1" s="121" t="str">
        <f>IFERROR(__xludf.DUMMYFUNCTION("GOOGLETRANSLATE(A41,""zh-tw"",""en"")"),"R38")</f>
        <v>R38</v>
      </c>
      <c r="J41" s="118" t="s">
        <v>3086</v>
      </c>
      <c r="K41" s="109" t="s">
        <v>3087</v>
      </c>
      <c r="L41" s="69" t="s">
        <v>3088</v>
      </c>
      <c r="M41" s="137" t="str">
        <f>IFERROR(__xludf.DUMMYFUNCTION("GOOGLETRANSLATE(A41,""zh-tw"",""en"")"),"R38")</f>
        <v>R38</v>
      </c>
      <c r="N41" s="118" t="str">
        <f>IFERROR(__xludf.DUMMYFUNCTION("GOOGLETRANSLATE(B41,""zh-tw"",""zh"")"),"神秘商店-3")</f>
        <v>神秘商店-3</v>
      </c>
      <c r="O41" s="103" t="str">
        <f>IFERROR(__xludf.DUMMYFUNCTION("GOOGLETRANSLATE(C41,""zh-tw"",""zh"")"),"于神秘商店的店长对话，并给予""帝王鲑""。")</f>
        <v>于神秘商店的店长对话，并给予"帝王鲑"。</v>
      </c>
      <c r="P41" s="71" t="str">
        <f>IFERROR(__xludf.DUMMYFUNCTION("GOOGLETRANSLATE(D41,""zh-tw"",""zh"")"),"糖果机降价$500
获得道具:寿司布丁
*糖果机最低价格为$500")</f>
        <v>糖果机降价$500
获得道具:寿司布丁
*糖果机最低价格为$500</v>
      </c>
      <c r="Q41" s="137" t="str">
        <f>IFERROR(__xludf.DUMMYFUNCTION("GOOGLETRANSLATE(A41,""zh-tw"",""ja"")"),"R38")</f>
        <v>R38</v>
      </c>
      <c r="R41" s="118" t="s">
        <v>3089</v>
      </c>
      <c r="S41" s="103" t="str">
        <f>IFERROR(__xludf.DUMMYFUNCTION("GOOGLETRANSLATE(C41,""zh-tw"",""es-MX"")"),"Habla con el comerciante de la Tienda Misteriosa y dale ""Rey Salmón"".")</f>
        <v>Habla con el comerciante de la Tienda Misteriosa y dale "Rey Salmón".</v>
      </c>
      <c r="T41" s="71" t="str">
        <f>IFERROR(__xludf.DUMMYFUNCTION("GOOGLETRANSLATE(D41,""zh-tw"",""es-MX"")"),"Precio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41" s="161" t="str">
        <f>IFERROR(__xludf.DUMMYFUNCTION("GOOGLETRANSLATE(A41,""zh-tw"",""en"")"),"R38")</f>
        <v>R38</v>
      </c>
      <c r="V41" s="138" t="str">
        <f>IFERROR(__xludf.DUMMYFUNCTION("GOOGLETRANSLATE(B41,""zh-tw"",""KO"")"),"미스터리 샵 - 3")</f>
        <v>미스터리 샵 - 3</v>
      </c>
      <c r="W41" s="103" t="str">
        <f>IFERROR(__xludf.DUMMYFUNCTION("GOOGLETRANSLATE(C41,""zh-tw"",""KO"")"),"신비한 상점의 주인과 대화하여 ""킹 연어""를 주세요.")</f>
        <v>신비한 상점의 주인과 대화하여 "킹 연어"를 주세요.</v>
      </c>
      <c r="X41" s="71" t="str">
        <f>IFERROR(__xludf.DUMMYFUNCTION("GOOGLETRANSLATE(D41,""zh-tw"",""KO"")"),"캔디 머신 가격 500달러 인하
수령 품목: 스시 푸딩
*캔디 머신 최저가는 500달러입니다.")</f>
        <v>캔디 머신 가격 500달러 인하
수령 품목: 스시 푸딩
*캔디 머신 최저가는 500달러입니다.</v>
      </c>
      <c r="Y41" s="161" t="str">
        <f>IFERROR(__xludf.DUMMYFUNCTION("GOOGLETRANSLATE(E41,""zh-tw"",""en"")"),"R38")</f>
        <v>R38</v>
      </c>
      <c r="Z41" s="118" t="str">
        <f>IFERROR(__xludf.DUMMYFUNCTION("GOOGLETRANSLATE(B41,""zh-tw"",""ru"")"),"Тайный магазин - 3")</f>
        <v>Тайный магазин - 3</v>
      </c>
      <c r="AA41" s="162" t="str">
        <f>IFERROR(__xludf.DUMMYFUNCTION("GOOGLETRANSLATE(C41,""zh-tw"",""RU"")"),"Поговорите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1" s="64" t="str">
        <f>IFERROR(__xludf.DUMMYFUNCTION("GOOGLETRANSLATE(D41,""zh-tw"",""RU"")"),"Цена в кондитерской машине снижена на 500 долларов.
Получить товар: Суши-пудинг.
*Минимальная цена в кондитерской машине — 500 долларов.")</f>
        <v>Цена в кондитерской машине снижена на 500 долларов.
Получить товар: Суши-пудинг.
*Минимальная цена в кондитерской машине — 500 долларов.</v>
      </c>
      <c r="AC41" s="161" t="str">
        <f>IFERROR(__xludf.DUMMYFUNCTION("GOOGLETRANSLATE(I41,""zh-tw"",""en"")"),"R38")</f>
        <v>R38</v>
      </c>
      <c r="AD41" s="118" t="s">
        <v>3090</v>
      </c>
      <c r="AE41" s="164" t="s">
        <v>3091</v>
      </c>
      <c r="AF41" s="119" t="s">
        <v>3092</v>
      </c>
      <c r="AG41" s="98" t="s">
        <v>3081</v>
      </c>
      <c r="AH41" s="106" t="s">
        <v>3093</v>
      </c>
      <c r="AI41" s="165" t="s">
        <v>3094</v>
      </c>
      <c r="AJ41" s="67" t="s">
        <v>3095</v>
      </c>
      <c r="AK41" s="137" t="s">
        <v>3081</v>
      </c>
      <c r="AL41" s="138" t="s">
        <v>3096</v>
      </c>
      <c r="AM41" s="123" t="s">
        <v>3097</v>
      </c>
      <c r="AN41" s="124" t="s">
        <v>3098</v>
      </c>
      <c r="AO41" s="124"/>
    </row>
    <row r="42">
      <c r="A42" s="121" t="s">
        <v>3099</v>
      </c>
      <c r="B42" s="118" t="s">
        <v>3100</v>
      </c>
      <c r="C42" s="109" t="s">
        <v>3101</v>
      </c>
      <c r="D42" s="69" t="s">
        <v>3102</v>
      </c>
      <c r="E42" s="121" t="str">
        <f>IFERROR(__xludf.DUMMYFUNCTION("GOOGLETRANSLATE(A42,""zh-tw"",""ja"")"),"R39")</f>
        <v>R39</v>
      </c>
      <c r="F42" s="118" t="s">
        <v>3103</v>
      </c>
      <c r="G42" s="135" t="s">
        <v>3104</v>
      </c>
      <c r="H42" s="69" t="s">
        <v>3105</v>
      </c>
      <c r="I42" s="121" t="str">
        <f>IFERROR(__xludf.DUMMYFUNCTION("GOOGLETRANSLATE(A42,""zh-tw"",""en"")"),"R39")</f>
        <v>R39</v>
      </c>
      <c r="J42" s="118" t="s">
        <v>3106</v>
      </c>
      <c r="K42" s="109" t="s">
        <v>3107</v>
      </c>
      <c r="L42" s="69" t="s">
        <v>3108</v>
      </c>
      <c r="M42" s="137" t="str">
        <f>IFERROR(__xludf.DUMMYFUNCTION("GOOGLETRANSLATE(A42,""zh-tw"",""en"")"),"R39")</f>
        <v>R39</v>
      </c>
      <c r="N42" s="118" t="str">
        <f>IFERROR(__xludf.DUMMYFUNCTION("GOOGLETRANSLATE(B42,""zh-tw"",""zh"")"),"神秘商店-4")</f>
        <v>神秘商店-4</v>
      </c>
      <c r="O42" s="103" t="str">
        <f>IFERROR(__xludf.DUMMYFUNCTION("GOOGLETRANSLATE(C42,""zh-tw"",""zh"")"),"于神秘商店店长对话，并""不给予""鲑鱼。")</f>
        <v>于神秘商店店长对话，并"不给予"鲑鱼。</v>
      </c>
      <c r="P42" s="69" t="s">
        <v>3109</v>
      </c>
      <c r="Q42" s="137" t="str">
        <f>IFERROR(__xludf.DUMMYFUNCTION("GOOGLETRANSLATE(A42,""zh-tw"",""ja"")"),"R39")</f>
        <v>R39</v>
      </c>
      <c r="R42" s="118" t="s">
        <v>3110</v>
      </c>
      <c r="S42" s="103" t="str">
        <f>IFERROR(__xludf.DUMMYFUNCTION("GOOGLETRANSLATE(C42,""zh-tw"",""es-MX"")"),"Habla con el comerciante de la Tienda Misteriosa y ""no le des"" el salmón.")</f>
        <v>Habla con el comerciante de la Tienda Misteriosa y "no le des" el salmón.</v>
      </c>
      <c r="T42" s="71" t="str">
        <f>IFERROR(__xludf.DUMMYFUNCTION("GOOGLETRANSLATE(D42,""zh-tw"",""es-MX"")"),"Estado: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2" s="161" t="str">
        <f>IFERROR(__xludf.DUMMYFUNCTION("GOOGLETRANSLATE(A42,""zh-tw"",""en"")"),"R39")</f>
        <v>R39</v>
      </c>
      <c r="V42" s="138" t="str">
        <f>IFERROR(__xludf.DUMMYFUNCTION("GOOGLETRANSLATE(B42,""zh-tw"",""KO"")"),"미스터리 샵 - 4")</f>
        <v>미스터리 샵 - 4</v>
      </c>
      <c r="W42" s="103" t="str">
        <f>IFERROR(__xludf.DUMMYFUNCTION("GOOGLETRANSLATE(C42,""zh-tw"",""KO"")"),"신비한 상점 주인과 이야기를 나누고 연어를 ""주지 마세요"".")</f>
        <v>신비한 상점 주인과 이야기를 나누고 연어를 "주지 마세요".</v>
      </c>
      <c r="X42" s="71" t="str">
        <f>IFERROR(__xludf.DUMMYFUNCTION("GOOGLETRANSLATE(D42,""zh-tw"",""KO"")"),"상태: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2" s="161" t="str">
        <f>IFERROR(__xludf.DUMMYFUNCTION("GOOGLETRANSLATE(E42,""zh-tw"",""en"")"),"R39")</f>
        <v>R39</v>
      </c>
      <c r="Z42" s="118" t="str">
        <f>IFERROR(__xludf.DUMMYFUNCTION("GOOGLETRANSLATE(B42,""zh-tw"",""ru"")"),"Тайный магазин - 4")</f>
        <v>Тайный магазин - 4</v>
      </c>
      <c r="AA42" s="162" t="str">
        <f>IFERROR(__xludf.DUMMYFUNCTION("GOOGLETRANSLATE(C42,""zh-tw"",""RU"")"),"Поговорите с продавцом Таинственной Лавки и «не отдавайте» лосося.")</f>
        <v>Поговорите с продавцом Таинственной Лавки и «не отдавайте» лосося.</v>
      </c>
      <c r="AB42" s="64" t="str">
        <f>IFERROR(__xludf.DUMMYFUNCTION("GOOGLETRANSLATE(D42,""zh-tw"",""RU"")"),"Статус: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2" s="161" t="str">
        <f>IFERROR(__xludf.DUMMYFUNCTION("GOOGLETRANSLATE(I42,""zh-tw"",""en"")"),"R39")</f>
        <v>R39</v>
      </c>
      <c r="AD42" s="118" t="s">
        <v>3111</v>
      </c>
      <c r="AE42" s="164" t="s">
        <v>3112</v>
      </c>
      <c r="AF42" s="119" t="s">
        <v>3113</v>
      </c>
      <c r="AG42" s="98" t="s">
        <v>3099</v>
      </c>
      <c r="AH42" s="106" t="s">
        <v>3114</v>
      </c>
      <c r="AI42" s="165" t="s">
        <v>3115</v>
      </c>
      <c r="AJ42" s="67" t="s">
        <v>3116</v>
      </c>
      <c r="AK42" s="137" t="s">
        <v>3099</v>
      </c>
      <c r="AL42" s="138" t="s">
        <v>3117</v>
      </c>
      <c r="AM42" s="123" t="s">
        <v>3107</v>
      </c>
      <c r="AN42" s="124" t="s">
        <v>3108</v>
      </c>
      <c r="AO42" s="124"/>
    </row>
    <row r="43">
      <c r="A43" s="121" t="s">
        <v>3118</v>
      </c>
      <c r="B43" s="118" t="s">
        <v>3119</v>
      </c>
      <c r="C43" s="109" t="s">
        <v>3120</v>
      </c>
      <c r="D43" s="69" t="s">
        <v>3121</v>
      </c>
      <c r="E43" s="121" t="str">
        <f>IFERROR(__xludf.DUMMYFUNCTION("GOOGLETRANSLATE(A43,""zh-tw"",""ja"")"),"R40")</f>
        <v>R40</v>
      </c>
      <c r="F43" s="118" t="s">
        <v>3122</v>
      </c>
      <c r="G43" s="135" t="s">
        <v>3123</v>
      </c>
      <c r="H43" s="69" t="s">
        <v>3124</v>
      </c>
      <c r="I43" s="121" t="str">
        <f>IFERROR(__xludf.DUMMYFUNCTION("GOOGLETRANSLATE(A43,""zh-tw"",""en"")"),"R40")</f>
        <v>R40</v>
      </c>
      <c r="J43" s="118" t="s">
        <v>3125</v>
      </c>
      <c r="K43" s="109" t="s">
        <v>3126</v>
      </c>
      <c r="L43" s="69" t="s">
        <v>3127</v>
      </c>
      <c r="M43" s="137" t="str">
        <f>IFERROR(__xludf.DUMMYFUNCTION("GOOGLETRANSLATE(A43,""zh-tw"",""en"")"),"R40")</f>
        <v>R40</v>
      </c>
      <c r="N43" s="118" t="str">
        <f>IFERROR(__xludf.DUMMYFUNCTION("GOOGLETRANSLATE(B43,""zh-tw"",""zh"")"),"神秘商店-5")</f>
        <v>神秘商店-5</v>
      </c>
      <c r="O43" s="103" t="str">
        <f>IFERROR(__xludf.DUMMYFUNCTION("GOOGLETRANSLATE(C43,""zh-tw"",""zh"")"),"接续上一项目，给予帝王鲑，可以解除该诅咒状态")</f>
        <v>接续上一项目，给予帝王鲑，可以解除该诅咒状态</v>
      </c>
      <c r="P43" s="71" t="str">
        <f>IFERROR(__xludf.DUMMYFUNCTION("GOOGLETRANSLATE(D43,""zh-tw"",""zh"")"),"解除诅咒")</f>
        <v>解除诅咒</v>
      </c>
      <c r="Q43" s="137" t="str">
        <f>IFERROR(__xludf.DUMMYFUNCTION("GOOGLETRANSLATE(A43,""zh-tw"",""ja"")"),"R40")</f>
        <v>R40</v>
      </c>
      <c r="R43" s="118" t="s">
        <v>3128</v>
      </c>
      <c r="S43" s="103" t="str">
        <f>IFERROR(__xludf.DUMMYFUNCTION("GOOGLETRANSLATE(C43,""zh-tw"",""es-MX"")"),"Siguiendo con el punto anterior, dárselo a un salmón real puede eliminar la maldición.")</f>
        <v>Siguiendo con el punto anterior, dárselo a un salmón real puede eliminar la maldición.</v>
      </c>
      <c r="T43" s="71" t="str">
        <f>IFERROR(__xludf.DUMMYFUNCTION("GOOGLETRANSLATE(D43,""zh-tw"",""es-MX"")"),"Quitar la maldición")</f>
        <v>Quitar la maldición</v>
      </c>
      <c r="U43" s="161" t="str">
        <f>IFERROR(__xludf.DUMMYFUNCTION("GOOGLETRANSLATE(A43,""zh-tw"",""en"")"),"R40")</f>
        <v>R40</v>
      </c>
      <c r="V43" s="138" t="str">
        <f>IFERROR(__xludf.DUMMYFUNCTION("GOOGLETRANSLATE(B43,""zh-tw"",""KO"")"),"미스터리 샵 - 5")</f>
        <v>미스터리 샵 - 5</v>
      </c>
      <c r="W43" s="103" t="str">
        <f>IFERROR(__xludf.DUMMYFUNCTION("GOOGLETRANSLATE(C43,""zh-tw"",""KO"")"),"이전 항목에 이어서, 이것을 왕연어에게 주면 저주가 풀릴 수 있습니다.")</f>
        <v>이전 항목에 이어서, 이것을 왕연어에게 주면 저주가 풀릴 수 있습니다.</v>
      </c>
      <c r="X43" s="71" t="str">
        <f>IFERROR(__xludf.DUMMYFUNCTION("GOOGLETRANSLATE(D43,""zh-tw"",""KO"")"),"저주를 제거하다")</f>
        <v>저주를 제거하다</v>
      </c>
      <c r="Y43" s="161" t="str">
        <f>IFERROR(__xludf.DUMMYFUNCTION("GOOGLETRANSLATE(E43,""zh-tw"",""en"")"),"R40")</f>
        <v>R40</v>
      </c>
      <c r="Z43" s="118" t="str">
        <f>IFERROR(__xludf.DUMMYFUNCTION("GOOGLETRANSLATE(B43,""zh-tw"",""ru"")"),"Тайный магазин - 5")</f>
        <v>Тайный магазин - 5</v>
      </c>
      <c r="AA43" s="162" t="str">
        <f>IFERROR(__xludf.DUMMYFUNCTION("GOOGLETRANSLATE(C43,""zh-tw"",""RU"")"),"Продолжая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3" s="64" t="str">
        <f>IFERROR(__xludf.DUMMYFUNCTION("GOOGLETRANSLATE(D43,""zh-tw"",""RU"")"),"Снять проклятие")</f>
        <v>Снять проклятие</v>
      </c>
      <c r="AC43" s="161" t="str">
        <f>IFERROR(__xludf.DUMMYFUNCTION("GOOGLETRANSLATE(I43,""zh-tw"",""en"")"),"R40")</f>
        <v>R40</v>
      </c>
      <c r="AD43" s="118" t="s">
        <v>3129</v>
      </c>
      <c r="AE43" s="164" t="s">
        <v>3130</v>
      </c>
      <c r="AF43" s="119" t="s">
        <v>3131</v>
      </c>
      <c r="AG43" s="98" t="s">
        <v>3118</v>
      </c>
      <c r="AH43" s="106" t="s">
        <v>3132</v>
      </c>
      <c r="AI43" s="165" t="s">
        <v>3133</v>
      </c>
      <c r="AJ43" s="67" t="s">
        <v>3134</v>
      </c>
      <c r="AK43" s="137" t="s">
        <v>3118</v>
      </c>
      <c r="AL43" s="138" t="s">
        <v>3135</v>
      </c>
      <c r="AM43" s="123" t="s">
        <v>3136</v>
      </c>
      <c r="AN43" s="124" t="s">
        <v>3137</v>
      </c>
      <c r="AO43" s="124"/>
    </row>
    <row r="44">
      <c r="A44" s="121" t="s">
        <v>3138</v>
      </c>
      <c r="B44" s="118" t="s">
        <v>3139</v>
      </c>
      <c r="C44" s="109" t="s">
        <v>3140</v>
      </c>
      <c r="D44" s="69" t="s">
        <v>3141</v>
      </c>
      <c r="E44" s="121" t="s">
        <v>3138</v>
      </c>
      <c r="F44" s="118" t="s">
        <v>3142</v>
      </c>
      <c r="G44" s="135" t="s">
        <v>3143</v>
      </c>
      <c r="H44" s="69" t="s">
        <v>3144</v>
      </c>
      <c r="I44" s="121" t="s">
        <v>3138</v>
      </c>
      <c r="J44" s="118" t="s">
        <v>3145</v>
      </c>
      <c r="K44" s="109" t="s">
        <v>3146</v>
      </c>
      <c r="L44" s="69" t="s">
        <v>3147</v>
      </c>
      <c r="M44" s="121" t="s">
        <v>3138</v>
      </c>
      <c r="N44" s="118" t="str">
        <f>IFERROR(__xludf.DUMMYFUNCTION("GOOGLETRANSLATE(B44,""zh-tw"",""zh"")"),"神秘商店-6")</f>
        <v>神秘商店-6</v>
      </c>
      <c r="O44" s="103" t="str">
        <f>IFERROR(__xludf.DUMMYFUNCTION("GOOGLETRANSLATE(C44,""zh-tw"",""zh"")"),"完成对话后，并且第二次遇到商店时，可能就会有水馒头的商品")</f>
        <v>完成对话后，并且第二次遇到商店时，可能就会有水馒头的商品</v>
      </c>
      <c r="P44" s="71" t="str">
        <f>IFERROR(__xludf.DUMMYFUNCTION("GOOGLETRANSLATE(D44,""zh-tw"",""zh"")"),"购买后获得道具""超敏软Q水馒头""")</f>
        <v>购买后获得道具"超敏软Q水馒头"</v>
      </c>
      <c r="Q44" s="121" t="s">
        <v>3138</v>
      </c>
      <c r="R44" s="138" t="str">
        <f>IFERROR(__xludf.DUMMYFUNCTION("GOOGLETRANSLATE(B44,""zh-tw"",""es-MX"")"),"Tienda Misteriosa - 6")</f>
        <v>Tienda Misteriosa - 6</v>
      </c>
      <c r="S44" s="103" t="str">
        <f>IFERROR(__xludf.DUMMYFUNCTION("GOOGLETRANSLATE(C44,""zh-tw"",""es-MX"")"),"Después de completar el diálogo y al encontrarte con la tienda por segunda vez, es posible que encuentres bollos de agua como artículo.")</f>
        <v>Después de completar el diálogo y al encontrarte con la tienda por segunda vez, es posible que encuentres bollos de agua como artículo.</v>
      </c>
      <c r="T44" s="71" t="str">
        <f>IFERROR(__xludf.DUMMYFUNCTION("GOOGLETRANSLATE(D44,""zh-tw"",""es-MX"")"),"Compra para recibir el artículo ""Bollo al vapor suave y masticable súper sensible"".")</f>
        <v>Compra para recibir el artículo "Bollo al vapor suave y masticable súper sensible".</v>
      </c>
      <c r="U44" s="173" t="s">
        <v>3138</v>
      </c>
      <c r="V44" s="138" t="str">
        <f>IFERROR(__xludf.DUMMYFUNCTION("GOOGLETRANSLATE(B44,""zh-tw"",""KO"")"),"미스터리 샵 - 6")</f>
        <v>미스터리 샵 - 6</v>
      </c>
      <c r="W44" s="103" t="str">
        <f>IFERROR(__xludf.DUMMYFUNCTION("GOOGLETRANSLATE(C44,""zh-tw"",""KO"")"),"대화를 완료하고 두 번째로 가게를 방문하면 물만두를 아이템으로 발견할 수도 있습니다.")</f>
        <v>대화를 완료하고 두 번째로 가게를 방문하면 물만두를 아이템으로 발견할 수도 있습니다.</v>
      </c>
      <c r="X44" s="71" t="str">
        <f>IFERROR(__xludf.DUMMYFUNCTION("GOOGLETRANSLATE(D44,""zh-tw"",""KO"")"),"구매하시면 ""매우 민감하고 부드럽고 쫄깃한 찐빵"" 상품을 받으실 수 있습니다.")</f>
        <v>구매하시면 "매우 민감하고 부드럽고 쫄깃한 찐빵" 상품을 받으실 수 있습니다.</v>
      </c>
      <c r="Y44" s="173" t="s">
        <v>3138</v>
      </c>
      <c r="Z44" s="118" t="str">
        <f>IFERROR(__xludf.DUMMYFUNCTION("GOOGLETRANSLATE(B44,""zh-tw"",""ru"")"),"Тайный магазин - 6")</f>
        <v>Тайный магазин - 6</v>
      </c>
      <c r="AA44" s="162" t="str">
        <f>IFERROR(__xludf.DUMMYFUNCTION("GOOGLETRANSLATE(C44,""zh-tw"",""RU"")"),"После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4" s="64" t="str">
        <f>IFERROR(__xludf.DUMMYFUNCTION("GOOGLETRANSLATE(D44,""zh-tw"",""RU"")"),"Совершите покупку, чтобы получить товар «Суперчувствительная мягкая и жевательная паровая булочка».")</f>
        <v>Совершите покупку, чтобы получить товар «Суперчувствительная мягкая и жевательная паровая булочка».</v>
      </c>
      <c r="AC44" s="173" t="s">
        <v>3138</v>
      </c>
      <c r="AD44" s="118" t="s">
        <v>3148</v>
      </c>
      <c r="AE44" s="164" t="s">
        <v>3149</v>
      </c>
      <c r="AF44" s="119" t="s">
        <v>3150</v>
      </c>
      <c r="AG44" s="98" t="s">
        <v>3138</v>
      </c>
      <c r="AH44" s="106" t="s">
        <v>3151</v>
      </c>
      <c r="AI44" s="165" t="s">
        <v>3152</v>
      </c>
      <c r="AJ44" s="67" t="s">
        <v>3153</v>
      </c>
      <c r="AK44" s="137" t="s">
        <v>3138</v>
      </c>
      <c r="AL44" s="138" t="s">
        <v>3154</v>
      </c>
      <c r="AM44" s="123" t="s">
        <v>3155</v>
      </c>
      <c r="AN44" s="124" t="s">
        <v>3156</v>
      </c>
      <c r="AO44" s="124"/>
    </row>
    <row r="45" ht="113.25" customHeight="1">
      <c r="A45" s="121" t="s">
        <v>3157</v>
      </c>
      <c r="B45" s="118" t="s">
        <v>3158</v>
      </c>
      <c r="C45" s="109" t="s">
        <v>3159</v>
      </c>
      <c r="D45" s="69" t="s">
        <v>3160</v>
      </c>
      <c r="E45" s="121" t="str">
        <f>IFERROR(__xludf.DUMMYFUNCTION("GOOGLETRANSLATE(A45,""zh-tw"",""ja"")"),"R42")</f>
        <v>R42</v>
      </c>
      <c r="F45" s="118" t="s">
        <v>3161</v>
      </c>
      <c r="G45" s="109" t="s">
        <v>3162</v>
      </c>
      <c r="H45" s="69" t="s">
        <v>3163</v>
      </c>
      <c r="I45" s="121" t="str">
        <f>IFERROR(__xludf.DUMMYFUNCTION("GOOGLETRANSLATE(A45,""zh-tw"",""en"")"),"R42")</f>
        <v>R42</v>
      </c>
      <c r="J45" s="118" t="s">
        <v>3164</v>
      </c>
      <c r="K45" s="109" t="s">
        <v>3165</v>
      </c>
      <c r="L45" s="69" t="s">
        <v>3166</v>
      </c>
      <c r="M45" s="137" t="str">
        <f>IFERROR(__xludf.DUMMYFUNCTION("GOOGLETRANSLATE(A45,""zh-tw"",""en"")"),"R42")</f>
        <v>R42</v>
      </c>
      <c r="N45" s="118" t="str">
        <f>IFERROR(__xludf.DUMMYFUNCTION("GOOGLETRANSLATE(B45,""zh-tw"",""zh"")"),"深渊BOSS")</f>
        <v>深渊BOSS</v>
      </c>
      <c r="O45" s="103" t="str">
        <f>IFERROR(__xludf.DUMMYFUNCTION("GOOGLETRANSLATE(C45,""zh-tw"",""zh"")"),"被遗忘的墓穴-2
攻略遗迹BOSS")</f>
        <v>被遗忘的墓穴-2
攻略遗迹BOSS</v>
      </c>
      <c r="P45" s="71" t="str">
        <f>IFERROR(__xludf.DUMMYFUNCTION("GOOGLETRANSLATE(D45,""zh-tw"",""zh"")"),"获得道具和装备
P.S.深渊BOSS每七天会重生，而且每次重生会更强，也可以使用""世界""塔罗牌")</f>
        <v>获得道具和装备
P.S.深渊BOSS每七天会重生，而且每次重生会更强，也可以使用"世界"塔罗牌</v>
      </c>
      <c r="Q45" s="137" t="str">
        <f>IFERROR(__xludf.DUMMYFUNCTION("GOOGLETRANSLATE(A45,""zh-tw"",""ja"")"),"R42")</f>
        <v>R42</v>
      </c>
      <c r="R45" s="138" t="str">
        <f>IFERROR(__xludf.DUMMYFUNCTION("GOOGLETRANSLATE(B45,""zh-tw"",""es-MX"")"),"JEFE del abismo")</f>
        <v>JEFE del abismo</v>
      </c>
      <c r="S45" s="109" t="s">
        <v>3167</v>
      </c>
      <c r="T45" s="71" t="str">
        <f>IFERROR(__xludf.DUMMYFUNCTION("GOOGLETRANSLATE(D45,""zh-tw"",""es-MX"")"),"Consigue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5" s="161" t="str">
        <f>IFERROR(__xludf.DUMMYFUNCTION("GOOGLETRANSLATE(A45,""zh-tw"",""en"")"),"R42")</f>
        <v>R42</v>
      </c>
      <c r="V45" s="138" t="str">
        <f>IFERROR(__xludf.DUMMYFUNCTION("GOOGLETRANSLATE(B45,""zh-tw"",""KO"")"),"어비스 보스")</f>
        <v>어비스 보스</v>
      </c>
      <c r="W45" s="103" t="str">
        <f>IFERROR(__xludf.DUMMYFUNCTION("GOOGLETRANSLATE(C45,""zh-tw"",""KO"")"),"잊혀진 무덤 - 2: 유적 보스를 물리치는 방법")</f>
        <v>잊혀진 무덤 - 2: 유적 보스를 물리치는 방법</v>
      </c>
      <c r="X45" s="71" t="str">
        <f>IFERROR(__xludf.DUMMYFUNCTION("GOOGLETRANSLATE(D45,""zh-tw"",""KO"")"),"아이템과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5" s="161" t="str">
        <f>IFERROR(__xludf.DUMMYFUNCTION("GOOGLETRANSLATE(E45,""zh-tw"",""en"")"),"R42")</f>
        <v>R42</v>
      </c>
      <c r="Z45" s="118" t="str">
        <f>IFERROR(__xludf.DUMMYFUNCTION("GOOGLETRANSLATE(B45,""zh-tw"",""ru"")"),"БОСС Бездны")</f>
        <v>БОСС Бездны</v>
      </c>
      <c r="AA45" s="162" t="str">
        <f>IFERROR(__xludf.DUMMYFUNCTION("GOOGLETRANSLATE(C45,""zh-tw"",""RU"")"),"Забытая Гробница - 2: Руководство по победе над Боссом Руин")</f>
        <v>Забытая Гробница - 2: Руководство по победе над Боссом Руин</v>
      </c>
      <c r="AB45" s="64" t="str">
        <f>IFERROR(__xludf.DUMMYFUNCTION("GOOGLETRANSLATE(D45,""zh-tw"",""RU"")"),"Получите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v>
      </c>
      <c r="AC45" s="161" t="str">
        <f>IFERROR(__xludf.DUMMYFUNCTION("GOOGLETRANSLATE(I45,""zh-tw"",""en"")"),"R42")</f>
        <v>R42</v>
      </c>
      <c r="AD45" s="118" t="s">
        <v>3168</v>
      </c>
      <c r="AE45" s="164" t="s">
        <v>3169</v>
      </c>
      <c r="AF45" s="119" t="s">
        <v>3170</v>
      </c>
      <c r="AG45" s="98" t="s">
        <v>3157</v>
      </c>
      <c r="AH45" s="106" t="s">
        <v>3171</v>
      </c>
      <c r="AI45" s="165" t="s">
        <v>3172</v>
      </c>
      <c r="AJ45" s="67" t="s">
        <v>3173</v>
      </c>
      <c r="AK45" s="137" t="s">
        <v>3157</v>
      </c>
      <c r="AL45" s="138" t="s">
        <v>3174</v>
      </c>
      <c r="AM45" s="123" t="s">
        <v>3175</v>
      </c>
      <c r="AN45" s="124" t="s">
        <v>3176</v>
      </c>
      <c r="AO45" s="124"/>
    </row>
    <row r="46">
      <c r="A46" s="121" t="s">
        <v>3177</v>
      </c>
      <c r="B46" s="118" t="s">
        <v>3178</v>
      </c>
      <c r="C46" s="109" t="s">
        <v>3179</v>
      </c>
      <c r="D46" s="69" t="s">
        <v>3180</v>
      </c>
      <c r="E46" s="121" t="str">
        <f>IFERROR(__xludf.DUMMYFUNCTION("GOOGLETRANSLATE(A46,""zh-tw"",""ja"")"),"R43")</f>
        <v>R43</v>
      </c>
      <c r="F46" s="118" t="s">
        <v>3181</v>
      </c>
      <c r="G46" s="109" t="s">
        <v>3182</v>
      </c>
      <c r="H46" s="69" t="s">
        <v>3183</v>
      </c>
      <c r="I46" s="121" t="str">
        <f>IFERROR(__xludf.DUMMYFUNCTION("GOOGLETRANSLATE(A46,""zh-tw"",""en"")"),"R43")</f>
        <v>R43</v>
      </c>
      <c r="J46" s="118" t="s">
        <v>3184</v>
      </c>
      <c r="K46" s="109" t="s">
        <v>3185</v>
      </c>
      <c r="L46" s="69" t="s">
        <v>3186</v>
      </c>
      <c r="M46" s="137" t="str">
        <f>IFERROR(__xludf.DUMMYFUNCTION("GOOGLETRANSLATE(A46,""zh-tw"",""en"")"),"R43")</f>
        <v>R43</v>
      </c>
      <c r="N46" s="118" t="str">
        <f>IFERROR(__xludf.DUMMYFUNCTION("GOOGLETRANSLATE(B46,""zh-tw"",""zh"")"),"天上之石碎片1")</f>
        <v>天上之石碎片1</v>
      </c>
      <c r="O46" s="103" t="str">
        <f>IFERROR(__xludf.DUMMYFUNCTION("GOOGLETRANSLATE(C46,""zh-tw"",""zh"")"),"攻略遗迹第三层的BOSS，获得道具后，使用""星之门""回家，触发剧情")</f>
        <v>攻略遗迹第三层的BOSS，获得道具后，使用"星之门"回家，触发剧情</v>
      </c>
      <c r="P46" s="71" t="str">
        <f>IFERROR(__xludf.DUMMYFUNCTION("GOOGLETRANSLATE(D46,""zh-tw"",""zh"")"),"获得道具""红髓液""")</f>
        <v>获得道具"红髓液"</v>
      </c>
      <c r="Q46" s="137" t="str">
        <f>IFERROR(__xludf.DUMMYFUNCTION("GOOGLETRANSLATE(A46,""zh-tw"",""ja"")"),"R43")</f>
        <v>R43</v>
      </c>
      <c r="R46" s="138" t="str">
        <f>IFERROR(__xludf.DUMMYFUNCTION("GOOGLETRANSLATE(B46,""zh-tw"",""es-MX"")"),"Fragmento de la Piedra Celestial 1")</f>
        <v>Fragmento de la Piedra Celestial 1</v>
      </c>
      <c r="S46" s="103" t="str">
        <f>IFERROR(__xludf.DUMMYFUNCTION("GOOGLETRANSLATE(C46,""zh-tw"",""es-MX"")"),"Después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6" s="71" t="str">
        <f>IFERROR(__xludf.DUMMYFUNCTION("GOOGLETRANSLATE(D46,""zh-tw"",""es-MX"")"),"Consigue el artículo ""Líquido de Médula Roja""")</f>
        <v>Consigue el artículo "Líquido de Médula Roja"</v>
      </c>
      <c r="U46" s="161" t="str">
        <f>IFERROR(__xludf.DUMMYFUNCTION("GOOGLETRANSLATE(A46,""zh-tw"",""en"")"),"R43")</f>
        <v>R43</v>
      </c>
      <c r="V46" s="138" t="str">
        <f>IFERROR(__xludf.DUMMYFUNCTION("GOOGLETRANSLATE(B46,""zh-tw"",""KO"")"),"천상의 돌 조각 1")</f>
        <v>천상의 돌 조각 1</v>
      </c>
      <c r="W46" s="103" t="str">
        <f>IFERROR(__xludf.DUMMYFUNCTION("GOOGLETRANSLATE(C46,""zh-tw"",""KO"")"),"유적지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6" s="71" t="str">
        <f>IFERROR(__xludf.DUMMYFUNCTION("GOOGLETRANSLATE(D46,""zh-tw"",""KO"")"),"""붉은 골수액"" 아이템 획득")</f>
        <v>"붉은 골수액" 아이템 획득</v>
      </c>
      <c r="Y46" s="161" t="str">
        <f>IFERROR(__xludf.DUMMYFUNCTION("GOOGLETRANSLATE(E46,""zh-tw"",""en"")"),"R43")</f>
        <v>R43</v>
      </c>
      <c r="Z46" s="118" t="str">
        <f>IFERROR(__xludf.DUMMYFUNCTION("GOOGLETRANSLATE(B46,""zh-tw"",""ru"")"),"Фрагмент Небесного Камня 1")</f>
        <v>Фрагмент Небесного Камня 1</v>
      </c>
      <c r="AA46" s="162" t="str">
        <f>IFERROR(__xludf.DUMMYFUNCTION("GOOGLETRANSLATE(C46,""zh-tw"",""RU"")"),"После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6" s="64" t="str">
        <f>IFERROR(__xludf.DUMMYFUNCTION("GOOGLETRANSLATE(D46,""zh-tw"",""RU"")"),"Получите предмет «Красная костномозговая жидкость».")</f>
        <v>Получите предмет «Красная костномозговая жидкость».</v>
      </c>
      <c r="AC46" s="161" t="str">
        <f>IFERROR(__xludf.DUMMYFUNCTION("GOOGLETRANSLATE(I46,""zh-tw"",""en"")"),"R43")</f>
        <v>R43</v>
      </c>
      <c r="AD46" s="118" t="s">
        <v>3187</v>
      </c>
      <c r="AE46" s="164" t="s">
        <v>3188</v>
      </c>
      <c r="AF46" s="119" t="s">
        <v>3189</v>
      </c>
      <c r="AG46" s="98" t="s">
        <v>3177</v>
      </c>
      <c r="AH46" s="106" t="s">
        <v>3190</v>
      </c>
      <c r="AI46" s="165" t="s">
        <v>3191</v>
      </c>
      <c r="AJ46" s="67" t="s">
        <v>3192</v>
      </c>
      <c r="AK46" s="137" t="s">
        <v>3177</v>
      </c>
      <c r="AL46" s="138" t="s">
        <v>3193</v>
      </c>
      <c r="AM46" s="123" t="s">
        <v>3194</v>
      </c>
      <c r="AN46" s="124" t="s">
        <v>3195</v>
      </c>
      <c r="AO46" s="124"/>
    </row>
    <row r="47">
      <c r="A47" s="121" t="s">
        <v>3196</v>
      </c>
      <c r="B47" s="118" t="s">
        <v>3197</v>
      </c>
      <c r="C47" s="109" t="s">
        <v>3198</v>
      </c>
      <c r="D47" s="69" t="s">
        <v>3199</v>
      </c>
      <c r="E47" s="121" t="str">
        <f>IFERROR(__xludf.DUMMYFUNCTION("GOOGLETRANSLATE(A47,""zh-tw"",""ja"")"),"R44")</f>
        <v>R44</v>
      </c>
      <c r="F47" s="118" t="s">
        <v>3200</v>
      </c>
      <c r="G47" s="109" t="s">
        <v>3201</v>
      </c>
      <c r="H47" s="69" t="s">
        <v>3202</v>
      </c>
      <c r="I47" s="121" t="str">
        <f>IFERROR(__xludf.DUMMYFUNCTION("GOOGLETRANSLATE(A47,""zh-tw"",""en"")"),"R44")</f>
        <v>R44</v>
      </c>
      <c r="J47" s="118" t="s">
        <v>3203</v>
      </c>
      <c r="K47" s="109" t="s">
        <v>3204</v>
      </c>
      <c r="L47" s="69" t="s">
        <v>3205</v>
      </c>
      <c r="M47" s="137" t="str">
        <f>IFERROR(__xludf.DUMMYFUNCTION("GOOGLETRANSLATE(A47,""zh-tw"",""en"")"),"R44")</f>
        <v>R44</v>
      </c>
      <c r="N47" s="118" t="str">
        <f>IFERROR(__xludf.DUMMYFUNCTION("GOOGLETRANSLATE(B47,""zh-tw"",""zh"")"),"天上之石碎片2")</f>
        <v>天上之石碎片2</v>
      </c>
      <c r="O47" s="103" t="str">
        <f>IFERROR(__xludf.DUMMYFUNCTION("GOOGLETRANSLATE(C47,""zh-tw"",""zh"")"),"哥哥可以喝下该道具，并获得状态。")</f>
        <v>哥哥可以喝下该道具，并获得状态。</v>
      </c>
      <c r="P47" s="71" t="str">
        <f>IFERROR(__xludf.DUMMYFUNCTION("GOOGLETRANSLATE(D47,""zh-tw"",""zh"")"),"获得状态
*治愈妹妹前、后喝下，有不同剧情")</f>
        <v>获得状态
*治愈妹妹前、后喝下，有不同剧情</v>
      </c>
      <c r="Q47" s="137" t="str">
        <f>IFERROR(__xludf.DUMMYFUNCTION("GOOGLETRANSLATE(A47,""zh-tw"",""ja"")"),"R44")</f>
        <v>R44</v>
      </c>
      <c r="R47" s="138" t="str">
        <f>IFERROR(__xludf.DUMMYFUNCTION("GOOGLETRANSLATE(B47,""zh-tw"",""es-MX"")"),"Fragmento de piedra celestial 2")</f>
        <v>Fragmento de piedra celestial 2</v>
      </c>
      <c r="S47" s="103" t="str">
        <f>IFERROR(__xludf.DUMMYFUNCTION("GOOGLETRANSLATE(C47,""zh-tw"",""es-MX"")"),"El hermano mayor puede beber el artículo y obtener el efecto de estado.")</f>
        <v>El hermano mayor puede beber el artículo y obtener el efecto de estado.</v>
      </c>
      <c r="T47" s="71" t="str">
        <f>IFERROR(__xludf.DUMMYFUNCTION("GOOGLETRANSLATE(D47,""zh-tw"",""es-MX"")"),"Ganancia de estado
*Se desarrollan diferentes historias según si la bebida se administra antes o después de curar a la hermana.")</f>
        <v>Ganancia de estado
*Se desarrollan diferentes historias según si la bebida se administra antes o después de curar a la hermana.</v>
      </c>
      <c r="U47" s="161" t="str">
        <f>IFERROR(__xludf.DUMMYFUNCTION("GOOGLETRANSLATE(A47,""zh-tw"",""en"")"),"R44")</f>
        <v>R44</v>
      </c>
      <c r="V47" s="138" t="str">
        <f>IFERROR(__xludf.DUMMYFUNCTION("GOOGLETRANSLATE(B47,""zh-tw"",""KO"")"),"천상의 돌 조각 2")</f>
        <v>천상의 돌 조각 2</v>
      </c>
      <c r="W47" s="103" t="str">
        <f>IFERROR(__xludf.DUMMYFUNCTION("GOOGLETRANSLATE(C47,""zh-tw"",""KO"")"),"형은 그 아이템을 마셔서 상태 효과를 얻을 수 있습니다.")</f>
        <v>형은 그 아이템을 마셔서 상태 효과를 얻을 수 있습니다.</v>
      </c>
      <c r="X47" s="71" t="str">
        <f>IFERROR(__xludf.DUMMYFUNCTION("GOOGLETRANSLATE(D47,""zh-tw"",""KO"")"),"상태 획득
*자매를 치료하기 전에 음료를 주느냐, 치료한 후에 주느냐에 따라 스토리라인이 달라집니다.")</f>
        <v>상태 획득
*자매를 치료하기 전에 음료를 주느냐, 치료한 후에 주느냐에 따라 스토리라인이 달라집니다.</v>
      </c>
      <c r="Y47" s="161" t="str">
        <f>IFERROR(__xludf.DUMMYFUNCTION("GOOGLETRANSLATE(E47,""zh-tw"",""en"")"),"R44")</f>
        <v>R44</v>
      </c>
      <c r="Z47" s="118" t="str">
        <f>IFERROR(__xludf.DUMMYFUNCTION("GOOGLETRANSLATE(B47,""zh-tw"",""ru"")"),"Фрагмент Небесного Камня 2")</f>
        <v>Фрагмент Небесного Камня 2</v>
      </c>
      <c r="AA47" s="162" t="str">
        <f>IFERROR(__xludf.DUMMYFUNCTION("GOOGLETRANSLATE(C47,""zh-tw"",""RU"")"),"Старший брат может выпить этот предмет и получить эффект статуса.")</f>
        <v>Старший брат может выпить этот предмет и получить эффект статуса.</v>
      </c>
      <c r="AB47" s="64" t="str">
        <f>IFERROR(__xludf.DUMMYFUNCTION("GOOGLETRANSLATE(D47,""zh-tw"",""RU"")"),"Получить статус
*Разные сюжетные линии развиваются в зависимости от того, был ли напиток дан до или после исцеления сестры.")</f>
        <v>Получить статус
*Разные сюжетные линии развиваются в зависимости от того, был ли напиток дан до или после исцеления сестры.</v>
      </c>
      <c r="AC47" s="161" t="str">
        <f>IFERROR(__xludf.DUMMYFUNCTION("GOOGLETRANSLATE(I47,""zh-tw"",""en"")"),"R44")</f>
        <v>R44</v>
      </c>
      <c r="AD47" s="118" t="s">
        <v>3206</v>
      </c>
      <c r="AE47" s="164" t="s">
        <v>3207</v>
      </c>
      <c r="AF47" s="119" t="s">
        <v>3208</v>
      </c>
      <c r="AG47" s="98" t="s">
        <v>3196</v>
      </c>
      <c r="AH47" s="106" t="s">
        <v>3209</v>
      </c>
      <c r="AI47" s="165" t="s">
        <v>3210</v>
      </c>
      <c r="AJ47" s="67" t="s">
        <v>3211</v>
      </c>
      <c r="AK47" s="137" t="s">
        <v>3196</v>
      </c>
      <c r="AL47" s="138" t="s">
        <v>3212</v>
      </c>
      <c r="AM47" s="123" t="s">
        <v>3213</v>
      </c>
      <c r="AN47" s="124" t="s">
        <v>3214</v>
      </c>
      <c r="AO47" s="124"/>
    </row>
    <row r="48">
      <c r="A48" s="121" t="s">
        <v>3215</v>
      </c>
      <c r="B48" s="118" t="s">
        <v>3216</v>
      </c>
      <c r="C48" s="109" t="s">
        <v>3217</v>
      </c>
      <c r="D48" s="69" t="s">
        <v>3218</v>
      </c>
      <c r="E48" s="121" t="str">
        <f>IFERROR(__xludf.DUMMYFUNCTION("GOOGLETRANSLATE(A48,""zh-tw"",""ja"")"),"R45")</f>
        <v>R45</v>
      </c>
      <c r="F48" s="118" t="s">
        <v>3219</v>
      </c>
      <c r="G48" s="135" t="s">
        <v>3220</v>
      </c>
      <c r="H48" s="69" t="s">
        <v>3221</v>
      </c>
      <c r="I48" s="121" t="str">
        <f>IFERROR(__xludf.DUMMYFUNCTION("GOOGLETRANSLATE(A48,""zh-tw"",""en"")"),"R45")</f>
        <v>R45</v>
      </c>
      <c r="J48" s="118" t="s">
        <v>3222</v>
      </c>
      <c r="K48" s="109" t="s">
        <v>3223</v>
      </c>
      <c r="L48" s="69" t="s">
        <v>3224</v>
      </c>
      <c r="M48" s="137" t="str">
        <f>IFERROR(__xludf.DUMMYFUNCTION("GOOGLETRANSLATE(A48,""zh-tw"",""en"")"),"R45")</f>
        <v>R45</v>
      </c>
      <c r="N48" s="118" t="str">
        <f>IFERROR(__xludf.DUMMYFUNCTION("GOOGLETRANSLATE(B48,""zh-tw"",""zh"")"),"赎罪吧")</f>
        <v>赎罪吧</v>
      </c>
      <c r="O48" s="103" t="str">
        <f>IFERROR(__xludf.DUMMYFUNCTION("GOOGLETRANSLATE(C48,""zh-tw"",""zh"")"),"被遗忘的墓穴-2
攻略遗迹的BOSS(必须要25秒内打完)，会有一个召唤门")</f>
        <v>被遗忘的墓穴-2
攻略遗迹的BOSS(必须要25秒内打完)，会有一个召唤门</v>
      </c>
      <c r="P48" s="71" t="str">
        <f>IFERROR(__xludf.DUMMYFUNCTION("GOOGLETRANSLATE(D48,""zh-tw"",""zh"")"),"新地点-堕落的圣堂
有营火
(地图简称""教堂""，目前NPC无任何功能，等待日后更新)")</f>
        <v>新地点-堕落的圣堂
有营火
(地图简称"教堂"，目前NPC无任何功能，等待日后更新)</v>
      </c>
      <c r="Q48" s="137" t="str">
        <f>IFERROR(__xludf.DUMMYFUNCTION("GOOGLETRANSLATE(A48,""zh-tw"",""ja"")"),"R45")</f>
        <v>R45</v>
      </c>
      <c r="R48" s="118" t="s">
        <v>3225</v>
      </c>
      <c r="S48" s="103" t="str">
        <f>IFERROR(__xludf.DUMMYFUNCTION("GOOGLETRANSLATE(C48,""zh-tw"",""es-MX"")"),"La Tumba Olvidada - 2: Derrota al jefe en las ruinas (debe completarse en 25 segundos) y aparecerá un portal de invocación.")</f>
        <v>La Tumba Olvidada - 2: Derrota al jefe en las ruinas (debe completarse en 25 segundos) y aparecerá un portal de invocación.</v>
      </c>
      <c r="T48" s="71" t="str">
        <f>IFERROR(__xludf.DUMMYFUNCTION("GOOGLETRANSLATE(D48,""zh-tw"",""es-MX"")"),"Nueva ubicación: La Iglesia Caída. Hay una fogata.
(Abreviatura del mapa: ""Iglesia"". Actualmente, los PNJ no tienen funciones; a la espera de futuras actualizaciones).")</f>
        <v>Nueva ubicación: La Iglesia Caída. Hay una fogata.
(Abreviatura del mapa: "Iglesia". Actualmente, los PNJ no tienen funciones; a la espera de futuras actualizaciones).</v>
      </c>
      <c r="U48" s="161" t="str">
        <f>IFERROR(__xludf.DUMMYFUNCTION("GOOGLETRANSLATE(A48,""zh-tw"",""en"")"),"R45")</f>
        <v>R45</v>
      </c>
      <c r="V48" s="138" t="str">
        <f>IFERROR(__xludf.DUMMYFUNCTION("GOOGLETRANSLATE(B48,""zh-tw"",""KO"")"),"당신의 죄를 속죄하세요")</f>
        <v>당신의 죄를 속죄하세요</v>
      </c>
      <c r="W48" s="103" t="str">
        <f>IFERROR(__xludf.DUMMYFUNCTION("GOOGLETRANSLATE(C48,""zh-tw"",""KO"")"),"잊혀진 무덤 - 2: 폐허 속 보스를 물리치면(25초 이내에 완료해야 함), 소환 포털이 나타납니다.")</f>
        <v>잊혀진 무덤 - 2: 폐허 속 보스를 물리치면(25초 이내에 완료해야 함), 소환 포털이 나타납니다.</v>
      </c>
      <c r="X48" s="71" t="str">
        <f>IFERROR(__xludf.DUMMYFUNCTION("GOOGLETRANSLATE(D48,""zh-tw"",""KO"")"),"새로운 장소 - 몰락한 교회. 모닥불이 있습니다.
(지도 약어: ""교회""). 현재 NPC들은 아무런 기능을 하지 않습니다. 향후 업데이트를 기다리고 있습니다.")</f>
        <v>새로운 장소 - 몰락한 교회. 모닥불이 있습니다.
(지도 약어: "교회"). 현재 NPC들은 아무런 기능을 하지 않습니다. 향후 업데이트를 기다리고 있습니다.</v>
      </c>
      <c r="Y48" s="161" t="str">
        <f>IFERROR(__xludf.DUMMYFUNCTION("GOOGLETRANSLATE(E48,""zh-tw"",""en"")"),"R45")</f>
        <v>R45</v>
      </c>
      <c r="Z48" s="118" t="str">
        <f>IFERROR(__xludf.DUMMYFUNCTION("GOOGLETRANSLATE(B48,""zh-tw"",""ru"")"),"Искупи свои грехи")</f>
        <v>Искупи свои грехи</v>
      </c>
      <c r="AA48" s="162" t="str">
        <f>IFERROR(__xludf.DUMMYFUNCTION("GOOGLETRANSLATE(C48,""zh-tw"",""RU"")"),"Забытая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8" s="64" t="str">
        <f>IFERROR(__xludf.DUMMYFUNCTION("GOOGLETRANSLATE(D48,""zh-tw"",""RU"")"),"Новая локация — Павшая Церковь. Костер присутствует.
(Сокращение на карте: «Церковь». В настоящее время у NPC нет функций; ожидается обновление в будущем.)")</f>
        <v>Новая локация — Павшая Церковь. Костер присутствует.
(Сокращение на карте: «Церковь». В настоящее время у NPC нет функций; ожидается обновление в будущем.)</v>
      </c>
      <c r="AC48" s="161" t="str">
        <f>IFERROR(__xludf.DUMMYFUNCTION("GOOGLETRANSLATE(I48,""zh-tw"",""en"")"),"R45")</f>
        <v>R45</v>
      </c>
      <c r="AD48" s="118" t="s">
        <v>3226</v>
      </c>
      <c r="AE48" s="164" t="s">
        <v>3227</v>
      </c>
      <c r="AF48" s="119" t="s">
        <v>3228</v>
      </c>
      <c r="AG48" s="98" t="s">
        <v>3215</v>
      </c>
      <c r="AH48" s="106" t="s">
        <v>3229</v>
      </c>
      <c r="AI48" s="165" t="s">
        <v>3230</v>
      </c>
      <c r="AJ48" s="67" t="s">
        <v>3231</v>
      </c>
      <c r="AK48" s="137" t="s">
        <v>3215</v>
      </c>
      <c r="AL48" s="138" t="s">
        <v>3232</v>
      </c>
      <c r="AM48" s="123" t="s">
        <v>3233</v>
      </c>
      <c r="AN48" s="124" t="s">
        <v>3234</v>
      </c>
      <c r="AO48" s="124"/>
    </row>
    <row r="49">
      <c r="A49" s="121" t="s">
        <v>3235</v>
      </c>
      <c r="B49" s="118" t="s">
        <v>3236</v>
      </c>
      <c r="C49" s="109" t="s">
        <v>3237</v>
      </c>
      <c r="D49" s="69" t="s">
        <v>3238</v>
      </c>
      <c r="E49" s="121" t="str">
        <f>IFERROR(__xludf.DUMMYFUNCTION("GOOGLETRANSLATE(A49,""zh-tw"",""ja"")"),"R46")</f>
        <v>R46</v>
      </c>
      <c r="F49" s="118" t="s">
        <v>3239</v>
      </c>
      <c r="G49" s="135" t="s">
        <v>3240</v>
      </c>
      <c r="H49" s="69" t="s">
        <v>3241</v>
      </c>
      <c r="I49" s="121" t="str">
        <f>IFERROR(__xludf.DUMMYFUNCTION("GOOGLETRANSLATE(A49,""zh-tw"",""en"")"),"R46")</f>
        <v>R46</v>
      </c>
      <c r="J49" s="118" t="s">
        <v>3242</v>
      </c>
      <c r="K49" s="109" t="s">
        <v>3243</v>
      </c>
      <c r="L49" s="69" t="s">
        <v>3244</v>
      </c>
      <c r="M49" s="137" t="str">
        <f>IFERROR(__xludf.DUMMYFUNCTION("GOOGLETRANSLATE(A49,""zh-tw"",""en"")"),"R46")</f>
        <v>R46</v>
      </c>
      <c r="N49" s="118" t="str">
        <f>IFERROR(__xludf.DUMMYFUNCTION("GOOGLETRANSLATE(B49,""zh-tw"",""zh"")"),"教堂隐藏物品-1")</f>
        <v>教堂隐藏物品-1</v>
      </c>
      <c r="O49" s="103" t="str">
        <f>IFERROR(__xludf.DUMMYFUNCTION("GOOGLETRANSLATE(C49,""zh-tw"",""zh"")"),"教堂NPC后方，石像的背后")</f>
        <v>教堂NPC后方，石像的背后</v>
      </c>
      <c r="P49" s="71" t="str">
        <f>IFERROR(__xludf.DUMMYFUNCTION("GOOGLETRANSLATE(D49,""zh-tw"",""zh"")"),"装备:圣少女的怜悯")</f>
        <v>装备:圣少女的怜悯</v>
      </c>
      <c r="Q49" s="137" t="str">
        <f>IFERROR(__xludf.DUMMYFUNCTION("GOOGLETRANSLATE(A49,""zh-tw"",""ja"")"),"R46")</f>
        <v>R46</v>
      </c>
      <c r="R49" s="138" t="str">
        <f>IFERROR(__xludf.DUMMYFUNCTION("GOOGLETRANSLATE(B49,""zh-tw"",""es-MX"")"),"Objeto oculto de la iglesia - 1")</f>
        <v>Objeto oculto de la iglesia - 1</v>
      </c>
      <c r="S49" s="109" t="s">
        <v>3245</v>
      </c>
      <c r="T49" s="71" t="str">
        <f>IFERROR(__xludf.DUMMYFUNCTION("GOOGLETRANSLATE(D49,""zh-tw"",""es-MX"")"),"Equipo: Misericordia de la Santa Doncella")</f>
        <v>Equipo: Misericordia de la Santa Doncella</v>
      </c>
      <c r="U49" s="161" t="str">
        <f>IFERROR(__xludf.DUMMYFUNCTION("GOOGLETRANSLATE(A49,""zh-tw"",""en"")"),"R46")</f>
        <v>R46</v>
      </c>
      <c r="V49" s="138" t="str">
        <f>IFERROR(__xludf.DUMMYFUNCTION("GOOGLETRANSLATE(B49,""zh-tw"",""KO"")"),"교회 숨겨진 아이템 - 1")</f>
        <v>교회 숨겨진 아이템 - 1</v>
      </c>
      <c r="W49" s="103" t="str">
        <f>IFERROR(__xludf.DUMMYFUNCTION("GOOGLETRANSLATE(C49,""zh-tw"",""KO"")"),"교회 NPC 뒤, 석상 뒤")</f>
        <v>교회 NPC 뒤, 석상 뒤</v>
      </c>
      <c r="X49" s="71" t="str">
        <f>IFERROR(__xludf.DUMMYFUNCTION("GOOGLETRANSLATE(D49,""zh-tw"",""KO"")"),"장비: 성녀의 자비")</f>
        <v>장비: 성녀의 자비</v>
      </c>
      <c r="Y49" s="161" t="str">
        <f>IFERROR(__xludf.DUMMYFUNCTION("GOOGLETRANSLATE(E49,""zh-tw"",""en"")"),"R46")</f>
        <v>R46</v>
      </c>
      <c r="Z49" s="118" t="str">
        <f>IFERROR(__xludf.DUMMYFUNCTION("GOOGLETRANSLATE(B49,""zh-tw"",""ru"")"),"Скрытый предмет в церкви - 1")</f>
        <v>Скрытый предмет в церкви - 1</v>
      </c>
      <c r="AA49" s="162" t="str">
        <f>IFERROR(__xludf.DUMMYFUNCTION("GOOGLETRANSLATE(C49,""zh-tw"",""RU"")"),"За церковным NPC, за каменной статуей")</f>
        <v>За церковным NPC, за каменной статуей</v>
      </c>
      <c r="AB49" s="64" t="str">
        <f>IFERROR(__xludf.DUMMYFUNCTION("GOOGLETRANSLATE(D49,""zh-tw"",""RU"")"),"Снаряжение: Святая Дева Милосердия")</f>
        <v>Снаряжение: Святая Дева Милосердия</v>
      </c>
      <c r="AC49" s="161" t="str">
        <f>IFERROR(__xludf.DUMMYFUNCTION("GOOGLETRANSLATE(I49,""zh-tw"",""en"")"),"R46")</f>
        <v>R46</v>
      </c>
      <c r="AD49" s="118" t="s">
        <v>3246</v>
      </c>
      <c r="AE49" s="164" t="s">
        <v>3247</v>
      </c>
      <c r="AF49" s="119" t="s">
        <v>3248</v>
      </c>
      <c r="AG49" s="98" t="s">
        <v>3235</v>
      </c>
      <c r="AH49" s="106" t="s">
        <v>3249</v>
      </c>
      <c r="AI49" s="165" t="s">
        <v>3250</v>
      </c>
      <c r="AJ49" s="67" t="s">
        <v>3251</v>
      </c>
      <c r="AK49" s="137" t="s">
        <v>3235</v>
      </c>
      <c r="AL49" s="138" t="s">
        <v>3252</v>
      </c>
      <c r="AM49" s="123" t="s">
        <v>3253</v>
      </c>
      <c r="AN49" s="124" t="s">
        <v>3254</v>
      </c>
      <c r="AO49" s="124"/>
    </row>
    <row r="50">
      <c r="A50" s="121" t="s">
        <v>3255</v>
      </c>
      <c r="B50" s="118" t="s">
        <v>3256</v>
      </c>
      <c r="C50" s="109" t="s">
        <v>3257</v>
      </c>
      <c r="D50" s="69" t="s">
        <v>3258</v>
      </c>
      <c r="E50" s="121" t="str">
        <f>IFERROR(__xludf.DUMMYFUNCTION("GOOGLETRANSLATE(A50,""zh-tw"",""ja"")"),"R47")</f>
        <v>R47</v>
      </c>
      <c r="F50" s="118" t="s">
        <v>3259</v>
      </c>
      <c r="G50" s="135" t="s">
        <v>3260</v>
      </c>
      <c r="H50" s="69" t="s">
        <v>3261</v>
      </c>
      <c r="I50" s="121" t="str">
        <f>IFERROR(__xludf.DUMMYFUNCTION("GOOGLETRANSLATE(A50,""zh-tw"",""en"")"),"R47")</f>
        <v>R47</v>
      </c>
      <c r="J50" s="118" t="s">
        <v>3262</v>
      </c>
      <c r="K50" s="109" t="s">
        <v>3263</v>
      </c>
      <c r="L50" s="69" t="s">
        <v>3264</v>
      </c>
      <c r="M50" s="137" t="str">
        <f>IFERROR(__xludf.DUMMYFUNCTION("GOOGLETRANSLATE(A50,""zh-tw"",""en"")"),"R47")</f>
        <v>R47</v>
      </c>
      <c r="N50" s="118" t="str">
        <f>IFERROR(__xludf.DUMMYFUNCTION("GOOGLETRANSLATE(B50,""zh-tw"",""zh"")"),"商店车-1")</f>
        <v>商店车-1</v>
      </c>
      <c r="O50" s="103" t="str">
        <f>IFERROR(__xludf.DUMMYFUNCTION("GOOGLETRANSLATE(C50,""zh-tw"",""zh"")"),"使用""战车""塔罗牌进行召唤
*同一天只能招换一次")</f>
        <v>使用"战车"塔罗牌进行召唤
*同一天只能招换一次</v>
      </c>
      <c r="P50" s="71" t="str">
        <f>IFERROR(__xludf.DUMMYFUNCTION("GOOGLETRANSLATE(D50,""zh-tw"",""zh"")"),"会召唤猫娘商店车。
请勿立刻捡起物品！否则会视为偷窃！")</f>
        <v>会召唤猫娘商店车。
请勿立刻捡起物品！否则会视为偷窃！</v>
      </c>
      <c r="Q50" s="137" t="str">
        <f>IFERROR(__xludf.DUMMYFUNCTION("GOOGLETRANSLATE(A50,""zh-tw"",""ja"")"),"R47")</f>
        <v>R47</v>
      </c>
      <c r="R50" s="138" t="str">
        <f>IFERROR(__xludf.DUMMYFUNCTION("GOOGLETRANSLATE(B50,""zh-tw"",""es-MX"")"),"Camión de tienda-1")</f>
        <v>Camión de tienda-1</v>
      </c>
      <c r="S50" s="109" t="s">
        <v>3265</v>
      </c>
      <c r="T50" s="71" t="str">
        <f>IFERROR(__xludf.DUMMYFUNCTION("GOOGLETRANSLATE(D50,""zh-tw"",""es-MX"")"),"Esto invocará un carrito de compras con una chica gato.
¡No recojas los artículos inmediatamente! ¡Se considerará robo!")</f>
        <v>Esto invocará un carrito de compras con una chica gato.
¡No recojas los artículos inmediatamente! ¡Se considerará robo!</v>
      </c>
      <c r="U50" s="161" t="str">
        <f>IFERROR(__xludf.DUMMYFUNCTION("GOOGLETRANSLATE(A50,""zh-tw"",""en"")"),"R47")</f>
        <v>R47</v>
      </c>
      <c r="V50" s="138" t="str">
        <f>IFERROR(__xludf.DUMMYFUNCTION("GOOGLETRANSLATE(B50,""zh-tw"",""KO"")"),"샵 트럭-1")</f>
        <v>샵 트럭-1</v>
      </c>
      <c r="W50" s="103" t="str">
        <f>IFERROR(__xludf.DUMMYFUNCTION("GOOGLETRANSLATE(C50,""zh-tw"",""KO"")"),"타로 카드 ""전차""를 사용해 소환하세요. *하루에 한 번만 소환할 수 있습니다.")</f>
        <v>타로 카드 "전차"를 사용해 소환하세요. *하루에 한 번만 소환할 수 있습니다.</v>
      </c>
      <c r="X50" s="71" t="str">
        <f>IFERROR(__xludf.DUMMYFUNCTION("GOOGLETRANSLATE(D50,""zh-tw"",""KO"")"),"고양이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0" s="161" t="str">
        <f>IFERROR(__xludf.DUMMYFUNCTION("GOOGLETRANSLATE(E50,""zh-tw"",""en"")"),"R47")</f>
        <v>R47</v>
      </c>
      <c r="Z50" s="118" t="str">
        <f>IFERROR(__xludf.DUMMYFUNCTION("GOOGLETRANSLATE(B50,""zh-tw"",""ru"")"),"Магазин Грузовик-1")</f>
        <v>Магазин Грузовик-1</v>
      </c>
      <c r="AA50" s="162" t="str">
        <f>IFERROR(__xludf.DUMMYFUNCTION("GOOGLETRANSLATE(C50,""zh-tw"",""RU"")"),"Вызов с помощью карты Таро «Колесница». *Можно вызвать только один раз в день.")</f>
        <v>Вызов с помощью карты Таро «Колесница». *Можно вызвать только один раз в день.</v>
      </c>
      <c r="AB50" s="64" t="str">
        <f>IFERROR(__xludf.DUMMYFUNCTION("GOOGLETRANSLATE(D50,""zh-tw"",""RU"")"),"Это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0" s="161" t="str">
        <f>IFERROR(__xludf.DUMMYFUNCTION("GOOGLETRANSLATE(I50,""zh-tw"",""en"")"),"R47")</f>
        <v>R47</v>
      </c>
      <c r="AD50" s="118" t="s">
        <v>3266</v>
      </c>
      <c r="AE50" s="164" t="s">
        <v>3267</v>
      </c>
      <c r="AF50" s="119" t="s">
        <v>3268</v>
      </c>
      <c r="AG50" s="98" t="s">
        <v>3255</v>
      </c>
      <c r="AH50" s="106" t="s">
        <v>3269</v>
      </c>
      <c r="AI50" s="165" t="s">
        <v>3270</v>
      </c>
      <c r="AJ50" s="67" t="s">
        <v>3271</v>
      </c>
      <c r="AK50" s="137" t="s">
        <v>3255</v>
      </c>
      <c r="AL50" s="138" t="s">
        <v>3272</v>
      </c>
      <c r="AM50" s="115" t="s">
        <v>3273</v>
      </c>
      <c r="AN50" s="124" t="s">
        <v>3274</v>
      </c>
      <c r="AO50" s="124"/>
    </row>
    <row r="51">
      <c r="A51" s="121" t="s">
        <v>3275</v>
      </c>
      <c r="B51" s="118" t="s">
        <v>3276</v>
      </c>
      <c r="C51" s="109" t="s">
        <v>3277</v>
      </c>
      <c r="D51" s="69" t="s">
        <v>3278</v>
      </c>
      <c r="E51" s="121" t="str">
        <f>IFERROR(__xludf.DUMMYFUNCTION("GOOGLETRANSLATE(A51,""zh-tw"",""ja"")"),"R48")</f>
        <v>R48</v>
      </c>
      <c r="F51" s="118" t="s">
        <v>3279</v>
      </c>
      <c r="G51" s="135" t="s">
        <v>3280</v>
      </c>
      <c r="H51" s="69" t="s">
        <v>3281</v>
      </c>
      <c r="I51" s="121" t="str">
        <f>IFERROR(__xludf.DUMMYFUNCTION("GOOGLETRANSLATE(A51,""zh-tw"",""en"")"),"R48")</f>
        <v>R48</v>
      </c>
      <c r="J51" s="118" t="s">
        <v>3282</v>
      </c>
      <c r="K51" s="109" t="s">
        <v>3283</v>
      </c>
      <c r="L51" s="69" t="s">
        <v>3284</v>
      </c>
      <c r="M51" s="137" t="str">
        <f>IFERROR(__xludf.DUMMYFUNCTION("GOOGLETRANSLATE(A51,""zh-tw"",""en"")"),"R48")</f>
        <v>R48</v>
      </c>
      <c r="N51" s="118" t="str">
        <f>IFERROR(__xludf.DUMMYFUNCTION("GOOGLETRANSLATE(B51,""zh-tw"",""zh"")"),"商店车-2")</f>
        <v>商店车-2</v>
      </c>
      <c r="O51" s="103" t="str">
        <f>IFERROR(__xludf.DUMMYFUNCTION("GOOGLETRANSLATE(C51,""zh-tw"",""zh"")"),"于商店车偷窃商品")</f>
        <v>于商店车偷窃商品</v>
      </c>
      <c r="P51" s="71" t="str">
        <f>IFERROR(__xludf.DUMMYFUNCTION("GOOGLETRANSLATE(D51,""zh-tw"",""zh"")"),"会被攻击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1" s="137" t="str">
        <f>IFERROR(__xludf.DUMMYFUNCTION("GOOGLETRANSLATE(A51,""zh-tw"",""ja"")"),"R48")</f>
        <v>R48</v>
      </c>
      <c r="R51" s="138" t="str">
        <f>IFERROR(__xludf.DUMMYFUNCTION("GOOGLETRANSLATE(B51,""zh-tw"",""es-MX"")"),"Camión de tienda-2")</f>
        <v>Camión de tienda-2</v>
      </c>
      <c r="S51" s="103" t="str">
        <f>IFERROR(__xludf.DUMMYFUNCTION("GOOGLETRANSLATE(C51,""zh-tw"",""es-MX"")"),"Robo de productos de un carrito de compras")</f>
        <v>Robo de productos de un carrito de compras</v>
      </c>
      <c r="T51" s="71" t="str">
        <f>IFERROR(__xludf.DUMMYFUNCTION("GOOGLETRANSLATE(D51,""zh-tw"",""es-MX"")"),"Serás atacado.
Advertencia: Catgirl Asaba es extremadamente poderosa y normalmente invencible. Por lo tanto, no la desafíes a la ligera antes de guardar la partida.
P. D.: Serás detectado incluso si usas el dispositivo de detención del tiempo.")</f>
        <v>Serás atacado.
Advertencia: Catgirl Asaba es extremadamente poderosa y normalmente invencible. Por lo tanto, no la desafíes a la ligera antes de guardar la partida.
P. D.: Serás detectado incluso si usas el dispositivo de detención del tiempo.</v>
      </c>
      <c r="U51" s="161" t="str">
        <f>IFERROR(__xludf.DUMMYFUNCTION("GOOGLETRANSLATE(A51,""zh-tw"",""en"")"),"R48")</f>
        <v>R48</v>
      </c>
      <c r="V51" s="138" t="str">
        <f>IFERROR(__xludf.DUMMYFUNCTION("GOOGLETRANSLATE(B51,""zh-tw"",""KO"")"),"트럭 2호점")</f>
        <v>트럭 2호점</v>
      </c>
      <c r="W51" s="103" t="str">
        <f>IFERROR(__xludf.DUMMYFUNCTION("GOOGLETRANSLATE(C51,""zh-tw"",""KO"")"),"쇼핑 카트에서 물건을 훔치다")</f>
        <v>쇼핑 카트에서 물건을 훔치다</v>
      </c>
      <c r="X51" s="71" t="str">
        <f>IFERROR(__xludf.DUMMYFUNCTION("GOOGLETRANSLATE(D51,""zh-tw"",""KO"")"),"공격당할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1" s="161" t="str">
        <f>IFERROR(__xludf.DUMMYFUNCTION("GOOGLETRANSLATE(E51,""zh-tw"",""en"")"),"R48")</f>
        <v>R48</v>
      </c>
      <c r="Z51" s="118" t="str">
        <f>IFERROR(__xludf.DUMMYFUNCTION("GOOGLETRANSLATE(B51,""zh-tw"",""ru"")"),"Магазин Грузовик-2")</f>
        <v>Магазин Грузовик-2</v>
      </c>
      <c r="AA51" s="162" t="str">
        <f>IFERROR(__xludf.DUMMYFUNCTION("GOOGLETRANSLATE(C51,""zh-tw"",""RU"")"),"Кража товаров из корзины покупок")</f>
        <v>Кража товаров из корзины покупок</v>
      </c>
      <c r="AB51" s="64" t="str">
        <f>IFERROR(__xludf.DUMMYFUNCTION("GOOGLETRANSLATE(D51,""zh-tw"",""RU"")"),"Вас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1" s="161" t="str">
        <f>IFERROR(__xludf.DUMMYFUNCTION("GOOGLETRANSLATE(I51,""zh-tw"",""en"")"),"R48")</f>
        <v>R48</v>
      </c>
      <c r="AD51" s="118" t="s">
        <v>3285</v>
      </c>
      <c r="AE51" s="164" t="s">
        <v>3286</v>
      </c>
      <c r="AF51" s="119" t="s">
        <v>3287</v>
      </c>
      <c r="AG51" s="98" t="s">
        <v>3275</v>
      </c>
      <c r="AH51" s="106" t="s">
        <v>3288</v>
      </c>
      <c r="AI51" s="165" t="s">
        <v>3289</v>
      </c>
      <c r="AJ51" s="67" t="s">
        <v>3290</v>
      </c>
      <c r="AK51" s="137" t="s">
        <v>3275</v>
      </c>
      <c r="AL51" s="138" t="s">
        <v>3291</v>
      </c>
      <c r="AM51" s="123" t="s">
        <v>3292</v>
      </c>
      <c r="AN51" s="124" t="s">
        <v>3293</v>
      </c>
      <c r="AO51" s="124"/>
    </row>
    <row r="52">
      <c r="A52" s="121" t="s">
        <v>3294</v>
      </c>
      <c r="B52" s="118" t="s">
        <v>3295</v>
      </c>
      <c r="C52" s="109" t="s">
        <v>3296</v>
      </c>
      <c r="D52" s="69" t="s">
        <v>3297</v>
      </c>
      <c r="E52" s="121" t="str">
        <f>IFERROR(__xludf.DUMMYFUNCTION("GOOGLETRANSLATE(A52,""zh-tw"",""ja"")"),"R49")</f>
        <v>R49</v>
      </c>
      <c r="F52" s="118" t="s">
        <v>3298</v>
      </c>
      <c r="G52" s="135" t="s">
        <v>3299</v>
      </c>
      <c r="H52" s="69" t="s">
        <v>3300</v>
      </c>
      <c r="I52" s="121" t="str">
        <f>IFERROR(__xludf.DUMMYFUNCTION("GOOGLETRANSLATE(A52,""zh-tw"",""en"")"),"R49")</f>
        <v>R49</v>
      </c>
      <c r="J52" s="118" t="s">
        <v>3301</v>
      </c>
      <c r="K52" s="109" t="s">
        <v>3302</v>
      </c>
      <c r="L52" s="69" t="s">
        <v>3303</v>
      </c>
      <c r="M52" s="137" t="str">
        <f>IFERROR(__xludf.DUMMYFUNCTION("GOOGLETRANSLATE(A52,""zh-tw"",""en"")"),"R49")</f>
        <v>R49</v>
      </c>
      <c r="N52" s="118" t="str">
        <f>IFERROR(__xludf.DUMMYFUNCTION("GOOGLETRANSLATE(B52,""zh-tw"",""zh"")"),"商店车-3")</f>
        <v>商店车-3</v>
      </c>
      <c r="O52" s="103" t="str">
        <f>IFERROR(__xludf.DUMMYFUNCTION("GOOGLETRANSLATE(C52,""zh-tw"",""zh"")"),"商店车的固定商品之一")</f>
        <v>商店车的固定商品之一</v>
      </c>
      <c r="P52" s="71" t="str">
        <f>IFERROR(__xludf.DUMMYFUNCTION("GOOGLETRANSLATE(D52,""zh-tw"",""zh"")"),"获得道具-魔导映写器(照相机)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2" s="137" t="str">
        <f>IFERROR(__xludf.DUMMYFUNCTION("GOOGLETRANSLATE(A52,""zh-tw"",""ja"")"),"R49")</f>
        <v>R49</v>
      </c>
      <c r="R52" s="138" t="str">
        <f>IFERROR(__xludf.DUMMYFUNCTION("GOOGLETRANSLATE(B52,""zh-tw"",""es-MX"")"),"Camión de tienda-3")</f>
        <v>Camión de tienda-3</v>
      </c>
      <c r="S52" s="109" t="s">
        <v>3304</v>
      </c>
      <c r="T52" s="71" t="str">
        <f>IFERROR(__xludf.DUMMYFUNCTION("GOOGLETRANSLATE(D52,""zh-tw"",""es-MX"")"),"Obtener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(Actualmente, esta función aún está en sus primeras etapas y gran parte del contenido aún no es"&amp;"tá completamente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(Actualmente, esta función aún está en sus primeras etapas y gran parte del contenido aún no está completamente implementado).</v>
      </c>
      <c r="U52" s="161" t="str">
        <f>IFERROR(__xludf.DUMMYFUNCTION("GOOGLETRANSLATE(A52,""zh-tw"",""en"")"),"R49")</f>
        <v>R49</v>
      </c>
      <c r="V52" s="138" t="str">
        <f>IFERROR(__xludf.DUMMYFUNCTION("GOOGLETRANSLATE(B52,""zh-tw"",""KO"")"),"트럭 3호점")</f>
        <v>트럭 3호점</v>
      </c>
      <c r="W52" s="103" t="str">
        <f>IFERROR(__xludf.DUMMYFUNCTION("GOOGLETRANSLATE(C52,""zh-tw"",""KO"")"),"매장 카트의 고정 품목 중 하나")</f>
        <v>매장 카트의 고정 품목 중 하나</v>
      </c>
      <c r="X52" s="71" t="str">
        <f>IFERROR(__xludf.DUMMYFUNCTION("GOOGLETRANSLATE(D52,""zh-tw"",""KO"")"),"아이템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v>
      </c>
      <c r="Y52" s="161" t="str">
        <f>IFERROR(__xludf.DUMMYFUNCTION("GOOGLETRANSLATE(E52,""zh-tw"",""en"")"),"R49")</f>
        <v>R49</v>
      </c>
      <c r="Z52" s="118" t="str">
        <f>IFERROR(__xludf.DUMMYFUNCTION("GOOGLETRANSLATE(B52,""zh-tw"",""ru"")"),"Магазин Грузовик-3")</f>
        <v>Магазин Грузовик-3</v>
      </c>
      <c r="AA52" s="162" t="str">
        <f>IFERROR(__xludf.DUMMYFUNCTION("GOOGLETRANSLATE(C52,""zh-tw"",""RU"")"),"Один из фиксированных товаров в корзине магазина")</f>
        <v>Один из фиксированных товаров в корзине магазина</v>
      </c>
      <c r="AB52" s="64" t="str">
        <f>IFERROR(__xludf.DUMMYFUNCTION("GOOGLETRANSLATE(D52,""zh-tw"",""RU"")"),"Получить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часть"&amp;"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v>
      </c>
      <c r="AC52" s="174" t="str">
        <f>IFERROR(__xludf.DUMMYFUNCTION("GOOGLETRANSLATE(I52,""zh-tw"",""en"")"),"R49")</f>
        <v>R49</v>
      </c>
      <c r="AD52" s="175" t="s">
        <v>3305</v>
      </c>
      <c r="AE52" s="164" t="s">
        <v>3306</v>
      </c>
      <c r="AF52" s="119" t="s">
        <v>3307</v>
      </c>
      <c r="AG52" s="98" t="s">
        <v>3294</v>
      </c>
      <c r="AH52" s="106" t="s">
        <v>3308</v>
      </c>
      <c r="AI52" s="165" t="s">
        <v>3309</v>
      </c>
      <c r="AJ52" s="67" t="s">
        <v>3310</v>
      </c>
      <c r="AK52" s="137" t="s">
        <v>3294</v>
      </c>
      <c r="AL52" s="138" t="s">
        <v>3311</v>
      </c>
      <c r="AM52" s="123" t="s">
        <v>3312</v>
      </c>
      <c r="AN52" s="124" t="s">
        <v>3313</v>
      </c>
      <c r="AO52" s="124"/>
    </row>
    <row r="53">
      <c r="A53" s="121" t="s">
        <v>3314</v>
      </c>
      <c r="B53" s="118" t="s">
        <v>3315</v>
      </c>
      <c r="C53" s="109" t="s">
        <v>3296</v>
      </c>
      <c r="D53" s="69" t="s">
        <v>3316</v>
      </c>
      <c r="E53" s="121" t="str">
        <f>IFERROR(__xludf.DUMMYFUNCTION("GOOGLETRANSLATE(A53,""zh-tw"",""ja"")"),"R50")</f>
        <v>R50</v>
      </c>
      <c r="F53" s="118" t="s">
        <v>3317</v>
      </c>
      <c r="G53" s="135" t="s">
        <v>3318</v>
      </c>
      <c r="H53" s="69" t="s">
        <v>3319</v>
      </c>
      <c r="I53" s="121" t="str">
        <f>IFERROR(__xludf.DUMMYFUNCTION("GOOGLETRANSLATE(A53,""zh-tw"",""en"")"),"R50")</f>
        <v>R50</v>
      </c>
      <c r="J53" s="118" t="s">
        <v>3320</v>
      </c>
      <c r="K53" s="109" t="s">
        <v>3302</v>
      </c>
      <c r="L53" s="69" t="s">
        <v>3321</v>
      </c>
      <c r="M53" s="137" t="str">
        <f>IFERROR(__xludf.DUMMYFUNCTION("GOOGLETRANSLATE(A53,""zh-tw"",""en"")"),"R50")</f>
        <v>R50</v>
      </c>
      <c r="N53" s="118" t="str">
        <f>IFERROR(__xludf.DUMMYFUNCTION("GOOGLETRANSLATE(B53,""zh-tw"",""zh"")"),"商店车-4")</f>
        <v>商店车-4</v>
      </c>
      <c r="O53" s="103" t="str">
        <f>IFERROR(__xludf.DUMMYFUNCTION("GOOGLETRANSLATE(C53,""zh-tw"",""zh"")"),"商店车的固定商品之一")</f>
        <v>商店车的固定商品之一</v>
      </c>
      <c r="P53" s="71" t="str">
        <f>IFERROR(__xludf.DUMMYFUNCTION("GOOGLETRANSLATE(D53,""zh-tw"",""zh"")"),"获得道具:猪猪存钱罐
该道具在搜集到100万之后会进化(同时只能存在一个)
能获得利息、""玛门光辉""能力、移速加快能力、坚不可摧能力
P.S.无法将身上的钱喂给小猪")</f>
        <v>获得道具:猪猪存钱罐
该道具在搜集到100万之后会进化(同时只能存在一个)
能获得利息、"玛门光辉"能力、移速加快能力、坚不可摧能力
P.S.无法将身上的钱喂给小猪</v>
      </c>
      <c r="Q53" s="137" t="str">
        <f>IFERROR(__xludf.DUMMYFUNCTION("GOOGLETRANSLATE(A53,""zh-tw"",""ja"")"),"R50")</f>
        <v>R50</v>
      </c>
      <c r="R53" s="138" t="str">
        <f>IFERROR(__xludf.DUMMYFUNCTION("GOOGLETRANSLATE(B53,""zh-tw"",""es-MX"")"),"Coche de taller-4")</f>
        <v>Coche de taller-4</v>
      </c>
      <c r="S53" s="109" t="s">
        <v>3304</v>
      </c>
      <c r="T53" s="71" t="str">
        <f>IFERROR(__xludf.DUMMYFUNCTION("GOOGLETRANSLATE(D53,""zh-tw"",""es-MX"")"),"Obtener objeto: Alcancía
Este objeto evoluciona tras recolectar 1 millón de monedas (solo puede haber una a la vez). Otorga interés, la habilidad ""Resplandor Mammón"", mayor velocidad de movimiento e indestructibilidad.
P. D.: No puedes usar tus propia"&amp;"s monedas para alimentar la alcancía.")</f>
        <v>Obtener objeto: Alcancía
Este objeto evoluciona tras recolectar 1 millón de monedas (solo puede haber una a la vez). Otorga interés, la habilidad "Resplandor Mammón", mayor velocidad de movimiento e indestructibilidad.
P. D.: No puedes usar tus propias monedas para alimentar la alcancía.</v>
      </c>
      <c r="U53" s="161" t="str">
        <f>IFERROR(__xludf.DUMMYFUNCTION("GOOGLETRANSLATE(A53,""zh-tw"",""en"")"),"R50")</f>
        <v>R50</v>
      </c>
      <c r="V53" s="138" t="str">
        <f>IFERROR(__xludf.DUMMYFUNCTION("GOOGLETRANSLATE(B53,""zh-tw"",""KO"")"),"샵 카-4")</f>
        <v>샵 카-4</v>
      </c>
      <c r="W53" s="103" t="str">
        <f>IFERROR(__xludf.DUMMYFUNCTION("GOOGLETRANSLATE(C53,""zh-tw"",""KO"")"),"매장 카트의 고정 품목 중 하나")</f>
        <v>매장 카트의 고정 품목 중 하나</v>
      </c>
      <c r="X53" s="71" t="str">
        <f>IFERROR(__xludf.DUMMYFUNCTION("GOOGLETRANSLATE(D53,""zh-tw"",""KO"")"),"획득 아이템: 돼지 저금통
이 아이템은 100만 개의 코인을 모으면 진화합니다(한 번에 하나만 존재할 수 있음). 이자는 물론, ""마몬의 광채"" 능력, 이동 속도 증가, 그리고 불멸 능력을 부여합니다.
추신: 자신의 코인을 돼지 저금통에 넣을 수는 없습니다.")</f>
        <v>획득 아이템: 돼지 저금통
이 아이템은 100만 개의 코인을 모으면 진화합니다(한 번에 하나만 존재할 수 있음). 이자는 물론, "마몬의 광채" 능력, 이동 속도 증가, 그리고 불멸 능력을 부여합니다.
추신: 자신의 코인을 돼지 저금통에 넣을 수는 없습니다.</v>
      </c>
      <c r="Y53" s="161" t="str">
        <f>IFERROR(__xludf.DUMMYFUNCTION("GOOGLETRANSLATE(E53,""zh-tw"",""en"")"),"R50")</f>
        <v>R50</v>
      </c>
      <c r="Z53" s="118" t="str">
        <f>IFERROR(__xludf.DUMMYFUNCTION("GOOGLETRANSLATE(B53,""zh-tw"",""ru"")"),"Магазин Car-4")</f>
        <v>Магазин Car-4</v>
      </c>
      <c r="AA53" s="162" t="str">
        <f>IFERROR(__xludf.DUMMYFUNCTION("GOOGLETRANSLATE(C53,""zh-tw"",""RU"")"),"Один из фиксированных товаров в корзине магазина")</f>
        <v>Один из фиксированных товаров в корзине магазина</v>
      </c>
      <c r="AB53" s="64" t="str">
        <f>IFERROR(__xludf.DUMMYFUNCTION("GOOGLETRANSLATE(D53,""zh-tw"",""RU"")"),"Получить предмет: Копилка
Этот предмет эволюционирует после сбора 1 миллиона монет (одновременно может существовать только одна). Он даёт проценты, способность «Сияние Маммона», повышенную скорость передвижения и неуязвимость.
P.S. Вы не можете скормить"&amp;" свои монеты копилке.")</f>
        <v>Получить предмет: Копилка
Этот предмет эволюционирует после сбора 1 миллиона монет (одновременно может существовать только одна). Он даёт проценты, способность «Сияние Маммона», повышенную скорость передвижения и неуязвимость.
P.S. Вы не можете скормить свои монеты копилке.</v>
      </c>
      <c r="AC53" s="161" t="str">
        <f>IFERROR(__xludf.DUMMYFUNCTION("GOOGLETRANSLATE(I53,""zh-tw"",""en"")"),"R50")</f>
        <v>R50</v>
      </c>
      <c r="AD53" s="175" t="s">
        <v>3322</v>
      </c>
      <c r="AE53" s="164" t="s">
        <v>3306</v>
      </c>
      <c r="AF53" s="119" t="s">
        <v>3323</v>
      </c>
      <c r="AG53" s="98" t="s">
        <v>3314</v>
      </c>
      <c r="AH53" s="106" t="s">
        <v>3324</v>
      </c>
      <c r="AI53" s="165" t="s">
        <v>3309</v>
      </c>
      <c r="AJ53" s="67" t="s">
        <v>3325</v>
      </c>
      <c r="AK53" s="137" t="s">
        <v>3314</v>
      </c>
      <c r="AL53" s="138" t="s">
        <v>3326</v>
      </c>
      <c r="AM53" s="123" t="s">
        <v>3312</v>
      </c>
      <c r="AN53" s="124" t="s">
        <v>3327</v>
      </c>
      <c r="AO53" s="124"/>
    </row>
    <row r="54">
      <c r="A54" s="121" t="s">
        <v>3328</v>
      </c>
      <c r="B54" s="118" t="s">
        <v>3329</v>
      </c>
      <c r="C54" s="109" t="s">
        <v>3330</v>
      </c>
      <c r="D54" s="69" t="s">
        <v>3331</v>
      </c>
      <c r="E54" s="121" t="str">
        <f>IFERROR(__xludf.DUMMYFUNCTION("GOOGLETRANSLATE(A54,""zh-tw"",""ja"")"),"R51")</f>
        <v>R51</v>
      </c>
      <c r="F54" s="118" t="s">
        <v>3332</v>
      </c>
      <c r="G54" s="135" t="s">
        <v>3333</v>
      </c>
      <c r="H54" s="69" t="s">
        <v>665</v>
      </c>
      <c r="I54" s="121" t="str">
        <f>IFERROR(__xludf.DUMMYFUNCTION("GOOGLETRANSLATE(A54,""zh-tw"",""en"")"),"R51")</f>
        <v>R51</v>
      </c>
      <c r="J54" s="118" t="s">
        <v>3334</v>
      </c>
      <c r="K54" s="109" t="s">
        <v>3335</v>
      </c>
      <c r="L54" s="69" t="s">
        <v>2225</v>
      </c>
      <c r="M54" s="137" t="str">
        <f>IFERROR(__xludf.DUMMYFUNCTION("GOOGLETRANSLATE(A54,""zh-tw"",""en"")"),"R51")</f>
        <v>R51</v>
      </c>
      <c r="N54" s="118" t="str">
        <f>IFERROR(__xludf.DUMMYFUNCTION("GOOGLETRANSLATE(B54,""zh-tw"",""zh"")"),"商店车-5")</f>
        <v>商店车-5</v>
      </c>
      <c r="O54" s="103" t="str">
        <f>IFERROR(__xludf.DUMMYFUNCTION("GOOGLETRANSLATE(C54,""zh-tw"",""zh"")"),"
在商店车出现时，如果哥哥刚好被撞到并HP归零，会到新地图(未实装)")</f>
        <v>
在商店车出现时，如果哥哥刚好被撞到并HP归零，会到新地图(未实装)</v>
      </c>
      <c r="P54" s="71" t="str">
        <f>IFERROR(__xludf.DUMMYFUNCTION("GOOGLETRANSLATE(D54,""zh-tw"",""zh"")"),"未实装")</f>
        <v>未实装</v>
      </c>
      <c r="Q54" s="137" t="str">
        <f>IFERROR(__xludf.DUMMYFUNCTION("GOOGLETRANSLATE(A54,""zh-tw"",""ja"")"),"R51")</f>
        <v>R51</v>
      </c>
      <c r="R54" s="138" t="str">
        <f>IFERROR(__xludf.DUMMYFUNCTION("GOOGLETRANSLATE(B54,""zh-tw"",""es-MX"")"),"Camión de tienda-5")</f>
        <v>Camión de tienda-5</v>
      </c>
      <c r="S54" s="109" t="s">
        <v>3336</v>
      </c>
      <c r="T54" s="71" t="str">
        <f>IFERROR(__xludf.DUMMYFUNCTION("GOOGLETRANSLATE(D54,""zh-tw"",""es-MX"")"),"No implementado")</f>
        <v>No implementado</v>
      </c>
      <c r="U54" s="161" t="str">
        <f>IFERROR(__xludf.DUMMYFUNCTION("GOOGLETRANSLATE(A54,""zh-tw"",""en"")"),"R51")</f>
        <v>R51</v>
      </c>
      <c r="V54" s="138" t="str">
        <f>IFERROR(__xludf.DUMMYFUNCTION("GOOGLETRANSLATE(B54,""zh-tw"",""KO"")"),"트럭 5호점")</f>
        <v>트럭 5호점</v>
      </c>
      <c r="W54" s="103" t="str">
        <f>IFERROR(__xludf.DUMMYFUNCTION("GOOGLETRANSLATE(C54,""zh-tw"",""KO"")"),"형이 상점 트럭에 치여 체력이 0이 되면 새로운 맵으로 이동하게 됩니다(아직 구현되지 않음).")</f>
        <v>형이 상점 트럭에 치여 체력이 0이 되면 새로운 맵으로 이동하게 됩니다(아직 구현되지 않음).</v>
      </c>
      <c r="X54" s="71" t="str">
        <f>IFERROR(__xludf.DUMMYFUNCTION("GOOGLETRANSLATE(D54,""zh-tw"",""KO"")"),"구현되지 않음")</f>
        <v>구현되지 않음</v>
      </c>
      <c r="Y54" s="161" t="str">
        <f>IFERROR(__xludf.DUMMYFUNCTION("GOOGLETRANSLATE(E54,""zh-tw"",""en"")"),"R51")</f>
        <v>R51</v>
      </c>
      <c r="Z54" s="118" t="str">
        <f>IFERROR(__xludf.DUMMYFUNCTION("GOOGLETRANSLATE(B54,""zh-tw"",""ru"")"),"Магазин Truck-5")</f>
        <v>Магазин Truck-5</v>
      </c>
      <c r="AA54" s="162" t="str">
        <f>IFERROR(__xludf.DUMMYFUNCTION("GOOGLETRANSLATE(C54,""zh-tw"",""RU"")"),"Если старшего брата собьет грузовик с магазином и его здоровье достигнет нуля, он будет перенесен на новую карту (пока не реализовано).")</f>
        <v>Если старшего брата собьет грузовик с магазином и его здоровье достигнет нуля, он будет перенесен на новую карту (пока не реализовано).</v>
      </c>
      <c r="AB54" s="64" t="str">
        <f>IFERROR(__xludf.DUMMYFUNCTION("GOOGLETRANSLATE(D54,""zh-tw"",""RU"")"),"Не реализовано")</f>
        <v>Не реализовано</v>
      </c>
      <c r="AC54" s="161" t="str">
        <f>IFERROR(__xludf.DUMMYFUNCTION("GOOGLETRANSLATE(I54,""zh-tw"",""en"")"),"R51")</f>
        <v>R51</v>
      </c>
      <c r="AD54" s="175" t="s">
        <v>3337</v>
      </c>
      <c r="AE54" s="164" t="s">
        <v>3338</v>
      </c>
      <c r="AF54" s="119" t="s">
        <v>3092</v>
      </c>
      <c r="AG54" s="98" t="s">
        <v>3328</v>
      </c>
      <c r="AH54" s="106" t="s">
        <v>3339</v>
      </c>
      <c r="AI54" s="165" t="s">
        <v>3340</v>
      </c>
      <c r="AJ54" s="67" t="s">
        <v>3341</v>
      </c>
      <c r="AK54" s="137" t="s">
        <v>3328</v>
      </c>
      <c r="AL54" s="138" t="s">
        <v>3342</v>
      </c>
      <c r="AM54" s="123" t="s">
        <v>3343</v>
      </c>
      <c r="AN54" s="124" t="s">
        <v>2235</v>
      </c>
      <c r="AO54" s="124"/>
    </row>
    <row r="55">
      <c r="A55" s="121" t="s">
        <v>3344</v>
      </c>
      <c r="B55" s="106" t="s">
        <v>3345</v>
      </c>
      <c r="C55" s="108" t="s">
        <v>3346</v>
      </c>
      <c r="D55" s="67" t="s">
        <v>3347</v>
      </c>
      <c r="E55" s="98" t="str">
        <f>IFERROR(__xludf.DUMMYFUNCTION("GOOGLETRANSLATE(A55,""zh-tw"",""ja"")"),"R52")</f>
        <v>R52</v>
      </c>
      <c r="F55" s="106" t="s">
        <v>3348</v>
      </c>
      <c r="G55" s="108" t="s">
        <v>3349</v>
      </c>
      <c r="H55" s="67" t="s">
        <v>3350</v>
      </c>
      <c r="I55" s="98" t="str">
        <f>IFERROR(__xludf.DUMMYFUNCTION("GOOGLETRANSLATE(A55,""zh-tw"",""en"")"),"R52")</f>
        <v>R52</v>
      </c>
      <c r="J55" s="106" t="s">
        <v>3351</v>
      </c>
      <c r="K55" s="108" t="s">
        <v>3352</v>
      </c>
      <c r="L55" s="67" t="s">
        <v>3353</v>
      </c>
      <c r="M55" s="137" t="str">
        <f>IFERROR(__xludf.DUMMYFUNCTION("GOOGLETRANSLATE(A55,""zh-tw"",""en"")"),"R52")</f>
        <v>R52</v>
      </c>
      <c r="N55" s="106" t="str">
        <f>IFERROR(__xludf.DUMMYFUNCTION("GOOGLETRANSLATE(B55,""zh-tw"",""zh"")"),"稻草人")</f>
        <v>稻草人</v>
      </c>
      <c r="O55" s="141" t="str">
        <f>IFERROR(__xludf.DUMMYFUNCTION("GOOGLETRANSLATE(C55,""zh-tw"",""zh"")"),"主要用于测试玩家伤害数值用，有可能透过其他方式击杀。
(可以参考TIPS)")</f>
        <v>主要用于测试玩家伤害数值用，有可能透过其他方式击杀。
(可以参考TIPS)</v>
      </c>
      <c r="P55" s="142" t="str">
        <f>IFERROR(__xludf.DUMMYFUNCTION("GOOGLETRANSLATE(D55,""zh-tw"",""zh"")"),"获得道具：稻草人的心")</f>
        <v>获得道具：稻草人的心</v>
      </c>
      <c r="Q55" s="137" t="str">
        <f>IFERROR(__xludf.DUMMYFUNCTION("GOOGLETRANSLATE(A55,""zh-tw"",""ja"")"),"R52")</f>
        <v>R52</v>
      </c>
      <c r="R55" s="138" t="str">
        <f>IFERROR(__xludf.DUMMYFUNCTION("GOOGLETRANSLATE(B55,""zh-tw"",""es-MX"")"),"espantapájaros")</f>
        <v>espantapájaros</v>
      </c>
      <c r="S55" s="103" t="str">
        <f>IFERROR(__xludf.DUMMYFUNCTION("GOOGLETRANSLATE(C55,""zh-tw"",""es-MX"")"),"Se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5" s="124" t="str">
        <f>IFERROR(__xludf.DUMMYFUNCTION("GOOGLETRANSLATE(D55,""zh-tw"",""es-MX"")"),"Objeto obtenido: Corazón de espantapájaros")</f>
        <v>Objeto obtenido: Corazón de espantapájaros</v>
      </c>
      <c r="U55" s="161" t="str">
        <f>IFERROR(__xludf.DUMMYFUNCTION("GOOGLETRANSLATE(A55,""zh-tw"",""en"")"),"R52")</f>
        <v>R52</v>
      </c>
      <c r="V55" s="138" t="str">
        <f>IFERROR(__xludf.DUMMYFUNCTION("GOOGLETRANSLATE(B55,""zh-tw"",""KO"")"),"허수아비")</f>
        <v>허수아비</v>
      </c>
      <c r="W55" s="103" t="str">
        <f>IFERROR(__xludf.DUMMYFUNCTION("GOOGLETRANSLATE(C55,""zh-tw"",""KO"")"),"주로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5" s="124" t="str">
        <f>IFERROR(__xludf.DUMMYFUNCTION("GOOGLETRANSLATE(D55,""zh-tw"",""KO"")"),"획득 아이템: 허수아비의 심장")</f>
        <v>획득 아이템: 허수아비의 심장</v>
      </c>
      <c r="Y55" s="161" t="str">
        <f>IFERROR(__xludf.DUMMYFUNCTION("GOOGLETRANSLATE(E55,""zh-tw"",""en"")"),"R52")</f>
        <v>R52</v>
      </c>
      <c r="Z55" s="106" t="str">
        <f>IFERROR(__xludf.DUMMYFUNCTION("GOOGLETRANSLATE(B55,""zh-tw"",""ru"")"),"пугало")</f>
        <v>пугало</v>
      </c>
      <c r="AA55" s="162" t="str">
        <f>IFERROR(__xludf.DUMMYFUNCTION("GOOGLETRANSLATE(C55,""zh-tw"",""RU"")"),"В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5" s="128" t="str">
        <f>IFERROR(__xludf.DUMMYFUNCTION("GOOGLETRANSLATE(D55,""zh-tw"",""RU"")"),"Полученный предмет: Сердце Пугала")</f>
        <v>Полученный предмет: Сердце Пугала</v>
      </c>
      <c r="AC55" s="161" t="str">
        <f>IFERROR(__xludf.DUMMYFUNCTION("GOOGLETRANSLATE(I55,""zh-tw"",""en"")"),"R52")</f>
        <v>R52</v>
      </c>
      <c r="AD55" s="106" t="s">
        <v>3354</v>
      </c>
      <c r="AE55" s="108" t="s">
        <v>3355</v>
      </c>
      <c r="AF55" s="67" t="s">
        <v>3356</v>
      </c>
      <c r="AG55" s="98" t="s">
        <v>3344</v>
      </c>
      <c r="AH55" s="106" t="s">
        <v>3357</v>
      </c>
      <c r="AI55" s="165" t="s">
        <v>3358</v>
      </c>
      <c r="AJ55" s="67" t="s">
        <v>3359</v>
      </c>
      <c r="AK55" s="137" t="s">
        <v>3344</v>
      </c>
      <c r="AL55" s="138" t="s">
        <v>3360</v>
      </c>
      <c r="AM55" s="123" t="s">
        <v>3361</v>
      </c>
      <c r="AN55" s="124" t="s">
        <v>3362</v>
      </c>
      <c r="AO55" s="124"/>
    </row>
    <row r="56">
      <c r="A56" s="121" t="s">
        <v>3363</v>
      </c>
      <c r="B56" s="118" t="s">
        <v>3364</v>
      </c>
      <c r="C56" s="109" t="s">
        <v>3365</v>
      </c>
      <c r="D56" s="69" t="s">
        <v>3366</v>
      </c>
      <c r="E56" s="121" t="str">
        <f>IFERROR(__xludf.DUMMYFUNCTION("GOOGLETRANSLATE(A56,""zh-tw"",""ja"")"),"R53")</f>
        <v>R53</v>
      </c>
      <c r="F56" s="118" t="s">
        <v>3364</v>
      </c>
      <c r="G56" s="109" t="s">
        <v>3367</v>
      </c>
      <c r="H56" s="69" t="s">
        <v>3368</v>
      </c>
      <c r="I56" s="121" t="str">
        <f>IFERROR(__xludf.DUMMYFUNCTION("GOOGLETRANSLATE(A56,""zh-tw"",""en"")"),"R53")</f>
        <v>R53</v>
      </c>
      <c r="J56" s="118" t="s">
        <v>3369</v>
      </c>
      <c r="K56" s="109" t="s">
        <v>3370</v>
      </c>
      <c r="L56" s="69" t="s">
        <v>3371</v>
      </c>
      <c r="M56" s="137" t="str">
        <f>IFERROR(__xludf.DUMMYFUNCTION("GOOGLETRANSLATE(A56,""zh-tw"",""en"")"),"R53")</f>
        <v>R53</v>
      </c>
      <c r="N56" s="118" t="str">
        <f>IFERROR(__xludf.DUMMYFUNCTION("GOOGLETRANSLATE(B56,""zh-tw"",""zh"")"),"忍术-1")</f>
        <v>忍术-1</v>
      </c>
      <c r="O56" s="103" t="str">
        <f>IFERROR(__xludf.DUMMYFUNCTION("GOOGLETRANSLATE(C56,""zh-tw"",""zh"")"),"于第R18项目的位置，投喂食物后，可以与忍者NPC学习技能")</f>
        <v>于第R18项目的位置，投喂食物后，可以与忍者NPC学习技能</v>
      </c>
      <c r="P56" s="71" t="str">
        <f>IFERROR(__xludf.DUMMYFUNCTION("GOOGLETRANSLATE(D56,""zh-tw"",""zh"")"),"习得技能：气息消除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6" s="137" t="str">
        <f>IFERROR(__xludf.DUMMYFUNCTION("GOOGLETRANSLATE(A56,""zh-tw"",""ja"")"),"R53")</f>
        <v>R53</v>
      </c>
      <c r="R56" s="118" t="s">
        <v>3372</v>
      </c>
      <c r="S56" s="103" t="str">
        <f>IFERROR(__xludf.DUMMYFUNCTION("GOOGLETRANSLATE(C56,""zh-tw"",""es-MX"")"),"En la ubicación del objeto R18, después de alimentar al ninja, puedes aprender habilidades del NPC ninja.")</f>
        <v>En la ubicación del objeto R18, después de alimentar al ninja, puedes aprender habilidades del NPC ninja.</v>
      </c>
      <c r="T56" s="71" t="str">
        <f>IFERROR(__xludf.DUMMYFUNCTION("GOOGLETRANSLATE(D56,""zh-tw"",""es-MX"")"),"Habilidad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6" s="161" t="str">
        <f>IFERROR(__xludf.DUMMYFUNCTION("GOOGLETRANSLATE(A56,""zh-tw"",""en"")"),"R53")</f>
        <v>R53</v>
      </c>
      <c r="V56" s="138" t="str">
        <f>IFERROR(__xludf.DUMMYFUNCTION("GOOGLETRANSLATE(B56,""zh-tw"",""KO"")"),"인술-1")</f>
        <v>인술-1</v>
      </c>
      <c r="W56" s="103" t="str">
        <f>IFERROR(__xludf.DUMMYFUNCTION("GOOGLETRANSLATE(C56,""zh-tw"",""KO"")"),"R18 아이템이 있는 곳에서 닌자에게 먹이를 준 후, 닌자 NPC로부터 기술을 배울 수 있습니다.")</f>
        <v>R18 아이템이 있는 곳에서 닌자에게 먹이를 준 후, 닌자 NPC로부터 기술을 배울 수 있습니다.</v>
      </c>
      <c r="X56" s="71" t="str">
        <f>IFERROR(__xludf.DUMMYFUNCTION("GOOGLETRANSLATE(D56,""zh-tw"",""KO"")"),"습득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6" s="161" t="str">
        <f>IFERROR(__xludf.DUMMYFUNCTION("GOOGLETRANSLATE(E56,""zh-tw"",""en"")"),"R53")</f>
        <v>R53</v>
      </c>
      <c r="Z56" s="118" t="str">
        <f>IFERROR(__xludf.DUMMYFUNCTION("GOOGLETRANSLATE(B56,""zh-tw"",""ru"")"),"Ниндзюцу-1")</f>
        <v>Ниндзюцу-1</v>
      </c>
      <c r="AA56" s="162" t="str">
        <f>IFERROR(__xludf.DUMMYFUNCTION("GOOGLETRANSLATE(C56,""zh-tw"",""RU"")"),"В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6" s="64" t="str">
        <f>IFERROR(__xludf.DUMMYFUNCTION("GOOGLETRANSLATE(D56,""zh-tw"",""RU"")"),"Изученный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v>
      </c>
      <c r="AC56" s="161" t="str">
        <f>IFERROR(__xludf.DUMMYFUNCTION("GOOGLETRANSLATE(I56,""zh-tw"",""en"")"),"R53")</f>
        <v>R53</v>
      </c>
      <c r="AD56" s="175" t="s">
        <v>3373</v>
      </c>
      <c r="AE56" s="164" t="s">
        <v>3374</v>
      </c>
      <c r="AF56" s="119" t="s">
        <v>3375</v>
      </c>
      <c r="AG56" s="98" t="s">
        <v>3363</v>
      </c>
      <c r="AH56" s="106" t="s">
        <v>3376</v>
      </c>
      <c r="AI56" s="165" t="s">
        <v>3377</v>
      </c>
      <c r="AJ56" s="67" t="s">
        <v>3378</v>
      </c>
      <c r="AK56" s="137" t="s">
        <v>3363</v>
      </c>
      <c r="AL56" s="138" t="s">
        <v>3369</v>
      </c>
      <c r="AM56" s="123" t="s">
        <v>3379</v>
      </c>
      <c r="AN56" s="124" t="s">
        <v>3380</v>
      </c>
      <c r="AO56" s="124"/>
    </row>
    <row r="57">
      <c r="A57" s="121" t="s">
        <v>3381</v>
      </c>
      <c r="B57" s="118" t="s">
        <v>3382</v>
      </c>
      <c r="C57" s="109" t="s">
        <v>3383</v>
      </c>
      <c r="D57" s="69" t="s">
        <v>3384</v>
      </c>
      <c r="E57" s="121" t="str">
        <f>IFERROR(__xludf.DUMMYFUNCTION("GOOGLETRANSLATE(A57,""zh-tw"",""ja"")"),"R54")</f>
        <v>R54</v>
      </c>
      <c r="F57" s="118" t="s">
        <v>3382</v>
      </c>
      <c r="G57" s="109" t="s">
        <v>3385</v>
      </c>
      <c r="H57" s="69" t="s">
        <v>3386</v>
      </c>
      <c r="I57" s="121" t="str">
        <f>IFERROR(__xludf.DUMMYFUNCTION("GOOGLETRANSLATE(A57,""zh-tw"",""en"")"),"R54")</f>
        <v>R54</v>
      </c>
      <c r="J57" s="118" t="s">
        <v>3387</v>
      </c>
      <c r="K57" s="109" t="s">
        <v>3388</v>
      </c>
      <c r="L57" s="69" t="s">
        <v>3389</v>
      </c>
      <c r="M57" s="137" t="str">
        <f>IFERROR(__xludf.DUMMYFUNCTION("GOOGLETRANSLATE(A57,""zh-tw"",""en"")"),"R54")</f>
        <v>R54</v>
      </c>
      <c r="N57" s="118" t="str">
        <f>IFERROR(__xludf.DUMMYFUNCTION("GOOGLETRANSLATE(B57,""zh-tw"",""zh"")"),"忍术-2")</f>
        <v>忍术-2</v>
      </c>
      <c r="O57" s="103" t="str">
        <f>IFERROR(__xludf.DUMMYFUNCTION("GOOGLETRANSLATE(C57,""zh-tw"",""zh"")"),"同上，投喂食物后，可以学习另一项技能
PS：详细内容于TIPS中")</f>
        <v>同上，投喂食物后，可以学习另一项技能
PS：详细内容于TIPS中</v>
      </c>
      <c r="P57" s="71" t="str">
        <f>IFERROR(__xludf.DUMMYFUNCTION("GOOGLETRANSLATE(D57,""zh-tw"",""zh"")"),"习得技能：背后刺杀
于敌人背后进行攻击，可提升伤害。倍率会随着熟练度提升，最高可以达到300%")</f>
        <v>习得技能：背后刺杀
于敌人背后进行攻击，可提升伤害。倍率会随着熟练度提升，最高可以达到300%</v>
      </c>
      <c r="Q57" s="137" t="str">
        <f>IFERROR(__xludf.DUMMYFUNCTION("GOOGLETRANSLATE(A57,""zh-tw"",""ja"")"),"R54")</f>
        <v>R54</v>
      </c>
      <c r="R57" s="118" t="s">
        <v>3390</v>
      </c>
      <c r="S57" s="103" t="str">
        <f>IFERROR(__xludf.DUMMYFUNCTION("GOOGLETRANSLATE(C57,""zh-tw"",""es-MX"")"),"Como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7" s="71" t="str">
        <f>IFERROR(__xludf.DUMMYFUNCTION("GOOGLETRANSLATE(D57,""zh-tw"",""es-MX"")"),"Habilidad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7" s="161" t="str">
        <f>IFERROR(__xludf.DUMMYFUNCTION("GOOGLETRANSLATE(A57,""zh-tw"",""en"")"),"R54")</f>
        <v>R54</v>
      </c>
      <c r="V57" s="138" t="str">
        <f>IFERROR(__xludf.DUMMYFUNCTION("GOOGLETRANSLATE(B57,""zh-tw"",""KO"")"),"인술-2")</f>
        <v>인술-2</v>
      </c>
      <c r="W57" s="103" t="str">
        <f>IFERROR(__xludf.DUMMYFUNCTION("GOOGLETRANSLATE(C57,""zh-tw"",""KO"")"),"위에서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7" s="71" t="str">
        <f>IFERROR(__xludf.DUMMYFUNCTION("GOOGLETRANSLATE(D57,""zh-tw"",""KO"")"),"습득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7" s="161" t="str">
        <f>IFERROR(__xludf.DUMMYFUNCTION("GOOGLETRANSLATE(E57,""zh-tw"",""en"")"),"R54")</f>
        <v>R54</v>
      </c>
      <c r="Z57" s="118" t="str">
        <f>IFERROR(__xludf.DUMMYFUNCTION("GOOGLETRANSLATE(B57,""zh-tw"",""ru"")"),"Ниндзюцу-2")</f>
        <v>Ниндзюцу-2</v>
      </c>
      <c r="AA57" s="162" t="str">
        <f>IFERROR(__xludf.DUMMYFUNCTION("GOOGLETRANSLATE(C57,""zh-tw"",""RU"")"),"Как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7" s="64" t="str">
        <f>IFERROR(__xludf.DUMMYFUNCTION("GOOGLETRANSLATE(D57,""zh-tw"",""RU"")"),"Изученный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7" s="161" t="str">
        <f>IFERROR(__xludf.DUMMYFUNCTION("GOOGLETRANSLATE(I57,""zh-tw"",""en"")"),"R54")</f>
        <v>R54</v>
      </c>
      <c r="AD57" s="175" t="s">
        <v>3391</v>
      </c>
      <c r="AE57" s="164" t="s">
        <v>3392</v>
      </c>
      <c r="AF57" s="119" t="s">
        <v>3393</v>
      </c>
      <c r="AG57" s="98" t="s">
        <v>3381</v>
      </c>
      <c r="AH57" s="106" t="s">
        <v>3394</v>
      </c>
      <c r="AI57" s="165" t="s">
        <v>3395</v>
      </c>
      <c r="AJ57" s="67" t="s">
        <v>3396</v>
      </c>
      <c r="AK57" s="137" t="s">
        <v>3381</v>
      </c>
      <c r="AL57" s="138" t="s">
        <v>3387</v>
      </c>
      <c r="AM57" s="123" t="s">
        <v>3397</v>
      </c>
      <c r="AN57" s="124" t="s">
        <v>3398</v>
      </c>
      <c r="AO57" s="124"/>
    </row>
    <row r="58">
      <c r="A58" s="121" t="s">
        <v>3399</v>
      </c>
      <c r="B58" s="118" t="s">
        <v>3400</v>
      </c>
      <c r="C58" s="109" t="s">
        <v>3401</v>
      </c>
      <c r="D58" s="69" t="s">
        <v>3402</v>
      </c>
      <c r="E58" s="121" t="str">
        <f>IFERROR(__xludf.DUMMYFUNCTION("GOOGLETRANSLATE(A58,""zh-tw"",""ja"")"),"R55")</f>
        <v>R55</v>
      </c>
      <c r="F58" s="118" t="s">
        <v>3403</v>
      </c>
      <c r="G58" s="109" t="s">
        <v>3404</v>
      </c>
      <c r="H58" s="69" t="s">
        <v>3405</v>
      </c>
      <c r="I58" s="121" t="str">
        <f>IFERROR(__xludf.DUMMYFUNCTION("GOOGLETRANSLATE(A58,""zh-tw"",""en"")"),"R55")</f>
        <v>R55</v>
      </c>
      <c r="J58" s="118" t="s">
        <v>3406</v>
      </c>
      <c r="K58" s="109" t="s">
        <v>3407</v>
      </c>
      <c r="L58" s="69" t="s">
        <v>3408</v>
      </c>
      <c r="M58" s="137" t="str">
        <f>IFERROR(__xludf.DUMMYFUNCTION("GOOGLETRANSLATE(A58,""zh-tw"",""en"")"),"R55")</f>
        <v>R55</v>
      </c>
      <c r="N58" s="118" t="str">
        <f>IFERROR(__xludf.DUMMYFUNCTION("GOOGLETRANSLATE(B58,""zh-tw"",""zh"")"),"大焦热溶岩带")</f>
        <v>大焦热溶岩带</v>
      </c>
      <c r="O58" s="103" t="str">
        <f>IFERROR(__xludf.DUMMYFUNCTION("GOOGLETRANSLATE(C58,""zh-tw"",""zh"")"),"于被遗忘的墓穴-2，往洞口掉落(请携带复活羽毛)，即可抵达新地图")</f>
        <v>于被遗忘的墓穴-2，往洞口掉落(请携带复活羽毛)，即可抵达新地图</v>
      </c>
      <c r="P58" s="71" t="str">
        <f>IFERROR(__xludf.DUMMYFUNCTION("GOOGLETRANSLATE(D58,""zh-tw"",""zh"")"),"新地图：大焦热溶岩带
(本地图各功能皆尚未完成，可能遭遇错误BUG，未存档前不建议前往。)")</f>
        <v>新地图：大焦热溶岩带
(本地图各功能皆尚未完成，可能遭遇错误BUG，未存档前不建议前往。)</v>
      </c>
      <c r="Q58" s="137" t="str">
        <f>IFERROR(__xludf.DUMMYFUNCTION("GOOGLETRANSLATE(A58,""zh-tw"",""ja"")"),"R55")</f>
        <v>R55</v>
      </c>
      <c r="R58" s="118" t="s">
        <v>3409</v>
      </c>
      <c r="S58" s="109" t="s">
        <v>3410</v>
      </c>
      <c r="T58" s="71" t="str">
        <f>IFERROR(__xludf.DUMMYFUNCTION("GOOGLETRANSLATE(D58,""zh-tw"",""es-MX"")"),"Nuevo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8" s="161" t="str">
        <f>IFERROR(__xludf.DUMMYFUNCTION("GOOGLETRANSLATE(A58,""zh-tw"",""en"")"),"R55")</f>
        <v>R55</v>
      </c>
      <c r="V58" s="138" t="str">
        <f>IFERROR(__xludf.DUMMYFUNCTION("GOOGLETRANSLATE(B58,""zh-tw"",""KO"")"),"다자오 뜨거운 용암대")</f>
        <v>다자오 뜨거운 용암대</v>
      </c>
      <c r="W58" s="103" t="str">
        <f>IFERROR(__xludf.DUMMYFUNCTION("GOOGLETRANSLATE(C58,""zh-tw"",""KO"")"),"잊혀진 무덤-2에서 입구로 내려가세요(부활 깃털을 가져오세요). 그러면 새로운 지도에 도달할 수 있습니다.")</f>
        <v>잊혀진 무덤-2에서 입구로 내려가세요(부활 깃털을 가져오세요). 그러면 새로운 지도에 도달할 수 있습니다.</v>
      </c>
      <c r="X58" s="71" t="str">
        <f>IFERROR(__xludf.DUMMYFUNCTION("GOOGLETRANSLATE(D58,""zh-tw"",""KO"")"),"새로운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8" s="161" t="str">
        <f>IFERROR(__xludf.DUMMYFUNCTION("GOOGLETRANSLATE(E58,""zh-tw"",""en"")"),"R55")</f>
        <v>R55</v>
      </c>
      <c r="Z58" s="118" t="str">
        <f>IFERROR(__xludf.DUMMYFUNCTION("GOOGLETRANSLATE(B58,""zh-tw"",""ru"")"),"Пояс горячей лавы Дацзяо")</f>
        <v>Пояс горячей лавы Дацзяо</v>
      </c>
      <c r="AA58" s="162" t="str">
        <f>IFERROR(__xludf.DUMMYFUNCTION("GOOGLETRANSLATE(C58,""zh-tw"",""RU"")"),"В Забытой Гробнице-2 спуститесь к входу (принесите перо воскрешения), чтобы добраться до новой карты.")</f>
        <v>В Забытой Гробнице-2 спуститесь к входу (принесите перо воскрешения), чтобы добраться до новой карты.</v>
      </c>
      <c r="AB58" s="64" t="str">
        <f>IFERROR(__xludf.DUMMYFUNCTION("GOOGLETRANSLATE(D58,""zh-tw"",""RU"")"),"Новая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8" s="161" t="str">
        <f>IFERROR(__xludf.DUMMYFUNCTION("GOOGLETRANSLATE(I58,""zh-tw"",""en"")"),"R55")</f>
        <v>R55</v>
      </c>
      <c r="AD58" s="175" t="s">
        <v>3411</v>
      </c>
      <c r="AE58" s="164" t="s">
        <v>3412</v>
      </c>
      <c r="AF58" s="119" t="s">
        <v>3413</v>
      </c>
      <c r="AG58" s="98" t="s">
        <v>3399</v>
      </c>
      <c r="AH58" s="106" t="s">
        <v>3414</v>
      </c>
      <c r="AI58" s="165" t="s">
        <v>3415</v>
      </c>
      <c r="AJ58" s="67" t="s">
        <v>3416</v>
      </c>
      <c r="AK58" s="137" t="s">
        <v>3399</v>
      </c>
      <c r="AL58" s="138" t="s">
        <v>3417</v>
      </c>
      <c r="AM58" s="123" t="s">
        <v>3418</v>
      </c>
      <c r="AN58" s="124" t="s">
        <v>3419</v>
      </c>
      <c r="AO58" s="124"/>
    </row>
    <row r="59">
      <c r="A59" s="121" t="s">
        <v>3420</v>
      </c>
      <c r="B59" s="118" t="s">
        <v>3421</v>
      </c>
      <c r="C59" s="109" t="s">
        <v>3422</v>
      </c>
      <c r="D59" s="69" t="s">
        <v>3423</v>
      </c>
      <c r="E59" s="121" t="str">
        <f>IFERROR(__xludf.DUMMYFUNCTION("GOOGLETRANSLATE(A59,""zh-tw"",""ja"")"),"R56")</f>
        <v>R56</v>
      </c>
      <c r="F59" s="118" t="s">
        <v>3424</v>
      </c>
      <c r="G59" s="135" t="s">
        <v>3425</v>
      </c>
      <c r="H59" s="69" t="s">
        <v>3426</v>
      </c>
      <c r="I59" s="121" t="str">
        <f>IFERROR(__xludf.DUMMYFUNCTION("GOOGLETRANSLATE(A59,""zh-tw"",""en"")"),"R56")</f>
        <v>R56</v>
      </c>
      <c r="J59" s="118" t="s">
        <v>3427</v>
      </c>
      <c r="K59" s="135" t="s">
        <v>3428</v>
      </c>
      <c r="L59" s="69" t="s">
        <v>3429</v>
      </c>
      <c r="M59" s="137" t="str">
        <f>IFERROR(__xludf.DUMMYFUNCTION("GOOGLETRANSLATE(A59,""zh-tw"",""en"")"),"R56")</f>
        <v>R56</v>
      </c>
      <c r="N59" s="118" t="str">
        <f>IFERROR(__xludf.DUMMYFUNCTION("GOOGLETRANSLATE(B59,""zh-tw"",""zh"")"),"甲虫")</f>
        <v>甲虫</v>
      </c>
      <c r="O59" s="103" t="str">
        <f>IFERROR(__xludf.DUMMYFUNCTION("GOOGLETRANSLATE(C59,""zh-tw"",""zh"")"),"同R16，出现了一个未知的生物")</f>
        <v>同R16，出现了一个未知的生物</v>
      </c>
      <c r="P59" s="71" t="str">
        <f>IFERROR(__xludf.DUMMYFUNCTION("GOOGLETRANSLATE(D59,""zh-tw"",""zh"")"),"初步设置的BOSS甲虫
目前无作用")</f>
        <v>初步设置的BOSS甲虫
目前无作用</v>
      </c>
      <c r="Q59" s="137" t="str">
        <f>IFERROR(__xludf.DUMMYFUNCTION("GOOGLETRANSLATE(A59,""zh-tw"",""ja"")"),"R56")</f>
        <v>R56</v>
      </c>
      <c r="R59" s="138" t="str">
        <f>IFERROR(__xludf.DUMMYFUNCTION("GOOGLETRANSLATE(B59,""zh-tw"",""es-MX"")"),"escarabajo")</f>
        <v>escarabajo</v>
      </c>
      <c r="S59" s="103" t="str">
        <f>IFERROR(__xludf.DUMMYFUNCTION("GOOGLETRANSLATE(C59,""zh-tw"",""es-MX"")"),"Al igual que R16, apareció una criatura desconocida.")</f>
        <v>Al igual que R16, apareció una criatura desconocida.</v>
      </c>
      <c r="T59" s="71" t="str">
        <f>IFERROR(__xludf.DUMMYFUNCTION("GOOGLETRANSLATE(D59,""zh-tw"",""es-MX"")"),"La configuración inicial del BOSS Beetle actualmente no es efectiva.")</f>
        <v>La configuración inicial del BOSS Beetle actualmente no es efectiva.</v>
      </c>
      <c r="U59" s="161" t="str">
        <f>IFERROR(__xludf.DUMMYFUNCTION("GOOGLETRANSLATE(A59,""zh-tw"",""en"")"),"R56")</f>
        <v>R56</v>
      </c>
      <c r="V59" s="138" t="str">
        <f>IFERROR(__xludf.DUMMYFUNCTION("GOOGLETRANSLATE(B59,""zh-tw"",""KO"")"),"갑충")</f>
        <v>갑충</v>
      </c>
      <c r="W59" s="103" t="str">
        <f>IFERROR(__xludf.DUMMYFUNCTION("GOOGLETRANSLATE(C59,""zh-tw"",""KO"")"),"R16과 비슷하게, 알려지지 않은 생물이 등장했습니다.")</f>
        <v>R16과 비슷하게, 알려지지 않은 생물이 등장했습니다.</v>
      </c>
      <c r="X59" s="71" t="str">
        <f>IFERROR(__xludf.DUMMYFUNCTION("GOOGLETRANSLATE(D59,""zh-tw"",""KO"")"),"BOSS 비틀의 초기 설정은 현재 효과가 없습니다.")</f>
        <v>BOSS 비틀의 초기 설정은 현재 효과가 없습니다.</v>
      </c>
      <c r="Y59" s="161" t="str">
        <f>IFERROR(__xludf.DUMMYFUNCTION("GOOGLETRANSLATE(E59,""zh-tw"",""en"")"),"R56")</f>
        <v>R56</v>
      </c>
      <c r="Z59" s="118" t="str">
        <f>IFERROR(__xludf.DUMMYFUNCTION("GOOGLETRANSLATE(B59,""zh-tw"",""ru"")"),"жук")</f>
        <v>жук</v>
      </c>
      <c r="AA59" s="162" t="str">
        <f>IFERROR(__xludf.DUMMYFUNCTION("GOOGLETRANSLATE(C59,""zh-tw"",""RU"")"),"Подобно R16, появилось неизвестное существо.")</f>
        <v>Подобно R16, появилось неизвестное существо.</v>
      </c>
      <c r="AB59" s="64" t="str">
        <f>IFERROR(__xludf.DUMMYFUNCTION("GOOGLETRANSLATE(D59,""zh-tw"",""RU"")"),"Первоначальная настройка жука BOSS в настоящее время неэффективна.")</f>
        <v>Первоначальная настройка жука BOSS в настоящее время неэффективна.</v>
      </c>
      <c r="AC59" s="161" t="str">
        <f>IFERROR(__xludf.DUMMYFUNCTION("GOOGLETRANSLATE(I59,""zh-tw"",""en"")"),"R56")</f>
        <v>R56</v>
      </c>
      <c r="AD59" s="175" t="s">
        <v>3430</v>
      </c>
      <c r="AE59" s="164" t="s">
        <v>3431</v>
      </c>
      <c r="AF59" s="119" t="s">
        <v>3432</v>
      </c>
      <c r="AG59" s="98" t="s">
        <v>3420</v>
      </c>
      <c r="AH59" s="106" t="s">
        <v>3433</v>
      </c>
      <c r="AI59" s="165" t="s">
        <v>3434</v>
      </c>
      <c r="AJ59" s="67" t="s">
        <v>3435</v>
      </c>
      <c r="AK59" s="137" t="s">
        <v>3420</v>
      </c>
      <c r="AL59" s="138" t="s">
        <v>3436</v>
      </c>
      <c r="AM59" s="141" t="s">
        <v>3437</v>
      </c>
      <c r="AN59" s="124" t="s">
        <v>3438</v>
      </c>
      <c r="AO59" s="124"/>
    </row>
    <row r="60">
      <c r="A60" s="121" t="s">
        <v>3439</v>
      </c>
      <c r="B60" s="118" t="s">
        <v>3440</v>
      </c>
      <c r="C60" s="109" t="s">
        <v>3296</v>
      </c>
      <c r="D60" s="69" t="s">
        <v>3441</v>
      </c>
      <c r="E60" s="121" t="str">
        <f>IFERROR(__xludf.DUMMYFUNCTION("GOOGLETRANSLATE(A60,""zh-tw"",""ja"")"),"R57")</f>
        <v>R57</v>
      </c>
      <c r="F60" s="118" t="s">
        <v>3442</v>
      </c>
      <c r="G60" s="109" t="s">
        <v>3443</v>
      </c>
      <c r="H60" s="69" t="s">
        <v>3444</v>
      </c>
      <c r="I60" s="121" t="str">
        <f>IFERROR(__xludf.DUMMYFUNCTION("GOOGLETRANSLATE(A60,""zh-tw"",""en"")"),"R57")</f>
        <v>R57</v>
      </c>
      <c r="J60" s="118" t="s">
        <v>3445</v>
      </c>
      <c r="K60" s="109" t="s">
        <v>3446</v>
      </c>
      <c r="L60" s="69" t="s">
        <v>3447</v>
      </c>
      <c r="M60" s="137" t="str">
        <f>IFERROR(__xludf.DUMMYFUNCTION("GOOGLETRANSLATE(A60,""zh-tw"",""en"")"),"R57")</f>
        <v>R57</v>
      </c>
      <c r="N60" s="118" t="str">
        <f>IFERROR(__xludf.DUMMYFUNCTION("GOOGLETRANSLATE(B60,""zh-tw"",""zh"")"),"商店车-6")</f>
        <v>商店车-6</v>
      </c>
      <c r="O60" s="103" t="str">
        <f>IFERROR(__xludf.DUMMYFUNCTION("GOOGLETRANSLATE(C60,""zh-tw"",""zh"")"),"商店车的固定商品之一")</f>
        <v>商店车的固定商品之一</v>
      </c>
      <c r="P60" s="71" t="str">
        <f>IFERROR(__xludf.DUMMYFUNCTION("GOOGLETRANSLATE(D60,""zh-tw"",""zh"")"),"获得道具:百合同人本
效果：提升性欲
※目前版本只是实验性道具，之后会有CG鉴赏的功能")</f>
        <v>获得道具:百合同人本
效果：提升性欲
※目前版本只是实验性道具，之后会有CG鉴赏的功能</v>
      </c>
      <c r="Q60" s="137" t="str">
        <f>IFERROR(__xludf.DUMMYFUNCTION("GOOGLETRANSLATE(A60,""zh-tw"",""ja"")"),"R57")</f>
        <v>R57</v>
      </c>
      <c r="R60" s="138" t="str">
        <f>IFERROR(__xludf.DUMMYFUNCTION("GOOGLETRANSLATE(B60,""zh-tw"",""es-MX"")"),"Camión de tienda-6")</f>
        <v>Camión de tienda-6</v>
      </c>
      <c r="S60" s="103" t="str">
        <f>IFERROR(__xludf.DUMMYFUNCTION("GOOGLETRANSLATE(C60,""zh-tw"",""es-MX"")"),"Uno de los artículos fijos en el carrito de la tienda.")</f>
        <v>Uno de los artículos fijos en el carrito de la tienda.</v>
      </c>
      <c r="T60" s="71" t="str">
        <f>IFERROR(__xludf.DUMMYFUNCTION("GOOGLETRANSLATE(D60,""zh-tw"",""es-MX"")"),"Objeto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60" s="161" t="str">
        <f>IFERROR(__xludf.DUMMYFUNCTION("GOOGLETRANSLATE(A60,""zh-tw"",""en"")"),"R57")</f>
        <v>R57</v>
      </c>
      <c r="V60" s="138" t="str">
        <f>IFERROR(__xludf.DUMMYFUNCTION("GOOGLETRANSLATE(B60,""zh-tw"",""KO"")"),"트럭 6호점")</f>
        <v>트럭 6호점</v>
      </c>
      <c r="W60" s="103" t="str">
        <f>IFERROR(__xludf.DUMMYFUNCTION("GOOGLETRANSLATE(C60,""zh-tw"",""KO"")"),"매장 카트의 고정 품목 중 하나")</f>
        <v>매장 카트의 고정 품목 중 하나</v>
      </c>
      <c r="X60" s="71" t="str">
        <f>IFERROR(__xludf.DUMMYFUNCTION("GOOGLETRANSLATE(D60,""zh-tw"",""KO"")"),"획득 아이템: 유리코 동인지
효과: 성욕 증가
※이 아이템은 현재 실험 단계이며, 추후 CG 감상 기능이 추가될 예정입니다.")</f>
        <v>획득 아이템: 유리코 동인지
효과: 성욕 증가
※이 아이템은 현재 실험 단계이며, 추후 CG 감상 기능이 추가될 예정입니다.</v>
      </c>
      <c r="Y60" s="161" t="str">
        <f>IFERROR(__xludf.DUMMYFUNCTION("GOOGLETRANSLATE(E60,""zh-tw"",""en"")"),"R57")</f>
        <v>R57</v>
      </c>
      <c r="Z60" s="118" t="str">
        <f>IFERROR(__xludf.DUMMYFUNCTION("GOOGLETRANSLATE(B60,""zh-tw"",""ru"")"),"Магазин Truck-6")</f>
        <v>Магазин Truck-6</v>
      </c>
      <c r="AA60" s="162" t="str">
        <f>IFERROR(__xludf.DUMMYFUNCTION("GOOGLETRANSLATE(C60,""zh-tw"",""RU"")"),"Один из фиксированных товаров в корзине магазина")</f>
        <v>Один из фиксированных товаров в корзине магазина</v>
      </c>
      <c r="AB60" s="64" t="str">
        <f>IFERROR(__xludf.DUMMYFUNCTION("GOOGLETRANSLATE(D60,""zh-tw"",""RU"")"),"Полученный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0" s="173" t="s">
        <v>3420</v>
      </c>
      <c r="AD60" s="175" t="s">
        <v>3448</v>
      </c>
      <c r="AE60" s="164" t="s">
        <v>3449</v>
      </c>
      <c r="AF60" s="119" t="s">
        <v>3450</v>
      </c>
      <c r="AG60" s="98" t="s">
        <v>3439</v>
      </c>
      <c r="AH60" s="106" t="s">
        <v>3451</v>
      </c>
      <c r="AI60" s="165" t="s">
        <v>3452</v>
      </c>
      <c r="AJ60" s="67" t="s">
        <v>3453</v>
      </c>
      <c r="AK60" s="137" t="s">
        <v>3439</v>
      </c>
      <c r="AL60" s="138" t="s">
        <v>3454</v>
      </c>
      <c r="AM60" s="123" t="s">
        <v>3455</v>
      </c>
      <c r="AN60" s="124" t="s">
        <v>3456</v>
      </c>
      <c r="AO60" s="124"/>
    </row>
    <row r="61">
      <c r="A61" s="121" t="s">
        <v>3457</v>
      </c>
      <c r="B61" s="118" t="s">
        <v>3458</v>
      </c>
      <c r="C61" s="109" t="s">
        <v>3296</v>
      </c>
      <c r="D61" s="69" t="s">
        <v>3459</v>
      </c>
      <c r="E61" s="121" t="str">
        <f>IFERROR(__xludf.DUMMYFUNCTION("GOOGLETRANSLATE(A61,""zh-tw"",""ja"")"),"R58")</f>
        <v>R58</v>
      </c>
      <c r="F61" s="118" t="s">
        <v>3460</v>
      </c>
      <c r="G61" s="109" t="s">
        <v>3443</v>
      </c>
      <c r="H61" s="69" t="s">
        <v>3461</v>
      </c>
      <c r="I61" s="121" t="str">
        <f>IFERROR(__xludf.DUMMYFUNCTION("GOOGLETRANSLATE(A61,""zh-tw"",""en"")"),"R58")</f>
        <v>R58</v>
      </c>
      <c r="J61" s="118" t="s">
        <v>3462</v>
      </c>
      <c r="K61" s="109" t="s">
        <v>3446</v>
      </c>
      <c r="L61" s="69" t="s">
        <v>3463</v>
      </c>
      <c r="M61" s="137" t="str">
        <f>IFERROR(__xludf.DUMMYFUNCTION("GOOGLETRANSLATE(A61,""zh-tw"",""en"")"),"R58")</f>
        <v>R58</v>
      </c>
      <c r="N61" s="118" t="str">
        <f>IFERROR(__xludf.DUMMYFUNCTION("GOOGLETRANSLATE(B61,""zh-tw"",""zh"")"),"商店车-7")</f>
        <v>商店车-7</v>
      </c>
      <c r="O61" s="103" t="str">
        <f>IFERROR(__xludf.DUMMYFUNCTION("GOOGLETRANSLATE(C61,""zh-tw"",""zh"")"),"商店车的固定商品之一")</f>
        <v>商店车的固定商品之一</v>
      </c>
      <c r="P61" s="71" t="str">
        <f>IFERROR(__xludf.DUMMYFUNCTION("GOOGLETRANSLATE(D61,""zh-tw"",""zh"")"),"获得道具:萌萌同人本
效果：是提升性欲
※目前版本只是实验性道具，之后会有CG鉴赏的功能")</f>
        <v>获得道具:萌萌同人本
效果：是提升性欲
※目前版本只是实验性道具，之后会有CG鉴赏的功能</v>
      </c>
      <c r="Q61" s="137" t="str">
        <f>IFERROR(__xludf.DUMMYFUNCTION("GOOGLETRANSLATE(A61,""zh-tw"",""ja"")"),"R58")</f>
        <v>R58</v>
      </c>
      <c r="R61" s="138" t="str">
        <f>IFERROR(__xludf.DUMMYFUNCTION("GOOGLETRANSLATE(B61,""zh-tw"",""es-MX"")"),"Vehículo de tienda-7")</f>
        <v>Vehículo de tienda-7</v>
      </c>
      <c r="S61" s="103" t="str">
        <f>IFERROR(__xludf.DUMMYFUNCTION("GOOGLETRANSLATE(C61,""zh-tw"",""es-MX"")"),"Uno de los artículos fijos en el carrito de la tienda.")</f>
        <v>Uno de los artículos fijos en el carrito de la tienda.</v>
      </c>
      <c r="T61" s="71" t="str">
        <f>IFERROR(__xludf.DUMMYFUNCTION("GOOGLETRANSLATE(D61,""zh-tw"",""es-MX"")"),"Objeto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61" s="161" t="str">
        <f>IFERROR(__xludf.DUMMYFUNCTION("GOOGLETRANSLATE(A61,""zh-tw"",""en"")"),"R58")</f>
        <v>R58</v>
      </c>
      <c r="V61" s="138" t="str">
        <f>IFERROR(__xludf.DUMMYFUNCTION("GOOGLETRANSLATE(B61,""zh-tw"",""KO"")"),"차량 판매점-7")</f>
        <v>차량 판매점-7</v>
      </c>
      <c r="W61" s="103" t="str">
        <f>IFERROR(__xludf.DUMMYFUNCTION("GOOGLETRANSLATE(C61,""zh-tw"",""KO"")"),"매장 카트의 고정 품목 중 하나")</f>
        <v>매장 카트의 고정 품목 중 하나</v>
      </c>
      <c r="X61" s="71" t="str">
        <f>IFERROR(__xludf.DUMMYFUNCTION("GOOGLETRANSLATE(D61,""zh-tw"",""KO"")"),"획득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1" s="161" t="str">
        <f>IFERROR(__xludf.DUMMYFUNCTION("GOOGLETRANSLATE(E61,""zh-tw"",""en"")"),"R58")</f>
        <v>R58</v>
      </c>
      <c r="Z61" s="118" t="str">
        <f>IFERROR(__xludf.DUMMYFUNCTION("GOOGLETRANSLATE(B61,""zh-tw"",""ru"")"),"Магазин-7")</f>
        <v>Магазин-7</v>
      </c>
      <c r="AA61" s="162" t="str">
        <f>IFERROR(__xludf.DUMMYFUNCTION("GOOGLETRANSLATE(C61,""zh-tw"",""RU"")"),"Один из фиксированных товаров в корзине магазина")</f>
        <v>Один из фиксированных товаров в корзине магазина</v>
      </c>
      <c r="AB61" s="64" t="str">
        <f>IFERROR(__xludf.DUMMYFUNCTION("GOOGLETRANSLATE(D61,""zh-tw"",""RU"")"),"Полученный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1" s="173" t="s">
        <v>3439</v>
      </c>
      <c r="AD61" s="175" t="s">
        <v>3464</v>
      </c>
      <c r="AE61" s="164" t="s">
        <v>3465</v>
      </c>
      <c r="AF61" s="119" t="s">
        <v>3466</v>
      </c>
      <c r="AG61" s="98" t="s">
        <v>3457</v>
      </c>
      <c r="AH61" s="106" t="s">
        <v>3467</v>
      </c>
      <c r="AI61" s="165" t="s">
        <v>3452</v>
      </c>
      <c r="AJ61" s="67" t="s">
        <v>3468</v>
      </c>
      <c r="AK61" s="137" t="s">
        <v>3457</v>
      </c>
      <c r="AL61" s="138" t="s">
        <v>3469</v>
      </c>
      <c r="AM61" s="123" t="s">
        <v>3455</v>
      </c>
      <c r="AN61" s="124" t="s">
        <v>3470</v>
      </c>
      <c r="AO61" s="124"/>
    </row>
    <row r="62">
      <c r="A62" s="98" t="s">
        <v>3471</v>
      </c>
      <c r="B62" s="138" t="s">
        <v>3472</v>
      </c>
      <c r="C62" s="123" t="s">
        <v>3473</v>
      </c>
      <c r="D62" s="124" t="s">
        <v>3474</v>
      </c>
      <c r="E62" s="98" t="s">
        <v>3471</v>
      </c>
      <c r="F62" s="138" t="s">
        <v>3475</v>
      </c>
      <c r="G62" s="141" t="s">
        <v>3476</v>
      </c>
      <c r="H62" s="142" t="s">
        <v>3477</v>
      </c>
      <c r="I62" s="98" t="s">
        <v>3471</v>
      </c>
      <c r="J62" s="138" t="s">
        <v>3478</v>
      </c>
      <c r="K62" s="141" t="s">
        <v>3479</v>
      </c>
      <c r="L62" s="142" t="s">
        <v>3480</v>
      </c>
      <c r="M62" s="98" t="s">
        <v>3471</v>
      </c>
      <c r="N62" s="118" t="str">
        <f>IFERROR(__xludf.DUMMYFUNCTION("GOOGLETRANSLATE(B62,""zh-tw"",""zh"")"),"开发中区域(矿坑)-2")</f>
        <v>开发中区域(矿坑)-2</v>
      </c>
      <c r="O62" s="103" t="str">
        <f>IFERROR(__xludf.DUMMYFUNCTION("GOOGLETRANSLATE(C62,""zh-tw"",""zh"")"),"从开发中区域(矿坑)-1的最后方，可以通往下一张地图")</f>
        <v>从开发中区域(矿坑)-1的最后方，可以通往下一张地图</v>
      </c>
      <c r="P62" s="71" t="str">
        <f>IFERROR(__xludf.DUMMYFUNCTION("GOOGLETRANSLATE(D62,""zh-tw"",""zh"")"),"抵达""开发中区域(矿坑)-2""")</f>
        <v>抵达"开发中区域(矿坑)-2"</v>
      </c>
      <c r="Q62" s="98" t="s">
        <v>3471</v>
      </c>
      <c r="R62" s="138" t="str">
        <f>IFERROR(__xludf.DUMMYFUNCTION("GOOGLETRANSLATE(B62,""zh-tw"",""es-MX"")"),"Área de desarrollo (pozo minero) -2")</f>
        <v>Área de desarrollo (pozo minero) -2</v>
      </c>
      <c r="S62" s="103" t="str">
        <f>IFERROR(__xludf.DUMMYFUNCTION("GOOGLETRANSLATE(C62,""zh-tw"",""es-MX"")"),"Desde la parte trasera del área en desarrollo (mina)-1, puedes acceder al siguiente mapa.")</f>
        <v>Desde la parte trasera del área en desarrollo (mina)-1, puedes acceder al siguiente mapa.</v>
      </c>
      <c r="T62" s="71" t="str">
        <f>IFERROR(__xludf.DUMMYFUNCTION("GOOGLETRANSLATE(D62,""zh-tw"",""es-MX"")"),"Llegada al ""Área de Desarrollo (Mina)-2""")</f>
        <v>Llegada al "Área de Desarrollo (Mina)-2"</v>
      </c>
      <c r="U62" s="98" t="s">
        <v>3471</v>
      </c>
      <c r="V62" s="138" t="str">
        <f>IFERROR(__xludf.DUMMYFUNCTION("GOOGLETRANSLATE(B62,""zh-tw"",""KO"")"),"개발 지역(광산) -2")</f>
        <v>개발 지역(광산) -2</v>
      </c>
      <c r="W62" s="103" t="str">
        <f>IFERROR(__xludf.DUMMYFUNCTION("GOOGLETRANSLATE(C62,""zh-tw"",""KO"")"),"개발 구역(광산)-1의 맨 뒤쪽에서 다음 지도에 접근할 수 있습니다.")</f>
        <v>개발 구역(광산)-1의 맨 뒤쪽에서 다음 지도에 접근할 수 있습니다.</v>
      </c>
      <c r="X62" s="71" t="str">
        <f>IFERROR(__xludf.DUMMYFUNCTION("GOOGLETRANSLATE(D62,""zh-tw"",""KO"")"),"""개발구역(광산)-2"" 도착")</f>
        <v>"개발구역(광산)-2" 도착</v>
      </c>
      <c r="Y62" s="98" t="s">
        <v>3471</v>
      </c>
      <c r="Z62" s="118" t="str">
        <f>IFERROR(__xludf.DUMMYFUNCTION("GOOGLETRANSLATE(B62,""zh-tw"",""ru"")"),"Зона разработки (шахта) -2")</f>
        <v>Зона разработки (шахта) -2</v>
      </c>
      <c r="AA62" s="162" t="str">
        <f>IFERROR(__xludf.DUMMYFUNCTION("GOOGLETRANSLATE(C62,""zh-tw"",""RU"")"),"Из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2" s="64" t="str">
        <f>IFERROR(__xludf.DUMMYFUNCTION("GOOGLETRANSLATE(D62,""zh-tw"",""RU"")"),"Прибытие в «Разработку участка (рудника)-2»")</f>
        <v>Прибытие в «Разработку участка (рудника)-2»</v>
      </c>
      <c r="AC62" s="137" t="s">
        <v>3471</v>
      </c>
      <c r="AD62" s="138" t="s">
        <v>3481</v>
      </c>
      <c r="AE62" s="123" t="s">
        <v>3482</v>
      </c>
      <c r="AF62" s="124" t="s">
        <v>3483</v>
      </c>
      <c r="AG62" s="98" t="s">
        <v>3471</v>
      </c>
      <c r="AH62" s="138" t="s">
        <v>3484</v>
      </c>
      <c r="AI62" s="176" t="s">
        <v>3485</v>
      </c>
      <c r="AJ62" s="142" t="s">
        <v>3486</v>
      </c>
      <c r="AK62" s="137" t="s">
        <v>3471</v>
      </c>
      <c r="AL62" s="138" t="s">
        <v>3487</v>
      </c>
      <c r="AM62" s="141" t="s">
        <v>3488</v>
      </c>
      <c r="AN62" s="142" t="s">
        <v>3489</v>
      </c>
      <c r="AO62" s="142"/>
    </row>
    <row r="63">
      <c r="A63" s="98" t="s">
        <v>3490</v>
      </c>
      <c r="B63" s="138" t="s">
        <v>3491</v>
      </c>
      <c r="C63" s="123" t="s">
        <v>3492</v>
      </c>
      <c r="D63" s="124" t="s">
        <v>3493</v>
      </c>
      <c r="E63" s="98" t="s">
        <v>3490</v>
      </c>
      <c r="F63" s="138" t="s">
        <v>3494</v>
      </c>
      <c r="G63" s="141" t="s">
        <v>3495</v>
      </c>
      <c r="H63" s="142" t="s">
        <v>3496</v>
      </c>
      <c r="I63" s="98" t="s">
        <v>3490</v>
      </c>
      <c r="J63" s="138" t="s">
        <v>3497</v>
      </c>
      <c r="K63" s="135" t="s">
        <v>3498</v>
      </c>
      <c r="L63" s="142" t="s">
        <v>3499</v>
      </c>
      <c r="M63" s="98" t="s">
        <v>3490</v>
      </c>
      <c r="N63" s="118" t="str">
        <f>IFERROR(__xludf.DUMMYFUNCTION("GOOGLETRANSLATE(B63,""zh-tw"",""zh"")"),"隐藏通道")</f>
        <v>隐藏通道</v>
      </c>
      <c r="O63" s="103" t="str">
        <f>IFERROR(__xludf.DUMMYFUNCTION("GOOGLETRANSLATE(C63,""zh-tw"",""zh"")"),"开发中区域(矿坑)-2，地图中间往右上方，有一个隐藏通道可以连接到""山的洞窟""(R11)")</f>
        <v>开发中区域(矿坑)-2，地图中间往右上方，有一个隐藏通道可以连接到"山的洞窟"(R11)</v>
      </c>
      <c r="P63" s="71" t="str">
        <f>IFERROR(__xludf.DUMMYFUNCTION("GOOGLETRANSLATE(D63,""zh-tw"",""zh"")"),"清除岩石后可以连接到山的洞窟")</f>
        <v>清除岩石后可以连接到山的洞窟</v>
      </c>
      <c r="Q63" s="98" t="s">
        <v>3490</v>
      </c>
      <c r="R63" s="138" t="str">
        <f>IFERROR(__xludf.DUMMYFUNCTION("GOOGLETRANSLATE(B63,""zh-tw"",""es-MX"")"),"Pasaje oculto")</f>
        <v>Pasaje oculto</v>
      </c>
      <c r="S63" s="103" t="str">
        <f>IFERROR(__xludf.DUMMYFUNCTION("GOOGLETRANSLATE(C63,""zh-tw"",""es-MX"")"),"En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3" s="71" t="str">
        <f>IFERROR(__xludf.DUMMYFUNCTION("GOOGLETRANSLATE(D63,""zh-tw"",""es-MX"")"),"Después de limpiar las rocas, puede conectarse a las cuevas de la montaña.")</f>
        <v>Después de limpiar las rocas, puede conectarse a las cuevas de la montaña.</v>
      </c>
      <c r="U63" s="98" t="s">
        <v>3490</v>
      </c>
      <c r="V63" s="138" t="str">
        <f>IFERROR(__xludf.DUMMYFUNCTION("GOOGLETRANSLATE(B63,""zh-tw"",""KO"")"),"숨겨진 통로")</f>
        <v>숨겨진 통로</v>
      </c>
      <c r="W63" s="103" t="str">
        <f>IFERROR(__xludf.DUMMYFUNCTION("GOOGLETRANSLATE(C63,""zh-tw"",""KO"")"),"개발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3" s="71" t="str">
        <f>IFERROR(__xludf.DUMMYFUNCTION("GOOGLETRANSLATE(D63,""zh-tw"",""KO"")"),"바위를 치운 후, 산 속 동굴로 연결될 수 있습니다.")</f>
        <v>바위를 치운 후, 산 속 동굴로 연결될 수 있습니다.</v>
      </c>
      <c r="Y63" s="98" t="s">
        <v>3490</v>
      </c>
      <c r="Z63" s="118" t="str">
        <f>IFERROR(__xludf.DUMMYFUNCTION("GOOGLETRANSLATE(B63,""zh-tw"",""ru"")"),"Скрытый проход")</f>
        <v>Скрытый проход</v>
      </c>
      <c r="AA63" s="162" t="str">
        <f>IFERROR(__xludf.DUMMYFUNCTION("GOOGLETRANSLATE(C63,""zh-tw"",""RU"")"),"В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3" s="64" t="str">
        <f>IFERROR(__xludf.DUMMYFUNCTION("GOOGLETRANSLATE(D63,""zh-tw"",""RU"")"),"Расчистив камни, можно соединиться с пещерами в горе.")</f>
        <v>Расчистив камни, можно соединиться с пещерами в горе.</v>
      </c>
      <c r="AC63" s="137" t="s">
        <v>3490</v>
      </c>
      <c r="AD63" s="138" t="s">
        <v>3500</v>
      </c>
      <c r="AE63" s="123" t="s">
        <v>3501</v>
      </c>
      <c r="AF63" s="124" t="s">
        <v>3502</v>
      </c>
      <c r="AG63" s="98" t="s">
        <v>3490</v>
      </c>
      <c r="AH63" s="138" t="s">
        <v>3503</v>
      </c>
      <c r="AI63" s="176" t="s">
        <v>3504</v>
      </c>
      <c r="AJ63" s="142" t="s">
        <v>3505</v>
      </c>
      <c r="AK63" s="137" t="s">
        <v>3490</v>
      </c>
      <c r="AL63" s="138" t="s">
        <v>3506</v>
      </c>
      <c r="AM63" s="141" t="s">
        <v>3507</v>
      </c>
      <c r="AN63" s="142" t="s">
        <v>3508</v>
      </c>
      <c r="AO63" s="142"/>
    </row>
    <row r="64">
      <c r="A64" s="98" t="s">
        <v>3509</v>
      </c>
      <c r="B64" s="138" t="s">
        <v>3510</v>
      </c>
      <c r="C64" s="123" t="s">
        <v>3511</v>
      </c>
      <c r="D64" s="124" t="s">
        <v>3512</v>
      </c>
      <c r="E64" s="98" t="s">
        <v>3509</v>
      </c>
      <c r="F64" s="138" t="s">
        <v>3513</v>
      </c>
      <c r="G64" s="141" t="s">
        <v>3514</v>
      </c>
      <c r="H64" s="142" t="s">
        <v>3515</v>
      </c>
      <c r="I64" s="98" t="s">
        <v>3509</v>
      </c>
      <c r="J64" s="138" t="s">
        <v>3516</v>
      </c>
      <c r="K64" s="141" t="s">
        <v>3517</v>
      </c>
      <c r="L64" s="142" t="s">
        <v>3518</v>
      </c>
      <c r="M64" s="98" t="s">
        <v>3509</v>
      </c>
      <c r="N64" s="118" t="str">
        <f>IFERROR(__xludf.DUMMYFUNCTION("GOOGLETRANSLATE(B64,""zh-tw"",""zh"")"),"开发中区域(矿坑)-3")</f>
        <v>开发中区域(矿坑)-3</v>
      </c>
      <c r="O64" s="103" t="str">
        <f>IFERROR(__xludf.DUMMYFUNCTION("GOOGLETRANSLATE(C64,""zh-tw"",""zh"")"),"于""开发中区域(矿坑)-2""，地图中间往上方的巨大岩石，通过后可以抵达""开发中区域(矿坑)-3""，可以手动破坏，或者乘坐矿车冲进去")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4" s="71" t="str">
        <f>IFERROR(__xludf.DUMMYFUNCTION("GOOGLETRANSLATE(D64,""zh-tw"",""zh"")"),"抵达""开发中区域(矿坑)-3""")</f>
        <v>抵达"开发中区域(矿坑)-3"</v>
      </c>
      <c r="Q64" s="98" t="s">
        <v>3509</v>
      </c>
      <c r="R64" s="138" t="str">
        <f>IFERROR(__xludf.DUMMYFUNCTION("GOOGLETRANSLATE(B64,""zh-tw"",""es-MX"")"),"Área de desarrollo (pozo minero) -3")</f>
        <v>Área de desarrollo (pozo minero) -3</v>
      </c>
      <c r="S64" s="103" t="str">
        <f>IFERROR(__xludf.DUMMYFUNCTION("GOOGLETRANSLATE(C64,""zh-tw"",""es-MX"")"),"En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4" s="71" t="str">
        <f>IFERROR(__xludf.DUMMYFUNCTION("GOOGLETRANSLATE(D64,""zh-tw"",""es-MX"")"),"Llegada al ""Área de Desarrollo (Mina)-3""")</f>
        <v>Llegada al "Área de Desarrollo (Mina)-3"</v>
      </c>
      <c r="U64" s="98" t="s">
        <v>3509</v>
      </c>
      <c r="V64" s="138" t="str">
        <f>IFERROR(__xludf.DUMMYFUNCTION("GOOGLETRANSLATE(B64,""zh-tw"",""KO"")"),"개발 지역(광산) -3")</f>
        <v>개발 지역(광산) -3</v>
      </c>
      <c r="W64" s="103" t="str">
        <f>IFERROR(__xludf.DUMMYFUNCTION("GOOGLETRANSLATE(C64,""zh-tw"",""KO"")"),"""개발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4" s="71" t="str">
        <f>IFERROR(__xludf.DUMMYFUNCTION("GOOGLETRANSLATE(D64,""zh-tw"",""KO"")"),"""개발구역(광산)-3"" 도착")</f>
        <v>"개발구역(광산)-3" 도착</v>
      </c>
      <c r="Y64" s="98" t="s">
        <v>3509</v>
      </c>
      <c r="Z64" s="118" t="str">
        <f>IFERROR(__xludf.DUMMYFUNCTION("GOOGLETRANSLATE(B64,""zh-tw"",""ru"")"),"Зона разработки (шахта) -3")</f>
        <v>Зона разработки (шахта) -3</v>
      </c>
      <c r="AA64" s="162" t="str">
        <f>IFERROR(__xludf.DUMMYFUNCTION("GOOGLETRANSLATE(C64,""zh-tw"",""RU"")"),"В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4" s="64" t="str">
        <f>IFERROR(__xludf.DUMMYFUNCTION("GOOGLETRANSLATE(D64,""zh-tw"",""RU"")"),"Прибытие в «Разработку участка (рудника)-3»")</f>
        <v>Прибытие в «Разработку участка (рудника)-3»</v>
      </c>
      <c r="AC64" s="137" t="s">
        <v>3509</v>
      </c>
      <c r="AD64" s="138" t="s">
        <v>3519</v>
      </c>
      <c r="AE64" s="123" t="s">
        <v>3520</v>
      </c>
      <c r="AF64" s="124" t="s">
        <v>3521</v>
      </c>
      <c r="AG64" s="98" t="s">
        <v>3509</v>
      </c>
      <c r="AH64" s="138" t="s">
        <v>3522</v>
      </c>
      <c r="AI64" s="176" t="s">
        <v>3523</v>
      </c>
      <c r="AJ64" s="142" t="s">
        <v>3524</v>
      </c>
      <c r="AK64" s="137" t="s">
        <v>3509</v>
      </c>
      <c r="AL64" s="138" t="s">
        <v>3525</v>
      </c>
      <c r="AM64" s="141" t="s">
        <v>3526</v>
      </c>
      <c r="AN64" s="142" t="s">
        <v>3527</v>
      </c>
      <c r="AO64" s="142"/>
    </row>
    <row r="65">
      <c r="A65" s="98" t="s">
        <v>3528</v>
      </c>
      <c r="B65" s="138" t="s">
        <v>3529</v>
      </c>
      <c r="C65" s="123" t="s">
        <v>3530</v>
      </c>
      <c r="D65" s="124" t="s">
        <v>3531</v>
      </c>
      <c r="E65" s="98" t="s">
        <v>3528</v>
      </c>
      <c r="F65" s="138" t="s">
        <v>3532</v>
      </c>
      <c r="G65" s="141" t="s">
        <v>3533</v>
      </c>
      <c r="H65" s="142" t="s">
        <v>3534</v>
      </c>
      <c r="I65" s="98" t="s">
        <v>3528</v>
      </c>
      <c r="J65" s="138" t="s">
        <v>3535</v>
      </c>
      <c r="K65" s="141" t="s">
        <v>3536</v>
      </c>
      <c r="L65" s="142" t="s">
        <v>3537</v>
      </c>
      <c r="M65" s="98" t="s">
        <v>3528</v>
      </c>
      <c r="N65" s="118" t="str">
        <f>IFERROR(__xludf.DUMMYFUNCTION("GOOGLETRANSLATE(B65,""zh-tw"",""zh"")"),"开发中区域(矿坑)-4")</f>
        <v>开发中区域(矿坑)-4</v>
      </c>
      <c r="O65" s="103" t="str">
        <f>IFERROR(__xludf.DUMMYFUNCTION("GOOGLETRANSLATE(C65,""zh-tw"",""zh"")"),"于""开发中区域(矿坑)-3""，顺着地图路径可以抵达""开发中区域(矿坑)-4""，若不慎跌落将抵达熔岩区域")</f>
        <v>于"开发中区域(矿坑)-3"，顺着地图路径可以抵达"开发中区域(矿坑)-4"，若不慎跌落将抵达熔岩区域</v>
      </c>
      <c r="P65" s="71" t="str">
        <f>IFERROR(__xludf.DUMMYFUNCTION("GOOGLETRANSLATE(D65,""zh-tw"",""zh"")"),"抵达""开发中区域(矿坑)-4""")</f>
        <v>抵达"开发中区域(矿坑)-4"</v>
      </c>
      <c r="Q65" s="98" t="s">
        <v>3528</v>
      </c>
      <c r="R65" s="138" t="str">
        <f>IFERROR(__xludf.DUMMYFUNCTION("GOOGLETRANSLATE(B65,""zh-tw"",""es-MX"")"),"Área de desarrollo (pozo minero) -4")</f>
        <v>Área de desarrollo (pozo minero) -4</v>
      </c>
      <c r="S65" s="103" t="str">
        <f>IFERROR(__xludf.DUMMYFUNCTION("GOOGLETRANSLATE(C65,""zh-tw"",""es-MX"")"),"Desde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5" s="71" t="str">
        <f>IFERROR(__xludf.DUMMYFUNCTION("GOOGLETRANSLATE(D65,""zh-tw"",""es-MX"")"),"Llegada al ""Área de Desarrollo (Mina)-4""")</f>
        <v>Llegada al "Área de Desarrollo (Mina)-4"</v>
      </c>
      <c r="U65" s="98" t="s">
        <v>3528</v>
      </c>
      <c r="V65" s="138" t="str">
        <f>IFERROR(__xludf.DUMMYFUNCTION("GOOGLETRANSLATE(B65,""zh-tw"",""KO"")"),"개발 지역(광산) -4")</f>
        <v>개발 지역(광산) -4</v>
      </c>
      <c r="W65" s="103" t="str">
        <f>IFERROR(__xludf.DUMMYFUNCTION("GOOGLETRANSLATE(C65,""zh-tw"",""KO"")"),"""개발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5" s="71" t="str">
        <f>IFERROR(__xludf.DUMMYFUNCTION("GOOGLETRANSLATE(D65,""zh-tw"",""KO"")"),"""개발구역(광산)-4"" 도착")</f>
        <v>"개발구역(광산)-4" 도착</v>
      </c>
      <c r="Y65" s="98" t="s">
        <v>3528</v>
      </c>
      <c r="Z65" s="118" t="str">
        <f>IFERROR(__xludf.DUMMYFUNCTION("GOOGLETRANSLATE(B65,""zh-tw"",""ru"")"),"Зона разработки (шахта) -4")</f>
        <v>Зона разработки (шахта) -4</v>
      </c>
      <c r="AA65" s="162" t="str">
        <f>IFERROR(__xludf.DUMMYFUNCTION("GOOGLETRANSLATE(C65,""zh-tw"",""RU"")"),"Из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5" s="64" t="str">
        <f>IFERROR(__xludf.DUMMYFUNCTION("GOOGLETRANSLATE(D65,""zh-tw"",""RU"")"),"Прибытие в «Разработку участка (рудника)-4»")</f>
        <v>Прибытие в «Разработку участка (рудника)-4»</v>
      </c>
      <c r="AC65" s="137" t="s">
        <v>3528</v>
      </c>
      <c r="AD65" s="138" t="s">
        <v>3538</v>
      </c>
      <c r="AE65" s="123" t="s">
        <v>3539</v>
      </c>
      <c r="AF65" s="124" t="s">
        <v>3540</v>
      </c>
      <c r="AG65" s="98" t="s">
        <v>3528</v>
      </c>
      <c r="AH65" s="138" t="s">
        <v>3484</v>
      </c>
      <c r="AI65" s="176" t="s">
        <v>3541</v>
      </c>
      <c r="AJ65" s="142" t="s">
        <v>3542</v>
      </c>
      <c r="AK65" s="137" t="s">
        <v>3528</v>
      </c>
      <c r="AL65" s="138" t="s">
        <v>3543</v>
      </c>
      <c r="AM65" s="141" t="s">
        <v>3544</v>
      </c>
      <c r="AN65" s="142" t="s">
        <v>3545</v>
      </c>
      <c r="AO65" s="142"/>
    </row>
    <row r="66">
      <c r="A66" s="98" t="s">
        <v>3546</v>
      </c>
      <c r="B66" s="138" t="s">
        <v>3491</v>
      </c>
      <c r="C66" s="123" t="s">
        <v>3547</v>
      </c>
      <c r="D66" s="124" t="s">
        <v>3548</v>
      </c>
      <c r="E66" s="98" t="s">
        <v>3546</v>
      </c>
      <c r="F66" s="138" t="s">
        <v>3494</v>
      </c>
      <c r="G66" s="141" t="s">
        <v>3549</v>
      </c>
      <c r="H66" s="142" t="s">
        <v>3550</v>
      </c>
      <c r="I66" s="98" t="s">
        <v>3546</v>
      </c>
      <c r="J66" s="138" t="s">
        <v>3551</v>
      </c>
      <c r="K66" s="141" t="s">
        <v>3552</v>
      </c>
      <c r="L66" s="136" t="s">
        <v>3553</v>
      </c>
      <c r="M66" s="98" t="s">
        <v>3546</v>
      </c>
      <c r="N66" s="118" t="str">
        <f>IFERROR(__xludf.DUMMYFUNCTION("GOOGLETRANSLATE(B66,""zh-tw"",""zh"")"),"隐藏通道")</f>
        <v>隐藏通道</v>
      </c>
      <c r="O66" s="103" t="str">
        <f>IFERROR(__xludf.DUMMYFUNCTION("GOOGLETRANSLATE(C66,""zh-tw"",""zh"")"),"于""开发中区域(矿坑)-4""，离开楼梯区域后的右上方大片岩石，有个隐藏的通道")</f>
        <v>于"开发中区域(矿坑)-4"，离开楼梯区域后的右上方大片岩石，有个隐藏的通道</v>
      </c>
      <c r="P66" s="71" t="str">
        <f>IFERROR(__xludf.DUMMYFUNCTION("GOOGLETRANSLATE(D66,""zh-tw"",""zh"")"),"抵达""被遗忘的墓穴-1""")</f>
        <v>抵达"被遗忘的墓穴-1"</v>
      </c>
      <c r="Q66" s="98" t="s">
        <v>3546</v>
      </c>
      <c r="R66" s="138" t="str">
        <f>IFERROR(__xludf.DUMMYFUNCTION("GOOGLETRANSLATE(B66,""zh-tw"",""es-MX"")"),"Pasaje oculto")</f>
        <v>Pasaje oculto</v>
      </c>
      <c r="S66" s="103" t="str">
        <f>IFERROR(__xludf.DUMMYFUNCTION("GOOGLETRANSLATE(C66,""zh-tw"",""es-MX"")"),"En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6" s="71" t="str">
        <f>IFERROR(__xludf.DUMMYFUNCTION("GOOGLETRANSLATE(D66,""zh-tw"",""es-MX"")"),"Llegada a ""La Tumba Olvidada-1""")</f>
        <v>Llegada a "La Tumba Olvidada-1"</v>
      </c>
      <c r="U66" s="98" t="s">
        <v>3546</v>
      </c>
      <c r="V66" s="138" t="str">
        <f>IFERROR(__xludf.DUMMYFUNCTION("GOOGLETRANSLATE(B66,""zh-tw"",""KO"")"),"숨겨진 통로")</f>
        <v>숨겨진 통로</v>
      </c>
      <c r="W66" s="103" t="str">
        <f>IFERROR(__xludf.DUMMYFUNCTION("GOOGLETRANSLATE(C66,""zh-tw"",""KO"")"),"""개발 구역(광산)-4""에서 계단 구역을 벗어나면 오른쪽 위의 큰 바위 구역에 숨겨진 통로가 있습니다.")</f>
        <v>"개발 구역(광산)-4"에서 계단 구역을 벗어나면 오른쪽 위의 큰 바위 구역에 숨겨진 통로가 있습니다.</v>
      </c>
      <c r="X66" s="71" t="str">
        <f>IFERROR(__xludf.DUMMYFUNCTION("GOOGLETRANSLATE(D66,""zh-tw"",""KO"")"),"""잊혀진 무덤-1""에 도착")</f>
        <v>"잊혀진 무덤-1"에 도착</v>
      </c>
      <c r="Y66" s="98" t="s">
        <v>3546</v>
      </c>
      <c r="Z66" s="118" t="str">
        <f>IFERROR(__xludf.DUMMYFUNCTION("GOOGLETRANSLATE(B66,""zh-tw"",""ru"")"),"Скрытый проход")</f>
        <v>Скрытый проход</v>
      </c>
      <c r="AA66" s="162" t="str">
        <f>IFERROR(__xludf.DUMMYFUNCTION("GOOGLETRANSLATE(C66,""zh-tw"",""RU"")"),"В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6" s="64" t="str">
        <f>IFERROR(__xludf.DUMMYFUNCTION("GOOGLETRANSLATE(D66,""zh-tw"",""RU"")"),"Прибытие в «Забытую гробницу-1»")</f>
        <v>Прибытие в «Забытую гробницу-1»</v>
      </c>
      <c r="AC66" s="137" t="s">
        <v>3546</v>
      </c>
      <c r="AD66" s="138" t="s">
        <v>3554</v>
      </c>
      <c r="AE66" s="123" t="s">
        <v>3555</v>
      </c>
      <c r="AF66" s="124" t="s">
        <v>3556</v>
      </c>
      <c r="AG66" s="98" t="s">
        <v>3546</v>
      </c>
      <c r="AH66" s="138" t="s">
        <v>3557</v>
      </c>
      <c r="AI66" s="176" t="s">
        <v>3558</v>
      </c>
      <c r="AJ66" s="142" t="s">
        <v>3559</v>
      </c>
      <c r="AK66" s="137" t="s">
        <v>3546</v>
      </c>
      <c r="AL66" s="138" t="s">
        <v>3560</v>
      </c>
      <c r="AM66" s="141" t="s">
        <v>3561</v>
      </c>
      <c r="AN66" s="142" t="s">
        <v>3562</v>
      </c>
      <c r="AO66" s="142"/>
    </row>
    <row r="67">
      <c r="A67" s="98" t="s">
        <v>3563</v>
      </c>
      <c r="B67" s="138" t="s">
        <v>3564</v>
      </c>
      <c r="C67" s="115" t="s">
        <v>3565</v>
      </c>
      <c r="D67" s="124" t="s">
        <v>3566</v>
      </c>
      <c r="E67" s="98" t="s">
        <v>3563</v>
      </c>
      <c r="F67" s="138" t="s">
        <v>3567</v>
      </c>
      <c r="G67" s="141" t="s">
        <v>3568</v>
      </c>
      <c r="H67" s="142" t="s">
        <v>3569</v>
      </c>
      <c r="I67" s="98" t="s">
        <v>3563</v>
      </c>
      <c r="J67" s="118" t="s">
        <v>3570</v>
      </c>
      <c r="K67" s="135" t="s">
        <v>3571</v>
      </c>
      <c r="L67" s="136" t="s">
        <v>3572</v>
      </c>
      <c r="M67" s="98" t="s">
        <v>3563</v>
      </c>
      <c r="N67" s="118" t="str">
        <f>IFERROR(__xludf.DUMMYFUNCTION("GOOGLETRANSLATE(B67,""zh-tw"",""zh"")"),"前往废墟森林")</f>
        <v>前往废墟森林</v>
      </c>
      <c r="O67" s="103" t="str">
        <f>IFERROR(__xludf.DUMMYFUNCTION("GOOGLETRANSLATE(C67,""zh-tw"",""zh"")"),"于""冒险者小道:林间-2""，绕过公告牌子后，通过森林可以抵达""废墟森林""")</f>
        <v>于"冒险者小道:林间-2"，绕过公告牌子后，通过森林可以抵达"废墟森林"</v>
      </c>
      <c r="P67" s="71" t="str">
        <f>IFERROR(__xludf.DUMMYFUNCTION("GOOGLETRANSLATE(D67,""zh-tw"",""zh"")"),"抵达""废墟森林""")</f>
        <v>抵达"废墟森林"</v>
      </c>
      <c r="Q67" s="98" t="s">
        <v>3563</v>
      </c>
      <c r="R67" s="138" t="str">
        <f>IFERROR(__xludf.DUMMYFUNCTION("GOOGLETRANSLATE(B67,""zh-tw"",""es-MX"")"),"Dirígete al Bosque de las Ruinas")</f>
        <v>Dirígete al Bosque de las Ruinas</v>
      </c>
      <c r="S67" s="103" t="str">
        <f>IFERROR(__xludf.DUMMYFUNCTION("GOOGLETRANSLATE(C67,""zh-tw"",""es-MX"")"),"Desde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7" s="71" t="str">
        <f>IFERROR(__xludf.DUMMYFUNCTION("GOOGLETRANSLATE(D67,""zh-tw"",""es-MX"")"),"Llegando al ""Bosque de las Ruinas""")</f>
        <v>Llegando al "Bosque de las Ruinas"</v>
      </c>
      <c r="U67" s="98" t="s">
        <v>3563</v>
      </c>
      <c r="V67" s="138" t="str">
        <f>IFERROR(__xludf.DUMMYFUNCTION("GOOGLETRANSLATE(B67,""zh-tw"",""KO"")"),"폐허의 숲으로 가세요")</f>
        <v>폐허의 숲으로 가세요</v>
      </c>
      <c r="W67" s="103" t="str">
        <f>IFERROR(__xludf.DUMMYFUNCTION("GOOGLETRANSLATE(C67,""zh-tw"",""KO"")"),"""모험가의 길: 숲-2""에서 공지판을 지나 숲을 통과하면 ""유적의 숲""에 도착할 수 있습니다.")</f>
        <v>"모험가의 길: 숲-2"에서 공지판을 지나 숲을 통과하면 "유적의 숲"에 도착할 수 있습니다.</v>
      </c>
      <c r="X67" s="71" t="str">
        <f>IFERROR(__xludf.DUMMYFUNCTION("GOOGLETRANSLATE(D67,""zh-tw"",""KO"")"),"""폐허의 숲""에 도착")</f>
        <v>"폐허의 숲"에 도착</v>
      </c>
      <c r="Y67" s="98" t="s">
        <v>3563</v>
      </c>
      <c r="Z67" s="118" t="str">
        <f>IFERROR(__xludf.DUMMYFUNCTION("GOOGLETRANSLATE(B67,""zh-tw"",""ru"")"),"Отправляйтесь в Лес Руин")</f>
        <v>Отправляйтесь в Лес Руин</v>
      </c>
      <c r="AA67" s="162" t="str">
        <f>IFERROR(__xludf.DUMMYFUNCTION("GOOGLETRANSLATE(C67,""zh-tw"",""RU"")"),"Из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7" s="64" t="str">
        <f>IFERROR(__xludf.DUMMYFUNCTION("GOOGLETRANSLATE(D67,""zh-tw"",""RU"")"),"Прибытие в «Лес руин»")</f>
        <v>Прибытие в «Лес руин»</v>
      </c>
      <c r="AC67" s="137" t="s">
        <v>3563</v>
      </c>
      <c r="AD67" s="118" t="s">
        <v>3573</v>
      </c>
      <c r="AE67" s="115" t="s">
        <v>3574</v>
      </c>
      <c r="AF67" s="66" t="s">
        <v>3575</v>
      </c>
      <c r="AG67" s="98" t="s">
        <v>3563</v>
      </c>
      <c r="AH67" s="138" t="s">
        <v>3576</v>
      </c>
      <c r="AI67" s="177" t="s">
        <v>3577</v>
      </c>
      <c r="AJ67" s="142" t="s">
        <v>3578</v>
      </c>
      <c r="AK67" s="137" t="s">
        <v>3563</v>
      </c>
      <c r="AL67" s="178" t="s">
        <v>3570</v>
      </c>
      <c r="AM67" s="141" t="s">
        <v>3579</v>
      </c>
      <c r="AN67" s="142" t="s">
        <v>3580</v>
      </c>
      <c r="AO67" s="142"/>
    </row>
    <row r="68">
      <c r="A68" s="98" t="s">
        <v>3581</v>
      </c>
      <c r="B68" s="138" t="s">
        <v>3582</v>
      </c>
      <c r="C68" s="123" t="s">
        <v>3583</v>
      </c>
      <c r="D68" s="124" t="s">
        <v>3584</v>
      </c>
      <c r="E68" s="98" t="s">
        <v>3581</v>
      </c>
      <c r="F68" s="138" t="s">
        <v>3585</v>
      </c>
      <c r="G68" s="141" t="s">
        <v>3586</v>
      </c>
      <c r="H68" s="142" t="s">
        <v>3587</v>
      </c>
      <c r="I68" s="98" t="s">
        <v>3581</v>
      </c>
      <c r="J68" s="138" t="s">
        <v>3588</v>
      </c>
      <c r="K68" s="141" t="s">
        <v>3589</v>
      </c>
      <c r="L68" s="142" t="s">
        <v>3590</v>
      </c>
      <c r="M68" s="98" t="s">
        <v>3581</v>
      </c>
      <c r="N68" s="118" t="str">
        <f>IFERROR(__xludf.DUMMYFUNCTION("GOOGLETRANSLATE(B68,""zh-tw"",""zh"")"),"女仆兔BOSS区域-1")</f>
        <v>女仆兔BOSS区域-1</v>
      </c>
      <c r="O68" s="103" t="str">
        <f>IFERROR(__xludf.DUMMYFUNCTION("GOOGLETRANSLATE(C68,""zh-tw"",""zh"")"),"于""废墟森林""透过特殊移动手段，可以抵达女仆兔的BOSS区域")</f>
        <v>于"废墟森林"透过特殊移动手段，可以抵达女仆兔的BOSS区域</v>
      </c>
      <c r="P68" s="71" t="str">
        <f>IFERROR(__xludf.DUMMYFUNCTION("GOOGLETRANSLATE(D68,""zh-tw"",""zh"")"),"抵达BOSS区域
P.S.例如：怪鸟的羽毛可以进行漂浮")</f>
        <v>抵达BOSS区域
P.S.例如：怪鸟的羽毛可以进行漂浮</v>
      </c>
      <c r="Q68" s="98" t="s">
        <v>3581</v>
      </c>
      <c r="R68" s="138" t="str">
        <f>IFERROR(__xludf.DUMMYFUNCTION("GOOGLETRANSLATE(B68,""zh-tw"",""es-MX"")"),"Área BOSS de Maid Bunny -1")</f>
        <v>Área BOSS de Maid Bunny -1</v>
      </c>
      <c r="S68" s="103" t="str">
        <f>IFERROR(__xludf.DUMMYFUNCTION("GOOGLETRANSLATE(C68,""zh-tw"",""es-MX"")"),"Puedes llegar al área del jefe de Maid Bunny usando un método de movimiento especial en el ""Bosque en Ruinas"".")</f>
        <v>Puedes llegar al área del jefe de Maid Bunny usando un método de movimiento especial en el "Bosque en Ruinas".</v>
      </c>
      <c r="T68" s="71" t="str">
        <f>IFERROR(__xludf.DUMMYFUNCTION("GOOGLETRANSLATE(D68,""zh-tw"",""es-MX"")"),"Llega a la zona del JEFE.
P.D.: Por ejemplo: las plumas del pájaro monstruo se pueden usar para levitar.")</f>
        <v>Llega a la zona del JEFE.
P.D.: Por ejemplo: las plumas del pájaro monstruo se pueden usar para levitar.</v>
      </c>
      <c r="U68" s="98" t="s">
        <v>3581</v>
      </c>
      <c r="V68" s="138" t="str">
        <f>IFERROR(__xludf.DUMMYFUNCTION("GOOGLETRANSLATE(B68,""zh-tw"",""KO"")"),"메이드 버니 보스 지역 -1")</f>
        <v>메이드 버니 보스 지역 -1</v>
      </c>
      <c r="W68" s="103" t="str">
        <f>IFERROR(__xludf.DUMMYFUNCTION("GOOGLETRANSLATE(C68,""zh-tw"",""KO"")"),"""폐허의 숲""에서 특별한 이동 방법을 사용하면 메이드 토끼의 보스 구역에 도달할 수 있습니다.")</f>
        <v>"폐허의 숲"에서 특별한 이동 방법을 사용하면 메이드 토끼의 보스 구역에 도달할 수 있습니다.</v>
      </c>
      <c r="X68" s="71" t="str">
        <f>IFERROR(__xludf.DUMMYFUNCTION("GOOGLETRANSLATE(D68,""zh-tw"",""KO"")"),"BOSS 구역에 도착하세요.
추신: 예를 들어: 괴물 새의 깃털은 공중 부양에 사용할 수 있습니다.")</f>
        <v>BOSS 구역에 도착하세요.
추신: 예를 들어: 괴물 새의 깃털은 공중 부양에 사용할 수 있습니다.</v>
      </c>
      <c r="Y68" s="98" t="s">
        <v>3581</v>
      </c>
      <c r="Z68" s="118" t="str">
        <f>IFERROR(__xludf.DUMMYFUNCTION("GOOGLETRANSLATE(B68,""zh-tw"",""ru"")"),"Зона БОСС-горничной-кролика -1")</f>
        <v>Зона БОСС-горничной-кролика -1</v>
      </c>
      <c r="AA68" s="162" t="str">
        <f>IFERROR(__xludf.DUMMYFUNCTION("GOOGLETRANSLATE(C68,""zh-tw"",""RU"")"),"Добраться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8" s="64" t="str">
        <f>IFERROR(__xludf.DUMMYFUNCTION("GOOGLETRANSLATE(D68,""zh-tw"",""RU"")"),"Доберитесь до зоны БОССОВ.
P.S. Например: перья чудовищной птицы можно использовать для левитации.")</f>
        <v>Доберитесь до зоны БОССОВ.
P.S. Например: перья чудовищной птицы можно использовать для левитации.</v>
      </c>
      <c r="AC68" s="137" t="s">
        <v>3581</v>
      </c>
      <c r="AD68" s="138" t="s">
        <v>3591</v>
      </c>
      <c r="AE68" s="123" t="s">
        <v>3592</v>
      </c>
      <c r="AF68" s="124" t="s">
        <v>3593</v>
      </c>
      <c r="AG68" s="98" t="s">
        <v>3581</v>
      </c>
      <c r="AH68" s="138" t="s">
        <v>3594</v>
      </c>
      <c r="AI68" s="176" t="s">
        <v>3595</v>
      </c>
      <c r="AJ68" s="142" t="s">
        <v>3596</v>
      </c>
      <c r="AK68" s="137" t="s">
        <v>3581</v>
      </c>
      <c r="AL68" s="138" t="s">
        <v>3597</v>
      </c>
      <c r="AM68" s="141" t="s">
        <v>3598</v>
      </c>
      <c r="AN68" s="142" t="s">
        <v>3599</v>
      </c>
      <c r="AO68" s="142"/>
    </row>
    <row r="69">
      <c r="A69" s="98" t="s">
        <v>3600</v>
      </c>
      <c r="B69" s="138" t="s">
        <v>3601</v>
      </c>
      <c r="C69" s="123" t="s">
        <v>3602</v>
      </c>
      <c r="D69" s="66" t="s">
        <v>3603</v>
      </c>
      <c r="E69" s="98" t="s">
        <v>3600</v>
      </c>
      <c r="F69" s="138" t="s">
        <v>3604</v>
      </c>
      <c r="G69" s="141" t="s">
        <v>3605</v>
      </c>
      <c r="H69" s="136" t="s">
        <v>3606</v>
      </c>
      <c r="I69" s="98" t="s">
        <v>3600</v>
      </c>
      <c r="J69" s="138" t="s">
        <v>3607</v>
      </c>
      <c r="K69" s="141" t="s">
        <v>3608</v>
      </c>
      <c r="L69" s="136" t="s">
        <v>3609</v>
      </c>
      <c r="M69" s="98" t="s">
        <v>3600</v>
      </c>
      <c r="N69" s="118" t="str">
        <f>IFERROR(__xludf.DUMMYFUNCTION("GOOGLETRANSLATE(B69,""zh-tw"",""zh"")"),"女仆兔BOSS区域-2")</f>
        <v>女仆兔BOSS区域-2</v>
      </c>
      <c r="O69" s="103" t="str">
        <f>IFERROR(__xludf.DUMMYFUNCTION("GOOGLETRANSLATE(C69,""zh-tw"",""zh"")"),"于BOSS区域前的宝箱，开启后会爆炸，会对玩家或敌人造成伤害")</f>
        <v>于BOSS区域前的宝箱，开启后会爆炸，会对玩家或敌人造成伤害</v>
      </c>
      <c r="P69" s="71" t="str">
        <f>IFERROR(__xludf.DUMMYFUNCTION("GOOGLETRANSLATE(D69,""zh-tw"",""zh"")"),"请谨慎开启
*不会重置")</f>
        <v>请谨慎开启
*不会重置</v>
      </c>
      <c r="Q69" s="98" t="s">
        <v>3600</v>
      </c>
      <c r="R69" s="138" t="str">
        <f>IFERROR(__xludf.DUMMYFUNCTION("GOOGLETRANSLATE(B69,""zh-tw"",""es-MX"")"),"Área BOSS de Maid Bunny - 2")</f>
        <v>Área BOSS de Maid Bunny - 2</v>
      </c>
      <c r="S69" s="103" t="str">
        <f>IFERROR(__xludf.DUMMYFUNCTION("GOOGLETRANSLATE(C69,""zh-tw"",""es-MX"")"),"El cofre del tesoro frente al área BOSS explotará cuando se abra, lo que causará daño a los jugadores o enemigos.")</f>
        <v>El cofre del tesoro frente al área BOSS explotará cuando se abra, lo que causará daño a los jugadores o enemigos.</v>
      </c>
      <c r="T69" s="71" t="str">
        <f>IFERROR(__xludf.DUMMYFUNCTION("GOOGLETRANSLATE(D69,""zh-tw"",""es-MX"")"),"Por favor abrir con precaución. *No se reiniciará.")</f>
        <v>Por favor abrir con precaución. *No se reiniciará.</v>
      </c>
      <c r="U69" s="98" t="s">
        <v>3600</v>
      </c>
      <c r="V69" s="138" t="str">
        <f>IFERROR(__xludf.DUMMYFUNCTION("GOOGLETRANSLATE(B69,""zh-tw"",""KO"")"),"메이드 버니 보스 구역 - 2")</f>
        <v>메이드 버니 보스 구역 - 2</v>
      </c>
      <c r="W69" s="103" t="str">
        <f>IFERROR(__xludf.DUMMYFUNCTION("GOOGLETRANSLATE(C69,""zh-tw"",""KO"")"),"BOSS 구역 앞에 있는 보물상자는 열면 폭발하여 플레이어나 적에게 피해를 입힙니다.")</f>
        <v>BOSS 구역 앞에 있는 보물상자는 열면 폭발하여 플레이어나 적에게 피해를 입힙니다.</v>
      </c>
      <c r="X69" s="71" t="str">
        <f>IFERROR(__xludf.DUMMYFUNCTION("GOOGLETRANSLATE(D69,""zh-tw"",""KO"")"),"주의해서 열어주세요. *초기화되지 않습니다.")</f>
        <v>주의해서 열어주세요. *초기화되지 않습니다.</v>
      </c>
      <c r="Y69" s="98" t="s">
        <v>3600</v>
      </c>
      <c r="Z69" s="118" t="str">
        <f>IFERROR(__xludf.DUMMYFUNCTION("GOOGLETRANSLATE(B69,""zh-tw"",""ru"")"),"Зона БОСС-горничной-кролика - 2")</f>
        <v>Зона БОСС-горничной-кролика - 2</v>
      </c>
      <c r="AA69" s="162" t="str">
        <f>IFERROR(__xludf.DUMMYFUNCTION("GOOGLETRANSLATE(C69,""zh-tw"",""RU"")"),"Сундук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69" s="64" t="str">
        <f>IFERROR(__xludf.DUMMYFUNCTION("GOOGLETRANSLATE(D69,""zh-tw"",""RU"")"),"Открывайте осторожно. *Не сбрасывается.")</f>
        <v>Открывайте осторожно. *Не сбрасывается.</v>
      </c>
      <c r="AC69" s="137" t="s">
        <v>3600</v>
      </c>
      <c r="AD69" s="138" t="s">
        <v>3610</v>
      </c>
      <c r="AE69" s="123" t="s">
        <v>3611</v>
      </c>
      <c r="AF69" s="124" t="s">
        <v>3612</v>
      </c>
      <c r="AG69" s="98" t="s">
        <v>3600</v>
      </c>
      <c r="AH69" s="138" t="s">
        <v>3613</v>
      </c>
      <c r="AI69" s="176" t="s">
        <v>3614</v>
      </c>
      <c r="AJ69" s="51" t="s">
        <v>3615</v>
      </c>
      <c r="AK69" s="137" t="s">
        <v>3600</v>
      </c>
      <c r="AL69" s="138" t="s">
        <v>3616</v>
      </c>
      <c r="AM69" s="141" t="s">
        <v>3617</v>
      </c>
      <c r="AN69" s="142" t="s">
        <v>3618</v>
      </c>
      <c r="AO69" s="142"/>
    </row>
    <row r="70">
      <c r="A70" s="98" t="s">
        <v>3619</v>
      </c>
      <c r="B70" s="138" t="s">
        <v>3620</v>
      </c>
      <c r="C70" s="115" t="s">
        <v>3621</v>
      </c>
      <c r="D70" s="124" t="s">
        <v>3622</v>
      </c>
      <c r="E70" s="98" t="s">
        <v>3619</v>
      </c>
      <c r="F70" s="138" t="s">
        <v>3623</v>
      </c>
      <c r="G70" s="141" t="s">
        <v>3624</v>
      </c>
      <c r="H70" s="142" t="s">
        <v>3625</v>
      </c>
      <c r="I70" s="98" t="s">
        <v>3619</v>
      </c>
      <c r="J70" s="138" t="s">
        <v>3626</v>
      </c>
      <c r="K70" s="135" t="s">
        <v>3627</v>
      </c>
      <c r="L70" s="136" t="s">
        <v>3628</v>
      </c>
      <c r="M70" s="98" t="s">
        <v>3619</v>
      </c>
      <c r="N70" s="118" t="str">
        <f>IFERROR(__xludf.DUMMYFUNCTION("GOOGLETRANSLATE(B70,""zh-tw"",""zh"")"),"女仆兔BOSS区域-3")</f>
        <v>女仆兔BOSS区域-3</v>
      </c>
      <c r="O70" s="103" t="str">
        <f>IFERROR(__xludf.DUMMYFUNCTION("GOOGLETRANSLATE(C70,""zh-tw"",""zh"")"),"拔除发光的胡萝卜后，将召唤女仆兔BOSS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0" s="71" t="str">
        <f>IFERROR(__xludf.DUMMYFUNCTION("GOOGLETRANSLATE(D70,""zh-tw"",""zh"")"),"召唤BOSS-箱庭的白兔")</f>
        <v>召唤BOSS-箱庭的白兔</v>
      </c>
      <c r="Q70" s="98" t="s">
        <v>3619</v>
      </c>
      <c r="R70" s="138" t="str">
        <f>IFERROR(__xludf.DUMMYFUNCTION("GOOGLETRANSLATE(B70,""zh-tw"",""es-MX"")"),"Área del JEFE de Maid Rabbit - 3")</f>
        <v>Área del JEFE de Maid Rabbit - 3</v>
      </c>
      <c r="S70" s="103" t="str">
        <f>IFERROR(__xludf.DUMMYFUNCTION("GOOGLETRANSLATE(C70,""zh-tw"",""es-MX"")"),"Tras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70" s="71" t="str">
        <f>IFERROR(__xludf.DUMMYFUNCTION("GOOGLETRANSLATE(D70,""zh-tw"",""es-MX"")"),"Invocar Jefe - El Conejo Blanco del Pequeño Jardín")</f>
        <v>Invocar Jefe - El Conejo Blanco del Pequeño Jardín</v>
      </c>
      <c r="U70" s="98" t="s">
        <v>3619</v>
      </c>
      <c r="V70" s="138" t="str">
        <f>IFERROR(__xludf.DUMMYFUNCTION("GOOGLETRANSLATE(B70,""zh-tw"",""KO"")"),"메이드 래빗 보스 지역 - 3")</f>
        <v>메이드 래빗 보스 지역 - 3</v>
      </c>
      <c r="W70" s="103" t="str">
        <f>IFERROR(__xludf.DUMMYFUNCTION("GOOGLETRANSLATE(C70,""zh-tw"",""KO"")"),"빛나는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0" s="71" t="str">
        <f>IFERROR(__xludf.DUMMYFUNCTION("GOOGLETRANSLATE(D70,""zh-tw"",""KO"")"),"소환 보스 - 작은 정원의 흰 토끼")</f>
        <v>소환 보스 - 작은 정원의 흰 토끼</v>
      </c>
      <c r="Y70" s="98" t="s">
        <v>3619</v>
      </c>
      <c r="Z70" s="118" t="str">
        <f>IFERROR(__xludf.DUMMYFUNCTION("GOOGLETRANSLATE(B70,""zh-tw"",""ru"")"),"Зона Босса Кролика-горничной - 3")</f>
        <v>Зона Босса Кролика-горничной - 3</v>
      </c>
      <c r="AA70" s="162" t="str">
        <f>IFERROR(__xludf.DUMMYFUNCTION("GOOGLETRANSLATE(C70,""zh-tw"",""RU"")"),"После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0" s="64" t="str">
        <f>IFERROR(__xludf.DUMMYFUNCTION("GOOGLETRANSLATE(D70,""zh-tw"",""RU"")"),"Вызов босса — Белый кролик маленького сада")</f>
        <v>Вызов босса — Белый кролик маленького сада</v>
      </c>
      <c r="AC70" s="98" t="s">
        <v>3619</v>
      </c>
      <c r="AD70" s="138" t="s">
        <v>3629</v>
      </c>
      <c r="AE70" s="123" t="s">
        <v>3630</v>
      </c>
      <c r="AF70" s="124" t="s">
        <v>3631</v>
      </c>
      <c r="AG70" s="98" t="s">
        <v>3619</v>
      </c>
      <c r="AH70" s="138" t="s">
        <v>3632</v>
      </c>
      <c r="AI70" s="177" t="s">
        <v>3633</v>
      </c>
      <c r="AJ70" s="142" t="s">
        <v>3634</v>
      </c>
      <c r="AK70" s="137" t="s">
        <v>3619</v>
      </c>
      <c r="AL70" s="138" t="s">
        <v>3635</v>
      </c>
      <c r="AM70" s="141" t="s">
        <v>3636</v>
      </c>
      <c r="AN70" s="142" t="s">
        <v>3637</v>
      </c>
      <c r="AO70" s="142"/>
    </row>
    <row r="71">
      <c r="A71" s="98" t="s">
        <v>3638</v>
      </c>
      <c r="B71" s="138" t="s">
        <v>3639</v>
      </c>
      <c r="C71" s="115" t="s">
        <v>3640</v>
      </c>
      <c r="D71" s="66" t="s">
        <v>3641</v>
      </c>
      <c r="E71" s="98" t="s">
        <v>3638</v>
      </c>
      <c r="F71" s="138" t="s">
        <v>3642</v>
      </c>
      <c r="G71" s="135" t="s">
        <v>3643</v>
      </c>
      <c r="H71" s="136" t="s">
        <v>3644</v>
      </c>
      <c r="I71" s="98" t="s">
        <v>3638</v>
      </c>
      <c r="J71" s="138" t="s">
        <v>3645</v>
      </c>
      <c r="K71" s="135" t="s">
        <v>3646</v>
      </c>
      <c r="L71" s="136" t="s">
        <v>3647</v>
      </c>
      <c r="M71" s="98" t="s">
        <v>3638</v>
      </c>
      <c r="N71" s="118" t="str">
        <f>IFERROR(__xludf.DUMMYFUNCTION("GOOGLETRANSLATE(B71,""zh-tw"",""zh"")"),"女仆兔BOSS区域-4")</f>
        <v>女仆兔BOSS区域-4</v>
      </c>
      <c r="O71" s="103" t="str">
        <f>IFERROR(__xludf.DUMMYFUNCTION("GOOGLETRANSLATE(C71,""zh-tw"",""zh"")"),"击败-箱庭的白兔
特殊击败(未实装)-将所有洞口炸毁，即可击败BOSS")</f>
        <v>击败-箱庭的白兔
特殊击败(未实装)-将所有洞口炸毁，即可击败BOSS</v>
      </c>
      <c r="P71" s="71" t="str">
        <f>IFERROR(__xludf.DUMMYFUNCTION("GOOGLETRANSLATE(D71,""zh-tw"",""zh"")"),"机率掉落道具：胡萝卜大剑/冻萝卜大剑/霉萝卜大剑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1" s="98" t="s">
        <v>3638</v>
      </c>
      <c r="R71" s="138" t="str">
        <f>IFERROR(__xludf.DUMMYFUNCTION("GOOGLETRANSLATE(B71,""zh-tw"",""es-MX"")"),"Área del jefe de Maid Rabbit -4")</f>
        <v>Área del jefe de Maid Rabbit -4</v>
      </c>
      <c r="S71" s="103" t="str">
        <f>IFERROR(__xludf.DUMMYFUNCTION("GOOGLETRANSLATE(C71,""zh-tw"",""es-MX"")"),"Derrota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71" s="71" t="str">
        <f>IFERROR(__xludf.DUMMYFUNCTION("GOOGLETRANSLATE(D71,""zh-tw"",""es-MX"")"),"Posibilidad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71" s="98" t="s">
        <v>3638</v>
      </c>
      <c r="V71" s="138" t="str">
        <f>IFERROR(__xludf.DUMMYFUNCTION("GOOGLETRANSLATE(B71,""zh-tw"",""KO"")"),"메이드 래빗 보스 지역 -4")</f>
        <v>메이드 래빗 보스 지역 -4</v>
      </c>
      <c r="W71" s="103" t="str">
        <f>IFERROR(__xludf.DUMMYFUNCTION("GOOGLETRANSLATE(C71,""zh-tw"",""KO"")"),"패배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1" s="71" t="str">
        <f>IFERROR(__xludf.DUMMYFUNCTION("GOOGLETRANSLATE(D71,""zh-tw"",""KO"")"),"아이템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1" s="98" t="s">
        <v>3638</v>
      </c>
      <c r="Z71" s="118" t="str">
        <f>IFERROR(__xludf.DUMMYFUNCTION("GOOGLETRANSLATE(B71,""zh-tw"",""ru"")"),"Зона БОСС-горничной-кролика -4")</f>
        <v>Зона БОСС-горничной-кролика -4</v>
      </c>
      <c r="AA71" s="162" t="str">
        <f>IFERROR(__xludf.DUMMYFUNCTION("GOOGLETRANSLATE(C71,""zh-tw"",""RU"")"),"Поражение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1" s="64" t="str">
        <f>IFERROR(__xludf.DUMMYFUNCTION("GOOGLETRANSLATE(D71,""zh-tw"",""RU"")"),"Шанс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Форма горничной.
Шанс выпадения предмета: Карта Кролика (Уникальная).</v>
      </c>
      <c r="AC71" s="98" t="s">
        <v>3638</v>
      </c>
      <c r="AD71" s="138" t="s">
        <v>3648</v>
      </c>
      <c r="AE71" s="123" t="s">
        <v>3649</v>
      </c>
      <c r="AF71" s="124" t="s">
        <v>3650</v>
      </c>
      <c r="AG71" s="98" t="s">
        <v>3638</v>
      </c>
      <c r="AH71" s="138" t="s">
        <v>3651</v>
      </c>
      <c r="AI71" s="177" t="s">
        <v>3652</v>
      </c>
      <c r="AJ71" s="66" t="s">
        <v>3653</v>
      </c>
      <c r="AK71" s="137" t="s">
        <v>3638</v>
      </c>
      <c r="AL71" s="138" t="s">
        <v>3654</v>
      </c>
      <c r="AM71" s="141" t="s">
        <v>3655</v>
      </c>
      <c r="AN71" s="142" t="s">
        <v>3656</v>
      </c>
      <c r="AO71" s="142"/>
    </row>
    <row r="72">
      <c r="A72" s="98" t="s">
        <v>3657</v>
      </c>
      <c r="B72" s="118" t="s">
        <v>3658</v>
      </c>
      <c r="C72" s="109" t="s">
        <v>3659</v>
      </c>
      <c r="D72" s="69" t="s">
        <v>3660</v>
      </c>
      <c r="E72" s="98" t="s">
        <v>3657</v>
      </c>
      <c r="F72" s="118" t="s">
        <v>3661</v>
      </c>
      <c r="G72" s="135" t="s">
        <v>3662</v>
      </c>
      <c r="H72" s="69" t="s">
        <v>3663</v>
      </c>
      <c r="I72" s="98" t="s">
        <v>3657</v>
      </c>
      <c r="J72" s="118" t="s">
        <v>3664</v>
      </c>
      <c r="K72" s="135" t="s">
        <v>3665</v>
      </c>
      <c r="L72" s="136" t="s">
        <v>3666</v>
      </c>
      <c r="M72" s="98" t="s">
        <v>3657</v>
      </c>
      <c r="N72" s="118" t="str">
        <f>IFERROR(__xludf.DUMMYFUNCTION("GOOGLETRANSLATE(B72,""zh-tw"",""zh"")"),"猎人小屋")</f>
        <v>猎人小屋</v>
      </c>
      <c r="O72" s="103" t="str">
        <f>IFERROR(__xludf.DUMMYFUNCTION("GOOGLETRANSLATE(C72,""zh-tw"",""zh"")"),"猎人小屋开放探索了，需要打破门才能进入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2" s="71" t="str">
        <f>IFERROR(__xludf.DUMMYFUNCTION("GOOGLETRANSLATE(D72,""zh-tw"",""zh"")"),"获得装备：猎人服、猎人腰带
*未来预计有Npc")</f>
        <v>获得装备：猎人服、猎人腰带
*未来预计有Npc</v>
      </c>
      <c r="Q72" s="98" t="s">
        <v>3657</v>
      </c>
      <c r="R72" s="138" t="str">
        <f>IFERROR(__xludf.DUMMYFUNCTION("GOOGLETRANSLATE(B72,""zh-tw"",""es-MX"")"),"Logia del cazador")</f>
        <v>Logia del cazador</v>
      </c>
      <c r="S72" s="103" t="str">
        <f>IFERROR(__xludf.DUMMYFUNCTION("GOOGLETRANSLATE(C72,""zh-tw"",""es-MX"")"),"La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72" s="71" t="str">
        <f>IFERROR(__xludf.DUMMYFUNCTION("GOOGLETRANSLATE(D72,""zh-tw"",""es-MX"")"),"Equipo adquirido: Traje de cazador, Cinturón de cazador
*Se espera la incorporación de un PNJ próximamente.")</f>
        <v>Equipo adquirido: Traje de cazador, Cinturón de cazador
*Se espera la incorporación de un PNJ próximamente.</v>
      </c>
      <c r="U72" s="98" t="s">
        <v>3657</v>
      </c>
      <c r="V72" s="138" t="str">
        <f>IFERROR(__xludf.DUMMYFUNCTION("GOOGLETRANSLATE(B72,""zh-tw"",""KO"")"),"헌터스 롯지")</f>
        <v>헌터스 롯지</v>
      </c>
      <c r="W72" s="103" t="str">
        <f>IFERROR(__xludf.DUMMYFUNCTION("GOOGLETRANSLATE(C72,""zh-tw"",""KO"")"),"사냥꾼의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2" s="71" t="str">
        <f>IFERROR(__xludf.DUMMYFUNCTION("GOOGLETRANSLATE(D72,""zh-tw"",""KO"")"),"획득 장비: 사냥꾼의 옷, 사냥꾼의 허리띠
*향후 NPC 추가 예정")</f>
        <v>획득 장비: 사냥꾼의 옷, 사냥꾼의 허리띠
*향후 NPC 추가 예정</v>
      </c>
      <c r="Y72" s="98" t="s">
        <v>3657</v>
      </c>
      <c r="Z72" s="118" t="str">
        <f>IFERROR(__xludf.DUMMYFUNCTION("GOOGLETRANSLATE(B72,""zh-tw"",""ru"")"),"Охотничий домик")</f>
        <v>Охотничий домик</v>
      </c>
      <c r="AA72" s="162" t="str">
        <f>IFERROR(__xludf.DUMMYFUNCTION("GOOGLETRANSLATE(C72,""zh-tw"",""RU"")"),"Домик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2" s="64" t="str">
        <f>IFERROR(__xludf.DUMMYFUNCTION("GOOGLETRANSLATE(D72,""zh-tw"",""RU"")"),"Приобретённое снаряжение: Костюм охотника, Пояс охотника
*Ожидается добавление NPC в будущем.")</f>
        <v>Приобретённое снаряжение: Костюм охотника, Пояс охотника
*Ожидается добавление NPC в будущем.</v>
      </c>
      <c r="AC72" s="98" t="s">
        <v>3657</v>
      </c>
      <c r="AD72" s="118" t="s">
        <v>3667</v>
      </c>
      <c r="AE72" s="135" t="s">
        <v>3668</v>
      </c>
      <c r="AF72" s="136" t="s">
        <v>3669</v>
      </c>
      <c r="AG72" s="98" t="s">
        <v>3657</v>
      </c>
      <c r="AH72" s="106" t="s">
        <v>3670</v>
      </c>
      <c r="AI72" s="177" t="s">
        <v>3671</v>
      </c>
      <c r="AJ72" s="51" t="s">
        <v>3672</v>
      </c>
      <c r="AK72" s="137" t="s">
        <v>3657</v>
      </c>
      <c r="AL72" s="138" t="s">
        <v>3673</v>
      </c>
      <c r="AM72" s="141" t="s">
        <v>3674</v>
      </c>
      <c r="AN72" s="142" t="s">
        <v>3675</v>
      </c>
      <c r="AO72" s="142"/>
    </row>
    <row r="73">
      <c r="A73" s="98" t="s">
        <v>3676</v>
      </c>
      <c r="B73" s="118" t="s">
        <v>3677</v>
      </c>
      <c r="C73" s="109" t="s">
        <v>3678</v>
      </c>
      <c r="D73" s="69" t="s">
        <v>3679</v>
      </c>
      <c r="E73" s="98" t="s">
        <v>3676</v>
      </c>
      <c r="F73" s="118" t="s">
        <v>3680</v>
      </c>
      <c r="G73" s="135" t="s">
        <v>3681</v>
      </c>
      <c r="H73" s="69" t="s">
        <v>3682</v>
      </c>
      <c r="I73" s="98" t="s">
        <v>3676</v>
      </c>
      <c r="J73" s="118" t="s">
        <v>3683</v>
      </c>
      <c r="K73" s="135" t="s">
        <v>3684</v>
      </c>
      <c r="L73" s="136" t="s">
        <v>3685</v>
      </c>
      <c r="M73" s="98" t="s">
        <v>3676</v>
      </c>
      <c r="N73" s="118" t="str">
        <f>IFERROR(__xludf.DUMMYFUNCTION("GOOGLETRANSLATE(B73,""zh-tw"",""zh"")"),"猎人小屋-地下室")</f>
        <v>猎人小屋-地下室</v>
      </c>
      <c r="O73" s="103" t="str">
        <f>IFERROR(__xludf.DUMMYFUNCTION("GOOGLETRANSLATE(C73,""zh-tw"",""zh"")"),"中下方木板处有隐藏通道，可以通过爆炸等手段进入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3" s="71" t="str">
        <f>IFERROR(__xludf.DUMMYFUNCTION("GOOGLETRANSLATE(D73,""zh-tw"",""zh"")"),"获得装备：猎人短刀、护刃众的徽章")</f>
        <v>获得装备：猎人短刀、护刃众的徽章</v>
      </c>
      <c r="Q73" s="98" t="s">
        <v>3676</v>
      </c>
      <c r="R73" s="138" t="str">
        <f>IFERROR(__xludf.DUMMYFUNCTION("GOOGLETRANSLATE(B73,""zh-tw"",""es-MX"")"),"Hunter's Lodge - Sótano")</f>
        <v>Hunter's Lodge - Sótano</v>
      </c>
      <c r="S73" s="103" t="str">
        <f>IFERROR(__xludf.DUMMYFUNCTION("GOOGLETRANSLATE(C73,""zh-tw"",""es-MX"")"),"Hay un pasaje oculto en la parte inferior central del tablón de madera, al que se accede mediante explosiones u otros medios.
Allí puedes conseguir la Daga del Cazador.
Y en el barril de la esquina inferior derecha, encontrarás la Insignia de la Espada "&amp;"Guardiana.")</f>
        <v>Hay un pasaje oculto en la parte inferior central del tablón de madera, al que se accede mediante explosiones u otros medios.
Allí puedes conseguir la Daga del Cazador.
Y en el barril de la esquina inferior derecha, encontrarás la Insignia de la Espada Guardiana.</v>
      </c>
      <c r="T73" s="71" t="str">
        <f>IFERROR(__xludf.DUMMYFUNCTION("GOOGLETRANSLATE(D73,""zh-tw"",""es-MX"")"),"Equipo adquirido: Daga del cazador, Insignia del maestro de la espada guardián")</f>
        <v>Equipo adquirido: Daga del cazador, Insignia del maestro de la espada guardián</v>
      </c>
      <c r="U73" s="98" t="s">
        <v>3676</v>
      </c>
      <c r="V73" s="138" t="str">
        <f>IFERROR(__xludf.DUMMYFUNCTION("GOOGLETRANSLATE(B73,""zh-tw"",""KO"")"),"헌터스 롯지 - 지하실")</f>
        <v>헌터스 롯지 - 지하실</v>
      </c>
      <c r="W73" s="103" t="str">
        <f>IFERROR(__xludf.DUMMYFUNCTION("GOOGLETRANSLATE(C73,""zh-tw"",""KO"")"),"나무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3" s="71" t="str">
        <f>IFERROR(__xludf.DUMMYFUNCTION("GOOGLETRANSLATE(D73,""zh-tw"",""KO"")"),"획득 장비: 사냥꾼의 단검, 수호자의 검술사 배지")</f>
        <v>획득 장비: 사냥꾼의 단검, 수호자의 검술사 배지</v>
      </c>
      <c r="Y73" s="98" t="s">
        <v>3676</v>
      </c>
      <c r="Z73" s="118" t="str">
        <f>IFERROR(__xludf.DUMMYFUNCTION("GOOGLETRANSLATE(B73,""zh-tw"",""ru"")"),"Охотничий домик - Подвал")</f>
        <v>Охотничий домик - Подвал</v>
      </c>
      <c r="AA73" s="162" t="str">
        <f>IFERROR(__xludf.DUMMYFUNCTION("GOOGLETRANSLATE(C73,""zh-tw"",""RU"")"),"В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v>
      </c>
      <c r="AB73" s="64" t="str">
        <f>IFERROR(__xludf.DUMMYFUNCTION("GOOGLETRANSLATE(D73,""zh-tw"",""RU"")"),"Приобретенное снаряжение: Кинжал Охотника, Значок Мастера Клинка Хранителя")</f>
        <v>Приобретенное снаряжение: Кинжал Охотника, Значок Мастера Клинка Хранителя</v>
      </c>
      <c r="AC73" s="98" t="s">
        <v>3676</v>
      </c>
      <c r="AD73" s="118" t="s">
        <v>3686</v>
      </c>
      <c r="AE73" s="135" t="s">
        <v>3687</v>
      </c>
      <c r="AF73" s="136" t="s">
        <v>3688</v>
      </c>
      <c r="AG73" s="98" t="s">
        <v>3676</v>
      </c>
      <c r="AH73" s="106" t="s">
        <v>3689</v>
      </c>
      <c r="AI73" s="165" t="s">
        <v>3690</v>
      </c>
      <c r="AJ73" s="51" t="s">
        <v>3691</v>
      </c>
      <c r="AK73" s="137" t="s">
        <v>3676</v>
      </c>
      <c r="AL73" s="138" t="s">
        <v>3692</v>
      </c>
      <c r="AM73" s="141" t="s">
        <v>3693</v>
      </c>
      <c r="AN73" s="142" t="s">
        <v>3694</v>
      </c>
      <c r="AO73" s="142"/>
    </row>
    <row r="74">
      <c r="A74" s="98" t="s">
        <v>3695</v>
      </c>
      <c r="B74" s="118" t="s">
        <v>3696</v>
      </c>
      <c r="C74" s="109" t="s">
        <v>3697</v>
      </c>
      <c r="D74" s="69" t="s">
        <v>3698</v>
      </c>
      <c r="E74" s="98" t="s">
        <v>3695</v>
      </c>
      <c r="F74" s="118" t="s">
        <v>3699</v>
      </c>
      <c r="G74" s="135" t="s">
        <v>3700</v>
      </c>
      <c r="H74" s="69" t="s">
        <v>3701</v>
      </c>
      <c r="I74" s="98" t="s">
        <v>3695</v>
      </c>
      <c r="J74" s="118" t="s">
        <v>3702</v>
      </c>
      <c r="K74" s="135" t="s">
        <v>3703</v>
      </c>
      <c r="L74" s="136" t="s">
        <v>3704</v>
      </c>
      <c r="M74" s="98" t="s">
        <v>3695</v>
      </c>
      <c r="N74" s="118" t="str">
        <f>IFERROR(__xludf.DUMMYFUNCTION("GOOGLETRANSLATE(B74,""zh-tw"",""zh"")"),"隐藏道具")</f>
        <v>隐藏道具</v>
      </c>
      <c r="O74" s="103" t="str">
        <f>IFERROR(__xludf.DUMMYFUNCTION("GOOGLETRANSLATE(C74,""zh-tw"",""zh"")"),"于""开发中区域(矿坑)-2""最下方水面的发光处")</f>
        <v>于"开发中区域(矿坑)-2"最下方水面的发光处</v>
      </c>
      <c r="P74" s="71" t="str">
        <f>IFERROR(__xludf.DUMMYFUNCTION("GOOGLETRANSLATE(D74,""zh-tw"",""zh"")"),"获得装备：护刃众的徽章")</f>
        <v>获得装备：护刃众的徽章</v>
      </c>
      <c r="Q74" s="98" t="s">
        <v>3695</v>
      </c>
      <c r="R74" s="138" t="str">
        <f>IFERROR(__xludf.DUMMYFUNCTION("GOOGLETRANSLATE(B74,""zh-tw"",""es-MX"")"),"Objetos ocultos")</f>
        <v>Objetos ocultos</v>
      </c>
      <c r="S74" s="103" t="str">
        <f>IFERROR(__xludf.DUMMYFUNCTION("GOOGLETRANSLATE(C74,""zh-tw"",""es-MX"")"),"El punto brillante se encuentra en el fondo de la superficie del agua en ""Área de Desarrollo (Mina)-2"".")</f>
        <v>El punto brillante se encuentra en el fondo de la superficie del agua en "Área de Desarrollo (Mina)-2".</v>
      </c>
      <c r="T74" s="71" t="str">
        <f>IFERROR(__xludf.DUMMYFUNCTION("GOOGLETRANSLATE(D74,""zh-tw"",""es-MX"")"),"Equipo obtenido: Medalla de la Hoja Guardiana")</f>
        <v>Equipo obtenido: Medalla de la Hoja Guardiana</v>
      </c>
      <c r="U74" s="98" t="s">
        <v>3695</v>
      </c>
      <c r="V74" s="138" t="str">
        <f>IFERROR(__xludf.DUMMYFUNCTION("GOOGLETRANSLATE(B74,""zh-tw"",""KO"")"),"숨겨진 아이템")</f>
        <v>숨겨진 아이템</v>
      </c>
      <c r="W74" s="103" t="str">
        <f>IFERROR(__xludf.DUMMYFUNCTION("GOOGLETRANSLATE(C74,""zh-tw"",""KO"")"),"빛나는 지점은 ""개발 구역(광산)-2""의 수면 바닥에 위치해 있습니다.")</f>
        <v>빛나는 지점은 "개발 구역(광산)-2"의 수면 바닥에 위치해 있습니다.</v>
      </c>
      <c r="X74" s="71" t="str">
        <f>IFERROR(__xludf.DUMMYFUNCTION("GOOGLETRANSLATE(D74,""zh-tw"",""KO"")"),"획득 장비: 가디언 블레이드 메달")</f>
        <v>획득 장비: 가디언 블레이드 메달</v>
      </c>
      <c r="Y74" s="98" t="s">
        <v>3695</v>
      </c>
      <c r="Z74" s="118" t="str">
        <f>IFERROR(__xludf.DUMMYFUNCTION("GOOGLETRANSLATE(B74,""zh-tw"",""ru"")"),"Скрытые предметы")</f>
        <v>Скрытые предметы</v>
      </c>
      <c r="AA74" s="162" t="str">
        <f>IFERROR(__xludf.DUMMYFUNCTION("GOOGLETRANSLATE(C74,""zh-tw"",""RU"")"),"Светящаяся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4" s="64" t="str">
        <f>IFERROR(__xludf.DUMMYFUNCTION("GOOGLETRANSLATE(D74,""zh-tw"",""RU"")"),"Полученное снаряжение: Медаль «Хранитель Клинка»")</f>
        <v>Полученное снаряжение: Медаль «Хранитель Клинка»</v>
      </c>
      <c r="AC74" s="98" t="s">
        <v>3695</v>
      </c>
      <c r="AD74" s="118" t="s">
        <v>3705</v>
      </c>
      <c r="AE74" s="135" t="str">
        <f>IFERROR(__xludf.DUMMYFUNCTION("GOOGLETRANSLATE(C74,""zh-tw"",""de"")"),"Der leuchtende Fleck befindet sich am Grund der Wasseroberfläche im ""Entwicklungsbereich (Mine)-2"".")</f>
        <v>Der leuchtende Fleck befindet sich am Grund der Wasseroberfläche im "Entwicklungsbereich (Mine)-2".</v>
      </c>
      <c r="AF74" s="136" t="s">
        <v>3706</v>
      </c>
      <c r="AG74" s="98" t="s">
        <v>3695</v>
      </c>
      <c r="AH74" s="106" t="s">
        <v>3707</v>
      </c>
      <c r="AI74" s="177" t="s">
        <v>3708</v>
      </c>
      <c r="AJ74" s="51" t="s">
        <v>3709</v>
      </c>
      <c r="AK74" s="137" t="s">
        <v>3695</v>
      </c>
      <c r="AL74" s="138" t="s">
        <v>3710</v>
      </c>
      <c r="AM74" s="141" t="s">
        <v>3711</v>
      </c>
      <c r="AN74" s="142" t="s">
        <v>3712</v>
      </c>
      <c r="AO74" s="142"/>
    </row>
    <row r="75">
      <c r="A75" s="98" t="s">
        <v>3713</v>
      </c>
      <c r="B75" s="118" t="s">
        <v>3696</v>
      </c>
      <c r="C75" s="109" t="s">
        <v>3714</v>
      </c>
      <c r="D75" s="69" t="s">
        <v>3715</v>
      </c>
      <c r="E75" s="98" t="s">
        <v>3713</v>
      </c>
      <c r="F75" s="118" t="s">
        <v>3699</v>
      </c>
      <c r="G75" s="135" t="str">
        <f>IFERROR(__xludf.DUMMYFUNCTION("GOOGLETRANSLATE(C75,""zh-tw"",""ja"")"),"光る木箱は「開発区（鉱山）-3」に入って左側にあります。")</f>
        <v>光る木箱は「開発区（鉱山）-3」に入って左側にあります。</v>
      </c>
      <c r="H75" s="69" t="s">
        <v>3716</v>
      </c>
      <c r="I75" s="98" t="s">
        <v>3713</v>
      </c>
      <c r="J75" s="118" t="s">
        <v>3702</v>
      </c>
      <c r="K75" s="135" t="s">
        <v>3717</v>
      </c>
      <c r="L75" s="136" t="s">
        <v>3718</v>
      </c>
      <c r="M75" s="98" t="s">
        <v>3713</v>
      </c>
      <c r="N75" s="118" t="str">
        <f>IFERROR(__xludf.DUMMYFUNCTION("GOOGLETRANSLATE(B75,""zh-tw"",""zh"")"),"隐藏道具")</f>
        <v>隐藏道具</v>
      </c>
      <c r="O75" s="103" t="str">
        <f>IFERROR(__xludf.DUMMYFUNCTION("GOOGLETRANSLATE(C75,""zh-tw"",""zh"")"),"于""开发中区域(矿坑)-3""进入后的左方木箱发光处")</f>
        <v>于"开发中区域(矿坑)-3"进入后的左方木箱发光处</v>
      </c>
      <c r="P75" s="71" t="str">
        <f>IFERROR(__xludf.DUMMYFUNCTION("GOOGLETRANSLATE(D75,""zh-tw"",""zh"")"),"获得装备：安全手套")</f>
        <v>获得装备：安全手套</v>
      </c>
      <c r="Q75" s="98" t="s">
        <v>3713</v>
      </c>
      <c r="R75" s="138" t="str">
        <f>IFERROR(__xludf.DUMMYFUNCTION("GOOGLETRANSLATE(B75,""zh-tw"",""es-MX"")"),"Objetos ocultos")</f>
        <v>Objetos ocultos</v>
      </c>
      <c r="S75" s="103" t="str">
        <f>IFERROR(__xludf.DUMMYFUNCTION("GOOGLETRANSLATE(C75,""zh-tw"",""es-MX"")"),"La caja de madera brillante se encuentra en el lado izquierdo después de ingresar al ""Área de Desarrollo (Mina)-3"".")</f>
        <v>La caja de madera brillante se encuentra en el lado izquierdo después de ingresar al "Área de Desarrollo (Mina)-3".</v>
      </c>
      <c r="T75" s="71" t="str">
        <f>IFERROR(__xludf.DUMMYFUNCTION("GOOGLETRANSLATE(D75,""zh-tw"",""es-MX"")"),"Equipo obtenido: Guantes de seguridad")</f>
        <v>Equipo obtenido: Guantes de seguridad</v>
      </c>
      <c r="U75" s="98" t="s">
        <v>3713</v>
      </c>
      <c r="V75" s="138" t="str">
        <f>IFERROR(__xludf.DUMMYFUNCTION("GOOGLETRANSLATE(B75,""zh-tw"",""KO"")"),"숨겨진 아이템")</f>
        <v>숨겨진 아이템</v>
      </c>
      <c r="W75" s="103" t="str">
        <f>IFERROR(__xludf.DUMMYFUNCTION("GOOGLETRANSLATE(C75,""zh-tw"",""KO"")"),"빛나는 나무 상자는 ""개발 구역(광산)-3""에 들어간 후 왼쪽에 있습니다.")</f>
        <v>빛나는 나무 상자는 "개발 구역(광산)-3"에 들어간 후 왼쪽에 있습니다.</v>
      </c>
      <c r="X75" s="71" t="str">
        <f>IFERROR(__xludf.DUMMYFUNCTION("GOOGLETRANSLATE(D75,""zh-tw"",""KO"")"),"획득한 장비: 안전 장갑")</f>
        <v>획득한 장비: 안전 장갑</v>
      </c>
      <c r="Y75" s="98" t="s">
        <v>3713</v>
      </c>
      <c r="Z75" s="118" t="str">
        <f>IFERROR(__xludf.DUMMYFUNCTION("GOOGLETRANSLATE(B75,""zh-tw"",""ru"")"),"Скрытые предметы")</f>
        <v>Скрытые предметы</v>
      </c>
      <c r="AA75" s="162" t="str">
        <f>IFERROR(__xludf.DUMMYFUNCTION("GOOGLETRANSLATE(C75,""zh-tw"",""RU"")"),"Светящийся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5" s="64" t="str">
        <f>IFERROR(__xludf.DUMMYFUNCTION("GOOGLETRANSLATE(D75,""zh-tw"",""RU"")"),"Полученное оборудование: защитные перчатки.")</f>
        <v>Полученное оборудование: защитные перчатки.</v>
      </c>
      <c r="AC75" s="98" t="s">
        <v>3713</v>
      </c>
      <c r="AD75" s="118" t="s">
        <v>3705</v>
      </c>
      <c r="AE75" s="135" t="str">
        <f>IFERROR(__xludf.DUMMYFUNCTION("GOOGLETRANSLATE(C75,""zh-tw"",""de"")"),"Die leuchtende Holzkiste befindet sich auf der linken Seite nach Betreten des ""Entwicklungsbereichs (Mine)-3"".")</f>
        <v>Die leuchtende Holzkiste befindet sich auf der linken Seite nach Betreten des "Entwicklungsbereichs (Mine)-3".</v>
      </c>
      <c r="AF75" s="136" t="s">
        <v>3719</v>
      </c>
      <c r="AG75" s="98" t="s">
        <v>3713</v>
      </c>
      <c r="AH75" s="106" t="s">
        <v>3707</v>
      </c>
      <c r="AI75" s="177" t="s">
        <v>3720</v>
      </c>
      <c r="AJ75" s="51" t="s">
        <v>3721</v>
      </c>
      <c r="AK75" s="137" t="s">
        <v>3713</v>
      </c>
      <c r="AL75" s="138" t="s">
        <v>3710</v>
      </c>
      <c r="AM75" s="141" t="s">
        <v>3722</v>
      </c>
      <c r="AN75" s="142" t="s">
        <v>3723</v>
      </c>
      <c r="AO75" s="142"/>
    </row>
    <row r="76">
      <c r="A76" s="98" t="s">
        <v>3724</v>
      </c>
      <c r="B76" s="118" t="s">
        <v>3696</v>
      </c>
      <c r="C76" s="109" t="s">
        <v>3725</v>
      </c>
      <c r="D76" s="69" t="s">
        <v>3726</v>
      </c>
      <c r="E76" s="98" t="s">
        <v>3724</v>
      </c>
      <c r="F76" s="118" t="s">
        <v>3699</v>
      </c>
      <c r="G76" s="135" t="s">
        <v>3727</v>
      </c>
      <c r="H76" s="69" t="s">
        <v>3728</v>
      </c>
      <c r="I76" s="98" t="s">
        <v>3724</v>
      </c>
      <c r="J76" s="118" t="s">
        <v>3702</v>
      </c>
      <c r="K76" s="135" t="s">
        <v>3729</v>
      </c>
      <c r="L76" s="136" t="s">
        <v>3730</v>
      </c>
      <c r="M76" s="98" t="s">
        <v>3724</v>
      </c>
      <c r="N76" s="118" t="str">
        <f>IFERROR(__xludf.DUMMYFUNCTION("GOOGLETRANSLATE(B76,""zh-tw"",""zh"")"),"隐藏道具")</f>
        <v>隐藏道具</v>
      </c>
      <c r="O76" s="103" t="str">
        <f>IFERROR(__xludf.DUMMYFUNCTION("GOOGLETRANSLATE(C76,""zh-tw"",""zh"")"),"于开发中区域(矿坑)-3的悬空处，利用装备技巧可以获得隐藏道具
")</f>
        <v>于开发中区域(矿坑)-3的悬空处，利用装备技巧可以获得隐藏道具
</v>
      </c>
      <c r="P76" s="71" t="str">
        <f>IFERROR(__xludf.DUMMYFUNCTION("GOOGLETRANSLATE(D76,""zh-tw"",""zh"")"),"获得装备：宝石剑")</f>
        <v>获得装备：宝石剑</v>
      </c>
      <c r="Q76" s="98" t="s">
        <v>3724</v>
      </c>
      <c r="R76" s="138" t="str">
        <f>IFERROR(__xludf.DUMMYFUNCTION("GOOGLETRANSLATE(B76,""zh-tw"",""es-MX"")"),"Objetos ocultos")</f>
        <v>Objetos ocultos</v>
      </c>
      <c r="S76" s="103" t="str">
        <f>IFERROR(__xludf.DUMMYFUNCTION("GOOGLETRANSLATE(C76,""zh-tw"",""es-MX"")"),"Los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6" s="71" t="str">
        <f>IFERROR(__xludf.DUMMYFUNCTION("GOOGLETRANSLATE(D76,""zh-tw"",""es-MX"")"),"Equipo obtenido: Espada de gemas")</f>
        <v>Equipo obtenido: Espada de gemas</v>
      </c>
      <c r="U76" s="98" t="s">
        <v>3724</v>
      </c>
      <c r="V76" s="138" t="str">
        <f>IFERROR(__xludf.DUMMYFUNCTION("GOOGLETRANSLATE(B76,""zh-tw"",""KO"")"),"숨겨진 아이템")</f>
        <v>숨겨진 아이템</v>
      </c>
      <c r="W76" s="103" t="str">
        <f>IFERROR(__xludf.DUMMYFUNCTION("GOOGLETRANSLATE(C76,""zh-tw"",""KO"")"),"개발구역(광산)-3의 정지구역에서 장비스킬을 사용하면 숨겨진 아이템을 획득할 수 있습니다.")</f>
        <v>개발구역(광산)-3의 정지구역에서 장비스킬을 사용하면 숨겨진 아이템을 획득할 수 있습니다.</v>
      </c>
      <c r="X76" s="71" t="str">
        <f>IFERROR(__xludf.DUMMYFUNCTION("GOOGLETRANSLATE(D76,""zh-tw"",""KO"")"),"획득 장비: 보석검")</f>
        <v>획득 장비: 보석검</v>
      </c>
      <c r="Y76" s="98" t="s">
        <v>3724</v>
      </c>
      <c r="Z76" s="118" t="str">
        <f>IFERROR(__xludf.DUMMYFUNCTION("GOOGLETRANSLATE(B76,""zh-tw"",""ru"")"),"Скрытые предметы")</f>
        <v>Скрытые предметы</v>
      </c>
      <c r="AA76" s="162" t="str">
        <f>IFERROR(__xludf.DUMMYFUNCTION("GOOGLETRANSLATE(C76,""zh-tw"",""RU"")"),"Скрытые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6" s="64" t="str">
        <f>IFERROR(__xludf.DUMMYFUNCTION("GOOGLETRANSLATE(D76,""zh-tw"",""RU"")"),"Полученное снаряжение: Меч из драгоценных камней")</f>
        <v>Полученное снаряжение: Меч из драгоценных камней</v>
      </c>
      <c r="AC76" s="98" t="s">
        <v>3724</v>
      </c>
      <c r="AD76" s="118" t="s">
        <v>3705</v>
      </c>
      <c r="AE76" s="135" t="str">
        <f>IFERROR(__xludf.DUMMYFUNCTION("GOOGLETRANSLATE(C76,""zh-tw"",""de"")"),"Versteckte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6" s="136" t="s">
        <v>3731</v>
      </c>
      <c r="AG76" s="98" t="s">
        <v>3724</v>
      </c>
      <c r="AH76" s="106" t="s">
        <v>3707</v>
      </c>
      <c r="AI76" s="177" t="s">
        <v>3732</v>
      </c>
      <c r="AJ76" s="51" t="s">
        <v>3733</v>
      </c>
      <c r="AK76" s="137" t="s">
        <v>3724</v>
      </c>
      <c r="AL76" s="138" t="s">
        <v>3710</v>
      </c>
      <c r="AM76" s="141" t="s">
        <v>3734</v>
      </c>
      <c r="AN76" s="142" t="s">
        <v>3735</v>
      </c>
      <c r="AO76" s="142"/>
    </row>
    <row r="77">
      <c r="A77" s="98" t="s">
        <v>3736</v>
      </c>
      <c r="B77" s="118" t="s">
        <v>3696</v>
      </c>
      <c r="C77" s="109" t="s">
        <v>3737</v>
      </c>
      <c r="D77" s="69" t="s">
        <v>3738</v>
      </c>
      <c r="E77" s="98" t="s">
        <v>3736</v>
      </c>
      <c r="F77" s="118" t="s">
        <v>3699</v>
      </c>
      <c r="G77" s="135" t="s">
        <v>3739</v>
      </c>
      <c r="H77" s="69" t="s">
        <v>3740</v>
      </c>
      <c r="I77" s="98" t="s">
        <v>3736</v>
      </c>
      <c r="J77" s="118" t="s">
        <v>3702</v>
      </c>
      <c r="K77" s="135" t="s">
        <v>3741</v>
      </c>
      <c r="L77" s="136" t="s">
        <v>3742</v>
      </c>
      <c r="M77" s="98" t="s">
        <v>3736</v>
      </c>
      <c r="N77" s="118" t="str">
        <f>IFERROR(__xludf.DUMMYFUNCTION("GOOGLETRANSLATE(B77,""zh-tw"",""zh"")"),"隐藏道具")</f>
        <v>隐藏道具</v>
      </c>
      <c r="O77" s="103" t="str">
        <f>IFERROR(__xludf.DUMMYFUNCTION("GOOGLETRANSLATE(C77,""zh-tw"",""zh"")"),"于开发中区域(矿坑)-4，中央楼梯上方的发光处")</f>
        <v>于开发中区域(矿坑)-4，中央楼梯上方的发光处</v>
      </c>
      <c r="P77" s="71" t="str">
        <f>IFERROR(__xludf.DUMMYFUNCTION("GOOGLETRANSLATE(D77,""zh-tw"",""zh"")"),"获得装备：生锈的铁剑")</f>
        <v>获得装备：生锈的铁剑</v>
      </c>
      <c r="Q77" s="98" t="s">
        <v>3736</v>
      </c>
      <c r="R77" s="138" t="str">
        <f>IFERROR(__xludf.DUMMYFUNCTION("GOOGLETRANSLATE(B77,""zh-tw"",""es-MX"")"),"Objetos ocultos")</f>
        <v>Objetos ocultos</v>
      </c>
      <c r="S77" s="103" t="str">
        <f>IFERROR(__xludf.DUMMYFUNCTION("GOOGLETRANSLATE(C77,""zh-tw"",""es-MX"")"),"En la zona de desarrollo (mina)-4, encima de la escalera central, hay un punto brillante.")</f>
        <v>En la zona de desarrollo (mina)-4, encima de la escalera central, hay un punto brillante.</v>
      </c>
      <c r="T77" s="71" t="str">
        <f>IFERROR(__xludf.DUMMYFUNCTION("GOOGLETRANSLATE(D77,""zh-tw"",""es-MX"")"),"Obtener equipo: Espada de hierro oxidado")</f>
        <v>Obtener equipo: Espada de hierro oxidado</v>
      </c>
      <c r="U77" s="98" t="s">
        <v>3736</v>
      </c>
      <c r="V77" s="138" t="str">
        <f>IFERROR(__xludf.DUMMYFUNCTION("GOOGLETRANSLATE(B77,""zh-tw"",""KO"")"),"숨겨진 아이템")</f>
        <v>숨겨진 아이템</v>
      </c>
      <c r="W77" s="103" t="str">
        <f>IFERROR(__xludf.DUMMYFUNCTION("GOOGLETRANSLATE(C77,""zh-tw"",""KO"")"),"개발 구역(광산)-4, 중앙 계단 위에 빛나는 점이 있습니다.")</f>
        <v>개발 구역(광산)-4, 중앙 계단 위에 빛나는 점이 있습니다.</v>
      </c>
      <c r="X77" s="71" t="str">
        <f>IFERROR(__xludf.DUMMYFUNCTION("GOOGLETRANSLATE(D77,""zh-tw"",""KO"")"),"장비 획득: 녹슨 철검")</f>
        <v>장비 획득: 녹슨 철검</v>
      </c>
      <c r="Y77" s="98" t="s">
        <v>3736</v>
      </c>
      <c r="Z77" s="118" t="str">
        <f>IFERROR(__xludf.DUMMYFUNCTION("GOOGLETRANSLATE(B77,""zh-tw"",""ru"")"),"Скрытые предметы")</f>
        <v>Скрытые предметы</v>
      </c>
      <c r="AA77" s="162" t="str">
        <f>IFERROR(__xludf.DUMMYFUNCTION("GOOGLETRANSLATE(C77,""zh-tw"",""RU"")"),"В зоне разработки (шахте)-4, над центральной лестницей, находится светящаяся точка.")</f>
        <v>В зоне разработки (шахте)-4, над центральной лестницей, находится светящаяся точка.</v>
      </c>
      <c r="AB77" s="64" t="str">
        <f>IFERROR(__xludf.DUMMYFUNCTION("GOOGLETRANSLATE(D77,""zh-tw"",""RU"")"),"Получить снаряжение: Ржавый железный меч")</f>
        <v>Получить снаряжение: Ржавый железный меч</v>
      </c>
      <c r="AC77" s="98" t="s">
        <v>3736</v>
      </c>
      <c r="AD77" s="118" t="s">
        <v>3705</v>
      </c>
      <c r="AE77" s="135" t="str">
        <f>IFERROR(__xludf.DUMMYFUNCTION("GOOGLETRANSLATE(C77,""zh-tw"",""de"")"),"Im Entwicklungsgebiet (Mine)-4, oberhalb der zentralen Treppe, befindet sich ein leuchtender Fleck.")</f>
        <v>Im Entwicklungsgebiet (Mine)-4, oberhalb der zentralen Treppe, befindet sich ein leuchtender Fleck.</v>
      </c>
      <c r="AF77" s="136" t="s">
        <v>3743</v>
      </c>
      <c r="AG77" s="98" t="s">
        <v>3736</v>
      </c>
      <c r="AH77" s="106" t="s">
        <v>3707</v>
      </c>
      <c r="AI77" s="177" t="s">
        <v>3744</v>
      </c>
      <c r="AJ77" s="51" t="s">
        <v>3745</v>
      </c>
      <c r="AK77" s="137" t="s">
        <v>3736</v>
      </c>
      <c r="AL77" s="138" t="s">
        <v>3710</v>
      </c>
      <c r="AM77" s="141" t="s">
        <v>3746</v>
      </c>
      <c r="AN77" s="142" t="s">
        <v>3747</v>
      </c>
      <c r="AO77" s="142"/>
    </row>
    <row r="78">
      <c r="A78" s="98" t="s">
        <v>3748</v>
      </c>
      <c r="B78" s="118" t="s">
        <v>3696</v>
      </c>
      <c r="C78" s="109" t="s">
        <v>3749</v>
      </c>
      <c r="D78" s="69" t="s">
        <v>3750</v>
      </c>
      <c r="E78" s="98" t="s">
        <v>3748</v>
      </c>
      <c r="F78" s="118" t="s">
        <v>3699</v>
      </c>
      <c r="G78" s="135" t="s">
        <v>3751</v>
      </c>
      <c r="H78" s="69" t="s">
        <v>3752</v>
      </c>
      <c r="I78" s="98" t="s">
        <v>3748</v>
      </c>
      <c r="J78" s="118" t="s">
        <v>3702</v>
      </c>
      <c r="K78" s="135" t="s">
        <v>3753</v>
      </c>
      <c r="L78" s="136" t="s">
        <v>3754</v>
      </c>
      <c r="M78" s="98" t="s">
        <v>3748</v>
      </c>
      <c r="N78" s="118" t="str">
        <f>IFERROR(__xludf.DUMMYFUNCTION("GOOGLETRANSLATE(B78,""zh-tw"",""zh"")"),"隐藏道具")</f>
        <v>隐藏道具</v>
      </c>
      <c r="O78" s="103" t="str">
        <f>IFERROR(__xludf.DUMMYFUNCTION("GOOGLETRANSLATE(C78,""zh-tw"",""zh"")"),"于开发中区域(矿坑)-4，中央楼梯下去后的左方")</f>
        <v>于开发中区域(矿坑)-4，中央楼梯下去后的左方</v>
      </c>
      <c r="P78" s="71" t="str">
        <f>IFERROR(__xludf.DUMMYFUNCTION("GOOGLETRANSLATE(D78,""zh-tw"",""zh"")"),"获得装备：铁觇
铁觇的规则说明于Tips中")</f>
        <v>获得装备：铁觇
铁觇的规则说明于Tips中</v>
      </c>
      <c r="Q78" s="98" t="s">
        <v>3748</v>
      </c>
      <c r="R78" s="138" t="str">
        <f>IFERROR(__xludf.DUMMYFUNCTION("GOOGLETRANSLATE(B78,""zh-tw"",""es-MX"")"),"Objetos ocultos")</f>
        <v>Objetos ocultos</v>
      </c>
      <c r="S78" s="103" t="str">
        <f>IFERROR(__xludf.DUMMYFUNCTION("GOOGLETRANSLATE(C78,""zh-tw"",""es-MX"")"),"En la zona de desarrollo (mina) -4, a la izquierda después de bajar la escalera central.")</f>
        <v>En la zona de desarrollo (mina) -4, a la izquierda después de bajar la escalera central.</v>
      </c>
      <c r="T78" s="71" t="str">
        <f>IFERROR(__xludf.DUMMYFUNCTION("GOOGLETRANSLATE(D78,""zh-tw"",""es-MX"")"),"Adquirir equipo: Gólem de hierro Las reglas para el Gólem de hierro se explican en los Consejos.")</f>
        <v>Adquirir equipo: Gólem de hierro Las reglas para el Gólem de hierro se explican en los Consejos.</v>
      </c>
      <c r="U78" s="98" t="s">
        <v>3748</v>
      </c>
      <c r="V78" s="138" t="str">
        <f>IFERROR(__xludf.DUMMYFUNCTION("GOOGLETRANSLATE(B78,""zh-tw"",""KO"")"),"숨겨진 아이템")</f>
        <v>숨겨진 아이템</v>
      </c>
      <c r="W78" s="103" t="str">
        <f>IFERROR(__xludf.DUMMYFUNCTION("GOOGLETRANSLATE(C78,""zh-tw"",""KO"")"),"개발 구역(광산 구덩이) -4, 중앙 계단을 내려가 왼쪽에 있습니다.")</f>
        <v>개발 구역(광산 구덩이) -4, 중앙 계단을 내려가 왼쪽에 있습니다.</v>
      </c>
      <c r="X78" s="71" t="str">
        <f>IFERROR(__xludf.DUMMYFUNCTION("GOOGLETRANSLATE(D78,""zh-tw"",""KO"")"),"장비 획득: 아이언 골렘 아이언 골렘의 규칙은 팁에 설명되어 있습니다.")</f>
        <v>장비 획득: 아이언 골렘 아이언 골렘의 규칙은 팁에 설명되어 있습니다.</v>
      </c>
      <c r="Y78" s="98" t="s">
        <v>3748</v>
      </c>
      <c r="Z78" s="118" t="str">
        <f>IFERROR(__xludf.DUMMYFUNCTION("GOOGLETRANSLATE(B78,""zh-tw"",""ru"")"),"Скрытые предметы")</f>
        <v>Скрытые предметы</v>
      </c>
      <c r="AA78" s="162" t="str">
        <f>IFERROR(__xludf.DUMMYFUNCTION("GOOGLETRANSLATE(C78,""zh-tw"",""RU"")"),"В зоне разработки (шахта)-4, слева после спуска по центральной лестнице.")</f>
        <v>В зоне разработки (шахта)-4, слева после спуска по центральной лестнице.</v>
      </c>
      <c r="AB78" s="64" t="str">
        <f>IFERROR(__xludf.DUMMYFUNCTION("GOOGLETRANSLATE(D78,""zh-tw"",""RU"")"),"Приобретение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8" s="98" t="s">
        <v>3748</v>
      </c>
      <c r="AD78" s="118" t="s">
        <v>3705</v>
      </c>
      <c r="AE78" s="135" t="str">
        <f>IFERROR(__xludf.DUMMYFUNCTION("GOOGLETRANSLATE(C78,""zh-tw"",""de"")"),"Im Erschließungsbereich (Schacht) -4, links nach dem Abstieg über die zentrale Treppe.")</f>
        <v>Im Erschließungsbereich (Schacht) -4, links nach dem Abstieg über die zentrale Treppe.</v>
      </c>
      <c r="AF78" s="136" t="s">
        <v>3755</v>
      </c>
      <c r="AG78" s="98" t="s">
        <v>3748</v>
      </c>
      <c r="AH78" s="106" t="s">
        <v>3707</v>
      </c>
      <c r="AI78" s="177" t="s">
        <v>3756</v>
      </c>
      <c r="AJ78" s="51" t="s">
        <v>3757</v>
      </c>
      <c r="AK78" s="137" t="s">
        <v>3748</v>
      </c>
      <c r="AL78" s="138" t="s">
        <v>3710</v>
      </c>
      <c r="AM78" s="141" t="s">
        <v>3758</v>
      </c>
      <c r="AN78" s="142" t="s">
        <v>3759</v>
      </c>
      <c r="AO78" s="142"/>
    </row>
    <row r="79">
      <c r="A79" s="98" t="s">
        <v>3760</v>
      </c>
      <c r="B79" s="118" t="s">
        <v>3696</v>
      </c>
      <c r="C79" s="109" t="s">
        <v>3761</v>
      </c>
      <c r="D79" s="69" t="s">
        <v>3762</v>
      </c>
      <c r="E79" s="98" t="s">
        <v>3760</v>
      </c>
      <c r="F79" s="118" t="s">
        <v>3699</v>
      </c>
      <c r="G79" s="135" t="s">
        <v>3763</v>
      </c>
      <c r="H79" s="69" t="s">
        <v>3764</v>
      </c>
      <c r="I79" s="98" t="s">
        <v>3760</v>
      </c>
      <c r="J79" s="118" t="s">
        <v>3702</v>
      </c>
      <c r="K79" s="135" t="s">
        <v>3765</v>
      </c>
      <c r="L79" s="136" t="s">
        <v>3766</v>
      </c>
      <c r="M79" s="98" t="s">
        <v>3760</v>
      </c>
      <c r="N79" s="118" t="str">
        <f>IFERROR(__xludf.DUMMYFUNCTION("GOOGLETRANSLATE(B79,""zh-tw"",""zh"")"),"隐藏道具")</f>
        <v>隐藏道具</v>
      </c>
      <c r="O79" s="103" t="str">
        <f>IFERROR(__xludf.DUMMYFUNCTION("GOOGLETRANSLATE(C79,""zh-tw"",""zh"")"),"于开发中区域(矿坑)-4，中央楼梯下去后的右方发光处")</f>
        <v>于开发中区域(矿坑)-4，中央楼梯下去后的右方发光处</v>
      </c>
      <c r="P79" s="71" t="str">
        <f>IFERROR(__xludf.DUMMYFUNCTION("GOOGLETRANSLATE(D79,""zh-tw"",""zh"")"),"获得道具：魔力小凝胶x10")</f>
        <v>获得道具：魔力小凝胶x10</v>
      </c>
      <c r="Q79" s="98" t="s">
        <v>3760</v>
      </c>
      <c r="R79" s="138" t="str">
        <f>IFERROR(__xludf.DUMMYFUNCTION("GOOGLETRANSLATE(B79,""zh-tw"",""es-MX"")"),"Objetos ocultos")</f>
        <v>Objetos ocultos</v>
      </c>
      <c r="S79" s="103" t="str">
        <f>IFERROR(__xludf.DUMMYFUNCTION("GOOGLETRANSLATE(C79,""zh-tw"",""es-MX"")"),"En el área en desarrollo (mina) -4, el punto brillante está a la derecha después de bajar las escaleras centrales.")</f>
        <v>En el área en desarrollo (mina) -4, el punto brillante está a la derecha después de bajar las escaleras centrales.</v>
      </c>
      <c r="T79" s="71" t="str">
        <f>IFERROR(__xludf.DUMMYFUNCTION("GOOGLETRANSLATE(D79,""zh-tw"",""es-MX"")"),"Objeto obtenido: Gel mágico x10")</f>
        <v>Objeto obtenido: Gel mágico x10</v>
      </c>
      <c r="U79" s="98" t="s">
        <v>3760</v>
      </c>
      <c r="V79" s="138" t="str">
        <f>IFERROR(__xludf.DUMMYFUNCTION("GOOGLETRANSLATE(B79,""zh-tw"",""KO"")"),"숨겨진 아이템")</f>
        <v>숨겨진 아이템</v>
      </c>
      <c r="W79" s="103" t="str">
        <f>IFERROR(__xludf.DUMMYFUNCTION("GOOGLETRANSLATE(C79,""zh-tw"",""KO"")"),"개발 구역(광산 구덩이)-4에서 빛나는 지점은 중앙 계단을 내려가서 오른쪽에 있습니다.")</f>
        <v>개발 구역(광산 구덩이)-4에서 빛나는 지점은 중앙 계단을 내려가서 오른쪽에 있습니다.</v>
      </c>
      <c r="X79" s="71" t="str">
        <f>IFERROR(__xludf.DUMMYFUNCTION("GOOGLETRANSLATE(D79,""zh-tw"",""KO"")"),"획득 아이템 : 마법 젤 x10")</f>
        <v>획득 아이템 : 마법 젤 x10</v>
      </c>
      <c r="Y79" s="98" t="s">
        <v>3760</v>
      </c>
      <c r="Z79" s="118" t="str">
        <f>IFERROR(__xludf.DUMMYFUNCTION("GOOGLETRANSLATE(B79,""zh-tw"",""ru"")"),"Скрытые предметы")</f>
        <v>Скрытые предметы</v>
      </c>
      <c r="AA79" s="162" t="str">
        <f>IFERROR(__xludf.DUMMYFUNCTION("GOOGLETRANSLATE(C79,""zh-tw"",""RU"")"),"В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79" s="64" t="str">
        <f>IFERROR(__xludf.DUMMYFUNCTION("GOOGLETRANSLATE(D79,""zh-tw"",""RU"")"),"Полученный предмет: Волшебный гель x10")</f>
        <v>Полученный предмет: Волшебный гель x10</v>
      </c>
      <c r="AC79" s="98" t="s">
        <v>3760</v>
      </c>
      <c r="AD79" s="118" t="s">
        <v>3705</v>
      </c>
      <c r="AE79" s="135" t="str">
        <f>IFERROR(__xludf.DUMMYFUNCTION("GOOGLETRANSLATE(C79,""zh-tw"",""de"")"),"Im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9" s="136" t="s">
        <v>3767</v>
      </c>
      <c r="AG79" s="98" t="s">
        <v>3760</v>
      </c>
      <c r="AH79" s="106" t="s">
        <v>3707</v>
      </c>
      <c r="AI79" s="177" t="s">
        <v>3768</v>
      </c>
      <c r="AJ79" s="51" t="s">
        <v>3769</v>
      </c>
      <c r="AK79" s="137" t="s">
        <v>3760</v>
      </c>
      <c r="AL79" s="138" t="s">
        <v>3710</v>
      </c>
      <c r="AM79" s="141" t="s">
        <v>3770</v>
      </c>
      <c r="AN79" s="142" t="s">
        <v>3771</v>
      </c>
      <c r="AO79" s="142"/>
    </row>
    <row r="80">
      <c r="A80" s="98" t="s">
        <v>3772</v>
      </c>
      <c r="B80" s="118" t="s">
        <v>3773</v>
      </c>
      <c r="C80" s="109" t="s">
        <v>3774</v>
      </c>
      <c r="D80" s="69" t="s">
        <v>3775</v>
      </c>
      <c r="E80" s="98" t="s">
        <v>3772</v>
      </c>
      <c r="F80" s="118" t="s">
        <v>3776</v>
      </c>
      <c r="G80" s="135" t="s">
        <v>3777</v>
      </c>
      <c r="H80" s="69" t="s">
        <v>3778</v>
      </c>
      <c r="I80" s="98" t="s">
        <v>3772</v>
      </c>
      <c r="J80" s="118" t="s">
        <v>3779</v>
      </c>
      <c r="K80" s="135" t="s">
        <v>3780</v>
      </c>
      <c r="L80" s="136" t="s">
        <v>3781</v>
      </c>
      <c r="M80" s="98" t="s">
        <v>3772</v>
      </c>
      <c r="N80" s="118" t="str">
        <f>IFERROR(__xludf.DUMMYFUNCTION("GOOGLETRANSLATE(B80,""zh-tw"",""zh"")"),"ASABA-1")</f>
        <v>ASABA-1</v>
      </c>
      <c r="O80" s="103" t="str">
        <f>IFERROR(__xludf.DUMMYFUNCTION("GOOGLETRANSLATE(C80,""zh-tw"",""zh"")"),"喂食ASABA-""一般食物""")</f>
        <v>喂食ASABA-"一般食物"</v>
      </c>
      <c r="P80" s="71" t="str">
        <f>IFERROR(__xludf.DUMMYFUNCTION("GOOGLETRANSLATE(D80,""zh-tw"",""zh"")"),"毫无反应，次数多了还会产生厌恶")</f>
        <v>毫无反应，次数多了还会产生厌恶</v>
      </c>
      <c r="Q80" s="98" t="s">
        <v>3772</v>
      </c>
      <c r="R80" s="138" t="str">
        <f>IFERROR(__xludf.DUMMYFUNCTION("GOOGLETRANSLATE(B80,""zh-tw"",""es-MX"")"),"ASABA-1")</f>
        <v>ASABA-1</v>
      </c>
      <c r="S80" s="103" t="str">
        <f>IFERROR(__xludf.DUMMYFUNCTION("GOOGLETRANSLATE(C80,""zh-tw"",""es-MX"")"),"Alimentar a ASABA - ""comida normal""")</f>
        <v>Alimentar a ASABA - "comida normal"</v>
      </c>
      <c r="T80" s="71" t="str">
        <f>IFERROR(__xludf.DUMMYFUNCTION("GOOGLETRANSLATE(D80,""zh-tw"",""es-MX"")"),"No hubo reacción alguna y la repetición del mismo pudo incluso generar aversión.")</f>
        <v>No hubo reacción alguna y la repetición del mismo pudo incluso generar aversión.</v>
      </c>
      <c r="U80" s="98" t="s">
        <v>3772</v>
      </c>
      <c r="V80" s="138" t="str">
        <f>IFERROR(__xludf.DUMMYFUNCTION("GOOGLETRANSLATE(B80,""zh-tw"",""KO"")"),"아사바-1")</f>
        <v>아사바-1</v>
      </c>
      <c r="W80" s="103" t="str">
        <f>IFERROR(__xludf.DUMMYFUNCTION("GOOGLETRANSLATE(C80,""zh-tw"",""KO"")"),"ASABA에게 ""일반 음식""을 먹이세요")</f>
        <v>ASABA에게 "일반 음식"을 먹이세요</v>
      </c>
      <c r="X80" s="71" t="str">
        <f>IFERROR(__xludf.DUMMYFUNCTION("GOOGLETRANSLATE(D80,""zh-tw"",""KO"")"),"전혀 반응이 없었고, 반복해서 일어나면 혐오감을 느낄 수도 있었습니다.")</f>
        <v>전혀 반응이 없었고, 반복해서 일어나면 혐오감을 느낄 수도 있었습니다.</v>
      </c>
      <c r="Y80" s="98" t="s">
        <v>3772</v>
      </c>
      <c r="Z80" s="118" t="str">
        <f>IFERROR(__xludf.DUMMYFUNCTION("GOOGLETRANSLATE(B80,""zh-tw"",""ru"")"),"АСАБА-1")</f>
        <v>АСАБА-1</v>
      </c>
      <c r="AA80" s="162" t="str">
        <f>IFERROR(__xludf.DUMMYFUNCTION("GOOGLETRANSLATE(C80,""zh-tw"",""RU"")"),"Корм ASABA - ""обычный корм""")</f>
        <v>Корм ASABA - "обычный корм"</v>
      </c>
      <c r="AB80" s="64" t="str">
        <f>IFERROR(__xludf.DUMMYFUNCTION("GOOGLETRANSLATE(D80,""zh-tw"",""RU"")"),"Никакой реакции не было, а повторные случаи могли даже вызвать отвращение.")</f>
        <v>Никакой реакции не было, а повторные случаи могли даже вызвать отвращение.</v>
      </c>
      <c r="AC80" s="98" t="s">
        <v>3772</v>
      </c>
      <c r="AD80" s="118" t="str">
        <f>IFERROR(__xludf.DUMMYFUNCTION("GOOGLETRANSLATE(B80,""zh-tw"",""de"")"),"ASABA-1")</f>
        <v>ASABA-1</v>
      </c>
      <c r="AE80" s="135" t="str">
        <f>IFERROR(__xludf.DUMMYFUNCTION("GOOGLETRANSLATE(C80,""zh-tw"",""de"")"),"ASABA füttern – „normales Futter“")</f>
        <v>ASABA füttern – „normales Futter“</v>
      </c>
      <c r="AF80" s="136" t="s">
        <v>3782</v>
      </c>
      <c r="AG80" s="98" t="s">
        <v>3772</v>
      </c>
      <c r="AH80" s="106" t="s">
        <v>3779</v>
      </c>
      <c r="AI80" s="177" t="s">
        <v>3783</v>
      </c>
      <c r="AJ80" s="51" t="s">
        <v>3784</v>
      </c>
      <c r="AK80" s="137" t="s">
        <v>3772</v>
      </c>
      <c r="AL80" s="138" t="s">
        <v>3779</v>
      </c>
      <c r="AM80" s="141" t="s">
        <v>3785</v>
      </c>
      <c r="AN80" s="142" t="s">
        <v>3786</v>
      </c>
      <c r="AO80" s="142"/>
    </row>
    <row r="81">
      <c r="A81" s="98" t="s">
        <v>3787</v>
      </c>
      <c r="B81" s="118" t="s">
        <v>3788</v>
      </c>
      <c r="C81" s="109" t="s">
        <v>3789</v>
      </c>
      <c r="D81" s="69" t="s">
        <v>3790</v>
      </c>
      <c r="E81" s="98" t="s">
        <v>3787</v>
      </c>
      <c r="F81" s="118" t="s">
        <v>3791</v>
      </c>
      <c r="G81" s="135" t="s">
        <v>3792</v>
      </c>
      <c r="H81" s="69" t="s">
        <v>3793</v>
      </c>
      <c r="I81" s="98" t="s">
        <v>3787</v>
      </c>
      <c r="J81" s="118" t="s">
        <v>3794</v>
      </c>
      <c r="K81" s="135" t="s">
        <v>3795</v>
      </c>
      <c r="L81" s="136" t="s">
        <v>3796</v>
      </c>
      <c r="M81" s="98" t="s">
        <v>3787</v>
      </c>
      <c r="N81" s="118" t="str">
        <f>IFERROR(__xludf.DUMMYFUNCTION("GOOGLETRANSLATE(B81,""zh-tw"",""zh"")"),"ASABA-2")</f>
        <v>ASABA-2</v>
      </c>
      <c r="O81" s="103" t="str">
        <f>IFERROR(__xludf.DUMMYFUNCTION("GOOGLETRANSLATE(C81,""zh-tw"",""zh"")"),"喂食ASABA-""妹妹的呆毛""")</f>
        <v>喂食ASABA-"妹妹的呆毛"</v>
      </c>
      <c r="P81" s="71" t="str">
        <f>IFERROR(__xludf.DUMMYFUNCTION("GOOGLETRANSLATE(D81,""zh-tw"",""zh"")"),"让ASABA的大脑当机")</f>
        <v>让ASABA的大脑当机</v>
      </c>
      <c r="Q81" s="98" t="s">
        <v>3787</v>
      </c>
      <c r="R81" s="138" t="str">
        <f>IFERROR(__xludf.DUMMYFUNCTION("GOOGLETRANSLATE(B81,""zh-tw"",""es-MX"")"),"ASABA-2")</f>
        <v>ASABA-2</v>
      </c>
      <c r="S81" s="103" t="str">
        <f>IFERROR(__xludf.DUMMYFUNCTION("GOOGLETRANSLATE(C81,""zh-tw"",""es-MX"")"),"Alimentando a ASABA - ""Ahoge de la hermana""")</f>
        <v>Alimentando a ASABA - "Ahoge de la hermana"</v>
      </c>
      <c r="T81" s="71" t="str">
        <f>IFERROR(__xludf.DUMMYFUNCTION("GOOGLETRANSLATE(D81,""zh-tw"",""es-MX"")"),"Apagando el cerebro de ASABA")</f>
        <v>Apagando el cerebro de ASABA</v>
      </c>
      <c r="U81" s="98" t="s">
        <v>3787</v>
      </c>
      <c r="V81" s="138" t="str">
        <f>IFERROR(__xludf.DUMMYFUNCTION("GOOGLETRANSLATE(B81,""zh-tw"",""KO"")"),"아사바-2")</f>
        <v>아사바-2</v>
      </c>
      <c r="W81" s="103" t="str">
        <f>IFERROR(__xludf.DUMMYFUNCTION("GOOGLETRANSLATE(C81,""zh-tw"",""KO"")"),"아사바에게 먹이주기 - ""자매의 아호게""")</f>
        <v>아사바에게 먹이주기 - "자매의 아호게"</v>
      </c>
      <c r="X81" s="71" t="str">
        <f>IFERROR(__xludf.DUMMYFUNCTION("GOOGLETRANSLATE(D81,""zh-tw"",""KO"")"),"ASABA의 뇌를 끄다")</f>
        <v>ASABA의 뇌를 끄다</v>
      </c>
      <c r="Y81" s="98" t="s">
        <v>3787</v>
      </c>
      <c r="Z81" s="118" t="str">
        <f>IFERROR(__xludf.DUMMYFUNCTION("GOOGLETRANSLATE(B81,""zh-tw"",""ru"")"),"АСАБА-2")</f>
        <v>АСАБА-2</v>
      </c>
      <c r="AA81" s="162" t="str">
        <f>IFERROR(__xludf.DUMMYFUNCTION("GOOGLETRANSLATE(C81,""zh-tw"",""RU"")"),"Кормление ASABA - ""Sister's ahoge""")</f>
        <v>Кормление ASABA - "Sister's ahoge"</v>
      </c>
      <c r="AB81" s="64" t="str">
        <f>IFERROR(__xludf.DUMMYFUNCTION("GOOGLETRANSLATE(D81,""zh-tw"",""RU"")"),"Отключение мозга ASABA")</f>
        <v>Отключение мозга ASABA</v>
      </c>
      <c r="AC81" s="98" t="s">
        <v>3787</v>
      </c>
      <c r="AD81" s="118" t="str">
        <f>IFERROR(__xludf.DUMMYFUNCTION("GOOGLETRANSLATE(B81,""zh-tw"",""de"")"),"ASABA-2")</f>
        <v>ASABA-2</v>
      </c>
      <c r="AE81" s="135" t="str">
        <f>IFERROR(__xludf.DUMMYFUNCTION("GOOGLETRANSLATE(C81,""zh-tw"",""de"")"),"Fütterung von ASABA – „Schwesters Ahoge“")</f>
        <v>Fütterung von ASABA – „Schwesters Ahoge“</v>
      </c>
      <c r="AF81" s="136" t="s">
        <v>3797</v>
      </c>
      <c r="AG81" s="98" t="s">
        <v>3787</v>
      </c>
      <c r="AH81" s="106" t="s">
        <v>3794</v>
      </c>
      <c r="AI81" s="177" t="s">
        <v>3798</v>
      </c>
      <c r="AJ81" s="51" t="s">
        <v>3799</v>
      </c>
      <c r="AK81" s="137" t="s">
        <v>3787</v>
      </c>
      <c r="AL81" s="138" t="s">
        <v>3794</v>
      </c>
      <c r="AM81" s="141" t="s">
        <v>3800</v>
      </c>
      <c r="AN81" s="142" t="s">
        <v>3801</v>
      </c>
      <c r="AO81" s="142"/>
    </row>
    <row r="82">
      <c r="A82" s="98" t="s">
        <v>3802</v>
      </c>
      <c r="B82" s="118" t="s">
        <v>3803</v>
      </c>
      <c r="C82" s="109" t="s">
        <v>3804</v>
      </c>
      <c r="D82" s="69" t="s">
        <v>3805</v>
      </c>
      <c r="E82" s="98" t="s">
        <v>3802</v>
      </c>
      <c r="F82" s="118" t="s">
        <v>3806</v>
      </c>
      <c r="G82" s="135" t="s">
        <v>3807</v>
      </c>
      <c r="H82" s="69" t="str">
        <f>IFERROR(__xludf.DUMMYFUNCTION("GOOGLETRANSLATE(D82,""zh-tw"",""ja"")"),"BUFFを取得")</f>
        <v>BUFFを取得</v>
      </c>
      <c r="I82" s="98" t="s">
        <v>3802</v>
      </c>
      <c r="J82" s="118" t="s">
        <v>3808</v>
      </c>
      <c r="K82" s="135" t="s">
        <v>3809</v>
      </c>
      <c r="L82" s="136" t="s">
        <v>3810</v>
      </c>
      <c r="M82" s="98" t="s">
        <v>3802</v>
      </c>
      <c r="N82" s="118" t="str">
        <f>IFERROR(__xludf.DUMMYFUNCTION("GOOGLETRANSLATE(B82,""zh-tw"",""zh"")"),"ASABA-3")</f>
        <v>ASABA-3</v>
      </c>
      <c r="O82" s="103" t="str">
        <f>IFERROR(__xludf.DUMMYFUNCTION("GOOGLETRANSLATE(C82,""zh-tw"",""zh"")"),"喂食ASABA-""草莓""，可以获得BUFF")</f>
        <v>喂食ASABA-"草莓"，可以获得BUFF</v>
      </c>
      <c r="P82" s="71" t="str">
        <f>IFERROR(__xludf.DUMMYFUNCTION("GOOGLETRANSLATE(D82,""zh-tw"",""zh"")"),"获得BUFF")</f>
        <v>获得BUFF</v>
      </c>
      <c r="Q82" s="98" t="s">
        <v>3802</v>
      </c>
      <c r="R82" s="138" t="str">
        <f>IFERROR(__xludf.DUMMYFUNCTION("GOOGLETRANSLATE(B82,""zh-tw"",""es-MX"")"),"ASABA-3")</f>
        <v>ASABA-3</v>
      </c>
      <c r="S82" s="103" t="str">
        <f>IFERROR(__xludf.DUMMYFUNCTION("GOOGLETRANSLATE(C82,""zh-tw"",""es-MX"")"),"Alimentar a ASABA ""Fresa"" te otorgará un beneficio.")</f>
        <v>Alimentar a ASABA "Fresa" te otorgará un beneficio.</v>
      </c>
      <c r="T82" s="71" t="str">
        <f>IFERROR(__xludf.DUMMYFUNCTION("GOOGLETRANSLATE(D82,""zh-tw"",""es-MX"")"),"Obtener BUFF")</f>
        <v>Obtener BUFF</v>
      </c>
      <c r="U82" s="98" t="s">
        <v>3802</v>
      </c>
      <c r="V82" s="138" t="str">
        <f>IFERROR(__xludf.DUMMYFUNCTION("GOOGLETRANSLATE(B82,""zh-tw"",""KO"")"),"아사바-3")</f>
        <v>아사바-3</v>
      </c>
      <c r="W82" s="103" t="str">
        <f>IFERROR(__xludf.DUMMYFUNCTION("GOOGLETRANSLATE(C82,""zh-tw"",""KO"")"),"아사바에게 ""딸기""를 먹이면 버프를 얻을 수 있습니다.")</f>
        <v>아사바에게 "딸기"를 먹이면 버프를 얻을 수 있습니다.</v>
      </c>
      <c r="X82" s="71" t="str">
        <f>IFERROR(__xludf.DUMMYFUNCTION("GOOGLETRANSLATE(D82,""zh-tw"",""KO"")"),"버프를 받으세요")</f>
        <v>버프를 받으세요</v>
      </c>
      <c r="Y82" s="98" t="s">
        <v>3802</v>
      </c>
      <c r="Z82" s="118" t="str">
        <f>IFERROR(__xludf.DUMMYFUNCTION("GOOGLETRANSLATE(B82,""zh-tw"",""ru"")"),"АСАБА-3")</f>
        <v>АСАБА-3</v>
      </c>
      <c r="AA82" s="162" t="str">
        <f>IFERROR(__xludf.DUMMYFUNCTION("GOOGLETRANSLATE(C82,""zh-tw"",""RU"")"),"Если покормить ASABA «Клубникой», вы получите усиление.")</f>
        <v>Если покормить ASABA «Клубникой», вы получите усиление.</v>
      </c>
      <c r="AB82" s="64" t="str">
        <f>IFERROR(__xludf.DUMMYFUNCTION("GOOGLETRANSLATE(D82,""zh-tw"",""RU"")"),"Получите BUFF")</f>
        <v>Получите BUFF</v>
      </c>
      <c r="AC82" s="98" t="s">
        <v>3802</v>
      </c>
      <c r="AD82" s="118" t="str">
        <f>IFERROR(__xludf.DUMMYFUNCTION("GOOGLETRANSLATE(B82,""zh-tw"",""de"")"),"ASABA-3")</f>
        <v>ASABA-3</v>
      </c>
      <c r="AE82" s="135" t="str">
        <f>IFERROR(__xludf.DUMMYFUNCTION("GOOGLETRANSLATE(C82,""zh-tw"",""de"")"),"Wenn du ASABA mit ""Erdbeeren"" fütterst, erhältst du einen Buff.")</f>
        <v>Wenn du ASABA mit "Erdbeeren" fütterst, erhältst du einen Buff.</v>
      </c>
      <c r="AF82" s="136" t="s">
        <v>3811</v>
      </c>
      <c r="AG82" s="98" t="s">
        <v>3802</v>
      </c>
      <c r="AH82" s="106" t="s">
        <v>3808</v>
      </c>
      <c r="AI82" s="177" t="s">
        <v>3812</v>
      </c>
      <c r="AJ82" s="51" t="s">
        <v>3813</v>
      </c>
      <c r="AK82" s="137" t="s">
        <v>3802</v>
      </c>
      <c r="AL82" s="138" t="s">
        <v>3808</v>
      </c>
      <c r="AM82" s="141" t="s">
        <v>3814</v>
      </c>
      <c r="AN82" s="142" t="s">
        <v>3815</v>
      </c>
      <c r="AO82" s="142"/>
    </row>
    <row r="83">
      <c r="A83" s="98" t="s">
        <v>3816</v>
      </c>
      <c r="B83" s="118" t="s">
        <v>3817</v>
      </c>
      <c r="C83" s="109" t="s">
        <v>3818</v>
      </c>
      <c r="D83" s="69" t="s">
        <v>3819</v>
      </c>
      <c r="E83" s="98" t="s">
        <v>3816</v>
      </c>
      <c r="F83" s="118" t="s">
        <v>3820</v>
      </c>
      <c r="G83" s="135" t="str">
        <f>IFERROR(__xludf.DUMMYFUNCTION("GOOGLETRANSLATE(C83,""zh-tw"",""ja"")"),"通常のアサバを倒すと「アサバのイチゴ」が報酬としてもらえます。")</f>
        <v>通常のアサバを倒すと「アサバのイチゴ」が報酬としてもらえます。</v>
      </c>
      <c r="H83" s="69" t="s">
        <v>3821</v>
      </c>
      <c r="I83" s="98" t="s">
        <v>3816</v>
      </c>
      <c r="J83" s="118" t="s">
        <v>3822</v>
      </c>
      <c r="K83" s="135" t="s">
        <v>3823</v>
      </c>
      <c r="L83" s="136" t="s">
        <v>3824</v>
      </c>
      <c r="M83" s="98" t="s">
        <v>3816</v>
      </c>
      <c r="N83" s="118" t="str">
        <f>IFERROR(__xludf.DUMMYFUNCTION("GOOGLETRANSLATE(B83,""zh-tw"",""zh"")"),"ASABA-4")</f>
        <v>ASABA-4</v>
      </c>
      <c r="O83" s="103" t="str">
        <f>IFERROR(__xludf.DUMMYFUNCTION("GOOGLETRANSLATE(C83,""zh-tw"",""zh"")"),"将普通的ASABA击败后获得""ASABA的草莓""")</f>
        <v>将普通的ASABA击败后获得"ASABA的草莓"</v>
      </c>
      <c r="P83" s="71" t="str">
        <f>IFERROR(__xludf.DUMMYFUNCTION("GOOGLETRANSLATE(D83,""zh-tw"",""zh"")"),"获得ASABA的草莓")</f>
        <v>获得ASABA的草莓</v>
      </c>
      <c r="Q83" s="98" t="s">
        <v>3816</v>
      </c>
      <c r="R83" s="138" t="str">
        <f>IFERROR(__xludf.DUMMYFUNCTION("GOOGLETRANSLATE(B83,""zh-tw"",""es-MX"")"),"ASABA-4")</f>
        <v>ASABA-4</v>
      </c>
      <c r="S83" s="103" t="str">
        <f>IFERROR(__xludf.DUMMYFUNCTION("GOOGLETRANSLATE(C83,""zh-tw"",""es-MX"")"),"Derrotar al ASABA normal te recompensará con ""La fresa de ASABA"".")</f>
        <v>Derrotar al ASABA normal te recompensará con "La fresa de ASABA".</v>
      </c>
      <c r="T83" s="71" t="str">
        <f>IFERROR(__xludf.DUMMYFUNCTION("GOOGLETRANSLATE(D83,""zh-tw"",""es-MX"")"),"Fresas de ASABA")</f>
        <v>Fresas de ASABA</v>
      </c>
      <c r="U83" s="98" t="s">
        <v>3816</v>
      </c>
      <c r="V83" s="138" t="str">
        <f>IFERROR(__xludf.DUMMYFUNCTION("GOOGLETRANSLATE(B83,""zh-tw"",""KO"")"),"아사바-4")</f>
        <v>아사바-4</v>
      </c>
      <c r="W83" s="103" t="str">
        <f>IFERROR(__xludf.DUMMYFUNCTION("GOOGLETRANSLATE(C83,""zh-tw"",""KO"")"),"일반 ASABA를 물리치면 ""ASABA의 딸기""를 보상으로 얻을 수 있습니다.")</f>
        <v>일반 ASABA를 물리치면 "ASABA의 딸기"를 보상으로 얻을 수 있습니다.</v>
      </c>
      <c r="X83" s="71" t="str">
        <f>IFERROR(__xludf.DUMMYFUNCTION("GOOGLETRANSLATE(D83,""zh-tw"",""KO"")"),"ASABA의 딸기")</f>
        <v>ASABA의 딸기</v>
      </c>
      <c r="Y83" s="98" t="s">
        <v>3816</v>
      </c>
      <c r="Z83" s="118" t="str">
        <f>IFERROR(__xludf.DUMMYFUNCTION("GOOGLETRANSLATE(B83,""zh-tw"",""ru"")"),"АСАБА-4")</f>
        <v>АСАБА-4</v>
      </c>
      <c r="AA83" s="162" t="str">
        <f>IFERROR(__xludf.DUMMYFUNCTION("GOOGLETRANSLATE(C83,""zh-tw"",""RU"")"),"Победив обычного ASABA, вы получите награду «Клубника ASABA».")</f>
        <v>Победив обычного ASABA, вы получите награду «Клубника ASABA».</v>
      </c>
      <c r="AB83" s="64" t="str">
        <f>IFERROR(__xludf.DUMMYFUNCTION("GOOGLETRANSLATE(D83,""zh-tw"",""RU"")"),"Клубника из ASABA")</f>
        <v>Клубника из ASABA</v>
      </c>
      <c r="AC83" s="98" t="s">
        <v>3816</v>
      </c>
      <c r="AD83" s="118" t="str">
        <f>IFERROR(__xludf.DUMMYFUNCTION("GOOGLETRANSLATE(B83,""zh-tw"",""de"")"),"ASABA-4")</f>
        <v>ASABA-4</v>
      </c>
      <c r="AE83" s="135" t="str">
        <f>IFERROR(__xludf.DUMMYFUNCTION("GOOGLETRANSLATE(C83,""zh-tw"",""de"")"),"Wenn du den normalen ASABA besiegst, erhältst du als Belohnung ""ASABAs Erdbeere"".")</f>
        <v>Wenn du den normalen ASABA besiegst, erhältst du als Belohnung "ASABAs Erdbeere".</v>
      </c>
      <c r="AF83" s="136" t="s">
        <v>3825</v>
      </c>
      <c r="AG83" s="98" t="s">
        <v>3816</v>
      </c>
      <c r="AH83" s="106" t="s">
        <v>3822</v>
      </c>
      <c r="AI83" s="177" t="s">
        <v>3826</v>
      </c>
      <c r="AJ83" s="51" t="s">
        <v>3827</v>
      </c>
      <c r="AK83" s="137" t="s">
        <v>3816</v>
      </c>
      <c r="AL83" s="138" t="s">
        <v>3822</v>
      </c>
      <c r="AM83" s="141" t="s">
        <v>3828</v>
      </c>
      <c r="AN83" s="142" t="s">
        <v>3829</v>
      </c>
      <c r="AO83" s="142"/>
    </row>
    <row r="84">
      <c r="A84" s="98" t="s">
        <v>3830</v>
      </c>
      <c r="B84" s="118" t="s">
        <v>3831</v>
      </c>
      <c r="C84" s="109" t="s">
        <v>3832</v>
      </c>
      <c r="D84" s="69" t="s">
        <v>3833</v>
      </c>
      <c r="E84" s="98" t="s">
        <v>3830</v>
      </c>
      <c r="F84" s="118" t="s">
        <v>3834</v>
      </c>
      <c r="G84" s="135" t="s">
        <v>3835</v>
      </c>
      <c r="H84" s="69" t="s">
        <v>3836</v>
      </c>
      <c r="I84" s="98" t="s">
        <v>3830</v>
      </c>
      <c r="J84" s="118" t="s">
        <v>3837</v>
      </c>
      <c r="K84" s="135" t="s">
        <v>3838</v>
      </c>
      <c r="L84" s="136" t="s">
        <v>3839</v>
      </c>
      <c r="M84" s="98" t="s">
        <v>3830</v>
      </c>
      <c r="N84" s="118" t="str">
        <f>IFERROR(__xludf.DUMMYFUNCTION("GOOGLETRANSLATE(B84,""zh-tw"",""zh"")"),"ASABA-5")</f>
        <v>ASABA-5</v>
      </c>
      <c r="O84" s="103" t="str">
        <f>IFERROR(__xludf.DUMMYFUNCTION("GOOGLETRANSLATE(C84,""zh-tw"",""zh"")"),"喂食ASABA-""ASABA的草莓""，可以进入BOSS战斗")</f>
        <v>喂食ASABA-"ASABA的草莓"，可以进入BOSS战斗</v>
      </c>
      <c r="P84" s="71" t="str">
        <f>IFERROR(__xludf.DUMMYFUNCTION("GOOGLETRANSLATE(D84,""zh-tw"",""zh"")"),"击败后获得""ASABA的草莓""")</f>
        <v>击败后获得"ASABA的草莓"</v>
      </c>
      <c r="Q84" s="98" t="s">
        <v>3830</v>
      </c>
      <c r="R84" s="138" t="str">
        <f>IFERROR(__xludf.DUMMYFUNCTION("GOOGLETRANSLATE(B84,""zh-tw"",""es-MX"")"),"ASABA-5")</f>
        <v>ASABA-5</v>
      </c>
      <c r="S84" s="103" t="str">
        <f>IFERROR(__xludf.DUMMYFUNCTION("GOOGLETRANSLATE(C84,""zh-tw"",""es-MX"")"),"Alimentar a ASABA con ""Fresa de ASABA"" iniciará una batalla contra un JEFE.")</f>
        <v>Alimentar a ASABA con "Fresa de ASABA" iniciará una batalla contra un JEFE.</v>
      </c>
      <c r="T84" s="71" t="str">
        <f>IFERROR(__xludf.DUMMYFUNCTION("GOOGLETRANSLATE(D84,""zh-tw"",""es-MX"")"),"Derrotar al enemigo te recompensará con ""La fresa de ASABA"".")</f>
        <v>Derrotar al enemigo te recompensará con "La fresa de ASABA".</v>
      </c>
      <c r="U84" s="98" t="s">
        <v>3830</v>
      </c>
      <c r="V84" s="138" t="str">
        <f>IFERROR(__xludf.DUMMYFUNCTION("GOOGLETRANSLATE(B84,""zh-tw"",""KO"")"),"아사바-5")</f>
        <v>아사바-5</v>
      </c>
      <c r="W84" s="103" t="str">
        <f>IFERROR(__xludf.DUMMYFUNCTION("GOOGLETRANSLATE(C84,""zh-tw"",""KO"")"),"ASABA에게 ""ASABA의 딸기""를 먹이면 BOSS 전투가 시작됩니다.")</f>
        <v>ASABA에게 "ASABA의 딸기"를 먹이면 BOSS 전투가 시작됩니다.</v>
      </c>
      <c r="X84" s="71" t="str">
        <f>IFERROR(__xludf.DUMMYFUNCTION("GOOGLETRANSLATE(D84,""zh-tw"",""KO"")"),"적을 물리치면 ""아사바의 딸기""를 보상으로 얻을 수 있습니다.")</f>
        <v>적을 물리치면 "아사바의 딸기"를 보상으로 얻을 수 있습니다.</v>
      </c>
      <c r="Y84" s="98" t="s">
        <v>3830</v>
      </c>
      <c r="Z84" s="118" t="str">
        <f>IFERROR(__xludf.DUMMYFUNCTION("GOOGLETRANSLATE(B84,""zh-tw"",""ru"")"),"АСАБА-5")</f>
        <v>АСАБА-5</v>
      </c>
      <c r="AA84" s="162" t="str">
        <f>IFERROR(__xludf.DUMMYFUNCTION("GOOGLETRANSLATE(C84,""zh-tw"",""RU"")"),"Если покормить ASABA «Клубникой ASABA», начнется битва с БОССОМ.")</f>
        <v>Если покормить ASABA «Клубникой ASABA», начнется битва с БОССОМ.</v>
      </c>
      <c r="AB84" s="64" t="str">
        <f>IFERROR(__xludf.DUMMYFUNCTION("GOOGLETRANSLATE(D84,""zh-tw"",""RU"")"),"Победив врага, вы получите награду «Клубника ASABA».")</f>
        <v>Победив врага, вы получите награду «Клубника ASABA».</v>
      </c>
      <c r="AC84" s="98" t="s">
        <v>3830</v>
      </c>
      <c r="AD84" s="118" t="str">
        <f>IFERROR(__xludf.DUMMYFUNCTION("GOOGLETRANSLATE(B84,""zh-tw"",""de"")"),"ASABA-5")</f>
        <v>ASABA-5</v>
      </c>
      <c r="AE84" s="135" t="str">
        <f>IFERROR(__xludf.DUMMYFUNCTION("GOOGLETRANSLATE(C84,""zh-tw"",""de"")"),"Wenn man ASABA mit „ASABAs Erdbeere“ füttert, wird ein Bosskampf ausgelöst.")</f>
        <v>Wenn man ASABA mit „ASABAs Erdbeere“ füttert, wird ein Bosskampf ausgelöst.</v>
      </c>
      <c r="AF84" s="136" t="s">
        <v>3840</v>
      </c>
      <c r="AG84" s="98" t="s">
        <v>3830</v>
      </c>
      <c r="AH84" s="106" t="s">
        <v>3837</v>
      </c>
      <c r="AI84" s="177" t="s">
        <v>3841</v>
      </c>
      <c r="AJ84" s="51" t="s">
        <v>3842</v>
      </c>
      <c r="AK84" s="137" t="s">
        <v>3830</v>
      </c>
      <c r="AL84" s="138" t="s">
        <v>3837</v>
      </c>
      <c r="AM84" s="141" t="s">
        <v>3843</v>
      </c>
      <c r="AN84" s="142" t="s">
        <v>3844</v>
      </c>
      <c r="AO84" s="142"/>
    </row>
    <row r="85">
      <c r="A85" s="98" t="s">
        <v>3845</v>
      </c>
      <c r="B85" s="118" t="s">
        <v>3846</v>
      </c>
      <c r="C85" s="109" t="s">
        <v>3847</v>
      </c>
      <c r="D85" s="69" t="s">
        <v>3848</v>
      </c>
      <c r="E85" s="98" t="s">
        <v>3845</v>
      </c>
      <c r="F85" s="118" t="s">
        <v>3849</v>
      </c>
      <c r="G85" s="135" t="s">
        <v>3850</v>
      </c>
      <c r="H85" s="69" t="str">
        <f>IFERROR(__xludf.DUMMYFUNCTION("GOOGLETRANSLATE(D85,""zh-tw"",""ja"")"),"装備「イチゴを取り戻せ！！」を入手
（コマンドはスキルバーで確認できます）")</f>
        <v>装備「イチゴを取り戻せ！！」を入手
（コマンドはスキルバーで確認できます）</v>
      </c>
      <c r="I85" s="98" t="s">
        <v>3845</v>
      </c>
      <c r="J85" s="118" t="s">
        <v>3851</v>
      </c>
      <c r="K85" s="135" t="s">
        <v>3852</v>
      </c>
      <c r="L85" s="136" t="s">
        <v>3853</v>
      </c>
      <c r="M85" s="98" t="s">
        <v>3845</v>
      </c>
      <c r="N85" s="118" t="str">
        <f>IFERROR(__xludf.DUMMYFUNCTION("GOOGLETRANSLATE(B85,""zh-tw"",""zh"")"),"ASABA-6")</f>
        <v>ASABA-6</v>
      </c>
      <c r="O85" s="103" t="str">
        <f>IFERROR(__xludf.DUMMYFUNCTION("GOOGLETRANSLATE(C85,""zh-tw"",""zh"")"),"同上，期间被BOSS的必杀技命中越多次，会越来越有机会获得特殊掉落")</f>
        <v>同上，期间被BOSS的必杀技命中越多次，会越来越有机会获得特殊掉落</v>
      </c>
      <c r="P85" s="71" t="str">
        <f>IFERROR(__xludf.DUMMYFUNCTION("GOOGLETRANSLATE(D85,""zh-tw"",""zh"")"),"获得装备""把草莓夺回来！!""
(指令请看技能栏位)")</f>
        <v>获得装备"把草莓夺回来！!"
(指令请看技能栏位)</v>
      </c>
      <c r="Q85" s="98" t="s">
        <v>3845</v>
      </c>
      <c r="R85" s="138" t="str">
        <f>IFERROR(__xludf.DUMMYFUNCTION("GOOGLETRANSLATE(B85,""zh-tw"",""es-MX"")"),"ASABA-6")</f>
        <v>ASABA-6</v>
      </c>
      <c r="S85" s="103" t="str">
        <f>IFERROR(__xludf.DUMMYFUNCTION("GOOGLETRANSLATE(C85,""zh-tw"",""es-MX"")"),"De manera similar, cuantas más veces te golpee el ataque definitivo del BOSS, mayores serán tus posibilidades de obtener objetos especiales.")</f>
        <v>De manera similar, cuantas más veces te golpee el ataque definitivo del BOSS, mayores serán tus posibilidades de obtener objetos especiales.</v>
      </c>
      <c r="T85" s="71" t="str">
        <f>IFERROR(__xludf.DUMMYFUNCTION("GOOGLETRANSLATE(D85,""zh-tw"",""es-MX"")"),"Consigue el equipo ""¡Recupera las fresas!""
(Consulta la barra de habilidades para ver los comandos)")</f>
        <v>Consigue el equipo "¡Recupera las fresas!"
(Consulta la barra de habilidades para ver los comandos)</v>
      </c>
      <c r="U85" s="98" t="s">
        <v>3845</v>
      </c>
      <c r="V85" s="138" t="str">
        <f>IFERROR(__xludf.DUMMYFUNCTION("GOOGLETRANSLATE(B85,""zh-tw"",""KO"")"),"아사바-6")</f>
        <v>아사바-6</v>
      </c>
      <c r="W85" s="103" t="str">
        <f>IFERROR(__xludf.DUMMYFUNCTION("GOOGLETRANSLATE(C85,""zh-tw"",""KO"")"),"마찬가지로, BOSS의 궁극기에 자주 맞을수록 특별한 아이템을 획득할 확률이 커집니다.")</f>
        <v>마찬가지로, BOSS의 궁극기에 자주 맞을수록 특별한 아이템을 획득할 확률이 커집니다.</v>
      </c>
      <c r="X85" s="71" t="str">
        <f>IFERROR(__xludf.DUMMYFUNCTION("GOOGLETRANSLATE(D85,""zh-tw"",""KO"")"),"""딸기를 되찾아라!!"" 장비를 획득하세요.
(명령어는 스킬 바를 참조하세요)")</f>
        <v>"딸기를 되찾아라!!" 장비를 획득하세요.
(명령어는 스킬 바를 참조하세요)</v>
      </c>
      <c r="Y85" s="98" t="s">
        <v>3845</v>
      </c>
      <c r="Z85" s="118" t="str">
        <f>IFERROR(__xludf.DUMMYFUNCTION("GOOGLETRANSLATE(B85,""zh-tw"",""ru"")"),"АСАБА-6")</f>
        <v>АСАБА-6</v>
      </c>
      <c r="AA85" s="162" t="str">
        <f>IFERROR(__xludf.DUMMYFUNCTION("GOOGLETRANSLATE(C85,""zh-tw"",""RU"")"),"Аналогично,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5" s="64" t="str">
        <f>IFERROR(__xludf.DUMMYFUNCTION("GOOGLETRANSLATE(D85,""zh-tw"",""RU"")"),"Получите снаряжение «Верни клубнику!!»
(Команды смотрите на панели навыков)")</f>
        <v>Получите снаряжение «Верни клубнику!!»
(Команды смотрите на панели навыков)</v>
      </c>
      <c r="AC85" s="98" t="s">
        <v>3845</v>
      </c>
      <c r="AD85" s="118" t="str">
        <f>IFERROR(__xludf.DUMMYFUNCTION("GOOGLETRANSLATE(B85,""zh-tw"",""de"")"),"ASABA-6")</f>
        <v>ASABA-6</v>
      </c>
      <c r="AE85" s="135" t="str">
        <f>IFERROR(__xludf.DUMMYFUNCTION("GOOGLETRANSLATE(C85,""zh-tw"",""de"")"),"Genauso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5" s="136" t="str">
        <f>IFERROR(__xludf.DUMMYFUNCTION("GOOGLETRANSLATE(D85,""zh-tw"",""de"")"),"Hol dir die Ausrüstung „Erdbeeren zurückerobern!!“
(Befehle findest du in der Fertigkeitsleiste.)")</f>
        <v>Hol dir die Ausrüstung „Erdbeeren zurückerobern!!“
(Befehle findest du in der Fertigkeitsleiste.)</v>
      </c>
      <c r="AG85" s="98" t="s">
        <v>3845</v>
      </c>
      <c r="AH85" s="106" t="s">
        <v>3851</v>
      </c>
      <c r="AI85" s="177" t="s">
        <v>3854</v>
      </c>
      <c r="AJ85" s="51" t="s">
        <v>3855</v>
      </c>
      <c r="AK85" s="137" t="s">
        <v>3845</v>
      </c>
      <c r="AL85" s="138" t="s">
        <v>3851</v>
      </c>
      <c r="AM85" s="141" t="s">
        <v>3856</v>
      </c>
      <c r="AN85" s="142" t="s">
        <v>3857</v>
      </c>
      <c r="AO85" s="142"/>
    </row>
    <row r="86">
      <c r="A86" s="98" t="s">
        <v>3858</v>
      </c>
      <c r="B86" s="118" t="s">
        <v>3859</v>
      </c>
      <c r="C86" s="109" t="s">
        <v>3860</v>
      </c>
      <c r="D86" s="69" t="s">
        <v>3861</v>
      </c>
      <c r="E86" s="98" t="s">
        <v>3858</v>
      </c>
      <c r="F86" s="118" t="s">
        <v>3859</v>
      </c>
      <c r="G86" s="109" t="s">
        <v>3862</v>
      </c>
      <c r="H86" s="69" t="s">
        <v>3863</v>
      </c>
      <c r="I86" s="98" t="s">
        <v>3858</v>
      </c>
      <c r="J86" s="118" t="s">
        <v>3859</v>
      </c>
      <c r="K86" s="109" t="s">
        <v>3864</v>
      </c>
      <c r="L86" s="69" t="s">
        <v>3865</v>
      </c>
      <c r="M86" s="98" t="s">
        <v>3858</v>
      </c>
      <c r="N86" s="118" t="str">
        <f>IFERROR(__xludf.DUMMYFUNCTION("GOOGLETRANSLATE(B86,""zh-tw"",""zh"")"),"◉▽◉?")</f>
        <v>◉▽◉?</v>
      </c>
      <c r="O86" s="103" t="str">
        <f>IFERROR(__xludf.DUMMYFUNCTION("GOOGLETRANSLATE(C86,""zh-tw"",""zh"")"),"炸鱼时，可能会出现该小怪")</f>
        <v>炸鱼时，可能会出现该小怪</v>
      </c>
      <c r="P86" s="71" t="str">
        <f>IFERROR(__xludf.DUMMYFUNCTION("GOOGLETRANSLATE(D86,""zh-tw"",""zh"")"),"萨卡班甲鱼(小)
击杀掉落：◉▽◉(蓝色)")</f>
        <v>萨卡班甲鱼(小)
击杀掉落：◉▽◉(蓝色)</v>
      </c>
      <c r="Q86" s="98" t="s">
        <v>3858</v>
      </c>
      <c r="R86" s="138" t="str">
        <f>IFERROR(__xludf.DUMMYFUNCTION("GOOGLETRANSLATE(B86,""zh-tw"",""es-MX"")"),"◉▽◉?")</f>
        <v>◉▽◉?</v>
      </c>
      <c r="S86" s="103" t="str">
        <f>IFERROR(__xludf.DUMMYFUNCTION("GOOGLETRANSLATE(C86,""zh-tw"",""es-MX"")"),"Este pequeño monstruo podría aparecer mientras estás friendo pescado.")</f>
        <v>Este pequeño monstruo podría aparecer mientras estás friendo pescado.</v>
      </c>
      <c r="T86" s="71" t="str">
        <f>IFERROR(__xludf.DUMMYFUNCTION("GOOGLETRANSLATE(D86,""zh-tw"",""es-MX"")"),"Tortuga Sakaban (Pequeña) - Obtienes al derrotarla: ◉▽◉ (Azul)")</f>
        <v>Tortuga Sakaban (Pequeña) - Obtienes al derrotarla: ◉▽◉ (Azul)</v>
      </c>
      <c r="U86" s="98" t="s">
        <v>3858</v>
      </c>
      <c r="V86" s="138" t="str">
        <f>IFERROR(__xludf.DUMMYFUNCTION("GOOGLETRANSLATE(B86,""zh-tw"",""KO"")"),"◉▽◉?")</f>
        <v>◉▽◉?</v>
      </c>
      <c r="W86" s="103" t="str">
        <f>IFERROR(__xludf.DUMMYFUNCTION("GOOGLETRANSLATE(C86,""zh-tw"",""KO"")"),"이 작은 괴물은 생선을 튀길 때 나타날 수도 있습니다.")</f>
        <v>이 작은 괴물은 생선을 튀길 때 나타날 수도 있습니다.</v>
      </c>
      <c r="X86" s="71" t="str">
        <f>IFERROR(__xludf.DUMMYFUNCTION("GOOGLETRANSLATE(D86,""zh-tw"",""KO"")"),"사카반 거북이(소) - 패배 시 획득: ◉▽◉ (파란색)")</f>
        <v>사카반 거북이(소) - 패배 시 획득: ◉▽◉ (파란색)</v>
      </c>
      <c r="Y86" s="98" t="s">
        <v>3858</v>
      </c>
      <c r="Z86" s="118" t="str">
        <f>IFERROR(__xludf.DUMMYFUNCTION("GOOGLETRANSLATE(B86,""zh-tw"",""ru"")"),"◉▽◉?")</f>
        <v>◉▽◉?</v>
      </c>
      <c r="AA86" s="162" t="str">
        <f>IFERROR(__xludf.DUMMYFUNCTION("GOOGLETRANSLATE(C86,""zh-tw"",""RU"")"),"Этот маленький монстр может появиться, когда вы жарите рыбу.")</f>
        <v>Этот маленький монстр может появиться, когда вы жарите рыбу.</v>
      </c>
      <c r="AB86" s="64" t="str">
        <f>IFERROR(__xludf.DUMMYFUNCTION("GOOGLETRANSLATE(D86,""zh-tw"",""RU"")"),"Черепаха Сакабан (маленькая) — выпадает после поражения: ◉▽◉ (синяя)")</f>
        <v>Черепаха Сакабан (маленькая) — выпадает после поражения: ◉▽◉ (синяя)</v>
      </c>
      <c r="AC86" s="98" t="s">
        <v>3858</v>
      </c>
      <c r="AD86" s="118" t="str">
        <f>IFERROR(__xludf.DUMMYFUNCTION("GOOGLETRANSLATE(B86,""zh-tw"",""de"")"),"◉▽◉?")</f>
        <v>◉▽◉?</v>
      </c>
      <c r="AE86" s="135" t="str">
        <f>IFERROR(__xludf.DUMMYFUNCTION("GOOGLETRANSLATE(C86,""zh-tw"",""de"")"),"Dieses kleine Monster könnte auftauchen, wenn man gerade Fisch brät.")</f>
        <v>Dieses kleine Monster könnte auftauchen, wenn man gerade Fisch brät.</v>
      </c>
      <c r="AF86" s="136" t="str">
        <f>IFERROR(__xludf.DUMMYFUNCTION("GOOGLETRANSLATE(D86,""zh-tw"",""de"")"),"Sakaban-Schildkröte (Klein) - Beute nach Niederlage: ◉▽◉ (Blau)")</f>
        <v>Sakaban-Schildkröte (Klein) - Beute nach Niederlage: ◉▽◉ (Blau)</v>
      </c>
      <c r="AG86" s="98" t="s">
        <v>3858</v>
      </c>
      <c r="AH86" s="106" t="s">
        <v>3859</v>
      </c>
      <c r="AI86" s="165" t="s">
        <v>3866</v>
      </c>
      <c r="AJ86" s="51" t="s">
        <v>3867</v>
      </c>
      <c r="AK86" s="137" t="s">
        <v>3858</v>
      </c>
      <c r="AL86" s="138" t="s">
        <v>3859</v>
      </c>
      <c r="AM86" s="123" t="s">
        <v>3868</v>
      </c>
      <c r="AN86" s="124" t="s">
        <v>3869</v>
      </c>
      <c r="AO86" s="124"/>
    </row>
    <row r="87">
      <c r="A87" s="98" t="s">
        <v>3870</v>
      </c>
      <c r="B87" s="118" t="s">
        <v>3871</v>
      </c>
      <c r="C87" s="109" t="s">
        <v>3872</v>
      </c>
      <c r="D87" s="69" t="s">
        <v>3873</v>
      </c>
      <c r="E87" s="98" t="s">
        <v>3870</v>
      </c>
      <c r="F87" s="118" t="s">
        <v>3871</v>
      </c>
      <c r="G87" s="109" t="s">
        <v>3874</v>
      </c>
      <c r="H87" s="69" t="s">
        <v>3875</v>
      </c>
      <c r="I87" s="98" t="s">
        <v>3870</v>
      </c>
      <c r="J87" s="118" t="s">
        <v>3871</v>
      </c>
      <c r="K87" s="109" t="s">
        <v>3876</v>
      </c>
      <c r="L87" s="69" t="s">
        <v>3877</v>
      </c>
      <c r="M87" s="98" t="s">
        <v>3870</v>
      </c>
      <c r="N87" s="118" t="str">
        <f>IFERROR(__xludf.DUMMYFUNCTION("GOOGLETRANSLATE(B87,""zh-tw"",""zh"")"),"◉▽◉!?")</f>
        <v>◉▽◉!?</v>
      </c>
      <c r="O87" s="103" t="str">
        <f>IFERROR(__xludf.DUMMYFUNCTION("GOOGLETRANSLATE(C87,""zh-tw"",""zh"")"),"炸鱼时，较低机率可能会出现该小怪")</f>
        <v>炸鱼时，较低机率可能会出现该小怪</v>
      </c>
      <c r="P87" s="71" t="str">
        <f>IFERROR(__xludf.DUMMYFUNCTION("GOOGLETRANSLATE(D87,""zh-tw"",""zh"")"),"萨卡班甲鱼(大)
击杀掉落：◉▽◉(紫色)")</f>
        <v>萨卡班甲鱼(大)
击杀掉落：◉▽◉(紫色)</v>
      </c>
      <c r="Q87" s="98" t="s">
        <v>3870</v>
      </c>
      <c r="R87" s="138" t="str">
        <f>IFERROR(__xludf.DUMMYFUNCTION("GOOGLETRANSLATE(B87,""zh-tw"",""es-MX"")"),"◉▽◉!?")</f>
        <v>◉▽◉!?</v>
      </c>
      <c r="S87" s="103" t="str">
        <f>IFERROR(__xludf.DUMMYFUNCTION("GOOGLETRANSLATE(C87,""zh-tw"",""es-MX"")"),"Este monstruo puede aparecer con poca probabilidad al freír pescado.")</f>
        <v>Este monstruo puede aparecer con poca probabilidad al freír pescado.</v>
      </c>
      <c r="T87" s="71" t="str">
        <f>IFERROR(__xludf.DUMMYFUNCTION("GOOGLETRANSLATE(D87,""zh-tw"",""es-MX"")"),"Tortuga Sakaban (Grande) - Obtienes al derrotarla: ◉▽◉ (Morado)")</f>
        <v>Tortuga Sakaban (Grande) - Obtienes al derrotarla: ◉▽◉ (Morado)</v>
      </c>
      <c r="U87" s="98" t="s">
        <v>3870</v>
      </c>
      <c r="V87" s="138" t="str">
        <f>IFERROR(__xludf.DUMMYFUNCTION("GOOGLETRANSLATE(B87,""zh-tw"",""KO"")"),"◉▽◉!?")</f>
        <v>◉▽◉!?</v>
      </c>
      <c r="W87" s="103" t="str">
        <f>IFERROR(__xludf.DUMMYFUNCTION("GOOGLETRANSLATE(C87,""zh-tw"",""KO"")"),"이 괴물은 생선을 튀길 때 낮은 확률로 나타날 수 있습니다.")</f>
        <v>이 괴물은 생선을 튀길 때 낮은 확률로 나타날 수 있습니다.</v>
      </c>
      <c r="X87" s="71" t="str">
        <f>IFERROR(__xludf.DUMMYFUNCTION("GOOGLETRANSLATE(D87,""zh-tw"",""KO"")"),"사카반 거북이(대형) - 패배 시 획득: ◉▽◉ (보라색)")</f>
        <v>사카반 거북이(대형) - 패배 시 획득: ◉▽◉ (보라색)</v>
      </c>
      <c r="Y87" s="98" t="s">
        <v>3870</v>
      </c>
      <c r="Z87" s="118" t="str">
        <f>IFERROR(__xludf.DUMMYFUNCTION("GOOGLETRANSLATE(B87,""zh-tw"",""ru"")"),"◉▽◉!?")</f>
        <v>◉▽◉!?</v>
      </c>
      <c r="AA87" s="162" t="str">
        <f>IFERROR(__xludf.DUMMYFUNCTION("GOOGLETRANSLATE(C87,""zh-tw"",""RU"")"),"Этот монстр может появиться с небольшой вероятностью при жарке рыбы.")</f>
        <v>Этот монстр может появиться с небольшой вероятностью при жарке рыбы.</v>
      </c>
      <c r="AB87" s="64" t="str">
        <f>IFERROR(__xludf.DUMMYFUNCTION("GOOGLETRANSLATE(D87,""zh-tw"",""RU"")"),"Черепаха Сакабан (Большая) — Выпадает после поражения: ◉▽◉ (Фиолетовая)")</f>
        <v>Черепаха Сакабан (Большая) — Выпадает после поражения: ◉▽◉ (Фиолетовая)</v>
      </c>
      <c r="AC87" s="98" t="s">
        <v>3870</v>
      </c>
      <c r="AD87" s="118" t="str">
        <f>IFERROR(__xludf.DUMMYFUNCTION("GOOGLETRANSLATE(B87,""zh-tw"",""de"")"),"◉▽◉!?")</f>
        <v>◉▽◉!?</v>
      </c>
      <c r="AE87" s="135" t="str">
        <f>IFERROR(__xludf.DUMMYFUNCTION("GOOGLETRANSLATE(C87,""zh-tw"",""de"")"),"Dieses Monster kann mit geringer Wahrscheinlichkeit beim Braten von Fisch erscheinen.")</f>
        <v>Dieses Monster kann mit geringer Wahrscheinlichkeit beim Braten von Fisch erscheinen.</v>
      </c>
      <c r="AF87" s="136" t="str">
        <f>IFERROR(__xludf.DUMMYFUNCTION("GOOGLETRANSLATE(D87,""zh-tw"",""de"")"),"Sakaban-Schildkröte (Groß) – Beute nach Niederlage: ◉▽◉ (Lila)")</f>
        <v>Sakaban-Schildkröte (Groß) – Beute nach Niederlage: ◉▽◉ (Lila)</v>
      </c>
      <c r="AG87" s="98" t="s">
        <v>3870</v>
      </c>
      <c r="AH87" s="106" t="s">
        <v>3871</v>
      </c>
      <c r="AI87" s="165" t="s">
        <v>3878</v>
      </c>
      <c r="AJ87" s="51" t="s">
        <v>3879</v>
      </c>
      <c r="AK87" s="137" t="s">
        <v>3870</v>
      </c>
      <c r="AL87" s="138" t="s">
        <v>3871</v>
      </c>
      <c r="AM87" s="123" t="s">
        <v>3880</v>
      </c>
      <c r="AN87" s="124" t="s">
        <v>3881</v>
      </c>
      <c r="AO87" s="124"/>
    </row>
    <row r="88">
      <c r="A88" s="98" t="s">
        <v>3882</v>
      </c>
      <c r="B88" s="118" t="s">
        <v>3883</v>
      </c>
      <c r="C88" s="109" t="s">
        <v>3884</v>
      </c>
      <c r="D88" s="69" t="s">
        <v>3885</v>
      </c>
      <c r="E88" s="98" t="s">
        <v>3882</v>
      </c>
      <c r="F88" s="118" t="s">
        <v>3883</v>
      </c>
      <c r="G88" s="109" t="s">
        <v>3886</v>
      </c>
      <c r="H88" s="69" t="s">
        <v>3887</v>
      </c>
      <c r="I88" s="98" t="s">
        <v>3882</v>
      </c>
      <c r="J88" s="118" t="s">
        <v>3883</v>
      </c>
      <c r="K88" s="109" t="s">
        <v>3888</v>
      </c>
      <c r="L88" s="69" t="s">
        <v>3889</v>
      </c>
      <c r="M88" s="98" t="s">
        <v>3882</v>
      </c>
      <c r="N88" s="118" t="str">
        <f>IFERROR(__xludf.DUMMYFUNCTION("GOOGLETRANSLATE(B88,""zh-tw"",""zh"")"),"♔
◉▽◉")</f>
        <v>♔
◉▽◉</v>
      </c>
      <c r="O88" s="103" t="str">
        <f>IFERROR(__xludf.DUMMYFUNCTION("GOOGLETRANSLATE(C88,""zh-tw"",""zh"")"),"当稀有机率足够，且符合地形条件时，可能召唤出BOSS
(详细说明于TIPS中)")</f>
        <v>当稀有机率足够，且符合地形条件时，可能召唤出BOSS
(详细说明于TIPS中)</v>
      </c>
      <c r="P88" s="71" t="str">
        <f>IFERROR(__xludf.DUMMYFUNCTION("GOOGLETRANSLATE(D88,""zh-tw"",""zh"")"),"召唤BOSS：
应该已经灭绝的河之主!?(甲鱼王)
击杀掉落：王权之令、◉▽◉(粉色)")</f>
        <v>召唤BOSS：
应该已经灭绝的河之主!?(甲鱼王)
击杀掉落：王权之令、◉▽◉(粉色)</v>
      </c>
      <c r="Q88" s="98" t="s">
        <v>3882</v>
      </c>
      <c r="R88" s="138" t="str">
        <f>IFERROR(__xludf.DUMMYFUNCTION("GOOGLETRANSLATE(B88,""zh-tw"",""es-MX"")"),"♔
◉▽◉")</f>
        <v>♔
◉▽◉</v>
      </c>
      <c r="S88" s="103" t="str">
        <f>IFERROR(__xludf.DUMMYFUNCTION("GOOGLETRANSLATE(C88,""zh-tw"",""es-MX"")"),"Cuando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8" s="71" t="str">
        <f>IFERROR(__xludf.DUMMYFUNCTION("GOOGLETRANSLATE(D88,""zh-tw"",""es-MX"")"),"Jefe de invocación: ¡El Señor del Río, que debería estar extinto! (Rey Tortuga)
Botín al derrotar: Decreto Real, ◉▽◉ (Rosa)")</f>
        <v>Jefe de invocación: ¡El Señor del Río, que debería estar extinto! (Rey Tortuga)
Botín al derrotar: Decreto Real, ◉▽◉ (Rosa)</v>
      </c>
      <c r="U88" s="98" t="s">
        <v>3882</v>
      </c>
      <c r="V88" s="138" t="str">
        <f>IFERROR(__xludf.DUMMYFUNCTION("GOOGLETRANSLATE(B88,""zh-tw"",""KO"")"),"♔
◉▽◉")</f>
        <v>♔
◉▽◉</v>
      </c>
      <c r="W88" s="103" t="str">
        <f>IFERROR(__xludf.DUMMYFUNCTION("GOOGLETRANSLATE(C88,""zh-tw"",""KO"")"),"희귀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8" s="71" t="str">
        <f>IFERROR(__xludf.DUMMYFUNCTION("GOOGLETRANSLATE(D88,""zh-tw"",""KO"")"),"소환 보스: 강 군주, 멸종되어야 할 자!? (거북이 왕)
패배 시 획득: 왕의 칙령, ◉▽◉ (분홍색)")</f>
        <v>소환 보스: 강 군주, 멸종되어야 할 자!? (거북이 왕)
패배 시 획득: 왕의 칙령, ◉▽◉ (분홍색)</v>
      </c>
      <c r="Y88" s="98" t="s">
        <v>3882</v>
      </c>
      <c r="Z88" s="118" t="str">
        <f>IFERROR(__xludf.DUMMYFUNCTION("GOOGLETRANSLATE(B88,""zh-tw"",""ru"")"),"♔
◉▽◉")</f>
        <v>♔
◉▽◉</v>
      </c>
      <c r="AA88" s="162" t="str">
        <f>IFERROR(__xludf.DUMMYFUNCTION("GOOGLETRANSLATE(C88,""zh-tw"",""RU"")"),"При достаточной вероятности редкого события и соблюдении условий местности может быть вызван БОСС.
(Подробное объяснение в СОВЕТАХ)")</f>
        <v>При достаточной вероятности редкого события и соблюдении условий местности может быть вызван БОСС.
(Подробное объяснение в СОВЕТАХ)</v>
      </c>
      <c r="AB88" s="64" t="str">
        <f>IFERROR(__xludf.DUMMYFUNCTION("GOOGLETRANSLATE(D88,""zh-tw"",""RU"")"),"Призыв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8" s="98" t="s">
        <v>3882</v>
      </c>
      <c r="AD88" s="118" t="str">
        <f>IFERROR(__xludf.DUMMYFUNCTION("GOOGLETRANSLATE(B88,""zh-tw"",""de"")"),"♔
◉▽◉")</f>
        <v>♔
◉▽◉</v>
      </c>
      <c r="AE88" s="135" t="str">
        <f>IFERROR(__xludf.DUMMYFUNCTION("GOOGLETRANSLATE(C88,""zh-tw"",""de"")"),"Wenn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8" s="136" t="str">
        <f>IFERROR(__xludf.DUMMYFUNCTION("GOOGLETRANSLATE(D88,""zh-tw"",""de"")"),"Beschwörungsboss: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8" s="98" t="s">
        <v>3882</v>
      </c>
      <c r="AH88" s="106" t="s">
        <v>3883</v>
      </c>
      <c r="AI88" s="165" t="s">
        <v>3890</v>
      </c>
      <c r="AJ88" s="136" t="s">
        <v>3891</v>
      </c>
      <c r="AK88" s="137" t="s">
        <v>3882</v>
      </c>
      <c r="AL88" s="138" t="s">
        <v>3883</v>
      </c>
      <c r="AM88" s="123" t="s">
        <v>3892</v>
      </c>
      <c r="AN88" s="66" t="s">
        <v>3893</v>
      </c>
      <c r="AO88" s="124"/>
    </row>
    <row r="89">
      <c r="A89" s="98" t="s">
        <v>3894</v>
      </c>
      <c r="B89" s="118" t="s">
        <v>3895</v>
      </c>
      <c r="C89" s="109" t="s">
        <v>3896</v>
      </c>
      <c r="D89" s="69" t="s">
        <v>3897</v>
      </c>
      <c r="E89" s="98" t="s">
        <v>3894</v>
      </c>
      <c r="F89" s="118" t="s">
        <v>3898</v>
      </c>
      <c r="G89" s="109" t="s">
        <v>3899</v>
      </c>
      <c r="H89" s="69" t="s">
        <v>3900</v>
      </c>
      <c r="I89" s="98" t="s">
        <v>3894</v>
      </c>
      <c r="J89" s="118" t="s">
        <v>3901</v>
      </c>
      <c r="K89" s="109" t="s">
        <v>3902</v>
      </c>
      <c r="L89" s="69" t="s">
        <v>3903</v>
      </c>
      <c r="M89" s="98" t="s">
        <v>3894</v>
      </c>
      <c r="N89" s="118" t="str">
        <f>IFERROR(__xludf.DUMMYFUNCTION("GOOGLETRANSLATE(B89,""zh-tw"",""zh"")"),"回归水中")</f>
        <v>回归水中</v>
      </c>
      <c r="O89" s="103" t="str">
        <f>IFERROR(__xludf.DUMMYFUNCTION("GOOGLETRANSLATE(C89,""zh-tw"",""zh"")"),"当甲鱼从者、甲鱼王遇到水面，将会逃跑回水中。")</f>
        <v>当甲鱼从者、甲鱼王遇到水面，将会逃跑回水中。</v>
      </c>
      <c r="P89" s="71" t="str">
        <f>IFERROR(__xludf.DUMMYFUNCTION("GOOGLETRANSLATE(D89,""zh-tw"",""zh"")"),"对象逃跑")</f>
        <v>对象逃跑</v>
      </c>
      <c r="Q89" s="98" t="s">
        <v>3894</v>
      </c>
      <c r="R89" s="138" t="str">
        <f>IFERROR(__xludf.DUMMYFUNCTION("GOOGLETRANSLATE(B89,""zh-tw"",""es-MX"")"),"Regresar al agua")</f>
        <v>Regresar al agua</v>
      </c>
      <c r="S89" s="103" t="str">
        <f>IFERROR(__xludf.DUMMYFUNCTION("GOOGLETRANSLATE(C89,""zh-tw"",""es-MX"")"),"Cuando los seguidores de las tortugas o el rey tortuga tocan la superficie del agua, correrán de regreso al agua.")</f>
        <v>Cuando los seguidores de las tortugas o el rey tortuga tocan la superficie del agua, correrán de regreso al agua.</v>
      </c>
      <c r="T89" s="71" t="str">
        <f>IFERROR(__xludf.DUMMYFUNCTION("GOOGLETRANSLATE(D89,""zh-tw"",""es-MX"")"),"Escape de objetos")</f>
        <v>Escape de objetos</v>
      </c>
      <c r="U89" s="98" t="s">
        <v>3894</v>
      </c>
      <c r="V89" s="138" t="str">
        <f>IFERROR(__xludf.DUMMYFUNCTION("GOOGLETRANSLATE(B89,""zh-tw"",""KO"")"),"물로 돌아가다")</f>
        <v>물로 돌아가다</v>
      </c>
      <c r="W89" s="103" t="str">
        <f>IFERROR(__xludf.DUMMYFUNCTION("GOOGLETRANSLATE(C89,""zh-tw"",""KO"")"),"거북이 추종자나 거북이 왕이 물 표면에 나타나면 다시 물속으로 달려 들어갑니다.")</f>
        <v>거북이 추종자나 거북이 왕이 물 표면에 나타나면 다시 물속으로 달려 들어갑니다.</v>
      </c>
      <c r="X89" s="71" t="str">
        <f>IFERROR(__xludf.DUMMYFUNCTION("GOOGLETRANSLATE(D89,""zh-tw"",""KO"")"),"객체 탈출")</f>
        <v>객체 탈출</v>
      </c>
      <c r="Y89" s="98" t="s">
        <v>3894</v>
      </c>
      <c r="Z89" s="118" t="str">
        <f>IFERROR(__xludf.DUMMYFUNCTION("GOOGLETRANSLATE(B89,""zh-tw"",""ru"")"),"Вернуться в воду")</f>
        <v>Вернуться в воду</v>
      </c>
      <c r="AA89" s="162" t="str">
        <f>IFERROR(__xludf.DUMMYFUNCTION("GOOGLETRANSLATE(C89,""zh-tw"",""RU"")"),"Когда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89" s="64" t="str">
        <f>IFERROR(__xludf.DUMMYFUNCTION("GOOGLETRANSLATE(D89,""zh-tw"",""RU"")"),"Побег объекта")</f>
        <v>Побег объекта</v>
      </c>
      <c r="AC89" s="98" t="s">
        <v>3894</v>
      </c>
      <c r="AD89" s="118" t="s">
        <v>3904</v>
      </c>
      <c r="AE89" s="135" t="str">
        <f>IFERROR(__xludf.DUMMYFUNCTION("GOOGLETRANSLATE(C89,""zh-tw"",""de"")"),"Wenn die Schildkrötenanhänger oder der Schildkrötenkönig die Wasseroberfläche erreichen, rennen sie zurück ins Wasser.")</f>
        <v>Wenn die Schildkrötenanhänger oder der Schildkrötenkönig die Wasseroberfläche erreichen, rennen sie zurück ins Wasser.</v>
      </c>
      <c r="AF89" s="136" t="s">
        <v>3905</v>
      </c>
      <c r="AG89" s="98" t="s">
        <v>3894</v>
      </c>
      <c r="AH89" s="106" t="s">
        <v>3906</v>
      </c>
      <c r="AI89" s="165" t="s">
        <v>3907</v>
      </c>
      <c r="AJ89" s="51" t="s">
        <v>3908</v>
      </c>
      <c r="AK89" s="137" t="s">
        <v>3894</v>
      </c>
      <c r="AL89" s="138" t="s">
        <v>3909</v>
      </c>
      <c r="AM89" s="115" t="s">
        <v>3910</v>
      </c>
      <c r="AN89" s="124" t="s">
        <v>3911</v>
      </c>
      <c r="AO89" s="124"/>
    </row>
    <row r="90">
      <c r="A90" s="98" t="s">
        <v>3912</v>
      </c>
      <c r="B90" s="118" t="s">
        <v>3913</v>
      </c>
      <c r="C90" s="109" t="s">
        <v>3914</v>
      </c>
      <c r="D90" s="69" t="s">
        <v>3915</v>
      </c>
      <c r="E90" s="98" t="s">
        <v>3912</v>
      </c>
      <c r="F90" s="118" t="s">
        <v>3916</v>
      </c>
      <c r="G90" s="109" t="s">
        <v>3917</v>
      </c>
      <c r="H90" s="69" t="s">
        <v>3918</v>
      </c>
      <c r="I90" s="98" t="s">
        <v>3912</v>
      </c>
      <c r="J90" s="118" t="s">
        <v>3919</v>
      </c>
      <c r="K90" s="109" t="s">
        <v>3920</v>
      </c>
      <c r="L90" s="69" t="s">
        <v>3921</v>
      </c>
      <c r="M90" s="98" t="s">
        <v>3912</v>
      </c>
      <c r="N90" s="118" t="str">
        <f>IFERROR(__xludf.DUMMYFUNCTION("GOOGLETRANSLATE(B90,""zh-tw"",""zh"")"),"发光的胡萝卜")</f>
        <v>发光的胡萝卜</v>
      </c>
      <c r="O90" s="103" t="str">
        <f>IFERROR(__xludf.DUMMYFUNCTION("GOOGLETRANSLATE(C90,""zh-tw"",""zh"")"),"发光的胡萝卜会在女仆兔BOSS出场时，没收掉在场的特殊胡萝卜，直到你打倒它才会出现。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0" s="71" t="str">
        <f>IFERROR(__xludf.DUMMYFUNCTION("GOOGLETRANSLATE(D90,""zh-tw"",""zh"")"),"获得：胡萝卜大剑、天上之石碎片
未实装后续流程，现阶段无法制作第二号红髓液")</f>
        <v>获得：胡萝卜大剑、天上之石碎片
未实装后续流程，现阶段无法制作第二号红髓液</v>
      </c>
      <c r="Q90" s="98" t="s">
        <v>3912</v>
      </c>
      <c r="R90" s="138" t="str">
        <f>IFERROR(__xludf.DUMMYFUNCTION("GOOGLETRANSLATE(B90,""zh-tw"",""es-MX"")"),"Zanahorias brillantes")</f>
        <v>Zanahorias brillantes</v>
      </c>
      <c r="S90" s="103" t="str">
        <f>IFERROR(__xludf.DUMMYFUNCTION("GOOGLETRANSLATE(C90,""zh-tw"",""es-MX"")"),"La zanahoria brillante confiscará todas las zanahorias especiales presentes cuando aparezca el jefe Maid Bunny y no volverá a aparecer hasta que lo derrotes.
Al sacar esta zanahoria especial, soltará un objeto especial.")</f>
        <v>La zanahoria brillante confiscará todas las zanahorias especiales presentes cuando aparezca el jefe Maid Bunny y no volverá a aparecer hasta que lo derrotes.
Al sacar esta zanahoria especial, soltará un objeto especial.</v>
      </c>
      <c r="T90" s="71" t="str">
        <f>IFERROR(__xludf.DUMMYFUNCTION("GOOGLETRANSLATE(D90,""zh-tw"",""es-MX"")"),"Obtenido: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90" s="98" t="s">
        <v>3912</v>
      </c>
      <c r="V90" s="138" t="str">
        <f>IFERROR(__xludf.DUMMYFUNCTION("GOOGLETRANSLATE(B90,""zh-tw"",""KO"")"),"빛나는 당근")</f>
        <v>빛나는 당근</v>
      </c>
      <c r="W90" s="103" t="str">
        <f>IFERROR(__xludf.DUMMYFUNCTION("GOOGLETRANSLATE(C90,""zh-tw"",""KO"")"),"빛나는 당근은 메이드 버니 보스가 등장할 때 존재하는 모든 특수 당근을 빼앗아 가며, 보스를 물리칠 때까지 다시 나타나지 않습니다.
이 특수 당근을 획득하면 특수 아이템을 드랍합니다.")</f>
        <v>빛나는 당근은 메이드 버니 보스가 등장할 때 존재하는 모든 특수 당근을 빼앗아 가며, 보스를 물리칠 때까지 다시 나타나지 않습니다.
이 특수 당근을 획득하면 특수 아이템을 드랍합니다.</v>
      </c>
      <c r="X90" s="71" t="str">
        <f>IFERROR(__xludf.DUMMYFUNCTION("GOOGLETRANSLATE(D90,""zh-tw"",""KO"")"),"획득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0" s="98" t="s">
        <v>3912</v>
      </c>
      <c r="Z90" s="118" t="str">
        <f>IFERROR(__xludf.DUMMYFUNCTION("GOOGLETRANSLATE(B90,""zh-tw"",""ru"")"),"Светящаяся морковь")</f>
        <v>Светящаяся морковь</v>
      </c>
      <c r="AA90" s="162" t="str">
        <f>IFERROR(__xludf.DUMMYFUNCTION("GOOGLETRANSLATE(C90,""zh-tw"",""RU"")"),"Светящаяся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f>
        <v>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v>
      </c>
      <c r="AB90" s="64" t="str">
        <f>IFERROR(__xludf.DUMMYFUNCTION("GOOGLETRANSLATE(D90,""zh-tw"",""RU"")"),"Получено: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0" s="98" t="s">
        <v>3912</v>
      </c>
      <c r="AD90" s="118" t="s">
        <v>3922</v>
      </c>
      <c r="AE90" s="135" t="str">
        <f>IFERROR(__xludf.DUMMYFUNCTION("GOOGLETRANSLATE(C90,""zh-tw"",""de"")"),"Die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90" s="136" t="s">
        <v>3923</v>
      </c>
      <c r="AG90" s="98" t="s">
        <v>3912</v>
      </c>
      <c r="AH90" s="106" t="s">
        <v>3924</v>
      </c>
      <c r="AI90" s="165" t="s">
        <v>3925</v>
      </c>
      <c r="AJ90" s="136" t="s">
        <v>3926</v>
      </c>
      <c r="AK90" s="137" t="s">
        <v>3912</v>
      </c>
      <c r="AL90" s="138" t="s">
        <v>3927</v>
      </c>
      <c r="AM90" s="123" t="s">
        <v>3928</v>
      </c>
      <c r="AN90" s="124" t="s">
        <v>3929</v>
      </c>
      <c r="AO90" s="124"/>
    </row>
    <row r="91">
      <c r="A91" s="98" t="s">
        <v>3930</v>
      </c>
      <c r="B91" s="118" t="s">
        <v>3931</v>
      </c>
      <c r="C91" s="109" t="s">
        <v>3932</v>
      </c>
      <c r="D91" s="69" t="s">
        <v>662</v>
      </c>
      <c r="E91" s="98" t="s">
        <v>3930</v>
      </c>
      <c r="F91" s="118" t="s">
        <v>3933</v>
      </c>
      <c r="G91" s="109" t="s">
        <v>3934</v>
      </c>
      <c r="H91" s="69" t="s">
        <v>665</v>
      </c>
      <c r="I91" s="98" t="s">
        <v>3930</v>
      </c>
      <c r="J91" s="118" t="s">
        <v>3935</v>
      </c>
      <c r="K91" s="109" t="s">
        <v>3936</v>
      </c>
      <c r="L91" s="69" t="s">
        <v>2225</v>
      </c>
      <c r="M91" s="98" t="s">
        <v>3930</v>
      </c>
      <c r="N91" s="118" t="str">
        <f>IFERROR(__xludf.DUMMYFUNCTION("GOOGLETRANSLATE(B91,""zh-tw"",""zh"")"),"萝卜大剑")</f>
        <v>萝卜大剑</v>
      </c>
      <c r="O91" s="103" t="str">
        <f>IFERROR(__xludf.DUMMYFUNCTION("GOOGLETRANSLATE(C91,""zh-tw"",""zh"")"),"于篝火中使用冻萝卜大剑解冻之后，能获得霉萝卜大剑")</f>
        <v>于篝火中使用冻萝卜大剑解冻之后，能获得霉萝卜大剑</v>
      </c>
      <c r="P91" s="71" t="str">
        <f>IFERROR(__xludf.DUMMYFUNCTION("GOOGLETRANSLATE(D91,""zh-tw"",""zh"")"),"未实装")</f>
        <v>未实装</v>
      </c>
      <c r="Q91" s="98" t="s">
        <v>3930</v>
      </c>
      <c r="R91" s="138" t="str">
        <f>IFERROR(__xludf.DUMMYFUNCTION("GOOGLETRANSLATE(B91,""zh-tw"",""es-MX"")"),"Espada grande")</f>
        <v>Espada grande</v>
      </c>
      <c r="S91" s="103" t="str">
        <f>IFERROR(__xludf.DUMMYFUNCTION("GOOGLETRANSLATE(C91,""zh-tw"",""es-MX"")"),"Después de descongelar la Espada Magna de Zanahoria Congelada en una fogata, podrás obtener la Espada Magna de Zanahoria Mohosa.")</f>
        <v>Después de descongelar la Espada Magna de Zanahoria Congelada en una fogata, podrás obtener la Espada Magna de Zanahoria Mohosa.</v>
      </c>
      <c r="T91" s="71" t="str">
        <f>IFERROR(__xludf.DUMMYFUNCTION("GOOGLETRANSLATE(D91,""zh-tw"",""es-MX"")"),"No implementado")</f>
        <v>No implementado</v>
      </c>
      <c r="U91" s="98" t="s">
        <v>3930</v>
      </c>
      <c r="V91" s="138" t="str">
        <f>IFERROR(__xludf.DUMMYFUNCTION("GOOGLETRANSLATE(B91,""zh-tw"",""KO"")"),"큰 검")</f>
        <v>큰 검</v>
      </c>
      <c r="W91" s="103" t="str">
        <f>IFERROR(__xludf.DUMMYFUNCTION("GOOGLETRANSLATE(C91,""zh-tw"",""KO"")"),"얼어붙은 당근 대검을 캠프파이어 위에 녹이면 곰팡이 핀 당근 대검을 얻을 수 있습니다.")</f>
        <v>얼어붙은 당근 대검을 캠프파이어 위에 녹이면 곰팡이 핀 당근 대검을 얻을 수 있습니다.</v>
      </c>
      <c r="X91" s="71" t="str">
        <f>IFERROR(__xludf.DUMMYFUNCTION("GOOGLETRANSLATE(D91,""zh-tw"",""KO"")"),"구현되지 않음")</f>
        <v>구현되지 않음</v>
      </c>
      <c r="Y91" s="98" t="s">
        <v>3930</v>
      </c>
      <c r="Z91" s="118" t="str">
        <f>IFERROR(__xludf.DUMMYFUNCTION("GOOGLETRANSLATE(B91,""zh-tw"",""ru"")"),"Большой Меч")</f>
        <v>Большой Меч</v>
      </c>
      <c r="AA91" s="162" t="str">
        <f>IFERROR(__xludf.DUMMYFUNCTION("GOOGLETRANSLATE(C91,""zh-tw"",""RU"")"),"Разморозив Большой меч из замороженной моркови на костре, вы сможете получить Большой меч из заплесневелой моркови.")</f>
        <v>Разморозив Большой меч из замороженной моркови на костре, вы сможете получить Большой меч из заплесневелой моркови.</v>
      </c>
      <c r="AB91" s="64" t="str">
        <f>IFERROR(__xludf.DUMMYFUNCTION("GOOGLETRANSLATE(D91,""zh-tw"",""RU"")"),"Не реализовано")</f>
        <v>Не реализовано</v>
      </c>
      <c r="AC91" s="98" t="s">
        <v>3930</v>
      </c>
      <c r="AD91" s="118" t="s">
        <v>3937</v>
      </c>
      <c r="AE91" s="135" t="str">
        <f>IFERROR(__xludf.DUMMYFUNCTION("GOOGLETRANSLATE(C91,""zh-tw"",""de"")"),"Nachdem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1" s="136" t="s">
        <v>680</v>
      </c>
      <c r="AG91" s="98" t="s">
        <v>3930</v>
      </c>
      <c r="AH91" s="106" t="s">
        <v>3938</v>
      </c>
      <c r="AI91" s="168" t="s">
        <v>3939</v>
      </c>
      <c r="AJ91" s="51" t="s">
        <v>2232</v>
      </c>
      <c r="AK91" s="137" t="s">
        <v>3930</v>
      </c>
      <c r="AL91" s="138" t="s">
        <v>3940</v>
      </c>
      <c r="AM91" s="123" t="s">
        <v>3941</v>
      </c>
      <c r="AN91" s="124" t="s">
        <v>2235</v>
      </c>
      <c r="AO91" s="124"/>
    </row>
    <row r="92">
      <c r="A92" s="98" t="s">
        <v>3942</v>
      </c>
      <c r="B92" s="118" t="s">
        <v>3943</v>
      </c>
      <c r="C92" s="109" t="s">
        <v>3944</v>
      </c>
      <c r="D92" s="69" t="s">
        <v>662</v>
      </c>
      <c r="E92" s="98" t="s">
        <v>3942</v>
      </c>
      <c r="F92" s="118" t="s">
        <v>3945</v>
      </c>
      <c r="G92" s="109" t="s">
        <v>3946</v>
      </c>
      <c r="H92" s="69" t="s">
        <v>665</v>
      </c>
      <c r="I92" s="98" t="s">
        <v>3942</v>
      </c>
      <c r="J92" s="118" t="s">
        <v>3947</v>
      </c>
      <c r="K92" s="109" t="s">
        <v>3948</v>
      </c>
      <c r="L92" s="69" t="s">
        <v>2225</v>
      </c>
      <c r="M92" s="98" t="s">
        <v>3942</v>
      </c>
      <c r="N92" s="118" t="str">
        <f>IFERROR(__xludf.DUMMYFUNCTION("GOOGLETRANSLATE(B92,""zh-tw"",""zh"")"),"萝卜大剑-1")</f>
        <v>萝卜大剑-1</v>
      </c>
      <c r="O92" s="103" t="str">
        <f>IFERROR(__xludf.DUMMYFUNCTION("GOOGLETRANSLATE(C92,""zh-tw"",""zh"")"),"于篝火中使用胡萝卜大剑，可以召唤友好的女仆兔，帮助你进行地图传送")</f>
        <v>于篝火中使用胡萝卜大剑，可以召唤友好的女仆兔，帮助你进行地图传送</v>
      </c>
      <c r="P92" s="71" t="str">
        <f>IFERROR(__xludf.DUMMYFUNCTION("GOOGLETRANSLATE(D92,""zh-tw"",""zh"")"),"未实装")</f>
        <v>未实装</v>
      </c>
      <c r="Q92" s="98" t="s">
        <v>3942</v>
      </c>
      <c r="R92" s="138" t="str">
        <f>IFERROR(__xludf.DUMMYFUNCTION("GOOGLETRANSLATE(B92,""zh-tw"",""es-MX"")"),"Espada larga de zanahoria - 1")</f>
        <v>Espada larga de zanahoria - 1</v>
      </c>
      <c r="S92" s="103" t="str">
        <f>IFERROR(__xludf.DUMMYFUNCTION("GOOGLETRANSLATE(C92,""zh-tw"",""es-MX"")"),"Si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2" s="71" t="str">
        <f>IFERROR(__xludf.DUMMYFUNCTION("GOOGLETRANSLATE(D92,""zh-tw"",""es-MX"")"),"No implementado")</f>
        <v>No implementado</v>
      </c>
      <c r="U92" s="98" t="s">
        <v>3942</v>
      </c>
      <c r="V92" s="138" t="str">
        <f>IFERROR(__xludf.DUMMYFUNCTION("GOOGLETRANSLATE(B92,""zh-tw"",""KO"")"),"당근 대검 - 1")</f>
        <v>당근 대검 - 1</v>
      </c>
      <c r="W92" s="103" t="str">
        <f>IFERROR(__xludf.DUMMYFUNCTION("GOOGLETRANSLATE(C92,""zh-tw"",""KO"")"),"캠프파이어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2" s="71" t="str">
        <f>IFERROR(__xludf.DUMMYFUNCTION("GOOGLETRANSLATE(D92,""zh-tw"",""KO"")"),"구현되지 않음")</f>
        <v>구현되지 않음</v>
      </c>
      <c r="Y92" s="98" t="s">
        <v>3942</v>
      </c>
      <c r="Z92" s="118" t="str">
        <f>IFERROR(__xludf.DUMMYFUNCTION("GOOGLETRANSLATE(B92,""zh-tw"",""ru"")"),"Морковный большой меч - 1")</f>
        <v>Морковный большой меч - 1</v>
      </c>
      <c r="AA92" s="162" t="str">
        <f>IFERROR(__xludf.DUMMYFUNCTION("GOOGLETRANSLATE(C92,""zh-tw"",""RU"")"),"Используя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2" s="64" t="str">
        <f>IFERROR(__xludf.DUMMYFUNCTION("GOOGLETRANSLATE(D92,""zh-tw"",""RU"")"),"Не реализовано")</f>
        <v>Не реализовано</v>
      </c>
      <c r="AC92" s="98" t="s">
        <v>3942</v>
      </c>
      <c r="AD92" s="118" t="s">
        <v>3949</v>
      </c>
      <c r="AE92" s="135" t="str">
        <f>IFERROR(__xludf.DUMMYFUNCTION("GOOGLETRANSLATE(C92,""zh-tw"",""de"")"),"Wenn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2" s="136" t="s">
        <v>680</v>
      </c>
      <c r="AG92" s="98" t="s">
        <v>3942</v>
      </c>
      <c r="AH92" s="106" t="s">
        <v>3950</v>
      </c>
      <c r="AI92" s="165" t="s">
        <v>3951</v>
      </c>
      <c r="AJ92" s="51" t="s">
        <v>2232</v>
      </c>
      <c r="AK92" s="137" t="s">
        <v>3942</v>
      </c>
      <c r="AL92" s="138" t="s">
        <v>3952</v>
      </c>
      <c r="AM92" s="123" t="s">
        <v>3953</v>
      </c>
      <c r="AN92" s="124" t="s">
        <v>2235</v>
      </c>
      <c r="AO92" s="124"/>
    </row>
    <row r="93">
      <c r="A93" s="98" t="s">
        <v>3954</v>
      </c>
      <c r="B93" s="138" t="s">
        <v>3955</v>
      </c>
      <c r="C93" s="108" t="s">
        <v>3956</v>
      </c>
      <c r="D93" s="67" t="s">
        <v>3957</v>
      </c>
      <c r="E93" s="98" t="s">
        <v>3954</v>
      </c>
      <c r="F93" s="138" t="s">
        <v>3958</v>
      </c>
      <c r="G93" s="141" t="s">
        <v>3959</v>
      </c>
      <c r="H93" s="142" t="s">
        <v>3960</v>
      </c>
      <c r="I93" s="98" t="s">
        <v>3954</v>
      </c>
      <c r="J93" s="138" t="s">
        <v>3961</v>
      </c>
      <c r="K93" s="135" t="s">
        <v>3962</v>
      </c>
      <c r="L93" s="142" t="s">
        <v>3963</v>
      </c>
      <c r="M93" s="98" t="s">
        <v>3954</v>
      </c>
      <c r="N93" s="125" t="s">
        <v>3964</v>
      </c>
      <c r="O93" s="103" t="str">
        <f>IFERROR(__xludf.DUMMYFUNCTION("GOOGLETRANSLATE(C93,""zh-tw"",""zh"")"),"解锁深夜时段后可以向骑士或猫娘商店车购买恐怖录影带")</f>
        <v>解锁深夜时段后可以向骑士或猫娘商店车购买恐怖录影带</v>
      </c>
      <c r="P93" s="71" t="str">
        <f>IFERROR(__xludf.DUMMYFUNCTION("GOOGLETRANSLATE(D93,""zh-tw"",""zh"")"),"获得道具:恐怖录影带")</f>
        <v>获得道具:恐怖录影带</v>
      </c>
      <c r="Q93" s="98" t="s">
        <v>3954</v>
      </c>
      <c r="R93" s="125" t="str">
        <f>IFERROR(__xludf.DUMMYFUNCTION("GOOGLETRANSLATE(B93,""zh-tw"",""es-MX"")"),"Una buena opción para las noches largas")</f>
        <v>Una buena opción para las noches largas</v>
      </c>
      <c r="S93" s="123" t="str">
        <f>IFERROR(__xludf.DUMMYFUNCTION("GOOGLETRANSLATE(C93,""zh-tw"",""es-MX"")"),"Después de desbloquear las horas nocturnas, puedes comprar cintas de video de terror en el camión de la tienda Knight o Catgirl.")</f>
        <v>Después de desbloquear las horas nocturnas, puedes comprar cintas de video de terror en el camión de la tienda Knight o Catgirl.</v>
      </c>
      <c r="T93" s="124" t="str">
        <f>IFERROR(__xludf.DUMMYFUNCTION("GOOGLETRANSLATE(D93,""zh-tw"",""es-MX"")"),"Objeto obtenido: Cinta de vídeo de terror")</f>
        <v>Objeto obtenido: Cinta de vídeo de terror</v>
      </c>
      <c r="U93" s="98" t="s">
        <v>3954</v>
      </c>
      <c r="V93" s="125" t="str">
        <f>IFERROR(__xludf.DUMMYFUNCTION("GOOGLETRANSLATE(B93,""zh-tw"",""KO"")"),"늦은 밤에 좋은 선택")</f>
        <v>늦은 밤에 좋은 선택</v>
      </c>
      <c r="W93" s="123" t="str">
        <f>IFERROR(__xludf.DUMMYFUNCTION("GOOGLETRANSLATE(C93,""zh-tw"",""KO"")"),"심야 영업을 종료한 후에는 나이트나 캣걸 숍 트럭에서 공포 비디오테이프를 구매할 수 있습니다.")</f>
        <v>심야 영업을 종료한 후에는 나이트나 캣걸 숍 트럭에서 공포 비디오테이프를 구매할 수 있습니다.</v>
      </c>
      <c r="X93" s="124" t="str">
        <f>IFERROR(__xludf.DUMMYFUNCTION("GOOGLETRANSLATE(D93,""zh-tw"",""KO"")"),"획득 아이템: 공포 비디오테이프")</f>
        <v>획득 아이템: 공포 비디오테이프</v>
      </c>
      <c r="Y93" s="98" t="s">
        <v>3954</v>
      </c>
      <c r="Z93" s="126" t="str">
        <f>IFERROR(__xludf.DUMMYFUNCTION("IF(J93="""", """", GOOGLETRANSLATE(J93,""en"",""RU""))"),"Отличный выбор для позднего вечера")</f>
        <v>Отличный выбор для позднего вечера</v>
      </c>
      <c r="AA93" s="127" t="str">
        <f>IFERROR(__xludf.DUMMYFUNCTION("IF(K93="""", """", GOOGLETRANSLATE(K93,""en"",""RU""))"),"Как только вы откроете «Поздно ночью», вы сможете купить «Видеокассету ужасов» в фургоне Девушки-кошки, призванной картой Таро Колесница.")</f>
        <v>Как только вы откроете «Поздно ночью», вы сможете купить «Видеокассету ужасов» в фургоне Девушки-кошки, призванной картой Таро Колесница.</v>
      </c>
      <c r="AB93" s="128" t="str">
        <f>IFERROR(__xludf.DUMMYFUNCTION("IF(L93="""", """", GOOGLETRANSLATE(L93, ""en"", ""ru""))
"),"Получить предмет «Видеокассета ужасов»")</f>
        <v>Получить предмет «Видеокассета ужасов»</v>
      </c>
      <c r="AC93" s="98" t="s">
        <v>3954</v>
      </c>
      <c r="AD93" s="118" t="str">
        <f>IFERROR(__xludf.DUMMYFUNCTION("GOOGLETRANSLATE(B93,""zh-tw"",""de"")"),"Eine gute Wahl für lange Nächte.")</f>
        <v>Eine gute Wahl für lange Nächte.</v>
      </c>
      <c r="AE93" s="141" t="s">
        <v>3965</v>
      </c>
      <c r="AF93" s="142" t="s">
        <v>3966</v>
      </c>
      <c r="AG93" s="98" t="s">
        <v>3954</v>
      </c>
      <c r="AH93" s="169" t="s">
        <v>3967</v>
      </c>
      <c r="AI93" s="170" t="s">
        <v>3968</v>
      </c>
      <c r="AJ93" s="179" t="s">
        <v>3969</v>
      </c>
      <c r="AK93" s="98" t="s">
        <v>3954</v>
      </c>
      <c r="AL93" s="138" t="s">
        <v>3970</v>
      </c>
      <c r="AM93" s="123" t="s">
        <v>3971</v>
      </c>
      <c r="AN93" s="124" t="s">
        <v>3972</v>
      </c>
      <c r="AO93" s="172"/>
    </row>
    <row r="94">
      <c r="A94" s="98" t="s">
        <v>3973</v>
      </c>
      <c r="B94" s="138" t="s">
        <v>3955</v>
      </c>
      <c r="C94" s="123" t="s">
        <v>3974</v>
      </c>
      <c r="D94" s="66" t="s">
        <v>3975</v>
      </c>
      <c r="E94" s="98" t="s">
        <v>3973</v>
      </c>
      <c r="F94" s="138" t="s">
        <v>3958</v>
      </c>
      <c r="G94" s="141" t="s">
        <v>3976</v>
      </c>
      <c r="H94" s="136" t="s">
        <v>3977</v>
      </c>
      <c r="I94" s="98" t="s">
        <v>3973</v>
      </c>
      <c r="J94" s="138" t="s">
        <v>3961</v>
      </c>
      <c r="K94" s="135" t="s">
        <v>3978</v>
      </c>
      <c r="L94" s="136" t="s">
        <v>3979</v>
      </c>
      <c r="M94" s="98" t="s">
        <v>3973</v>
      </c>
      <c r="N94" s="125" t="s">
        <v>3964</v>
      </c>
      <c r="O94" s="103" t="str">
        <f>IFERROR(__xludf.DUMMYFUNCTION("GOOGLETRANSLATE(C94,""zh-tw"",""zh"")"),"解锁深夜时段后可以向恶魔Aki或猫娘商店车购买成人录影带")</f>
        <v>解锁深夜时段后可以向恶魔Aki或猫娘商店车购买成人录影带</v>
      </c>
      <c r="P94" s="71" t="str">
        <f>IFERROR(__xludf.DUMMYFUNCTION("GOOGLETRANSLATE(D94,""zh-tw"",""zh"")"),"获得道具:成人录影带
(未实装)")</f>
        <v>获得道具:成人录影带
(未实装)</v>
      </c>
      <c r="Q94" s="98" t="s">
        <v>3973</v>
      </c>
      <c r="R94" s="125" t="str">
        <f>IFERROR(__xludf.DUMMYFUNCTION("GOOGLETRANSLATE(B94,""zh-tw"",""es-MX"")"),"Una buena opción para las noches largas")</f>
        <v>Una buena opción para las noches largas</v>
      </c>
      <c r="S94" s="123" t="str">
        <f>IFERROR(__xludf.DUMMYFUNCTION("GOOGLETRANSLATE(C94,""zh-tw"",""es-MX"")"),"Después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4" s="124" t="str">
        <f>IFERROR(__xludf.DUMMYFUNCTION("GOOGLETRANSLATE(D94,""zh-tw"",""es-MX"")"),"Objeto obtenido: Vídeo para adultos
(Aún no implementado)")</f>
        <v>Objeto obtenido: Vídeo para adultos
(Aún no implementado)</v>
      </c>
      <c r="U94" s="98" t="s">
        <v>3973</v>
      </c>
      <c r="V94" s="125" t="str">
        <f>IFERROR(__xludf.DUMMYFUNCTION("GOOGLETRANSLATE(B94,""zh-tw"",""KO"")"),"늦은 밤에 좋은 선택")</f>
        <v>늦은 밤에 좋은 선택</v>
      </c>
      <c r="W94" s="123" t="str">
        <f>IFERROR(__xludf.DUMMYFUNCTION("GOOGLETRANSLATE(C94,""zh-tw"",""KO"")"),"심야 영업시간이 끝나면 데몬 아키나 네코짱 카트에서 성인용 비디오테이프를 구매할 수 있습니다.")</f>
        <v>심야 영업시간이 끝나면 데몬 아키나 네코짱 카트에서 성인용 비디오테이프를 구매할 수 있습니다.</v>
      </c>
      <c r="X94" s="124" t="str">
        <f>IFERROR(__xludf.DUMMYFUNCTION("GOOGLETRANSLATE(D94,""zh-tw"",""KO"")"),"획득 아이템: 성인용 비디오테이프
(아직 구현되지 않음)")</f>
        <v>획득 아이템: 성인용 비디오테이프
(아직 구현되지 않음)</v>
      </c>
      <c r="Y94" s="98" t="s">
        <v>3973</v>
      </c>
      <c r="Z94" s="126" t="str">
        <f>IFERROR(__xludf.DUMMYFUNCTION("IF(J94="""", """", GOOGLETRANSLATE(J94,""en"",""RU""))"),"Отличный выбор для позднего вечера")</f>
        <v>Отличный выбор для позднего вечера</v>
      </c>
      <c r="AA94" s="127" t="str">
        <f>IFERROR(__xludf.DUMMYFUNCTION("IF(K94="""", """", GOOGLETRANSLATE(K94,""en"",""RU""))"),"Как только вы разблокируете «Поздно ночью», вы сможете купить «Видеокассету для взрослых» в фургоне Кошачьей девушки, вызванной картой Колесница.")</f>
        <v>Как только вы разблокируете «Поздно ночью», вы сможете купить «Видеокассету для взрослых» в фургоне Кошачьей девушки, вызванной картой Колесница.</v>
      </c>
      <c r="AB94" s="128" t="str">
        <f>IFERROR(__xludf.DUMMYFUNCTION("IF(L94="""", """", GOOGLETRANSLATE(L94, ""en"", ""ru""))
"),"Получить предмет «Видеокассета для взрослых»
(Пока не реализовано)")</f>
        <v>Получить предмет «Видеокассета для взрослых»
(Пока не реализовано)</v>
      </c>
      <c r="AC94" s="98" t="s">
        <v>3973</v>
      </c>
      <c r="AD94" s="118" t="str">
        <f>IFERROR(__xludf.DUMMYFUNCTION("GOOGLETRANSLATE(B94,""zh-tw"",""de"")"),"Eine gute Wahl für lange Nächte.")</f>
        <v>Eine gute Wahl für lange Nächte.</v>
      </c>
      <c r="AE94" s="141" t="s">
        <v>3980</v>
      </c>
      <c r="AF94" s="136" t="s">
        <v>3981</v>
      </c>
      <c r="AG94" s="98" t="s">
        <v>3973</v>
      </c>
      <c r="AH94" s="169" t="s">
        <v>3967</v>
      </c>
      <c r="AI94" s="170" t="s">
        <v>3982</v>
      </c>
      <c r="AJ94" s="179" t="s">
        <v>3983</v>
      </c>
      <c r="AK94" s="98" t="s">
        <v>3973</v>
      </c>
      <c r="AL94" s="138" t="s">
        <v>3970</v>
      </c>
      <c r="AM94" s="123" t="s">
        <v>3984</v>
      </c>
      <c r="AN94" s="66" t="s">
        <v>3985</v>
      </c>
      <c r="AO94" s="172"/>
    </row>
    <row r="95">
      <c r="A95" s="98" t="s">
        <v>3986</v>
      </c>
      <c r="B95" s="138" t="s">
        <v>3987</v>
      </c>
      <c r="C95" s="115" t="s">
        <v>3988</v>
      </c>
      <c r="D95" s="66" t="s">
        <v>3989</v>
      </c>
      <c r="E95" s="98" t="s">
        <v>3986</v>
      </c>
      <c r="F95" s="138" t="s">
        <v>3990</v>
      </c>
      <c r="G95" s="141" t="s">
        <v>3991</v>
      </c>
      <c r="H95" s="142" t="s">
        <v>3992</v>
      </c>
      <c r="I95" s="98" t="s">
        <v>3986</v>
      </c>
      <c r="J95" s="138" t="s">
        <v>3993</v>
      </c>
      <c r="K95" s="135" t="s">
        <v>3994</v>
      </c>
      <c r="L95" s="136" t="s">
        <v>3995</v>
      </c>
      <c r="M95" s="98" t="s">
        <v>3986</v>
      </c>
      <c r="N95" s="125" t="s">
        <v>3996</v>
      </c>
      <c r="O95" s="103" t="str">
        <f>IFERROR(__xludf.DUMMYFUNCTION("GOOGLETRANSLATE(C95,""zh-tw"",""zh"")"),"与教堂中的修女忏悔，兴奋值需要高于50%
不足的话会没有选项")</f>
        <v>与教堂中的修女忏悔，兴奋值需要高于50%
不足的话会没有选项</v>
      </c>
      <c r="P95" s="71" t="str">
        <f>IFERROR(__xludf.DUMMYFUNCTION("GOOGLETRANSLATE(D95,""zh-tw"",""zh"")"),"触发第一段剧情
*选择伤害她会触发必死。 ")</f>
        <v>触发第一段剧情
*选择伤害她会触发必死。 </v>
      </c>
      <c r="Q95" s="98" t="s">
        <v>3986</v>
      </c>
      <c r="R95" s="125" t="str">
        <f>IFERROR(__xludf.DUMMYFUNCTION("GOOGLETRANSLATE(B95,""zh-tw"",""es-MX"")"),"Arrepentirse")</f>
        <v>Arrepentirse</v>
      </c>
      <c r="S95" s="123" t="str">
        <f>IFERROR(__xludf.DUMMYFUNCTION("GOOGLETRANSLATE(C95,""zh-tw"",""es-MX"")"),"Para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5" s="124" t="str">
        <f>IFERROR(__xludf.DUMMYFUNCTION("GOOGLETRANSLATE(D95,""zh-tw"",""es-MX"")"),"Inicia la primera parte de la historia.
*Si decides hacerle daño, morirás seguro.")</f>
        <v>Inicia la primera parte de la historia.
*Si decides hacerle daño, morirás seguro.</v>
      </c>
      <c r="U95" s="98" t="s">
        <v>3986</v>
      </c>
      <c r="V95" s="125" t="str">
        <f>IFERROR(__xludf.DUMMYFUNCTION("GOOGLETRANSLATE(B95,""zh-tw"",""KO"")"),"회개하다")</f>
        <v>회개하다</v>
      </c>
      <c r="W95" s="123" t="str">
        <f>IFERROR(__xludf.DUMMYFUNCTION("GOOGLETRANSLATE(C95,""zh-tw"",""KO"")"),"성당 수녀들에게 고백하려면 흥분 수준이 50% 이상이어야 합니다. 너무 낮으면 선택의 여지가 없습니다.")</f>
        <v>성당 수녀들에게 고백하려면 흥분 수준이 50% 이상이어야 합니다. 너무 낮으면 선택의 여지가 없습니다.</v>
      </c>
      <c r="X95" s="124" t="str">
        <f>IFERROR(__xludf.DUMMYFUNCTION("GOOGLETRANSLATE(D95,""zh-tw"",""KO"")"),"스토리의 첫 번째 부분을 트리거합니다.
*그녀를 해치려고 하면 반드시 죽음을 맞이하게 됩니다.")</f>
        <v>스토리의 첫 번째 부분을 트리거합니다.
*그녀를 해치려고 하면 반드시 죽음을 맞이하게 됩니다.</v>
      </c>
      <c r="Y95" s="98" t="s">
        <v>3986</v>
      </c>
      <c r="Z95" s="126" t="str">
        <f>IFERROR(__xludf.DUMMYFUNCTION("IF(J95="""", """", GOOGLETRANSLATE(J95,""en"",""RU""))"),"Признание")</f>
        <v>Признание</v>
      </c>
      <c r="AA95" s="127" t="str">
        <f>IFERROR(__xludf.DUMMYFUNCTION("IF(K95="""", """", GOOGLETRANSLATE(K95,""en"",""RU""))"),"Признайтесь в своих грехах «монахине» в Святилище Падших.
Если ваш уровень волнения ниже 50%, возможность исповедаться не появится.")</f>
        <v>Признайтесь в своих грехах «монахине» в Святилище Падших.
Если ваш уровень волнения ниже 50%, возможность исповедаться не появится.</v>
      </c>
      <c r="AB95" s="128" t="str">
        <f>IFERROR(__xludf.DUMMYFUNCTION("IF(L95="""", """", GOOGLETRANSLATE(L95, ""en"", ""ru""))
"),"Запускает событие «Исповедь» с монахиней.
*Если нанести ей вред, вступите в битву с боссом, в которой невозможно победить.")</f>
        <v>Запускает событие «Исповедь» с монахиней.
*Если нанести ей вред, вступите в битву с боссом, в которой невозможно победить.</v>
      </c>
      <c r="AC95" s="98" t="s">
        <v>3986</v>
      </c>
      <c r="AD95" s="118" t="str">
        <f>IFERROR(__xludf.DUMMYFUNCTION("GOOGLETRANSLATE(B95,""zh-tw"",""de"")"),"Bereuen")</f>
        <v>Bereuen</v>
      </c>
      <c r="AE95" s="141" t="s">
        <v>3997</v>
      </c>
      <c r="AF95" s="142" t="s">
        <v>3998</v>
      </c>
      <c r="AG95" s="98" t="s">
        <v>3986</v>
      </c>
      <c r="AH95" s="169" t="s">
        <v>3999</v>
      </c>
      <c r="AI95" s="170" t="s">
        <v>4000</v>
      </c>
      <c r="AJ95" s="179" t="s">
        <v>4001</v>
      </c>
      <c r="AK95" s="98" t="s">
        <v>3986</v>
      </c>
      <c r="AL95" s="138" t="s">
        <v>4002</v>
      </c>
      <c r="AM95" s="115" t="s">
        <v>4003</v>
      </c>
      <c r="AN95" s="66" t="s">
        <v>4004</v>
      </c>
      <c r="AO95" s="172"/>
    </row>
    <row r="96">
      <c r="A96" s="98" t="s">
        <v>4005</v>
      </c>
      <c r="B96" s="138" t="s">
        <v>4006</v>
      </c>
      <c r="C96" s="123" t="s">
        <v>4007</v>
      </c>
      <c r="D96" s="124" t="s">
        <v>4008</v>
      </c>
      <c r="E96" s="98" t="s">
        <v>4005</v>
      </c>
      <c r="F96" s="138" t="s">
        <v>4009</v>
      </c>
      <c r="G96" s="141" t="s">
        <v>4010</v>
      </c>
      <c r="H96" s="142" t="s">
        <v>4011</v>
      </c>
      <c r="I96" s="98" t="s">
        <v>4005</v>
      </c>
      <c r="J96" s="138" t="s">
        <v>4012</v>
      </c>
      <c r="K96" s="141" t="s">
        <v>4013</v>
      </c>
      <c r="L96" s="142" t="s">
        <v>4014</v>
      </c>
      <c r="M96" s="98" t="s">
        <v>4005</v>
      </c>
      <c r="N96" s="125" t="s">
        <v>4015</v>
      </c>
      <c r="O96" s="103" t="str">
        <f>IFERROR(__xludf.DUMMYFUNCTION("GOOGLETRANSLATE(C96,""zh-tw"",""zh"")"),"当罪恶值达到-，可以触发第二段忏悔")</f>
        <v>当罪恶值达到-，可以触发第二段忏悔</v>
      </c>
      <c r="P96" s="71" t="str">
        <f>IFERROR(__xludf.DUMMYFUNCTION("GOOGLETRANSLATE(D96,""zh-tw"",""zh"")"),"触发第二段剧情
*未实装")</f>
        <v>触发第二段剧情
*未实装</v>
      </c>
      <c r="Q96" s="98" t="s">
        <v>4005</v>
      </c>
      <c r="R96" s="125" t="str">
        <f>IFERROR(__xludf.DUMMYFUNCTION("GOOGLETRANSLATE(B96,""zh-tw"",""es-MX"")"),"Arrepentirse - 1")</f>
        <v>Arrepentirse - 1</v>
      </c>
      <c r="S96" s="123" t="str">
        <f>IFERROR(__xludf.DUMMYFUNCTION("GOOGLETRANSLATE(C96,""zh-tw"",""es-MX"")"),"Cuando el valor del pecado alcanza -, se puede activar la segunda etapa del arrepentimiento.")</f>
        <v>Cuando el valor del pecado alcanza -, se puede activar la segunda etapa del arrepentimiento.</v>
      </c>
      <c r="T96" s="124" t="str">
        <f>IFERROR(__xludf.DUMMYFUNCTION("GOOGLETRANSLATE(D96,""zh-tw"",""es-MX"")"),"Activar la segunda parte de la historia
*Aún no implementado")</f>
        <v>Activar la segunda parte de la historia
*Aún no implementado</v>
      </c>
      <c r="U96" s="98" t="s">
        <v>4005</v>
      </c>
      <c r="V96" s="125" t="str">
        <f>IFERROR(__xludf.DUMMYFUNCTION("GOOGLETRANSLATE(B96,""zh-tw"",""KO"")"),"회개하다 - 1")</f>
        <v>회개하다 - 1</v>
      </c>
      <c r="W96" s="123" t="str">
        <f>IFERROR(__xludf.DUMMYFUNCTION("GOOGLETRANSLATE(C96,""zh-tw"",""KO"")"),"죄의 값이 -에 도달하면 회개의 두 번째 단계가 시작될 수 있습니다.")</f>
        <v>죄의 값이 -에 도달하면 회개의 두 번째 단계가 시작될 수 있습니다.</v>
      </c>
      <c r="X96" s="124" t="str">
        <f>IFERROR(__xludf.DUMMYFUNCTION("GOOGLETRANSLATE(D96,""zh-tw"",""KO"")"),"스토리의 두 번째 부분을 시작합니다.
*아직 구현되지 않았습니다.")</f>
        <v>스토리의 두 번째 부분을 시작합니다.
*아직 구현되지 않았습니다.</v>
      </c>
      <c r="Y96" s="98" t="s">
        <v>4005</v>
      </c>
      <c r="Z96" s="126" t="str">
        <f>IFERROR(__xludf.DUMMYFUNCTION("IF(J96="""", """", GOOGLETRANSLATE(J96,""en"",""RU""))"),"Признание - 1")</f>
        <v>Признание - 1</v>
      </c>
      <c r="AA96" s="127" t="str">
        <f>IFERROR(__xludf.DUMMYFUNCTION("IF(K96="""", """", GOOGLETRANSLATE(K96,""en"",""RU""))"),"Когда величина вашего греха достигнет -, вы можете снова исповедоваться «монахине».")</f>
        <v>Когда величина вашего греха достигнет -, вы можете снова исповедоваться «монахине».</v>
      </c>
      <c r="AB96" s="128" t="str">
        <f>IFERROR(__xludf.DUMMYFUNCTION("IF(L96="""", """", GOOGLETRANSLATE(L96, ""en"", ""ru""))
"),"Запускает вторую часть сюжетной линии.
*Пока не реализовано.")</f>
        <v>Запускает вторую часть сюжетной линии.
*Пока не реализовано.</v>
      </c>
      <c r="AC96" s="98" t="s">
        <v>4005</v>
      </c>
      <c r="AD96" s="118" t="str">
        <f>IFERROR(__xludf.DUMMYFUNCTION("GOOGLETRANSLATE(B96,""zh-tw"",""de"")"),"Bereue - 1")</f>
        <v>Bereue - 1</v>
      </c>
      <c r="AE96" s="141" t="s">
        <v>4016</v>
      </c>
      <c r="AF96" s="142" t="s">
        <v>4017</v>
      </c>
      <c r="AG96" s="98" t="s">
        <v>4005</v>
      </c>
      <c r="AH96" s="169" t="s">
        <v>4018</v>
      </c>
      <c r="AI96" s="170" t="s">
        <v>4019</v>
      </c>
      <c r="AJ96" s="171" t="s">
        <v>4020</v>
      </c>
      <c r="AK96" s="98" t="s">
        <v>4005</v>
      </c>
      <c r="AL96" s="138" t="s">
        <v>4021</v>
      </c>
      <c r="AM96" s="123" t="s">
        <v>4022</v>
      </c>
      <c r="AN96" s="124" t="s">
        <v>4023</v>
      </c>
      <c r="AO96" s="172"/>
    </row>
    <row r="97">
      <c r="A97" s="121" t="s">
        <v>4024</v>
      </c>
      <c r="B97" s="118" t="s">
        <v>3696</v>
      </c>
      <c r="C97" s="109" t="s">
        <v>4025</v>
      </c>
      <c r="D97" s="69" t="s">
        <v>4026</v>
      </c>
      <c r="E97" s="121" t="s">
        <v>4024</v>
      </c>
      <c r="F97" s="138"/>
      <c r="G97" s="103"/>
      <c r="H97" s="71"/>
      <c r="I97" s="121" t="s">
        <v>4024</v>
      </c>
      <c r="J97" s="118" t="s">
        <v>4027</v>
      </c>
      <c r="K97" s="109" t="s">
        <v>4028</v>
      </c>
      <c r="L97" s="69" t="s">
        <v>4029</v>
      </c>
      <c r="M97" s="98" t="s">
        <v>4024</v>
      </c>
      <c r="N97" s="125" t="s">
        <v>4030</v>
      </c>
      <c r="O97" s="103" t="str">
        <f>IFERROR(__xludf.DUMMYFUNCTION("GOOGLETRANSLATE(C97,""zh-tw"",""zh"")"),"冒险者小道:林间-2，中间隐藏通道的采集点")</f>
        <v>冒险者小道:林间-2，中间隐藏通道的采集点</v>
      </c>
      <c r="P97" s="71" t="str">
        <f>IFERROR(__xludf.DUMMYFUNCTION("GOOGLETRANSLATE(D97,""zh-tw"",""zh"")"),"获得道具：塔罗牌-节制
(雨天刷新)")</f>
        <v>获得道具：塔罗牌-节制
(雨天刷新)</v>
      </c>
      <c r="Q97" s="121" t="s">
        <v>4024</v>
      </c>
      <c r="R97" s="125"/>
      <c r="S97" s="103"/>
      <c r="T97" s="71"/>
      <c r="U97" s="98" t="s">
        <v>4024</v>
      </c>
      <c r="V97" s="125" t="str">
        <f>IFERROR(__xludf.DUMMYFUNCTION("GOOGLETRANSLATE(B97,""zh-tw"",""KO"")"),"숨겨진 아이템")</f>
        <v>숨겨진 아이템</v>
      </c>
      <c r="W97" s="123" t="str">
        <f>IFERROR(__xludf.DUMMYFUNCTION("GOOGLETRANSLATE(C97,""zh-tw"",""KO"")"),"모험가의 길: 숲-2, 중앙의 숨겨진 통로에 있는 모임 장소")</f>
        <v>모험가의 길: 숲-2, 중앙의 숨겨진 통로에 있는 모임 장소</v>
      </c>
      <c r="X97" s="124" t="str">
        <f>IFERROR(__xludf.DUMMYFUNCTION("GOOGLETRANSLATE(D97,""zh-tw"",""KO"")"),"획득 아이템: 타로 카드 - 절제
(비오는 날 새로 고침)")</f>
        <v>획득 아이템: 타로 카드 - 절제
(비오는 날 새로 고침)</v>
      </c>
      <c r="Y97" s="121" t="s">
        <v>4024</v>
      </c>
      <c r="Z97" s="180"/>
      <c r="AA97" s="181"/>
      <c r="AB97" s="182"/>
      <c r="AC97" s="121" t="s">
        <v>4024</v>
      </c>
      <c r="AD97" s="125"/>
      <c r="AE97" s="162"/>
      <c r="AF97" s="183"/>
      <c r="AG97" s="121" t="s">
        <v>4024</v>
      </c>
      <c r="AH97" s="184" t="s">
        <v>4031</v>
      </c>
      <c r="AI97" s="185" t="s">
        <v>4032</v>
      </c>
      <c r="AJ97" s="186" t="s">
        <v>4033</v>
      </c>
      <c r="AK97" s="187" t="s">
        <v>4024</v>
      </c>
      <c r="AL97" s="188" t="s">
        <v>4034</v>
      </c>
      <c r="AM97" s="166" t="s">
        <v>4035</v>
      </c>
      <c r="AN97" s="136" t="s">
        <v>4036</v>
      </c>
      <c r="AO97" s="71"/>
    </row>
    <row r="98">
      <c r="A98" s="137"/>
      <c r="B98" s="138"/>
      <c r="C98" s="103"/>
      <c r="D98" s="71"/>
      <c r="E98" s="137"/>
      <c r="F98" s="138"/>
      <c r="G98" s="103"/>
      <c r="H98" s="71"/>
      <c r="I98" s="137"/>
      <c r="J98" s="138"/>
      <c r="K98" s="103"/>
      <c r="L98" s="71"/>
      <c r="M98" s="137"/>
      <c r="N98" s="125"/>
      <c r="O98" s="103"/>
      <c r="P98" s="71"/>
      <c r="Q98" s="189"/>
      <c r="R98" s="125"/>
      <c r="S98" s="103"/>
      <c r="T98" s="71"/>
      <c r="U98" s="189"/>
      <c r="V98" s="125"/>
      <c r="W98" s="103"/>
      <c r="X98" s="71"/>
      <c r="Y98" s="137"/>
      <c r="Z98" s="180"/>
      <c r="AA98" s="181"/>
      <c r="AB98" s="182"/>
      <c r="AC98" s="137"/>
      <c r="AD98" s="125"/>
      <c r="AE98" s="162"/>
      <c r="AF98" s="183"/>
      <c r="AG98" s="190"/>
      <c r="AH98" s="191"/>
      <c r="AI98" s="192"/>
      <c r="AJ98" s="71"/>
      <c r="AK98" s="190"/>
      <c r="AL98" s="193"/>
      <c r="AM98" s="194"/>
      <c r="AN98" s="71"/>
      <c r="AO98" s="71"/>
    </row>
    <row r="99">
      <c r="A99" s="137"/>
      <c r="B99" s="138"/>
      <c r="C99" s="103"/>
      <c r="D99" s="71"/>
      <c r="E99" s="137"/>
      <c r="F99" s="138"/>
      <c r="G99" s="103"/>
      <c r="H99" s="71"/>
      <c r="I99" s="137"/>
      <c r="J99" s="138"/>
      <c r="K99" s="103"/>
      <c r="L99" s="71"/>
      <c r="M99" s="137"/>
      <c r="N99" s="125"/>
      <c r="O99" s="103"/>
      <c r="P99" s="71"/>
      <c r="Q99" s="189"/>
      <c r="R99" s="125"/>
      <c r="S99" s="103"/>
      <c r="T99" s="71"/>
      <c r="U99" s="189"/>
      <c r="V99" s="125"/>
      <c r="W99" s="103"/>
      <c r="X99" s="71"/>
      <c r="Y99" s="137"/>
      <c r="Z99" s="180"/>
      <c r="AA99" s="181"/>
      <c r="AB99" s="182"/>
      <c r="AC99" s="137"/>
      <c r="AD99" s="125"/>
      <c r="AE99" s="162"/>
      <c r="AF99" s="183"/>
      <c r="AG99" s="190"/>
      <c r="AH99" s="193"/>
      <c r="AI99" s="194"/>
      <c r="AJ99" s="71"/>
      <c r="AK99" s="190"/>
      <c r="AL99" s="193"/>
      <c r="AM99" s="194"/>
      <c r="AN99" s="71"/>
      <c r="AO99" s="71"/>
    </row>
    <row r="100">
      <c r="A100" s="137"/>
      <c r="B100" s="138"/>
      <c r="C100" s="103"/>
      <c r="D100" s="71"/>
      <c r="E100" s="137"/>
      <c r="F100" s="138"/>
      <c r="G100" s="103"/>
      <c r="H100" s="71"/>
      <c r="I100" s="137"/>
      <c r="J100" s="138"/>
      <c r="K100" s="103"/>
      <c r="L100" s="71"/>
      <c r="M100" s="137"/>
      <c r="N100" s="125"/>
      <c r="O100" s="103"/>
      <c r="P100" s="71"/>
      <c r="Q100" s="189"/>
      <c r="R100" s="125"/>
      <c r="S100" s="103"/>
      <c r="T100" s="71"/>
      <c r="U100" s="189"/>
      <c r="V100" s="125"/>
      <c r="W100" s="103"/>
      <c r="X100" s="71"/>
      <c r="Y100" s="137"/>
      <c r="Z100" s="180"/>
      <c r="AA100" s="181"/>
      <c r="AB100" s="182"/>
      <c r="AC100" s="137"/>
      <c r="AD100" s="125"/>
      <c r="AE100" s="162"/>
      <c r="AF100" s="183"/>
      <c r="AG100" s="190"/>
      <c r="AH100" s="193"/>
      <c r="AI100" s="194"/>
      <c r="AJ100" s="71"/>
      <c r="AK100" s="190"/>
      <c r="AL100" s="193"/>
      <c r="AM100" s="194"/>
      <c r="AN100" s="71"/>
      <c r="AO100" s="71"/>
    </row>
    <row r="101">
      <c r="A101" s="137"/>
      <c r="B101" s="138"/>
      <c r="C101" s="103"/>
      <c r="D101" s="71"/>
      <c r="E101" s="137"/>
      <c r="F101" s="138"/>
      <c r="G101" s="103"/>
      <c r="H101" s="71"/>
      <c r="I101" s="137"/>
      <c r="J101" s="138"/>
      <c r="K101" s="103"/>
      <c r="L101" s="71"/>
      <c r="M101" s="137"/>
      <c r="N101" s="125"/>
      <c r="O101" s="103"/>
      <c r="P101" s="71"/>
      <c r="Q101" s="189"/>
      <c r="R101" s="125"/>
      <c r="S101" s="103"/>
      <c r="T101" s="71"/>
      <c r="U101" s="189"/>
      <c r="V101" s="125"/>
      <c r="W101" s="103"/>
      <c r="X101" s="71"/>
      <c r="Y101" s="137"/>
      <c r="Z101" s="180"/>
      <c r="AA101" s="181"/>
      <c r="AB101" s="182"/>
      <c r="AC101" s="137"/>
      <c r="AD101" s="125"/>
      <c r="AE101" s="162"/>
      <c r="AF101" s="183"/>
      <c r="AG101" s="190"/>
      <c r="AH101" s="193"/>
      <c r="AI101" s="194"/>
      <c r="AJ101" s="71"/>
      <c r="AK101" s="190"/>
      <c r="AL101" s="193"/>
      <c r="AM101" s="194"/>
      <c r="AN101" s="71"/>
      <c r="AO101" s="71"/>
    </row>
    <row r="102">
      <c r="A102" s="137"/>
      <c r="B102" s="138"/>
      <c r="C102" s="103"/>
      <c r="D102" s="71"/>
      <c r="E102" s="137"/>
      <c r="F102" s="138"/>
      <c r="G102" s="103"/>
      <c r="H102" s="71"/>
      <c r="I102" s="137"/>
      <c r="J102" s="138"/>
      <c r="K102" s="103"/>
      <c r="L102" s="71"/>
      <c r="M102" s="137"/>
      <c r="N102" s="125"/>
      <c r="O102" s="103"/>
      <c r="P102" s="71"/>
      <c r="Q102" s="189"/>
      <c r="R102" s="125"/>
      <c r="S102" s="103"/>
      <c r="T102" s="71"/>
      <c r="U102" s="189"/>
      <c r="V102" s="125"/>
      <c r="W102" s="103"/>
      <c r="X102" s="71"/>
      <c r="Y102" s="137"/>
      <c r="Z102" s="180"/>
      <c r="AA102" s="181"/>
      <c r="AB102" s="182"/>
      <c r="AC102" s="137"/>
      <c r="AD102" s="125"/>
      <c r="AE102" s="162"/>
      <c r="AF102" s="183"/>
      <c r="AG102" s="190"/>
      <c r="AH102" s="193"/>
      <c r="AI102" s="194"/>
      <c r="AJ102" s="71"/>
      <c r="AK102" s="190"/>
      <c r="AL102" s="193"/>
      <c r="AM102" s="194"/>
      <c r="AN102" s="71"/>
      <c r="AO102" s="71"/>
    </row>
    <row r="103">
      <c r="A103" s="137"/>
      <c r="B103" s="138"/>
      <c r="C103" s="103"/>
      <c r="D103" s="71"/>
      <c r="E103" s="137"/>
      <c r="F103" s="138"/>
      <c r="G103" s="103"/>
      <c r="H103" s="71"/>
      <c r="I103" s="137"/>
      <c r="J103" s="138"/>
      <c r="K103" s="103"/>
      <c r="L103" s="71"/>
      <c r="M103" s="137"/>
      <c r="N103" s="125"/>
      <c r="O103" s="103"/>
      <c r="P103" s="71"/>
      <c r="Q103" s="189"/>
      <c r="R103" s="125"/>
      <c r="S103" s="103"/>
      <c r="T103" s="71"/>
      <c r="U103" s="189"/>
      <c r="V103" s="125"/>
      <c r="W103" s="103"/>
      <c r="X103" s="71"/>
      <c r="Y103" s="137"/>
      <c r="Z103" s="180"/>
      <c r="AA103" s="181"/>
      <c r="AB103" s="182"/>
      <c r="AC103" s="137"/>
      <c r="AD103" s="125"/>
      <c r="AE103" s="162"/>
      <c r="AF103" s="183"/>
      <c r="AG103" s="190"/>
      <c r="AH103" s="193"/>
      <c r="AI103" s="194"/>
      <c r="AJ103" s="71"/>
      <c r="AK103" s="190"/>
      <c r="AL103" s="193"/>
      <c r="AM103" s="194"/>
      <c r="AN103" s="71"/>
      <c r="AO103" s="71"/>
    </row>
    <row r="104">
      <c r="A104" s="137"/>
      <c r="B104" s="138"/>
      <c r="C104" s="103"/>
      <c r="D104" s="71"/>
      <c r="E104" s="137"/>
      <c r="F104" s="138"/>
      <c r="G104" s="103"/>
      <c r="H104" s="71"/>
      <c r="I104" s="137"/>
      <c r="J104" s="138"/>
      <c r="K104" s="103"/>
      <c r="L104" s="71"/>
      <c r="M104" s="137"/>
      <c r="N104" s="125"/>
      <c r="O104" s="103"/>
      <c r="P104" s="71"/>
      <c r="Q104" s="189"/>
      <c r="R104" s="125"/>
      <c r="S104" s="103"/>
      <c r="T104" s="71"/>
      <c r="U104" s="189"/>
      <c r="V104" s="125"/>
      <c r="W104" s="103"/>
      <c r="X104" s="71"/>
      <c r="Y104" s="137"/>
      <c r="Z104" s="180"/>
      <c r="AA104" s="181"/>
      <c r="AB104" s="182"/>
      <c r="AC104" s="137"/>
      <c r="AD104" s="125"/>
      <c r="AE104" s="162"/>
      <c r="AF104" s="183"/>
      <c r="AG104" s="190"/>
      <c r="AH104" s="193"/>
      <c r="AI104" s="194"/>
      <c r="AJ104" s="71"/>
      <c r="AK104" s="190"/>
      <c r="AL104" s="193"/>
      <c r="AM104" s="194"/>
      <c r="AN104" s="71"/>
      <c r="AO104" s="71"/>
    </row>
    <row r="105">
      <c r="A105" s="137"/>
      <c r="B105" s="138"/>
      <c r="C105" s="103"/>
      <c r="D105" s="71"/>
      <c r="E105" s="137"/>
      <c r="F105" s="138"/>
      <c r="G105" s="103"/>
      <c r="H105" s="71"/>
      <c r="I105" s="137"/>
      <c r="J105" s="138"/>
      <c r="K105" s="103"/>
      <c r="L105" s="71"/>
      <c r="M105" s="137"/>
      <c r="N105" s="125"/>
      <c r="O105" s="103"/>
      <c r="P105" s="71"/>
      <c r="Q105" s="189"/>
      <c r="R105" s="125"/>
      <c r="S105" s="103"/>
      <c r="T105" s="71"/>
      <c r="U105" s="189"/>
      <c r="V105" s="125"/>
      <c r="W105" s="103"/>
      <c r="X105" s="71"/>
      <c r="Y105" s="137"/>
      <c r="Z105" s="180"/>
      <c r="AA105" s="181"/>
      <c r="AB105" s="182"/>
      <c r="AC105" s="137"/>
      <c r="AD105" s="125"/>
      <c r="AE105" s="162"/>
      <c r="AF105" s="183"/>
      <c r="AG105" s="190"/>
      <c r="AH105" s="193"/>
      <c r="AI105" s="194"/>
      <c r="AJ105" s="71"/>
      <c r="AK105" s="190"/>
      <c r="AL105" s="193"/>
      <c r="AM105" s="194"/>
      <c r="AN105" s="71"/>
      <c r="AO105" s="71"/>
    </row>
    <row r="106">
      <c r="A106" s="137"/>
      <c r="B106" s="138"/>
      <c r="C106" s="103"/>
      <c r="D106" s="71"/>
      <c r="E106" s="137"/>
      <c r="F106" s="138"/>
      <c r="G106" s="103"/>
      <c r="H106" s="71"/>
      <c r="I106" s="137"/>
      <c r="J106" s="138"/>
      <c r="K106" s="103"/>
      <c r="L106" s="71"/>
      <c r="M106" s="137"/>
      <c r="N106" s="125"/>
      <c r="O106" s="103"/>
      <c r="P106" s="71"/>
      <c r="Q106" s="189"/>
      <c r="R106" s="125"/>
      <c r="S106" s="103"/>
      <c r="T106" s="71"/>
      <c r="U106" s="189"/>
      <c r="V106" s="125"/>
      <c r="W106" s="103"/>
      <c r="X106" s="71"/>
      <c r="Y106" s="137"/>
      <c r="Z106" s="180"/>
      <c r="AA106" s="181"/>
      <c r="AB106" s="182"/>
      <c r="AC106" s="137"/>
      <c r="AD106" s="125"/>
      <c r="AE106" s="162"/>
      <c r="AF106" s="183"/>
      <c r="AG106" s="190"/>
      <c r="AH106" s="193"/>
      <c r="AI106" s="194"/>
      <c r="AJ106" s="71"/>
      <c r="AK106" s="190"/>
      <c r="AL106" s="193"/>
      <c r="AM106" s="194"/>
      <c r="AN106" s="71"/>
      <c r="AO106" s="71"/>
    </row>
    <row r="107">
      <c r="A107" s="137"/>
      <c r="B107" s="138"/>
      <c r="C107" s="103"/>
      <c r="D107" s="71"/>
      <c r="E107" s="137"/>
      <c r="F107" s="138"/>
      <c r="G107" s="103"/>
      <c r="H107" s="71"/>
      <c r="I107" s="137"/>
      <c r="J107" s="138"/>
      <c r="K107" s="103"/>
      <c r="L107" s="71"/>
      <c r="M107" s="137"/>
      <c r="N107" s="125"/>
      <c r="O107" s="103"/>
      <c r="P107" s="71"/>
      <c r="Q107" s="189"/>
      <c r="R107" s="125"/>
      <c r="S107" s="103"/>
      <c r="T107" s="71"/>
      <c r="U107" s="189"/>
      <c r="V107" s="125"/>
      <c r="W107" s="103"/>
      <c r="X107" s="71"/>
      <c r="Y107" s="137"/>
      <c r="Z107" s="180"/>
      <c r="AA107" s="181"/>
      <c r="AB107" s="182"/>
      <c r="AC107" s="137"/>
      <c r="AD107" s="125"/>
      <c r="AE107" s="162"/>
      <c r="AF107" s="183"/>
      <c r="AG107" s="190"/>
      <c r="AH107" s="193"/>
      <c r="AI107" s="194"/>
      <c r="AJ107" s="71"/>
      <c r="AK107" s="190"/>
      <c r="AL107" s="193"/>
      <c r="AM107" s="194"/>
      <c r="AN107" s="71"/>
      <c r="AO107" s="71"/>
    </row>
    <row r="108">
      <c r="A108" s="137"/>
      <c r="B108" s="138"/>
      <c r="C108" s="103"/>
      <c r="D108" s="71"/>
      <c r="E108" s="137"/>
      <c r="F108" s="138"/>
      <c r="G108" s="103"/>
      <c r="H108" s="71"/>
      <c r="I108" s="137"/>
      <c r="J108" s="138"/>
      <c r="K108" s="103"/>
      <c r="L108" s="71"/>
      <c r="M108" s="137"/>
      <c r="N108" s="125"/>
      <c r="O108" s="103"/>
      <c r="P108" s="71"/>
      <c r="Q108" s="189"/>
      <c r="R108" s="125"/>
      <c r="S108" s="103"/>
      <c r="T108" s="71"/>
      <c r="U108" s="189"/>
      <c r="V108" s="125"/>
      <c r="W108" s="103"/>
      <c r="X108" s="71"/>
      <c r="Y108" s="137"/>
      <c r="Z108" s="180"/>
      <c r="AA108" s="181"/>
      <c r="AB108" s="182"/>
      <c r="AC108" s="137"/>
      <c r="AD108" s="125"/>
      <c r="AE108" s="162"/>
      <c r="AF108" s="183"/>
      <c r="AG108" s="190"/>
      <c r="AH108" s="193"/>
      <c r="AI108" s="194"/>
      <c r="AJ108" s="71"/>
      <c r="AK108" s="190"/>
      <c r="AL108" s="193"/>
      <c r="AM108" s="194"/>
      <c r="AN108" s="71"/>
      <c r="AO108" s="71"/>
    </row>
    <row r="109">
      <c r="A109" s="137"/>
      <c r="B109" s="138"/>
      <c r="C109" s="103"/>
      <c r="D109" s="71"/>
      <c r="E109" s="137"/>
      <c r="F109" s="138"/>
      <c r="G109" s="103"/>
      <c r="H109" s="71"/>
      <c r="I109" s="137"/>
      <c r="J109" s="138"/>
      <c r="K109" s="103"/>
      <c r="L109" s="71"/>
      <c r="M109" s="137"/>
      <c r="N109" s="125"/>
      <c r="O109" s="103"/>
      <c r="P109" s="71"/>
      <c r="Q109" s="189"/>
      <c r="R109" s="125"/>
      <c r="S109" s="103"/>
      <c r="T109" s="71"/>
      <c r="U109" s="189"/>
      <c r="V109" s="125"/>
      <c r="W109" s="103"/>
      <c r="X109" s="71"/>
      <c r="Y109" s="137"/>
      <c r="Z109" s="180"/>
      <c r="AA109" s="181"/>
      <c r="AB109" s="182"/>
      <c r="AC109" s="137"/>
      <c r="AD109" s="125"/>
      <c r="AE109" s="162"/>
      <c r="AF109" s="183"/>
      <c r="AG109" s="190"/>
      <c r="AH109" s="193"/>
      <c r="AI109" s="194"/>
      <c r="AJ109" s="71"/>
      <c r="AK109" s="190"/>
      <c r="AL109" s="193"/>
      <c r="AM109" s="194"/>
      <c r="AN109" s="71"/>
      <c r="AO109" s="71"/>
    </row>
    <row r="110">
      <c r="A110" s="137"/>
      <c r="B110" s="138"/>
      <c r="C110" s="103"/>
      <c r="D110" s="71"/>
      <c r="E110" s="137"/>
      <c r="F110" s="138"/>
      <c r="G110" s="103"/>
      <c r="H110" s="71"/>
      <c r="I110" s="137"/>
      <c r="J110" s="138"/>
      <c r="K110" s="103"/>
      <c r="L110" s="71"/>
      <c r="M110" s="137"/>
      <c r="N110" s="125"/>
      <c r="O110" s="103"/>
      <c r="P110" s="71"/>
      <c r="Q110" s="189"/>
      <c r="R110" s="125"/>
      <c r="S110" s="103"/>
      <c r="T110" s="71"/>
      <c r="U110" s="189"/>
      <c r="V110" s="125"/>
      <c r="W110" s="103"/>
      <c r="X110" s="71"/>
      <c r="Y110" s="137"/>
      <c r="Z110" s="180"/>
      <c r="AA110" s="181"/>
      <c r="AB110" s="182"/>
      <c r="AC110" s="137"/>
      <c r="AD110" s="125"/>
      <c r="AE110" s="162"/>
      <c r="AF110" s="183"/>
      <c r="AG110" s="190"/>
      <c r="AH110" s="193"/>
      <c r="AI110" s="194"/>
      <c r="AJ110" s="71"/>
      <c r="AK110" s="190"/>
      <c r="AL110" s="193"/>
      <c r="AM110" s="194"/>
      <c r="AN110" s="71"/>
      <c r="AO110" s="71"/>
    </row>
    <row r="111">
      <c r="A111" s="137"/>
      <c r="B111" s="138"/>
      <c r="C111" s="103"/>
      <c r="D111" s="71"/>
      <c r="E111" s="137"/>
      <c r="F111" s="138"/>
      <c r="G111" s="103"/>
      <c r="H111" s="71"/>
      <c r="I111" s="137"/>
      <c r="J111" s="138"/>
      <c r="K111" s="103"/>
      <c r="L111" s="71"/>
      <c r="M111" s="137"/>
      <c r="N111" s="125"/>
      <c r="O111" s="103"/>
      <c r="P111" s="71"/>
      <c r="Q111" s="189"/>
      <c r="R111" s="125"/>
      <c r="S111" s="103"/>
      <c r="T111" s="71"/>
      <c r="U111" s="189"/>
      <c r="V111" s="125"/>
      <c r="W111" s="103"/>
      <c r="X111" s="71"/>
      <c r="Y111" s="137"/>
      <c r="Z111" s="180"/>
      <c r="AA111" s="181"/>
      <c r="AB111" s="182"/>
      <c r="AC111" s="137"/>
      <c r="AD111" s="125"/>
      <c r="AE111" s="162"/>
      <c r="AF111" s="183"/>
      <c r="AG111" s="190"/>
      <c r="AH111" s="193"/>
      <c r="AI111" s="194"/>
      <c r="AJ111" s="71"/>
      <c r="AK111" s="190"/>
      <c r="AL111" s="193"/>
      <c r="AM111" s="194"/>
      <c r="AN111" s="71"/>
      <c r="AO111" s="71"/>
    </row>
    <row r="112">
      <c r="A112" s="137"/>
      <c r="B112" s="138"/>
      <c r="C112" s="103"/>
      <c r="D112" s="71"/>
      <c r="E112" s="137"/>
      <c r="F112" s="138"/>
      <c r="G112" s="103"/>
      <c r="H112" s="71"/>
      <c r="I112" s="137"/>
      <c r="J112" s="138"/>
      <c r="K112" s="103"/>
      <c r="L112" s="71"/>
      <c r="M112" s="137"/>
      <c r="N112" s="125"/>
      <c r="O112" s="103"/>
      <c r="P112" s="71"/>
      <c r="Q112" s="189"/>
      <c r="R112" s="125"/>
      <c r="S112" s="103"/>
      <c r="T112" s="71"/>
      <c r="U112" s="189"/>
      <c r="V112" s="125"/>
      <c r="W112" s="103"/>
      <c r="X112" s="71"/>
      <c r="Y112" s="137"/>
      <c r="Z112" s="180"/>
      <c r="AA112" s="181"/>
      <c r="AB112" s="182"/>
      <c r="AC112" s="137"/>
      <c r="AD112" s="125"/>
      <c r="AE112" s="162"/>
      <c r="AF112" s="183"/>
      <c r="AG112" s="190"/>
      <c r="AH112" s="193"/>
      <c r="AI112" s="194"/>
      <c r="AJ112" s="71"/>
      <c r="AK112" s="190"/>
      <c r="AL112" s="193"/>
      <c r="AM112" s="194"/>
      <c r="AN112" s="71"/>
      <c r="AO112" s="71"/>
    </row>
    <row r="113">
      <c r="A113" s="137"/>
      <c r="B113" s="138"/>
      <c r="C113" s="103"/>
      <c r="D113" s="71"/>
      <c r="E113" s="137"/>
      <c r="F113" s="138"/>
      <c r="G113" s="103"/>
      <c r="H113" s="71"/>
      <c r="I113" s="137"/>
      <c r="J113" s="138"/>
      <c r="K113" s="103"/>
      <c r="L113" s="71"/>
      <c r="M113" s="137"/>
      <c r="N113" s="125"/>
      <c r="O113" s="103"/>
      <c r="P113" s="71"/>
      <c r="Q113" s="189"/>
      <c r="R113" s="125"/>
      <c r="S113" s="103"/>
      <c r="T113" s="71"/>
      <c r="U113" s="189"/>
      <c r="V113" s="125"/>
      <c r="W113" s="103"/>
      <c r="X113" s="71"/>
      <c r="Y113" s="137"/>
      <c r="Z113" s="180"/>
      <c r="AA113" s="181"/>
      <c r="AB113" s="182"/>
      <c r="AC113" s="137"/>
      <c r="AD113" s="125"/>
      <c r="AE113" s="162"/>
      <c r="AF113" s="183"/>
      <c r="AG113" s="190"/>
      <c r="AH113" s="193"/>
      <c r="AI113" s="194"/>
      <c r="AJ113" s="71"/>
      <c r="AK113" s="190"/>
      <c r="AL113" s="193"/>
      <c r="AM113" s="194"/>
      <c r="AN113" s="71"/>
      <c r="AO113" s="71"/>
    </row>
    <row r="114">
      <c r="A114" s="137"/>
      <c r="B114" s="138"/>
      <c r="C114" s="103"/>
      <c r="D114" s="71"/>
      <c r="E114" s="137"/>
      <c r="F114" s="138"/>
      <c r="G114" s="103"/>
      <c r="H114" s="71"/>
      <c r="I114" s="137"/>
      <c r="J114" s="138"/>
      <c r="K114" s="103"/>
      <c r="L114" s="71"/>
      <c r="M114" s="137"/>
      <c r="N114" s="125"/>
      <c r="O114" s="103"/>
      <c r="P114" s="71"/>
      <c r="Q114" s="189"/>
      <c r="R114" s="125"/>
      <c r="S114" s="103"/>
      <c r="T114" s="71"/>
      <c r="U114" s="189"/>
      <c r="V114" s="125"/>
      <c r="W114" s="103"/>
      <c r="X114" s="71"/>
      <c r="Y114" s="137"/>
      <c r="Z114" s="180"/>
      <c r="AA114" s="181"/>
      <c r="AB114" s="182"/>
      <c r="AC114" s="137"/>
      <c r="AD114" s="125"/>
      <c r="AE114" s="162"/>
      <c r="AF114" s="183"/>
      <c r="AG114" s="190"/>
      <c r="AH114" s="193"/>
      <c r="AI114" s="194"/>
      <c r="AJ114" s="71"/>
      <c r="AK114" s="190"/>
      <c r="AL114" s="193"/>
      <c r="AM114" s="194"/>
      <c r="AN114" s="71"/>
      <c r="AO114" s="71"/>
    </row>
    <row r="115">
      <c r="A115" s="137"/>
      <c r="B115" s="138"/>
      <c r="C115" s="103"/>
      <c r="D115" s="71"/>
      <c r="E115" s="137"/>
      <c r="F115" s="138"/>
      <c r="G115" s="103"/>
      <c r="H115" s="71"/>
      <c r="I115" s="137"/>
      <c r="J115" s="138"/>
      <c r="K115" s="103"/>
      <c r="L115" s="71"/>
      <c r="M115" s="137"/>
      <c r="N115" s="125"/>
      <c r="O115" s="103"/>
      <c r="P115" s="71"/>
      <c r="Q115" s="189"/>
      <c r="R115" s="125"/>
      <c r="S115" s="103"/>
      <c r="T115" s="71"/>
      <c r="U115" s="189"/>
      <c r="V115" s="125"/>
      <c r="W115" s="103"/>
      <c r="X115" s="71"/>
      <c r="Y115" s="137"/>
      <c r="Z115" s="180"/>
      <c r="AA115" s="181"/>
      <c r="AB115" s="182"/>
      <c r="AC115" s="137"/>
      <c r="AD115" s="125"/>
      <c r="AE115" s="162"/>
      <c r="AF115" s="183"/>
      <c r="AG115" s="190"/>
      <c r="AH115" s="193"/>
      <c r="AI115" s="194"/>
      <c r="AJ115" s="71"/>
      <c r="AK115" s="190"/>
      <c r="AL115" s="193"/>
      <c r="AM115" s="194"/>
      <c r="AN115" s="71"/>
      <c r="AO115" s="71"/>
    </row>
    <row r="116">
      <c r="A116" s="137"/>
      <c r="B116" s="138"/>
      <c r="C116" s="103"/>
      <c r="D116" s="71"/>
      <c r="E116" s="137"/>
      <c r="F116" s="138"/>
      <c r="G116" s="103"/>
      <c r="H116" s="71"/>
      <c r="I116" s="137"/>
      <c r="J116" s="138"/>
      <c r="K116" s="103"/>
      <c r="L116" s="71"/>
      <c r="M116" s="137"/>
      <c r="N116" s="125"/>
      <c r="O116" s="103"/>
      <c r="P116" s="71"/>
      <c r="Q116" s="189"/>
      <c r="R116" s="125"/>
      <c r="S116" s="103"/>
      <c r="T116" s="71"/>
      <c r="U116" s="189"/>
      <c r="V116" s="125"/>
      <c r="W116" s="103"/>
      <c r="X116" s="71"/>
      <c r="Y116" s="137"/>
      <c r="Z116" s="180"/>
      <c r="AA116" s="181"/>
      <c r="AB116" s="182"/>
      <c r="AC116" s="137"/>
      <c r="AD116" s="125"/>
      <c r="AE116" s="162"/>
      <c r="AF116" s="183"/>
      <c r="AG116" s="190"/>
      <c r="AH116" s="193"/>
      <c r="AI116" s="194"/>
      <c r="AJ116" s="71"/>
      <c r="AK116" s="190"/>
      <c r="AL116" s="193"/>
      <c r="AM116" s="194"/>
      <c r="AN116" s="71"/>
      <c r="AO116" s="71"/>
    </row>
    <row r="117">
      <c r="A117" s="137"/>
      <c r="B117" s="138"/>
      <c r="C117" s="103"/>
      <c r="D117" s="71"/>
      <c r="E117" s="137"/>
      <c r="F117" s="138"/>
      <c r="G117" s="103"/>
      <c r="H117" s="71"/>
      <c r="I117" s="137"/>
      <c r="J117" s="138"/>
      <c r="K117" s="103"/>
      <c r="L117" s="71"/>
      <c r="M117" s="137"/>
      <c r="N117" s="125"/>
      <c r="O117" s="103"/>
      <c r="P117" s="71"/>
      <c r="Q117" s="189"/>
      <c r="R117" s="125"/>
      <c r="S117" s="103"/>
      <c r="T117" s="71"/>
      <c r="U117" s="189"/>
      <c r="V117" s="125"/>
      <c r="W117" s="103"/>
      <c r="X117" s="71"/>
      <c r="Y117" s="137"/>
      <c r="Z117" s="180"/>
      <c r="AA117" s="181"/>
      <c r="AB117" s="182"/>
      <c r="AC117" s="137"/>
      <c r="AD117" s="125"/>
      <c r="AE117" s="162"/>
      <c r="AF117" s="183"/>
      <c r="AG117" s="190"/>
      <c r="AH117" s="193"/>
      <c r="AI117" s="194"/>
      <c r="AJ117" s="71"/>
      <c r="AK117" s="190"/>
      <c r="AL117" s="193"/>
      <c r="AM117" s="194"/>
      <c r="AN117" s="71"/>
      <c r="AO117" s="71"/>
    </row>
    <row r="118">
      <c r="A118" s="137"/>
      <c r="B118" s="138"/>
      <c r="C118" s="103"/>
      <c r="D118" s="71"/>
      <c r="E118" s="137"/>
      <c r="F118" s="138"/>
      <c r="G118" s="103"/>
      <c r="H118" s="71"/>
      <c r="I118" s="137"/>
      <c r="J118" s="138"/>
      <c r="K118" s="103"/>
      <c r="L118" s="71"/>
      <c r="M118" s="137"/>
      <c r="N118" s="125"/>
      <c r="O118" s="103"/>
      <c r="P118" s="71"/>
      <c r="Q118" s="189"/>
      <c r="R118" s="125"/>
      <c r="S118" s="103"/>
      <c r="T118" s="71"/>
      <c r="U118" s="189"/>
      <c r="V118" s="125"/>
      <c r="W118" s="103"/>
      <c r="X118" s="71"/>
      <c r="Y118" s="137"/>
      <c r="Z118" s="180"/>
      <c r="AA118" s="181"/>
      <c r="AB118" s="182"/>
      <c r="AC118" s="137"/>
      <c r="AD118" s="125"/>
      <c r="AE118" s="162"/>
      <c r="AF118" s="183"/>
      <c r="AG118" s="190"/>
      <c r="AH118" s="193"/>
      <c r="AI118" s="194"/>
      <c r="AJ118" s="71"/>
      <c r="AK118" s="190"/>
      <c r="AL118" s="193"/>
      <c r="AM118" s="194"/>
      <c r="AN118" s="71"/>
      <c r="AO118" s="71"/>
    </row>
    <row r="119">
      <c r="A119" s="137"/>
      <c r="B119" s="138"/>
      <c r="C119" s="103"/>
      <c r="D119" s="71"/>
      <c r="E119" s="137"/>
      <c r="F119" s="138"/>
      <c r="G119" s="103"/>
      <c r="H119" s="71"/>
      <c r="I119" s="137"/>
      <c r="J119" s="138"/>
      <c r="K119" s="103"/>
      <c r="L119" s="71"/>
      <c r="M119" s="137"/>
      <c r="N119" s="125"/>
      <c r="O119" s="103"/>
      <c r="P119" s="71"/>
      <c r="Q119" s="189"/>
      <c r="R119" s="125"/>
      <c r="S119" s="103"/>
      <c r="T119" s="71"/>
      <c r="U119" s="189"/>
      <c r="V119" s="125"/>
      <c r="W119" s="103"/>
      <c r="X119" s="71"/>
      <c r="Y119" s="137"/>
      <c r="Z119" s="180"/>
      <c r="AA119" s="181"/>
      <c r="AB119" s="182"/>
      <c r="AC119" s="137"/>
      <c r="AD119" s="125"/>
      <c r="AE119" s="162"/>
      <c r="AF119" s="183"/>
      <c r="AG119" s="190"/>
      <c r="AH119" s="193"/>
      <c r="AI119" s="194"/>
      <c r="AJ119" s="71"/>
      <c r="AK119" s="190"/>
      <c r="AL119" s="193"/>
      <c r="AM119" s="194"/>
      <c r="AN119" s="71"/>
      <c r="AO119" s="71"/>
    </row>
    <row r="120">
      <c r="A120" s="137"/>
      <c r="B120" s="138"/>
      <c r="C120" s="103"/>
      <c r="D120" s="71"/>
      <c r="E120" s="137"/>
      <c r="F120" s="138"/>
      <c r="G120" s="103"/>
      <c r="H120" s="71"/>
      <c r="I120" s="137"/>
      <c r="J120" s="138"/>
      <c r="K120" s="103"/>
      <c r="L120" s="71"/>
      <c r="M120" s="137"/>
      <c r="N120" s="125"/>
      <c r="O120" s="103"/>
      <c r="P120" s="71"/>
      <c r="Q120" s="189"/>
      <c r="R120" s="125"/>
      <c r="S120" s="103"/>
      <c r="T120" s="71"/>
      <c r="U120" s="189"/>
      <c r="V120" s="125"/>
      <c r="W120" s="103"/>
      <c r="X120" s="71"/>
      <c r="Y120" s="137"/>
      <c r="Z120" s="180"/>
      <c r="AA120" s="181"/>
      <c r="AB120" s="182"/>
      <c r="AC120" s="137"/>
      <c r="AD120" s="125"/>
      <c r="AE120" s="162"/>
      <c r="AF120" s="183"/>
      <c r="AG120" s="190"/>
      <c r="AH120" s="193"/>
      <c r="AI120" s="194"/>
      <c r="AJ120" s="71"/>
      <c r="AK120" s="190"/>
      <c r="AL120" s="193"/>
      <c r="AM120" s="194"/>
      <c r="AN120" s="71"/>
      <c r="AO120" s="71"/>
    </row>
    <row r="121">
      <c r="A121" s="137"/>
      <c r="B121" s="138"/>
      <c r="C121" s="103"/>
      <c r="D121" s="71"/>
      <c r="E121" s="137"/>
      <c r="F121" s="138"/>
      <c r="G121" s="103"/>
      <c r="H121" s="71"/>
      <c r="I121" s="137"/>
      <c r="J121" s="138"/>
      <c r="K121" s="103"/>
      <c r="L121" s="71"/>
      <c r="M121" s="137"/>
      <c r="N121" s="125"/>
      <c r="O121" s="103"/>
      <c r="P121" s="71"/>
      <c r="Q121" s="189"/>
      <c r="R121" s="125"/>
      <c r="S121" s="103"/>
      <c r="T121" s="71"/>
      <c r="U121" s="189"/>
      <c r="V121" s="125"/>
      <c r="W121" s="103"/>
      <c r="X121" s="71"/>
      <c r="Y121" s="137"/>
      <c r="Z121" s="180"/>
      <c r="AA121" s="181"/>
      <c r="AB121" s="182"/>
      <c r="AC121" s="137"/>
      <c r="AD121" s="125"/>
      <c r="AE121" s="162"/>
      <c r="AF121" s="183"/>
      <c r="AG121" s="190"/>
      <c r="AH121" s="193"/>
      <c r="AI121" s="194"/>
      <c r="AJ121" s="71"/>
      <c r="AK121" s="190"/>
      <c r="AL121" s="193"/>
      <c r="AM121" s="194"/>
      <c r="AN121" s="71"/>
      <c r="AO121" s="71"/>
    </row>
    <row r="122">
      <c r="A122" s="137"/>
      <c r="B122" s="138"/>
      <c r="C122" s="103"/>
      <c r="D122" s="71"/>
      <c r="E122" s="137"/>
      <c r="F122" s="138"/>
      <c r="G122" s="103"/>
      <c r="H122" s="71"/>
      <c r="I122" s="137"/>
      <c r="J122" s="138"/>
      <c r="K122" s="103"/>
      <c r="L122" s="71"/>
      <c r="M122" s="137"/>
      <c r="N122" s="125"/>
      <c r="O122" s="103"/>
      <c r="P122" s="71"/>
      <c r="Q122" s="189"/>
      <c r="R122" s="125"/>
      <c r="S122" s="103"/>
      <c r="T122" s="71"/>
      <c r="U122" s="189"/>
      <c r="V122" s="125"/>
      <c r="W122" s="103"/>
      <c r="X122" s="71"/>
      <c r="Y122" s="137"/>
      <c r="Z122" s="180"/>
      <c r="AA122" s="181"/>
      <c r="AB122" s="182"/>
      <c r="AC122" s="137"/>
      <c r="AD122" s="125"/>
      <c r="AE122" s="162"/>
      <c r="AF122" s="183"/>
      <c r="AG122" s="190"/>
      <c r="AH122" s="193"/>
      <c r="AI122" s="194"/>
      <c r="AJ122" s="71"/>
      <c r="AK122" s="190"/>
      <c r="AL122" s="193"/>
      <c r="AM122" s="194"/>
      <c r="AN122" s="71"/>
      <c r="AO122" s="71"/>
    </row>
    <row r="123">
      <c r="A123" s="137"/>
      <c r="B123" s="138"/>
      <c r="C123" s="103"/>
      <c r="D123" s="71"/>
      <c r="E123" s="137"/>
      <c r="F123" s="138"/>
      <c r="G123" s="103"/>
      <c r="H123" s="71"/>
      <c r="I123" s="137"/>
      <c r="J123" s="138"/>
      <c r="K123" s="103"/>
      <c r="L123" s="71"/>
      <c r="M123" s="137"/>
      <c r="N123" s="125"/>
      <c r="O123" s="103"/>
      <c r="P123" s="71"/>
      <c r="Q123" s="189"/>
      <c r="R123" s="125"/>
      <c r="S123" s="103"/>
      <c r="T123" s="71"/>
      <c r="U123" s="189"/>
      <c r="V123" s="125"/>
      <c r="W123" s="103"/>
      <c r="X123" s="71"/>
      <c r="Y123" s="137"/>
      <c r="Z123" s="180"/>
      <c r="AA123" s="181"/>
      <c r="AB123" s="182"/>
      <c r="AC123" s="137"/>
      <c r="AD123" s="125"/>
      <c r="AE123" s="162"/>
      <c r="AF123" s="183"/>
      <c r="AG123" s="190"/>
      <c r="AH123" s="193"/>
      <c r="AI123" s="194"/>
      <c r="AJ123" s="71"/>
      <c r="AK123" s="190"/>
      <c r="AL123" s="193"/>
      <c r="AM123" s="194"/>
      <c r="AN123" s="71"/>
      <c r="AO123" s="71"/>
    </row>
    <row r="124">
      <c r="A124" s="137"/>
      <c r="B124" s="138"/>
      <c r="C124" s="103"/>
      <c r="D124" s="71"/>
      <c r="E124" s="137"/>
      <c r="F124" s="138"/>
      <c r="G124" s="103"/>
      <c r="H124" s="71"/>
      <c r="I124" s="137"/>
      <c r="J124" s="138"/>
      <c r="K124" s="103"/>
      <c r="L124" s="71"/>
      <c r="M124" s="137"/>
      <c r="N124" s="125"/>
      <c r="O124" s="103"/>
      <c r="P124" s="71"/>
      <c r="Q124" s="189"/>
      <c r="R124" s="125"/>
      <c r="S124" s="103"/>
      <c r="T124" s="71"/>
      <c r="U124" s="189"/>
      <c r="V124" s="125"/>
      <c r="W124" s="103"/>
      <c r="X124" s="71"/>
      <c r="Y124" s="137"/>
      <c r="Z124" s="180"/>
      <c r="AA124" s="181"/>
      <c r="AB124" s="182"/>
      <c r="AC124" s="137"/>
      <c r="AD124" s="125"/>
      <c r="AE124" s="162"/>
      <c r="AF124" s="183"/>
      <c r="AG124" s="190"/>
      <c r="AH124" s="193"/>
      <c r="AI124" s="194"/>
      <c r="AJ124" s="71"/>
      <c r="AK124" s="190"/>
      <c r="AL124" s="193"/>
      <c r="AM124" s="194"/>
      <c r="AN124" s="71"/>
      <c r="AO124" s="71"/>
    </row>
    <row r="125">
      <c r="A125" s="137"/>
      <c r="B125" s="138"/>
      <c r="C125" s="103"/>
      <c r="D125" s="71"/>
      <c r="E125" s="137"/>
      <c r="F125" s="138"/>
      <c r="G125" s="103"/>
      <c r="H125" s="71"/>
      <c r="I125" s="137"/>
      <c r="J125" s="138"/>
      <c r="K125" s="103"/>
      <c r="L125" s="71"/>
      <c r="M125" s="137"/>
      <c r="N125" s="125"/>
      <c r="O125" s="103"/>
      <c r="P125" s="71"/>
      <c r="Q125" s="189"/>
      <c r="R125" s="125"/>
      <c r="S125" s="103"/>
      <c r="T125" s="71"/>
      <c r="U125" s="189"/>
      <c r="V125" s="125"/>
      <c r="W125" s="103"/>
      <c r="X125" s="71"/>
      <c r="Y125" s="137"/>
      <c r="Z125" s="180"/>
      <c r="AA125" s="181"/>
      <c r="AB125" s="182"/>
      <c r="AC125" s="137"/>
      <c r="AD125" s="125"/>
      <c r="AE125" s="162"/>
      <c r="AF125" s="183"/>
      <c r="AG125" s="190"/>
      <c r="AH125" s="193"/>
      <c r="AI125" s="194"/>
      <c r="AJ125" s="71"/>
      <c r="AK125" s="190"/>
      <c r="AL125" s="193"/>
      <c r="AM125" s="194"/>
      <c r="AN125" s="71"/>
      <c r="AO125" s="71"/>
    </row>
    <row r="126">
      <c r="A126" s="137"/>
      <c r="B126" s="138"/>
      <c r="C126" s="103"/>
      <c r="D126" s="71"/>
      <c r="E126" s="137"/>
      <c r="F126" s="138"/>
      <c r="G126" s="103"/>
      <c r="H126" s="71"/>
      <c r="I126" s="137"/>
      <c r="J126" s="138"/>
      <c r="K126" s="103"/>
      <c r="L126" s="71"/>
      <c r="M126" s="137"/>
      <c r="N126" s="125"/>
      <c r="O126" s="103"/>
      <c r="P126" s="71"/>
      <c r="Q126" s="189"/>
      <c r="R126" s="125"/>
      <c r="S126" s="103"/>
      <c r="T126" s="71"/>
      <c r="U126" s="189"/>
      <c r="V126" s="125"/>
      <c r="W126" s="103"/>
      <c r="X126" s="71"/>
      <c r="Y126" s="137"/>
      <c r="Z126" s="180"/>
      <c r="AA126" s="181"/>
      <c r="AB126" s="182"/>
      <c r="AC126" s="137"/>
      <c r="AD126" s="125"/>
      <c r="AE126" s="162"/>
      <c r="AF126" s="183"/>
      <c r="AG126" s="190"/>
      <c r="AH126" s="193"/>
      <c r="AI126" s="194"/>
      <c r="AJ126" s="71"/>
      <c r="AK126" s="190"/>
      <c r="AL126" s="193"/>
      <c r="AM126" s="194"/>
      <c r="AN126" s="71"/>
      <c r="AO126" s="71"/>
    </row>
    <row r="127">
      <c r="A127" s="137"/>
      <c r="B127" s="138"/>
      <c r="C127" s="103"/>
      <c r="D127" s="71"/>
      <c r="E127" s="137"/>
      <c r="F127" s="138"/>
      <c r="G127" s="103"/>
      <c r="H127" s="71"/>
      <c r="I127" s="137"/>
      <c r="J127" s="138"/>
      <c r="K127" s="103"/>
      <c r="L127" s="71"/>
      <c r="M127" s="137"/>
      <c r="N127" s="125"/>
      <c r="O127" s="103"/>
      <c r="P127" s="71"/>
      <c r="Q127" s="189"/>
      <c r="R127" s="125"/>
      <c r="S127" s="103"/>
      <c r="T127" s="71"/>
      <c r="U127" s="189"/>
      <c r="V127" s="125"/>
      <c r="W127" s="103"/>
      <c r="X127" s="71"/>
      <c r="Y127" s="137"/>
      <c r="Z127" s="180"/>
      <c r="AA127" s="181"/>
      <c r="AB127" s="182"/>
      <c r="AC127" s="137"/>
      <c r="AD127" s="125"/>
      <c r="AE127" s="162"/>
      <c r="AF127" s="183"/>
      <c r="AG127" s="190"/>
      <c r="AH127" s="193"/>
      <c r="AI127" s="194"/>
      <c r="AJ127" s="71"/>
      <c r="AK127" s="190"/>
      <c r="AL127" s="193"/>
      <c r="AM127" s="194"/>
      <c r="AN127" s="71"/>
      <c r="AO127" s="71"/>
    </row>
    <row r="128">
      <c r="A128" s="137"/>
      <c r="B128" s="138"/>
      <c r="C128" s="103"/>
      <c r="D128" s="71"/>
      <c r="E128" s="137"/>
      <c r="F128" s="138"/>
      <c r="G128" s="103"/>
      <c r="H128" s="71"/>
      <c r="I128" s="137"/>
      <c r="J128" s="138"/>
      <c r="K128" s="103"/>
      <c r="L128" s="71"/>
      <c r="M128" s="137"/>
      <c r="N128" s="125"/>
      <c r="O128" s="103"/>
      <c r="P128" s="71"/>
      <c r="Q128" s="189"/>
      <c r="R128" s="125"/>
      <c r="S128" s="103"/>
      <c r="T128" s="71"/>
      <c r="U128" s="189"/>
      <c r="V128" s="125"/>
      <c r="W128" s="103"/>
      <c r="X128" s="71"/>
      <c r="Y128" s="137"/>
      <c r="Z128" s="180"/>
      <c r="AA128" s="181"/>
      <c r="AB128" s="182"/>
      <c r="AC128" s="137"/>
      <c r="AD128" s="125"/>
      <c r="AE128" s="162"/>
      <c r="AF128" s="183"/>
      <c r="AG128" s="190"/>
      <c r="AH128" s="193"/>
      <c r="AI128" s="194"/>
      <c r="AJ128" s="71"/>
      <c r="AK128" s="190"/>
      <c r="AL128" s="193"/>
      <c r="AM128" s="194"/>
      <c r="AN128" s="71"/>
      <c r="AO128" s="71"/>
    </row>
    <row r="129">
      <c r="A129" s="137"/>
      <c r="B129" s="138"/>
      <c r="C129" s="103"/>
      <c r="D129" s="71"/>
      <c r="E129" s="137"/>
      <c r="F129" s="138"/>
      <c r="G129" s="103"/>
      <c r="H129" s="71"/>
      <c r="I129" s="137"/>
      <c r="J129" s="138"/>
      <c r="K129" s="103"/>
      <c r="L129" s="71"/>
      <c r="M129" s="137"/>
      <c r="N129" s="125"/>
      <c r="O129" s="103"/>
      <c r="P129" s="71"/>
      <c r="Q129" s="189"/>
      <c r="R129" s="125"/>
      <c r="S129" s="103"/>
      <c r="T129" s="71"/>
      <c r="U129" s="189"/>
      <c r="V129" s="125"/>
      <c r="W129" s="103"/>
      <c r="X129" s="71"/>
      <c r="Y129" s="137"/>
      <c r="Z129" s="180"/>
      <c r="AA129" s="181"/>
      <c r="AB129" s="182"/>
      <c r="AC129" s="137"/>
      <c r="AD129" s="125"/>
      <c r="AE129" s="162"/>
      <c r="AF129" s="183"/>
      <c r="AG129" s="190"/>
      <c r="AH129" s="193"/>
      <c r="AI129" s="194"/>
      <c r="AJ129" s="71"/>
      <c r="AK129" s="190"/>
      <c r="AL129" s="193"/>
      <c r="AM129" s="194"/>
      <c r="AN129" s="71"/>
      <c r="AO129" s="71"/>
    </row>
    <row r="130">
      <c r="A130" s="137"/>
      <c r="B130" s="138"/>
      <c r="C130" s="103"/>
      <c r="D130" s="71"/>
      <c r="E130" s="137"/>
      <c r="F130" s="138"/>
      <c r="G130" s="103"/>
      <c r="H130" s="71"/>
      <c r="I130" s="137"/>
      <c r="J130" s="138"/>
      <c r="K130" s="103"/>
      <c r="L130" s="71"/>
      <c r="M130" s="137"/>
      <c r="N130" s="125"/>
      <c r="O130" s="103"/>
      <c r="P130" s="71"/>
      <c r="Q130" s="189"/>
      <c r="R130" s="125"/>
      <c r="S130" s="103"/>
      <c r="T130" s="71"/>
      <c r="U130" s="189"/>
      <c r="V130" s="125"/>
      <c r="W130" s="103"/>
      <c r="X130" s="71"/>
      <c r="Y130" s="137"/>
      <c r="Z130" s="180"/>
      <c r="AA130" s="181"/>
      <c r="AB130" s="182"/>
      <c r="AC130" s="137"/>
      <c r="AD130" s="125"/>
      <c r="AE130" s="162"/>
      <c r="AF130" s="183"/>
      <c r="AG130" s="190"/>
      <c r="AH130" s="193"/>
      <c r="AI130" s="194"/>
      <c r="AJ130" s="71"/>
      <c r="AK130" s="190"/>
      <c r="AL130" s="193"/>
      <c r="AM130" s="194"/>
      <c r="AN130" s="71"/>
      <c r="AO130" s="71"/>
    </row>
    <row r="131">
      <c r="A131" s="137"/>
      <c r="B131" s="138"/>
      <c r="C131" s="103"/>
      <c r="D131" s="71"/>
      <c r="E131" s="137"/>
      <c r="F131" s="138"/>
      <c r="G131" s="103"/>
      <c r="H131" s="71"/>
      <c r="I131" s="137"/>
      <c r="J131" s="138"/>
      <c r="K131" s="103"/>
      <c r="L131" s="71"/>
      <c r="M131" s="137"/>
      <c r="N131" s="125"/>
      <c r="O131" s="103"/>
      <c r="P131" s="71"/>
      <c r="Q131" s="189"/>
      <c r="R131" s="125"/>
      <c r="S131" s="103"/>
      <c r="T131" s="71"/>
      <c r="U131" s="189"/>
      <c r="V131" s="125"/>
      <c r="W131" s="103"/>
      <c r="X131" s="71"/>
      <c r="Y131" s="137"/>
      <c r="Z131" s="180"/>
      <c r="AA131" s="181"/>
      <c r="AB131" s="182"/>
      <c r="AC131" s="137"/>
      <c r="AD131" s="125"/>
      <c r="AE131" s="162"/>
      <c r="AF131" s="183"/>
      <c r="AG131" s="190"/>
      <c r="AH131" s="193"/>
      <c r="AI131" s="194"/>
      <c r="AJ131" s="71"/>
      <c r="AK131" s="190"/>
      <c r="AL131" s="193"/>
      <c r="AM131" s="194"/>
      <c r="AN131" s="71"/>
      <c r="AO131" s="71"/>
    </row>
    <row r="132">
      <c r="A132" s="137"/>
      <c r="B132" s="138"/>
      <c r="C132" s="103"/>
      <c r="D132" s="71"/>
      <c r="E132" s="137"/>
      <c r="F132" s="138"/>
      <c r="G132" s="103"/>
      <c r="H132" s="71"/>
      <c r="I132" s="137"/>
      <c r="J132" s="138"/>
      <c r="K132" s="103"/>
      <c r="L132" s="71"/>
      <c r="M132" s="137"/>
      <c r="N132" s="125"/>
      <c r="O132" s="103"/>
      <c r="P132" s="71"/>
      <c r="Q132" s="189"/>
      <c r="R132" s="125"/>
      <c r="S132" s="103"/>
      <c r="T132" s="71"/>
      <c r="U132" s="189"/>
      <c r="V132" s="125"/>
      <c r="W132" s="103"/>
      <c r="X132" s="71"/>
      <c r="Y132" s="137"/>
      <c r="Z132" s="180"/>
      <c r="AA132" s="181"/>
      <c r="AB132" s="182"/>
      <c r="AC132" s="137"/>
      <c r="AD132" s="125"/>
      <c r="AE132" s="162"/>
      <c r="AF132" s="183"/>
      <c r="AG132" s="190"/>
      <c r="AH132" s="193"/>
      <c r="AI132" s="194"/>
      <c r="AJ132" s="71"/>
      <c r="AK132" s="190"/>
      <c r="AL132" s="193"/>
      <c r="AM132" s="194"/>
      <c r="AN132" s="71"/>
      <c r="AO132" s="71"/>
    </row>
    <row r="133">
      <c r="A133" s="137"/>
      <c r="B133" s="138"/>
      <c r="C133" s="103"/>
      <c r="D133" s="71"/>
      <c r="E133" s="137"/>
      <c r="F133" s="138"/>
      <c r="G133" s="103"/>
      <c r="H133" s="71"/>
      <c r="I133" s="137"/>
      <c r="J133" s="138"/>
      <c r="K133" s="103"/>
      <c r="L133" s="71"/>
      <c r="M133" s="137"/>
      <c r="N133" s="125"/>
      <c r="O133" s="103"/>
      <c r="P133" s="71"/>
      <c r="Q133" s="189"/>
      <c r="R133" s="125"/>
      <c r="S133" s="103"/>
      <c r="T133" s="71"/>
      <c r="U133" s="189"/>
      <c r="V133" s="125"/>
      <c r="W133" s="103"/>
      <c r="X133" s="71"/>
      <c r="Y133" s="137"/>
      <c r="Z133" s="180"/>
      <c r="AA133" s="181"/>
      <c r="AB133" s="182"/>
      <c r="AC133" s="137"/>
      <c r="AD133" s="125"/>
      <c r="AE133" s="162"/>
      <c r="AF133" s="183"/>
      <c r="AG133" s="190"/>
      <c r="AH133" s="193"/>
      <c r="AI133" s="194"/>
      <c r="AJ133" s="71"/>
      <c r="AK133" s="190"/>
      <c r="AL133" s="193"/>
      <c r="AM133" s="194"/>
      <c r="AN133" s="71"/>
      <c r="AO133" s="71"/>
    </row>
    <row r="134">
      <c r="A134" s="137"/>
      <c r="B134" s="138"/>
      <c r="C134" s="103"/>
      <c r="D134" s="71"/>
      <c r="E134" s="137"/>
      <c r="F134" s="138"/>
      <c r="G134" s="103"/>
      <c r="H134" s="71"/>
      <c r="I134" s="137"/>
      <c r="J134" s="138"/>
      <c r="K134" s="103"/>
      <c r="L134" s="71"/>
      <c r="M134" s="137"/>
      <c r="N134" s="125"/>
      <c r="O134" s="103"/>
      <c r="P134" s="71"/>
      <c r="Q134" s="189"/>
      <c r="R134" s="125"/>
      <c r="S134" s="103"/>
      <c r="T134" s="71"/>
      <c r="U134" s="189"/>
      <c r="V134" s="125"/>
      <c r="W134" s="103"/>
      <c r="X134" s="71"/>
      <c r="Y134" s="137"/>
      <c r="Z134" s="180"/>
      <c r="AA134" s="181"/>
      <c r="AB134" s="182"/>
      <c r="AC134" s="137"/>
      <c r="AD134" s="125"/>
      <c r="AE134" s="162"/>
      <c r="AF134" s="183"/>
      <c r="AG134" s="190"/>
      <c r="AH134" s="193"/>
      <c r="AI134" s="194"/>
      <c r="AJ134" s="71"/>
      <c r="AK134" s="190"/>
      <c r="AL134" s="193"/>
      <c r="AM134" s="194"/>
      <c r="AN134" s="71"/>
      <c r="AO134" s="71"/>
    </row>
    <row r="135">
      <c r="A135" s="137"/>
      <c r="B135" s="138"/>
      <c r="C135" s="103"/>
      <c r="D135" s="71"/>
      <c r="E135" s="137"/>
      <c r="F135" s="138"/>
      <c r="G135" s="103"/>
      <c r="H135" s="71"/>
      <c r="I135" s="137"/>
      <c r="J135" s="138"/>
      <c r="K135" s="103"/>
      <c r="L135" s="71"/>
      <c r="M135" s="137"/>
      <c r="N135" s="125"/>
      <c r="O135" s="103"/>
      <c r="P135" s="71"/>
      <c r="Q135" s="189"/>
      <c r="R135" s="125"/>
      <c r="S135" s="103"/>
      <c r="T135" s="71"/>
      <c r="U135" s="189"/>
      <c r="V135" s="125"/>
      <c r="W135" s="103"/>
      <c r="X135" s="71"/>
      <c r="Y135" s="137"/>
      <c r="Z135" s="180"/>
      <c r="AA135" s="181"/>
      <c r="AB135" s="182"/>
      <c r="AC135" s="137"/>
      <c r="AD135" s="125"/>
      <c r="AE135" s="162"/>
      <c r="AF135" s="183"/>
      <c r="AG135" s="190"/>
      <c r="AH135" s="193"/>
      <c r="AI135" s="194"/>
      <c r="AJ135" s="71"/>
      <c r="AK135" s="190"/>
      <c r="AL135" s="193"/>
      <c r="AM135" s="194"/>
      <c r="AN135" s="71"/>
      <c r="AO135" s="71"/>
    </row>
    <row r="136">
      <c r="A136" s="137"/>
      <c r="B136" s="138"/>
      <c r="C136" s="103"/>
      <c r="D136" s="71"/>
      <c r="E136" s="137"/>
      <c r="F136" s="138"/>
      <c r="G136" s="103"/>
      <c r="H136" s="71"/>
      <c r="I136" s="137"/>
      <c r="J136" s="138"/>
      <c r="K136" s="103"/>
      <c r="L136" s="71"/>
      <c r="M136" s="137"/>
      <c r="N136" s="125"/>
      <c r="O136" s="103"/>
      <c r="P136" s="71"/>
      <c r="Q136" s="189"/>
      <c r="R136" s="125"/>
      <c r="S136" s="103"/>
      <c r="T136" s="71"/>
      <c r="U136" s="189"/>
      <c r="V136" s="125"/>
      <c r="W136" s="103"/>
      <c r="X136" s="71"/>
      <c r="Y136" s="137"/>
      <c r="Z136" s="180"/>
      <c r="AA136" s="181"/>
      <c r="AB136" s="182"/>
      <c r="AC136" s="137"/>
      <c r="AD136" s="125"/>
      <c r="AE136" s="162"/>
      <c r="AF136" s="183"/>
      <c r="AG136" s="190"/>
      <c r="AH136" s="193"/>
      <c r="AI136" s="194"/>
      <c r="AJ136" s="71"/>
      <c r="AK136" s="190"/>
      <c r="AL136" s="193"/>
      <c r="AM136" s="194"/>
      <c r="AN136" s="71"/>
      <c r="AO136" s="71"/>
    </row>
    <row r="137">
      <c r="A137" s="137"/>
      <c r="B137" s="138"/>
      <c r="C137" s="103"/>
      <c r="D137" s="71"/>
      <c r="E137" s="137"/>
      <c r="F137" s="138"/>
      <c r="G137" s="103"/>
      <c r="H137" s="71"/>
      <c r="I137" s="137"/>
      <c r="J137" s="138"/>
      <c r="K137" s="103"/>
      <c r="L137" s="71"/>
      <c r="M137" s="137"/>
      <c r="N137" s="125"/>
      <c r="O137" s="103"/>
      <c r="P137" s="71"/>
      <c r="Q137" s="189"/>
      <c r="R137" s="125"/>
      <c r="S137" s="103"/>
      <c r="T137" s="71"/>
      <c r="U137" s="189"/>
      <c r="V137" s="125"/>
      <c r="W137" s="103"/>
      <c r="X137" s="71"/>
      <c r="Y137" s="137"/>
      <c r="Z137" s="180"/>
      <c r="AA137" s="181"/>
      <c r="AB137" s="182"/>
      <c r="AC137" s="137"/>
      <c r="AD137" s="125"/>
      <c r="AE137" s="162"/>
      <c r="AF137" s="183"/>
      <c r="AG137" s="190"/>
      <c r="AH137" s="193"/>
      <c r="AI137" s="194"/>
      <c r="AJ137" s="71"/>
      <c r="AK137" s="190"/>
      <c r="AL137" s="193"/>
      <c r="AM137" s="194"/>
      <c r="AN137" s="71"/>
      <c r="AO137" s="71"/>
    </row>
    <row r="138">
      <c r="A138" s="137"/>
      <c r="B138" s="138"/>
      <c r="C138" s="103"/>
      <c r="D138" s="71"/>
      <c r="E138" s="137"/>
      <c r="F138" s="138"/>
      <c r="G138" s="103"/>
      <c r="H138" s="71"/>
      <c r="I138" s="137"/>
      <c r="J138" s="138"/>
      <c r="K138" s="103"/>
      <c r="L138" s="71"/>
      <c r="M138" s="137"/>
      <c r="N138" s="125"/>
      <c r="O138" s="103"/>
      <c r="P138" s="71"/>
      <c r="Q138" s="189"/>
      <c r="R138" s="125"/>
      <c r="S138" s="103"/>
      <c r="T138" s="71"/>
      <c r="U138" s="189"/>
      <c r="V138" s="125"/>
      <c r="W138" s="103"/>
      <c r="X138" s="71"/>
      <c r="Y138" s="137"/>
      <c r="Z138" s="180"/>
      <c r="AA138" s="181"/>
      <c r="AB138" s="182"/>
      <c r="AC138" s="137"/>
      <c r="AD138" s="125"/>
      <c r="AE138" s="162"/>
      <c r="AF138" s="183"/>
      <c r="AG138" s="190"/>
      <c r="AH138" s="193"/>
      <c r="AI138" s="194"/>
      <c r="AJ138" s="71"/>
      <c r="AK138" s="190"/>
      <c r="AL138" s="193"/>
      <c r="AM138" s="194"/>
      <c r="AN138" s="71"/>
      <c r="AO138" s="71"/>
    </row>
    <row r="139">
      <c r="A139" s="137"/>
      <c r="B139" s="138"/>
      <c r="C139" s="103"/>
      <c r="D139" s="71"/>
      <c r="E139" s="137"/>
      <c r="F139" s="138"/>
      <c r="G139" s="103"/>
      <c r="H139" s="71"/>
      <c r="I139" s="137"/>
      <c r="J139" s="138"/>
      <c r="K139" s="103"/>
      <c r="L139" s="71"/>
      <c r="M139" s="137"/>
      <c r="N139" s="125"/>
      <c r="O139" s="103"/>
      <c r="P139" s="71"/>
      <c r="Q139" s="189"/>
      <c r="R139" s="125"/>
      <c r="S139" s="103"/>
      <c r="T139" s="71"/>
      <c r="U139" s="189"/>
      <c r="V139" s="125"/>
      <c r="W139" s="103"/>
      <c r="X139" s="71"/>
      <c r="Y139" s="137"/>
      <c r="Z139" s="180"/>
      <c r="AA139" s="181"/>
      <c r="AB139" s="182"/>
      <c r="AC139" s="137"/>
      <c r="AD139" s="125"/>
      <c r="AE139" s="162"/>
      <c r="AF139" s="183"/>
      <c r="AG139" s="190"/>
      <c r="AH139" s="193"/>
      <c r="AI139" s="194"/>
      <c r="AJ139" s="71"/>
      <c r="AK139" s="190"/>
      <c r="AL139" s="193"/>
      <c r="AM139" s="194"/>
      <c r="AN139" s="71"/>
      <c r="AO139" s="71"/>
    </row>
    <row r="140">
      <c r="A140" s="137"/>
      <c r="B140" s="138"/>
      <c r="C140" s="103"/>
      <c r="D140" s="71"/>
      <c r="E140" s="137"/>
      <c r="F140" s="138"/>
      <c r="G140" s="103"/>
      <c r="H140" s="71"/>
      <c r="I140" s="137"/>
      <c r="J140" s="138"/>
      <c r="K140" s="103"/>
      <c r="L140" s="71"/>
      <c r="M140" s="137"/>
      <c r="N140" s="125"/>
      <c r="O140" s="103"/>
      <c r="P140" s="71"/>
      <c r="Q140" s="189"/>
      <c r="R140" s="125"/>
      <c r="S140" s="103"/>
      <c r="T140" s="71"/>
      <c r="U140" s="189"/>
      <c r="V140" s="125"/>
      <c r="W140" s="103"/>
      <c r="X140" s="71"/>
      <c r="Y140" s="137"/>
      <c r="Z140" s="180"/>
      <c r="AA140" s="181"/>
      <c r="AB140" s="182"/>
      <c r="AC140" s="137"/>
      <c r="AD140" s="125"/>
      <c r="AE140" s="162"/>
      <c r="AF140" s="183"/>
      <c r="AG140" s="190"/>
      <c r="AH140" s="193"/>
      <c r="AI140" s="194"/>
      <c r="AJ140" s="71"/>
      <c r="AK140" s="190"/>
      <c r="AL140" s="193"/>
      <c r="AM140" s="194"/>
      <c r="AN140" s="71"/>
      <c r="AO140" s="71"/>
    </row>
    <row r="141">
      <c r="A141" s="137"/>
      <c r="B141" s="138"/>
      <c r="C141" s="103"/>
      <c r="D141" s="71"/>
      <c r="E141" s="137"/>
      <c r="F141" s="138"/>
      <c r="G141" s="103"/>
      <c r="H141" s="71"/>
      <c r="I141" s="137"/>
      <c r="J141" s="138"/>
      <c r="K141" s="103"/>
      <c r="L141" s="71"/>
      <c r="M141" s="137"/>
      <c r="N141" s="125"/>
      <c r="O141" s="103"/>
      <c r="P141" s="71"/>
      <c r="Q141" s="189"/>
      <c r="R141" s="125"/>
      <c r="S141" s="103"/>
      <c r="T141" s="71"/>
      <c r="U141" s="189"/>
      <c r="V141" s="125"/>
      <c r="W141" s="103"/>
      <c r="X141" s="71"/>
      <c r="Y141" s="137"/>
      <c r="Z141" s="180"/>
      <c r="AA141" s="181"/>
      <c r="AB141" s="182"/>
      <c r="AC141" s="137"/>
      <c r="AD141" s="125"/>
      <c r="AE141" s="162"/>
      <c r="AF141" s="183"/>
      <c r="AG141" s="190"/>
      <c r="AH141" s="193"/>
      <c r="AI141" s="194"/>
      <c r="AJ141" s="71"/>
      <c r="AK141" s="190"/>
      <c r="AL141" s="193"/>
      <c r="AM141" s="194"/>
      <c r="AN141" s="71"/>
      <c r="AO141" s="71"/>
    </row>
    <row r="142">
      <c r="A142" s="137"/>
      <c r="B142" s="138"/>
      <c r="C142" s="103"/>
      <c r="D142" s="71"/>
      <c r="E142" s="137"/>
      <c r="F142" s="138"/>
      <c r="G142" s="103"/>
      <c r="H142" s="71"/>
      <c r="I142" s="137"/>
      <c r="J142" s="138"/>
      <c r="K142" s="103"/>
      <c r="L142" s="71"/>
      <c r="M142" s="137"/>
      <c r="N142" s="125"/>
      <c r="O142" s="103"/>
      <c r="P142" s="71"/>
      <c r="Q142" s="189"/>
      <c r="R142" s="125"/>
      <c r="S142" s="103"/>
      <c r="T142" s="71"/>
      <c r="U142" s="189"/>
      <c r="V142" s="125"/>
      <c r="W142" s="103"/>
      <c r="X142" s="71"/>
      <c r="Y142" s="137"/>
      <c r="Z142" s="180"/>
      <c r="AA142" s="181"/>
      <c r="AB142" s="182"/>
      <c r="AC142" s="137"/>
      <c r="AD142" s="125"/>
      <c r="AE142" s="162"/>
      <c r="AF142" s="183"/>
      <c r="AG142" s="190"/>
      <c r="AH142" s="193"/>
      <c r="AI142" s="194"/>
      <c r="AJ142" s="71"/>
      <c r="AK142" s="190"/>
      <c r="AL142" s="193"/>
      <c r="AM142" s="194"/>
      <c r="AN142" s="71"/>
      <c r="AO142" s="71"/>
    </row>
    <row r="143">
      <c r="A143" s="137"/>
      <c r="B143" s="138"/>
      <c r="C143" s="103"/>
      <c r="D143" s="71"/>
      <c r="E143" s="137"/>
      <c r="F143" s="138"/>
      <c r="G143" s="103"/>
      <c r="H143" s="71"/>
      <c r="I143" s="137"/>
      <c r="J143" s="138"/>
      <c r="K143" s="103"/>
      <c r="L143" s="71"/>
      <c r="M143" s="137"/>
      <c r="N143" s="125"/>
      <c r="O143" s="103"/>
      <c r="P143" s="71"/>
      <c r="Q143" s="189"/>
      <c r="R143" s="125"/>
      <c r="S143" s="103"/>
      <c r="T143" s="71"/>
      <c r="U143" s="189"/>
      <c r="V143" s="125"/>
      <c r="W143" s="103"/>
      <c r="X143" s="71"/>
      <c r="Y143" s="137"/>
      <c r="Z143" s="180"/>
      <c r="AA143" s="181"/>
      <c r="AB143" s="182"/>
      <c r="AC143" s="137"/>
      <c r="AD143" s="125"/>
      <c r="AE143" s="162"/>
      <c r="AF143" s="183"/>
      <c r="AG143" s="190"/>
      <c r="AH143" s="193"/>
      <c r="AI143" s="194"/>
      <c r="AJ143" s="71"/>
      <c r="AK143" s="190"/>
      <c r="AL143" s="193"/>
      <c r="AM143" s="194"/>
      <c r="AN143" s="71"/>
      <c r="AO143" s="71"/>
    </row>
    <row r="144">
      <c r="A144" s="137"/>
      <c r="B144" s="138"/>
      <c r="C144" s="103"/>
      <c r="D144" s="71"/>
      <c r="E144" s="137"/>
      <c r="F144" s="138"/>
      <c r="G144" s="103"/>
      <c r="H144" s="71"/>
      <c r="I144" s="137"/>
      <c r="J144" s="138"/>
      <c r="K144" s="103"/>
      <c r="L144" s="71"/>
      <c r="M144" s="137"/>
      <c r="N144" s="125"/>
      <c r="O144" s="103"/>
      <c r="P144" s="71"/>
      <c r="Q144" s="189"/>
      <c r="R144" s="125"/>
      <c r="S144" s="103"/>
      <c r="T144" s="71"/>
      <c r="U144" s="189"/>
      <c r="V144" s="125"/>
      <c r="W144" s="103"/>
      <c r="X144" s="71"/>
      <c r="Y144" s="137"/>
      <c r="Z144" s="180"/>
      <c r="AA144" s="181"/>
      <c r="AB144" s="182"/>
      <c r="AC144" s="137"/>
      <c r="AD144" s="125"/>
      <c r="AE144" s="162"/>
      <c r="AF144" s="183"/>
      <c r="AG144" s="190"/>
      <c r="AH144" s="193"/>
      <c r="AI144" s="194"/>
      <c r="AJ144" s="71"/>
      <c r="AK144" s="190"/>
      <c r="AL144" s="193"/>
      <c r="AM144" s="194"/>
      <c r="AN144" s="71"/>
      <c r="AO144" s="71"/>
    </row>
    <row r="145">
      <c r="A145" s="137"/>
      <c r="B145" s="138"/>
      <c r="C145" s="103"/>
      <c r="D145" s="71"/>
      <c r="E145" s="137"/>
      <c r="F145" s="138"/>
      <c r="G145" s="103"/>
      <c r="H145" s="71"/>
      <c r="I145" s="137"/>
      <c r="J145" s="138"/>
      <c r="K145" s="103"/>
      <c r="L145" s="71"/>
      <c r="M145" s="137"/>
      <c r="N145" s="125"/>
      <c r="O145" s="103"/>
      <c r="P145" s="71"/>
      <c r="Q145" s="189"/>
      <c r="R145" s="125"/>
      <c r="S145" s="103"/>
      <c r="T145" s="71"/>
      <c r="U145" s="189"/>
      <c r="V145" s="125"/>
      <c r="W145" s="103"/>
      <c r="X145" s="71"/>
      <c r="Y145" s="137"/>
      <c r="Z145" s="180"/>
      <c r="AA145" s="181"/>
      <c r="AB145" s="182"/>
      <c r="AC145" s="137"/>
      <c r="AD145" s="125"/>
      <c r="AE145" s="162"/>
      <c r="AF145" s="183"/>
      <c r="AG145" s="190"/>
      <c r="AH145" s="193"/>
      <c r="AI145" s="194"/>
      <c r="AJ145" s="71"/>
      <c r="AK145" s="190"/>
      <c r="AL145" s="193"/>
      <c r="AM145" s="194"/>
      <c r="AN145" s="71"/>
      <c r="AO145" s="71"/>
    </row>
    <row r="146">
      <c r="A146" s="137"/>
      <c r="B146" s="138"/>
      <c r="C146" s="103"/>
      <c r="D146" s="71"/>
      <c r="E146" s="137"/>
      <c r="F146" s="138"/>
      <c r="G146" s="103"/>
      <c r="H146" s="71"/>
      <c r="I146" s="137"/>
      <c r="J146" s="138"/>
      <c r="K146" s="103"/>
      <c r="L146" s="71"/>
      <c r="M146" s="137"/>
      <c r="N146" s="125"/>
      <c r="O146" s="103"/>
      <c r="P146" s="71"/>
      <c r="Q146" s="189"/>
      <c r="R146" s="125"/>
      <c r="S146" s="103"/>
      <c r="T146" s="71"/>
      <c r="U146" s="189"/>
      <c r="V146" s="125"/>
      <c r="W146" s="103"/>
      <c r="X146" s="71"/>
      <c r="Y146" s="137"/>
      <c r="Z146" s="180"/>
      <c r="AA146" s="181"/>
      <c r="AB146" s="182"/>
      <c r="AC146" s="137"/>
      <c r="AD146" s="125"/>
      <c r="AE146" s="162"/>
      <c r="AF146" s="183"/>
      <c r="AG146" s="190"/>
      <c r="AH146" s="193"/>
      <c r="AI146" s="194"/>
      <c r="AJ146" s="71"/>
      <c r="AK146" s="190"/>
      <c r="AL146" s="193"/>
      <c r="AM146" s="194"/>
      <c r="AN146" s="71"/>
      <c r="AO146" s="71"/>
    </row>
    <row r="147">
      <c r="A147" s="137"/>
      <c r="B147" s="138"/>
      <c r="C147" s="103"/>
      <c r="D147" s="71"/>
      <c r="E147" s="137"/>
      <c r="F147" s="138"/>
      <c r="G147" s="103"/>
      <c r="H147" s="71"/>
      <c r="I147" s="137"/>
      <c r="J147" s="138"/>
      <c r="K147" s="103"/>
      <c r="L147" s="71"/>
      <c r="M147" s="137"/>
      <c r="N147" s="125"/>
      <c r="O147" s="103"/>
      <c r="P147" s="71"/>
      <c r="Q147" s="189"/>
      <c r="R147" s="125"/>
      <c r="S147" s="103"/>
      <c r="T147" s="71"/>
      <c r="U147" s="189"/>
      <c r="V147" s="125"/>
      <c r="W147" s="103"/>
      <c r="X147" s="71"/>
      <c r="Y147" s="137"/>
      <c r="Z147" s="180"/>
      <c r="AA147" s="181"/>
      <c r="AB147" s="182"/>
      <c r="AC147" s="137"/>
      <c r="AD147" s="125"/>
      <c r="AE147" s="162"/>
      <c r="AF147" s="183"/>
      <c r="AG147" s="190"/>
      <c r="AH147" s="193"/>
      <c r="AI147" s="194"/>
      <c r="AJ147" s="71"/>
      <c r="AK147" s="190"/>
      <c r="AL147" s="193"/>
      <c r="AM147" s="194"/>
      <c r="AN147" s="71"/>
      <c r="AO147" s="71"/>
    </row>
    <row r="148">
      <c r="A148" s="137"/>
      <c r="B148" s="138"/>
      <c r="C148" s="103"/>
      <c r="D148" s="71"/>
      <c r="E148" s="137"/>
      <c r="F148" s="138"/>
      <c r="G148" s="103"/>
      <c r="H148" s="71"/>
      <c r="I148" s="137"/>
      <c r="J148" s="138"/>
      <c r="K148" s="103"/>
      <c r="L148" s="71"/>
      <c r="M148" s="137"/>
      <c r="N148" s="125"/>
      <c r="O148" s="103"/>
      <c r="P148" s="71"/>
      <c r="Q148" s="189"/>
      <c r="R148" s="125"/>
      <c r="S148" s="103"/>
      <c r="T148" s="71"/>
      <c r="U148" s="189"/>
      <c r="V148" s="125"/>
      <c r="W148" s="103"/>
      <c r="X148" s="71"/>
      <c r="Y148" s="137"/>
      <c r="Z148" s="180"/>
      <c r="AA148" s="181"/>
      <c r="AB148" s="182"/>
      <c r="AC148" s="137"/>
      <c r="AD148" s="125"/>
      <c r="AE148" s="162"/>
      <c r="AF148" s="183"/>
      <c r="AG148" s="190"/>
      <c r="AH148" s="193"/>
      <c r="AI148" s="194"/>
      <c r="AJ148" s="71"/>
      <c r="AK148" s="190"/>
      <c r="AL148" s="193"/>
      <c r="AM148" s="194"/>
      <c r="AN148" s="71"/>
      <c r="AO148" s="71"/>
    </row>
    <row r="149">
      <c r="A149" s="137"/>
      <c r="B149" s="138"/>
      <c r="C149" s="103"/>
      <c r="D149" s="71"/>
      <c r="E149" s="137"/>
      <c r="F149" s="138"/>
      <c r="G149" s="103"/>
      <c r="H149" s="71"/>
      <c r="I149" s="137"/>
      <c r="J149" s="138"/>
      <c r="K149" s="103"/>
      <c r="L149" s="71"/>
      <c r="M149" s="137"/>
      <c r="N149" s="125"/>
      <c r="O149" s="103"/>
      <c r="P149" s="71"/>
      <c r="Q149" s="189"/>
      <c r="R149" s="125"/>
      <c r="S149" s="103"/>
      <c r="T149" s="71"/>
      <c r="U149" s="189"/>
      <c r="V149" s="125"/>
      <c r="W149" s="103"/>
      <c r="X149" s="71"/>
      <c r="Y149" s="137"/>
      <c r="Z149" s="180"/>
      <c r="AA149" s="181"/>
      <c r="AB149" s="182"/>
      <c r="AC149" s="137"/>
      <c r="AD149" s="125"/>
      <c r="AE149" s="162"/>
      <c r="AF149" s="183"/>
      <c r="AG149" s="190"/>
      <c r="AH149" s="193"/>
      <c r="AI149" s="194"/>
      <c r="AJ149" s="71"/>
      <c r="AK149" s="190"/>
      <c r="AL149" s="193"/>
      <c r="AM149" s="194"/>
      <c r="AN149" s="71"/>
      <c r="AO149" s="71"/>
    </row>
    <row r="150">
      <c r="A150" s="137"/>
      <c r="B150" s="138"/>
      <c r="C150" s="103"/>
      <c r="D150" s="71"/>
      <c r="E150" s="137"/>
      <c r="F150" s="138"/>
      <c r="G150" s="103"/>
      <c r="H150" s="71"/>
      <c r="I150" s="137"/>
      <c r="J150" s="138"/>
      <c r="K150" s="103"/>
      <c r="L150" s="71"/>
      <c r="M150" s="137"/>
      <c r="N150" s="125"/>
      <c r="O150" s="103"/>
      <c r="P150" s="71"/>
      <c r="Q150" s="189"/>
      <c r="R150" s="125"/>
      <c r="S150" s="103"/>
      <c r="T150" s="71"/>
      <c r="U150" s="189"/>
      <c r="V150" s="125"/>
      <c r="W150" s="103"/>
      <c r="X150" s="71"/>
      <c r="Y150" s="137"/>
      <c r="Z150" s="180"/>
      <c r="AA150" s="181"/>
      <c r="AB150" s="182"/>
      <c r="AC150" s="137"/>
      <c r="AD150" s="125"/>
      <c r="AE150" s="162"/>
      <c r="AF150" s="183"/>
      <c r="AG150" s="190"/>
      <c r="AH150" s="193"/>
      <c r="AI150" s="194"/>
      <c r="AJ150" s="71"/>
      <c r="AK150" s="190"/>
      <c r="AL150" s="193"/>
      <c r="AM150" s="194"/>
      <c r="AN150" s="71"/>
      <c r="AO150" s="71"/>
    </row>
    <row r="151">
      <c r="A151" s="137"/>
      <c r="B151" s="138"/>
      <c r="C151" s="103"/>
      <c r="D151" s="71"/>
      <c r="E151" s="137"/>
      <c r="F151" s="138"/>
      <c r="G151" s="103"/>
      <c r="H151" s="71"/>
      <c r="I151" s="137"/>
      <c r="J151" s="138"/>
      <c r="K151" s="103"/>
      <c r="L151" s="71"/>
      <c r="M151" s="137"/>
      <c r="N151" s="125"/>
      <c r="O151" s="103"/>
      <c r="P151" s="71"/>
      <c r="Q151" s="189"/>
      <c r="R151" s="125"/>
      <c r="S151" s="103"/>
      <c r="T151" s="71"/>
      <c r="U151" s="189"/>
      <c r="V151" s="125"/>
      <c r="W151" s="103"/>
      <c r="X151" s="71"/>
      <c r="Y151" s="137"/>
      <c r="Z151" s="180"/>
      <c r="AA151" s="181"/>
      <c r="AB151" s="182"/>
      <c r="AC151" s="137"/>
      <c r="AD151" s="125"/>
      <c r="AE151" s="162"/>
      <c r="AF151" s="183"/>
      <c r="AG151" s="190"/>
      <c r="AH151" s="193"/>
      <c r="AI151" s="194"/>
      <c r="AJ151" s="71"/>
      <c r="AK151" s="190"/>
      <c r="AL151" s="193"/>
      <c r="AM151" s="194"/>
      <c r="AN151" s="71"/>
      <c r="AO151" s="71"/>
    </row>
    <row r="152">
      <c r="A152" s="137"/>
      <c r="B152" s="138"/>
      <c r="C152" s="103"/>
      <c r="D152" s="71"/>
      <c r="E152" s="137"/>
      <c r="F152" s="138"/>
      <c r="G152" s="103"/>
      <c r="H152" s="71"/>
      <c r="I152" s="137"/>
      <c r="J152" s="138"/>
      <c r="K152" s="103"/>
      <c r="L152" s="71"/>
      <c r="M152" s="137"/>
      <c r="N152" s="125"/>
      <c r="O152" s="103"/>
      <c r="P152" s="71"/>
      <c r="Q152" s="189"/>
      <c r="R152" s="125"/>
      <c r="S152" s="103"/>
      <c r="T152" s="71"/>
      <c r="U152" s="189"/>
      <c r="V152" s="125"/>
      <c r="W152" s="103"/>
      <c r="X152" s="71"/>
      <c r="Y152" s="137"/>
      <c r="Z152" s="180"/>
      <c r="AA152" s="181"/>
      <c r="AB152" s="182"/>
      <c r="AC152" s="137"/>
      <c r="AD152" s="125"/>
      <c r="AE152" s="162"/>
      <c r="AF152" s="183"/>
      <c r="AG152" s="190"/>
      <c r="AH152" s="193"/>
      <c r="AI152" s="194"/>
      <c r="AJ152" s="71"/>
      <c r="AK152" s="190"/>
      <c r="AL152" s="193"/>
      <c r="AM152" s="194"/>
      <c r="AN152" s="71"/>
      <c r="AO152" s="71"/>
    </row>
    <row r="153">
      <c r="A153" s="137"/>
      <c r="B153" s="138"/>
      <c r="C153" s="103"/>
      <c r="D153" s="71"/>
      <c r="E153" s="137"/>
      <c r="F153" s="138"/>
      <c r="G153" s="103"/>
      <c r="H153" s="71"/>
      <c r="I153" s="137"/>
      <c r="J153" s="138"/>
      <c r="K153" s="103"/>
      <c r="L153" s="71"/>
      <c r="M153" s="137"/>
      <c r="N153" s="125"/>
      <c r="O153" s="103"/>
      <c r="P153" s="71"/>
      <c r="Q153" s="189"/>
      <c r="R153" s="125"/>
      <c r="S153" s="103"/>
      <c r="T153" s="71"/>
      <c r="U153" s="189"/>
      <c r="V153" s="125"/>
      <c r="W153" s="103"/>
      <c r="X153" s="71"/>
      <c r="Y153" s="137"/>
      <c r="Z153" s="180"/>
      <c r="AA153" s="181"/>
      <c r="AB153" s="182"/>
      <c r="AC153" s="137"/>
      <c r="AD153" s="125"/>
      <c r="AE153" s="162"/>
      <c r="AF153" s="183"/>
      <c r="AG153" s="190"/>
      <c r="AH153" s="193"/>
      <c r="AI153" s="194"/>
      <c r="AJ153" s="71"/>
      <c r="AK153" s="190"/>
      <c r="AL153" s="193"/>
      <c r="AM153" s="194"/>
      <c r="AN153" s="71"/>
      <c r="AO153" s="71"/>
    </row>
    <row r="154">
      <c r="A154" s="137"/>
      <c r="B154" s="138"/>
      <c r="C154" s="103"/>
      <c r="D154" s="71"/>
      <c r="E154" s="137"/>
      <c r="F154" s="138"/>
      <c r="G154" s="103"/>
      <c r="H154" s="71"/>
      <c r="I154" s="137"/>
      <c r="J154" s="138"/>
      <c r="K154" s="103"/>
      <c r="L154" s="71"/>
      <c r="M154" s="137"/>
      <c r="N154" s="125"/>
      <c r="O154" s="103"/>
      <c r="P154" s="71"/>
      <c r="Q154" s="189"/>
      <c r="R154" s="125"/>
      <c r="S154" s="103"/>
      <c r="T154" s="71"/>
      <c r="U154" s="189"/>
      <c r="V154" s="125"/>
      <c r="W154" s="103"/>
      <c r="X154" s="71"/>
      <c r="Y154" s="137"/>
      <c r="Z154" s="180"/>
      <c r="AA154" s="181"/>
      <c r="AB154" s="182"/>
      <c r="AC154" s="137"/>
      <c r="AD154" s="125"/>
      <c r="AE154" s="162"/>
      <c r="AF154" s="183"/>
      <c r="AG154" s="190"/>
      <c r="AH154" s="193"/>
      <c r="AI154" s="194"/>
      <c r="AJ154" s="71"/>
      <c r="AK154" s="190"/>
      <c r="AL154" s="193"/>
      <c r="AM154" s="194"/>
      <c r="AN154" s="71"/>
      <c r="AO154" s="71"/>
    </row>
    <row r="155">
      <c r="A155" s="137"/>
      <c r="B155" s="138"/>
      <c r="C155" s="103"/>
      <c r="D155" s="71"/>
      <c r="E155" s="137"/>
      <c r="F155" s="138"/>
      <c r="G155" s="103"/>
      <c r="H155" s="71"/>
      <c r="I155" s="137"/>
      <c r="J155" s="138"/>
      <c r="K155" s="103"/>
      <c r="L155" s="71"/>
      <c r="M155" s="137"/>
      <c r="N155" s="125"/>
      <c r="O155" s="103"/>
      <c r="P155" s="71"/>
      <c r="Q155" s="189"/>
      <c r="R155" s="125"/>
      <c r="S155" s="103"/>
      <c r="T155" s="71"/>
      <c r="U155" s="189"/>
      <c r="V155" s="125"/>
      <c r="W155" s="103"/>
      <c r="X155" s="71"/>
      <c r="Y155" s="137"/>
      <c r="Z155" s="180"/>
      <c r="AA155" s="181"/>
      <c r="AB155" s="182"/>
      <c r="AC155" s="137"/>
      <c r="AD155" s="125"/>
      <c r="AE155" s="162"/>
      <c r="AF155" s="183"/>
      <c r="AG155" s="190"/>
      <c r="AH155" s="193"/>
      <c r="AI155" s="194"/>
      <c r="AJ155" s="71"/>
      <c r="AK155" s="190"/>
      <c r="AL155" s="193"/>
      <c r="AM155" s="194"/>
      <c r="AN155" s="71"/>
      <c r="AO155" s="71"/>
    </row>
    <row r="156">
      <c r="A156" s="137"/>
      <c r="B156" s="138"/>
      <c r="C156" s="103"/>
      <c r="D156" s="71"/>
      <c r="E156" s="137"/>
      <c r="F156" s="138"/>
      <c r="G156" s="103"/>
      <c r="H156" s="71"/>
      <c r="I156" s="137"/>
      <c r="J156" s="138"/>
      <c r="K156" s="103"/>
      <c r="L156" s="71"/>
      <c r="M156" s="137"/>
      <c r="N156" s="125"/>
      <c r="O156" s="103"/>
      <c r="P156" s="71"/>
      <c r="Q156" s="189"/>
      <c r="R156" s="125"/>
      <c r="S156" s="103"/>
      <c r="T156" s="71"/>
      <c r="U156" s="189"/>
      <c r="V156" s="125"/>
      <c r="W156" s="103"/>
      <c r="X156" s="71"/>
      <c r="Y156" s="137"/>
      <c r="Z156" s="180"/>
      <c r="AA156" s="181"/>
      <c r="AB156" s="182"/>
      <c r="AC156" s="137"/>
      <c r="AD156" s="125"/>
      <c r="AE156" s="162"/>
      <c r="AF156" s="183"/>
      <c r="AG156" s="190"/>
      <c r="AH156" s="193"/>
      <c r="AI156" s="194"/>
      <c r="AJ156" s="71"/>
      <c r="AK156" s="190"/>
      <c r="AL156" s="193"/>
      <c r="AM156" s="194"/>
      <c r="AN156" s="71"/>
      <c r="AO156" s="71"/>
    </row>
    <row r="157">
      <c r="A157" s="137"/>
      <c r="B157" s="138"/>
      <c r="C157" s="103"/>
      <c r="D157" s="71"/>
      <c r="E157" s="137"/>
      <c r="F157" s="138"/>
      <c r="G157" s="103"/>
      <c r="H157" s="71"/>
      <c r="I157" s="137"/>
      <c r="J157" s="138"/>
      <c r="K157" s="103"/>
      <c r="L157" s="71"/>
      <c r="M157" s="137"/>
      <c r="N157" s="125"/>
      <c r="O157" s="103"/>
      <c r="P157" s="71"/>
      <c r="Q157" s="189"/>
      <c r="R157" s="125"/>
      <c r="S157" s="103"/>
      <c r="T157" s="71"/>
      <c r="U157" s="189"/>
      <c r="V157" s="125"/>
      <c r="W157" s="103"/>
      <c r="X157" s="71"/>
      <c r="Y157" s="137"/>
      <c r="Z157" s="180"/>
      <c r="AA157" s="181"/>
      <c r="AB157" s="182"/>
      <c r="AC157" s="137"/>
      <c r="AD157" s="125"/>
      <c r="AE157" s="162"/>
      <c r="AF157" s="183"/>
      <c r="AG157" s="190"/>
      <c r="AH157" s="193"/>
      <c r="AI157" s="194"/>
      <c r="AJ157" s="71"/>
      <c r="AK157" s="190"/>
      <c r="AL157" s="193"/>
      <c r="AM157" s="194"/>
      <c r="AN157" s="71"/>
      <c r="AO157" s="71"/>
    </row>
    <row r="158">
      <c r="A158" s="137"/>
      <c r="B158" s="138"/>
      <c r="C158" s="103"/>
      <c r="D158" s="71"/>
      <c r="E158" s="137"/>
      <c r="F158" s="138"/>
      <c r="G158" s="103"/>
      <c r="H158" s="71"/>
      <c r="I158" s="137"/>
      <c r="J158" s="138"/>
      <c r="K158" s="103"/>
      <c r="L158" s="71"/>
      <c r="M158" s="137"/>
      <c r="N158" s="125"/>
      <c r="O158" s="103"/>
      <c r="P158" s="71"/>
      <c r="Q158" s="189"/>
      <c r="R158" s="125"/>
      <c r="S158" s="103"/>
      <c r="T158" s="71"/>
      <c r="U158" s="189"/>
      <c r="V158" s="125"/>
      <c r="W158" s="103"/>
      <c r="X158" s="71"/>
      <c r="Y158" s="137"/>
      <c r="Z158" s="180"/>
      <c r="AA158" s="181"/>
      <c r="AB158" s="182"/>
      <c r="AC158" s="137"/>
      <c r="AD158" s="125"/>
      <c r="AE158" s="162"/>
      <c r="AF158" s="183"/>
      <c r="AG158" s="190"/>
      <c r="AH158" s="193"/>
      <c r="AI158" s="194"/>
      <c r="AJ158" s="71"/>
      <c r="AK158" s="190"/>
      <c r="AL158" s="193"/>
      <c r="AM158" s="194"/>
      <c r="AN158" s="71"/>
      <c r="AO158" s="71"/>
    </row>
    <row r="159">
      <c r="A159" s="137"/>
      <c r="B159" s="138"/>
      <c r="C159" s="103"/>
      <c r="D159" s="71"/>
      <c r="E159" s="137"/>
      <c r="F159" s="138"/>
      <c r="G159" s="103"/>
      <c r="H159" s="71"/>
      <c r="I159" s="137"/>
      <c r="J159" s="138"/>
      <c r="K159" s="103"/>
      <c r="L159" s="71"/>
      <c r="M159" s="137"/>
      <c r="N159" s="125"/>
      <c r="O159" s="103"/>
      <c r="P159" s="71"/>
      <c r="Q159" s="189"/>
      <c r="R159" s="125"/>
      <c r="S159" s="103"/>
      <c r="T159" s="71"/>
      <c r="U159" s="189"/>
      <c r="V159" s="125"/>
      <c r="W159" s="103"/>
      <c r="X159" s="71"/>
      <c r="Y159" s="137"/>
      <c r="Z159" s="180"/>
      <c r="AA159" s="181"/>
      <c r="AB159" s="182"/>
      <c r="AC159" s="137"/>
      <c r="AD159" s="125"/>
      <c r="AE159" s="162"/>
      <c r="AF159" s="183"/>
      <c r="AG159" s="190"/>
      <c r="AH159" s="193"/>
      <c r="AI159" s="194"/>
      <c r="AJ159" s="71"/>
      <c r="AK159" s="190"/>
      <c r="AL159" s="193"/>
      <c r="AM159" s="194"/>
      <c r="AN159" s="71"/>
      <c r="AO159" s="71"/>
    </row>
    <row r="160">
      <c r="A160" s="137"/>
      <c r="B160" s="138"/>
      <c r="C160" s="103"/>
      <c r="D160" s="71"/>
      <c r="E160" s="137"/>
      <c r="F160" s="138"/>
      <c r="G160" s="103"/>
      <c r="H160" s="71"/>
      <c r="I160" s="137"/>
      <c r="J160" s="138"/>
      <c r="K160" s="103"/>
      <c r="L160" s="71"/>
      <c r="M160" s="137"/>
      <c r="N160" s="125"/>
      <c r="O160" s="103"/>
      <c r="P160" s="71"/>
      <c r="Q160" s="189"/>
      <c r="R160" s="125"/>
      <c r="S160" s="103"/>
      <c r="T160" s="71"/>
      <c r="U160" s="189"/>
      <c r="V160" s="125"/>
      <c r="W160" s="103"/>
      <c r="X160" s="71"/>
      <c r="Y160" s="137"/>
      <c r="Z160" s="180"/>
      <c r="AA160" s="181"/>
      <c r="AB160" s="182"/>
      <c r="AC160" s="137"/>
      <c r="AD160" s="125"/>
      <c r="AE160" s="162"/>
      <c r="AF160" s="183"/>
      <c r="AG160" s="190"/>
      <c r="AH160" s="193"/>
      <c r="AI160" s="194"/>
      <c r="AJ160" s="71"/>
      <c r="AK160" s="190"/>
      <c r="AL160" s="193"/>
      <c r="AM160" s="194"/>
      <c r="AN160" s="71"/>
      <c r="AO160" s="71"/>
    </row>
    <row r="161">
      <c r="A161" s="137"/>
      <c r="B161" s="138"/>
      <c r="C161" s="103"/>
      <c r="D161" s="71"/>
      <c r="E161" s="137"/>
      <c r="F161" s="138"/>
      <c r="G161" s="103"/>
      <c r="H161" s="71"/>
      <c r="I161" s="137"/>
      <c r="J161" s="138"/>
      <c r="K161" s="103"/>
      <c r="L161" s="71"/>
      <c r="M161" s="137"/>
      <c r="N161" s="125"/>
      <c r="O161" s="103"/>
      <c r="P161" s="71"/>
      <c r="Q161" s="189"/>
      <c r="R161" s="125"/>
      <c r="S161" s="103"/>
      <c r="T161" s="71"/>
      <c r="U161" s="189"/>
      <c r="V161" s="125"/>
      <c r="W161" s="103"/>
      <c r="X161" s="71"/>
      <c r="Y161" s="137"/>
      <c r="Z161" s="180"/>
      <c r="AA161" s="181"/>
      <c r="AB161" s="182"/>
      <c r="AC161" s="137"/>
      <c r="AD161" s="125"/>
      <c r="AE161" s="162"/>
      <c r="AF161" s="183"/>
      <c r="AG161" s="190"/>
      <c r="AH161" s="193"/>
      <c r="AI161" s="194"/>
      <c r="AJ161" s="71"/>
      <c r="AK161" s="190"/>
      <c r="AL161" s="193"/>
      <c r="AM161" s="194"/>
      <c r="AN161" s="71"/>
      <c r="AO161" s="71"/>
    </row>
    <row r="162">
      <c r="A162" s="137"/>
      <c r="B162" s="138"/>
      <c r="C162" s="103"/>
      <c r="D162" s="71"/>
      <c r="E162" s="137"/>
      <c r="F162" s="138"/>
      <c r="G162" s="103"/>
      <c r="H162" s="71"/>
      <c r="I162" s="137"/>
      <c r="J162" s="138"/>
      <c r="K162" s="103"/>
      <c r="L162" s="71"/>
      <c r="M162" s="137"/>
      <c r="N162" s="125"/>
      <c r="O162" s="103"/>
      <c r="P162" s="71"/>
      <c r="Q162" s="189"/>
      <c r="R162" s="125"/>
      <c r="S162" s="103"/>
      <c r="T162" s="71"/>
      <c r="U162" s="189"/>
      <c r="V162" s="125"/>
      <c r="W162" s="103"/>
      <c r="X162" s="71"/>
      <c r="Y162" s="137"/>
      <c r="Z162" s="180"/>
      <c r="AA162" s="181"/>
      <c r="AB162" s="182"/>
      <c r="AC162" s="137"/>
      <c r="AD162" s="125"/>
      <c r="AE162" s="162"/>
      <c r="AF162" s="183"/>
      <c r="AG162" s="190"/>
      <c r="AH162" s="193"/>
      <c r="AI162" s="194"/>
      <c r="AJ162" s="71"/>
      <c r="AK162" s="190"/>
      <c r="AL162" s="193"/>
      <c r="AM162" s="194"/>
      <c r="AN162" s="71"/>
      <c r="AO162" s="71"/>
    </row>
    <row r="163">
      <c r="A163" s="137"/>
      <c r="B163" s="138"/>
      <c r="C163" s="103"/>
      <c r="D163" s="71"/>
      <c r="E163" s="137"/>
      <c r="F163" s="138"/>
      <c r="G163" s="103"/>
      <c r="H163" s="71"/>
      <c r="I163" s="137"/>
      <c r="J163" s="138"/>
      <c r="K163" s="103"/>
      <c r="L163" s="71"/>
      <c r="M163" s="137"/>
      <c r="N163" s="125"/>
      <c r="O163" s="103"/>
      <c r="P163" s="71"/>
      <c r="Q163" s="189"/>
      <c r="R163" s="125"/>
      <c r="S163" s="103"/>
      <c r="T163" s="71"/>
      <c r="U163" s="189"/>
      <c r="V163" s="125"/>
      <c r="W163" s="103"/>
      <c r="X163" s="71"/>
      <c r="Y163" s="137"/>
      <c r="Z163" s="180"/>
      <c r="AA163" s="181"/>
      <c r="AB163" s="182"/>
      <c r="AC163" s="137"/>
      <c r="AD163" s="125"/>
      <c r="AE163" s="162"/>
      <c r="AF163" s="183"/>
      <c r="AG163" s="190"/>
      <c r="AH163" s="193"/>
      <c r="AI163" s="194"/>
      <c r="AJ163" s="71"/>
      <c r="AK163" s="190"/>
      <c r="AL163" s="193"/>
      <c r="AM163" s="194"/>
      <c r="AN163" s="71"/>
      <c r="AO163" s="71"/>
    </row>
    <row r="164">
      <c r="A164" s="137"/>
      <c r="B164" s="138"/>
      <c r="C164" s="103"/>
      <c r="D164" s="71"/>
      <c r="E164" s="137"/>
      <c r="F164" s="138"/>
      <c r="G164" s="103"/>
      <c r="H164" s="71"/>
      <c r="I164" s="137"/>
      <c r="J164" s="138"/>
      <c r="K164" s="103"/>
      <c r="L164" s="71"/>
      <c r="M164" s="137"/>
      <c r="N164" s="125"/>
      <c r="O164" s="103"/>
      <c r="P164" s="71"/>
      <c r="Q164" s="189"/>
      <c r="R164" s="125"/>
      <c r="S164" s="103"/>
      <c r="T164" s="71"/>
      <c r="U164" s="189"/>
      <c r="V164" s="125"/>
      <c r="W164" s="103"/>
      <c r="X164" s="71"/>
      <c r="Y164" s="137"/>
      <c r="Z164" s="180"/>
      <c r="AA164" s="181"/>
      <c r="AB164" s="182"/>
      <c r="AC164" s="137"/>
      <c r="AD164" s="125"/>
      <c r="AE164" s="162"/>
      <c r="AF164" s="183"/>
      <c r="AG164" s="190"/>
      <c r="AH164" s="193"/>
      <c r="AI164" s="194"/>
      <c r="AJ164" s="71"/>
      <c r="AK164" s="190"/>
      <c r="AL164" s="193"/>
      <c r="AM164" s="194"/>
      <c r="AN164" s="71"/>
      <c r="AO164" s="71"/>
    </row>
    <row r="165">
      <c r="A165" s="137"/>
      <c r="B165" s="138"/>
      <c r="C165" s="103"/>
      <c r="D165" s="71"/>
      <c r="E165" s="137"/>
      <c r="F165" s="138"/>
      <c r="G165" s="103"/>
      <c r="H165" s="71"/>
      <c r="I165" s="137"/>
      <c r="J165" s="138"/>
      <c r="K165" s="103"/>
      <c r="L165" s="71"/>
      <c r="M165" s="137"/>
      <c r="N165" s="125"/>
      <c r="O165" s="103"/>
      <c r="P165" s="71"/>
      <c r="Q165" s="189"/>
      <c r="R165" s="125"/>
      <c r="S165" s="103"/>
      <c r="T165" s="71"/>
      <c r="U165" s="189"/>
      <c r="V165" s="125"/>
      <c r="W165" s="103"/>
      <c r="X165" s="71"/>
      <c r="Y165" s="137"/>
      <c r="Z165" s="180"/>
      <c r="AA165" s="181"/>
      <c r="AB165" s="182"/>
      <c r="AC165" s="137"/>
      <c r="AD165" s="125"/>
      <c r="AE165" s="162"/>
      <c r="AF165" s="183"/>
      <c r="AG165" s="190"/>
      <c r="AH165" s="193"/>
      <c r="AI165" s="194"/>
      <c r="AJ165" s="71"/>
      <c r="AK165" s="190"/>
      <c r="AL165" s="193"/>
      <c r="AM165" s="194"/>
      <c r="AN165" s="71"/>
      <c r="AO165" s="71"/>
    </row>
    <row r="166">
      <c r="A166" s="137"/>
      <c r="B166" s="138"/>
      <c r="C166" s="103"/>
      <c r="D166" s="71"/>
      <c r="E166" s="137"/>
      <c r="F166" s="138"/>
      <c r="G166" s="103"/>
      <c r="H166" s="71"/>
      <c r="I166" s="137"/>
      <c r="J166" s="138"/>
      <c r="K166" s="103"/>
      <c r="L166" s="71"/>
      <c r="M166" s="137"/>
      <c r="N166" s="125"/>
      <c r="O166" s="103"/>
      <c r="P166" s="71"/>
      <c r="Q166" s="189"/>
      <c r="R166" s="125"/>
      <c r="S166" s="103"/>
      <c r="T166" s="71"/>
      <c r="U166" s="189"/>
      <c r="V166" s="125"/>
      <c r="W166" s="103"/>
      <c r="X166" s="71"/>
      <c r="Y166" s="137"/>
      <c r="Z166" s="180"/>
      <c r="AA166" s="181"/>
      <c r="AB166" s="182"/>
      <c r="AC166" s="137"/>
      <c r="AD166" s="125"/>
      <c r="AE166" s="162"/>
      <c r="AF166" s="183"/>
      <c r="AG166" s="190"/>
      <c r="AH166" s="193"/>
      <c r="AI166" s="194"/>
      <c r="AJ166" s="71"/>
      <c r="AK166" s="190"/>
      <c r="AL166" s="193"/>
      <c r="AM166" s="194"/>
      <c r="AN166" s="71"/>
      <c r="AO166" s="71"/>
    </row>
    <row r="167">
      <c r="A167" s="137"/>
      <c r="B167" s="138"/>
      <c r="C167" s="103"/>
      <c r="D167" s="71"/>
      <c r="E167" s="137"/>
      <c r="F167" s="138"/>
      <c r="G167" s="103"/>
      <c r="H167" s="71"/>
      <c r="I167" s="137"/>
      <c r="J167" s="138"/>
      <c r="K167" s="103"/>
      <c r="L167" s="71"/>
      <c r="M167" s="137"/>
      <c r="N167" s="125"/>
      <c r="O167" s="103"/>
      <c r="P167" s="71"/>
      <c r="Q167" s="189"/>
      <c r="R167" s="125"/>
      <c r="S167" s="103"/>
      <c r="T167" s="71"/>
      <c r="U167" s="189"/>
      <c r="V167" s="125"/>
      <c r="W167" s="103"/>
      <c r="X167" s="71"/>
      <c r="Y167" s="137"/>
      <c r="Z167" s="180"/>
      <c r="AA167" s="181"/>
      <c r="AB167" s="182"/>
      <c r="AC167" s="137"/>
      <c r="AD167" s="125"/>
      <c r="AE167" s="162"/>
      <c r="AF167" s="183"/>
      <c r="AG167" s="190"/>
      <c r="AH167" s="193"/>
      <c r="AI167" s="194"/>
      <c r="AJ167" s="71"/>
      <c r="AK167" s="190"/>
      <c r="AL167" s="193"/>
      <c r="AM167" s="194"/>
      <c r="AN167" s="71"/>
      <c r="AO167" s="71"/>
    </row>
    <row r="168">
      <c r="A168" s="137"/>
      <c r="B168" s="138"/>
      <c r="C168" s="103"/>
      <c r="D168" s="71"/>
      <c r="E168" s="137"/>
      <c r="F168" s="138"/>
      <c r="G168" s="103"/>
      <c r="H168" s="71"/>
      <c r="I168" s="137"/>
      <c r="J168" s="138"/>
      <c r="K168" s="103"/>
      <c r="L168" s="71"/>
      <c r="M168" s="137"/>
      <c r="N168" s="125"/>
      <c r="O168" s="103"/>
      <c r="P168" s="71"/>
      <c r="Q168" s="189"/>
      <c r="R168" s="125"/>
      <c r="S168" s="103"/>
      <c r="T168" s="71"/>
      <c r="U168" s="189"/>
      <c r="V168" s="125"/>
      <c r="W168" s="103"/>
      <c r="X168" s="71"/>
      <c r="Y168" s="137"/>
      <c r="Z168" s="180"/>
      <c r="AA168" s="181"/>
      <c r="AB168" s="182"/>
      <c r="AC168" s="137"/>
      <c r="AD168" s="125"/>
      <c r="AE168" s="162"/>
      <c r="AF168" s="183"/>
      <c r="AG168" s="190"/>
      <c r="AH168" s="193"/>
      <c r="AI168" s="194"/>
      <c r="AJ168" s="71"/>
      <c r="AK168" s="190"/>
      <c r="AL168" s="193"/>
      <c r="AM168" s="194"/>
      <c r="AN168" s="71"/>
      <c r="AO168" s="71"/>
    </row>
    <row r="169">
      <c r="A169" s="137"/>
      <c r="B169" s="138"/>
      <c r="C169" s="103"/>
      <c r="D169" s="71"/>
      <c r="E169" s="137"/>
      <c r="F169" s="138"/>
      <c r="G169" s="103"/>
      <c r="H169" s="71"/>
      <c r="I169" s="137"/>
      <c r="J169" s="138"/>
      <c r="K169" s="103"/>
      <c r="L169" s="71"/>
      <c r="M169" s="137"/>
      <c r="N169" s="125"/>
      <c r="O169" s="103"/>
      <c r="P169" s="71"/>
      <c r="Q169" s="189"/>
      <c r="R169" s="125"/>
      <c r="S169" s="103"/>
      <c r="T169" s="71"/>
      <c r="U169" s="189"/>
      <c r="V169" s="125"/>
      <c r="W169" s="103"/>
      <c r="X169" s="71"/>
      <c r="Y169" s="137"/>
      <c r="Z169" s="180"/>
      <c r="AA169" s="181"/>
      <c r="AB169" s="182"/>
      <c r="AC169" s="137"/>
      <c r="AD169" s="125"/>
      <c r="AE169" s="162"/>
      <c r="AF169" s="183"/>
      <c r="AG169" s="190"/>
      <c r="AH169" s="193"/>
      <c r="AI169" s="194"/>
      <c r="AJ169" s="71"/>
      <c r="AK169" s="190"/>
      <c r="AL169" s="193"/>
      <c r="AM169" s="194"/>
      <c r="AN169" s="71"/>
      <c r="AO169" s="71"/>
    </row>
    <row r="170">
      <c r="A170" s="137"/>
      <c r="B170" s="138"/>
      <c r="C170" s="103"/>
      <c r="D170" s="71"/>
      <c r="E170" s="137"/>
      <c r="F170" s="138"/>
      <c r="G170" s="103"/>
      <c r="H170" s="71"/>
      <c r="I170" s="137"/>
      <c r="J170" s="138"/>
      <c r="K170" s="103"/>
      <c r="L170" s="71"/>
      <c r="M170" s="137"/>
      <c r="N170" s="125"/>
      <c r="O170" s="103"/>
      <c r="P170" s="71"/>
      <c r="Q170" s="189"/>
      <c r="R170" s="125"/>
      <c r="S170" s="103"/>
      <c r="T170" s="71"/>
      <c r="U170" s="189"/>
      <c r="V170" s="125"/>
      <c r="W170" s="103"/>
      <c r="X170" s="71"/>
      <c r="Y170" s="137"/>
      <c r="Z170" s="180"/>
      <c r="AA170" s="181"/>
      <c r="AB170" s="182"/>
      <c r="AC170" s="137"/>
      <c r="AD170" s="125"/>
      <c r="AE170" s="162"/>
      <c r="AF170" s="183"/>
      <c r="AG170" s="190"/>
      <c r="AH170" s="193"/>
      <c r="AI170" s="194"/>
      <c r="AJ170" s="71"/>
      <c r="AK170" s="190"/>
      <c r="AL170" s="193"/>
      <c r="AM170" s="194"/>
      <c r="AN170" s="71"/>
      <c r="AO170" s="71"/>
    </row>
    <row r="171">
      <c r="A171" s="137"/>
      <c r="B171" s="138"/>
      <c r="C171" s="103"/>
      <c r="D171" s="71"/>
      <c r="E171" s="137"/>
      <c r="F171" s="138"/>
      <c r="G171" s="103"/>
      <c r="H171" s="71"/>
      <c r="I171" s="137"/>
      <c r="J171" s="138"/>
      <c r="K171" s="103"/>
      <c r="L171" s="71"/>
      <c r="M171" s="137"/>
      <c r="N171" s="125"/>
      <c r="O171" s="103"/>
      <c r="P171" s="71"/>
      <c r="Q171" s="189"/>
      <c r="R171" s="125"/>
      <c r="S171" s="103"/>
      <c r="T171" s="71"/>
      <c r="U171" s="189"/>
      <c r="V171" s="125"/>
      <c r="W171" s="103"/>
      <c r="X171" s="71"/>
      <c r="Y171" s="137"/>
      <c r="Z171" s="180"/>
      <c r="AA171" s="181"/>
      <c r="AB171" s="182"/>
      <c r="AC171" s="137"/>
      <c r="AD171" s="125"/>
      <c r="AE171" s="162"/>
      <c r="AF171" s="183"/>
      <c r="AG171" s="190"/>
      <c r="AH171" s="193"/>
      <c r="AI171" s="194"/>
      <c r="AJ171" s="71"/>
      <c r="AK171" s="190"/>
      <c r="AL171" s="193"/>
      <c r="AM171" s="194"/>
      <c r="AN171" s="71"/>
      <c r="AO171" s="71"/>
    </row>
    <row r="172">
      <c r="A172" s="137"/>
      <c r="B172" s="138"/>
      <c r="C172" s="103"/>
      <c r="D172" s="71"/>
      <c r="E172" s="137"/>
      <c r="F172" s="138"/>
      <c r="G172" s="103"/>
      <c r="H172" s="71"/>
      <c r="I172" s="137"/>
      <c r="J172" s="138"/>
      <c r="K172" s="103"/>
      <c r="L172" s="71"/>
      <c r="M172" s="137"/>
      <c r="N172" s="125"/>
      <c r="O172" s="103"/>
      <c r="P172" s="71"/>
      <c r="Q172" s="189"/>
      <c r="R172" s="125"/>
      <c r="S172" s="103"/>
      <c r="T172" s="71"/>
      <c r="U172" s="189"/>
      <c r="V172" s="125"/>
      <c r="W172" s="103"/>
      <c r="X172" s="71"/>
      <c r="Y172" s="137"/>
      <c r="Z172" s="180"/>
      <c r="AA172" s="181"/>
      <c r="AB172" s="182"/>
      <c r="AC172" s="137"/>
      <c r="AD172" s="125"/>
      <c r="AE172" s="162"/>
      <c r="AF172" s="183"/>
      <c r="AG172" s="190"/>
      <c r="AH172" s="193"/>
      <c r="AI172" s="194"/>
      <c r="AJ172" s="71"/>
      <c r="AK172" s="190"/>
      <c r="AL172" s="193"/>
      <c r="AM172" s="194"/>
      <c r="AN172" s="71"/>
      <c r="AO172" s="71"/>
    </row>
    <row r="173">
      <c r="A173" s="137"/>
      <c r="B173" s="138"/>
      <c r="C173" s="103"/>
      <c r="D173" s="71"/>
      <c r="E173" s="137"/>
      <c r="F173" s="138"/>
      <c r="G173" s="103"/>
      <c r="H173" s="71"/>
      <c r="I173" s="137"/>
      <c r="J173" s="138"/>
      <c r="K173" s="103"/>
      <c r="L173" s="71"/>
      <c r="M173" s="137"/>
      <c r="N173" s="125"/>
      <c r="O173" s="103"/>
      <c r="P173" s="71"/>
      <c r="Q173" s="189"/>
      <c r="R173" s="125"/>
      <c r="S173" s="103"/>
      <c r="T173" s="71"/>
      <c r="U173" s="189"/>
      <c r="V173" s="125"/>
      <c r="W173" s="103"/>
      <c r="X173" s="71"/>
      <c r="Y173" s="137"/>
      <c r="Z173" s="180"/>
      <c r="AA173" s="181"/>
      <c r="AB173" s="182"/>
      <c r="AC173" s="137"/>
      <c r="AD173" s="125"/>
      <c r="AE173" s="162"/>
      <c r="AF173" s="183"/>
      <c r="AG173" s="190"/>
      <c r="AH173" s="193"/>
      <c r="AI173" s="194"/>
      <c r="AJ173" s="71"/>
      <c r="AK173" s="190"/>
      <c r="AL173" s="193"/>
      <c r="AM173" s="194"/>
      <c r="AN173" s="71"/>
      <c r="AO173" s="71"/>
    </row>
    <row r="174">
      <c r="A174" s="137"/>
      <c r="B174" s="138"/>
      <c r="C174" s="103"/>
      <c r="D174" s="71"/>
      <c r="E174" s="137"/>
      <c r="F174" s="138"/>
      <c r="G174" s="103"/>
      <c r="H174" s="71"/>
      <c r="I174" s="137"/>
      <c r="J174" s="138"/>
      <c r="K174" s="103"/>
      <c r="L174" s="71"/>
      <c r="M174" s="137"/>
      <c r="N174" s="125"/>
      <c r="O174" s="103"/>
      <c r="P174" s="71"/>
      <c r="Q174" s="189"/>
      <c r="R174" s="125"/>
      <c r="S174" s="103"/>
      <c r="T174" s="71"/>
      <c r="U174" s="189"/>
      <c r="V174" s="125"/>
      <c r="W174" s="103"/>
      <c r="X174" s="71"/>
      <c r="Y174" s="137"/>
      <c r="Z174" s="180"/>
      <c r="AA174" s="181"/>
      <c r="AB174" s="182"/>
      <c r="AC174" s="137"/>
      <c r="AD174" s="125"/>
      <c r="AE174" s="162"/>
      <c r="AF174" s="183"/>
      <c r="AG174" s="190"/>
      <c r="AH174" s="193"/>
      <c r="AI174" s="194"/>
      <c r="AJ174" s="71"/>
      <c r="AK174" s="190"/>
      <c r="AL174" s="193"/>
      <c r="AM174" s="194"/>
      <c r="AN174" s="71"/>
      <c r="AO174" s="71"/>
    </row>
    <row r="175">
      <c r="A175" s="137"/>
      <c r="B175" s="138"/>
      <c r="C175" s="103"/>
      <c r="D175" s="71"/>
      <c r="E175" s="137"/>
      <c r="F175" s="138"/>
      <c r="G175" s="103"/>
      <c r="H175" s="71"/>
      <c r="I175" s="137"/>
      <c r="J175" s="138"/>
      <c r="K175" s="103"/>
      <c r="L175" s="71"/>
      <c r="M175" s="137"/>
      <c r="N175" s="125"/>
      <c r="O175" s="103"/>
      <c r="P175" s="71"/>
      <c r="Q175" s="189"/>
      <c r="R175" s="125"/>
      <c r="S175" s="103"/>
      <c r="T175" s="71"/>
      <c r="U175" s="189"/>
      <c r="V175" s="125"/>
      <c r="W175" s="103"/>
      <c r="X175" s="71"/>
      <c r="Y175" s="137"/>
      <c r="Z175" s="180"/>
      <c r="AA175" s="181"/>
      <c r="AB175" s="182"/>
      <c r="AC175" s="137"/>
      <c r="AD175" s="125"/>
      <c r="AE175" s="162"/>
      <c r="AF175" s="183"/>
      <c r="AG175" s="190"/>
      <c r="AH175" s="193"/>
      <c r="AI175" s="194"/>
      <c r="AJ175" s="71"/>
      <c r="AK175" s="190"/>
      <c r="AL175" s="193"/>
      <c r="AM175" s="194"/>
      <c r="AN175" s="71"/>
      <c r="AO175" s="71"/>
    </row>
    <row r="176">
      <c r="A176" s="137"/>
      <c r="B176" s="138"/>
      <c r="C176" s="103"/>
      <c r="D176" s="71"/>
      <c r="E176" s="137"/>
      <c r="F176" s="138"/>
      <c r="G176" s="103"/>
      <c r="H176" s="71"/>
      <c r="I176" s="137"/>
      <c r="J176" s="138"/>
      <c r="K176" s="103"/>
      <c r="L176" s="71"/>
      <c r="M176" s="137"/>
      <c r="N176" s="125"/>
      <c r="O176" s="103"/>
      <c r="P176" s="71"/>
      <c r="Q176" s="189"/>
      <c r="R176" s="125"/>
      <c r="S176" s="103"/>
      <c r="T176" s="71"/>
      <c r="U176" s="189"/>
      <c r="V176" s="125"/>
      <c r="W176" s="103"/>
      <c r="X176" s="71"/>
      <c r="Y176" s="137"/>
      <c r="Z176" s="180"/>
      <c r="AA176" s="181"/>
      <c r="AB176" s="182"/>
      <c r="AC176" s="137"/>
      <c r="AD176" s="125"/>
      <c r="AE176" s="162"/>
      <c r="AF176" s="183"/>
      <c r="AG176" s="190"/>
      <c r="AH176" s="193"/>
      <c r="AI176" s="194"/>
      <c r="AJ176" s="71"/>
      <c r="AK176" s="190"/>
      <c r="AL176" s="193"/>
      <c r="AM176" s="194"/>
      <c r="AN176" s="71"/>
      <c r="AO176" s="71"/>
    </row>
    <row r="177">
      <c r="A177" s="137"/>
      <c r="B177" s="138"/>
      <c r="C177" s="103"/>
      <c r="D177" s="71"/>
      <c r="E177" s="137"/>
      <c r="F177" s="138"/>
      <c r="G177" s="103"/>
      <c r="H177" s="71"/>
      <c r="I177" s="137"/>
      <c r="J177" s="138"/>
      <c r="K177" s="103"/>
      <c r="L177" s="71"/>
      <c r="M177" s="137"/>
      <c r="N177" s="125"/>
      <c r="O177" s="103"/>
      <c r="P177" s="71"/>
      <c r="Q177" s="189"/>
      <c r="R177" s="125"/>
      <c r="S177" s="103"/>
      <c r="T177" s="71"/>
      <c r="U177" s="189"/>
      <c r="V177" s="125"/>
      <c r="W177" s="103"/>
      <c r="X177" s="71"/>
      <c r="Y177" s="137"/>
      <c r="Z177" s="180"/>
      <c r="AA177" s="181"/>
      <c r="AB177" s="182"/>
      <c r="AC177" s="137"/>
      <c r="AD177" s="125"/>
      <c r="AE177" s="162"/>
      <c r="AF177" s="183"/>
      <c r="AG177" s="190"/>
      <c r="AH177" s="193"/>
      <c r="AI177" s="194"/>
      <c r="AJ177" s="71"/>
      <c r="AK177" s="190"/>
      <c r="AL177" s="193"/>
      <c r="AM177" s="194"/>
      <c r="AN177" s="71"/>
      <c r="AO177" s="71"/>
    </row>
    <row r="178">
      <c r="A178" s="137"/>
      <c r="B178" s="138"/>
      <c r="C178" s="103"/>
      <c r="D178" s="71"/>
      <c r="E178" s="137"/>
      <c r="F178" s="138"/>
      <c r="G178" s="103"/>
      <c r="H178" s="71"/>
      <c r="I178" s="137"/>
      <c r="J178" s="138"/>
      <c r="K178" s="103"/>
      <c r="L178" s="71"/>
      <c r="M178" s="137"/>
      <c r="N178" s="125"/>
      <c r="O178" s="103"/>
      <c r="P178" s="71"/>
      <c r="Q178" s="189"/>
      <c r="R178" s="125"/>
      <c r="S178" s="103"/>
      <c r="T178" s="71"/>
      <c r="U178" s="189"/>
      <c r="V178" s="125"/>
      <c r="W178" s="103"/>
      <c r="X178" s="71"/>
      <c r="Y178" s="137"/>
      <c r="Z178" s="180"/>
      <c r="AA178" s="181"/>
      <c r="AB178" s="182"/>
      <c r="AC178" s="137"/>
      <c r="AD178" s="125"/>
      <c r="AE178" s="162"/>
      <c r="AF178" s="183"/>
      <c r="AG178" s="190"/>
      <c r="AH178" s="193"/>
      <c r="AI178" s="194"/>
      <c r="AJ178" s="71"/>
      <c r="AK178" s="190"/>
      <c r="AL178" s="193"/>
      <c r="AM178" s="194"/>
      <c r="AN178" s="71"/>
      <c r="AO178" s="71"/>
    </row>
    <row r="179">
      <c r="A179" s="137"/>
      <c r="B179" s="138"/>
      <c r="C179" s="103"/>
      <c r="D179" s="71"/>
      <c r="E179" s="137"/>
      <c r="F179" s="138"/>
      <c r="G179" s="103"/>
      <c r="H179" s="71"/>
      <c r="I179" s="137"/>
      <c r="J179" s="138"/>
      <c r="K179" s="103"/>
      <c r="L179" s="71"/>
      <c r="M179" s="137"/>
      <c r="N179" s="125"/>
      <c r="O179" s="103"/>
      <c r="P179" s="71"/>
      <c r="Q179" s="189"/>
      <c r="R179" s="125"/>
      <c r="S179" s="103"/>
      <c r="T179" s="71"/>
      <c r="U179" s="189"/>
      <c r="V179" s="125"/>
      <c r="W179" s="103"/>
      <c r="X179" s="71"/>
      <c r="Y179" s="137"/>
      <c r="Z179" s="180"/>
      <c r="AA179" s="181"/>
      <c r="AB179" s="182"/>
      <c r="AC179" s="137"/>
      <c r="AD179" s="125"/>
      <c r="AE179" s="162"/>
      <c r="AF179" s="183"/>
      <c r="AG179" s="190"/>
      <c r="AH179" s="193"/>
      <c r="AI179" s="194"/>
      <c r="AJ179" s="71"/>
      <c r="AK179" s="190"/>
      <c r="AL179" s="193"/>
      <c r="AM179" s="194"/>
      <c r="AN179" s="71"/>
      <c r="AO179" s="71"/>
    </row>
    <row r="180">
      <c r="A180" s="137"/>
      <c r="B180" s="138"/>
      <c r="C180" s="103"/>
      <c r="D180" s="71"/>
      <c r="E180" s="137"/>
      <c r="F180" s="138"/>
      <c r="G180" s="103"/>
      <c r="H180" s="71"/>
      <c r="I180" s="137"/>
      <c r="J180" s="138"/>
      <c r="K180" s="103"/>
      <c r="L180" s="71"/>
      <c r="M180" s="137"/>
      <c r="N180" s="125"/>
      <c r="O180" s="103"/>
      <c r="P180" s="71"/>
      <c r="Q180" s="189"/>
      <c r="R180" s="125"/>
      <c r="S180" s="103"/>
      <c r="T180" s="71"/>
      <c r="U180" s="189"/>
      <c r="V180" s="125"/>
      <c r="W180" s="103"/>
      <c r="X180" s="71"/>
      <c r="Y180" s="137"/>
      <c r="Z180" s="180"/>
      <c r="AA180" s="181"/>
      <c r="AB180" s="182"/>
      <c r="AC180" s="137"/>
      <c r="AD180" s="125"/>
      <c r="AE180" s="162"/>
      <c r="AF180" s="183"/>
      <c r="AG180" s="190"/>
      <c r="AH180" s="193"/>
      <c r="AI180" s="194"/>
      <c r="AJ180" s="71"/>
      <c r="AK180" s="190"/>
      <c r="AL180" s="193"/>
      <c r="AM180" s="194"/>
      <c r="AN180" s="71"/>
      <c r="AO180" s="71"/>
    </row>
    <row r="181">
      <c r="A181" s="137"/>
      <c r="B181" s="138"/>
      <c r="C181" s="103"/>
      <c r="D181" s="71"/>
      <c r="E181" s="137"/>
      <c r="F181" s="138"/>
      <c r="G181" s="103"/>
      <c r="H181" s="71"/>
      <c r="I181" s="137"/>
      <c r="J181" s="138"/>
      <c r="K181" s="103"/>
      <c r="L181" s="71"/>
      <c r="M181" s="137"/>
      <c r="N181" s="125"/>
      <c r="O181" s="103"/>
      <c r="P181" s="71"/>
      <c r="Q181" s="189"/>
      <c r="R181" s="125"/>
      <c r="S181" s="103"/>
      <c r="T181" s="71"/>
      <c r="U181" s="189"/>
      <c r="V181" s="125"/>
      <c r="W181" s="103"/>
      <c r="X181" s="71"/>
      <c r="Y181" s="137"/>
      <c r="Z181" s="180"/>
      <c r="AA181" s="181"/>
      <c r="AB181" s="182"/>
      <c r="AC181" s="137"/>
      <c r="AD181" s="125"/>
      <c r="AE181" s="162"/>
      <c r="AF181" s="183"/>
      <c r="AG181" s="190"/>
      <c r="AH181" s="193"/>
      <c r="AI181" s="194"/>
      <c r="AJ181" s="71"/>
      <c r="AK181" s="190"/>
      <c r="AL181" s="193"/>
      <c r="AM181" s="194"/>
      <c r="AN181" s="71"/>
      <c r="AO181" s="71"/>
    </row>
    <row r="182">
      <c r="A182" s="137"/>
      <c r="B182" s="138"/>
      <c r="C182" s="103"/>
      <c r="D182" s="71"/>
      <c r="E182" s="137"/>
      <c r="F182" s="138"/>
      <c r="G182" s="103"/>
      <c r="H182" s="71"/>
      <c r="I182" s="137"/>
      <c r="J182" s="138"/>
      <c r="K182" s="103"/>
      <c r="L182" s="71"/>
      <c r="M182" s="137"/>
      <c r="N182" s="125"/>
      <c r="O182" s="103"/>
      <c r="P182" s="71"/>
      <c r="Q182" s="189"/>
      <c r="R182" s="125"/>
      <c r="S182" s="103"/>
      <c r="T182" s="71"/>
      <c r="U182" s="189"/>
      <c r="V182" s="125"/>
      <c r="W182" s="103"/>
      <c r="X182" s="71"/>
      <c r="Y182" s="137"/>
      <c r="Z182" s="180"/>
      <c r="AA182" s="181"/>
      <c r="AB182" s="182"/>
      <c r="AC182" s="137"/>
      <c r="AD182" s="125"/>
      <c r="AE182" s="162"/>
      <c r="AF182" s="183"/>
      <c r="AG182" s="190"/>
      <c r="AH182" s="193"/>
      <c r="AI182" s="194"/>
      <c r="AJ182" s="71"/>
      <c r="AK182" s="190"/>
      <c r="AL182" s="193"/>
      <c r="AM182" s="194"/>
      <c r="AN182" s="71"/>
      <c r="AO182" s="71"/>
    </row>
    <row r="183">
      <c r="A183" s="137"/>
      <c r="B183" s="138"/>
      <c r="C183" s="103"/>
      <c r="D183" s="71"/>
      <c r="E183" s="137"/>
      <c r="F183" s="138"/>
      <c r="G183" s="103"/>
      <c r="H183" s="71"/>
      <c r="I183" s="137"/>
      <c r="J183" s="138"/>
      <c r="K183" s="103"/>
      <c r="L183" s="71"/>
      <c r="M183" s="137"/>
      <c r="N183" s="125"/>
      <c r="O183" s="103"/>
      <c r="P183" s="71"/>
      <c r="Q183" s="189"/>
      <c r="R183" s="125"/>
      <c r="S183" s="103"/>
      <c r="T183" s="71"/>
      <c r="U183" s="189"/>
      <c r="V183" s="125"/>
      <c r="W183" s="103"/>
      <c r="X183" s="71"/>
      <c r="Y183" s="137"/>
      <c r="Z183" s="180"/>
      <c r="AA183" s="181"/>
      <c r="AB183" s="182"/>
      <c r="AC183" s="137"/>
      <c r="AD183" s="125"/>
      <c r="AE183" s="162"/>
      <c r="AF183" s="183"/>
      <c r="AG183" s="190"/>
      <c r="AH183" s="193"/>
      <c r="AI183" s="194"/>
      <c r="AJ183" s="71"/>
      <c r="AK183" s="190"/>
      <c r="AL183" s="193"/>
      <c r="AM183" s="194"/>
      <c r="AN183" s="71"/>
      <c r="AO183" s="71"/>
    </row>
    <row r="184">
      <c r="A184" s="137"/>
      <c r="B184" s="138"/>
      <c r="C184" s="103"/>
      <c r="D184" s="71"/>
      <c r="E184" s="137"/>
      <c r="F184" s="138"/>
      <c r="G184" s="103"/>
      <c r="H184" s="71"/>
      <c r="I184" s="137"/>
      <c r="J184" s="138"/>
      <c r="K184" s="103"/>
      <c r="L184" s="71"/>
      <c r="M184" s="137"/>
      <c r="N184" s="125"/>
      <c r="O184" s="103"/>
      <c r="P184" s="71"/>
      <c r="Q184" s="189"/>
      <c r="R184" s="125"/>
      <c r="S184" s="103"/>
      <c r="T184" s="71"/>
      <c r="U184" s="189"/>
      <c r="V184" s="125"/>
      <c r="W184" s="103"/>
      <c r="X184" s="71"/>
      <c r="Y184" s="137"/>
      <c r="Z184" s="180"/>
      <c r="AA184" s="181"/>
      <c r="AB184" s="182"/>
      <c r="AC184" s="137"/>
      <c r="AD184" s="125"/>
      <c r="AE184" s="162"/>
      <c r="AF184" s="183"/>
      <c r="AG184" s="190"/>
      <c r="AH184" s="193"/>
      <c r="AI184" s="194"/>
      <c r="AJ184" s="71"/>
      <c r="AK184" s="190"/>
      <c r="AL184" s="193"/>
      <c r="AM184" s="194"/>
      <c r="AN184" s="71"/>
      <c r="AO184" s="71"/>
    </row>
    <row r="185">
      <c r="A185" s="137"/>
      <c r="B185" s="138"/>
      <c r="C185" s="103"/>
      <c r="D185" s="71"/>
      <c r="E185" s="137"/>
      <c r="F185" s="138"/>
      <c r="G185" s="103"/>
      <c r="H185" s="71"/>
      <c r="I185" s="137"/>
      <c r="J185" s="138"/>
      <c r="K185" s="103"/>
      <c r="L185" s="71"/>
      <c r="M185" s="137"/>
      <c r="N185" s="125"/>
      <c r="O185" s="103"/>
      <c r="P185" s="71"/>
      <c r="Q185" s="189"/>
      <c r="R185" s="125"/>
      <c r="S185" s="103"/>
      <c r="T185" s="71"/>
      <c r="U185" s="189"/>
      <c r="V185" s="125"/>
      <c r="W185" s="103"/>
      <c r="X185" s="71"/>
      <c r="Y185" s="137"/>
      <c r="Z185" s="180"/>
      <c r="AA185" s="181"/>
      <c r="AB185" s="182"/>
      <c r="AC185" s="137"/>
      <c r="AD185" s="125"/>
      <c r="AE185" s="162"/>
      <c r="AF185" s="183"/>
      <c r="AG185" s="190"/>
      <c r="AH185" s="193"/>
      <c r="AI185" s="194"/>
      <c r="AJ185" s="71"/>
      <c r="AK185" s="190"/>
      <c r="AL185" s="193"/>
      <c r="AM185" s="194"/>
      <c r="AN185" s="71"/>
      <c r="AO185" s="71"/>
    </row>
    <row r="186">
      <c r="A186" s="137"/>
      <c r="B186" s="138"/>
      <c r="C186" s="103"/>
      <c r="D186" s="71"/>
      <c r="E186" s="137"/>
      <c r="F186" s="138"/>
      <c r="G186" s="103"/>
      <c r="H186" s="71"/>
      <c r="I186" s="137"/>
      <c r="J186" s="138"/>
      <c r="K186" s="103"/>
      <c r="L186" s="71"/>
      <c r="M186" s="137"/>
      <c r="N186" s="125"/>
      <c r="O186" s="103"/>
      <c r="P186" s="71"/>
      <c r="Q186" s="189"/>
      <c r="R186" s="125"/>
      <c r="S186" s="103"/>
      <c r="T186" s="71"/>
      <c r="U186" s="189"/>
      <c r="V186" s="125"/>
      <c r="W186" s="103"/>
      <c r="X186" s="71"/>
      <c r="Y186" s="137"/>
      <c r="Z186" s="180"/>
      <c r="AA186" s="181"/>
      <c r="AB186" s="182"/>
      <c r="AC186" s="137"/>
      <c r="AD186" s="125"/>
      <c r="AE186" s="162"/>
      <c r="AF186" s="183"/>
      <c r="AG186" s="190"/>
      <c r="AH186" s="193"/>
      <c r="AI186" s="194"/>
      <c r="AJ186" s="71"/>
      <c r="AK186" s="190"/>
      <c r="AL186" s="193"/>
      <c r="AM186" s="194"/>
      <c r="AN186" s="71"/>
      <c r="AO186" s="71"/>
    </row>
    <row r="187">
      <c r="A187" s="137"/>
      <c r="B187" s="138"/>
      <c r="C187" s="103"/>
      <c r="D187" s="71"/>
      <c r="E187" s="137"/>
      <c r="F187" s="138"/>
      <c r="G187" s="103"/>
      <c r="H187" s="71"/>
      <c r="I187" s="137"/>
      <c r="J187" s="138"/>
      <c r="K187" s="103"/>
      <c r="L187" s="71"/>
      <c r="M187" s="137"/>
      <c r="N187" s="125"/>
      <c r="O187" s="103"/>
      <c r="P187" s="71"/>
      <c r="Q187" s="189"/>
      <c r="R187" s="125"/>
      <c r="S187" s="103"/>
      <c r="T187" s="71"/>
      <c r="U187" s="189"/>
      <c r="V187" s="125"/>
      <c r="W187" s="103"/>
      <c r="X187" s="71"/>
      <c r="Y187" s="137"/>
      <c r="Z187" s="180"/>
      <c r="AA187" s="181"/>
      <c r="AB187" s="182"/>
      <c r="AC187" s="137"/>
      <c r="AD187" s="125"/>
      <c r="AE187" s="162"/>
      <c r="AF187" s="183"/>
      <c r="AG187" s="190"/>
      <c r="AH187" s="193"/>
      <c r="AI187" s="194"/>
      <c r="AJ187" s="71"/>
      <c r="AK187" s="190"/>
      <c r="AL187" s="193"/>
      <c r="AM187" s="194"/>
      <c r="AN187" s="71"/>
      <c r="AO187" s="71"/>
    </row>
    <row r="188">
      <c r="A188" s="137"/>
      <c r="B188" s="138"/>
      <c r="C188" s="103"/>
      <c r="D188" s="71"/>
      <c r="E188" s="137"/>
      <c r="F188" s="138"/>
      <c r="G188" s="103"/>
      <c r="H188" s="71"/>
      <c r="I188" s="137"/>
      <c r="J188" s="138"/>
      <c r="K188" s="103"/>
      <c r="L188" s="71"/>
      <c r="M188" s="137"/>
      <c r="N188" s="125"/>
      <c r="O188" s="103"/>
      <c r="P188" s="71"/>
      <c r="Q188" s="189"/>
      <c r="R188" s="125"/>
      <c r="S188" s="103"/>
      <c r="T188" s="71"/>
      <c r="U188" s="189"/>
      <c r="V188" s="125"/>
      <c r="W188" s="103"/>
      <c r="X188" s="71"/>
      <c r="Y188" s="137"/>
      <c r="Z188" s="180"/>
      <c r="AA188" s="181"/>
      <c r="AB188" s="182"/>
      <c r="AC188" s="137"/>
      <c r="AD188" s="125"/>
      <c r="AE188" s="162"/>
      <c r="AF188" s="183"/>
      <c r="AG188" s="190"/>
      <c r="AH188" s="193"/>
      <c r="AI188" s="194"/>
      <c r="AJ188" s="71"/>
      <c r="AK188" s="190"/>
      <c r="AL188" s="193"/>
      <c r="AM188" s="194"/>
      <c r="AN188" s="71"/>
      <c r="AO188" s="71"/>
    </row>
    <row r="189">
      <c r="A189" s="137"/>
      <c r="B189" s="138"/>
      <c r="C189" s="103"/>
      <c r="D189" s="71"/>
      <c r="E189" s="137"/>
      <c r="F189" s="138"/>
      <c r="G189" s="103"/>
      <c r="H189" s="71"/>
      <c r="I189" s="137"/>
      <c r="J189" s="138"/>
      <c r="K189" s="103"/>
      <c r="L189" s="71"/>
      <c r="M189" s="137"/>
      <c r="N189" s="125"/>
      <c r="O189" s="103"/>
      <c r="P189" s="71"/>
      <c r="Q189" s="189"/>
      <c r="R189" s="125"/>
      <c r="S189" s="103"/>
      <c r="T189" s="71"/>
      <c r="U189" s="189"/>
      <c r="V189" s="125"/>
      <c r="W189" s="103"/>
      <c r="X189" s="71"/>
      <c r="Y189" s="137"/>
      <c r="Z189" s="180"/>
      <c r="AA189" s="181"/>
      <c r="AB189" s="182"/>
      <c r="AC189" s="137"/>
      <c r="AD189" s="125"/>
      <c r="AE189" s="162"/>
      <c r="AF189" s="183"/>
      <c r="AG189" s="190"/>
      <c r="AH189" s="193"/>
      <c r="AI189" s="194"/>
      <c r="AJ189" s="71"/>
      <c r="AK189" s="190"/>
      <c r="AL189" s="193"/>
      <c r="AM189" s="194"/>
      <c r="AN189" s="71"/>
      <c r="AO189" s="71"/>
    </row>
    <row r="190">
      <c r="A190" s="137"/>
      <c r="B190" s="138"/>
      <c r="C190" s="103"/>
      <c r="D190" s="71"/>
      <c r="E190" s="137"/>
      <c r="F190" s="138"/>
      <c r="G190" s="103"/>
      <c r="H190" s="71"/>
      <c r="I190" s="137"/>
      <c r="J190" s="138"/>
      <c r="K190" s="103"/>
      <c r="L190" s="71"/>
      <c r="M190" s="137"/>
      <c r="N190" s="125"/>
      <c r="O190" s="103"/>
      <c r="P190" s="71"/>
      <c r="Q190" s="189"/>
      <c r="R190" s="125"/>
      <c r="S190" s="103"/>
      <c r="T190" s="71"/>
      <c r="U190" s="189"/>
      <c r="V190" s="125"/>
      <c r="W190" s="103"/>
      <c r="X190" s="71"/>
      <c r="Y190" s="137"/>
      <c r="Z190" s="180"/>
      <c r="AA190" s="181"/>
      <c r="AB190" s="182"/>
      <c r="AC190" s="137"/>
      <c r="AD190" s="125"/>
      <c r="AE190" s="162"/>
      <c r="AF190" s="183"/>
      <c r="AG190" s="190"/>
      <c r="AH190" s="193"/>
      <c r="AI190" s="194"/>
      <c r="AJ190" s="71"/>
      <c r="AK190" s="190"/>
      <c r="AL190" s="193"/>
      <c r="AM190" s="194"/>
      <c r="AN190" s="71"/>
      <c r="AO190" s="71"/>
    </row>
    <row r="191">
      <c r="A191" s="137"/>
      <c r="B191" s="138"/>
      <c r="C191" s="103"/>
      <c r="D191" s="71"/>
      <c r="E191" s="137"/>
      <c r="F191" s="138"/>
      <c r="G191" s="103"/>
      <c r="H191" s="71"/>
      <c r="I191" s="137"/>
      <c r="J191" s="138"/>
      <c r="K191" s="103"/>
      <c r="L191" s="71"/>
      <c r="M191" s="137"/>
      <c r="N191" s="125"/>
      <c r="O191" s="103"/>
      <c r="P191" s="71"/>
      <c r="Q191" s="189"/>
      <c r="R191" s="125"/>
      <c r="S191" s="103"/>
      <c r="T191" s="71"/>
      <c r="U191" s="189"/>
      <c r="V191" s="125"/>
      <c r="W191" s="103"/>
      <c r="X191" s="71"/>
      <c r="Y191" s="137"/>
      <c r="Z191" s="180"/>
      <c r="AA191" s="181"/>
      <c r="AB191" s="182"/>
      <c r="AC191" s="137"/>
      <c r="AD191" s="125"/>
      <c r="AE191" s="162"/>
      <c r="AF191" s="183"/>
      <c r="AG191" s="190"/>
      <c r="AH191" s="193"/>
      <c r="AI191" s="194"/>
      <c r="AJ191" s="71"/>
      <c r="AK191" s="190"/>
      <c r="AL191" s="193"/>
      <c r="AM191" s="194"/>
      <c r="AN191" s="71"/>
      <c r="AO191" s="71"/>
    </row>
    <row r="192">
      <c r="A192" s="137"/>
      <c r="B192" s="138"/>
      <c r="C192" s="103"/>
      <c r="D192" s="71"/>
      <c r="E192" s="137"/>
      <c r="F192" s="138"/>
      <c r="G192" s="103"/>
      <c r="H192" s="71"/>
      <c r="I192" s="137"/>
      <c r="J192" s="138"/>
      <c r="K192" s="103"/>
      <c r="L192" s="71"/>
      <c r="M192" s="137"/>
      <c r="N192" s="125"/>
      <c r="O192" s="103"/>
      <c r="P192" s="71"/>
      <c r="Q192" s="189"/>
      <c r="R192" s="125"/>
      <c r="S192" s="103"/>
      <c r="T192" s="71"/>
      <c r="U192" s="189"/>
      <c r="V192" s="125"/>
      <c r="W192" s="103"/>
      <c r="X192" s="71"/>
      <c r="Y192" s="137"/>
      <c r="Z192" s="180"/>
      <c r="AA192" s="181"/>
      <c r="AB192" s="182"/>
      <c r="AC192" s="137"/>
      <c r="AD192" s="125"/>
      <c r="AE192" s="162"/>
      <c r="AF192" s="183"/>
      <c r="AG192" s="190"/>
      <c r="AH192" s="193"/>
      <c r="AI192" s="194"/>
      <c r="AJ192" s="71"/>
      <c r="AK192" s="190"/>
      <c r="AL192" s="193"/>
      <c r="AM192" s="194"/>
      <c r="AN192" s="71"/>
      <c r="AO192" s="71"/>
    </row>
    <row r="193">
      <c r="A193" s="137"/>
      <c r="B193" s="138"/>
      <c r="C193" s="103"/>
      <c r="D193" s="71"/>
      <c r="E193" s="137"/>
      <c r="F193" s="138"/>
      <c r="G193" s="103"/>
      <c r="H193" s="71"/>
      <c r="I193" s="137"/>
      <c r="J193" s="138"/>
      <c r="K193" s="103"/>
      <c r="L193" s="71"/>
      <c r="M193" s="137"/>
      <c r="N193" s="125"/>
      <c r="O193" s="103"/>
      <c r="P193" s="71"/>
      <c r="Q193" s="189"/>
      <c r="R193" s="125"/>
      <c r="S193" s="103"/>
      <c r="T193" s="71"/>
      <c r="U193" s="189"/>
      <c r="V193" s="125"/>
      <c r="W193" s="103"/>
      <c r="X193" s="71"/>
      <c r="Y193" s="137"/>
      <c r="Z193" s="180"/>
      <c r="AA193" s="181"/>
      <c r="AB193" s="182"/>
      <c r="AC193" s="137"/>
      <c r="AD193" s="125"/>
      <c r="AE193" s="162"/>
      <c r="AF193" s="183"/>
      <c r="AG193" s="190"/>
      <c r="AH193" s="193"/>
      <c r="AI193" s="194"/>
      <c r="AJ193" s="71"/>
      <c r="AK193" s="190"/>
      <c r="AL193" s="193"/>
      <c r="AM193" s="194"/>
      <c r="AN193" s="71"/>
      <c r="AO193" s="71"/>
    </row>
    <row r="194">
      <c r="A194" s="137"/>
      <c r="B194" s="138"/>
      <c r="C194" s="103"/>
      <c r="D194" s="71"/>
      <c r="E194" s="137"/>
      <c r="F194" s="138"/>
      <c r="G194" s="103"/>
      <c r="H194" s="71"/>
      <c r="I194" s="137"/>
      <c r="J194" s="138"/>
      <c r="K194" s="103"/>
      <c r="L194" s="71"/>
      <c r="M194" s="137"/>
      <c r="N194" s="125"/>
      <c r="O194" s="103"/>
      <c r="P194" s="71"/>
      <c r="Q194" s="189"/>
      <c r="R194" s="125"/>
      <c r="S194" s="103"/>
      <c r="T194" s="71"/>
      <c r="U194" s="189"/>
      <c r="V194" s="125"/>
      <c r="W194" s="103"/>
      <c r="X194" s="71"/>
      <c r="Y194" s="137"/>
      <c r="Z194" s="180"/>
      <c r="AA194" s="181"/>
      <c r="AB194" s="182"/>
      <c r="AC194" s="137"/>
      <c r="AD194" s="125"/>
      <c r="AE194" s="162"/>
      <c r="AF194" s="183"/>
      <c r="AG194" s="190"/>
      <c r="AH194" s="193"/>
      <c r="AI194" s="194"/>
      <c r="AJ194" s="71"/>
      <c r="AK194" s="190"/>
      <c r="AL194" s="193"/>
      <c r="AM194" s="194"/>
      <c r="AN194" s="71"/>
      <c r="AO194" s="71"/>
    </row>
    <row r="195">
      <c r="A195" s="137"/>
      <c r="B195" s="138"/>
      <c r="C195" s="103"/>
      <c r="D195" s="71"/>
      <c r="E195" s="137"/>
      <c r="F195" s="138"/>
      <c r="G195" s="103"/>
      <c r="H195" s="71"/>
      <c r="I195" s="137"/>
      <c r="J195" s="138"/>
      <c r="K195" s="103"/>
      <c r="L195" s="71"/>
      <c r="M195" s="137"/>
      <c r="N195" s="125"/>
      <c r="O195" s="103"/>
      <c r="P195" s="71"/>
      <c r="Q195" s="189"/>
      <c r="R195" s="125"/>
      <c r="S195" s="103"/>
      <c r="T195" s="71"/>
      <c r="U195" s="189"/>
      <c r="V195" s="125"/>
      <c r="W195" s="103"/>
      <c r="X195" s="71"/>
      <c r="Y195" s="137"/>
      <c r="Z195" s="180"/>
      <c r="AA195" s="181"/>
      <c r="AB195" s="182"/>
      <c r="AC195" s="137"/>
      <c r="AD195" s="125"/>
      <c r="AE195" s="162"/>
      <c r="AF195" s="183"/>
      <c r="AG195" s="190"/>
      <c r="AH195" s="193"/>
      <c r="AI195" s="194"/>
      <c r="AJ195" s="71"/>
      <c r="AK195" s="190"/>
      <c r="AL195" s="193"/>
      <c r="AM195" s="194"/>
      <c r="AN195" s="71"/>
      <c r="AO195" s="71"/>
    </row>
    <row r="196">
      <c r="A196" s="137"/>
      <c r="B196" s="138"/>
      <c r="C196" s="103"/>
      <c r="D196" s="71"/>
      <c r="E196" s="137"/>
      <c r="F196" s="138"/>
      <c r="G196" s="103"/>
      <c r="H196" s="71"/>
      <c r="I196" s="137"/>
      <c r="J196" s="138"/>
      <c r="K196" s="103"/>
      <c r="L196" s="71"/>
      <c r="M196" s="137"/>
      <c r="N196" s="125"/>
      <c r="O196" s="103"/>
      <c r="P196" s="71"/>
      <c r="Q196" s="189"/>
      <c r="R196" s="125"/>
      <c r="S196" s="103"/>
      <c r="T196" s="71"/>
      <c r="U196" s="189"/>
      <c r="V196" s="125"/>
      <c r="W196" s="103"/>
      <c r="X196" s="71"/>
      <c r="Y196" s="137"/>
      <c r="Z196" s="180"/>
      <c r="AA196" s="181"/>
      <c r="AB196" s="182"/>
      <c r="AC196" s="137"/>
      <c r="AD196" s="125"/>
      <c r="AE196" s="162"/>
      <c r="AF196" s="183"/>
      <c r="AG196" s="190"/>
      <c r="AH196" s="193"/>
      <c r="AI196" s="194"/>
      <c r="AJ196" s="71"/>
      <c r="AK196" s="190"/>
      <c r="AL196" s="193"/>
      <c r="AM196" s="194"/>
      <c r="AN196" s="71"/>
      <c r="AO196" s="71"/>
    </row>
    <row r="197">
      <c r="A197" s="137"/>
      <c r="B197" s="138"/>
      <c r="C197" s="103"/>
      <c r="D197" s="71"/>
      <c r="E197" s="137"/>
      <c r="F197" s="138"/>
      <c r="G197" s="103"/>
      <c r="H197" s="71"/>
      <c r="I197" s="137"/>
      <c r="J197" s="138"/>
      <c r="K197" s="103"/>
      <c r="L197" s="71"/>
      <c r="M197" s="137"/>
      <c r="N197" s="125"/>
      <c r="O197" s="103"/>
      <c r="P197" s="71"/>
      <c r="Q197" s="189"/>
      <c r="R197" s="125"/>
      <c r="S197" s="103"/>
      <c r="T197" s="71"/>
      <c r="U197" s="189"/>
      <c r="V197" s="125"/>
      <c r="W197" s="103"/>
      <c r="X197" s="71"/>
      <c r="Y197" s="137"/>
      <c r="Z197" s="180"/>
      <c r="AA197" s="181"/>
      <c r="AB197" s="182"/>
      <c r="AC197" s="137"/>
      <c r="AD197" s="125"/>
      <c r="AE197" s="162"/>
      <c r="AF197" s="183"/>
      <c r="AG197" s="190"/>
      <c r="AH197" s="193"/>
      <c r="AI197" s="194"/>
      <c r="AJ197" s="71"/>
      <c r="AK197" s="190"/>
      <c r="AL197" s="193"/>
      <c r="AM197" s="194"/>
      <c r="AN197" s="71"/>
      <c r="AO197" s="71"/>
    </row>
    <row r="198">
      <c r="A198" s="137"/>
      <c r="B198" s="138"/>
      <c r="C198" s="103"/>
      <c r="D198" s="71"/>
      <c r="E198" s="137"/>
      <c r="F198" s="138"/>
      <c r="G198" s="103"/>
      <c r="H198" s="71"/>
      <c r="I198" s="137"/>
      <c r="J198" s="138"/>
      <c r="K198" s="103"/>
      <c r="L198" s="71"/>
      <c r="M198" s="137"/>
      <c r="N198" s="125"/>
      <c r="O198" s="103"/>
      <c r="P198" s="71"/>
      <c r="Q198" s="189"/>
      <c r="R198" s="125"/>
      <c r="S198" s="103"/>
      <c r="T198" s="71"/>
      <c r="U198" s="189"/>
      <c r="V198" s="125"/>
      <c r="W198" s="103"/>
      <c r="X198" s="71"/>
      <c r="Y198" s="137"/>
      <c r="Z198" s="180"/>
      <c r="AA198" s="181"/>
      <c r="AB198" s="182"/>
      <c r="AC198" s="137"/>
      <c r="AD198" s="125"/>
      <c r="AE198" s="162"/>
      <c r="AF198" s="183"/>
      <c r="AG198" s="190"/>
      <c r="AH198" s="193"/>
      <c r="AI198" s="194"/>
      <c r="AJ198" s="71"/>
      <c r="AK198" s="190"/>
      <c r="AL198" s="193"/>
      <c r="AM198" s="194"/>
      <c r="AN198" s="71"/>
      <c r="AO198" s="71"/>
    </row>
    <row r="199">
      <c r="A199" s="137"/>
      <c r="B199" s="138"/>
      <c r="C199" s="103"/>
      <c r="D199" s="71"/>
      <c r="E199" s="137"/>
      <c r="F199" s="138"/>
      <c r="G199" s="103"/>
      <c r="H199" s="71"/>
      <c r="I199" s="137"/>
      <c r="J199" s="138"/>
      <c r="K199" s="103"/>
      <c r="L199" s="71"/>
      <c r="M199" s="137"/>
      <c r="N199" s="125"/>
      <c r="O199" s="103"/>
      <c r="P199" s="71"/>
      <c r="Q199" s="189"/>
      <c r="R199" s="125"/>
      <c r="S199" s="103"/>
      <c r="T199" s="71"/>
      <c r="U199" s="189"/>
      <c r="V199" s="125"/>
      <c r="W199" s="103"/>
      <c r="X199" s="71"/>
      <c r="Y199" s="137"/>
      <c r="Z199" s="180"/>
      <c r="AA199" s="181"/>
      <c r="AB199" s="182"/>
      <c r="AC199" s="137"/>
      <c r="AD199" s="125"/>
      <c r="AE199" s="162"/>
      <c r="AF199" s="183"/>
      <c r="AG199" s="190"/>
      <c r="AH199" s="193"/>
      <c r="AI199" s="194"/>
      <c r="AJ199" s="71"/>
      <c r="AK199" s="190"/>
      <c r="AL199" s="193"/>
      <c r="AM199" s="194"/>
      <c r="AN199" s="71"/>
      <c r="AO199" s="71"/>
    </row>
    <row r="200">
      <c r="A200" s="137"/>
      <c r="B200" s="138"/>
      <c r="C200" s="103"/>
      <c r="D200" s="71"/>
      <c r="E200" s="137"/>
      <c r="F200" s="138"/>
      <c r="G200" s="103"/>
      <c r="H200" s="71"/>
      <c r="I200" s="137"/>
      <c r="J200" s="138"/>
      <c r="K200" s="103"/>
      <c r="L200" s="71"/>
      <c r="M200" s="137"/>
      <c r="N200" s="125"/>
      <c r="O200" s="103"/>
      <c r="P200" s="71"/>
      <c r="Q200" s="189"/>
      <c r="R200" s="125"/>
      <c r="S200" s="103"/>
      <c r="T200" s="71"/>
      <c r="U200" s="189"/>
      <c r="V200" s="125"/>
      <c r="W200" s="103"/>
      <c r="X200" s="71"/>
      <c r="Y200" s="137"/>
      <c r="Z200" s="180"/>
      <c r="AA200" s="181"/>
      <c r="AB200" s="182"/>
      <c r="AC200" s="137"/>
      <c r="AD200" s="125"/>
      <c r="AE200" s="162"/>
      <c r="AF200" s="183"/>
      <c r="AG200" s="190"/>
      <c r="AH200" s="193"/>
      <c r="AI200" s="194"/>
      <c r="AJ200" s="71"/>
      <c r="AK200" s="190"/>
      <c r="AL200" s="193"/>
      <c r="AM200" s="194"/>
      <c r="AN200" s="71"/>
      <c r="AO200" s="71"/>
    </row>
    <row r="201">
      <c r="A201" s="137"/>
      <c r="B201" s="138"/>
      <c r="C201" s="103"/>
      <c r="D201" s="71"/>
      <c r="E201" s="137"/>
      <c r="F201" s="138"/>
      <c r="G201" s="103"/>
      <c r="H201" s="71"/>
      <c r="I201" s="137"/>
      <c r="J201" s="138"/>
      <c r="K201" s="103"/>
      <c r="L201" s="71"/>
      <c r="M201" s="137"/>
      <c r="N201" s="125"/>
      <c r="O201" s="103"/>
      <c r="P201" s="71"/>
      <c r="Q201" s="189"/>
      <c r="R201" s="125"/>
      <c r="S201" s="103"/>
      <c r="T201" s="71"/>
      <c r="U201" s="189"/>
      <c r="V201" s="125"/>
      <c r="W201" s="103"/>
      <c r="X201" s="71"/>
      <c r="Y201" s="137"/>
      <c r="Z201" s="180"/>
      <c r="AA201" s="181"/>
      <c r="AB201" s="182"/>
      <c r="AC201" s="137"/>
      <c r="AD201" s="125"/>
      <c r="AE201" s="162"/>
      <c r="AF201" s="183"/>
      <c r="AG201" s="190"/>
      <c r="AH201" s="193"/>
      <c r="AI201" s="194"/>
      <c r="AJ201" s="71"/>
      <c r="AK201" s="190"/>
      <c r="AL201" s="193"/>
      <c r="AM201" s="194"/>
      <c r="AN201" s="71"/>
      <c r="AO201" s="71"/>
    </row>
    <row r="202">
      <c r="A202" s="137"/>
      <c r="B202" s="138"/>
      <c r="C202" s="103"/>
      <c r="D202" s="71"/>
      <c r="E202" s="137"/>
      <c r="F202" s="138"/>
      <c r="G202" s="103"/>
      <c r="H202" s="71"/>
      <c r="I202" s="137"/>
      <c r="J202" s="138"/>
      <c r="K202" s="103"/>
      <c r="L202" s="71"/>
      <c r="M202" s="137"/>
      <c r="N202" s="125"/>
      <c r="O202" s="103"/>
      <c r="P202" s="71"/>
      <c r="Q202" s="189"/>
      <c r="R202" s="125"/>
      <c r="S202" s="103"/>
      <c r="T202" s="71"/>
      <c r="U202" s="189"/>
      <c r="V202" s="125"/>
      <c r="W202" s="103"/>
      <c r="X202" s="71"/>
      <c r="Y202" s="137"/>
      <c r="Z202" s="180"/>
      <c r="AA202" s="181"/>
      <c r="AB202" s="182"/>
      <c r="AC202" s="137"/>
      <c r="AD202" s="125"/>
      <c r="AE202" s="162"/>
      <c r="AF202" s="183"/>
      <c r="AG202" s="190"/>
      <c r="AH202" s="193"/>
      <c r="AI202" s="194"/>
      <c r="AJ202" s="71"/>
      <c r="AK202" s="190"/>
      <c r="AL202" s="193"/>
      <c r="AM202" s="194"/>
      <c r="AN202" s="71"/>
      <c r="AO202" s="71"/>
    </row>
    <row r="203">
      <c r="A203" s="137"/>
      <c r="B203" s="138"/>
      <c r="C203" s="103"/>
      <c r="D203" s="71"/>
      <c r="E203" s="137"/>
      <c r="F203" s="138"/>
      <c r="G203" s="103"/>
      <c r="H203" s="71"/>
      <c r="I203" s="137"/>
      <c r="J203" s="138"/>
      <c r="K203" s="103"/>
      <c r="L203" s="71"/>
      <c r="M203" s="137"/>
      <c r="N203" s="125"/>
      <c r="O203" s="103"/>
      <c r="P203" s="71"/>
      <c r="Q203" s="189"/>
      <c r="R203" s="125"/>
      <c r="S203" s="103"/>
      <c r="T203" s="71"/>
      <c r="U203" s="189"/>
      <c r="V203" s="125"/>
      <c r="W203" s="103"/>
      <c r="X203" s="71"/>
      <c r="Y203" s="137"/>
      <c r="Z203" s="180"/>
      <c r="AA203" s="181"/>
      <c r="AB203" s="182"/>
      <c r="AC203" s="137"/>
      <c r="AD203" s="125"/>
      <c r="AE203" s="162"/>
      <c r="AF203" s="183"/>
      <c r="AG203" s="190"/>
      <c r="AH203" s="193"/>
      <c r="AI203" s="194"/>
      <c r="AJ203" s="71"/>
      <c r="AK203" s="190"/>
      <c r="AL203" s="193"/>
      <c r="AM203" s="194"/>
      <c r="AN203" s="71"/>
      <c r="AO203" s="71"/>
    </row>
    <row r="204">
      <c r="A204" s="137"/>
      <c r="B204" s="138"/>
      <c r="C204" s="103"/>
      <c r="D204" s="71"/>
      <c r="E204" s="137"/>
      <c r="F204" s="138"/>
      <c r="G204" s="103"/>
      <c r="H204" s="71"/>
      <c r="I204" s="137"/>
      <c r="J204" s="138"/>
      <c r="K204" s="103"/>
      <c r="L204" s="71"/>
      <c r="M204" s="137"/>
      <c r="N204" s="125"/>
      <c r="O204" s="103"/>
      <c r="P204" s="71"/>
      <c r="Q204" s="189"/>
      <c r="R204" s="125"/>
      <c r="S204" s="103"/>
      <c r="T204" s="71"/>
      <c r="U204" s="189"/>
      <c r="V204" s="125"/>
      <c r="W204" s="103"/>
      <c r="X204" s="71"/>
      <c r="Y204" s="137"/>
      <c r="Z204" s="180"/>
      <c r="AA204" s="181"/>
      <c r="AB204" s="182"/>
      <c r="AC204" s="137"/>
      <c r="AD204" s="125"/>
      <c r="AE204" s="162"/>
      <c r="AF204" s="183"/>
      <c r="AG204" s="190"/>
      <c r="AH204" s="193"/>
      <c r="AI204" s="194"/>
      <c r="AJ204" s="71"/>
      <c r="AK204" s="190"/>
      <c r="AL204" s="193"/>
      <c r="AM204" s="194"/>
      <c r="AN204" s="71"/>
      <c r="AO204" s="71"/>
    </row>
    <row r="205">
      <c r="A205" s="137"/>
      <c r="B205" s="138"/>
      <c r="C205" s="103"/>
      <c r="D205" s="71"/>
      <c r="E205" s="137"/>
      <c r="F205" s="138"/>
      <c r="G205" s="103"/>
      <c r="H205" s="71"/>
      <c r="I205" s="137"/>
      <c r="J205" s="138"/>
      <c r="K205" s="103"/>
      <c r="L205" s="71"/>
      <c r="M205" s="137"/>
      <c r="N205" s="125"/>
      <c r="O205" s="103"/>
      <c r="P205" s="71"/>
      <c r="Q205" s="189"/>
      <c r="R205" s="125"/>
      <c r="S205" s="103"/>
      <c r="T205" s="71"/>
      <c r="U205" s="189"/>
      <c r="V205" s="125"/>
      <c r="W205" s="103"/>
      <c r="X205" s="71"/>
      <c r="Y205" s="137"/>
      <c r="Z205" s="180"/>
      <c r="AA205" s="181"/>
      <c r="AB205" s="182"/>
      <c r="AC205" s="137"/>
      <c r="AD205" s="125"/>
      <c r="AE205" s="162"/>
      <c r="AF205" s="183"/>
      <c r="AG205" s="190"/>
      <c r="AH205" s="193"/>
      <c r="AI205" s="194"/>
      <c r="AJ205" s="71"/>
      <c r="AK205" s="190"/>
      <c r="AL205" s="193"/>
      <c r="AM205" s="194"/>
      <c r="AN205" s="71"/>
      <c r="AO205" s="71"/>
    </row>
    <row r="206">
      <c r="A206" s="137"/>
      <c r="B206" s="138"/>
      <c r="C206" s="103"/>
      <c r="D206" s="71"/>
      <c r="E206" s="137"/>
      <c r="F206" s="138"/>
      <c r="G206" s="103"/>
      <c r="H206" s="71"/>
      <c r="I206" s="137"/>
      <c r="J206" s="138"/>
      <c r="K206" s="103"/>
      <c r="L206" s="71"/>
      <c r="M206" s="137"/>
      <c r="N206" s="125"/>
      <c r="O206" s="103"/>
      <c r="P206" s="71"/>
      <c r="Q206" s="189"/>
      <c r="R206" s="125"/>
      <c r="S206" s="103"/>
      <c r="T206" s="71"/>
      <c r="U206" s="189"/>
      <c r="V206" s="125"/>
      <c r="W206" s="103"/>
      <c r="X206" s="71"/>
      <c r="Y206" s="137"/>
      <c r="Z206" s="180"/>
      <c r="AA206" s="181"/>
      <c r="AB206" s="182"/>
      <c r="AC206" s="137"/>
      <c r="AD206" s="125"/>
      <c r="AE206" s="162"/>
      <c r="AF206" s="183"/>
      <c r="AG206" s="190"/>
      <c r="AH206" s="193"/>
      <c r="AI206" s="194"/>
      <c r="AJ206" s="71"/>
      <c r="AK206" s="190"/>
      <c r="AL206" s="193"/>
      <c r="AM206" s="194"/>
      <c r="AN206" s="71"/>
      <c r="AO206" s="71"/>
    </row>
    <row r="207">
      <c r="A207" s="137"/>
      <c r="B207" s="138"/>
      <c r="C207" s="103"/>
      <c r="D207" s="71"/>
      <c r="E207" s="137"/>
      <c r="F207" s="138"/>
      <c r="G207" s="103"/>
      <c r="H207" s="71"/>
      <c r="I207" s="137"/>
      <c r="J207" s="138"/>
      <c r="K207" s="103"/>
      <c r="L207" s="71"/>
      <c r="M207" s="137"/>
      <c r="N207" s="125"/>
      <c r="O207" s="103"/>
      <c r="P207" s="71"/>
      <c r="Q207" s="189"/>
      <c r="R207" s="125"/>
      <c r="S207" s="103"/>
      <c r="T207" s="71"/>
      <c r="U207" s="189"/>
      <c r="V207" s="125"/>
      <c r="W207" s="103"/>
      <c r="X207" s="71"/>
      <c r="Y207" s="137"/>
      <c r="Z207" s="180"/>
      <c r="AA207" s="181"/>
      <c r="AB207" s="182"/>
      <c r="AC207" s="137"/>
      <c r="AD207" s="125"/>
      <c r="AE207" s="162"/>
      <c r="AF207" s="183"/>
      <c r="AG207" s="190"/>
      <c r="AH207" s="193"/>
      <c r="AI207" s="194"/>
      <c r="AJ207" s="71"/>
      <c r="AK207" s="190"/>
      <c r="AL207" s="193"/>
      <c r="AM207" s="194"/>
      <c r="AN207" s="71"/>
      <c r="AO207" s="71"/>
    </row>
    <row r="208">
      <c r="A208" s="137"/>
      <c r="B208" s="138"/>
      <c r="C208" s="103"/>
      <c r="D208" s="71"/>
      <c r="E208" s="137"/>
      <c r="F208" s="138"/>
      <c r="G208" s="103"/>
      <c r="H208" s="71"/>
      <c r="I208" s="137"/>
      <c r="J208" s="138"/>
      <c r="K208" s="103"/>
      <c r="L208" s="71"/>
      <c r="M208" s="137"/>
      <c r="N208" s="125"/>
      <c r="O208" s="103"/>
      <c r="P208" s="71"/>
      <c r="Q208" s="189"/>
      <c r="R208" s="125"/>
      <c r="S208" s="103"/>
      <c r="T208" s="71"/>
      <c r="U208" s="189"/>
      <c r="V208" s="125"/>
      <c r="W208" s="103"/>
      <c r="X208" s="71"/>
      <c r="Y208" s="137"/>
      <c r="Z208" s="180"/>
      <c r="AA208" s="181"/>
      <c r="AB208" s="182"/>
      <c r="AC208" s="137"/>
      <c r="AD208" s="125"/>
      <c r="AE208" s="162"/>
      <c r="AF208" s="183"/>
      <c r="AG208" s="190"/>
      <c r="AH208" s="193"/>
      <c r="AI208" s="194"/>
      <c r="AJ208" s="71"/>
      <c r="AK208" s="190"/>
      <c r="AL208" s="193"/>
      <c r="AM208" s="194"/>
      <c r="AN208" s="71"/>
      <c r="AO208" s="71"/>
    </row>
    <row r="209">
      <c r="A209" s="137"/>
      <c r="B209" s="138"/>
      <c r="C209" s="103"/>
      <c r="D209" s="71"/>
      <c r="E209" s="137"/>
      <c r="F209" s="138"/>
      <c r="G209" s="103"/>
      <c r="H209" s="71"/>
      <c r="I209" s="137"/>
      <c r="J209" s="138"/>
      <c r="K209" s="103"/>
      <c r="L209" s="71"/>
      <c r="M209" s="137"/>
      <c r="N209" s="125"/>
      <c r="O209" s="103"/>
      <c r="P209" s="71"/>
      <c r="Q209" s="189"/>
      <c r="R209" s="125"/>
      <c r="S209" s="103"/>
      <c r="T209" s="71"/>
      <c r="U209" s="189"/>
      <c r="V209" s="125"/>
      <c r="W209" s="103"/>
      <c r="X209" s="71"/>
      <c r="Y209" s="137"/>
      <c r="Z209" s="180"/>
      <c r="AA209" s="181"/>
      <c r="AB209" s="182"/>
      <c r="AC209" s="137"/>
      <c r="AD209" s="125"/>
      <c r="AE209" s="162"/>
      <c r="AF209" s="183"/>
      <c r="AG209" s="190"/>
      <c r="AH209" s="193"/>
      <c r="AI209" s="194"/>
      <c r="AJ209" s="71"/>
      <c r="AK209" s="190"/>
      <c r="AL209" s="193"/>
      <c r="AM209" s="194"/>
      <c r="AN209" s="71"/>
      <c r="AO209" s="71"/>
    </row>
    <row r="210">
      <c r="A210" s="137"/>
      <c r="B210" s="138"/>
      <c r="C210" s="103"/>
      <c r="D210" s="71"/>
      <c r="E210" s="137"/>
      <c r="F210" s="138"/>
      <c r="G210" s="103"/>
      <c r="H210" s="71"/>
      <c r="I210" s="137"/>
      <c r="J210" s="138"/>
      <c r="K210" s="103"/>
      <c r="L210" s="71"/>
      <c r="M210" s="137"/>
      <c r="N210" s="125"/>
      <c r="O210" s="103"/>
      <c r="P210" s="71"/>
      <c r="Q210" s="189"/>
      <c r="R210" s="125"/>
      <c r="S210" s="103"/>
      <c r="T210" s="71"/>
      <c r="U210" s="189"/>
      <c r="V210" s="125"/>
      <c r="W210" s="103"/>
      <c r="X210" s="71"/>
      <c r="Y210" s="137"/>
      <c r="Z210" s="180"/>
      <c r="AA210" s="181"/>
      <c r="AB210" s="182"/>
      <c r="AC210" s="137"/>
      <c r="AD210" s="125"/>
      <c r="AE210" s="162"/>
      <c r="AF210" s="183"/>
      <c r="AG210" s="190"/>
      <c r="AH210" s="193"/>
      <c r="AI210" s="194"/>
      <c r="AJ210" s="71"/>
      <c r="AK210" s="190"/>
      <c r="AL210" s="193"/>
      <c r="AM210" s="194"/>
      <c r="AN210" s="71"/>
      <c r="AO210" s="71"/>
    </row>
    <row r="211">
      <c r="A211" s="137"/>
      <c r="B211" s="138"/>
      <c r="C211" s="103"/>
      <c r="D211" s="71"/>
      <c r="E211" s="137"/>
      <c r="F211" s="138"/>
      <c r="G211" s="103"/>
      <c r="H211" s="71"/>
      <c r="I211" s="137"/>
      <c r="J211" s="138"/>
      <c r="K211" s="103"/>
      <c r="L211" s="71"/>
      <c r="M211" s="137"/>
      <c r="N211" s="125"/>
      <c r="O211" s="103"/>
      <c r="P211" s="71"/>
      <c r="Q211" s="189"/>
      <c r="R211" s="125"/>
      <c r="S211" s="103"/>
      <c r="T211" s="71"/>
      <c r="U211" s="189"/>
      <c r="V211" s="125"/>
      <c r="W211" s="103"/>
      <c r="X211" s="71"/>
      <c r="Y211" s="137"/>
      <c r="Z211" s="180"/>
      <c r="AA211" s="181"/>
      <c r="AB211" s="182"/>
      <c r="AC211" s="137"/>
      <c r="AD211" s="125"/>
      <c r="AE211" s="162"/>
      <c r="AF211" s="183"/>
      <c r="AG211" s="190"/>
      <c r="AH211" s="193"/>
      <c r="AI211" s="194"/>
      <c r="AJ211" s="71"/>
      <c r="AK211" s="190"/>
      <c r="AL211" s="193"/>
      <c r="AM211" s="194"/>
      <c r="AN211" s="71"/>
      <c r="AO211" s="71"/>
    </row>
    <row r="212">
      <c r="A212" s="137"/>
      <c r="B212" s="138"/>
      <c r="C212" s="103"/>
      <c r="D212" s="71"/>
      <c r="E212" s="137"/>
      <c r="F212" s="138"/>
      <c r="G212" s="103"/>
      <c r="H212" s="71"/>
      <c r="I212" s="137"/>
      <c r="J212" s="138"/>
      <c r="K212" s="103"/>
      <c r="L212" s="71"/>
      <c r="M212" s="137"/>
      <c r="N212" s="125"/>
      <c r="O212" s="103"/>
      <c r="P212" s="71"/>
      <c r="Q212" s="189"/>
      <c r="R212" s="125"/>
      <c r="S212" s="103"/>
      <c r="T212" s="71"/>
      <c r="U212" s="189"/>
      <c r="V212" s="125"/>
      <c r="W212" s="103"/>
      <c r="X212" s="71"/>
      <c r="Y212" s="137"/>
      <c r="Z212" s="180"/>
      <c r="AA212" s="181"/>
      <c r="AB212" s="182"/>
      <c r="AC212" s="137"/>
      <c r="AD212" s="125"/>
      <c r="AE212" s="162"/>
      <c r="AF212" s="183"/>
      <c r="AG212" s="190"/>
      <c r="AH212" s="193"/>
      <c r="AI212" s="194"/>
      <c r="AJ212" s="71"/>
      <c r="AK212" s="190"/>
      <c r="AL212" s="193"/>
      <c r="AM212" s="194"/>
      <c r="AN212" s="71"/>
      <c r="AO212" s="71"/>
    </row>
    <row r="213">
      <c r="A213" s="137"/>
      <c r="B213" s="138"/>
      <c r="C213" s="103"/>
      <c r="D213" s="71"/>
      <c r="E213" s="137"/>
      <c r="F213" s="138"/>
      <c r="G213" s="103"/>
      <c r="H213" s="71"/>
      <c r="I213" s="137"/>
      <c r="J213" s="138"/>
      <c r="K213" s="103"/>
      <c r="L213" s="71"/>
      <c r="M213" s="137"/>
      <c r="N213" s="125"/>
      <c r="O213" s="103"/>
      <c r="P213" s="71"/>
      <c r="Q213" s="189"/>
      <c r="R213" s="125"/>
      <c r="S213" s="103"/>
      <c r="T213" s="71"/>
      <c r="U213" s="189"/>
      <c r="V213" s="125"/>
      <c r="W213" s="103"/>
      <c r="X213" s="71"/>
      <c r="Y213" s="137"/>
      <c r="Z213" s="180"/>
      <c r="AA213" s="181"/>
      <c r="AB213" s="182"/>
      <c r="AC213" s="137"/>
      <c r="AD213" s="125"/>
      <c r="AE213" s="162"/>
      <c r="AF213" s="183"/>
      <c r="AG213" s="190"/>
      <c r="AH213" s="193"/>
      <c r="AI213" s="194"/>
      <c r="AJ213" s="71"/>
      <c r="AK213" s="190"/>
      <c r="AL213" s="193"/>
      <c r="AM213" s="194"/>
      <c r="AN213" s="71"/>
      <c r="AO213" s="71"/>
    </row>
    <row r="214">
      <c r="A214" s="137"/>
      <c r="B214" s="138"/>
      <c r="C214" s="103"/>
      <c r="D214" s="71"/>
      <c r="E214" s="137"/>
      <c r="F214" s="138"/>
      <c r="G214" s="103"/>
      <c r="H214" s="71"/>
      <c r="I214" s="137"/>
      <c r="J214" s="138"/>
      <c r="K214" s="103"/>
      <c r="L214" s="71"/>
      <c r="M214" s="137"/>
      <c r="N214" s="125"/>
      <c r="O214" s="103"/>
      <c r="P214" s="71"/>
      <c r="Q214" s="189"/>
      <c r="R214" s="125"/>
      <c r="S214" s="103"/>
      <c r="T214" s="71"/>
      <c r="U214" s="189"/>
      <c r="V214" s="125"/>
      <c r="W214" s="103"/>
      <c r="X214" s="71"/>
      <c r="Y214" s="137"/>
      <c r="Z214" s="180"/>
      <c r="AA214" s="181"/>
      <c r="AB214" s="182"/>
      <c r="AC214" s="137"/>
      <c r="AD214" s="125"/>
      <c r="AE214" s="162"/>
      <c r="AF214" s="183"/>
      <c r="AG214" s="190"/>
      <c r="AH214" s="193"/>
      <c r="AI214" s="194"/>
      <c r="AJ214" s="71"/>
      <c r="AK214" s="190"/>
      <c r="AL214" s="193"/>
      <c r="AM214" s="194"/>
      <c r="AN214" s="71"/>
      <c r="AO214" s="71"/>
    </row>
    <row r="215">
      <c r="A215" s="137"/>
      <c r="B215" s="138"/>
      <c r="C215" s="103"/>
      <c r="D215" s="71"/>
      <c r="E215" s="137"/>
      <c r="F215" s="138"/>
      <c r="G215" s="103"/>
      <c r="H215" s="71"/>
      <c r="I215" s="137"/>
      <c r="J215" s="138"/>
      <c r="K215" s="103"/>
      <c r="L215" s="71"/>
      <c r="M215" s="137"/>
      <c r="N215" s="125"/>
      <c r="O215" s="103"/>
      <c r="P215" s="71"/>
      <c r="Q215" s="189"/>
      <c r="R215" s="125"/>
      <c r="S215" s="103"/>
      <c r="T215" s="71"/>
      <c r="U215" s="189"/>
      <c r="V215" s="125"/>
      <c r="W215" s="103"/>
      <c r="X215" s="71"/>
      <c r="Y215" s="137"/>
      <c r="Z215" s="180"/>
      <c r="AA215" s="181"/>
      <c r="AB215" s="182"/>
      <c r="AC215" s="137"/>
      <c r="AD215" s="125"/>
      <c r="AE215" s="162"/>
      <c r="AF215" s="183"/>
      <c r="AG215" s="190"/>
      <c r="AH215" s="193"/>
      <c r="AI215" s="194"/>
      <c r="AJ215" s="71"/>
      <c r="AK215" s="190"/>
      <c r="AL215" s="193"/>
      <c r="AM215" s="194"/>
      <c r="AN215" s="71"/>
      <c r="AO215" s="71"/>
    </row>
    <row r="216">
      <c r="A216" s="137"/>
      <c r="B216" s="138"/>
      <c r="C216" s="103"/>
      <c r="D216" s="71"/>
      <c r="E216" s="137"/>
      <c r="F216" s="138"/>
      <c r="G216" s="103"/>
      <c r="H216" s="71"/>
      <c r="I216" s="137"/>
      <c r="J216" s="138"/>
      <c r="K216" s="103"/>
      <c r="L216" s="71"/>
      <c r="M216" s="137"/>
      <c r="N216" s="125"/>
      <c r="O216" s="103"/>
      <c r="P216" s="71"/>
      <c r="Q216" s="189"/>
      <c r="R216" s="125"/>
      <c r="S216" s="103"/>
      <c r="T216" s="71"/>
      <c r="U216" s="189"/>
      <c r="V216" s="125"/>
      <c r="W216" s="103"/>
      <c r="X216" s="71"/>
      <c r="Y216" s="137"/>
      <c r="Z216" s="180"/>
      <c r="AA216" s="181"/>
      <c r="AB216" s="182"/>
      <c r="AC216" s="137"/>
      <c r="AD216" s="125"/>
      <c r="AE216" s="162"/>
      <c r="AF216" s="183"/>
      <c r="AG216" s="190"/>
      <c r="AH216" s="193"/>
      <c r="AI216" s="194"/>
      <c r="AJ216" s="71"/>
      <c r="AK216" s="190"/>
      <c r="AL216" s="193"/>
      <c r="AM216" s="194"/>
      <c r="AN216" s="71"/>
      <c r="AO216" s="71"/>
    </row>
    <row r="217">
      <c r="A217" s="137"/>
      <c r="B217" s="138"/>
      <c r="C217" s="103"/>
      <c r="D217" s="71"/>
      <c r="E217" s="137"/>
      <c r="F217" s="138"/>
      <c r="G217" s="103"/>
      <c r="H217" s="71"/>
      <c r="I217" s="137"/>
      <c r="J217" s="138"/>
      <c r="K217" s="103"/>
      <c r="L217" s="71"/>
      <c r="M217" s="137"/>
      <c r="N217" s="125"/>
      <c r="O217" s="103"/>
      <c r="P217" s="71"/>
      <c r="Q217" s="189"/>
      <c r="R217" s="125"/>
      <c r="S217" s="103"/>
      <c r="T217" s="71"/>
      <c r="U217" s="189"/>
      <c r="V217" s="125"/>
      <c r="W217" s="103"/>
      <c r="X217" s="71"/>
      <c r="Y217" s="137"/>
      <c r="Z217" s="180"/>
      <c r="AA217" s="181"/>
      <c r="AB217" s="182"/>
      <c r="AC217" s="137"/>
      <c r="AD217" s="125"/>
      <c r="AE217" s="162"/>
      <c r="AF217" s="183"/>
      <c r="AG217" s="190"/>
      <c r="AH217" s="193"/>
      <c r="AI217" s="194"/>
      <c r="AJ217" s="71"/>
      <c r="AK217" s="190"/>
      <c r="AL217" s="193"/>
      <c r="AM217" s="194"/>
      <c r="AN217" s="71"/>
      <c r="AO217" s="71"/>
    </row>
    <row r="218">
      <c r="A218" s="137"/>
      <c r="B218" s="138"/>
      <c r="C218" s="103"/>
      <c r="D218" s="71"/>
      <c r="E218" s="137"/>
      <c r="F218" s="138"/>
      <c r="G218" s="103"/>
      <c r="H218" s="71"/>
      <c r="I218" s="137"/>
      <c r="J218" s="138"/>
      <c r="K218" s="103"/>
      <c r="L218" s="71"/>
      <c r="M218" s="137"/>
      <c r="N218" s="125"/>
      <c r="O218" s="103"/>
      <c r="P218" s="71"/>
      <c r="Q218" s="189"/>
      <c r="R218" s="125"/>
      <c r="S218" s="103"/>
      <c r="T218" s="71"/>
      <c r="U218" s="189"/>
      <c r="V218" s="125"/>
      <c r="W218" s="103"/>
      <c r="X218" s="71"/>
      <c r="Y218" s="137"/>
      <c r="Z218" s="180"/>
      <c r="AA218" s="181"/>
      <c r="AB218" s="182"/>
      <c r="AC218" s="137"/>
      <c r="AD218" s="125"/>
      <c r="AE218" s="162"/>
      <c r="AF218" s="183"/>
      <c r="AG218" s="190"/>
      <c r="AH218" s="193"/>
      <c r="AI218" s="194"/>
      <c r="AJ218" s="71"/>
      <c r="AK218" s="190"/>
      <c r="AL218" s="193"/>
      <c r="AM218" s="194"/>
      <c r="AN218" s="71"/>
      <c r="AO218" s="71"/>
    </row>
    <row r="219">
      <c r="A219" s="137"/>
      <c r="B219" s="138"/>
      <c r="C219" s="103"/>
      <c r="D219" s="71"/>
      <c r="E219" s="137"/>
      <c r="F219" s="138"/>
      <c r="G219" s="103"/>
      <c r="H219" s="71"/>
      <c r="I219" s="137"/>
      <c r="J219" s="138"/>
      <c r="K219" s="103"/>
      <c r="L219" s="71"/>
      <c r="M219" s="137"/>
      <c r="N219" s="125"/>
      <c r="O219" s="103"/>
      <c r="P219" s="71"/>
      <c r="Q219" s="189"/>
      <c r="R219" s="125"/>
      <c r="S219" s="103"/>
      <c r="T219" s="71"/>
      <c r="U219" s="189"/>
      <c r="V219" s="125"/>
      <c r="W219" s="103"/>
      <c r="X219" s="71"/>
      <c r="Y219" s="137"/>
      <c r="Z219" s="180"/>
      <c r="AA219" s="181"/>
      <c r="AB219" s="182"/>
      <c r="AC219" s="137"/>
      <c r="AD219" s="125"/>
      <c r="AE219" s="162"/>
      <c r="AF219" s="183"/>
      <c r="AG219" s="190"/>
      <c r="AH219" s="193"/>
      <c r="AI219" s="194"/>
      <c r="AJ219" s="71"/>
      <c r="AK219" s="190"/>
      <c r="AL219" s="193"/>
      <c r="AM219" s="194"/>
      <c r="AN219" s="71"/>
      <c r="AO219" s="71"/>
    </row>
    <row r="220">
      <c r="A220" s="137"/>
      <c r="B220" s="138"/>
      <c r="C220" s="103"/>
      <c r="D220" s="71"/>
      <c r="E220" s="137"/>
      <c r="F220" s="138"/>
      <c r="G220" s="103"/>
      <c r="H220" s="71"/>
      <c r="I220" s="137"/>
      <c r="J220" s="138"/>
      <c r="K220" s="103"/>
      <c r="L220" s="71"/>
      <c r="M220" s="137"/>
      <c r="N220" s="125"/>
      <c r="O220" s="103"/>
      <c r="P220" s="71"/>
      <c r="Q220" s="189"/>
      <c r="R220" s="125"/>
      <c r="S220" s="103"/>
      <c r="T220" s="71"/>
      <c r="U220" s="189"/>
      <c r="V220" s="125"/>
      <c r="W220" s="103"/>
      <c r="X220" s="71"/>
      <c r="Y220" s="137"/>
      <c r="Z220" s="180"/>
      <c r="AA220" s="181"/>
      <c r="AB220" s="182"/>
      <c r="AC220" s="137"/>
      <c r="AD220" s="125"/>
      <c r="AE220" s="162"/>
      <c r="AF220" s="183"/>
      <c r="AG220" s="190"/>
      <c r="AH220" s="193"/>
      <c r="AI220" s="194"/>
      <c r="AJ220" s="71"/>
      <c r="AK220" s="190"/>
      <c r="AL220" s="193"/>
      <c r="AM220" s="194"/>
      <c r="AN220" s="71"/>
      <c r="AO220" s="71"/>
    </row>
    <row r="221">
      <c r="A221" s="137"/>
      <c r="B221" s="138"/>
      <c r="C221" s="103"/>
      <c r="D221" s="71"/>
      <c r="E221" s="137"/>
      <c r="F221" s="138"/>
      <c r="G221" s="103"/>
      <c r="H221" s="71"/>
      <c r="I221" s="137"/>
      <c r="J221" s="138"/>
      <c r="K221" s="103"/>
      <c r="L221" s="71"/>
      <c r="M221" s="137"/>
      <c r="N221" s="125"/>
      <c r="O221" s="103"/>
      <c r="P221" s="71"/>
      <c r="Q221" s="189"/>
      <c r="R221" s="125"/>
      <c r="S221" s="103"/>
      <c r="T221" s="71"/>
      <c r="U221" s="189"/>
      <c r="V221" s="125"/>
      <c r="W221" s="103"/>
      <c r="X221" s="71"/>
      <c r="Y221" s="137"/>
      <c r="Z221" s="180"/>
      <c r="AA221" s="181"/>
      <c r="AB221" s="182"/>
      <c r="AC221" s="137"/>
      <c r="AD221" s="125"/>
      <c r="AE221" s="162"/>
      <c r="AF221" s="183"/>
      <c r="AG221" s="190"/>
      <c r="AH221" s="193"/>
      <c r="AI221" s="194"/>
      <c r="AJ221" s="71"/>
      <c r="AK221" s="190"/>
      <c r="AL221" s="193"/>
      <c r="AM221" s="194"/>
      <c r="AN221" s="71"/>
      <c r="AO221" s="71"/>
    </row>
    <row r="222">
      <c r="A222" s="137"/>
      <c r="B222" s="138"/>
      <c r="C222" s="103"/>
      <c r="D222" s="71"/>
      <c r="E222" s="137"/>
      <c r="F222" s="138"/>
      <c r="G222" s="103"/>
      <c r="H222" s="71"/>
      <c r="I222" s="137"/>
      <c r="J222" s="138"/>
      <c r="K222" s="103"/>
      <c r="L222" s="71"/>
      <c r="M222" s="137"/>
      <c r="N222" s="125"/>
      <c r="O222" s="103"/>
      <c r="P222" s="71"/>
      <c r="Q222" s="189"/>
      <c r="R222" s="125"/>
      <c r="S222" s="103"/>
      <c r="T222" s="71"/>
      <c r="U222" s="189"/>
      <c r="V222" s="125"/>
      <c r="W222" s="103"/>
      <c r="X222" s="71"/>
      <c r="Y222" s="137"/>
      <c r="Z222" s="180"/>
      <c r="AA222" s="181"/>
      <c r="AB222" s="182"/>
      <c r="AC222" s="137"/>
      <c r="AD222" s="125"/>
      <c r="AE222" s="162"/>
      <c r="AF222" s="183"/>
      <c r="AG222" s="190"/>
      <c r="AH222" s="193"/>
      <c r="AI222" s="194"/>
      <c r="AJ222" s="71"/>
      <c r="AK222" s="190"/>
      <c r="AL222" s="193"/>
      <c r="AM222" s="194"/>
      <c r="AN222" s="71"/>
      <c r="AO222" s="71"/>
    </row>
    <row r="223">
      <c r="A223" s="137"/>
      <c r="B223" s="138"/>
      <c r="C223" s="103"/>
      <c r="D223" s="71"/>
      <c r="E223" s="137"/>
      <c r="F223" s="138"/>
      <c r="G223" s="103"/>
      <c r="H223" s="71"/>
      <c r="I223" s="137"/>
      <c r="J223" s="138"/>
      <c r="K223" s="103"/>
      <c r="L223" s="71"/>
      <c r="M223" s="137"/>
      <c r="N223" s="125"/>
      <c r="O223" s="103"/>
      <c r="P223" s="71"/>
      <c r="Q223" s="189"/>
      <c r="R223" s="125"/>
      <c r="S223" s="103"/>
      <c r="T223" s="71"/>
      <c r="U223" s="189"/>
      <c r="V223" s="125"/>
      <c r="W223" s="103"/>
      <c r="X223" s="71"/>
      <c r="Y223" s="137"/>
      <c r="Z223" s="180"/>
      <c r="AA223" s="181"/>
      <c r="AB223" s="182"/>
      <c r="AC223" s="137"/>
      <c r="AD223" s="125"/>
      <c r="AE223" s="162"/>
      <c r="AF223" s="183"/>
      <c r="AG223" s="190"/>
      <c r="AH223" s="193"/>
      <c r="AI223" s="194"/>
      <c r="AJ223" s="71"/>
      <c r="AK223" s="190"/>
      <c r="AL223" s="193"/>
      <c r="AM223" s="194"/>
      <c r="AN223" s="71"/>
      <c r="AO223" s="71"/>
    </row>
    <row r="224">
      <c r="A224" s="137"/>
      <c r="B224" s="138"/>
      <c r="C224" s="103"/>
      <c r="D224" s="71"/>
      <c r="E224" s="137"/>
      <c r="F224" s="138"/>
      <c r="G224" s="103"/>
      <c r="H224" s="71"/>
      <c r="I224" s="137"/>
      <c r="J224" s="138"/>
      <c r="K224" s="103"/>
      <c r="L224" s="71"/>
      <c r="M224" s="137"/>
      <c r="N224" s="125"/>
      <c r="O224" s="103"/>
      <c r="P224" s="71"/>
      <c r="Q224" s="189"/>
      <c r="R224" s="125"/>
      <c r="S224" s="103"/>
      <c r="T224" s="71"/>
      <c r="U224" s="189"/>
      <c r="V224" s="125"/>
      <c r="W224" s="103"/>
      <c r="X224" s="71"/>
      <c r="Y224" s="137"/>
      <c r="Z224" s="180"/>
      <c r="AA224" s="181"/>
      <c r="AB224" s="182"/>
      <c r="AC224" s="137"/>
      <c r="AD224" s="125"/>
      <c r="AE224" s="162"/>
      <c r="AF224" s="183"/>
      <c r="AG224" s="190"/>
      <c r="AH224" s="193"/>
      <c r="AI224" s="194"/>
      <c r="AJ224" s="71"/>
      <c r="AK224" s="190"/>
      <c r="AL224" s="193"/>
      <c r="AM224" s="194"/>
      <c r="AN224" s="71"/>
      <c r="AO224" s="71"/>
    </row>
    <row r="225">
      <c r="A225" s="137"/>
      <c r="B225" s="138"/>
      <c r="C225" s="103"/>
      <c r="D225" s="71"/>
      <c r="E225" s="137"/>
      <c r="F225" s="138"/>
      <c r="G225" s="103"/>
      <c r="H225" s="71"/>
      <c r="I225" s="137"/>
      <c r="J225" s="138"/>
      <c r="K225" s="103"/>
      <c r="L225" s="71"/>
      <c r="M225" s="137"/>
      <c r="N225" s="125"/>
      <c r="O225" s="103"/>
      <c r="P225" s="71"/>
      <c r="Q225" s="189"/>
      <c r="R225" s="125"/>
      <c r="S225" s="103"/>
      <c r="T225" s="71"/>
      <c r="U225" s="189"/>
      <c r="V225" s="125"/>
      <c r="W225" s="103"/>
      <c r="X225" s="71"/>
      <c r="Y225" s="137"/>
      <c r="Z225" s="180"/>
      <c r="AA225" s="181"/>
      <c r="AB225" s="182"/>
      <c r="AC225" s="137"/>
      <c r="AD225" s="125"/>
      <c r="AE225" s="162"/>
      <c r="AF225" s="183"/>
      <c r="AG225" s="190"/>
      <c r="AH225" s="193"/>
      <c r="AI225" s="194"/>
      <c r="AJ225" s="71"/>
      <c r="AK225" s="190"/>
      <c r="AL225" s="193"/>
      <c r="AM225" s="194"/>
      <c r="AN225" s="71"/>
      <c r="AO225" s="71"/>
    </row>
    <row r="226">
      <c r="A226" s="137"/>
      <c r="B226" s="138"/>
      <c r="C226" s="103"/>
      <c r="D226" s="71"/>
      <c r="E226" s="137"/>
      <c r="F226" s="138"/>
      <c r="G226" s="103"/>
      <c r="H226" s="71"/>
      <c r="I226" s="137"/>
      <c r="J226" s="138"/>
      <c r="K226" s="103"/>
      <c r="L226" s="71"/>
      <c r="M226" s="137"/>
      <c r="N226" s="125"/>
      <c r="O226" s="103"/>
      <c r="P226" s="71"/>
      <c r="Q226" s="189"/>
      <c r="R226" s="125"/>
      <c r="S226" s="103"/>
      <c r="T226" s="71"/>
      <c r="U226" s="189"/>
      <c r="V226" s="125"/>
      <c r="W226" s="103"/>
      <c r="X226" s="71"/>
      <c r="Y226" s="137"/>
      <c r="Z226" s="180"/>
      <c r="AA226" s="181"/>
      <c r="AB226" s="182"/>
      <c r="AC226" s="137"/>
      <c r="AD226" s="125"/>
      <c r="AE226" s="162"/>
      <c r="AF226" s="183"/>
      <c r="AG226" s="190"/>
      <c r="AH226" s="193"/>
      <c r="AI226" s="194"/>
      <c r="AJ226" s="71"/>
      <c r="AK226" s="190"/>
      <c r="AL226" s="193"/>
      <c r="AM226" s="194"/>
      <c r="AN226" s="71"/>
      <c r="AO226" s="71"/>
    </row>
    <row r="227">
      <c r="A227" s="137"/>
      <c r="B227" s="138"/>
      <c r="C227" s="103"/>
      <c r="D227" s="71"/>
      <c r="E227" s="137"/>
      <c r="F227" s="138"/>
      <c r="G227" s="103"/>
      <c r="H227" s="71"/>
      <c r="I227" s="137"/>
      <c r="J227" s="138"/>
      <c r="K227" s="103"/>
      <c r="L227" s="71"/>
      <c r="M227" s="137"/>
      <c r="N227" s="125"/>
      <c r="O227" s="103"/>
      <c r="P227" s="71"/>
      <c r="Q227" s="189"/>
      <c r="R227" s="125"/>
      <c r="S227" s="103"/>
      <c r="T227" s="71"/>
      <c r="U227" s="189"/>
      <c r="V227" s="125"/>
      <c r="W227" s="103"/>
      <c r="X227" s="71"/>
      <c r="Y227" s="137"/>
      <c r="Z227" s="180"/>
      <c r="AA227" s="181"/>
      <c r="AB227" s="182"/>
      <c r="AC227" s="137"/>
      <c r="AD227" s="125"/>
      <c r="AE227" s="162"/>
      <c r="AF227" s="183"/>
      <c r="AG227" s="190"/>
      <c r="AH227" s="193"/>
      <c r="AI227" s="194"/>
      <c r="AJ227" s="71"/>
      <c r="AK227" s="190"/>
      <c r="AL227" s="193"/>
      <c r="AM227" s="194"/>
      <c r="AN227" s="71"/>
      <c r="AO227" s="71"/>
    </row>
    <row r="228">
      <c r="A228" s="137"/>
      <c r="B228" s="138"/>
      <c r="C228" s="103"/>
      <c r="D228" s="71"/>
      <c r="E228" s="137"/>
      <c r="F228" s="138"/>
      <c r="G228" s="103"/>
      <c r="H228" s="71"/>
      <c r="I228" s="137"/>
      <c r="J228" s="138"/>
      <c r="K228" s="103"/>
      <c r="L228" s="71"/>
      <c r="M228" s="137"/>
      <c r="N228" s="125"/>
      <c r="O228" s="103"/>
      <c r="P228" s="71"/>
      <c r="Q228" s="189"/>
      <c r="R228" s="125"/>
      <c r="S228" s="103"/>
      <c r="T228" s="71"/>
      <c r="U228" s="189"/>
      <c r="V228" s="125"/>
      <c r="W228" s="103"/>
      <c r="X228" s="71"/>
      <c r="Y228" s="137"/>
      <c r="Z228" s="180"/>
      <c r="AA228" s="181"/>
      <c r="AB228" s="182"/>
      <c r="AC228" s="137"/>
      <c r="AD228" s="125"/>
      <c r="AE228" s="162"/>
      <c r="AF228" s="183"/>
      <c r="AG228" s="190"/>
      <c r="AH228" s="193"/>
      <c r="AI228" s="194"/>
      <c r="AJ228" s="71"/>
      <c r="AK228" s="190"/>
      <c r="AL228" s="193"/>
      <c r="AM228" s="194"/>
      <c r="AN228" s="71"/>
      <c r="AO228" s="71"/>
    </row>
    <row r="229">
      <c r="A229" s="137"/>
      <c r="B229" s="138"/>
      <c r="C229" s="103"/>
      <c r="D229" s="71"/>
      <c r="E229" s="137"/>
      <c r="F229" s="138"/>
      <c r="G229" s="103"/>
      <c r="H229" s="71"/>
      <c r="I229" s="137"/>
      <c r="J229" s="138"/>
      <c r="K229" s="103"/>
      <c r="L229" s="71"/>
      <c r="M229" s="137"/>
      <c r="N229" s="125"/>
      <c r="O229" s="103"/>
      <c r="P229" s="71"/>
      <c r="Q229" s="189"/>
      <c r="R229" s="125"/>
      <c r="S229" s="103"/>
      <c r="T229" s="71"/>
      <c r="U229" s="189"/>
      <c r="V229" s="125"/>
      <c r="W229" s="103"/>
      <c r="X229" s="71"/>
      <c r="Y229" s="137"/>
      <c r="Z229" s="180"/>
      <c r="AA229" s="181"/>
      <c r="AB229" s="182"/>
      <c r="AC229" s="137"/>
      <c r="AD229" s="125"/>
      <c r="AE229" s="162"/>
      <c r="AF229" s="183"/>
      <c r="AG229" s="195"/>
      <c r="AH229" s="195"/>
      <c r="AI229" s="195"/>
      <c r="AJ229" s="195"/>
      <c r="AK229" s="71"/>
      <c r="AL229" s="71"/>
      <c r="AM229" s="71"/>
      <c r="AN229" s="71"/>
      <c r="AO229" s="71"/>
    </row>
    <row r="230">
      <c r="A230" s="137"/>
      <c r="B230" s="138"/>
      <c r="C230" s="103"/>
      <c r="D230" s="71"/>
      <c r="E230" s="137"/>
      <c r="F230" s="138"/>
      <c r="G230" s="103"/>
      <c r="H230" s="71"/>
      <c r="I230" s="137"/>
      <c r="J230" s="138"/>
      <c r="K230" s="103"/>
      <c r="L230" s="71"/>
      <c r="M230" s="137"/>
      <c r="N230" s="125"/>
      <c r="O230" s="103"/>
      <c r="P230" s="71"/>
      <c r="Q230" s="189"/>
      <c r="R230" s="125"/>
      <c r="S230" s="103"/>
      <c r="T230" s="71"/>
      <c r="U230" s="189"/>
      <c r="V230" s="125"/>
      <c r="W230" s="103"/>
      <c r="X230" s="71"/>
      <c r="Y230" s="137"/>
      <c r="Z230" s="180"/>
      <c r="AA230" s="181"/>
      <c r="AB230" s="182"/>
      <c r="AC230" s="137"/>
      <c r="AD230" s="125"/>
      <c r="AE230" s="162"/>
      <c r="AF230" s="183"/>
      <c r="AG230" s="195"/>
      <c r="AH230" s="195"/>
      <c r="AI230" s="195"/>
      <c r="AJ230" s="195"/>
      <c r="AK230" s="71"/>
      <c r="AL230" s="71"/>
      <c r="AM230" s="71"/>
      <c r="AN230" s="71"/>
      <c r="AO230" s="71"/>
    </row>
    <row r="231">
      <c r="A231" s="137"/>
      <c r="B231" s="138"/>
      <c r="C231" s="103"/>
      <c r="D231" s="71"/>
      <c r="E231" s="137"/>
      <c r="F231" s="138"/>
      <c r="G231" s="103"/>
      <c r="H231" s="71"/>
      <c r="I231" s="137"/>
      <c r="J231" s="138"/>
      <c r="K231" s="103"/>
      <c r="L231" s="71"/>
      <c r="M231" s="137"/>
      <c r="N231" s="125"/>
      <c r="O231" s="103"/>
      <c r="P231" s="71"/>
      <c r="Q231" s="189"/>
      <c r="R231" s="125"/>
      <c r="S231" s="103"/>
      <c r="T231" s="71"/>
      <c r="U231" s="189"/>
      <c r="V231" s="125"/>
      <c r="W231" s="103"/>
      <c r="X231" s="71"/>
      <c r="Y231" s="137"/>
      <c r="Z231" s="180"/>
      <c r="AA231" s="181"/>
      <c r="AB231" s="182"/>
      <c r="AC231" s="137"/>
      <c r="AD231" s="125"/>
      <c r="AE231" s="162"/>
      <c r="AF231" s="183"/>
      <c r="AG231" s="195"/>
      <c r="AH231" s="195"/>
      <c r="AI231" s="195"/>
      <c r="AJ231" s="195"/>
      <c r="AK231" s="71"/>
      <c r="AL231" s="71"/>
      <c r="AM231" s="71"/>
      <c r="AN231" s="71"/>
      <c r="AO231" s="71"/>
    </row>
    <row r="232">
      <c r="A232" s="137"/>
      <c r="B232" s="138"/>
      <c r="C232" s="103"/>
      <c r="D232" s="71"/>
      <c r="E232" s="137"/>
      <c r="F232" s="138"/>
      <c r="G232" s="103"/>
      <c r="H232" s="71"/>
      <c r="I232" s="137"/>
      <c r="J232" s="138"/>
      <c r="K232" s="103"/>
      <c r="L232" s="71"/>
      <c r="M232" s="137"/>
      <c r="N232" s="125"/>
      <c r="O232" s="103"/>
      <c r="P232" s="71"/>
      <c r="Q232" s="189"/>
      <c r="R232" s="125"/>
      <c r="S232" s="103"/>
      <c r="T232" s="71"/>
      <c r="U232" s="189"/>
      <c r="V232" s="125"/>
      <c r="W232" s="103"/>
      <c r="X232" s="71"/>
      <c r="Y232" s="137"/>
      <c r="Z232" s="180"/>
      <c r="AA232" s="181"/>
      <c r="AB232" s="182"/>
      <c r="AC232" s="137"/>
      <c r="AD232" s="125"/>
      <c r="AE232" s="162"/>
      <c r="AF232" s="183"/>
      <c r="AG232" s="195"/>
      <c r="AH232" s="195"/>
      <c r="AI232" s="195"/>
      <c r="AJ232" s="195"/>
      <c r="AK232" s="71"/>
      <c r="AL232" s="71"/>
      <c r="AM232" s="71"/>
      <c r="AN232" s="71"/>
      <c r="AO232" s="71"/>
    </row>
    <row r="233">
      <c r="A233" s="137"/>
      <c r="B233" s="138"/>
      <c r="C233" s="103"/>
      <c r="D233" s="71"/>
      <c r="E233" s="137"/>
      <c r="F233" s="138"/>
      <c r="G233" s="103"/>
      <c r="H233" s="71"/>
      <c r="I233" s="137"/>
      <c r="J233" s="138"/>
      <c r="K233" s="103"/>
      <c r="L233" s="71"/>
      <c r="M233" s="137"/>
      <c r="N233" s="125"/>
      <c r="O233" s="103"/>
      <c r="P233" s="71"/>
      <c r="Q233" s="189"/>
      <c r="R233" s="125"/>
      <c r="S233" s="103"/>
      <c r="T233" s="71"/>
      <c r="U233" s="189"/>
      <c r="V233" s="125"/>
      <c r="W233" s="103"/>
      <c r="X233" s="71"/>
      <c r="Y233" s="137"/>
      <c r="Z233" s="180"/>
      <c r="AA233" s="181"/>
      <c r="AB233" s="182"/>
      <c r="AC233" s="137"/>
      <c r="AD233" s="125"/>
      <c r="AE233" s="162"/>
      <c r="AF233" s="183"/>
      <c r="AG233" s="195"/>
      <c r="AH233" s="195"/>
      <c r="AI233" s="195"/>
      <c r="AJ233" s="195"/>
      <c r="AK233" s="71"/>
      <c r="AL233" s="71"/>
      <c r="AM233" s="71"/>
      <c r="AN233" s="71"/>
      <c r="AO233" s="71"/>
    </row>
    <row r="234">
      <c r="A234" s="137"/>
      <c r="B234" s="138"/>
      <c r="C234" s="103"/>
      <c r="D234" s="71"/>
      <c r="E234" s="137"/>
      <c r="F234" s="138"/>
      <c r="G234" s="103"/>
      <c r="H234" s="71"/>
      <c r="I234" s="137"/>
      <c r="J234" s="138"/>
      <c r="K234" s="103"/>
      <c r="L234" s="71"/>
      <c r="M234" s="137"/>
      <c r="N234" s="125"/>
      <c r="O234" s="103"/>
      <c r="P234" s="71"/>
      <c r="Q234" s="189"/>
      <c r="R234" s="125"/>
      <c r="S234" s="103"/>
      <c r="T234" s="71"/>
      <c r="U234" s="189"/>
      <c r="V234" s="125"/>
      <c r="W234" s="103"/>
      <c r="X234" s="71"/>
      <c r="Y234" s="137"/>
      <c r="Z234" s="180"/>
      <c r="AA234" s="181"/>
      <c r="AB234" s="182"/>
      <c r="AC234" s="137"/>
      <c r="AD234" s="125"/>
      <c r="AE234" s="162"/>
      <c r="AF234" s="183"/>
      <c r="AG234" s="195"/>
      <c r="AH234" s="195"/>
      <c r="AI234" s="195"/>
      <c r="AJ234" s="195"/>
      <c r="AK234" s="71"/>
      <c r="AL234" s="71"/>
      <c r="AM234" s="71"/>
      <c r="AN234" s="71"/>
      <c r="AO234" s="71"/>
    </row>
    <row r="235">
      <c r="A235" s="137"/>
      <c r="B235" s="138"/>
      <c r="C235" s="103"/>
      <c r="D235" s="71"/>
      <c r="E235" s="137"/>
      <c r="F235" s="138"/>
      <c r="G235" s="103"/>
      <c r="H235" s="71"/>
      <c r="I235" s="137"/>
      <c r="J235" s="138"/>
      <c r="K235" s="103"/>
      <c r="L235" s="71"/>
      <c r="M235" s="137"/>
      <c r="N235" s="125"/>
      <c r="O235" s="103"/>
      <c r="P235" s="71"/>
      <c r="Q235" s="189"/>
      <c r="R235" s="125"/>
      <c r="S235" s="103"/>
      <c r="T235" s="71"/>
      <c r="U235" s="189"/>
      <c r="V235" s="125"/>
      <c r="W235" s="103"/>
      <c r="X235" s="71"/>
      <c r="Y235" s="137"/>
      <c r="Z235" s="180"/>
      <c r="AA235" s="181"/>
      <c r="AB235" s="182"/>
      <c r="AC235" s="137"/>
      <c r="AD235" s="125"/>
      <c r="AE235" s="162"/>
      <c r="AF235" s="183"/>
      <c r="AG235" s="195"/>
      <c r="AH235" s="195"/>
      <c r="AI235" s="195"/>
      <c r="AJ235" s="195"/>
      <c r="AK235" s="71"/>
      <c r="AL235" s="71"/>
      <c r="AM235" s="71"/>
      <c r="AN235" s="71"/>
      <c r="AO235" s="71"/>
    </row>
    <row r="236">
      <c r="A236" s="137"/>
      <c r="B236" s="138"/>
      <c r="C236" s="103"/>
      <c r="D236" s="71"/>
      <c r="E236" s="137"/>
      <c r="F236" s="138"/>
      <c r="G236" s="103"/>
      <c r="H236" s="71"/>
      <c r="I236" s="137"/>
      <c r="J236" s="138"/>
      <c r="K236" s="103"/>
      <c r="L236" s="71"/>
      <c r="M236" s="137"/>
      <c r="N236" s="125"/>
      <c r="O236" s="103"/>
      <c r="P236" s="71"/>
      <c r="Q236" s="189"/>
      <c r="R236" s="125"/>
      <c r="S236" s="103"/>
      <c r="T236" s="71"/>
      <c r="U236" s="189"/>
      <c r="V236" s="125"/>
      <c r="W236" s="103"/>
      <c r="X236" s="71"/>
      <c r="Y236" s="137"/>
      <c r="Z236" s="180"/>
      <c r="AA236" s="181"/>
      <c r="AB236" s="182"/>
      <c r="AC236" s="137"/>
      <c r="AD236" s="125"/>
      <c r="AE236" s="162"/>
      <c r="AF236" s="183"/>
      <c r="AG236" s="195"/>
      <c r="AH236" s="195"/>
      <c r="AI236" s="195"/>
      <c r="AJ236" s="195"/>
      <c r="AK236" s="71"/>
      <c r="AL236" s="71"/>
      <c r="AM236" s="71"/>
      <c r="AN236" s="71"/>
      <c r="AO236" s="71"/>
    </row>
    <row r="237">
      <c r="A237" s="137"/>
      <c r="B237" s="138"/>
      <c r="C237" s="103"/>
      <c r="D237" s="71"/>
      <c r="E237" s="137"/>
      <c r="F237" s="138"/>
      <c r="G237" s="103"/>
      <c r="H237" s="71"/>
      <c r="I237" s="137"/>
      <c r="J237" s="138"/>
      <c r="K237" s="103"/>
      <c r="L237" s="71"/>
      <c r="M237" s="137"/>
      <c r="N237" s="125"/>
      <c r="O237" s="103"/>
      <c r="P237" s="71"/>
      <c r="Q237" s="189"/>
      <c r="R237" s="125"/>
      <c r="S237" s="103"/>
      <c r="T237" s="71"/>
      <c r="U237" s="189"/>
      <c r="V237" s="125"/>
      <c r="W237" s="103"/>
      <c r="X237" s="71"/>
      <c r="Y237" s="137"/>
      <c r="Z237" s="180"/>
      <c r="AA237" s="181"/>
      <c r="AB237" s="182"/>
      <c r="AC237" s="137"/>
      <c r="AD237" s="125"/>
      <c r="AE237" s="162"/>
      <c r="AF237" s="183"/>
      <c r="AG237" s="195"/>
      <c r="AH237" s="195"/>
      <c r="AI237" s="195"/>
      <c r="AJ237" s="195"/>
      <c r="AK237" s="71"/>
      <c r="AL237" s="71"/>
      <c r="AM237" s="71"/>
      <c r="AN237" s="71"/>
      <c r="AO237" s="71"/>
    </row>
    <row r="238">
      <c r="A238" s="137"/>
      <c r="B238" s="138"/>
      <c r="C238" s="103"/>
      <c r="D238" s="71"/>
      <c r="E238" s="137"/>
      <c r="F238" s="138"/>
      <c r="G238" s="103"/>
      <c r="H238" s="71"/>
      <c r="I238" s="137"/>
      <c r="J238" s="138"/>
      <c r="K238" s="103"/>
      <c r="L238" s="71"/>
      <c r="M238" s="137"/>
      <c r="N238" s="125"/>
      <c r="O238" s="103"/>
      <c r="P238" s="71"/>
      <c r="Q238" s="189"/>
      <c r="R238" s="125"/>
      <c r="S238" s="103"/>
      <c r="T238" s="71"/>
      <c r="U238" s="189"/>
      <c r="V238" s="125"/>
      <c r="W238" s="103"/>
      <c r="X238" s="71"/>
      <c r="Y238" s="137"/>
      <c r="Z238" s="180"/>
      <c r="AA238" s="181"/>
      <c r="AB238" s="182"/>
      <c r="AC238" s="137"/>
      <c r="AD238" s="125"/>
      <c r="AE238" s="162"/>
      <c r="AF238" s="183"/>
      <c r="AG238" s="195"/>
      <c r="AH238" s="195"/>
      <c r="AI238" s="195"/>
      <c r="AJ238" s="195"/>
      <c r="AK238" s="71"/>
      <c r="AL238" s="71"/>
      <c r="AM238" s="71"/>
      <c r="AN238" s="71"/>
      <c r="AO238" s="71"/>
    </row>
    <row r="239">
      <c r="A239" s="137"/>
      <c r="B239" s="138"/>
      <c r="C239" s="103"/>
      <c r="D239" s="71"/>
      <c r="E239" s="137"/>
      <c r="F239" s="138"/>
      <c r="G239" s="103"/>
      <c r="H239" s="71"/>
      <c r="I239" s="137"/>
      <c r="J239" s="138"/>
      <c r="K239" s="103"/>
      <c r="L239" s="71"/>
      <c r="M239" s="137"/>
      <c r="N239" s="125"/>
      <c r="O239" s="103"/>
      <c r="P239" s="71"/>
      <c r="Q239" s="189"/>
      <c r="R239" s="125"/>
      <c r="S239" s="103"/>
      <c r="T239" s="71"/>
      <c r="U239" s="189"/>
      <c r="V239" s="125"/>
      <c r="W239" s="103"/>
      <c r="X239" s="71"/>
      <c r="Y239" s="137"/>
      <c r="Z239" s="180"/>
      <c r="AA239" s="181"/>
      <c r="AB239" s="182"/>
      <c r="AC239" s="137"/>
      <c r="AD239" s="125"/>
      <c r="AE239" s="162"/>
      <c r="AF239" s="183"/>
      <c r="AG239" s="195"/>
      <c r="AH239" s="195"/>
      <c r="AI239" s="195"/>
      <c r="AJ239" s="195"/>
      <c r="AK239" s="71"/>
      <c r="AL239" s="71"/>
      <c r="AM239" s="71"/>
      <c r="AN239" s="71"/>
      <c r="AO239" s="71"/>
    </row>
    <row r="240">
      <c r="A240" s="137"/>
      <c r="B240" s="138"/>
      <c r="C240" s="103"/>
      <c r="D240" s="71"/>
      <c r="E240" s="137"/>
      <c r="F240" s="138"/>
      <c r="G240" s="103"/>
      <c r="H240" s="71"/>
      <c r="I240" s="137"/>
      <c r="J240" s="138"/>
      <c r="K240" s="103"/>
      <c r="L240" s="71"/>
      <c r="M240" s="137"/>
      <c r="N240" s="125"/>
      <c r="O240" s="103"/>
      <c r="P240" s="71"/>
      <c r="Q240" s="189"/>
      <c r="R240" s="125"/>
      <c r="S240" s="103"/>
      <c r="T240" s="71"/>
      <c r="U240" s="189"/>
      <c r="V240" s="125"/>
      <c r="W240" s="103"/>
      <c r="X240" s="71"/>
      <c r="Y240" s="137"/>
      <c r="Z240" s="180"/>
      <c r="AA240" s="181"/>
      <c r="AB240" s="182"/>
      <c r="AC240" s="137"/>
      <c r="AD240" s="125"/>
      <c r="AE240" s="162"/>
      <c r="AF240" s="183"/>
      <c r="AG240" s="195"/>
      <c r="AH240" s="195"/>
      <c r="AI240" s="195"/>
      <c r="AJ240" s="195"/>
      <c r="AK240" s="71"/>
      <c r="AL240" s="71"/>
      <c r="AM240" s="71"/>
      <c r="AN240" s="71"/>
      <c r="AO240" s="71"/>
    </row>
    <row r="241">
      <c r="A241" s="137"/>
      <c r="B241" s="138"/>
      <c r="C241" s="103"/>
      <c r="D241" s="71"/>
      <c r="E241" s="137"/>
      <c r="F241" s="138"/>
      <c r="G241" s="103"/>
      <c r="H241" s="71"/>
      <c r="I241" s="137"/>
      <c r="J241" s="138"/>
      <c r="K241" s="103"/>
      <c r="L241" s="71"/>
      <c r="M241" s="137"/>
      <c r="N241" s="125"/>
      <c r="O241" s="103"/>
      <c r="P241" s="71"/>
      <c r="Q241" s="189"/>
      <c r="R241" s="125"/>
      <c r="S241" s="103"/>
      <c r="T241" s="71"/>
      <c r="U241" s="189"/>
      <c r="V241" s="125"/>
      <c r="W241" s="103"/>
      <c r="X241" s="71"/>
      <c r="Y241" s="137"/>
      <c r="Z241" s="180"/>
      <c r="AA241" s="181"/>
      <c r="AB241" s="182"/>
      <c r="AC241" s="137"/>
      <c r="AD241" s="125"/>
      <c r="AE241" s="162"/>
      <c r="AF241" s="183"/>
      <c r="AG241" s="195"/>
      <c r="AH241" s="195"/>
      <c r="AI241" s="195"/>
      <c r="AJ241" s="195"/>
      <c r="AK241" s="71"/>
      <c r="AL241" s="71"/>
      <c r="AM241" s="71"/>
      <c r="AN241" s="71"/>
      <c r="AO241" s="71"/>
    </row>
    <row r="242">
      <c r="A242" s="137"/>
      <c r="B242" s="138"/>
      <c r="C242" s="103"/>
      <c r="D242" s="71"/>
      <c r="E242" s="137"/>
      <c r="F242" s="138"/>
      <c r="G242" s="103"/>
      <c r="H242" s="71"/>
      <c r="I242" s="137"/>
      <c r="J242" s="138"/>
      <c r="K242" s="103"/>
      <c r="L242" s="71"/>
      <c r="M242" s="137"/>
      <c r="N242" s="125"/>
      <c r="O242" s="103"/>
      <c r="P242" s="71"/>
      <c r="Q242" s="189"/>
      <c r="R242" s="125"/>
      <c r="S242" s="103"/>
      <c r="T242" s="71"/>
      <c r="U242" s="189"/>
      <c r="V242" s="125"/>
      <c r="W242" s="103"/>
      <c r="X242" s="71"/>
      <c r="Y242" s="137"/>
      <c r="Z242" s="180"/>
      <c r="AA242" s="181"/>
      <c r="AB242" s="182"/>
      <c r="AC242" s="137"/>
      <c r="AD242" s="125"/>
      <c r="AE242" s="162"/>
      <c r="AF242" s="183"/>
      <c r="AG242" s="195"/>
      <c r="AH242" s="195"/>
      <c r="AI242" s="195"/>
      <c r="AJ242" s="195"/>
      <c r="AK242" s="71"/>
      <c r="AL242" s="71"/>
      <c r="AM242" s="71"/>
      <c r="AN242" s="71"/>
      <c r="AO242" s="71"/>
    </row>
    <row r="243">
      <c r="A243" s="137"/>
      <c r="B243" s="138"/>
      <c r="C243" s="103"/>
      <c r="D243" s="71"/>
      <c r="E243" s="137"/>
      <c r="F243" s="138"/>
      <c r="G243" s="103"/>
      <c r="H243" s="71"/>
      <c r="I243" s="137"/>
      <c r="J243" s="138"/>
      <c r="K243" s="103"/>
      <c r="L243" s="71"/>
      <c r="M243" s="137"/>
      <c r="N243" s="125"/>
      <c r="O243" s="103"/>
      <c r="P243" s="71"/>
      <c r="Q243" s="189"/>
      <c r="R243" s="125"/>
      <c r="S243" s="103"/>
      <c r="T243" s="71"/>
      <c r="U243" s="189"/>
      <c r="V243" s="125"/>
      <c r="W243" s="103"/>
      <c r="X243" s="71"/>
      <c r="Y243" s="137"/>
      <c r="Z243" s="180"/>
      <c r="AA243" s="181"/>
      <c r="AB243" s="182"/>
      <c r="AC243" s="137"/>
      <c r="AD243" s="125"/>
      <c r="AE243" s="162"/>
      <c r="AF243" s="183"/>
      <c r="AG243" s="195"/>
      <c r="AH243" s="195"/>
      <c r="AI243" s="195"/>
      <c r="AJ243" s="195"/>
      <c r="AK243" s="71"/>
      <c r="AL243" s="71"/>
      <c r="AM243" s="71"/>
      <c r="AN243" s="71"/>
      <c r="AO243" s="71"/>
    </row>
    <row r="244">
      <c r="A244" s="137"/>
      <c r="B244" s="138"/>
      <c r="C244" s="103"/>
      <c r="D244" s="71"/>
      <c r="E244" s="137"/>
      <c r="F244" s="138"/>
      <c r="G244" s="103"/>
      <c r="H244" s="71"/>
      <c r="I244" s="137"/>
      <c r="J244" s="138"/>
      <c r="K244" s="103"/>
      <c r="L244" s="71"/>
      <c r="M244" s="137"/>
      <c r="N244" s="125"/>
      <c r="O244" s="103"/>
      <c r="P244" s="71"/>
      <c r="Q244" s="189"/>
      <c r="R244" s="125"/>
      <c r="S244" s="103"/>
      <c r="T244" s="71"/>
      <c r="U244" s="189"/>
      <c r="V244" s="125"/>
      <c r="W244" s="103"/>
      <c r="X244" s="71"/>
      <c r="Y244" s="137"/>
      <c r="Z244" s="180"/>
      <c r="AA244" s="181"/>
      <c r="AB244" s="182"/>
      <c r="AC244" s="137"/>
      <c r="AD244" s="125"/>
      <c r="AE244" s="162"/>
      <c r="AF244" s="183"/>
      <c r="AG244" s="195"/>
      <c r="AH244" s="195"/>
      <c r="AI244" s="195"/>
      <c r="AJ244" s="195"/>
      <c r="AK244" s="71"/>
      <c r="AL244" s="71"/>
      <c r="AM244" s="71"/>
      <c r="AN244" s="71"/>
      <c r="AO244" s="71"/>
    </row>
    <row r="245">
      <c r="A245" s="137"/>
      <c r="B245" s="138"/>
      <c r="C245" s="103"/>
      <c r="D245" s="71"/>
      <c r="E245" s="137"/>
      <c r="F245" s="138"/>
      <c r="G245" s="103"/>
      <c r="H245" s="71"/>
      <c r="I245" s="137"/>
      <c r="J245" s="138"/>
      <c r="K245" s="103"/>
      <c r="L245" s="71"/>
      <c r="M245" s="137"/>
      <c r="N245" s="125"/>
      <c r="O245" s="103"/>
      <c r="P245" s="71"/>
      <c r="Q245" s="189"/>
      <c r="R245" s="125"/>
      <c r="S245" s="103"/>
      <c r="T245" s="71"/>
      <c r="U245" s="189"/>
      <c r="V245" s="125"/>
      <c r="W245" s="103"/>
      <c r="X245" s="71"/>
      <c r="Y245" s="137"/>
      <c r="Z245" s="180"/>
      <c r="AA245" s="181"/>
      <c r="AB245" s="182"/>
      <c r="AC245" s="137"/>
      <c r="AD245" s="125"/>
      <c r="AE245" s="162"/>
      <c r="AF245" s="183"/>
      <c r="AG245" s="195"/>
      <c r="AH245" s="195"/>
      <c r="AI245" s="195"/>
      <c r="AJ245" s="195"/>
      <c r="AK245" s="71"/>
      <c r="AL245" s="71"/>
      <c r="AM245" s="71"/>
      <c r="AN245" s="71"/>
      <c r="AO245" s="71"/>
    </row>
    <row r="246">
      <c r="A246" s="137"/>
      <c r="B246" s="138"/>
      <c r="C246" s="103"/>
      <c r="D246" s="71"/>
      <c r="E246" s="137"/>
      <c r="F246" s="138"/>
      <c r="G246" s="103"/>
      <c r="H246" s="71"/>
      <c r="I246" s="137"/>
      <c r="J246" s="138"/>
      <c r="K246" s="103"/>
      <c r="L246" s="71"/>
      <c r="M246" s="137"/>
      <c r="N246" s="125"/>
      <c r="O246" s="103"/>
      <c r="P246" s="71"/>
      <c r="Q246" s="189"/>
      <c r="R246" s="125"/>
      <c r="S246" s="103"/>
      <c r="T246" s="71"/>
      <c r="U246" s="189"/>
      <c r="V246" s="125"/>
      <c r="W246" s="103"/>
      <c r="X246" s="71"/>
      <c r="Y246" s="137"/>
      <c r="Z246" s="180"/>
      <c r="AA246" s="181"/>
      <c r="AB246" s="182"/>
      <c r="AC246" s="137"/>
      <c r="AD246" s="125"/>
      <c r="AE246" s="162"/>
      <c r="AF246" s="183"/>
      <c r="AG246" s="195"/>
      <c r="AH246" s="195"/>
      <c r="AI246" s="195"/>
      <c r="AJ246" s="195"/>
      <c r="AK246" s="71"/>
      <c r="AL246" s="71"/>
      <c r="AM246" s="71"/>
      <c r="AN246" s="71"/>
      <c r="AO246" s="71"/>
    </row>
    <row r="247">
      <c r="A247" s="137"/>
      <c r="B247" s="138"/>
      <c r="C247" s="103"/>
      <c r="D247" s="71"/>
      <c r="E247" s="137"/>
      <c r="F247" s="138"/>
      <c r="G247" s="103"/>
      <c r="H247" s="71"/>
      <c r="I247" s="137"/>
      <c r="J247" s="138"/>
      <c r="K247" s="103"/>
      <c r="L247" s="71"/>
      <c r="M247" s="137"/>
      <c r="N247" s="125"/>
      <c r="O247" s="103"/>
      <c r="P247" s="71"/>
      <c r="Q247" s="189"/>
      <c r="R247" s="125"/>
      <c r="S247" s="103"/>
      <c r="T247" s="71"/>
      <c r="U247" s="189"/>
      <c r="V247" s="125"/>
      <c r="W247" s="103"/>
      <c r="X247" s="71"/>
      <c r="Y247" s="137"/>
      <c r="Z247" s="180"/>
      <c r="AA247" s="181"/>
      <c r="AB247" s="182"/>
      <c r="AC247" s="137"/>
      <c r="AD247" s="125"/>
      <c r="AE247" s="162"/>
      <c r="AF247" s="183"/>
      <c r="AG247" s="195"/>
      <c r="AH247" s="195"/>
      <c r="AI247" s="195"/>
      <c r="AJ247" s="195"/>
      <c r="AK247" s="71"/>
      <c r="AL247" s="71"/>
      <c r="AM247" s="71"/>
      <c r="AN247" s="71"/>
      <c r="AO247" s="71"/>
    </row>
    <row r="248">
      <c r="A248" s="137"/>
      <c r="B248" s="138"/>
      <c r="C248" s="103"/>
      <c r="D248" s="71"/>
      <c r="E248" s="137"/>
      <c r="F248" s="138"/>
      <c r="G248" s="103"/>
      <c r="H248" s="71"/>
      <c r="I248" s="137"/>
      <c r="J248" s="138"/>
      <c r="K248" s="103"/>
      <c r="L248" s="71"/>
      <c r="M248" s="137"/>
      <c r="N248" s="125"/>
      <c r="O248" s="103"/>
      <c r="P248" s="71"/>
      <c r="Q248" s="189"/>
      <c r="R248" s="125"/>
      <c r="S248" s="103"/>
      <c r="T248" s="71"/>
      <c r="U248" s="189"/>
      <c r="V248" s="125"/>
      <c r="W248" s="103"/>
      <c r="X248" s="71"/>
      <c r="Y248" s="137"/>
      <c r="Z248" s="180"/>
      <c r="AA248" s="181"/>
      <c r="AB248" s="182"/>
      <c r="AC248" s="137"/>
      <c r="AD248" s="125"/>
      <c r="AE248" s="162"/>
      <c r="AF248" s="183"/>
      <c r="AG248" s="195"/>
      <c r="AH248" s="195"/>
      <c r="AI248" s="195"/>
      <c r="AJ248" s="195"/>
      <c r="AK248" s="71"/>
      <c r="AL248" s="71"/>
      <c r="AM248" s="71"/>
      <c r="AN248" s="71"/>
      <c r="AO248" s="71"/>
    </row>
    <row r="249">
      <c r="A249" s="137"/>
      <c r="B249" s="138"/>
      <c r="C249" s="103"/>
      <c r="D249" s="71"/>
      <c r="E249" s="137"/>
      <c r="F249" s="138"/>
      <c r="G249" s="103"/>
      <c r="H249" s="71"/>
      <c r="I249" s="137"/>
      <c r="J249" s="138"/>
      <c r="K249" s="103"/>
      <c r="L249" s="71"/>
      <c r="M249" s="137"/>
      <c r="N249" s="125"/>
      <c r="O249" s="103"/>
      <c r="P249" s="71"/>
      <c r="Q249" s="189"/>
      <c r="R249" s="125"/>
      <c r="S249" s="103"/>
      <c r="T249" s="71"/>
      <c r="U249" s="189"/>
      <c r="V249" s="125"/>
      <c r="W249" s="103"/>
      <c r="X249" s="71"/>
      <c r="Y249" s="137"/>
      <c r="Z249" s="180"/>
      <c r="AA249" s="181"/>
      <c r="AB249" s="182"/>
      <c r="AC249" s="137"/>
      <c r="AD249" s="125"/>
      <c r="AE249" s="162"/>
      <c r="AF249" s="183"/>
      <c r="AG249" s="195"/>
      <c r="AH249" s="195"/>
      <c r="AI249" s="195"/>
      <c r="AJ249" s="195"/>
      <c r="AK249" s="71"/>
      <c r="AL249" s="71"/>
      <c r="AM249" s="71"/>
      <c r="AN249" s="71"/>
      <c r="AO249" s="71"/>
    </row>
    <row r="250">
      <c r="A250" s="137"/>
      <c r="B250" s="138"/>
      <c r="C250" s="103"/>
      <c r="D250" s="71"/>
      <c r="E250" s="137"/>
      <c r="F250" s="138"/>
      <c r="G250" s="103"/>
      <c r="H250" s="71"/>
      <c r="I250" s="137"/>
      <c r="J250" s="138"/>
      <c r="K250" s="103"/>
      <c r="L250" s="71"/>
      <c r="M250" s="137"/>
      <c r="N250" s="125"/>
      <c r="O250" s="103"/>
      <c r="P250" s="71"/>
      <c r="Q250" s="189"/>
      <c r="R250" s="125"/>
      <c r="S250" s="103"/>
      <c r="T250" s="71"/>
      <c r="U250" s="189"/>
      <c r="V250" s="125"/>
      <c r="W250" s="103"/>
      <c r="X250" s="71"/>
      <c r="Y250" s="137"/>
      <c r="Z250" s="180"/>
      <c r="AA250" s="181"/>
      <c r="AB250" s="182"/>
      <c r="AC250" s="137"/>
      <c r="AD250" s="125"/>
      <c r="AE250" s="162"/>
      <c r="AF250" s="183"/>
      <c r="AG250" s="195"/>
      <c r="AH250" s="195"/>
      <c r="AI250" s="195"/>
      <c r="AJ250" s="195"/>
      <c r="AK250" s="71"/>
      <c r="AL250" s="71"/>
      <c r="AM250" s="71"/>
      <c r="AN250" s="71"/>
      <c r="AO250" s="71"/>
    </row>
    <row r="251">
      <c r="A251" s="137"/>
      <c r="B251" s="138"/>
      <c r="C251" s="103"/>
      <c r="D251" s="71"/>
      <c r="E251" s="137"/>
      <c r="F251" s="138"/>
      <c r="G251" s="103"/>
      <c r="H251" s="71"/>
      <c r="I251" s="137"/>
      <c r="J251" s="138"/>
      <c r="K251" s="103"/>
      <c r="L251" s="71"/>
      <c r="M251" s="137"/>
      <c r="N251" s="125"/>
      <c r="O251" s="103"/>
      <c r="P251" s="71"/>
      <c r="Q251" s="189"/>
      <c r="R251" s="125"/>
      <c r="S251" s="103"/>
      <c r="T251" s="71"/>
      <c r="U251" s="189"/>
      <c r="V251" s="125"/>
      <c r="W251" s="103"/>
      <c r="X251" s="71"/>
      <c r="Y251" s="137"/>
      <c r="Z251" s="180"/>
      <c r="AA251" s="181"/>
      <c r="AB251" s="182"/>
      <c r="AC251" s="137"/>
      <c r="AD251" s="125"/>
      <c r="AE251" s="162"/>
      <c r="AF251" s="183"/>
      <c r="AG251" s="195"/>
      <c r="AH251" s="195"/>
      <c r="AI251" s="195"/>
      <c r="AJ251" s="195"/>
      <c r="AK251" s="71"/>
      <c r="AL251" s="71"/>
      <c r="AM251" s="71"/>
      <c r="AN251" s="71"/>
      <c r="AO251" s="71"/>
    </row>
    <row r="252">
      <c r="A252" s="137"/>
      <c r="B252" s="138"/>
      <c r="C252" s="103"/>
      <c r="D252" s="71"/>
      <c r="E252" s="137"/>
      <c r="F252" s="138"/>
      <c r="G252" s="103"/>
      <c r="H252" s="71"/>
      <c r="I252" s="137"/>
      <c r="J252" s="138"/>
      <c r="K252" s="103"/>
      <c r="L252" s="71"/>
      <c r="M252" s="137"/>
      <c r="N252" s="125"/>
      <c r="O252" s="103"/>
      <c r="P252" s="71"/>
      <c r="Q252" s="189"/>
      <c r="R252" s="125"/>
      <c r="S252" s="103"/>
      <c r="T252" s="71"/>
      <c r="U252" s="189"/>
      <c r="V252" s="125"/>
      <c r="W252" s="103"/>
      <c r="X252" s="71"/>
      <c r="Y252" s="137"/>
      <c r="Z252" s="180"/>
      <c r="AA252" s="181"/>
      <c r="AB252" s="182"/>
      <c r="AC252" s="137"/>
      <c r="AD252" s="125"/>
      <c r="AE252" s="162"/>
      <c r="AF252" s="183"/>
      <c r="AG252" s="195"/>
      <c r="AH252" s="195"/>
      <c r="AI252" s="195"/>
      <c r="AJ252" s="195"/>
      <c r="AK252" s="71"/>
      <c r="AL252" s="71"/>
      <c r="AM252" s="71"/>
      <c r="AN252" s="71"/>
      <c r="AO252" s="71"/>
    </row>
    <row r="253">
      <c r="A253" s="137"/>
      <c r="B253" s="138"/>
      <c r="C253" s="103"/>
      <c r="D253" s="71"/>
      <c r="E253" s="137"/>
      <c r="F253" s="138"/>
      <c r="G253" s="103"/>
      <c r="H253" s="71"/>
      <c r="I253" s="137"/>
      <c r="J253" s="138"/>
      <c r="K253" s="103"/>
      <c r="L253" s="71"/>
      <c r="M253" s="137"/>
      <c r="N253" s="125"/>
      <c r="O253" s="103"/>
      <c r="P253" s="71"/>
      <c r="Q253" s="189"/>
      <c r="R253" s="125"/>
      <c r="S253" s="103"/>
      <c r="T253" s="71"/>
      <c r="U253" s="189"/>
      <c r="V253" s="125"/>
      <c r="W253" s="103"/>
      <c r="X253" s="71"/>
      <c r="Y253" s="137"/>
      <c r="Z253" s="180"/>
      <c r="AA253" s="181"/>
      <c r="AB253" s="182"/>
      <c r="AC253" s="137"/>
      <c r="AD253" s="125"/>
      <c r="AE253" s="162"/>
      <c r="AF253" s="183"/>
      <c r="AG253" s="195"/>
      <c r="AH253" s="195"/>
      <c r="AI253" s="195"/>
      <c r="AJ253" s="195"/>
      <c r="AK253" s="71"/>
      <c r="AL253" s="71"/>
      <c r="AM253" s="71"/>
      <c r="AN253" s="71"/>
      <c r="AO253" s="71"/>
    </row>
    <row r="254">
      <c r="A254" s="137"/>
      <c r="B254" s="138"/>
      <c r="C254" s="103"/>
      <c r="D254" s="71"/>
      <c r="E254" s="137"/>
      <c r="F254" s="138"/>
      <c r="G254" s="103"/>
      <c r="H254" s="71"/>
      <c r="I254" s="137"/>
      <c r="J254" s="138"/>
      <c r="K254" s="103"/>
      <c r="L254" s="71"/>
      <c r="M254" s="137"/>
      <c r="N254" s="125"/>
      <c r="O254" s="103"/>
      <c r="P254" s="71"/>
      <c r="Q254" s="189"/>
      <c r="R254" s="125"/>
      <c r="S254" s="103"/>
      <c r="T254" s="71"/>
      <c r="U254" s="189"/>
      <c r="V254" s="125"/>
      <c r="W254" s="103"/>
      <c r="X254" s="71"/>
      <c r="Y254" s="137"/>
      <c r="Z254" s="180"/>
      <c r="AA254" s="181"/>
      <c r="AB254" s="182"/>
      <c r="AC254" s="137"/>
      <c r="AD254" s="125"/>
      <c r="AE254" s="162"/>
      <c r="AF254" s="183"/>
      <c r="AG254" s="195"/>
      <c r="AH254" s="195"/>
      <c r="AI254" s="195"/>
      <c r="AJ254" s="195"/>
      <c r="AK254" s="71"/>
      <c r="AL254" s="71"/>
      <c r="AM254" s="71"/>
      <c r="AN254" s="71"/>
      <c r="AO254" s="71"/>
    </row>
    <row r="255">
      <c r="A255" s="137"/>
      <c r="B255" s="138"/>
      <c r="C255" s="103"/>
      <c r="D255" s="71"/>
      <c r="E255" s="137"/>
      <c r="F255" s="138"/>
      <c r="G255" s="103"/>
      <c r="H255" s="71"/>
      <c r="I255" s="137"/>
      <c r="J255" s="138"/>
      <c r="K255" s="103"/>
      <c r="L255" s="71"/>
      <c r="M255" s="137"/>
      <c r="N255" s="125"/>
      <c r="O255" s="103"/>
      <c r="P255" s="71"/>
      <c r="Q255" s="189"/>
      <c r="R255" s="125"/>
      <c r="S255" s="103"/>
      <c r="T255" s="71"/>
      <c r="U255" s="189"/>
      <c r="V255" s="125"/>
      <c r="W255" s="103"/>
      <c r="X255" s="71"/>
      <c r="Y255" s="137"/>
      <c r="Z255" s="180"/>
      <c r="AA255" s="181"/>
      <c r="AB255" s="182"/>
      <c r="AC255" s="137"/>
      <c r="AD255" s="125"/>
      <c r="AE255" s="162"/>
      <c r="AF255" s="183"/>
      <c r="AG255" s="195"/>
      <c r="AH255" s="195"/>
      <c r="AI255" s="195"/>
      <c r="AJ255" s="195"/>
      <c r="AK255" s="71"/>
      <c r="AL255" s="71"/>
      <c r="AM255" s="71"/>
      <c r="AN255" s="71"/>
      <c r="AO255" s="71"/>
    </row>
    <row r="256">
      <c r="A256" s="137"/>
      <c r="B256" s="138"/>
      <c r="C256" s="103"/>
      <c r="D256" s="71"/>
      <c r="E256" s="137"/>
      <c r="F256" s="138"/>
      <c r="G256" s="103"/>
      <c r="H256" s="71"/>
      <c r="I256" s="137"/>
      <c r="J256" s="138"/>
      <c r="K256" s="103"/>
      <c r="L256" s="71"/>
      <c r="M256" s="137"/>
      <c r="N256" s="125"/>
      <c r="O256" s="103"/>
      <c r="P256" s="71"/>
      <c r="Q256" s="189"/>
      <c r="R256" s="125"/>
      <c r="S256" s="103"/>
      <c r="T256" s="71"/>
      <c r="U256" s="189"/>
      <c r="V256" s="125"/>
      <c r="W256" s="103"/>
      <c r="X256" s="71"/>
      <c r="Y256" s="137"/>
      <c r="Z256" s="180"/>
      <c r="AA256" s="181"/>
      <c r="AB256" s="182"/>
      <c r="AC256" s="137"/>
      <c r="AD256" s="125"/>
      <c r="AE256" s="162"/>
      <c r="AF256" s="183"/>
      <c r="AG256" s="195"/>
      <c r="AH256" s="195"/>
      <c r="AI256" s="195"/>
      <c r="AJ256" s="195"/>
      <c r="AK256" s="71"/>
      <c r="AL256" s="71"/>
      <c r="AM256" s="71"/>
      <c r="AN256" s="71"/>
      <c r="AO256" s="71"/>
    </row>
    <row r="257">
      <c r="A257" s="137"/>
      <c r="B257" s="138"/>
      <c r="C257" s="103"/>
      <c r="D257" s="71"/>
      <c r="E257" s="137"/>
      <c r="F257" s="138"/>
      <c r="G257" s="103"/>
      <c r="H257" s="71"/>
      <c r="I257" s="137"/>
      <c r="J257" s="138"/>
      <c r="K257" s="103"/>
      <c r="L257" s="71"/>
      <c r="M257" s="137"/>
      <c r="N257" s="125"/>
      <c r="O257" s="103"/>
      <c r="P257" s="71"/>
      <c r="Q257" s="189"/>
      <c r="R257" s="125"/>
      <c r="S257" s="103"/>
      <c r="T257" s="71"/>
      <c r="U257" s="189"/>
      <c r="V257" s="125"/>
      <c r="W257" s="103"/>
      <c r="X257" s="71"/>
      <c r="Y257" s="137"/>
      <c r="Z257" s="180"/>
      <c r="AA257" s="181"/>
      <c r="AB257" s="182"/>
      <c r="AC257" s="137"/>
      <c r="AD257" s="125"/>
      <c r="AE257" s="162"/>
      <c r="AF257" s="183"/>
      <c r="AG257" s="195"/>
      <c r="AH257" s="195"/>
      <c r="AI257" s="195"/>
      <c r="AJ257" s="195"/>
      <c r="AK257" s="71"/>
      <c r="AL257" s="71"/>
      <c r="AM257" s="71"/>
      <c r="AN257" s="71"/>
      <c r="AO257" s="71"/>
    </row>
    <row r="258">
      <c r="A258" s="137"/>
      <c r="B258" s="138"/>
      <c r="C258" s="103"/>
      <c r="D258" s="71"/>
      <c r="E258" s="137"/>
      <c r="F258" s="138"/>
      <c r="G258" s="103"/>
      <c r="H258" s="71"/>
      <c r="I258" s="137"/>
      <c r="J258" s="138"/>
      <c r="K258" s="103"/>
      <c r="L258" s="71"/>
      <c r="M258" s="137"/>
      <c r="N258" s="125"/>
      <c r="O258" s="103"/>
      <c r="P258" s="71"/>
      <c r="Q258" s="189"/>
      <c r="R258" s="125"/>
      <c r="S258" s="103"/>
      <c r="T258" s="71"/>
      <c r="U258" s="189"/>
      <c r="V258" s="125"/>
      <c r="W258" s="103"/>
      <c r="X258" s="71"/>
      <c r="Y258" s="137"/>
      <c r="Z258" s="180"/>
      <c r="AA258" s="181"/>
      <c r="AB258" s="182"/>
      <c r="AC258" s="137"/>
      <c r="AD258" s="125"/>
      <c r="AE258" s="162"/>
      <c r="AF258" s="183"/>
      <c r="AG258" s="195"/>
      <c r="AH258" s="195"/>
      <c r="AI258" s="195"/>
      <c r="AJ258" s="195"/>
      <c r="AK258" s="71"/>
      <c r="AL258" s="71"/>
      <c r="AM258" s="71"/>
      <c r="AN258" s="71"/>
      <c r="AO258" s="71"/>
    </row>
    <row r="259">
      <c r="A259" s="137"/>
      <c r="B259" s="138"/>
      <c r="C259" s="103"/>
      <c r="D259" s="71"/>
      <c r="E259" s="137"/>
      <c r="F259" s="138"/>
      <c r="G259" s="103"/>
      <c r="H259" s="71"/>
      <c r="I259" s="137"/>
      <c r="J259" s="138"/>
      <c r="K259" s="103"/>
      <c r="L259" s="71"/>
      <c r="M259" s="137"/>
      <c r="N259" s="125"/>
      <c r="O259" s="103"/>
      <c r="P259" s="71"/>
      <c r="Q259" s="189"/>
      <c r="R259" s="125"/>
      <c r="S259" s="103"/>
      <c r="T259" s="71"/>
      <c r="U259" s="189"/>
      <c r="V259" s="125"/>
      <c r="W259" s="103"/>
      <c r="X259" s="71"/>
      <c r="Y259" s="137"/>
      <c r="Z259" s="180"/>
      <c r="AA259" s="181"/>
      <c r="AB259" s="182"/>
      <c r="AC259" s="137"/>
      <c r="AD259" s="125"/>
      <c r="AE259" s="162"/>
      <c r="AF259" s="183"/>
      <c r="AG259" s="195"/>
      <c r="AH259" s="195"/>
      <c r="AI259" s="195"/>
      <c r="AJ259" s="195"/>
      <c r="AK259" s="71"/>
      <c r="AL259" s="71"/>
      <c r="AM259" s="71"/>
      <c r="AN259" s="71"/>
      <c r="AO259" s="71"/>
    </row>
    <row r="260">
      <c r="A260" s="137"/>
      <c r="B260" s="138"/>
      <c r="C260" s="103"/>
      <c r="D260" s="71"/>
      <c r="E260" s="137"/>
      <c r="F260" s="138"/>
      <c r="G260" s="103"/>
      <c r="H260" s="71"/>
      <c r="I260" s="137"/>
      <c r="J260" s="138"/>
      <c r="K260" s="103"/>
      <c r="L260" s="71"/>
      <c r="M260" s="137"/>
      <c r="N260" s="125"/>
      <c r="O260" s="103"/>
      <c r="P260" s="71"/>
      <c r="Q260" s="189"/>
      <c r="R260" s="125"/>
      <c r="S260" s="103"/>
      <c r="T260" s="71"/>
      <c r="U260" s="189"/>
      <c r="V260" s="125"/>
      <c r="W260" s="103"/>
      <c r="X260" s="71"/>
      <c r="Y260" s="137"/>
      <c r="Z260" s="180"/>
      <c r="AA260" s="181"/>
      <c r="AB260" s="182"/>
      <c r="AC260" s="137"/>
      <c r="AD260" s="125"/>
      <c r="AE260" s="162"/>
      <c r="AF260" s="183"/>
      <c r="AG260" s="195"/>
      <c r="AH260" s="195"/>
      <c r="AI260" s="195"/>
      <c r="AJ260" s="195"/>
      <c r="AK260" s="71"/>
      <c r="AL260" s="71"/>
      <c r="AM260" s="71"/>
      <c r="AN260" s="71"/>
      <c r="AO260" s="71"/>
    </row>
    <row r="261">
      <c r="A261" s="137"/>
      <c r="B261" s="138"/>
      <c r="C261" s="103"/>
      <c r="D261" s="71"/>
      <c r="E261" s="137"/>
      <c r="F261" s="138"/>
      <c r="G261" s="103"/>
      <c r="H261" s="71"/>
      <c r="I261" s="137"/>
      <c r="J261" s="138"/>
      <c r="K261" s="103"/>
      <c r="L261" s="71"/>
      <c r="M261" s="137"/>
      <c r="N261" s="125"/>
      <c r="O261" s="103"/>
      <c r="P261" s="71"/>
      <c r="Q261" s="189"/>
      <c r="R261" s="125"/>
      <c r="S261" s="103"/>
      <c r="T261" s="71"/>
      <c r="U261" s="189"/>
      <c r="V261" s="125"/>
      <c r="W261" s="103"/>
      <c r="X261" s="71"/>
      <c r="Y261" s="137"/>
      <c r="Z261" s="180"/>
      <c r="AA261" s="181"/>
      <c r="AB261" s="182"/>
      <c r="AC261" s="137"/>
      <c r="AD261" s="125"/>
      <c r="AE261" s="162"/>
      <c r="AF261" s="183"/>
      <c r="AG261" s="195"/>
      <c r="AH261" s="195"/>
      <c r="AI261" s="195"/>
      <c r="AJ261" s="195"/>
      <c r="AK261" s="71"/>
      <c r="AL261" s="71"/>
      <c r="AM261" s="71"/>
      <c r="AN261" s="71"/>
      <c r="AO261" s="71"/>
    </row>
    <row r="262">
      <c r="A262" s="137"/>
      <c r="B262" s="138"/>
      <c r="C262" s="103"/>
      <c r="D262" s="71"/>
      <c r="E262" s="137"/>
      <c r="F262" s="138"/>
      <c r="G262" s="103"/>
      <c r="H262" s="71"/>
      <c r="I262" s="137"/>
      <c r="J262" s="138"/>
      <c r="K262" s="103"/>
      <c r="L262" s="71"/>
      <c r="M262" s="137"/>
      <c r="N262" s="125"/>
      <c r="O262" s="103"/>
      <c r="P262" s="71"/>
      <c r="Q262" s="189"/>
      <c r="R262" s="125"/>
      <c r="S262" s="103"/>
      <c r="T262" s="71"/>
      <c r="U262" s="189"/>
      <c r="V262" s="125"/>
      <c r="W262" s="103"/>
      <c r="X262" s="71"/>
      <c r="Y262" s="137"/>
      <c r="Z262" s="180"/>
      <c r="AA262" s="181"/>
      <c r="AB262" s="182"/>
      <c r="AC262" s="137"/>
      <c r="AD262" s="125"/>
      <c r="AE262" s="162"/>
      <c r="AF262" s="183"/>
      <c r="AG262" s="195"/>
      <c r="AH262" s="195"/>
      <c r="AI262" s="195"/>
      <c r="AJ262" s="195"/>
      <c r="AK262" s="71"/>
      <c r="AL262" s="71"/>
      <c r="AM262" s="71"/>
      <c r="AN262" s="71"/>
      <c r="AO262" s="71"/>
    </row>
    <row r="263">
      <c r="A263" s="137"/>
      <c r="B263" s="138"/>
      <c r="C263" s="103"/>
      <c r="D263" s="71"/>
      <c r="E263" s="137"/>
      <c r="F263" s="138"/>
      <c r="G263" s="103"/>
      <c r="H263" s="71"/>
      <c r="I263" s="137"/>
      <c r="J263" s="138"/>
      <c r="K263" s="103"/>
      <c r="L263" s="71"/>
      <c r="M263" s="137"/>
      <c r="N263" s="125"/>
      <c r="O263" s="103"/>
      <c r="P263" s="71"/>
      <c r="Q263" s="189"/>
      <c r="R263" s="125"/>
      <c r="S263" s="103"/>
      <c r="T263" s="71"/>
      <c r="U263" s="189"/>
      <c r="V263" s="125"/>
      <c r="W263" s="103"/>
      <c r="X263" s="71"/>
      <c r="Y263" s="137"/>
      <c r="Z263" s="180"/>
      <c r="AA263" s="181"/>
      <c r="AB263" s="182"/>
      <c r="AC263" s="137"/>
      <c r="AD263" s="125"/>
      <c r="AE263" s="162"/>
      <c r="AF263" s="183"/>
      <c r="AG263" s="195"/>
      <c r="AH263" s="195"/>
      <c r="AI263" s="195"/>
      <c r="AJ263" s="195"/>
      <c r="AK263" s="71"/>
      <c r="AL263" s="71"/>
      <c r="AM263" s="71"/>
      <c r="AN263" s="71"/>
      <c r="AO263" s="71"/>
    </row>
    <row r="264">
      <c r="A264" s="137"/>
      <c r="B264" s="138"/>
      <c r="C264" s="103"/>
      <c r="D264" s="71"/>
      <c r="E264" s="137"/>
      <c r="F264" s="138"/>
      <c r="G264" s="103"/>
      <c r="H264" s="71"/>
      <c r="I264" s="137"/>
      <c r="J264" s="138"/>
      <c r="K264" s="103"/>
      <c r="L264" s="71"/>
      <c r="M264" s="137"/>
      <c r="N264" s="125"/>
      <c r="O264" s="103"/>
      <c r="P264" s="71"/>
      <c r="Q264" s="189"/>
      <c r="R264" s="125"/>
      <c r="S264" s="103"/>
      <c r="T264" s="71"/>
      <c r="U264" s="189"/>
      <c r="V264" s="125"/>
      <c r="W264" s="103"/>
      <c r="X264" s="71"/>
      <c r="Y264" s="137"/>
      <c r="Z264" s="180"/>
      <c r="AA264" s="181"/>
      <c r="AB264" s="182"/>
      <c r="AC264" s="137"/>
      <c r="AD264" s="125"/>
      <c r="AE264" s="162"/>
      <c r="AF264" s="183"/>
      <c r="AG264" s="195"/>
      <c r="AH264" s="195"/>
      <c r="AI264" s="195"/>
      <c r="AJ264" s="195"/>
      <c r="AK264" s="71"/>
      <c r="AL264" s="71"/>
      <c r="AM264" s="71"/>
      <c r="AN264" s="71"/>
      <c r="AO264" s="71"/>
    </row>
    <row r="265">
      <c r="A265" s="137"/>
      <c r="B265" s="138"/>
      <c r="C265" s="103"/>
      <c r="D265" s="71"/>
      <c r="E265" s="137"/>
      <c r="F265" s="138"/>
      <c r="G265" s="103"/>
      <c r="H265" s="71"/>
      <c r="I265" s="137"/>
      <c r="J265" s="138"/>
      <c r="K265" s="103"/>
      <c r="L265" s="71"/>
      <c r="M265" s="137"/>
      <c r="N265" s="125"/>
      <c r="O265" s="103"/>
      <c r="P265" s="71"/>
      <c r="Q265" s="189"/>
      <c r="R265" s="125"/>
      <c r="S265" s="103"/>
      <c r="T265" s="71"/>
      <c r="U265" s="189"/>
      <c r="V265" s="125"/>
      <c r="W265" s="103"/>
      <c r="X265" s="71"/>
      <c r="Y265" s="137"/>
      <c r="Z265" s="180"/>
      <c r="AA265" s="181"/>
      <c r="AB265" s="182"/>
      <c r="AC265" s="137"/>
      <c r="AD265" s="125"/>
      <c r="AE265" s="162"/>
      <c r="AF265" s="183"/>
      <c r="AG265" s="195"/>
      <c r="AH265" s="195"/>
      <c r="AI265" s="195"/>
      <c r="AJ265" s="195"/>
      <c r="AK265" s="71"/>
      <c r="AL265" s="71"/>
      <c r="AM265" s="71"/>
      <c r="AN265" s="71"/>
      <c r="AO265" s="71"/>
    </row>
    <row r="266">
      <c r="A266" s="137"/>
      <c r="B266" s="138"/>
      <c r="C266" s="103"/>
      <c r="D266" s="71"/>
      <c r="E266" s="137"/>
      <c r="F266" s="138"/>
      <c r="G266" s="103"/>
      <c r="H266" s="71"/>
      <c r="I266" s="137"/>
      <c r="J266" s="138"/>
      <c r="K266" s="103"/>
      <c r="L266" s="71"/>
      <c r="M266" s="137"/>
      <c r="N266" s="125"/>
      <c r="O266" s="103"/>
      <c r="P266" s="71"/>
      <c r="Q266" s="189"/>
      <c r="R266" s="125"/>
      <c r="S266" s="103"/>
      <c r="T266" s="71"/>
      <c r="U266" s="189"/>
      <c r="V266" s="125"/>
      <c r="W266" s="103"/>
      <c r="X266" s="71"/>
      <c r="Y266" s="137"/>
      <c r="Z266" s="180"/>
      <c r="AA266" s="181"/>
      <c r="AB266" s="182"/>
      <c r="AC266" s="137"/>
      <c r="AD266" s="125"/>
      <c r="AE266" s="162"/>
      <c r="AF266" s="183"/>
      <c r="AG266" s="195"/>
      <c r="AH266" s="195"/>
      <c r="AI266" s="195"/>
      <c r="AJ266" s="195"/>
      <c r="AK266" s="71"/>
      <c r="AL266" s="71"/>
      <c r="AM266" s="71"/>
      <c r="AN266" s="71"/>
      <c r="AO266" s="71"/>
    </row>
    <row r="267">
      <c r="A267" s="137"/>
      <c r="B267" s="138"/>
      <c r="C267" s="103"/>
      <c r="D267" s="71"/>
      <c r="E267" s="137"/>
      <c r="F267" s="138"/>
      <c r="G267" s="103"/>
      <c r="H267" s="71"/>
      <c r="I267" s="137"/>
      <c r="J267" s="138"/>
      <c r="K267" s="103"/>
      <c r="L267" s="71"/>
      <c r="M267" s="137"/>
      <c r="N267" s="125"/>
      <c r="O267" s="103"/>
      <c r="P267" s="71"/>
      <c r="Q267" s="189"/>
      <c r="R267" s="125"/>
      <c r="S267" s="103"/>
      <c r="T267" s="71"/>
      <c r="U267" s="189"/>
      <c r="V267" s="125"/>
      <c r="W267" s="103"/>
      <c r="X267" s="71"/>
      <c r="Y267" s="137"/>
      <c r="Z267" s="180"/>
      <c r="AA267" s="181"/>
      <c r="AB267" s="182"/>
      <c r="AC267" s="137"/>
      <c r="AD267" s="125"/>
      <c r="AE267" s="162"/>
      <c r="AF267" s="183"/>
      <c r="AG267" s="195"/>
      <c r="AH267" s="195"/>
      <c r="AI267" s="195"/>
      <c r="AJ267" s="195"/>
      <c r="AK267" s="71"/>
      <c r="AL267" s="71"/>
      <c r="AM267" s="71"/>
      <c r="AN267" s="71"/>
      <c r="AO267" s="71"/>
    </row>
    <row r="268">
      <c r="A268" s="137"/>
      <c r="B268" s="138"/>
      <c r="C268" s="103"/>
      <c r="D268" s="71"/>
      <c r="E268" s="137"/>
      <c r="F268" s="138"/>
      <c r="G268" s="103"/>
      <c r="H268" s="71"/>
      <c r="I268" s="137"/>
      <c r="J268" s="138"/>
      <c r="K268" s="103"/>
      <c r="L268" s="71"/>
      <c r="M268" s="137"/>
      <c r="N268" s="125"/>
      <c r="O268" s="103"/>
      <c r="P268" s="71"/>
      <c r="Q268" s="189"/>
      <c r="R268" s="125"/>
      <c r="S268" s="103"/>
      <c r="T268" s="71"/>
      <c r="U268" s="189"/>
      <c r="V268" s="125"/>
      <c r="W268" s="103"/>
      <c r="X268" s="71"/>
      <c r="Y268" s="137"/>
      <c r="Z268" s="180"/>
      <c r="AA268" s="181"/>
      <c r="AB268" s="182"/>
      <c r="AC268" s="137"/>
      <c r="AD268" s="125"/>
      <c r="AE268" s="162"/>
      <c r="AF268" s="183"/>
      <c r="AG268" s="195"/>
      <c r="AH268" s="195"/>
      <c r="AI268" s="195"/>
      <c r="AJ268" s="195"/>
      <c r="AK268" s="71"/>
      <c r="AL268" s="71"/>
      <c r="AM268" s="71"/>
      <c r="AN268" s="71"/>
      <c r="AO268" s="71"/>
    </row>
    <row r="269">
      <c r="A269" s="137"/>
      <c r="B269" s="138"/>
      <c r="C269" s="103"/>
      <c r="D269" s="71"/>
      <c r="E269" s="137"/>
      <c r="F269" s="138"/>
      <c r="G269" s="103"/>
      <c r="H269" s="71"/>
      <c r="I269" s="137"/>
      <c r="J269" s="138"/>
      <c r="K269" s="103"/>
      <c r="L269" s="71"/>
      <c r="M269" s="137"/>
      <c r="N269" s="125"/>
      <c r="O269" s="103"/>
      <c r="P269" s="71"/>
      <c r="Q269" s="189"/>
      <c r="R269" s="125"/>
      <c r="S269" s="103"/>
      <c r="T269" s="71"/>
      <c r="U269" s="189"/>
      <c r="V269" s="125"/>
      <c r="W269" s="103"/>
      <c r="X269" s="71"/>
      <c r="Y269" s="137"/>
      <c r="Z269" s="180"/>
      <c r="AA269" s="181"/>
      <c r="AB269" s="182"/>
      <c r="AC269" s="137"/>
      <c r="AD269" s="125"/>
      <c r="AE269" s="162"/>
      <c r="AF269" s="183"/>
      <c r="AG269" s="195"/>
      <c r="AH269" s="195"/>
      <c r="AI269" s="195"/>
      <c r="AJ269" s="195"/>
      <c r="AK269" s="71"/>
      <c r="AL269" s="71"/>
      <c r="AM269" s="71"/>
      <c r="AN269" s="71"/>
      <c r="AO269" s="71"/>
    </row>
    <row r="270">
      <c r="A270" s="137"/>
      <c r="B270" s="138"/>
      <c r="C270" s="103"/>
      <c r="D270" s="71"/>
      <c r="E270" s="137"/>
      <c r="F270" s="138"/>
      <c r="G270" s="103"/>
      <c r="H270" s="71"/>
      <c r="I270" s="137"/>
      <c r="J270" s="138"/>
      <c r="K270" s="103"/>
      <c r="L270" s="71"/>
      <c r="M270" s="137"/>
      <c r="N270" s="125"/>
      <c r="O270" s="103"/>
      <c r="P270" s="71"/>
      <c r="Q270" s="189"/>
      <c r="R270" s="125"/>
      <c r="S270" s="103"/>
      <c r="T270" s="71"/>
      <c r="U270" s="189"/>
      <c r="V270" s="125"/>
      <c r="W270" s="103"/>
      <c r="X270" s="71"/>
      <c r="Y270" s="137"/>
      <c r="Z270" s="180"/>
      <c r="AA270" s="181"/>
      <c r="AB270" s="182"/>
      <c r="AC270" s="137"/>
      <c r="AD270" s="125"/>
      <c r="AE270" s="162"/>
      <c r="AF270" s="183"/>
      <c r="AG270" s="195"/>
      <c r="AH270" s="195"/>
      <c r="AI270" s="195"/>
      <c r="AJ270" s="195"/>
      <c r="AK270" s="71"/>
      <c r="AL270" s="71"/>
      <c r="AM270" s="71"/>
      <c r="AN270" s="71"/>
      <c r="AO270" s="71"/>
    </row>
    <row r="271">
      <c r="A271" s="137"/>
      <c r="B271" s="138"/>
      <c r="C271" s="103"/>
      <c r="D271" s="71"/>
      <c r="E271" s="137"/>
      <c r="F271" s="138"/>
      <c r="G271" s="103"/>
      <c r="H271" s="71"/>
      <c r="I271" s="137"/>
      <c r="J271" s="138"/>
      <c r="K271" s="103"/>
      <c r="L271" s="71"/>
      <c r="M271" s="137"/>
      <c r="N271" s="125"/>
      <c r="O271" s="103"/>
      <c r="P271" s="71"/>
      <c r="Q271" s="189"/>
      <c r="R271" s="125"/>
      <c r="S271" s="103"/>
      <c r="T271" s="71"/>
      <c r="U271" s="189"/>
      <c r="V271" s="125"/>
      <c r="W271" s="103"/>
      <c r="X271" s="71"/>
      <c r="Y271" s="137"/>
      <c r="Z271" s="180"/>
      <c r="AA271" s="181"/>
      <c r="AB271" s="182"/>
      <c r="AC271" s="137"/>
      <c r="AD271" s="125"/>
      <c r="AE271" s="162"/>
      <c r="AF271" s="183"/>
      <c r="AG271" s="195"/>
      <c r="AH271" s="195"/>
      <c r="AI271" s="195"/>
      <c r="AJ271" s="195"/>
      <c r="AK271" s="71"/>
      <c r="AL271" s="71"/>
      <c r="AM271" s="71"/>
      <c r="AN271" s="71"/>
      <c r="AO271" s="71"/>
    </row>
    <row r="272">
      <c r="A272" s="137"/>
      <c r="B272" s="138"/>
      <c r="C272" s="103"/>
      <c r="D272" s="71"/>
      <c r="E272" s="137"/>
      <c r="F272" s="138"/>
      <c r="G272" s="103"/>
      <c r="H272" s="71"/>
      <c r="I272" s="137"/>
      <c r="J272" s="138"/>
      <c r="K272" s="103"/>
      <c r="L272" s="71"/>
      <c r="M272" s="137"/>
      <c r="N272" s="125"/>
      <c r="O272" s="103"/>
      <c r="P272" s="71"/>
      <c r="Q272" s="189"/>
      <c r="R272" s="125"/>
      <c r="S272" s="103"/>
      <c r="T272" s="71"/>
      <c r="U272" s="189"/>
      <c r="V272" s="125"/>
      <c r="W272" s="103"/>
      <c r="X272" s="71"/>
      <c r="Y272" s="137"/>
      <c r="Z272" s="180"/>
      <c r="AA272" s="181"/>
      <c r="AB272" s="182"/>
      <c r="AC272" s="137"/>
      <c r="AD272" s="125"/>
      <c r="AE272" s="162"/>
      <c r="AF272" s="183"/>
      <c r="AG272" s="195"/>
      <c r="AH272" s="195"/>
      <c r="AI272" s="195"/>
      <c r="AJ272" s="195"/>
      <c r="AK272" s="71"/>
      <c r="AL272" s="71"/>
      <c r="AM272" s="71"/>
      <c r="AN272" s="71"/>
      <c r="AO272" s="71"/>
    </row>
    <row r="273">
      <c r="A273" s="137"/>
      <c r="B273" s="138"/>
      <c r="C273" s="103"/>
      <c r="D273" s="71"/>
      <c r="E273" s="137"/>
      <c r="F273" s="138"/>
      <c r="G273" s="103"/>
      <c r="H273" s="71"/>
      <c r="I273" s="137"/>
      <c r="J273" s="138"/>
      <c r="K273" s="103"/>
      <c r="L273" s="71"/>
      <c r="M273" s="137"/>
      <c r="N273" s="125"/>
      <c r="O273" s="103"/>
      <c r="P273" s="71"/>
      <c r="Q273" s="189"/>
      <c r="R273" s="125"/>
      <c r="S273" s="103"/>
      <c r="T273" s="71"/>
      <c r="U273" s="189"/>
      <c r="V273" s="125"/>
      <c r="W273" s="103"/>
      <c r="X273" s="71"/>
      <c r="Y273" s="137"/>
      <c r="Z273" s="180"/>
      <c r="AA273" s="181"/>
      <c r="AB273" s="182"/>
      <c r="AC273" s="137"/>
      <c r="AD273" s="125"/>
      <c r="AE273" s="162"/>
      <c r="AF273" s="183"/>
      <c r="AG273" s="195"/>
      <c r="AH273" s="195"/>
      <c r="AI273" s="195"/>
      <c r="AJ273" s="195"/>
      <c r="AK273" s="71"/>
      <c r="AL273" s="71"/>
      <c r="AM273" s="71"/>
      <c r="AN273" s="71"/>
      <c r="AO273" s="71"/>
    </row>
    <row r="274">
      <c r="A274" s="137"/>
      <c r="B274" s="138"/>
      <c r="C274" s="103"/>
      <c r="D274" s="71"/>
      <c r="E274" s="137"/>
      <c r="F274" s="138"/>
      <c r="G274" s="103"/>
      <c r="H274" s="71"/>
      <c r="I274" s="137"/>
      <c r="J274" s="138"/>
      <c r="K274" s="103"/>
      <c r="L274" s="71"/>
      <c r="M274" s="137"/>
      <c r="N274" s="125"/>
      <c r="O274" s="103"/>
      <c r="P274" s="71"/>
      <c r="Q274" s="189"/>
      <c r="R274" s="125"/>
      <c r="S274" s="103"/>
      <c r="T274" s="71"/>
      <c r="U274" s="189"/>
      <c r="V274" s="125"/>
      <c r="W274" s="103"/>
      <c r="X274" s="71"/>
      <c r="Y274" s="137"/>
      <c r="Z274" s="180"/>
      <c r="AA274" s="181"/>
      <c r="AB274" s="182"/>
      <c r="AC274" s="137"/>
      <c r="AD274" s="125"/>
      <c r="AE274" s="162"/>
      <c r="AF274" s="183"/>
      <c r="AG274" s="195"/>
      <c r="AH274" s="195"/>
      <c r="AI274" s="195"/>
      <c r="AJ274" s="195"/>
      <c r="AK274" s="71"/>
      <c r="AL274" s="71"/>
      <c r="AM274" s="71"/>
      <c r="AN274" s="71"/>
      <c r="AO274" s="71"/>
    </row>
    <row r="275">
      <c r="A275" s="137"/>
      <c r="B275" s="138"/>
      <c r="C275" s="103"/>
      <c r="D275" s="71"/>
      <c r="E275" s="137"/>
      <c r="F275" s="138"/>
      <c r="G275" s="103"/>
      <c r="H275" s="71"/>
      <c r="I275" s="137"/>
      <c r="J275" s="138"/>
      <c r="K275" s="103"/>
      <c r="L275" s="71"/>
      <c r="M275" s="137"/>
      <c r="N275" s="125"/>
      <c r="O275" s="103"/>
      <c r="P275" s="71"/>
      <c r="Q275" s="189"/>
      <c r="R275" s="125"/>
      <c r="S275" s="103"/>
      <c r="T275" s="71"/>
      <c r="U275" s="189"/>
      <c r="V275" s="125"/>
      <c r="W275" s="103"/>
      <c r="X275" s="71"/>
      <c r="Y275" s="137"/>
      <c r="Z275" s="180"/>
      <c r="AA275" s="181"/>
      <c r="AB275" s="182"/>
      <c r="AC275" s="137"/>
      <c r="AD275" s="125"/>
      <c r="AE275" s="162"/>
      <c r="AF275" s="183"/>
      <c r="AG275" s="195"/>
      <c r="AH275" s="195"/>
      <c r="AI275" s="195"/>
      <c r="AJ275" s="195"/>
      <c r="AK275" s="71"/>
      <c r="AL275" s="71"/>
      <c r="AM275" s="71"/>
      <c r="AN275" s="71"/>
      <c r="AO275" s="71"/>
    </row>
    <row r="276">
      <c r="A276" s="137"/>
      <c r="B276" s="138"/>
      <c r="C276" s="103"/>
      <c r="D276" s="71"/>
      <c r="E276" s="137"/>
      <c r="F276" s="138"/>
      <c r="G276" s="103"/>
      <c r="H276" s="71"/>
      <c r="I276" s="137"/>
      <c r="J276" s="138"/>
      <c r="K276" s="103"/>
      <c r="L276" s="71"/>
      <c r="M276" s="137"/>
      <c r="N276" s="125"/>
      <c r="O276" s="103"/>
      <c r="P276" s="71"/>
      <c r="Q276" s="189"/>
      <c r="R276" s="125"/>
      <c r="S276" s="103"/>
      <c r="T276" s="71"/>
      <c r="U276" s="189"/>
      <c r="V276" s="125"/>
      <c r="W276" s="103"/>
      <c r="X276" s="71"/>
      <c r="Y276" s="137"/>
      <c r="Z276" s="180"/>
      <c r="AA276" s="181"/>
      <c r="AB276" s="182"/>
      <c r="AC276" s="137"/>
      <c r="AD276" s="125"/>
      <c r="AE276" s="162"/>
      <c r="AF276" s="183"/>
      <c r="AG276" s="195"/>
      <c r="AH276" s="195"/>
      <c r="AI276" s="195"/>
      <c r="AJ276" s="195"/>
      <c r="AK276" s="71"/>
      <c r="AL276" s="71"/>
      <c r="AM276" s="71"/>
      <c r="AN276" s="71"/>
      <c r="AO276" s="71"/>
    </row>
    <row r="277">
      <c r="A277" s="137"/>
      <c r="B277" s="138"/>
      <c r="C277" s="103"/>
      <c r="D277" s="71"/>
      <c r="E277" s="137"/>
      <c r="F277" s="138"/>
      <c r="G277" s="103"/>
      <c r="H277" s="71"/>
      <c r="I277" s="137"/>
      <c r="J277" s="138"/>
      <c r="K277" s="103"/>
      <c r="L277" s="71"/>
      <c r="M277" s="137"/>
      <c r="N277" s="125"/>
      <c r="O277" s="103"/>
      <c r="P277" s="71"/>
      <c r="Q277" s="189"/>
      <c r="R277" s="125"/>
      <c r="S277" s="103"/>
      <c r="T277" s="71"/>
      <c r="U277" s="189"/>
      <c r="V277" s="125"/>
      <c r="W277" s="103"/>
      <c r="X277" s="71"/>
      <c r="Y277" s="137"/>
      <c r="Z277" s="180"/>
      <c r="AA277" s="181"/>
      <c r="AB277" s="182"/>
      <c r="AC277" s="137"/>
      <c r="AD277" s="125"/>
      <c r="AE277" s="162"/>
      <c r="AF277" s="183"/>
      <c r="AG277" s="195"/>
      <c r="AH277" s="195"/>
      <c r="AI277" s="195"/>
      <c r="AJ277" s="195"/>
      <c r="AK277" s="71"/>
      <c r="AL277" s="71"/>
      <c r="AM277" s="71"/>
      <c r="AN277" s="71"/>
      <c r="AO277" s="71"/>
    </row>
    <row r="278">
      <c r="A278" s="137"/>
      <c r="B278" s="138"/>
      <c r="C278" s="103"/>
      <c r="D278" s="71"/>
      <c r="E278" s="137"/>
      <c r="F278" s="138"/>
      <c r="G278" s="103"/>
      <c r="H278" s="71"/>
      <c r="I278" s="137"/>
      <c r="J278" s="138"/>
      <c r="K278" s="103"/>
      <c r="L278" s="71"/>
      <c r="M278" s="137"/>
      <c r="N278" s="125"/>
      <c r="O278" s="103"/>
      <c r="P278" s="71"/>
      <c r="Q278" s="189"/>
      <c r="R278" s="125"/>
      <c r="S278" s="103"/>
      <c r="T278" s="71"/>
      <c r="U278" s="189"/>
      <c r="V278" s="125"/>
      <c r="W278" s="103"/>
      <c r="X278" s="71"/>
      <c r="Y278" s="137"/>
      <c r="Z278" s="180"/>
      <c r="AA278" s="181"/>
      <c r="AB278" s="182"/>
      <c r="AC278" s="137"/>
      <c r="AD278" s="125"/>
      <c r="AE278" s="162"/>
      <c r="AF278" s="183"/>
      <c r="AG278" s="195"/>
      <c r="AH278" s="195"/>
      <c r="AI278" s="195"/>
      <c r="AJ278" s="195"/>
      <c r="AK278" s="71"/>
      <c r="AL278" s="71"/>
      <c r="AM278" s="71"/>
      <c r="AN278" s="71"/>
      <c r="AO278" s="71"/>
    </row>
    <row r="279">
      <c r="A279" s="137"/>
      <c r="B279" s="138"/>
      <c r="C279" s="103"/>
      <c r="D279" s="71"/>
      <c r="E279" s="137"/>
      <c r="F279" s="138"/>
      <c r="G279" s="103"/>
      <c r="H279" s="71"/>
      <c r="I279" s="137"/>
      <c r="J279" s="138"/>
      <c r="K279" s="103"/>
      <c r="L279" s="71"/>
      <c r="M279" s="137"/>
      <c r="N279" s="125"/>
      <c r="O279" s="103"/>
      <c r="P279" s="71"/>
      <c r="Q279" s="189"/>
      <c r="R279" s="125"/>
      <c r="S279" s="103"/>
      <c r="T279" s="71"/>
      <c r="U279" s="189"/>
      <c r="V279" s="125"/>
      <c r="W279" s="103"/>
      <c r="X279" s="71"/>
      <c r="Y279" s="137"/>
      <c r="Z279" s="180"/>
      <c r="AA279" s="181"/>
      <c r="AB279" s="182"/>
      <c r="AC279" s="137"/>
      <c r="AD279" s="125"/>
      <c r="AE279" s="162"/>
      <c r="AF279" s="183"/>
      <c r="AG279" s="195"/>
      <c r="AH279" s="195"/>
      <c r="AI279" s="195"/>
      <c r="AJ279" s="195"/>
      <c r="AK279" s="71"/>
      <c r="AL279" s="71"/>
      <c r="AM279" s="71"/>
      <c r="AN279" s="71"/>
      <c r="AO279" s="71"/>
    </row>
    <row r="280">
      <c r="A280" s="137"/>
      <c r="B280" s="138"/>
      <c r="C280" s="103"/>
      <c r="D280" s="71"/>
      <c r="E280" s="137"/>
      <c r="F280" s="138"/>
      <c r="G280" s="103"/>
      <c r="H280" s="71"/>
      <c r="I280" s="137"/>
      <c r="J280" s="138"/>
      <c r="K280" s="103"/>
      <c r="L280" s="71"/>
      <c r="M280" s="137"/>
      <c r="N280" s="125"/>
      <c r="O280" s="103"/>
      <c r="P280" s="71"/>
      <c r="Q280" s="189"/>
      <c r="R280" s="125"/>
      <c r="S280" s="103"/>
      <c r="T280" s="71"/>
      <c r="U280" s="189"/>
      <c r="V280" s="125"/>
      <c r="W280" s="103"/>
      <c r="X280" s="71"/>
      <c r="Y280" s="137"/>
      <c r="Z280" s="180"/>
      <c r="AA280" s="181"/>
      <c r="AB280" s="182"/>
      <c r="AC280" s="137"/>
      <c r="AD280" s="125"/>
      <c r="AE280" s="162"/>
      <c r="AF280" s="183"/>
      <c r="AG280" s="195"/>
      <c r="AH280" s="195"/>
      <c r="AI280" s="195"/>
      <c r="AJ280" s="195"/>
      <c r="AK280" s="71"/>
      <c r="AL280" s="71"/>
      <c r="AM280" s="71"/>
      <c r="AN280" s="71"/>
      <c r="AO280" s="71"/>
    </row>
    <row r="281">
      <c r="A281" s="137"/>
      <c r="B281" s="138"/>
      <c r="C281" s="103"/>
      <c r="D281" s="71"/>
      <c r="E281" s="137"/>
      <c r="F281" s="138"/>
      <c r="G281" s="103"/>
      <c r="H281" s="71"/>
      <c r="I281" s="137"/>
      <c r="J281" s="138"/>
      <c r="K281" s="103"/>
      <c r="L281" s="71"/>
      <c r="M281" s="137"/>
      <c r="N281" s="125"/>
      <c r="O281" s="103"/>
      <c r="P281" s="71"/>
      <c r="Q281" s="189"/>
      <c r="R281" s="125"/>
      <c r="S281" s="103"/>
      <c r="T281" s="71"/>
      <c r="U281" s="189"/>
      <c r="V281" s="125"/>
      <c r="W281" s="103"/>
      <c r="X281" s="71"/>
      <c r="Y281" s="137"/>
      <c r="Z281" s="180"/>
      <c r="AA281" s="181"/>
      <c r="AB281" s="182"/>
      <c r="AC281" s="137"/>
      <c r="AD281" s="125"/>
      <c r="AE281" s="162"/>
      <c r="AF281" s="183"/>
      <c r="AG281" s="195"/>
      <c r="AH281" s="195"/>
      <c r="AI281" s="195"/>
      <c r="AJ281" s="195"/>
      <c r="AK281" s="71"/>
      <c r="AL281" s="71"/>
      <c r="AM281" s="71"/>
      <c r="AN281" s="71"/>
      <c r="AO281" s="71"/>
    </row>
    <row r="282">
      <c r="A282" s="137"/>
      <c r="B282" s="138"/>
      <c r="C282" s="103"/>
      <c r="D282" s="71"/>
      <c r="E282" s="137"/>
      <c r="F282" s="138"/>
      <c r="G282" s="103"/>
      <c r="H282" s="71"/>
      <c r="I282" s="137"/>
      <c r="J282" s="138"/>
      <c r="K282" s="103"/>
      <c r="L282" s="71"/>
      <c r="M282" s="137"/>
      <c r="N282" s="125"/>
      <c r="O282" s="103"/>
      <c r="P282" s="71"/>
      <c r="Q282" s="189"/>
      <c r="R282" s="125"/>
      <c r="S282" s="103"/>
      <c r="T282" s="71"/>
      <c r="U282" s="189"/>
      <c r="V282" s="125"/>
      <c r="W282" s="103"/>
      <c r="X282" s="71"/>
      <c r="Y282" s="137"/>
      <c r="Z282" s="180"/>
      <c r="AA282" s="181"/>
      <c r="AB282" s="182"/>
      <c r="AC282" s="137"/>
      <c r="AD282" s="125"/>
      <c r="AE282" s="162"/>
      <c r="AF282" s="183"/>
      <c r="AG282" s="195"/>
      <c r="AH282" s="195"/>
      <c r="AI282" s="195"/>
      <c r="AJ282" s="195"/>
      <c r="AK282" s="71"/>
      <c r="AL282" s="71"/>
      <c r="AM282" s="71"/>
      <c r="AN282" s="71"/>
      <c r="AO282" s="71"/>
    </row>
    <row r="283">
      <c r="A283" s="137"/>
      <c r="B283" s="138"/>
      <c r="C283" s="103"/>
      <c r="D283" s="71"/>
      <c r="E283" s="137"/>
      <c r="F283" s="138"/>
      <c r="G283" s="103"/>
      <c r="H283" s="71"/>
      <c r="I283" s="137"/>
      <c r="J283" s="138"/>
      <c r="K283" s="103"/>
      <c r="L283" s="71"/>
      <c r="M283" s="137"/>
      <c r="N283" s="125"/>
      <c r="O283" s="103"/>
      <c r="P283" s="71"/>
      <c r="Q283" s="189"/>
      <c r="R283" s="125"/>
      <c r="S283" s="103"/>
      <c r="T283" s="71"/>
      <c r="U283" s="189"/>
      <c r="V283" s="125"/>
      <c r="W283" s="103"/>
      <c r="X283" s="71"/>
      <c r="Y283" s="137"/>
      <c r="Z283" s="180"/>
      <c r="AA283" s="181"/>
      <c r="AB283" s="182"/>
      <c r="AC283" s="137"/>
      <c r="AD283" s="125"/>
      <c r="AE283" s="162"/>
      <c r="AF283" s="183"/>
      <c r="AG283" s="195"/>
      <c r="AH283" s="195"/>
      <c r="AI283" s="195"/>
      <c r="AJ283" s="195"/>
      <c r="AK283" s="71"/>
      <c r="AL283" s="71"/>
      <c r="AM283" s="71"/>
      <c r="AN283" s="71"/>
      <c r="AO283" s="71"/>
    </row>
    <row r="284">
      <c r="A284" s="137"/>
      <c r="B284" s="138"/>
      <c r="C284" s="103"/>
      <c r="D284" s="71"/>
      <c r="E284" s="137"/>
      <c r="F284" s="138"/>
      <c r="G284" s="103"/>
      <c r="H284" s="71"/>
      <c r="I284" s="137"/>
      <c r="J284" s="138"/>
      <c r="K284" s="103"/>
      <c r="L284" s="71"/>
      <c r="M284" s="137"/>
      <c r="N284" s="125"/>
      <c r="O284" s="103"/>
      <c r="P284" s="71"/>
      <c r="Q284" s="189"/>
      <c r="R284" s="125"/>
      <c r="S284" s="103"/>
      <c r="T284" s="71"/>
      <c r="U284" s="189"/>
      <c r="V284" s="125"/>
      <c r="W284" s="103"/>
      <c r="X284" s="71"/>
      <c r="Y284" s="137"/>
      <c r="Z284" s="180"/>
      <c r="AA284" s="181"/>
      <c r="AB284" s="182"/>
      <c r="AC284" s="137"/>
      <c r="AD284" s="125"/>
      <c r="AE284" s="162"/>
      <c r="AF284" s="183"/>
      <c r="AG284" s="195"/>
      <c r="AH284" s="195"/>
      <c r="AI284" s="195"/>
      <c r="AJ284" s="195"/>
      <c r="AK284" s="71"/>
      <c r="AL284" s="71"/>
      <c r="AM284" s="71"/>
      <c r="AN284" s="71"/>
      <c r="AO284" s="71"/>
    </row>
    <row r="285">
      <c r="A285" s="137"/>
      <c r="B285" s="138"/>
      <c r="C285" s="103"/>
      <c r="D285" s="71"/>
      <c r="E285" s="137"/>
      <c r="F285" s="138"/>
      <c r="G285" s="103"/>
      <c r="H285" s="71"/>
      <c r="I285" s="137"/>
      <c r="J285" s="138"/>
      <c r="K285" s="103"/>
      <c r="L285" s="71"/>
      <c r="M285" s="137"/>
      <c r="N285" s="125"/>
      <c r="O285" s="103"/>
      <c r="P285" s="71"/>
      <c r="Q285" s="189"/>
      <c r="R285" s="125"/>
      <c r="S285" s="103"/>
      <c r="T285" s="71"/>
      <c r="U285" s="189"/>
      <c r="V285" s="125"/>
      <c r="W285" s="103"/>
      <c r="X285" s="71"/>
      <c r="Y285" s="137"/>
      <c r="Z285" s="180"/>
      <c r="AA285" s="181"/>
      <c r="AB285" s="182"/>
      <c r="AC285" s="137"/>
      <c r="AD285" s="125"/>
      <c r="AE285" s="162"/>
      <c r="AF285" s="183"/>
      <c r="AG285" s="195"/>
      <c r="AH285" s="195"/>
      <c r="AI285" s="195"/>
      <c r="AJ285" s="195"/>
      <c r="AK285" s="71"/>
      <c r="AL285" s="71"/>
      <c r="AM285" s="71"/>
      <c r="AN285" s="71"/>
      <c r="AO285" s="71"/>
    </row>
    <row r="286">
      <c r="A286" s="137"/>
      <c r="B286" s="138"/>
      <c r="C286" s="103"/>
      <c r="D286" s="71"/>
      <c r="E286" s="137"/>
      <c r="F286" s="138"/>
      <c r="G286" s="103"/>
      <c r="H286" s="71"/>
      <c r="I286" s="137"/>
      <c r="J286" s="138"/>
      <c r="K286" s="103"/>
      <c r="L286" s="71"/>
      <c r="M286" s="137"/>
      <c r="N286" s="125"/>
      <c r="O286" s="103"/>
      <c r="P286" s="71"/>
      <c r="Q286" s="189"/>
      <c r="R286" s="125"/>
      <c r="S286" s="103"/>
      <c r="T286" s="71"/>
      <c r="U286" s="189"/>
      <c r="V286" s="125"/>
      <c r="W286" s="103"/>
      <c r="X286" s="71"/>
      <c r="Y286" s="137"/>
      <c r="Z286" s="180"/>
      <c r="AA286" s="181"/>
      <c r="AB286" s="182"/>
      <c r="AC286" s="137"/>
      <c r="AD286" s="125"/>
      <c r="AE286" s="162"/>
      <c r="AF286" s="183"/>
      <c r="AG286" s="195"/>
      <c r="AH286" s="195"/>
      <c r="AI286" s="195"/>
      <c r="AJ286" s="195"/>
      <c r="AK286" s="71"/>
      <c r="AL286" s="71"/>
      <c r="AM286" s="71"/>
      <c r="AN286" s="71"/>
      <c r="AO286" s="71"/>
    </row>
    <row r="287">
      <c r="A287" s="137"/>
      <c r="B287" s="138"/>
      <c r="C287" s="103"/>
      <c r="D287" s="71"/>
      <c r="E287" s="137"/>
      <c r="F287" s="138"/>
      <c r="G287" s="103"/>
      <c r="H287" s="71"/>
      <c r="I287" s="137"/>
      <c r="J287" s="138"/>
      <c r="K287" s="103"/>
      <c r="L287" s="71"/>
      <c r="M287" s="137"/>
      <c r="N287" s="125"/>
      <c r="O287" s="103"/>
      <c r="P287" s="71"/>
      <c r="Q287" s="189"/>
      <c r="R287" s="125"/>
      <c r="S287" s="103"/>
      <c r="T287" s="71"/>
      <c r="U287" s="189"/>
      <c r="V287" s="125"/>
      <c r="W287" s="103"/>
      <c r="X287" s="71"/>
      <c r="Y287" s="137"/>
      <c r="Z287" s="180"/>
      <c r="AA287" s="181"/>
      <c r="AB287" s="182"/>
      <c r="AC287" s="137"/>
      <c r="AD287" s="125"/>
      <c r="AE287" s="162"/>
      <c r="AF287" s="183"/>
      <c r="AG287" s="195"/>
      <c r="AH287" s="195"/>
      <c r="AI287" s="195"/>
      <c r="AJ287" s="195"/>
      <c r="AK287" s="71"/>
      <c r="AL287" s="71"/>
      <c r="AM287" s="71"/>
      <c r="AN287" s="71"/>
      <c r="AO287" s="71"/>
    </row>
    <row r="288">
      <c r="A288" s="137"/>
      <c r="B288" s="138"/>
      <c r="C288" s="103"/>
      <c r="D288" s="71"/>
      <c r="E288" s="137"/>
      <c r="F288" s="138"/>
      <c r="G288" s="103"/>
      <c r="H288" s="71"/>
      <c r="I288" s="137"/>
      <c r="J288" s="138"/>
      <c r="K288" s="103"/>
      <c r="L288" s="71"/>
      <c r="M288" s="137"/>
      <c r="N288" s="125"/>
      <c r="O288" s="103"/>
      <c r="P288" s="71"/>
      <c r="Q288" s="189"/>
      <c r="R288" s="125"/>
      <c r="S288" s="103"/>
      <c r="T288" s="71"/>
      <c r="U288" s="189"/>
      <c r="V288" s="125"/>
      <c r="W288" s="103"/>
      <c r="X288" s="71"/>
      <c r="Y288" s="137"/>
      <c r="Z288" s="180"/>
      <c r="AA288" s="181"/>
      <c r="AB288" s="182"/>
      <c r="AC288" s="137"/>
      <c r="AD288" s="125"/>
      <c r="AE288" s="162"/>
      <c r="AF288" s="183"/>
      <c r="AG288" s="195"/>
      <c r="AH288" s="195"/>
      <c r="AI288" s="195"/>
      <c r="AJ288" s="195"/>
      <c r="AK288" s="71"/>
      <c r="AL288" s="71"/>
      <c r="AM288" s="71"/>
      <c r="AN288" s="71"/>
      <c r="AO288" s="71"/>
    </row>
    <row r="289">
      <c r="A289" s="137"/>
      <c r="B289" s="138"/>
      <c r="C289" s="103"/>
      <c r="D289" s="71"/>
      <c r="E289" s="137"/>
      <c r="F289" s="138"/>
      <c r="G289" s="103"/>
      <c r="H289" s="71"/>
      <c r="I289" s="137"/>
      <c r="J289" s="138"/>
      <c r="K289" s="103"/>
      <c r="L289" s="71"/>
      <c r="M289" s="137"/>
      <c r="N289" s="125"/>
      <c r="O289" s="103"/>
      <c r="P289" s="71"/>
      <c r="Q289" s="189"/>
      <c r="R289" s="125"/>
      <c r="S289" s="103"/>
      <c r="T289" s="71"/>
      <c r="U289" s="189"/>
      <c r="V289" s="125"/>
      <c r="W289" s="103"/>
      <c r="X289" s="71"/>
      <c r="Y289" s="137"/>
      <c r="Z289" s="180"/>
      <c r="AA289" s="181"/>
      <c r="AB289" s="182"/>
      <c r="AC289" s="137"/>
      <c r="AD289" s="125"/>
      <c r="AE289" s="162"/>
      <c r="AF289" s="183"/>
      <c r="AG289" s="195"/>
      <c r="AH289" s="195"/>
      <c r="AI289" s="195"/>
      <c r="AJ289" s="195"/>
      <c r="AK289" s="71"/>
      <c r="AL289" s="71"/>
      <c r="AM289" s="71"/>
      <c r="AN289" s="71"/>
      <c r="AO289" s="71"/>
    </row>
    <row r="290">
      <c r="A290" s="137"/>
      <c r="B290" s="138"/>
      <c r="C290" s="103"/>
      <c r="D290" s="71"/>
      <c r="E290" s="137"/>
      <c r="F290" s="138"/>
      <c r="G290" s="103"/>
      <c r="H290" s="71"/>
      <c r="I290" s="137"/>
      <c r="J290" s="138"/>
      <c r="K290" s="103"/>
      <c r="L290" s="71"/>
      <c r="M290" s="137"/>
      <c r="N290" s="125"/>
      <c r="O290" s="103"/>
      <c r="P290" s="71"/>
      <c r="Q290" s="189"/>
      <c r="R290" s="125"/>
      <c r="S290" s="103"/>
      <c r="T290" s="71"/>
      <c r="U290" s="189"/>
      <c r="V290" s="125"/>
      <c r="W290" s="103"/>
      <c r="X290" s="71"/>
      <c r="Y290" s="137"/>
      <c r="Z290" s="180"/>
      <c r="AA290" s="181"/>
      <c r="AB290" s="182"/>
      <c r="AC290" s="137"/>
      <c r="AD290" s="125"/>
      <c r="AE290" s="162"/>
      <c r="AF290" s="183"/>
      <c r="AG290" s="195"/>
      <c r="AH290" s="195"/>
      <c r="AI290" s="195"/>
      <c r="AJ290" s="195"/>
      <c r="AK290" s="71"/>
      <c r="AL290" s="71"/>
      <c r="AM290" s="71"/>
      <c r="AN290" s="71"/>
      <c r="AO290" s="71"/>
    </row>
    <row r="291">
      <c r="A291" s="137"/>
      <c r="B291" s="138"/>
      <c r="C291" s="103"/>
      <c r="D291" s="71"/>
      <c r="E291" s="137"/>
      <c r="F291" s="138"/>
      <c r="G291" s="103"/>
      <c r="H291" s="71"/>
      <c r="I291" s="137"/>
      <c r="J291" s="138"/>
      <c r="K291" s="103"/>
      <c r="L291" s="71"/>
      <c r="M291" s="137"/>
      <c r="N291" s="125"/>
      <c r="O291" s="103"/>
      <c r="P291" s="71"/>
      <c r="Q291" s="189"/>
      <c r="R291" s="125"/>
      <c r="S291" s="103"/>
      <c r="T291" s="71"/>
      <c r="U291" s="189"/>
      <c r="V291" s="125"/>
      <c r="W291" s="103"/>
      <c r="X291" s="71"/>
      <c r="Y291" s="137"/>
      <c r="Z291" s="180"/>
      <c r="AA291" s="181"/>
      <c r="AB291" s="182"/>
      <c r="AC291" s="137"/>
      <c r="AD291" s="125"/>
      <c r="AE291" s="162"/>
      <c r="AF291" s="183"/>
      <c r="AG291" s="195"/>
      <c r="AH291" s="195"/>
      <c r="AI291" s="195"/>
      <c r="AJ291" s="195"/>
      <c r="AK291" s="71"/>
      <c r="AL291" s="71"/>
      <c r="AM291" s="71"/>
      <c r="AN291" s="71"/>
      <c r="AO291" s="71"/>
    </row>
    <row r="292">
      <c r="A292" s="137"/>
      <c r="B292" s="138"/>
      <c r="C292" s="103"/>
      <c r="D292" s="71"/>
      <c r="E292" s="137"/>
      <c r="F292" s="138"/>
      <c r="G292" s="103"/>
      <c r="H292" s="71"/>
      <c r="I292" s="137"/>
      <c r="J292" s="138"/>
      <c r="K292" s="103"/>
      <c r="L292" s="71"/>
      <c r="M292" s="137"/>
      <c r="N292" s="125"/>
      <c r="O292" s="103"/>
      <c r="P292" s="71"/>
      <c r="Q292" s="189"/>
      <c r="R292" s="125"/>
      <c r="S292" s="103"/>
      <c r="T292" s="71"/>
      <c r="U292" s="189"/>
      <c r="V292" s="125"/>
      <c r="W292" s="103"/>
      <c r="X292" s="71"/>
      <c r="Y292" s="137"/>
      <c r="Z292" s="180"/>
      <c r="AA292" s="181"/>
      <c r="AB292" s="182"/>
      <c r="AC292" s="137"/>
      <c r="AD292" s="125"/>
      <c r="AE292" s="162"/>
      <c r="AF292" s="183"/>
      <c r="AG292" s="195"/>
      <c r="AH292" s="195"/>
      <c r="AI292" s="195"/>
      <c r="AJ292" s="195"/>
      <c r="AK292" s="71"/>
      <c r="AL292" s="71"/>
      <c r="AM292" s="71"/>
      <c r="AN292" s="71"/>
      <c r="AO292" s="71"/>
    </row>
    <row r="293">
      <c r="A293" s="137"/>
      <c r="B293" s="138"/>
      <c r="C293" s="103"/>
      <c r="D293" s="71"/>
      <c r="E293" s="137"/>
      <c r="F293" s="138"/>
      <c r="G293" s="103"/>
      <c r="H293" s="71"/>
      <c r="I293" s="137"/>
      <c r="J293" s="138"/>
      <c r="K293" s="103"/>
      <c r="L293" s="71"/>
      <c r="M293" s="137"/>
      <c r="N293" s="125"/>
      <c r="O293" s="103"/>
      <c r="P293" s="71"/>
      <c r="Q293" s="189"/>
      <c r="R293" s="125"/>
      <c r="S293" s="103"/>
      <c r="T293" s="71"/>
      <c r="U293" s="189"/>
      <c r="V293" s="125"/>
      <c r="W293" s="103"/>
      <c r="X293" s="71"/>
      <c r="Y293" s="137"/>
      <c r="Z293" s="180"/>
      <c r="AA293" s="181"/>
      <c r="AB293" s="182"/>
      <c r="AC293" s="137"/>
      <c r="AD293" s="125"/>
      <c r="AE293" s="162"/>
      <c r="AF293" s="183"/>
      <c r="AG293" s="195"/>
      <c r="AH293" s="195"/>
      <c r="AI293" s="195"/>
      <c r="AJ293" s="195"/>
      <c r="AK293" s="71"/>
      <c r="AL293" s="71"/>
      <c r="AM293" s="71"/>
      <c r="AN293" s="71"/>
      <c r="AO293" s="71"/>
    </row>
    <row r="294">
      <c r="A294" s="137"/>
      <c r="B294" s="138"/>
      <c r="C294" s="103"/>
      <c r="D294" s="71"/>
      <c r="E294" s="137"/>
      <c r="F294" s="138"/>
      <c r="G294" s="103"/>
      <c r="H294" s="71"/>
      <c r="I294" s="137"/>
      <c r="J294" s="138"/>
      <c r="K294" s="103"/>
      <c r="L294" s="71"/>
      <c r="M294" s="137"/>
      <c r="N294" s="125"/>
      <c r="O294" s="103"/>
      <c r="P294" s="71"/>
      <c r="Q294" s="189"/>
      <c r="R294" s="125"/>
      <c r="S294" s="103"/>
      <c r="T294" s="71"/>
      <c r="U294" s="189"/>
      <c r="V294" s="125"/>
      <c r="W294" s="103"/>
      <c r="X294" s="71"/>
      <c r="Y294" s="137"/>
      <c r="Z294" s="180"/>
      <c r="AA294" s="181"/>
      <c r="AB294" s="182"/>
      <c r="AC294" s="137"/>
      <c r="AD294" s="125"/>
      <c r="AE294" s="162"/>
      <c r="AF294" s="183"/>
      <c r="AG294" s="195"/>
      <c r="AH294" s="195"/>
      <c r="AI294" s="195"/>
      <c r="AJ294" s="195"/>
      <c r="AK294" s="71"/>
      <c r="AL294" s="71"/>
      <c r="AM294" s="71"/>
      <c r="AN294" s="71"/>
      <c r="AO294" s="71"/>
    </row>
    <row r="295">
      <c r="A295" s="137"/>
      <c r="B295" s="138"/>
      <c r="C295" s="103"/>
      <c r="D295" s="71"/>
      <c r="E295" s="137"/>
      <c r="F295" s="138"/>
      <c r="G295" s="103"/>
      <c r="H295" s="71"/>
      <c r="I295" s="137"/>
      <c r="J295" s="138"/>
      <c r="K295" s="103"/>
      <c r="L295" s="71"/>
      <c r="M295" s="137"/>
      <c r="N295" s="125"/>
      <c r="O295" s="103"/>
      <c r="P295" s="71"/>
      <c r="Q295" s="189"/>
      <c r="R295" s="125"/>
      <c r="S295" s="103"/>
      <c r="T295" s="71"/>
      <c r="U295" s="189"/>
      <c r="V295" s="125"/>
      <c r="W295" s="103"/>
      <c r="X295" s="71"/>
      <c r="Y295" s="137"/>
      <c r="Z295" s="180"/>
      <c r="AA295" s="181"/>
      <c r="AB295" s="182"/>
      <c r="AC295" s="137"/>
      <c r="AD295" s="125"/>
      <c r="AE295" s="162"/>
      <c r="AF295" s="183"/>
      <c r="AG295" s="195"/>
      <c r="AH295" s="195"/>
      <c r="AI295" s="195"/>
      <c r="AJ295" s="195"/>
      <c r="AK295" s="71"/>
      <c r="AL295" s="71"/>
      <c r="AM295" s="71"/>
      <c r="AN295" s="71"/>
      <c r="AO295" s="71"/>
    </row>
    <row r="296">
      <c r="A296" s="137"/>
      <c r="B296" s="138"/>
      <c r="C296" s="103"/>
      <c r="D296" s="71"/>
      <c r="E296" s="137"/>
      <c r="F296" s="138"/>
      <c r="G296" s="103"/>
      <c r="H296" s="71"/>
      <c r="I296" s="137"/>
      <c r="J296" s="138"/>
      <c r="K296" s="103"/>
      <c r="L296" s="71"/>
      <c r="M296" s="137"/>
      <c r="N296" s="125"/>
      <c r="O296" s="103"/>
      <c r="P296" s="71"/>
      <c r="Q296" s="189"/>
      <c r="R296" s="125"/>
      <c r="S296" s="103"/>
      <c r="T296" s="71"/>
      <c r="U296" s="189"/>
      <c r="V296" s="125"/>
      <c r="W296" s="103"/>
      <c r="X296" s="71"/>
      <c r="Y296" s="137"/>
      <c r="Z296" s="180"/>
      <c r="AA296" s="181"/>
      <c r="AB296" s="182"/>
      <c r="AC296" s="137"/>
      <c r="AD296" s="125"/>
      <c r="AE296" s="162"/>
      <c r="AF296" s="183"/>
      <c r="AG296" s="195"/>
      <c r="AH296" s="195"/>
      <c r="AI296" s="195"/>
      <c r="AJ296" s="195"/>
      <c r="AK296" s="71"/>
      <c r="AL296" s="71"/>
      <c r="AM296" s="71"/>
      <c r="AN296" s="71"/>
      <c r="AO296" s="71"/>
    </row>
    <row r="297">
      <c r="A297" s="137"/>
      <c r="B297" s="138"/>
      <c r="C297" s="103"/>
      <c r="D297" s="71"/>
      <c r="E297" s="137"/>
      <c r="F297" s="138"/>
      <c r="G297" s="103"/>
      <c r="H297" s="71"/>
      <c r="I297" s="137"/>
      <c r="J297" s="138"/>
      <c r="K297" s="103"/>
      <c r="L297" s="71"/>
      <c r="M297" s="137"/>
      <c r="N297" s="125"/>
      <c r="O297" s="103"/>
      <c r="P297" s="71"/>
      <c r="Q297" s="189"/>
      <c r="R297" s="125"/>
      <c r="S297" s="103"/>
      <c r="T297" s="71"/>
      <c r="U297" s="189"/>
      <c r="V297" s="125"/>
      <c r="W297" s="103"/>
      <c r="X297" s="71"/>
      <c r="Y297" s="137"/>
      <c r="Z297" s="180"/>
      <c r="AA297" s="181"/>
      <c r="AB297" s="182"/>
      <c r="AC297" s="137"/>
      <c r="AD297" s="125"/>
      <c r="AE297" s="162"/>
      <c r="AF297" s="183"/>
      <c r="AG297" s="195"/>
      <c r="AH297" s="195"/>
      <c r="AI297" s="195"/>
      <c r="AJ297" s="195"/>
      <c r="AK297" s="71"/>
      <c r="AL297" s="71"/>
      <c r="AM297" s="71"/>
      <c r="AN297" s="71"/>
      <c r="AO297" s="71"/>
    </row>
    <row r="298">
      <c r="A298" s="137"/>
      <c r="B298" s="138"/>
      <c r="C298" s="103"/>
      <c r="D298" s="71"/>
      <c r="E298" s="137"/>
      <c r="F298" s="138"/>
      <c r="G298" s="103"/>
      <c r="H298" s="71"/>
      <c r="I298" s="137"/>
      <c r="J298" s="138"/>
      <c r="K298" s="103"/>
      <c r="L298" s="71"/>
      <c r="M298" s="137"/>
      <c r="N298" s="125"/>
      <c r="O298" s="103"/>
      <c r="P298" s="71"/>
      <c r="Q298" s="189"/>
      <c r="R298" s="125"/>
      <c r="S298" s="103"/>
      <c r="T298" s="71"/>
      <c r="U298" s="189"/>
      <c r="V298" s="125"/>
      <c r="W298" s="103"/>
      <c r="X298" s="71"/>
      <c r="Y298" s="137"/>
      <c r="Z298" s="180"/>
      <c r="AA298" s="181"/>
      <c r="AB298" s="182"/>
      <c r="AC298" s="137"/>
      <c r="AD298" s="125"/>
      <c r="AE298" s="162"/>
      <c r="AF298" s="183"/>
      <c r="AG298" s="195"/>
      <c r="AH298" s="195"/>
      <c r="AI298" s="195"/>
      <c r="AJ298" s="195"/>
      <c r="AK298" s="71"/>
      <c r="AL298" s="71"/>
      <c r="AM298" s="71"/>
      <c r="AN298" s="71"/>
      <c r="AO298" s="71"/>
    </row>
    <row r="299">
      <c r="A299" s="137"/>
      <c r="B299" s="138"/>
      <c r="C299" s="103"/>
      <c r="D299" s="71"/>
      <c r="E299" s="137"/>
      <c r="F299" s="138"/>
      <c r="G299" s="103"/>
      <c r="H299" s="71"/>
      <c r="I299" s="137"/>
      <c r="J299" s="138"/>
      <c r="K299" s="103"/>
      <c r="L299" s="71"/>
      <c r="M299" s="137"/>
      <c r="N299" s="125"/>
      <c r="O299" s="103"/>
      <c r="P299" s="71"/>
      <c r="Q299" s="189"/>
      <c r="R299" s="125"/>
      <c r="S299" s="103"/>
      <c r="T299" s="71"/>
      <c r="U299" s="189"/>
      <c r="V299" s="125"/>
      <c r="W299" s="103"/>
      <c r="X299" s="71"/>
      <c r="Y299" s="137"/>
      <c r="Z299" s="180"/>
      <c r="AA299" s="181"/>
      <c r="AB299" s="182"/>
      <c r="AC299" s="137"/>
      <c r="AD299" s="125"/>
      <c r="AE299" s="162"/>
      <c r="AF299" s="183"/>
      <c r="AG299" s="195"/>
      <c r="AH299" s="195"/>
      <c r="AI299" s="195"/>
      <c r="AJ299" s="195"/>
      <c r="AK299" s="71"/>
      <c r="AL299" s="71"/>
      <c r="AM299" s="71"/>
      <c r="AN299" s="71"/>
      <c r="AO299" s="71"/>
    </row>
    <row r="300">
      <c r="A300" s="137"/>
      <c r="B300" s="138"/>
      <c r="C300" s="103"/>
      <c r="D300" s="71"/>
      <c r="E300" s="137"/>
      <c r="F300" s="138"/>
      <c r="G300" s="103"/>
      <c r="H300" s="71"/>
      <c r="I300" s="137"/>
      <c r="J300" s="138"/>
      <c r="K300" s="103"/>
      <c r="L300" s="71"/>
      <c r="M300" s="137"/>
      <c r="N300" s="125"/>
      <c r="O300" s="103"/>
      <c r="P300" s="71"/>
      <c r="Q300" s="189"/>
      <c r="R300" s="125"/>
      <c r="S300" s="103"/>
      <c r="T300" s="71"/>
      <c r="U300" s="189"/>
      <c r="V300" s="125"/>
      <c r="W300" s="103"/>
      <c r="X300" s="71"/>
      <c r="Y300" s="137"/>
      <c r="Z300" s="180"/>
      <c r="AA300" s="181"/>
      <c r="AB300" s="182"/>
      <c r="AC300" s="137"/>
      <c r="AD300" s="125"/>
      <c r="AE300" s="162"/>
      <c r="AF300" s="183"/>
      <c r="AG300" s="195"/>
      <c r="AH300" s="195"/>
      <c r="AI300" s="195"/>
      <c r="AJ300" s="195"/>
      <c r="AK300" s="71"/>
      <c r="AL300" s="71"/>
      <c r="AM300" s="71"/>
      <c r="AN300" s="71"/>
      <c r="AO300" s="71"/>
    </row>
    <row r="301">
      <c r="A301" s="137"/>
      <c r="B301" s="138"/>
      <c r="C301" s="103"/>
      <c r="D301" s="71"/>
      <c r="E301" s="137"/>
      <c r="F301" s="138"/>
      <c r="G301" s="103"/>
      <c r="H301" s="71"/>
      <c r="I301" s="137"/>
      <c r="J301" s="138"/>
      <c r="K301" s="103"/>
      <c r="L301" s="71"/>
      <c r="M301" s="137"/>
      <c r="N301" s="125"/>
      <c r="O301" s="103"/>
      <c r="P301" s="71"/>
      <c r="Q301" s="189"/>
      <c r="R301" s="125"/>
      <c r="S301" s="103"/>
      <c r="T301" s="71"/>
      <c r="U301" s="189"/>
      <c r="V301" s="125"/>
      <c r="W301" s="103"/>
      <c r="X301" s="71"/>
      <c r="Y301" s="137"/>
      <c r="Z301" s="180"/>
      <c r="AA301" s="181"/>
      <c r="AB301" s="182"/>
      <c r="AC301" s="137"/>
      <c r="AD301" s="125"/>
      <c r="AE301" s="162"/>
      <c r="AF301" s="183"/>
      <c r="AG301" s="195"/>
      <c r="AH301" s="195"/>
      <c r="AI301" s="195"/>
      <c r="AJ301" s="195"/>
      <c r="AK301" s="71"/>
      <c r="AL301" s="71"/>
      <c r="AM301" s="71"/>
      <c r="AN301" s="71"/>
      <c r="AO301" s="71"/>
    </row>
    <row r="302">
      <c r="A302" s="137"/>
      <c r="B302" s="138"/>
      <c r="C302" s="103"/>
      <c r="D302" s="71"/>
      <c r="E302" s="137"/>
      <c r="F302" s="138"/>
      <c r="G302" s="103"/>
      <c r="H302" s="71"/>
      <c r="I302" s="137"/>
      <c r="J302" s="138"/>
      <c r="K302" s="103"/>
      <c r="L302" s="71"/>
      <c r="M302" s="137"/>
      <c r="N302" s="125"/>
      <c r="O302" s="103"/>
      <c r="P302" s="71"/>
      <c r="Q302" s="189"/>
      <c r="R302" s="125"/>
      <c r="S302" s="103"/>
      <c r="T302" s="71"/>
      <c r="U302" s="189"/>
      <c r="V302" s="125"/>
      <c r="W302" s="103"/>
      <c r="X302" s="71"/>
      <c r="Y302" s="137"/>
      <c r="Z302" s="180"/>
      <c r="AA302" s="181"/>
      <c r="AB302" s="182"/>
      <c r="AC302" s="137"/>
      <c r="AD302" s="125"/>
      <c r="AE302" s="162"/>
      <c r="AF302" s="183"/>
      <c r="AG302" s="195"/>
      <c r="AH302" s="195"/>
      <c r="AI302" s="195"/>
      <c r="AJ302" s="195"/>
      <c r="AK302" s="71"/>
      <c r="AL302" s="71"/>
      <c r="AM302" s="71"/>
      <c r="AN302" s="71"/>
      <c r="AO302" s="71"/>
    </row>
    <row r="303">
      <c r="A303" s="137"/>
      <c r="B303" s="138"/>
      <c r="C303" s="103"/>
      <c r="D303" s="71"/>
      <c r="E303" s="137"/>
      <c r="F303" s="138"/>
      <c r="G303" s="103"/>
      <c r="H303" s="71"/>
      <c r="I303" s="137"/>
      <c r="J303" s="138"/>
      <c r="K303" s="103"/>
      <c r="L303" s="71"/>
      <c r="M303" s="137"/>
      <c r="N303" s="125"/>
      <c r="O303" s="103"/>
      <c r="P303" s="71"/>
      <c r="Q303" s="189"/>
      <c r="R303" s="125"/>
      <c r="S303" s="103"/>
      <c r="T303" s="71"/>
      <c r="U303" s="189"/>
      <c r="V303" s="125"/>
      <c r="W303" s="103"/>
      <c r="X303" s="71"/>
      <c r="Y303" s="137"/>
      <c r="Z303" s="180"/>
      <c r="AA303" s="181"/>
      <c r="AB303" s="182"/>
      <c r="AC303" s="137"/>
      <c r="AD303" s="125"/>
      <c r="AE303" s="162"/>
      <c r="AF303" s="183"/>
      <c r="AG303" s="195"/>
      <c r="AH303" s="195"/>
      <c r="AI303" s="195"/>
      <c r="AJ303" s="195"/>
      <c r="AK303" s="71"/>
      <c r="AL303" s="71"/>
      <c r="AM303" s="71"/>
      <c r="AN303" s="71"/>
      <c r="AO303" s="71"/>
    </row>
    <row r="304">
      <c r="A304" s="137"/>
      <c r="B304" s="138"/>
      <c r="C304" s="103"/>
      <c r="D304" s="71"/>
      <c r="E304" s="137"/>
      <c r="F304" s="138"/>
      <c r="G304" s="103"/>
      <c r="H304" s="71"/>
      <c r="I304" s="137"/>
      <c r="J304" s="138"/>
      <c r="K304" s="103"/>
      <c r="L304" s="71"/>
      <c r="M304" s="137"/>
      <c r="N304" s="125"/>
      <c r="O304" s="103"/>
      <c r="P304" s="71"/>
      <c r="Q304" s="189"/>
      <c r="R304" s="125"/>
      <c r="S304" s="103"/>
      <c r="T304" s="71"/>
      <c r="U304" s="189"/>
      <c r="V304" s="125"/>
      <c r="W304" s="103"/>
      <c r="X304" s="71"/>
      <c r="Y304" s="137"/>
      <c r="Z304" s="180"/>
      <c r="AA304" s="181"/>
      <c r="AB304" s="182"/>
      <c r="AC304" s="137"/>
      <c r="AD304" s="125"/>
      <c r="AE304" s="162"/>
      <c r="AF304" s="183"/>
      <c r="AG304" s="195"/>
      <c r="AH304" s="195"/>
      <c r="AI304" s="195"/>
      <c r="AJ304" s="195"/>
      <c r="AK304" s="71"/>
      <c r="AL304" s="71"/>
      <c r="AM304" s="71"/>
      <c r="AN304" s="71"/>
      <c r="AO304" s="71"/>
    </row>
    <row r="305">
      <c r="A305" s="137"/>
      <c r="B305" s="138"/>
      <c r="C305" s="103"/>
      <c r="D305" s="71"/>
      <c r="E305" s="137"/>
      <c r="F305" s="138"/>
      <c r="G305" s="103"/>
      <c r="H305" s="71"/>
      <c r="I305" s="137"/>
      <c r="J305" s="138"/>
      <c r="K305" s="103"/>
      <c r="L305" s="71"/>
      <c r="M305" s="137"/>
      <c r="N305" s="125"/>
      <c r="O305" s="103"/>
      <c r="P305" s="71"/>
      <c r="Q305" s="189"/>
      <c r="R305" s="125"/>
      <c r="S305" s="103"/>
      <c r="T305" s="71"/>
      <c r="U305" s="189"/>
      <c r="V305" s="125"/>
      <c r="W305" s="103"/>
      <c r="X305" s="71"/>
      <c r="Y305" s="137"/>
      <c r="Z305" s="180"/>
      <c r="AA305" s="181"/>
      <c r="AB305" s="182"/>
      <c r="AC305" s="137"/>
      <c r="AD305" s="125"/>
      <c r="AE305" s="162"/>
      <c r="AF305" s="183"/>
      <c r="AG305" s="195"/>
      <c r="AH305" s="195"/>
      <c r="AI305" s="195"/>
      <c r="AJ305" s="195"/>
      <c r="AK305" s="71"/>
      <c r="AL305" s="71"/>
      <c r="AM305" s="71"/>
      <c r="AN305" s="71"/>
      <c r="AO305" s="71"/>
    </row>
    <row r="306">
      <c r="A306" s="137"/>
      <c r="B306" s="138"/>
      <c r="C306" s="103"/>
      <c r="D306" s="71"/>
      <c r="E306" s="137"/>
      <c r="F306" s="138"/>
      <c r="G306" s="103"/>
      <c r="H306" s="71"/>
      <c r="I306" s="137"/>
      <c r="J306" s="138"/>
      <c r="K306" s="103"/>
      <c r="L306" s="71"/>
      <c r="M306" s="137"/>
      <c r="N306" s="125"/>
      <c r="O306" s="103"/>
      <c r="P306" s="71"/>
      <c r="Q306" s="189"/>
      <c r="R306" s="125"/>
      <c r="S306" s="103"/>
      <c r="T306" s="71"/>
      <c r="U306" s="189"/>
      <c r="V306" s="125"/>
      <c r="W306" s="103"/>
      <c r="X306" s="71"/>
      <c r="Y306" s="137"/>
      <c r="Z306" s="180"/>
      <c r="AA306" s="181"/>
      <c r="AB306" s="182"/>
      <c r="AC306" s="137"/>
      <c r="AD306" s="125"/>
      <c r="AE306" s="162"/>
      <c r="AF306" s="183"/>
      <c r="AG306" s="195"/>
      <c r="AH306" s="195"/>
      <c r="AI306" s="195"/>
      <c r="AJ306" s="195"/>
      <c r="AK306" s="71"/>
      <c r="AL306" s="71"/>
      <c r="AM306" s="71"/>
      <c r="AN306" s="71"/>
      <c r="AO306" s="71"/>
    </row>
    <row r="307">
      <c r="A307" s="137"/>
      <c r="B307" s="138"/>
      <c r="C307" s="103"/>
      <c r="D307" s="71"/>
      <c r="E307" s="137"/>
      <c r="F307" s="138"/>
      <c r="G307" s="103"/>
      <c r="H307" s="71"/>
      <c r="I307" s="137"/>
      <c r="J307" s="138"/>
      <c r="K307" s="103"/>
      <c r="L307" s="71"/>
      <c r="M307" s="137"/>
      <c r="N307" s="125"/>
      <c r="O307" s="103"/>
      <c r="P307" s="71"/>
      <c r="Q307" s="189"/>
      <c r="R307" s="125"/>
      <c r="S307" s="103"/>
      <c r="T307" s="71"/>
      <c r="U307" s="189"/>
      <c r="V307" s="125"/>
      <c r="W307" s="103"/>
      <c r="X307" s="71"/>
      <c r="Y307" s="137"/>
      <c r="Z307" s="180"/>
      <c r="AA307" s="181"/>
      <c r="AB307" s="182"/>
      <c r="AC307" s="137"/>
      <c r="AD307" s="125"/>
      <c r="AE307" s="162"/>
      <c r="AF307" s="183"/>
      <c r="AG307" s="195"/>
      <c r="AH307" s="195"/>
      <c r="AI307" s="195"/>
      <c r="AJ307" s="195"/>
      <c r="AK307" s="71"/>
      <c r="AL307" s="71"/>
      <c r="AM307" s="71"/>
      <c r="AN307" s="71"/>
      <c r="AO307" s="71"/>
    </row>
    <row r="308">
      <c r="A308" s="137"/>
      <c r="B308" s="138"/>
      <c r="C308" s="103"/>
      <c r="D308" s="71"/>
      <c r="E308" s="137"/>
      <c r="F308" s="138"/>
      <c r="G308" s="103"/>
      <c r="H308" s="71"/>
      <c r="I308" s="137"/>
      <c r="J308" s="138"/>
      <c r="K308" s="103"/>
      <c r="L308" s="71"/>
      <c r="M308" s="137"/>
      <c r="N308" s="125"/>
      <c r="O308" s="103"/>
      <c r="P308" s="71"/>
      <c r="Q308" s="189"/>
      <c r="R308" s="125"/>
      <c r="S308" s="103"/>
      <c r="T308" s="71"/>
      <c r="U308" s="189"/>
      <c r="V308" s="125"/>
      <c r="W308" s="103"/>
      <c r="X308" s="71"/>
      <c r="Y308" s="137"/>
      <c r="Z308" s="180"/>
      <c r="AA308" s="181"/>
      <c r="AB308" s="182"/>
      <c r="AC308" s="137"/>
      <c r="AD308" s="125"/>
      <c r="AE308" s="162"/>
      <c r="AF308" s="183"/>
      <c r="AG308" s="195"/>
      <c r="AH308" s="195"/>
      <c r="AI308" s="195"/>
      <c r="AJ308" s="195"/>
      <c r="AK308" s="71"/>
      <c r="AL308" s="71"/>
      <c r="AM308" s="71"/>
      <c r="AN308" s="71"/>
      <c r="AO308" s="71"/>
    </row>
    <row r="309">
      <c r="A309" s="137"/>
      <c r="B309" s="138"/>
      <c r="C309" s="103"/>
      <c r="D309" s="71"/>
      <c r="E309" s="137"/>
      <c r="F309" s="138"/>
      <c r="G309" s="103"/>
      <c r="H309" s="71"/>
      <c r="I309" s="137"/>
      <c r="J309" s="138"/>
      <c r="K309" s="103"/>
      <c r="L309" s="71"/>
      <c r="M309" s="137"/>
      <c r="N309" s="125"/>
      <c r="O309" s="103"/>
      <c r="P309" s="71"/>
      <c r="Q309" s="189"/>
      <c r="R309" s="125"/>
      <c r="S309" s="103"/>
      <c r="T309" s="71"/>
      <c r="U309" s="189"/>
      <c r="V309" s="125"/>
      <c r="W309" s="103"/>
      <c r="X309" s="71"/>
      <c r="Y309" s="137"/>
      <c r="Z309" s="180"/>
      <c r="AA309" s="181"/>
      <c r="AB309" s="182"/>
      <c r="AC309" s="137"/>
      <c r="AD309" s="125"/>
      <c r="AE309" s="162"/>
      <c r="AF309" s="183"/>
      <c r="AG309" s="195"/>
      <c r="AH309" s="195"/>
      <c r="AI309" s="195"/>
      <c r="AJ309" s="195"/>
      <c r="AK309" s="71"/>
      <c r="AL309" s="71"/>
      <c r="AM309" s="71"/>
      <c r="AN309" s="71"/>
      <c r="AO309" s="71"/>
    </row>
    <row r="310">
      <c r="A310" s="137"/>
      <c r="B310" s="138"/>
      <c r="C310" s="103"/>
      <c r="D310" s="71"/>
      <c r="E310" s="137"/>
      <c r="F310" s="138"/>
      <c r="G310" s="103"/>
      <c r="H310" s="71"/>
      <c r="I310" s="137"/>
      <c r="J310" s="138"/>
      <c r="K310" s="103"/>
      <c r="L310" s="71"/>
      <c r="M310" s="137"/>
      <c r="N310" s="125"/>
      <c r="O310" s="103"/>
      <c r="P310" s="71"/>
      <c r="Q310" s="189"/>
      <c r="R310" s="125"/>
      <c r="S310" s="103"/>
      <c r="T310" s="71"/>
      <c r="U310" s="189"/>
      <c r="V310" s="125"/>
      <c r="W310" s="103"/>
      <c r="X310" s="71"/>
      <c r="Y310" s="137"/>
      <c r="Z310" s="180"/>
      <c r="AA310" s="181"/>
      <c r="AB310" s="182"/>
      <c r="AC310" s="137"/>
      <c r="AD310" s="125"/>
      <c r="AE310" s="162"/>
      <c r="AF310" s="183"/>
      <c r="AG310" s="195"/>
      <c r="AH310" s="195"/>
      <c r="AI310" s="195"/>
      <c r="AJ310" s="195"/>
      <c r="AK310" s="71"/>
      <c r="AL310" s="71"/>
      <c r="AM310" s="71"/>
      <c r="AN310" s="71"/>
      <c r="AO310" s="71"/>
    </row>
    <row r="311">
      <c r="A311" s="137"/>
      <c r="B311" s="138"/>
      <c r="C311" s="103"/>
      <c r="D311" s="71"/>
      <c r="E311" s="137"/>
      <c r="F311" s="138"/>
      <c r="G311" s="103"/>
      <c r="H311" s="71"/>
      <c r="I311" s="137"/>
      <c r="J311" s="138"/>
      <c r="K311" s="103"/>
      <c r="L311" s="71"/>
      <c r="M311" s="137"/>
      <c r="N311" s="125"/>
      <c r="O311" s="103"/>
      <c r="P311" s="71"/>
      <c r="Q311" s="189"/>
      <c r="R311" s="125"/>
      <c r="S311" s="103"/>
      <c r="T311" s="71"/>
      <c r="U311" s="189"/>
      <c r="V311" s="125"/>
      <c r="W311" s="103"/>
      <c r="X311" s="71"/>
      <c r="Y311" s="137"/>
      <c r="Z311" s="180"/>
      <c r="AA311" s="181"/>
      <c r="AB311" s="182"/>
      <c r="AC311" s="137"/>
      <c r="AD311" s="125"/>
      <c r="AE311" s="162"/>
      <c r="AF311" s="183"/>
      <c r="AG311" s="195"/>
      <c r="AH311" s="195"/>
      <c r="AI311" s="195"/>
      <c r="AJ311" s="195"/>
      <c r="AK311" s="71"/>
      <c r="AL311" s="71"/>
      <c r="AM311" s="71"/>
      <c r="AN311" s="71"/>
      <c r="AO311" s="71"/>
    </row>
    <row r="312">
      <c r="A312" s="137"/>
      <c r="B312" s="138"/>
      <c r="C312" s="103"/>
      <c r="D312" s="71"/>
      <c r="E312" s="137"/>
      <c r="F312" s="138"/>
      <c r="G312" s="103"/>
      <c r="H312" s="71"/>
      <c r="I312" s="137"/>
      <c r="J312" s="138"/>
      <c r="K312" s="103"/>
      <c r="L312" s="71"/>
      <c r="M312" s="137"/>
      <c r="N312" s="125"/>
      <c r="O312" s="103"/>
      <c r="P312" s="71"/>
      <c r="Q312" s="189"/>
      <c r="R312" s="125"/>
      <c r="S312" s="103"/>
      <c r="T312" s="71"/>
      <c r="U312" s="189"/>
      <c r="V312" s="125"/>
      <c r="W312" s="103"/>
      <c r="X312" s="71"/>
      <c r="Y312" s="137"/>
      <c r="Z312" s="180"/>
      <c r="AA312" s="181"/>
      <c r="AB312" s="182"/>
      <c r="AC312" s="137"/>
      <c r="AD312" s="125"/>
      <c r="AE312" s="162"/>
      <c r="AF312" s="183"/>
      <c r="AG312" s="195"/>
      <c r="AH312" s="195"/>
      <c r="AI312" s="195"/>
      <c r="AJ312" s="195"/>
      <c r="AK312" s="71"/>
      <c r="AL312" s="71"/>
      <c r="AM312" s="71"/>
      <c r="AN312" s="71"/>
      <c r="AO312" s="71"/>
    </row>
    <row r="313">
      <c r="A313" s="137"/>
      <c r="B313" s="138"/>
      <c r="C313" s="103"/>
      <c r="D313" s="71"/>
      <c r="E313" s="137"/>
      <c r="F313" s="138"/>
      <c r="G313" s="103"/>
      <c r="H313" s="71"/>
      <c r="I313" s="137"/>
      <c r="J313" s="138"/>
      <c r="K313" s="103"/>
      <c r="L313" s="71"/>
      <c r="M313" s="137"/>
      <c r="N313" s="125"/>
      <c r="O313" s="103"/>
      <c r="P313" s="71"/>
      <c r="Q313" s="189"/>
      <c r="R313" s="125"/>
      <c r="S313" s="103"/>
      <c r="T313" s="71"/>
      <c r="U313" s="189"/>
      <c r="V313" s="125"/>
      <c r="W313" s="103"/>
      <c r="X313" s="71"/>
      <c r="Y313" s="137"/>
      <c r="Z313" s="180"/>
      <c r="AA313" s="181"/>
      <c r="AB313" s="182"/>
      <c r="AC313" s="137"/>
      <c r="AD313" s="125"/>
      <c r="AE313" s="162"/>
      <c r="AF313" s="183"/>
      <c r="AG313" s="195"/>
      <c r="AH313" s="195"/>
      <c r="AI313" s="195"/>
      <c r="AJ313" s="195"/>
      <c r="AK313" s="71"/>
      <c r="AL313" s="71"/>
      <c r="AM313" s="71"/>
      <c r="AN313" s="71"/>
      <c r="AO313" s="71"/>
    </row>
    <row r="314">
      <c r="A314" s="137"/>
      <c r="B314" s="138"/>
      <c r="C314" s="103"/>
      <c r="D314" s="71"/>
      <c r="E314" s="137"/>
      <c r="F314" s="138"/>
      <c r="G314" s="103"/>
      <c r="H314" s="71"/>
      <c r="I314" s="137"/>
      <c r="J314" s="138"/>
      <c r="K314" s="103"/>
      <c r="L314" s="71"/>
      <c r="M314" s="137"/>
      <c r="N314" s="125"/>
      <c r="O314" s="103"/>
      <c r="P314" s="71"/>
      <c r="Q314" s="189"/>
      <c r="R314" s="125"/>
      <c r="S314" s="103"/>
      <c r="T314" s="71"/>
      <c r="U314" s="189"/>
      <c r="V314" s="125"/>
      <c r="W314" s="103"/>
      <c r="X314" s="71"/>
      <c r="Y314" s="137"/>
      <c r="Z314" s="180"/>
      <c r="AA314" s="181"/>
      <c r="AB314" s="182"/>
      <c r="AC314" s="137"/>
      <c r="AD314" s="125"/>
      <c r="AE314" s="162"/>
      <c r="AF314" s="183"/>
      <c r="AG314" s="195"/>
      <c r="AH314" s="195"/>
      <c r="AI314" s="195"/>
      <c r="AJ314" s="195"/>
      <c r="AK314" s="71"/>
      <c r="AL314" s="71"/>
      <c r="AM314" s="71"/>
      <c r="AN314" s="71"/>
      <c r="AO314" s="71"/>
    </row>
    <row r="315">
      <c r="A315" s="137"/>
      <c r="B315" s="138"/>
      <c r="C315" s="103"/>
      <c r="D315" s="71"/>
      <c r="E315" s="137"/>
      <c r="F315" s="138"/>
      <c r="G315" s="103"/>
      <c r="H315" s="71"/>
      <c r="I315" s="137"/>
      <c r="J315" s="138"/>
      <c r="K315" s="103"/>
      <c r="L315" s="71"/>
      <c r="M315" s="137"/>
      <c r="N315" s="125"/>
      <c r="O315" s="103"/>
      <c r="P315" s="71"/>
      <c r="Q315" s="189"/>
      <c r="R315" s="125"/>
      <c r="S315" s="103"/>
      <c r="T315" s="71"/>
      <c r="U315" s="189"/>
      <c r="V315" s="125"/>
      <c r="W315" s="103"/>
      <c r="X315" s="71"/>
      <c r="Y315" s="137"/>
      <c r="Z315" s="180"/>
      <c r="AA315" s="181"/>
      <c r="AB315" s="182"/>
      <c r="AC315" s="137"/>
      <c r="AD315" s="125"/>
      <c r="AE315" s="162"/>
      <c r="AF315" s="183"/>
      <c r="AG315" s="195"/>
      <c r="AH315" s="195"/>
      <c r="AI315" s="195"/>
      <c r="AJ315" s="195"/>
      <c r="AK315" s="71"/>
      <c r="AL315" s="71"/>
      <c r="AM315" s="71"/>
      <c r="AN315" s="71"/>
      <c r="AO315" s="71"/>
    </row>
    <row r="316">
      <c r="A316" s="137"/>
      <c r="B316" s="138"/>
      <c r="C316" s="103"/>
      <c r="D316" s="71"/>
      <c r="E316" s="137"/>
      <c r="F316" s="138"/>
      <c r="G316" s="103"/>
      <c r="H316" s="71"/>
      <c r="I316" s="137"/>
      <c r="J316" s="138"/>
      <c r="K316" s="103"/>
      <c r="L316" s="71"/>
      <c r="M316" s="137"/>
      <c r="N316" s="125"/>
      <c r="O316" s="103"/>
      <c r="P316" s="71"/>
      <c r="Q316" s="189"/>
      <c r="R316" s="125"/>
      <c r="S316" s="103"/>
      <c r="T316" s="71"/>
      <c r="U316" s="189"/>
      <c r="V316" s="125"/>
      <c r="W316" s="103"/>
      <c r="X316" s="71"/>
      <c r="Y316" s="137"/>
      <c r="Z316" s="180"/>
      <c r="AA316" s="181"/>
      <c r="AB316" s="182"/>
      <c r="AC316" s="137"/>
      <c r="AD316" s="125"/>
      <c r="AE316" s="162"/>
      <c r="AF316" s="183"/>
      <c r="AG316" s="195"/>
      <c r="AH316" s="195"/>
      <c r="AI316" s="195"/>
      <c r="AJ316" s="195"/>
      <c r="AK316" s="71"/>
      <c r="AL316" s="71"/>
      <c r="AM316" s="71"/>
      <c r="AN316" s="71"/>
      <c r="AO316" s="71"/>
    </row>
    <row r="317">
      <c r="A317" s="137"/>
      <c r="B317" s="138"/>
      <c r="C317" s="103"/>
      <c r="D317" s="71"/>
      <c r="E317" s="137"/>
      <c r="F317" s="138"/>
      <c r="G317" s="103"/>
      <c r="H317" s="71"/>
      <c r="I317" s="137"/>
      <c r="J317" s="138"/>
      <c r="K317" s="103"/>
      <c r="L317" s="71"/>
      <c r="M317" s="137"/>
      <c r="N317" s="125"/>
      <c r="O317" s="103"/>
      <c r="P317" s="71"/>
      <c r="Q317" s="189"/>
      <c r="R317" s="125"/>
      <c r="S317" s="103"/>
      <c r="T317" s="71"/>
      <c r="U317" s="189"/>
      <c r="V317" s="125"/>
      <c r="W317" s="103"/>
      <c r="X317" s="71"/>
      <c r="Y317" s="137"/>
      <c r="Z317" s="180"/>
      <c r="AA317" s="181"/>
      <c r="AB317" s="182"/>
      <c r="AC317" s="137"/>
      <c r="AD317" s="125"/>
      <c r="AE317" s="162"/>
      <c r="AF317" s="183"/>
      <c r="AG317" s="195"/>
      <c r="AH317" s="195"/>
      <c r="AI317" s="195"/>
      <c r="AJ317" s="195"/>
      <c r="AK317" s="71"/>
      <c r="AL317" s="71"/>
      <c r="AM317" s="71"/>
      <c r="AN317" s="71"/>
      <c r="AO317" s="71"/>
    </row>
    <row r="318">
      <c r="A318" s="137"/>
      <c r="B318" s="138"/>
      <c r="C318" s="103"/>
      <c r="D318" s="71"/>
      <c r="E318" s="137"/>
      <c r="F318" s="138"/>
      <c r="G318" s="103"/>
      <c r="H318" s="71"/>
      <c r="I318" s="137"/>
      <c r="J318" s="138"/>
      <c r="K318" s="103"/>
      <c r="L318" s="71"/>
      <c r="M318" s="137"/>
      <c r="N318" s="125"/>
      <c r="O318" s="103"/>
      <c r="P318" s="71"/>
      <c r="Q318" s="189"/>
      <c r="R318" s="125"/>
      <c r="S318" s="103"/>
      <c r="T318" s="71"/>
      <c r="U318" s="189"/>
      <c r="V318" s="125"/>
      <c r="W318" s="103"/>
      <c r="X318" s="71"/>
      <c r="Y318" s="137"/>
      <c r="Z318" s="180"/>
      <c r="AA318" s="181"/>
      <c r="AB318" s="182"/>
      <c r="AC318" s="137"/>
      <c r="AD318" s="125"/>
      <c r="AE318" s="162"/>
      <c r="AF318" s="183"/>
      <c r="AG318" s="195"/>
      <c r="AH318" s="195"/>
      <c r="AI318" s="195"/>
      <c r="AJ318" s="195"/>
      <c r="AK318" s="71"/>
      <c r="AL318" s="71"/>
      <c r="AM318" s="71"/>
      <c r="AN318" s="71"/>
      <c r="AO318" s="71"/>
    </row>
    <row r="319">
      <c r="A319" s="137"/>
      <c r="B319" s="138"/>
      <c r="C319" s="103"/>
      <c r="D319" s="71"/>
      <c r="E319" s="137"/>
      <c r="F319" s="138"/>
      <c r="G319" s="103"/>
      <c r="H319" s="71"/>
      <c r="I319" s="137"/>
      <c r="J319" s="138"/>
      <c r="K319" s="103"/>
      <c r="L319" s="71"/>
      <c r="M319" s="137"/>
      <c r="N319" s="125"/>
      <c r="O319" s="103"/>
      <c r="P319" s="71"/>
      <c r="Q319" s="189"/>
      <c r="R319" s="125"/>
      <c r="S319" s="103"/>
      <c r="T319" s="71"/>
      <c r="U319" s="189"/>
      <c r="V319" s="125"/>
      <c r="W319" s="103"/>
      <c r="X319" s="71"/>
      <c r="Y319" s="137"/>
      <c r="Z319" s="180"/>
      <c r="AA319" s="181"/>
      <c r="AB319" s="182"/>
      <c r="AC319" s="137"/>
      <c r="AD319" s="125"/>
      <c r="AE319" s="162"/>
      <c r="AF319" s="183"/>
      <c r="AG319" s="195"/>
      <c r="AH319" s="195"/>
      <c r="AI319" s="195"/>
      <c r="AJ319" s="195"/>
      <c r="AK319" s="71"/>
      <c r="AL319" s="71"/>
      <c r="AM319" s="71"/>
      <c r="AN319" s="71"/>
      <c r="AO319" s="71"/>
    </row>
    <row r="320">
      <c r="A320" s="137"/>
      <c r="B320" s="138"/>
      <c r="C320" s="103"/>
      <c r="D320" s="71"/>
      <c r="E320" s="137"/>
      <c r="F320" s="138"/>
      <c r="G320" s="103"/>
      <c r="H320" s="71"/>
      <c r="I320" s="137"/>
      <c r="J320" s="138"/>
      <c r="K320" s="103"/>
      <c r="L320" s="71"/>
      <c r="M320" s="137"/>
      <c r="N320" s="125"/>
      <c r="O320" s="103"/>
      <c r="P320" s="71"/>
      <c r="Q320" s="189"/>
      <c r="R320" s="125"/>
      <c r="S320" s="103"/>
      <c r="T320" s="71"/>
      <c r="U320" s="189"/>
      <c r="V320" s="125"/>
      <c r="W320" s="103"/>
      <c r="X320" s="71"/>
      <c r="Y320" s="137"/>
      <c r="Z320" s="180"/>
      <c r="AA320" s="181"/>
      <c r="AB320" s="182"/>
      <c r="AC320" s="137"/>
      <c r="AD320" s="125"/>
      <c r="AE320" s="162"/>
      <c r="AF320" s="183"/>
      <c r="AG320" s="195"/>
      <c r="AH320" s="195"/>
      <c r="AI320" s="195"/>
      <c r="AJ320" s="195"/>
      <c r="AK320" s="71"/>
      <c r="AL320" s="71"/>
      <c r="AM320" s="71"/>
      <c r="AN320" s="71"/>
      <c r="AO320" s="71"/>
    </row>
    <row r="321">
      <c r="A321" s="137"/>
      <c r="B321" s="138"/>
      <c r="C321" s="103"/>
      <c r="D321" s="71"/>
      <c r="E321" s="137"/>
      <c r="F321" s="138"/>
      <c r="G321" s="103"/>
      <c r="H321" s="71"/>
      <c r="I321" s="137"/>
      <c r="J321" s="138"/>
      <c r="K321" s="103"/>
      <c r="L321" s="71"/>
      <c r="M321" s="137"/>
      <c r="N321" s="125"/>
      <c r="O321" s="103"/>
      <c r="P321" s="71"/>
      <c r="Q321" s="189"/>
      <c r="R321" s="125"/>
      <c r="S321" s="103"/>
      <c r="T321" s="71"/>
      <c r="U321" s="189"/>
      <c r="V321" s="125"/>
      <c r="W321" s="103"/>
      <c r="X321" s="71"/>
      <c r="Y321" s="137"/>
      <c r="Z321" s="180"/>
      <c r="AA321" s="181"/>
      <c r="AB321" s="182"/>
      <c r="AC321" s="137"/>
      <c r="AD321" s="125"/>
      <c r="AE321" s="162"/>
      <c r="AF321" s="183"/>
      <c r="AG321" s="195"/>
      <c r="AH321" s="195"/>
      <c r="AI321" s="195"/>
      <c r="AJ321" s="195"/>
      <c r="AK321" s="71"/>
      <c r="AL321" s="71"/>
      <c r="AM321" s="71"/>
      <c r="AN321" s="71"/>
      <c r="AO321" s="71"/>
    </row>
    <row r="322">
      <c r="A322" s="137"/>
      <c r="B322" s="138"/>
      <c r="C322" s="103"/>
      <c r="D322" s="71"/>
      <c r="E322" s="137"/>
      <c r="F322" s="138"/>
      <c r="G322" s="103"/>
      <c r="H322" s="71"/>
      <c r="I322" s="137"/>
      <c r="J322" s="138"/>
      <c r="K322" s="103"/>
      <c r="L322" s="71"/>
      <c r="M322" s="137"/>
      <c r="N322" s="125"/>
      <c r="O322" s="103"/>
      <c r="P322" s="71"/>
      <c r="Q322" s="189"/>
      <c r="R322" s="125"/>
      <c r="S322" s="103"/>
      <c r="T322" s="71"/>
      <c r="U322" s="189"/>
      <c r="V322" s="125"/>
      <c r="W322" s="103"/>
      <c r="X322" s="71"/>
      <c r="Y322" s="137"/>
      <c r="Z322" s="180"/>
      <c r="AA322" s="181"/>
      <c r="AB322" s="182"/>
      <c r="AC322" s="137"/>
      <c r="AD322" s="125"/>
      <c r="AE322" s="162"/>
      <c r="AF322" s="183"/>
      <c r="AG322" s="195"/>
      <c r="AH322" s="195"/>
      <c r="AI322" s="195"/>
      <c r="AJ322" s="195"/>
      <c r="AK322" s="71"/>
      <c r="AL322" s="71"/>
      <c r="AM322" s="71"/>
      <c r="AN322" s="71"/>
      <c r="AO322" s="71"/>
    </row>
    <row r="323">
      <c r="A323" s="137"/>
      <c r="B323" s="138"/>
      <c r="C323" s="103"/>
      <c r="D323" s="71"/>
      <c r="E323" s="137"/>
      <c r="F323" s="138"/>
      <c r="G323" s="103"/>
      <c r="H323" s="71"/>
      <c r="I323" s="137"/>
      <c r="J323" s="138"/>
      <c r="K323" s="103"/>
      <c r="L323" s="71"/>
      <c r="M323" s="137"/>
      <c r="N323" s="125"/>
      <c r="O323" s="103"/>
      <c r="P323" s="71"/>
      <c r="Q323" s="189"/>
      <c r="R323" s="125"/>
      <c r="S323" s="103"/>
      <c r="T323" s="71"/>
      <c r="U323" s="189"/>
      <c r="V323" s="125"/>
      <c r="W323" s="103"/>
      <c r="X323" s="71"/>
      <c r="Y323" s="137"/>
      <c r="Z323" s="180"/>
      <c r="AA323" s="181"/>
      <c r="AB323" s="182"/>
      <c r="AC323" s="137"/>
      <c r="AD323" s="125"/>
      <c r="AE323" s="162"/>
      <c r="AF323" s="183"/>
      <c r="AG323" s="195"/>
      <c r="AH323" s="195"/>
      <c r="AI323" s="195"/>
      <c r="AJ323" s="195"/>
      <c r="AK323" s="71"/>
      <c r="AL323" s="71"/>
      <c r="AM323" s="71"/>
      <c r="AN323" s="71"/>
      <c r="AO323" s="71"/>
    </row>
    <row r="324">
      <c r="A324" s="137"/>
      <c r="B324" s="138"/>
      <c r="C324" s="103"/>
      <c r="D324" s="71"/>
      <c r="E324" s="137"/>
      <c r="F324" s="138"/>
      <c r="G324" s="103"/>
      <c r="H324" s="71"/>
      <c r="I324" s="137"/>
      <c r="J324" s="138"/>
      <c r="K324" s="103"/>
      <c r="L324" s="71"/>
      <c r="M324" s="137"/>
      <c r="N324" s="125"/>
      <c r="O324" s="103"/>
      <c r="P324" s="71"/>
      <c r="Q324" s="189"/>
      <c r="R324" s="125"/>
      <c r="S324" s="103"/>
      <c r="T324" s="71"/>
      <c r="U324" s="189"/>
      <c r="V324" s="125"/>
      <c r="W324" s="103"/>
      <c r="X324" s="71"/>
      <c r="Y324" s="137"/>
      <c r="Z324" s="180"/>
      <c r="AA324" s="181"/>
      <c r="AB324" s="182"/>
      <c r="AC324" s="137"/>
      <c r="AD324" s="125"/>
      <c r="AE324" s="162"/>
      <c r="AF324" s="183"/>
      <c r="AG324" s="195"/>
      <c r="AH324" s="195"/>
      <c r="AI324" s="195"/>
      <c r="AJ324" s="195"/>
      <c r="AK324" s="71"/>
      <c r="AL324" s="71"/>
      <c r="AM324" s="71"/>
      <c r="AN324" s="71"/>
      <c r="AO324" s="71"/>
    </row>
    <row r="325">
      <c r="A325" s="137"/>
      <c r="B325" s="138"/>
      <c r="C325" s="103"/>
      <c r="D325" s="71"/>
      <c r="E325" s="137"/>
      <c r="F325" s="138"/>
      <c r="G325" s="103"/>
      <c r="H325" s="71"/>
      <c r="I325" s="137"/>
      <c r="J325" s="138"/>
      <c r="K325" s="103"/>
      <c r="L325" s="71"/>
      <c r="M325" s="137"/>
      <c r="N325" s="125"/>
      <c r="O325" s="103"/>
      <c r="P325" s="71"/>
      <c r="Q325" s="189"/>
      <c r="R325" s="125"/>
      <c r="S325" s="103"/>
      <c r="T325" s="71"/>
      <c r="U325" s="189"/>
      <c r="V325" s="125"/>
      <c r="W325" s="103"/>
      <c r="X325" s="71"/>
      <c r="Y325" s="137"/>
      <c r="Z325" s="180"/>
      <c r="AA325" s="181"/>
      <c r="AB325" s="182"/>
      <c r="AC325" s="137"/>
      <c r="AD325" s="125"/>
      <c r="AE325" s="162"/>
      <c r="AF325" s="183"/>
      <c r="AG325" s="195"/>
      <c r="AH325" s="195"/>
      <c r="AI325" s="195"/>
      <c r="AJ325" s="195"/>
      <c r="AK325" s="71"/>
      <c r="AL325" s="71"/>
      <c r="AM325" s="71"/>
      <c r="AN325" s="71"/>
      <c r="AO325" s="71"/>
    </row>
    <row r="326">
      <c r="A326" s="137"/>
      <c r="B326" s="138"/>
      <c r="C326" s="103"/>
      <c r="D326" s="71"/>
      <c r="E326" s="137"/>
      <c r="F326" s="138"/>
      <c r="G326" s="103"/>
      <c r="H326" s="71"/>
      <c r="I326" s="137"/>
      <c r="J326" s="138"/>
      <c r="K326" s="103"/>
      <c r="L326" s="71"/>
      <c r="M326" s="137"/>
      <c r="N326" s="125"/>
      <c r="O326" s="103"/>
      <c r="P326" s="71"/>
      <c r="Q326" s="189"/>
      <c r="R326" s="125"/>
      <c r="S326" s="103"/>
      <c r="T326" s="71"/>
      <c r="U326" s="189"/>
      <c r="V326" s="125"/>
      <c r="W326" s="103"/>
      <c r="X326" s="71"/>
      <c r="Y326" s="137"/>
      <c r="Z326" s="180"/>
      <c r="AA326" s="181"/>
      <c r="AB326" s="182"/>
      <c r="AC326" s="137"/>
      <c r="AD326" s="125"/>
      <c r="AE326" s="162"/>
      <c r="AF326" s="183"/>
      <c r="AG326" s="195"/>
      <c r="AH326" s="195"/>
      <c r="AI326" s="195"/>
      <c r="AJ326" s="195"/>
      <c r="AK326" s="71"/>
      <c r="AL326" s="71"/>
      <c r="AM326" s="71"/>
      <c r="AN326" s="71"/>
      <c r="AO326" s="71"/>
    </row>
    <row r="327">
      <c r="A327" s="137"/>
      <c r="B327" s="138"/>
      <c r="C327" s="103"/>
      <c r="D327" s="71"/>
      <c r="E327" s="137"/>
      <c r="F327" s="138"/>
      <c r="G327" s="103"/>
      <c r="H327" s="71"/>
      <c r="I327" s="137"/>
      <c r="J327" s="138"/>
      <c r="K327" s="103"/>
      <c r="L327" s="71"/>
      <c r="M327" s="137"/>
      <c r="N327" s="125"/>
      <c r="O327" s="103"/>
      <c r="P327" s="71"/>
      <c r="Q327" s="189"/>
      <c r="R327" s="125"/>
      <c r="S327" s="103"/>
      <c r="T327" s="71"/>
      <c r="U327" s="189"/>
      <c r="V327" s="125"/>
      <c r="W327" s="103"/>
      <c r="X327" s="71"/>
      <c r="Y327" s="137"/>
      <c r="Z327" s="180"/>
      <c r="AA327" s="181"/>
      <c r="AB327" s="182"/>
      <c r="AC327" s="137"/>
      <c r="AD327" s="125"/>
      <c r="AE327" s="162"/>
      <c r="AF327" s="183"/>
      <c r="AG327" s="195"/>
      <c r="AH327" s="195"/>
      <c r="AI327" s="195"/>
      <c r="AJ327" s="195"/>
      <c r="AK327" s="71"/>
      <c r="AL327" s="71"/>
      <c r="AM327" s="71"/>
      <c r="AN327" s="71"/>
      <c r="AO327" s="71"/>
    </row>
    <row r="328">
      <c r="A328" s="137"/>
      <c r="B328" s="138"/>
      <c r="C328" s="103"/>
      <c r="D328" s="71"/>
      <c r="E328" s="137"/>
      <c r="F328" s="138"/>
      <c r="G328" s="103"/>
      <c r="H328" s="71"/>
      <c r="I328" s="137"/>
      <c r="J328" s="138"/>
      <c r="K328" s="103"/>
      <c r="L328" s="71"/>
      <c r="M328" s="137"/>
      <c r="N328" s="125"/>
      <c r="O328" s="103"/>
      <c r="P328" s="71"/>
      <c r="Q328" s="189"/>
      <c r="R328" s="125"/>
      <c r="S328" s="103"/>
      <c r="T328" s="71"/>
      <c r="U328" s="189"/>
      <c r="V328" s="125"/>
      <c r="W328" s="103"/>
      <c r="X328" s="71"/>
      <c r="Y328" s="137"/>
      <c r="Z328" s="180"/>
      <c r="AA328" s="181"/>
      <c r="AB328" s="182"/>
      <c r="AC328" s="137"/>
      <c r="AD328" s="125"/>
      <c r="AE328" s="162"/>
      <c r="AF328" s="183"/>
      <c r="AG328" s="195"/>
      <c r="AH328" s="195"/>
      <c r="AI328" s="195"/>
      <c r="AJ328" s="195"/>
      <c r="AK328" s="71"/>
      <c r="AL328" s="71"/>
      <c r="AM328" s="71"/>
      <c r="AN328" s="71"/>
      <c r="AO328" s="71"/>
    </row>
    <row r="329">
      <c r="A329" s="137"/>
      <c r="B329" s="138"/>
      <c r="C329" s="103"/>
      <c r="D329" s="71"/>
      <c r="E329" s="137"/>
      <c r="F329" s="138"/>
      <c r="G329" s="103"/>
      <c r="H329" s="71"/>
      <c r="I329" s="137"/>
      <c r="J329" s="138"/>
      <c r="K329" s="103"/>
      <c r="L329" s="71"/>
      <c r="M329" s="137"/>
      <c r="N329" s="125"/>
      <c r="O329" s="103"/>
      <c r="P329" s="71"/>
      <c r="Q329" s="189"/>
      <c r="R329" s="125"/>
      <c r="S329" s="103"/>
      <c r="T329" s="71"/>
      <c r="U329" s="189"/>
      <c r="V329" s="125"/>
      <c r="W329" s="103"/>
      <c r="X329" s="71"/>
      <c r="Y329" s="137"/>
      <c r="Z329" s="180"/>
      <c r="AA329" s="181"/>
      <c r="AB329" s="182"/>
      <c r="AC329" s="137"/>
      <c r="AD329" s="125"/>
      <c r="AE329" s="162"/>
      <c r="AF329" s="183"/>
      <c r="AG329" s="195"/>
      <c r="AH329" s="195"/>
      <c r="AI329" s="195"/>
      <c r="AJ329" s="195"/>
      <c r="AK329" s="71"/>
      <c r="AL329" s="71"/>
      <c r="AM329" s="71"/>
      <c r="AN329" s="71"/>
      <c r="AO329" s="71"/>
    </row>
    <row r="330">
      <c r="A330" s="137"/>
      <c r="B330" s="138"/>
      <c r="C330" s="103"/>
      <c r="D330" s="71"/>
      <c r="E330" s="137"/>
      <c r="F330" s="138"/>
      <c r="G330" s="103"/>
      <c r="H330" s="71"/>
      <c r="I330" s="137"/>
      <c r="J330" s="138"/>
      <c r="K330" s="103"/>
      <c r="L330" s="71"/>
      <c r="M330" s="137"/>
      <c r="N330" s="125"/>
      <c r="O330" s="103"/>
      <c r="P330" s="71"/>
      <c r="Q330" s="189"/>
      <c r="R330" s="125"/>
      <c r="S330" s="103"/>
      <c r="T330" s="71"/>
      <c r="U330" s="189"/>
      <c r="V330" s="125"/>
      <c r="W330" s="103"/>
      <c r="X330" s="71"/>
      <c r="Y330" s="137"/>
      <c r="Z330" s="180"/>
      <c r="AA330" s="181"/>
      <c r="AB330" s="182"/>
      <c r="AC330" s="137"/>
      <c r="AD330" s="125"/>
      <c r="AE330" s="162"/>
      <c r="AF330" s="183"/>
      <c r="AG330" s="195"/>
      <c r="AH330" s="195"/>
      <c r="AI330" s="195"/>
      <c r="AJ330" s="195"/>
      <c r="AK330" s="71"/>
      <c r="AL330" s="71"/>
      <c r="AM330" s="71"/>
      <c r="AN330" s="71"/>
      <c r="AO330" s="71"/>
    </row>
    <row r="331">
      <c r="A331" s="137"/>
      <c r="B331" s="138"/>
      <c r="C331" s="103"/>
      <c r="D331" s="71"/>
      <c r="E331" s="137"/>
      <c r="F331" s="138"/>
      <c r="G331" s="103"/>
      <c r="H331" s="71"/>
      <c r="I331" s="137"/>
      <c r="J331" s="138"/>
      <c r="K331" s="103"/>
      <c r="L331" s="71"/>
      <c r="M331" s="137"/>
      <c r="N331" s="125"/>
      <c r="O331" s="103"/>
      <c r="P331" s="71"/>
      <c r="Q331" s="189"/>
      <c r="R331" s="125"/>
      <c r="S331" s="103"/>
      <c r="T331" s="71"/>
      <c r="U331" s="189"/>
      <c r="V331" s="125"/>
      <c r="W331" s="103"/>
      <c r="X331" s="71"/>
      <c r="Y331" s="137"/>
      <c r="Z331" s="180"/>
      <c r="AA331" s="181"/>
      <c r="AB331" s="182"/>
      <c r="AC331" s="137"/>
      <c r="AD331" s="125"/>
      <c r="AE331" s="162"/>
      <c r="AF331" s="183"/>
      <c r="AG331" s="195"/>
      <c r="AH331" s="195"/>
      <c r="AI331" s="195"/>
      <c r="AJ331" s="195"/>
      <c r="AK331" s="71"/>
      <c r="AL331" s="71"/>
      <c r="AM331" s="71"/>
      <c r="AN331" s="71"/>
      <c r="AO331" s="71"/>
    </row>
    <row r="332">
      <c r="A332" s="137"/>
      <c r="B332" s="138"/>
      <c r="C332" s="103"/>
      <c r="D332" s="71"/>
      <c r="E332" s="137"/>
      <c r="F332" s="138"/>
      <c r="G332" s="103"/>
      <c r="H332" s="71"/>
      <c r="I332" s="137"/>
      <c r="J332" s="138"/>
      <c r="K332" s="103"/>
      <c r="L332" s="71"/>
      <c r="M332" s="137"/>
      <c r="N332" s="125"/>
      <c r="O332" s="103"/>
      <c r="P332" s="71"/>
      <c r="Q332" s="189"/>
      <c r="R332" s="125"/>
      <c r="S332" s="103"/>
      <c r="T332" s="71"/>
      <c r="U332" s="189"/>
      <c r="V332" s="125"/>
      <c r="W332" s="103"/>
      <c r="X332" s="71"/>
      <c r="Y332" s="137"/>
      <c r="Z332" s="180"/>
      <c r="AA332" s="181"/>
      <c r="AB332" s="182"/>
      <c r="AC332" s="137"/>
      <c r="AD332" s="125"/>
      <c r="AE332" s="162"/>
      <c r="AF332" s="183"/>
      <c r="AG332" s="195"/>
      <c r="AH332" s="195"/>
      <c r="AI332" s="195"/>
      <c r="AJ332" s="195"/>
      <c r="AK332" s="71"/>
      <c r="AL332" s="71"/>
      <c r="AM332" s="71"/>
      <c r="AN332" s="71"/>
      <c r="AO332" s="71"/>
    </row>
    <row r="333">
      <c r="A333" s="137"/>
      <c r="B333" s="138"/>
      <c r="C333" s="103"/>
      <c r="D333" s="71"/>
      <c r="E333" s="137"/>
      <c r="F333" s="138"/>
      <c r="G333" s="103"/>
      <c r="H333" s="71"/>
      <c r="I333" s="137"/>
      <c r="J333" s="138"/>
      <c r="K333" s="103"/>
      <c r="L333" s="71"/>
      <c r="M333" s="137"/>
      <c r="N333" s="125"/>
      <c r="O333" s="103"/>
      <c r="P333" s="71"/>
      <c r="Q333" s="189"/>
      <c r="R333" s="125"/>
      <c r="S333" s="103"/>
      <c r="T333" s="71"/>
      <c r="U333" s="189"/>
      <c r="V333" s="125"/>
      <c r="W333" s="103"/>
      <c r="X333" s="71"/>
      <c r="Y333" s="137"/>
      <c r="Z333" s="180"/>
      <c r="AA333" s="181"/>
      <c r="AB333" s="182"/>
      <c r="AC333" s="137"/>
      <c r="AD333" s="125"/>
      <c r="AE333" s="162"/>
      <c r="AF333" s="183"/>
      <c r="AG333" s="195"/>
      <c r="AH333" s="195"/>
      <c r="AI333" s="195"/>
      <c r="AJ333" s="195"/>
      <c r="AK333" s="71"/>
      <c r="AL333" s="71"/>
      <c r="AM333" s="71"/>
      <c r="AN333" s="71"/>
      <c r="AO333" s="71"/>
    </row>
    <row r="334">
      <c r="A334" s="137"/>
      <c r="B334" s="138"/>
      <c r="C334" s="103"/>
      <c r="D334" s="71"/>
      <c r="E334" s="137"/>
      <c r="F334" s="138"/>
      <c r="G334" s="103"/>
      <c r="H334" s="71"/>
      <c r="I334" s="137"/>
      <c r="J334" s="138"/>
      <c r="K334" s="103"/>
      <c r="L334" s="71"/>
      <c r="M334" s="137"/>
      <c r="N334" s="125"/>
      <c r="O334" s="103"/>
      <c r="P334" s="71"/>
      <c r="Q334" s="189"/>
      <c r="R334" s="125"/>
      <c r="S334" s="103"/>
      <c r="T334" s="71"/>
      <c r="U334" s="189"/>
      <c r="V334" s="125"/>
      <c r="W334" s="103"/>
      <c r="X334" s="71"/>
      <c r="Y334" s="137"/>
      <c r="Z334" s="180"/>
      <c r="AA334" s="181"/>
      <c r="AB334" s="182"/>
      <c r="AC334" s="137"/>
      <c r="AD334" s="125"/>
      <c r="AE334" s="162"/>
      <c r="AF334" s="183"/>
      <c r="AG334" s="195"/>
      <c r="AH334" s="195"/>
      <c r="AI334" s="195"/>
      <c r="AJ334" s="195"/>
      <c r="AK334" s="71"/>
      <c r="AL334" s="71"/>
      <c r="AM334" s="71"/>
      <c r="AN334" s="71"/>
      <c r="AO334" s="71"/>
    </row>
    <row r="335">
      <c r="A335" s="137"/>
      <c r="B335" s="138"/>
      <c r="C335" s="103"/>
      <c r="D335" s="71"/>
      <c r="E335" s="137"/>
      <c r="F335" s="138"/>
      <c r="G335" s="103"/>
      <c r="H335" s="71"/>
      <c r="I335" s="137"/>
      <c r="J335" s="138"/>
      <c r="K335" s="103"/>
      <c r="L335" s="71"/>
      <c r="M335" s="137"/>
      <c r="N335" s="125"/>
      <c r="O335" s="103"/>
      <c r="P335" s="71"/>
      <c r="Q335" s="189"/>
      <c r="R335" s="125"/>
      <c r="S335" s="103"/>
      <c r="T335" s="71"/>
      <c r="U335" s="189"/>
      <c r="V335" s="125"/>
      <c r="W335" s="103"/>
      <c r="X335" s="71"/>
      <c r="Y335" s="137"/>
      <c r="Z335" s="180"/>
      <c r="AA335" s="181"/>
      <c r="AB335" s="182"/>
      <c r="AC335" s="137"/>
      <c r="AD335" s="125"/>
      <c r="AE335" s="162"/>
      <c r="AF335" s="183"/>
      <c r="AG335" s="195"/>
      <c r="AH335" s="195"/>
      <c r="AI335" s="195"/>
      <c r="AJ335" s="195"/>
      <c r="AK335" s="71"/>
      <c r="AL335" s="71"/>
      <c r="AM335" s="71"/>
      <c r="AN335" s="71"/>
      <c r="AO335" s="71"/>
    </row>
    <row r="336">
      <c r="A336" s="137"/>
      <c r="B336" s="138"/>
      <c r="C336" s="103"/>
      <c r="D336" s="71"/>
      <c r="E336" s="137"/>
      <c r="F336" s="138"/>
      <c r="G336" s="103"/>
      <c r="H336" s="71"/>
      <c r="I336" s="137"/>
      <c r="J336" s="138"/>
      <c r="K336" s="103"/>
      <c r="L336" s="71"/>
      <c r="M336" s="137"/>
      <c r="N336" s="125"/>
      <c r="O336" s="103"/>
      <c r="P336" s="71"/>
      <c r="Q336" s="189"/>
      <c r="R336" s="125"/>
      <c r="S336" s="103"/>
      <c r="T336" s="71"/>
      <c r="U336" s="189"/>
      <c r="V336" s="125"/>
      <c r="W336" s="103"/>
      <c r="X336" s="71"/>
      <c r="Y336" s="137"/>
      <c r="Z336" s="180"/>
      <c r="AA336" s="181"/>
      <c r="AB336" s="182"/>
      <c r="AC336" s="137"/>
      <c r="AD336" s="125"/>
      <c r="AE336" s="162"/>
      <c r="AF336" s="183"/>
      <c r="AG336" s="195"/>
      <c r="AH336" s="195"/>
      <c r="AI336" s="195"/>
      <c r="AJ336" s="195"/>
      <c r="AK336" s="71"/>
      <c r="AL336" s="71"/>
      <c r="AM336" s="71"/>
      <c r="AN336" s="71"/>
      <c r="AO336" s="71"/>
    </row>
    <row r="337">
      <c r="A337" s="137"/>
      <c r="B337" s="138"/>
      <c r="C337" s="103"/>
      <c r="D337" s="71"/>
      <c r="E337" s="137"/>
      <c r="F337" s="138"/>
      <c r="G337" s="103"/>
      <c r="H337" s="71"/>
      <c r="I337" s="137"/>
      <c r="J337" s="138"/>
      <c r="K337" s="103"/>
      <c r="L337" s="71"/>
      <c r="M337" s="137"/>
      <c r="N337" s="125"/>
      <c r="O337" s="103"/>
      <c r="P337" s="71"/>
      <c r="Q337" s="189"/>
      <c r="R337" s="125"/>
      <c r="S337" s="103"/>
      <c r="T337" s="71"/>
      <c r="U337" s="189"/>
      <c r="V337" s="125"/>
      <c r="W337" s="103"/>
      <c r="X337" s="71"/>
      <c r="Y337" s="137"/>
      <c r="Z337" s="180"/>
      <c r="AA337" s="181"/>
      <c r="AB337" s="182"/>
      <c r="AC337" s="137"/>
      <c r="AD337" s="125"/>
      <c r="AE337" s="162"/>
      <c r="AF337" s="183"/>
      <c r="AG337" s="195"/>
      <c r="AH337" s="195"/>
      <c r="AI337" s="195"/>
      <c r="AJ337" s="195"/>
      <c r="AK337" s="71"/>
      <c r="AL337" s="71"/>
      <c r="AM337" s="71"/>
      <c r="AN337" s="71"/>
      <c r="AO337" s="71"/>
    </row>
    <row r="338">
      <c r="A338" s="137"/>
      <c r="B338" s="138"/>
      <c r="C338" s="103"/>
      <c r="D338" s="71"/>
      <c r="E338" s="137"/>
      <c r="F338" s="138"/>
      <c r="G338" s="103"/>
      <c r="H338" s="71"/>
      <c r="I338" s="137"/>
      <c r="J338" s="138"/>
      <c r="K338" s="103"/>
      <c r="L338" s="71"/>
      <c r="M338" s="137"/>
      <c r="N338" s="125"/>
      <c r="O338" s="103"/>
      <c r="P338" s="71"/>
      <c r="Q338" s="189"/>
      <c r="R338" s="125"/>
      <c r="S338" s="103"/>
      <c r="T338" s="71"/>
      <c r="U338" s="189"/>
      <c r="V338" s="125"/>
      <c r="W338" s="103"/>
      <c r="X338" s="71"/>
      <c r="Y338" s="137"/>
      <c r="Z338" s="180"/>
      <c r="AA338" s="181"/>
      <c r="AB338" s="182"/>
      <c r="AC338" s="137"/>
      <c r="AD338" s="125"/>
      <c r="AE338" s="162"/>
      <c r="AF338" s="183"/>
      <c r="AG338" s="195"/>
      <c r="AH338" s="195"/>
      <c r="AI338" s="195"/>
      <c r="AJ338" s="195"/>
      <c r="AK338" s="71"/>
      <c r="AL338" s="71"/>
      <c r="AM338" s="71"/>
      <c r="AN338" s="71"/>
      <c r="AO338" s="71"/>
    </row>
    <row r="339">
      <c r="A339" s="137"/>
      <c r="B339" s="138"/>
      <c r="C339" s="103"/>
      <c r="D339" s="71"/>
      <c r="E339" s="137"/>
      <c r="F339" s="138"/>
      <c r="G339" s="103"/>
      <c r="H339" s="71"/>
      <c r="I339" s="137"/>
      <c r="J339" s="138"/>
      <c r="K339" s="103"/>
      <c r="L339" s="71"/>
      <c r="M339" s="137"/>
      <c r="N339" s="125"/>
      <c r="O339" s="103"/>
      <c r="P339" s="71"/>
      <c r="Q339" s="189"/>
      <c r="R339" s="125"/>
      <c r="S339" s="103"/>
      <c r="T339" s="71"/>
      <c r="U339" s="189"/>
      <c r="V339" s="125"/>
      <c r="W339" s="103"/>
      <c r="X339" s="71"/>
      <c r="Y339" s="137"/>
      <c r="Z339" s="180"/>
      <c r="AA339" s="181"/>
      <c r="AB339" s="182"/>
      <c r="AC339" s="137"/>
      <c r="AD339" s="125"/>
      <c r="AE339" s="162"/>
      <c r="AF339" s="183"/>
      <c r="AG339" s="195"/>
      <c r="AH339" s="195"/>
      <c r="AI339" s="195"/>
      <c r="AJ339" s="195"/>
      <c r="AK339" s="71"/>
      <c r="AL339" s="71"/>
      <c r="AM339" s="71"/>
      <c r="AN339" s="71"/>
      <c r="AO339" s="71"/>
    </row>
    <row r="340">
      <c r="A340" s="137"/>
      <c r="B340" s="138"/>
      <c r="C340" s="103"/>
      <c r="D340" s="71"/>
      <c r="E340" s="137"/>
      <c r="F340" s="138"/>
      <c r="G340" s="103"/>
      <c r="H340" s="71"/>
      <c r="I340" s="137"/>
      <c r="J340" s="138"/>
      <c r="K340" s="103"/>
      <c r="L340" s="71"/>
      <c r="M340" s="137"/>
      <c r="N340" s="125"/>
      <c r="O340" s="103"/>
      <c r="P340" s="71"/>
      <c r="Q340" s="189"/>
      <c r="R340" s="125"/>
      <c r="S340" s="103"/>
      <c r="T340" s="71"/>
      <c r="U340" s="189"/>
      <c r="V340" s="125"/>
      <c r="W340" s="103"/>
      <c r="X340" s="71"/>
      <c r="Y340" s="137"/>
      <c r="Z340" s="180"/>
      <c r="AA340" s="181"/>
      <c r="AB340" s="182"/>
      <c r="AC340" s="137"/>
      <c r="AD340" s="125"/>
      <c r="AE340" s="162"/>
      <c r="AF340" s="183"/>
      <c r="AG340" s="195"/>
      <c r="AH340" s="195"/>
      <c r="AI340" s="195"/>
      <c r="AJ340" s="195"/>
      <c r="AK340" s="71"/>
      <c r="AL340" s="71"/>
      <c r="AM340" s="71"/>
      <c r="AN340" s="71"/>
      <c r="AO340" s="71"/>
    </row>
    <row r="341">
      <c r="A341" s="137"/>
      <c r="B341" s="138"/>
      <c r="C341" s="103"/>
      <c r="D341" s="71"/>
      <c r="E341" s="137"/>
      <c r="F341" s="138"/>
      <c r="G341" s="103"/>
      <c r="H341" s="71"/>
      <c r="I341" s="137"/>
      <c r="J341" s="138"/>
      <c r="K341" s="103"/>
      <c r="L341" s="71"/>
      <c r="M341" s="137"/>
      <c r="N341" s="125"/>
      <c r="O341" s="103"/>
      <c r="P341" s="71"/>
      <c r="Q341" s="189"/>
      <c r="R341" s="125"/>
      <c r="S341" s="103"/>
      <c r="T341" s="71"/>
      <c r="U341" s="189"/>
      <c r="V341" s="125"/>
      <c r="W341" s="103"/>
      <c r="X341" s="71"/>
      <c r="Y341" s="137"/>
      <c r="Z341" s="180"/>
      <c r="AA341" s="181"/>
      <c r="AB341" s="182"/>
      <c r="AC341" s="137"/>
      <c r="AD341" s="125"/>
      <c r="AE341" s="162"/>
      <c r="AF341" s="183"/>
      <c r="AG341" s="195"/>
      <c r="AH341" s="195"/>
      <c r="AI341" s="195"/>
      <c r="AJ341" s="195"/>
      <c r="AK341" s="71"/>
      <c r="AL341" s="71"/>
      <c r="AM341" s="71"/>
      <c r="AN341" s="71"/>
      <c r="AO341" s="71"/>
    </row>
    <row r="342">
      <c r="A342" s="137"/>
      <c r="B342" s="138"/>
      <c r="C342" s="103"/>
      <c r="D342" s="71"/>
      <c r="E342" s="137"/>
      <c r="F342" s="138"/>
      <c r="G342" s="103"/>
      <c r="H342" s="71"/>
      <c r="I342" s="137"/>
      <c r="J342" s="138"/>
      <c r="K342" s="103"/>
      <c r="L342" s="71"/>
      <c r="M342" s="137"/>
      <c r="N342" s="125"/>
      <c r="O342" s="103"/>
      <c r="P342" s="71"/>
      <c r="Q342" s="189"/>
      <c r="R342" s="125"/>
      <c r="S342" s="103"/>
      <c r="T342" s="71"/>
      <c r="U342" s="189"/>
      <c r="V342" s="125"/>
      <c r="W342" s="103"/>
      <c r="X342" s="71"/>
      <c r="Y342" s="137"/>
      <c r="Z342" s="180"/>
      <c r="AA342" s="181"/>
      <c r="AB342" s="182"/>
      <c r="AC342" s="137"/>
      <c r="AD342" s="125"/>
      <c r="AE342" s="162"/>
      <c r="AF342" s="183"/>
      <c r="AG342" s="195"/>
      <c r="AH342" s="195"/>
      <c r="AI342" s="195"/>
      <c r="AJ342" s="195"/>
      <c r="AK342" s="71"/>
      <c r="AL342" s="71"/>
      <c r="AM342" s="71"/>
      <c r="AN342" s="71"/>
      <c r="AO342" s="71"/>
    </row>
    <row r="343">
      <c r="A343" s="137"/>
      <c r="B343" s="138"/>
      <c r="C343" s="103"/>
      <c r="D343" s="71"/>
      <c r="E343" s="137"/>
      <c r="F343" s="138"/>
      <c r="G343" s="103"/>
      <c r="H343" s="71"/>
      <c r="I343" s="137"/>
      <c r="J343" s="138"/>
      <c r="K343" s="103"/>
      <c r="L343" s="71"/>
      <c r="M343" s="137"/>
      <c r="N343" s="125"/>
      <c r="O343" s="103"/>
      <c r="P343" s="71"/>
      <c r="Q343" s="189"/>
      <c r="R343" s="125"/>
      <c r="S343" s="103"/>
      <c r="T343" s="71"/>
      <c r="U343" s="189"/>
      <c r="V343" s="125"/>
      <c r="W343" s="103"/>
      <c r="X343" s="71"/>
      <c r="Y343" s="137"/>
      <c r="Z343" s="180"/>
      <c r="AA343" s="181"/>
      <c r="AB343" s="182"/>
      <c r="AC343" s="137"/>
      <c r="AD343" s="125"/>
      <c r="AE343" s="162"/>
      <c r="AF343" s="183"/>
      <c r="AG343" s="195"/>
      <c r="AH343" s="195"/>
      <c r="AI343" s="195"/>
      <c r="AJ343" s="195"/>
      <c r="AK343" s="71"/>
      <c r="AL343" s="71"/>
      <c r="AM343" s="71"/>
      <c r="AN343" s="71"/>
      <c r="AO343" s="71"/>
    </row>
    <row r="344">
      <c r="A344" s="137"/>
      <c r="B344" s="138"/>
      <c r="C344" s="103"/>
      <c r="D344" s="71"/>
      <c r="E344" s="137"/>
      <c r="F344" s="138"/>
      <c r="G344" s="103"/>
      <c r="H344" s="71"/>
      <c r="I344" s="137"/>
      <c r="J344" s="138"/>
      <c r="K344" s="103"/>
      <c r="L344" s="71"/>
      <c r="M344" s="137"/>
      <c r="N344" s="125"/>
      <c r="O344" s="103"/>
      <c r="P344" s="71"/>
      <c r="Q344" s="189"/>
      <c r="R344" s="125"/>
      <c r="S344" s="103"/>
      <c r="T344" s="71"/>
      <c r="U344" s="189"/>
      <c r="V344" s="125"/>
      <c r="W344" s="103"/>
      <c r="X344" s="71"/>
      <c r="Y344" s="137"/>
      <c r="Z344" s="180"/>
      <c r="AA344" s="181"/>
      <c r="AB344" s="182"/>
      <c r="AC344" s="137"/>
      <c r="AD344" s="125"/>
      <c r="AE344" s="162"/>
      <c r="AF344" s="183"/>
      <c r="AG344" s="195"/>
      <c r="AH344" s="195"/>
      <c r="AI344" s="195"/>
      <c r="AJ344" s="195"/>
      <c r="AK344" s="71"/>
      <c r="AL344" s="71"/>
      <c r="AM344" s="71"/>
      <c r="AN344" s="71"/>
      <c r="AO344" s="71"/>
    </row>
    <row r="345">
      <c r="A345" s="137"/>
      <c r="B345" s="138"/>
      <c r="C345" s="103"/>
      <c r="D345" s="71"/>
      <c r="E345" s="137"/>
      <c r="F345" s="138"/>
      <c r="G345" s="103"/>
      <c r="H345" s="71"/>
      <c r="I345" s="137"/>
      <c r="J345" s="138"/>
      <c r="K345" s="103"/>
      <c r="L345" s="71"/>
      <c r="M345" s="137"/>
      <c r="N345" s="125"/>
      <c r="O345" s="103"/>
      <c r="P345" s="71"/>
      <c r="Q345" s="189"/>
      <c r="R345" s="125"/>
      <c r="S345" s="103"/>
      <c r="T345" s="71"/>
      <c r="U345" s="189"/>
      <c r="V345" s="125"/>
      <c r="W345" s="103"/>
      <c r="X345" s="71"/>
      <c r="Y345" s="137"/>
      <c r="Z345" s="180"/>
      <c r="AA345" s="181"/>
      <c r="AB345" s="182"/>
      <c r="AC345" s="137"/>
      <c r="AD345" s="125"/>
      <c r="AE345" s="162"/>
      <c r="AF345" s="183"/>
      <c r="AG345" s="195"/>
      <c r="AH345" s="195"/>
      <c r="AI345" s="195"/>
      <c r="AJ345" s="195"/>
      <c r="AK345" s="71"/>
      <c r="AL345" s="71"/>
      <c r="AM345" s="71"/>
      <c r="AN345" s="71"/>
      <c r="AO345" s="71"/>
    </row>
    <row r="346">
      <c r="A346" s="137"/>
      <c r="B346" s="138"/>
      <c r="C346" s="103"/>
      <c r="D346" s="71"/>
      <c r="E346" s="137"/>
      <c r="F346" s="138"/>
      <c r="G346" s="103"/>
      <c r="H346" s="71"/>
      <c r="I346" s="137"/>
      <c r="J346" s="138"/>
      <c r="K346" s="103"/>
      <c r="L346" s="71"/>
      <c r="M346" s="137"/>
      <c r="N346" s="125"/>
      <c r="O346" s="103"/>
      <c r="P346" s="71"/>
      <c r="Q346" s="189"/>
      <c r="R346" s="125"/>
      <c r="S346" s="103"/>
      <c r="T346" s="71"/>
      <c r="U346" s="189"/>
      <c r="V346" s="125"/>
      <c r="W346" s="103"/>
      <c r="X346" s="71"/>
      <c r="Y346" s="137"/>
      <c r="Z346" s="180"/>
      <c r="AA346" s="181"/>
      <c r="AB346" s="182"/>
      <c r="AC346" s="137"/>
      <c r="AD346" s="125"/>
      <c r="AE346" s="162"/>
      <c r="AF346" s="183"/>
      <c r="AG346" s="195"/>
      <c r="AH346" s="195"/>
      <c r="AI346" s="195"/>
      <c r="AJ346" s="195"/>
      <c r="AK346" s="71"/>
      <c r="AL346" s="71"/>
      <c r="AM346" s="71"/>
      <c r="AN346" s="71"/>
      <c r="AO346" s="71"/>
    </row>
    <row r="347">
      <c r="A347" s="137"/>
      <c r="B347" s="138"/>
      <c r="C347" s="103"/>
      <c r="D347" s="71"/>
      <c r="E347" s="137"/>
      <c r="F347" s="138"/>
      <c r="G347" s="103"/>
      <c r="H347" s="71"/>
      <c r="I347" s="137"/>
      <c r="J347" s="138"/>
      <c r="K347" s="103"/>
      <c r="L347" s="71"/>
      <c r="M347" s="137"/>
      <c r="N347" s="125"/>
      <c r="O347" s="103"/>
      <c r="P347" s="71"/>
      <c r="Q347" s="189"/>
      <c r="R347" s="125"/>
      <c r="S347" s="103"/>
      <c r="T347" s="71"/>
      <c r="U347" s="189"/>
      <c r="V347" s="125"/>
      <c r="W347" s="103"/>
      <c r="X347" s="71"/>
      <c r="Y347" s="137"/>
      <c r="Z347" s="180"/>
      <c r="AA347" s="181"/>
      <c r="AB347" s="182"/>
      <c r="AC347" s="137"/>
      <c r="AD347" s="125"/>
      <c r="AE347" s="162"/>
      <c r="AF347" s="183"/>
      <c r="AG347" s="195"/>
      <c r="AH347" s="195"/>
      <c r="AI347" s="195"/>
      <c r="AJ347" s="195"/>
      <c r="AK347" s="71"/>
      <c r="AL347" s="71"/>
      <c r="AM347" s="71"/>
      <c r="AN347" s="71"/>
      <c r="AO347" s="71"/>
    </row>
    <row r="348">
      <c r="A348" s="137"/>
      <c r="B348" s="138"/>
      <c r="C348" s="103"/>
      <c r="D348" s="71"/>
      <c r="E348" s="137"/>
      <c r="F348" s="138"/>
      <c r="G348" s="103"/>
      <c r="H348" s="71"/>
      <c r="I348" s="137"/>
      <c r="J348" s="138"/>
      <c r="K348" s="103"/>
      <c r="L348" s="71"/>
      <c r="M348" s="137"/>
      <c r="N348" s="125"/>
      <c r="O348" s="103"/>
      <c r="P348" s="71"/>
      <c r="Q348" s="189"/>
      <c r="R348" s="125"/>
      <c r="S348" s="103"/>
      <c r="T348" s="71"/>
      <c r="U348" s="189"/>
      <c r="V348" s="125"/>
      <c r="W348" s="103"/>
      <c r="X348" s="71"/>
      <c r="Y348" s="137"/>
      <c r="Z348" s="180"/>
      <c r="AA348" s="181"/>
      <c r="AB348" s="182"/>
      <c r="AC348" s="137"/>
      <c r="AD348" s="125"/>
      <c r="AE348" s="162"/>
      <c r="AF348" s="183"/>
      <c r="AG348" s="195"/>
      <c r="AH348" s="195"/>
      <c r="AI348" s="195"/>
      <c r="AJ348" s="195"/>
      <c r="AK348" s="71"/>
      <c r="AL348" s="71"/>
      <c r="AM348" s="71"/>
      <c r="AN348" s="71"/>
      <c r="AO348" s="71"/>
    </row>
    <row r="349">
      <c r="A349" s="137"/>
      <c r="B349" s="138"/>
      <c r="C349" s="103"/>
      <c r="D349" s="71"/>
      <c r="E349" s="137"/>
      <c r="F349" s="138"/>
      <c r="G349" s="103"/>
      <c r="H349" s="71"/>
      <c r="I349" s="137"/>
      <c r="J349" s="138"/>
      <c r="K349" s="103"/>
      <c r="L349" s="71"/>
      <c r="M349" s="137"/>
      <c r="N349" s="125"/>
      <c r="O349" s="103"/>
      <c r="P349" s="71"/>
      <c r="Q349" s="189"/>
      <c r="R349" s="125"/>
      <c r="S349" s="103"/>
      <c r="T349" s="71"/>
      <c r="U349" s="189"/>
      <c r="V349" s="125"/>
      <c r="W349" s="103"/>
      <c r="X349" s="71"/>
      <c r="Y349" s="137"/>
      <c r="Z349" s="180"/>
      <c r="AA349" s="181"/>
      <c r="AB349" s="182"/>
      <c r="AC349" s="137"/>
      <c r="AD349" s="125"/>
      <c r="AE349" s="162"/>
      <c r="AF349" s="183"/>
      <c r="AG349" s="195"/>
      <c r="AH349" s="195"/>
      <c r="AI349" s="195"/>
      <c r="AJ349" s="195"/>
      <c r="AK349" s="71"/>
      <c r="AL349" s="71"/>
      <c r="AM349" s="71"/>
      <c r="AN349" s="71"/>
      <c r="AO349" s="71"/>
    </row>
    <row r="350">
      <c r="A350" s="137"/>
      <c r="B350" s="138"/>
      <c r="C350" s="103"/>
      <c r="D350" s="71"/>
      <c r="E350" s="137"/>
      <c r="F350" s="138"/>
      <c r="G350" s="103"/>
      <c r="H350" s="71"/>
      <c r="I350" s="137"/>
      <c r="J350" s="138"/>
      <c r="K350" s="103"/>
      <c r="L350" s="71"/>
      <c r="M350" s="137"/>
      <c r="N350" s="125"/>
      <c r="O350" s="103"/>
      <c r="P350" s="71"/>
      <c r="Q350" s="189"/>
      <c r="R350" s="125"/>
      <c r="S350" s="103"/>
      <c r="T350" s="71"/>
      <c r="U350" s="189"/>
      <c r="V350" s="125"/>
      <c r="W350" s="103"/>
      <c r="X350" s="71"/>
      <c r="Y350" s="137"/>
      <c r="Z350" s="180"/>
      <c r="AA350" s="181"/>
      <c r="AB350" s="182"/>
      <c r="AC350" s="137"/>
      <c r="AD350" s="125"/>
      <c r="AE350" s="162"/>
      <c r="AF350" s="183"/>
      <c r="AG350" s="195"/>
      <c r="AH350" s="195"/>
      <c r="AI350" s="195"/>
      <c r="AJ350" s="195"/>
      <c r="AK350" s="71"/>
      <c r="AL350" s="71"/>
      <c r="AM350" s="71"/>
      <c r="AN350" s="71"/>
      <c r="AO350" s="71"/>
    </row>
    <row r="351">
      <c r="A351" s="137"/>
      <c r="B351" s="138"/>
      <c r="C351" s="103"/>
      <c r="D351" s="71"/>
      <c r="E351" s="137"/>
      <c r="F351" s="138"/>
      <c r="G351" s="103"/>
      <c r="H351" s="71"/>
      <c r="I351" s="137"/>
      <c r="J351" s="138"/>
      <c r="K351" s="103"/>
      <c r="L351" s="71"/>
      <c r="M351" s="137"/>
      <c r="N351" s="125"/>
      <c r="O351" s="103"/>
      <c r="P351" s="71"/>
      <c r="Q351" s="189"/>
      <c r="R351" s="125"/>
      <c r="S351" s="103"/>
      <c r="T351" s="71"/>
      <c r="U351" s="189"/>
      <c r="V351" s="125"/>
      <c r="W351" s="103"/>
      <c r="X351" s="71"/>
      <c r="Y351" s="137"/>
      <c r="Z351" s="180"/>
      <c r="AA351" s="181"/>
      <c r="AB351" s="182"/>
      <c r="AC351" s="137"/>
      <c r="AD351" s="125"/>
      <c r="AE351" s="162"/>
      <c r="AF351" s="183"/>
      <c r="AG351" s="195"/>
      <c r="AH351" s="195"/>
      <c r="AI351" s="195"/>
      <c r="AJ351" s="195"/>
      <c r="AK351" s="71"/>
      <c r="AL351" s="71"/>
      <c r="AM351" s="71"/>
      <c r="AN351" s="71"/>
      <c r="AO351" s="71"/>
    </row>
    <row r="352">
      <c r="A352" s="137"/>
      <c r="B352" s="138"/>
      <c r="C352" s="103"/>
      <c r="D352" s="71"/>
      <c r="E352" s="137"/>
      <c r="F352" s="138"/>
      <c r="G352" s="103"/>
      <c r="H352" s="71"/>
      <c r="I352" s="137"/>
      <c r="J352" s="138"/>
      <c r="K352" s="103"/>
      <c r="L352" s="71"/>
      <c r="M352" s="137"/>
      <c r="N352" s="125"/>
      <c r="O352" s="103"/>
      <c r="P352" s="71"/>
      <c r="Q352" s="189"/>
      <c r="R352" s="125"/>
      <c r="S352" s="103"/>
      <c r="T352" s="71"/>
      <c r="U352" s="189"/>
      <c r="V352" s="125"/>
      <c r="W352" s="103"/>
      <c r="X352" s="71"/>
      <c r="Y352" s="137"/>
      <c r="Z352" s="180"/>
      <c r="AA352" s="181"/>
      <c r="AB352" s="182"/>
      <c r="AC352" s="137"/>
      <c r="AD352" s="125"/>
      <c r="AE352" s="162"/>
      <c r="AF352" s="183"/>
      <c r="AG352" s="195"/>
      <c r="AH352" s="195"/>
      <c r="AI352" s="195"/>
      <c r="AJ352" s="195"/>
      <c r="AK352" s="71"/>
      <c r="AL352" s="71"/>
      <c r="AM352" s="71"/>
      <c r="AN352" s="71"/>
      <c r="AO352" s="71"/>
    </row>
    <row r="353">
      <c r="A353" s="137"/>
      <c r="B353" s="138"/>
      <c r="C353" s="103"/>
      <c r="D353" s="71"/>
      <c r="E353" s="137"/>
      <c r="F353" s="138"/>
      <c r="G353" s="103"/>
      <c r="H353" s="71"/>
      <c r="I353" s="137"/>
      <c r="J353" s="138"/>
      <c r="K353" s="103"/>
      <c r="L353" s="71"/>
      <c r="M353" s="137"/>
      <c r="N353" s="125"/>
      <c r="O353" s="103"/>
      <c r="P353" s="71"/>
      <c r="Q353" s="189"/>
      <c r="R353" s="125"/>
      <c r="S353" s="103"/>
      <c r="T353" s="71"/>
      <c r="U353" s="189"/>
      <c r="V353" s="125"/>
      <c r="W353" s="103"/>
      <c r="X353" s="71"/>
      <c r="Y353" s="137"/>
      <c r="Z353" s="180"/>
      <c r="AA353" s="181"/>
      <c r="AB353" s="182"/>
      <c r="AC353" s="137"/>
      <c r="AD353" s="125"/>
      <c r="AE353" s="162"/>
      <c r="AF353" s="183"/>
      <c r="AG353" s="195"/>
      <c r="AH353" s="195"/>
      <c r="AI353" s="195"/>
      <c r="AJ353" s="195"/>
      <c r="AK353" s="71"/>
      <c r="AL353" s="71"/>
      <c r="AM353" s="71"/>
      <c r="AN353" s="71"/>
      <c r="AO353" s="71"/>
    </row>
    <row r="354">
      <c r="A354" s="137"/>
      <c r="B354" s="138"/>
      <c r="C354" s="103"/>
      <c r="D354" s="71"/>
      <c r="E354" s="137"/>
      <c r="F354" s="138"/>
      <c r="G354" s="103"/>
      <c r="H354" s="71"/>
      <c r="I354" s="137"/>
      <c r="J354" s="138"/>
      <c r="K354" s="103"/>
      <c r="L354" s="71"/>
      <c r="M354" s="137"/>
      <c r="N354" s="125"/>
      <c r="O354" s="103"/>
      <c r="P354" s="71"/>
      <c r="Q354" s="189"/>
      <c r="R354" s="125"/>
      <c r="S354" s="103"/>
      <c r="T354" s="71"/>
      <c r="U354" s="189"/>
      <c r="V354" s="125"/>
      <c r="W354" s="103"/>
      <c r="X354" s="71"/>
      <c r="Y354" s="137"/>
      <c r="Z354" s="180"/>
      <c r="AA354" s="181"/>
      <c r="AB354" s="182"/>
      <c r="AC354" s="137"/>
      <c r="AD354" s="125"/>
      <c r="AE354" s="162"/>
      <c r="AF354" s="183"/>
      <c r="AG354" s="195"/>
      <c r="AH354" s="195"/>
      <c r="AI354" s="195"/>
      <c r="AJ354" s="195"/>
      <c r="AK354" s="71"/>
      <c r="AL354" s="71"/>
      <c r="AM354" s="71"/>
      <c r="AN354" s="71"/>
      <c r="AO354" s="71"/>
    </row>
    <row r="355">
      <c r="A355" s="137"/>
      <c r="B355" s="138"/>
      <c r="C355" s="103"/>
      <c r="D355" s="71"/>
      <c r="E355" s="137"/>
      <c r="F355" s="138"/>
      <c r="G355" s="103"/>
      <c r="H355" s="71"/>
      <c r="I355" s="137"/>
      <c r="J355" s="138"/>
      <c r="K355" s="103"/>
      <c r="L355" s="71"/>
      <c r="M355" s="137"/>
      <c r="N355" s="125"/>
      <c r="O355" s="103"/>
      <c r="P355" s="71"/>
      <c r="Q355" s="189"/>
      <c r="R355" s="125"/>
      <c r="S355" s="103"/>
      <c r="T355" s="71"/>
      <c r="U355" s="189"/>
      <c r="V355" s="125"/>
      <c r="W355" s="103"/>
      <c r="X355" s="71"/>
      <c r="Y355" s="137"/>
      <c r="Z355" s="180"/>
      <c r="AA355" s="181"/>
      <c r="AB355" s="182"/>
      <c r="AC355" s="137"/>
      <c r="AD355" s="125"/>
      <c r="AE355" s="162"/>
      <c r="AF355" s="183"/>
      <c r="AG355" s="195"/>
      <c r="AH355" s="195"/>
      <c r="AI355" s="195"/>
      <c r="AJ355" s="195"/>
      <c r="AK355" s="71"/>
      <c r="AL355" s="71"/>
      <c r="AM355" s="71"/>
      <c r="AN355" s="71"/>
      <c r="AO355" s="71"/>
    </row>
    <row r="356">
      <c r="A356" s="137"/>
      <c r="B356" s="138"/>
      <c r="C356" s="103"/>
      <c r="D356" s="71"/>
      <c r="E356" s="137"/>
      <c r="F356" s="138"/>
      <c r="G356" s="103"/>
      <c r="H356" s="71"/>
      <c r="I356" s="137"/>
      <c r="J356" s="138"/>
      <c r="K356" s="103"/>
      <c r="L356" s="71"/>
      <c r="M356" s="137"/>
      <c r="N356" s="125"/>
      <c r="O356" s="103"/>
      <c r="P356" s="71"/>
      <c r="Q356" s="189"/>
      <c r="R356" s="125"/>
      <c r="S356" s="103"/>
      <c r="T356" s="71"/>
      <c r="U356" s="189"/>
      <c r="V356" s="125"/>
      <c r="W356" s="103"/>
      <c r="X356" s="71"/>
      <c r="Y356" s="137"/>
      <c r="Z356" s="180"/>
      <c r="AA356" s="181"/>
      <c r="AB356" s="182"/>
      <c r="AC356" s="137"/>
      <c r="AD356" s="125"/>
      <c r="AE356" s="162"/>
      <c r="AF356" s="183"/>
      <c r="AG356" s="195"/>
      <c r="AH356" s="195"/>
      <c r="AI356" s="195"/>
      <c r="AJ356" s="195"/>
      <c r="AK356" s="71"/>
      <c r="AL356" s="71"/>
      <c r="AM356" s="71"/>
      <c r="AN356" s="71"/>
      <c r="AO356" s="71"/>
    </row>
    <row r="357">
      <c r="A357" s="137"/>
      <c r="B357" s="138"/>
      <c r="C357" s="103"/>
      <c r="D357" s="71"/>
      <c r="E357" s="137"/>
      <c r="F357" s="138"/>
      <c r="G357" s="103"/>
      <c r="H357" s="71"/>
      <c r="I357" s="137"/>
      <c r="J357" s="138"/>
      <c r="K357" s="103"/>
      <c r="L357" s="71"/>
      <c r="M357" s="137"/>
      <c r="N357" s="125"/>
      <c r="O357" s="103"/>
      <c r="P357" s="71"/>
      <c r="Q357" s="189"/>
      <c r="R357" s="125"/>
      <c r="S357" s="103"/>
      <c r="T357" s="71"/>
      <c r="U357" s="189"/>
      <c r="V357" s="125"/>
      <c r="W357" s="103"/>
      <c r="X357" s="71"/>
      <c r="Y357" s="137"/>
      <c r="Z357" s="180"/>
      <c r="AA357" s="181"/>
      <c r="AB357" s="182"/>
      <c r="AC357" s="137"/>
      <c r="AD357" s="125"/>
      <c r="AE357" s="162"/>
      <c r="AF357" s="183"/>
      <c r="AG357" s="195"/>
      <c r="AH357" s="195"/>
      <c r="AI357" s="195"/>
      <c r="AJ357" s="195"/>
      <c r="AK357" s="71"/>
      <c r="AL357" s="71"/>
      <c r="AM357" s="71"/>
      <c r="AN357" s="71"/>
      <c r="AO357" s="71"/>
    </row>
    <row r="358">
      <c r="A358" s="137"/>
      <c r="B358" s="138"/>
      <c r="C358" s="103"/>
      <c r="D358" s="71"/>
      <c r="E358" s="137"/>
      <c r="F358" s="138"/>
      <c r="G358" s="103"/>
      <c r="H358" s="71"/>
      <c r="I358" s="137"/>
      <c r="J358" s="138"/>
      <c r="K358" s="103"/>
      <c r="L358" s="71"/>
      <c r="M358" s="137"/>
      <c r="N358" s="125"/>
      <c r="O358" s="103"/>
      <c r="P358" s="71"/>
      <c r="Q358" s="189"/>
      <c r="R358" s="125"/>
      <c r="S358" s="103"/>
      <c r="T358" s="71"/>
      <c r="U358" s="189"/>
      <c r="V358" s="125"/>
      <c r="W358" s="103"/>
      <c r="X358" s="71"/>
      <c r="Y358" s="137"/>
      <c r="Z358" s="180"/>
      <c r="AA358" s="181"/>
      <c r="AB358" s="182"/>
      <c r="AC358" s="137"/>
      <c r="AD358" s="125"/>
      <c r="AE358" s="162"/>
      <c r="AF358" s="183"/>
      <c r="AG358" s="195"/>
      <c r="AH358" s="195"/>
      <c r="AI358" s="195"/>
      <c r="AJ358" s="195"/>
      <c r="AK358" s="71"/>
      <c r="AL358" s="71"/>
      <c r="AM358" s="71"/>
      <c r="AN358" s="71"/>
      <c r="AO358" s="71"/>
    </row>
    <row r="359">
      <c r="A359" s="137"/>
      <c r="B359" s="138"/>
      <c r="C359" s="103"/>
      <c r="D359" s="71"/>
      <c r="E359" s="137"/>
      <c r="F359" s="138"/>
      <c r="G359" s="103"/>
      <c r="H359" s="71"/>
      <c r="I359" s="137"/>
      <c r="J359" s="138"/>
      <c r="K359" s="103"/>
      <c r="L359" s="71"/>
      <c r="M359" s="137"/>
      <c r="N359" s="125"/>
      <c r="O359" s="103"/>
      <c r="P359" s="71"/>
      <c r="Q359" s="189"/>
      <c r="R359" s="125"/>
      <c r="S359" s="103"/>
      <c r="T359" s="71"/>
      <c r="U359" s="189"/>
      <c r="V359" s="125"/>
      <c r="W359" s="103"/>
      <c r="X359" s="71"/>
      <c r="Y359" s="137"/>
      <c r="Z359" s="180"/>
      <c r="AA359" s="181"/>
      <c r="AB359" s="182"/>
      <c r="AC359" s="137"/>
      <c r="AD359" s="125"/>
      <c r="AE359" s="162"/>
      <c r="AF359" s="183"/>
      <c r="AG359" s="195"/>
      <c r="AH359" s="195"/>
      <c r="AI359" s="195"/>
      <c r="AJ359" s="195"/>
      <c r="AK359" s="71"/>
      <c r="AL359" s="71"/>
      <c r="AM359" s="71"/>
      <c r="AN359" s="71"/>
      <c r="AO359" s="71"/>
    </row>
    <row r="360">
      <c r="A360" s="137"/>
      <c r="B360" s="138"/>
      <c r="C360" s="103"/>
      <c r="D360" s="71"/>
      <c r="E360" s="137"/>
      <c r="F360" s="138"/>
      <c r="G360" s="103"/>
      <c r="H360" s="71"/>
      <c r="I360" s="137"/>
      <c r="J360" s="138"/>
      <c r="K360" s="103"/>
      <c r="L360" s="71"/>
      <c r="M360" s="137"/>
      <c r="N360" s="125"/>
      <c r="O360" s="103"/>
      <c r="P360" s="71"/>
      <c r="Q360" s="189"/>
      <c r="R360" s="125"/>
      <c r="S360" s="103"/>
      <c r="T360" s="71"/>
      <c r="U360" s="189"/>
      <c r="V360" s="125"/>
      <c r="W360" s="103"/>
      <c r="X360" s="71"/>
      <c r="Y360" s="137"/>
      <c r="Z360" s="180"/>
      <c r="AA360" s="181"/>
      <c r="AB360" s="182"/>
      <c r="AC360" s="137"/>
      <c r="AD360" s="125"/>
      <c r="AE360" s="162"/>
      <c r="AF360" s="183"/>
      <c r="AG360" s="195"/>
      <c r="AH360" s="195"/>
      <c r="AI360" s="195"/>
      <c r="AJ360" s="195"/>
      <c r="AK360" s="71"/>
      <c r="AL360" s="71"/>
      <c r="AM360" s="71"/>
      <c r="AN360" s="71"/>
      <c r="AO360" s="71"/>
    </row>
    <row r="361">
      <c r="A361" s="137"/>
      <c r="B361" s="138"/>
      <c r="C361" s="103"/>
      <c r="D361" s="71"/>
      <c r="E361" s="137"/>
      <c r="F361" s="138"/>
      <c r="G361" s="103"/>
      <c r="H361" s="71"/>
      <c r="I361" s="137"/>
      <c r="J361" s="138"/>
      <c r="K361" s="103"/>
      <c r="L361" s="71"/>
      <c r="M361" s="137"/>
      <c r="N361" s="125"/>
      <c r="O361" s="103"/>
      <c r="P361" s="71"/>
      <c r="Q361" s="189"/>
      <c r="R361" s="125"/>
      <c r="S361" s="103"/>
      <c r="T361" s="71"/>
      <c r="U361" s="189"/>
      <c r="V361" s="125"/>
      <c r="W361" s="103"/>
      <c r="X361" s="71"/>
      <c r="Y361" s="137"/>
      <c r="Z361" s="180"/>
      <c r="AA361" s="181"/>
      <c r="AB361" s="182"/>
      <c r="AC361" s="137"/>
      <c r="AD361" s="125"/>
      <c r="AE361" s="162"/>
      <c r="AF361" s="183"/>
      <c r="AG361" s="195"/>
      <c r="AH361" s="195"/>
      <c r="AI361" s="195"/>
      <c r="AJ361" s="195"/>
      <c r="AK361" s="71"/>
      <c r="AL361" s="71"/>
      <c r="AM361" s="71"/>
      <c r="AN361" s="71"/>
      <c r="AO361" s="71"/>
    </row>
    <row r="362">
      <c r="A362" s="137"/>
      <c r="B362" s="138"/>
      <c r="C362" s="103"/>
      <c r="D362" s="71"/>
      <c r="E362" s="137"/>
      <c r="F362" s="138"/>
      <c r="G362" s="103"/>
      <c r="H362" s="71"/>
      <c r="I362" s="137"/>
      <c r="J362" s="138"/>
      <c r="K362" s="103"/>
      <c r="L362" s="71"/>
      <c r="M362" s="137"/>
      <c r="N362" s="125"/>
      <c r="O362" s="103"/>
      <c r="P362" s="71"/>
      <c r="Q362" s="189"/>
      <c r="R362" s="125"/>
      <c r="S362" s="103"/>
      <c r="T362" s="71"/>
      <c r="U362" s="189"/>
      <c r="V362" s="125"/>
      <c r="W362" s="103"/>
      <c r="X362" s="71"/>
      <c r="Y362" s="137"/>
      <c r="Z362" s="180"/>
      <c r="AA362" s="181"/>
      <c r="AB362" s="182"/>
      <c r="AC362" s="137"/>
      <c r="AD362" s="125"/>
      <c r="AE362" s="162"/>
      <c r="AF362" s="183"/>
      <c r="AG362" s="195"/>
      <c r="AH362" s="195"/>
      <c r="AI362" s="195"/>
      <c r="AJ362" s="195"/>
      <c r="AK362" s="71"/>
      <c r="AL362" s="71"/>
      <c r="AM362" s="71"/>
      <c r="AN362" s="71"/>
      <c r="AO362" s="71"/>
    </row>
    <row r="363">
      <c r="A363" s="137"/>
      <c r="B363" s="138"/>
      <c r="C363" s="103"/>
      <c r="D363" s="71"/>
      <c r="E363" s="137"/>
      <c r="F363" s="138"/>
      <c r="G363" s="103"/>
      <c r="H363" s="71"/>
      <c r="I363" s="137"/>
      <c r="J363" s="138"/>
      <c r="K363" s="103"/>
      <c r="L363" s="71"/>
      <c r="M363" s="137"/>
      <c r="N363" s="125"/>
      <c r="O363" s="103"/>
      <c r="P363" s="71"/>
      <c r="Q363" s="189"/>
      <c r="R363" s="125"/>
      <c r="S363" s="103"/>
      <c r="T363" s="71"/>
      <c r="U363" s="189"/>
      <c r="V363" s="125"/>
      <c r="W363" s="103"/>
      <c r="X363" s="71"/>
      <c r="Y363" s="137"/>
      <c r="Z363" s="180"/>
      <c r="AA363" s="181"/>
      <c r="AB363" s="182"/>
      <c r="AC363" s="137"/>
      <c r="AD363" s="125"/>
      <c r="AE363" s="162"/>
      <c r="AF363" s="183"/>
      <c r="AG363" s="195"/>
      <c r="AH363" s="195"/>
      <c r="AI363" s="195"/>
      <c r="AJ363" s="195"/>
      <c r="AK363" s="71"/>
      <c r="AL363" s="71"/>
      <c r="AM363" s="71"/>
      <c r="AN363" s="71"/>
      <c r="AO363" s="71"/>
    </row>
    <row r="364">
      <c r="A364" s="137"/>
      <c r="B364" s="138"/>
      <c r="C364" s="103"/>
      <c r="D364" s="71"/>
      <c r="E364" s="137"/>
      <c r="F364" s="138"/>
      <c r="G364" s="103"/>
      <c r="H364" s="71"/>
      <c r="I364" s="137"/>
      <c r="J364" s="138"/>
      <c r="K364" s="103"/>
      <c r="L364" s="71"/>
      <c r="M364" s="137"/>
      <c r="N364" s="125"/>
      <c r="O364" s="103"/>
      <c r="P364" s="71"/>
      <c r="Q364" s="189"/>
      <c r="R364" s="125"/>
      <c r="S364" s="103"/>
      <c r="T364" s="71"/>
      <c r="U364" s="189"/>
      <c r="V364" s="125"/>
      <c r="W364" s="103"/>
      <c r="X364" s="71"/>
      <c r="Y364" s="137"/>
      <c r="Z364" s="180"/>
      <c r="AA364" s="181"/>
      <c r="AB364" s="182"/>
      <c r="AC364" s="137"/>
      <c r="AD364" s="125"/>
      <c r="AE364" s="162"/>
      <c r="AF364" s="183"/>
      <c r="AG364" s="195"/>
      <c r="AH364" s="195"/>
      <c r="AI364" s="195"/>
      <c r="AJ364" s="195"/>
      <c r="AK364" s="71"/>
      <c r="AL364" s="71"/>
      <c r="AM364" s="71"/>
      <c r="AN364" s="71"/>
      <c r="AO364" s="71"/>
    </row>
    <row r="365">
      <c r="A365" s="137"/>
      <c r="B365" s="138"/>
      <c r="C365" s="103"/>
      <c r="D365" s="71"/>
      <c r="E365" s="137"/>
      <c r="F365" s="138"/>
      <c r="G365" s="103"/>
      <c r="H365" s="71"/>
      <c r="I365" s="137"/>
      <c r="J365" s="138"/>
      <c r="K365" s="103"/>
      <c r="L365" s="71"/>
      <c r="M365" s="137"/>
      <c r="N365" s="125"/>
      <c r="O365" s="103"/>
      <c r="P365" s="71"/>
      <c r="Q365" s="189"/>
      <c r="R365" s="125"/>
      <c r="S365" s="103"/>
      <c r="T365" s="71"/>
      <c r="U365" s="189"/>
      <c r="V365" s="125"/>
      <c r="W365" s="103"/>
      <c r="X365" s="71"/>
      <c r="Y365" s="137"/>
      <c r="Z365" s="180"/>
      <c r="AA365" s="181"/>
      <c r="AB365" s="182"/>
      <c r="AC365" s="137"/>
      <c r="AD365" s="125"/>
      <c r="AE365" s="162"/>
      <c r="AF365" s="183"/>
      <c r="AG365" s="195"/>
      <c r="AH365" s="195"/>
      <c r="AI365" s="195"/>
      <c r="AJ365" s="195"/>
      <c r="AK365" s="71"/>
      <c r="AL365" s="71"/>
      <c r="AM365" s="71"/>
      <c r="AN365" s="71"/>
      <c r="AO365" s="71"/>
    </row>
    <row r="366">
      <c r="A366" s="137"/>
      <c r="B366" s="138"/>
      <c r="C366" s="103"/>
      <c r="D366" s="71"/>
      <c r="E366" s="137"/>
      <c r="F366" s="138"/>
      <c r="G366" s="103"/>
      <c r="H366" s="71"/>
      <c r="I366" s="137"/>
      <c r="J366" s="138"/>
      <c r="K366" s="103"/>
      <c r="L366" s="71"/>
      <c r="M366" s="137"/>
      <c r="N366" s="125"/>
      <c r="O366" s="103"/>
      <c r="P366" s="71"/>
      <c r="Q366" s="189"/>
      <c r="R366" s="125"/>
      <c r="S366" s="103"/>
      <c r="T366" s="71"/>
      <c r="U366" s="189"/>
      <c r="V366" s="125"/>
      <c r="W366" s="103"/>
      <c r="X366" s="71"/>
      <c r="Y366" s="137"/>
      <c r="Z366" s="180"/>
      <c r="AA366" s="181"/>
      <c r="AB366" s="182"/>
      <c r="AC366" s="137"/>
      <c r="AD366" s="125"/>
      <c r="AE366" s="162"/>
      <c r="AF366" s="183"/>
      <c r="AG366" s="195"/>
      <c r="AH366" s="195"/>
      <c r="AI366" s="195"/>
      <c r="AJ366" s="195"/>
      <c r="AK366" s="71"/>
      <c r="AL366" s="71"/>
      <c r="AM366" s="71"/>
      <c r="AN366" s="71"/>
      <c r="AO366" s="71"/>
    </row>
    <row r="367">
      <c r="A367" s="137"/>
      <c r="B367" s="138"/>
      <c r="C367" s="103"/>
      <c r="D367" s="71"/>
      <c r="E367" s="137"/>
      <c r="F367" s="138"/>
      <c r="G367" s="103"/>
      <c r="H367" s="71"/>
      <c r="I367" s="137"/>
      <c r="J367" s="138"/>
      <c r="K367" s="103"/>
      <c r="L367" s="71"/>
      <c r="M367" s="137"/>
      <c r="N367" s="125"/>
      <c r="O367" s="103"/>
      <c r="P367" s="71"/>
      <c r="Q367" s="189"/>
      <c r="R367" s="125"/>
      <c r="S367" s="103"/>
      <c r="T367" s="71"/>
      <c r="U367" s="189"/>
      <c r="V367" s="125"/>
      <c r="W367" s="103"/>
      <c r="X367" s="71"/>
      <c r="Y367" s="137"/>
      <c r="Z367" s="180"/>
      <c r="AA367" s="181"/>
      <c r="AB367" s="182"/>
      <c r="AC367" s="137"/>
      <c r="AD367" s="125"/>
      <c r="AE367" s="162"/>
      <c r="AF367" s="183"/>
      <c r="AG367" s="195"/>
      <c r="AH367" s="195"/>
      <c r="AI367" s="195"/>
      <c r="AJ367" s="195"/>
      <c r="AK367" s="71"/>
      <c r="AL367" s="71"/>
      <c r="AM367" s="71"/>
      <c r="AN367" s="71"/>
      <c r="AO367" s="71"/>
    </row>
    <row r="368">
      <c r="A368" s="137"/>
      <c r="B368" s="138"/>
      <c r="C368" s="103"/>
      <c r="D368" s="71"/>
      <c r="E368" s="137"/>
      <c r="F368" s="138"/>
      <c r="G368" s="103"/>
      <c r="H368" s="71"/>
      <c r="I368" s="137"/>
      <c r="J368" s="138"/>
      <c r="K368" s="103"/>
      <c r="L368" s="71"/>
      <c r="M368" s="137"/>
      <c r="N368" s="125"/>
      <c r="O368" s="103"/>
      <c r="P368" s="71"/>
      <c r="Q368" s="189"/>
      <c r="R368" s="125"/>
      <c r="S368" s="103"/>
      <c r="T368" s="71"/>
      <c r="U368" s="189"/>
      <c r="V368" s="125"/>
      <c r="W368" s="103"/>
      <c r="X368" s="71"/>
      <c r="Y368" s="137"/>
      <c r="Z368" s="180"/>
      <c r="AA368" s="181"/>
      <c r="AB368" s="182"/>
      <c r="AC368" s="137"/>
      <c r="AD368" s="125"/>
      <c r="AE368" s="162"/>
      <c r="AF368" s="183"/>
      <c r="AG368" s="195"/>
      <c r="AH368" s="195"/>
      <c r="AI368" s="195"/>
      <c r="AJ368" s="195"/>
      <c r="AK368" s="71"/>
      <c r="AL368" s="71"/>
      <c r="AM368" s="71"/>
      <c r="AN368" s="71"/>
      <c r="AO368" s="71"/>
    </row>
    <row r="369">
      <c r="A369" s="137"/>
      <c r="B369" s="138"/>
      <c r="C369" s="103"/>
      <c r="D369" s="71"/>
      <c r="E369" s="137"/>
      <c r="F369" s="138"/>
      <c r="G369" s="103"/>
      <c r="H369" s="71"/>
      <c r="I369" s="137"/>
      <c r="J369" s="138"/>
      <c r="K369" s="103"/>
      <c r="L369" s="71"/>
      <c r="M369" s="137"/>
      <c r="N369" s="125"/>
      <c r="O369" s="103"/>
      <c r="P369" s="71"/>
      <c r="Q369" s="189"/>
      <c r="R369" s="125"/>
      <c r="S369" s="103"/>
      <c r="T369" s="71"/>
      <c r="U369" s="189"/>
      <c r="V369" s="125"/>
      <c r="W369" s="103"/>
      <c r="X369" s="71"/>
      <c r="Y369" s="137"/>
      <c r="Z369" s="180"/>
      <c r="AA369" s="181"/>
      <c r="AB369" s="182"/>
      <c r="AC369" s="137"/>
      <c r="AD369" s="125"/>
      <c r="AE369" s="162"/>
      <c r="AF369" s="183"/>
      <c r="AG369" s="195"/>
      <c r="AH369" s="195"/>
      <c r="AI369" s="195"/>
      <c r="AJ369" s="195"/>
      <c r="AK369" s="71"/>
      <c r="AL369" s="71"/>
      <c r="AM369" s="71"/>
      <c r="AN369" s="71"/>
      <c r="AO369" s="71"/>
    </row>
    <row r="370">
      <c r="A370" s="137"/>
      <c r="B370" s="138"/>
      <c r="C370" s="103"/>
      <c r="D370" s="71"/>
      <c r="E370" s="137"/>
      <c r="F370" s="138"/>
      <c r="G370" s="103"/>
      <c r="H370" s="71"/>
      <c r="I370" s="137"/>
      <c r="J370" s="138"/>
      <c r="K370" s="103"/>
      <c r="L370" s="71"/>
      <c r="M370" s="137"/>
      <c r="N370" s="125"/>
      <c r="O370" s="103"/>
      <c r="P370" s="71"/>
      <c r="Q370" s="189"/>
      <c r="R370" s="125"/>
      <c r="S370" s="103"/>
      <c r="T370" s="71"/>
      <c r="U370" s="189"/>
      <c r="V370" s="125"/>
      <c r="W370" s="103"/>
      <c r="X370" s="71"/>
      <c r="Y370" s="137"/>
      <c r="Z370" s="180"/>
      <c r="AA370" s="181"/>
      <c r="AB370" s="182"/>
      <c r="AC370" s="137"/>
      <c r="AD370" s="125"/>
      <c r="AE370" s="162"/>
      <c r="AF370" s="183"/>
      <c r="AG370" s="195"/>
      <c r="AH370" s="195"/>
      <c r="AI370" s="195"/>
      <c r="AJ370" s="195"/>
      <c r="AK370" s="71"/>
      <c r="AL370" s="71"/>
      <c r="AM370" s="71"/>
      <c r="AN370" s="71"/>
      <c r="AO370" s="71"/>
    </row>
    <row r="371">
      <c r="A371" s="137"/>
      <c r="B371" s="138"/>
      <c r="C371" s="103"/>
      <c r="D371" s="71"/>
      <c r="E371" s="137"/>
      <c r="F371" s="138"/>
      <c r="G371" s="103"/>
      <c r="H371" s="71"/>
      <c r="I371" s="137"/>
      <c r="J371" s="138"/>
      <c r="K371" s="103"/>
      <c r="L371" s="71"/>
      <c r="M371" s="137"/>
      <c r="N371" s="125"/>
      <c r="O371" s="103"/>
      <c r="P371" s="71"/>
      <c r="Q371" s="189"/>
      <c r="R371" s="125"/>
      <c r="S371" s="103"/>
      <c r="T371" s="71"/>
      <c r="U371" s="189"/>
      <c r="V371" s="125"/>
      <c r="W371" s="103"/>
      <c r="X371" s="71"/>
      <c r="Y371" s="137"/>
      <c r="Z371" s="180"/>
      <c r="AA371" s="181"/>
      <c r="AB371" s="182"/>
      <c r="AC371" s="137"/>
      <c r="AD371" s="125"/>
      <c r="AE371" s="162"/>
      <c r="AF371" s="183"/>
      <c r="AG371" s="195"/>
      <c r="AH371" s="195"/>
      <c r="AI371" s="195"/>
      <c r="AJ371" s="195"/>
      <c r="AK371" s="71"/>
      <c r="AL371" s="71"/>
      <c r="AM371" s="71"/>
      <c r="AN371" s="71"/>
      <c r="AO371" s="71"/>
    </row>
    <row r="372">
      <c r="A372" s="137"/>
      <c r="B372" s="138"/>
      <c r="C372" s="103"/>
      <c r="D372" s="71"/>
      <c r="E372" s="137"/>
      <c r="F372" s="138"/>
      <c r="G372" s="103"/>
      <c r="H372" s="71"/>
      <c r="I372" s="137"/>
      <c r="J372" s="138"/>
      <c r="K372" s="103"/>
      <c r="L372" s="71"/>
      <c r="M372" s="137"/>
      <c r="N372" s="125"/>
      <c r="O372" s="103"/>
      <c r="P372" s="71"/>
      <c r="Q372" s="189"/>
      <c r="R372" s="125"/>
      <c r="S372" s="103"/>
      <c r="T372" s="71"/>
      <c r="U372" s="189"/>
      <c r="V372" s="125"/>
      <c r="W372" s="103"/>
      <c r="X372" s="71"/>
      <c r="Y372" s="137"/>
      <c r="Z372" s="180"/>
      <c r="AA372" s="181"/>
      <c r="AB372" s="182"/>
      <c r="AC372" s="137"/>
      <c r="AD372" s="125"/>
      <c r="AE372" s="162"/>
      <c r="AF372" s="183"/>
      <c r="AG372" s="195"/>
      <c r="AH372" s="195"/>
      <c r="AI372" s="195"/>
      <c r="AJ372" s="195"/>
      <c r="AK372" s="71"/>
      <c r="AL372" s="71"/>
      <c r="AM372" s="71"/>
      <c r="AN372" s="71"/>
      <c r="AO372" s="71"/>
    </row>
    <row r="373">
      <c r="A373" s="137"/>
      <c r="B373" s="138"/>
      <c r="C373" s="103"/>
      <c r="D373" s="71"/>
      <c r="E373" s="137"/>
      <c r="F373" s="138"/>
      <c r="G373" s="103"/>
      <c r="H373" s="71"/>
      <c r="I373" s="137"/>
      <c r="J373" s="138"/>
      <c r="K373" s="103"/>
      <c r="L373" s="71"/>
      <c r="M373" s="137"/>
      <c r="N373" s="125"/>
      <c r="O373" s="103"/>
      <c r="P373" s="71"/>
      <c r="Q373" s="189"/>
      <c r="R373" s="125"/>
      <c r="S373" s="103"/>
      <c r="T373" s="71"/>
      <c r="U373" s="189"/>
      <c r="V373" s="125"/>
      <c r="W373" s="103"/>
      <c r="X373" s="71"/>
      <c r="Y373" s="137"/>
      <c r="Z373" s="180"/>
      <c r="AA373" s="181"/>
      <c r="AB373" s="182"/>
      <c r="AC373" s="137"/>
      <c r="AD373" s="125"/>
      <c r="AE373" s="162"/>
      <c r="AF373" s="183"/>
      <c r="AG373" s="195"/>
      <c r="AH373" s="195"/>
      <c r="AI373" s="195"/>
      <c r="AJ373" s="195"/>
      <c r="AK373" s="71"/>
      <c r="AL373" s="71"/>
      <c r="AM373" s="71"/>
      <c r="AN373" s="71"/>
      <c r="AO373" s="71"/>
    </row>
    <row r="374">
      <c r="A374" s="137"/>
      <c r="B374" s="138"/>
      <c r="C374" s="103"/>
      <c r="D374" s="71"/>
      <c r="E374" s="137"/>
      <c r="F374" s="138"/>
      <c r="G374" s="103"/>
      <c r="H374" s="71"/>
      <c r="I374" s="137"/>
      <c r="J374" s="138"/>
      <c r="K374" s="103"/>
      <c r="L374" s="71"/>
      <c r="M374" s="137"/>
      <c r="N374" s="125"/>
      <c r="O374" s="103"/>
      <c r="P374" s="71"/>
      <c r="Q374" s="189"/>
      <c r="R374" s="125"/>
      <c r="S374" s="103"/>
      <c r="T374" s="71"/>
      <c r="U374" s="189"/>
      <c r="V374" s="125"/>
      <c r="W374" s="103"/>
      <c r="X374" s="71"/>
      <c r="Y374" s="137"/>
      <c r="Z374" s="180"/>
      <c r="AA374" s="181"/>
      <c r="AB374" s="182"/>
      <c r="AC374" s="137"/>
      <c r="AD374" s="125"/>
      <c r="AE374" s="162"/>
      <c r="AF374" s="183"/>
      <c r="AG374" s="195"/>
      <c r="AH374" s="195"/>
      <c r="AI374" s="195"/>
      <c r="AJ374" s="195"/>
      <c r="AK374" s="71"/>
      <c r="AL374" s="71"/>
      <c r="AM374" s="71"/>
      <c r="AN374" s="71"/>
      <c r="AO374" s="71"/>
    </row>
    <row r="375">
      <c r="A375" s="137"/>
      <c r="B375" s="138"/>
      <c r="C375" s="103"/>
      <c r="D375" s="71"/>
      <c r="E375" s="137"/>
      <c r="F375" s="138"/>
      <c r="G375" s="103"/>
      <c r="H375" s="71"/>
      <c r="I375" s="137"/>
      <c r="J375" s="138"/>
      <c r="K375" s="103"/>
      <c r="L375" s="71"/>
      <c r="M375" s="137"/>
      <c r="N375" s="125"/>
      <c r="O375" s="103"/>
      <c r="P375" s="71"/>
      <c r="Q375" s="189"/>
      <c r="R375" s="125"/>
      <c r="S375" s="103"/>
      <c r="T375" s="71"/>
      <c r="U375" s="189"/>
      <c r="V375" s="125"/>
      <c r="W375" s="103"/>
      <c r="X375" s="71"/>
      <c r="Y375" s="137"/>
      <c r="Z375" s="180"/>
      <c r="AA375" s="181"/>
      <c r="AB375" s="182"/>
      <c r="AC375" s="137"/>
      <c r="AD375" s="125"/>
      <c r="AE375" s="162"/>
      <c r="AF375" s="183"/>
      <c r="AG375" s="195"/>
      <c r="AH375" s="195"/>
      <c r="AI375" s="195"/>
      <c r="AJ375" s="195"/>
      <c r="AK375" s="71"/>
      <c r="AL375" s="71"/>
      <c r="AM375" s="71"/>
      <c r="AN375" s="71"/>
      <c r="AO375" s="71"/>
    </row>
    <row r="376">
      <c r="A376" s="137"/>
      <c r="B376" s="138"/>
      <c r="C376" s="103"/>
      <c r="D376" s="71"/>
      <c r="E376" s="137"/>
      <c r="F376" s="138"/>
      <c r="G376" s="103"/>
      <c r="H376" s="71"/>
      <c r="I376" s="137"/>
      <c r="J376" s="138"/>
      <c r="K376" s="103"/>
      <c r="L376" s="71"/>
      <c r="M376" s="137"/>
      <c r="N376" s="125"/>
      <c r="O376" s="103"/>
      <c r="P376" s="71"/>
      <c r="Q376" s="189"/>
      <c r="R376" s="125"/>
      <c r="S376" s="103"/>
      <c r="T376" s="71"/>
      <c r="U376" s="189"/>
      <c r="V376" s="125"/>
      <c r="W376" s="103"/>
      <c r="X376" s="71"/>
      <c r="Y376" s="137"/>
      <c r="Z376" s="180"/>
      <c r="AA376" s="181"/>
      <c r="AB376" s="182"/>
      <c r="AC376" s="137"/>
      <c r="AD376" s="125"/>
      <c r="AE376" s="162"/>
      <c r="AF376" s="183"/>
      <c r="AG376" s="195"/>
      <c r="AH376" s="195"/>
      <c r="AI376" s="195"/>
      <c r="AJ376" s="195"/>
      <c r="AK376" s="71"/>
      <c r="AL376" s="71"/>
      <c r="AM376" s="71"/>
      <c r="AN376" s="71"/>
      <c r="AO376" s="71"/>
    </row>
    <row r="377">
      <c r="A377" s="137"/>
      <c r="B377" s="138"/>
      <c r="C377" s="103"/>
      <c r="D377" s="71"/>
      <c r="E377" s="137"/>
      <c r="F377" s="138"/>
      <c r="G377" s="103"/>
      <c r="H377" s="71"/>
      <c r="I377" s="137"/>
      <c r="J377" s="138"/>
      <c r="K377" s="103"/>
      <c r="L377" s="71"/>
      <c r="M377" s="137"/>
      <c r="N377" s="125"/>
      <c r="O377" s="103"/>
      <c r="P377" s="71"/>
      <c r="Q377" s="189"/>
      <c r="R377" s="125"/>
      <c r="S377" s="103"/>
      <c r="T377" s="71"/>
      <c r="U377" s="189"/>
      <c r="V377" s="125"/>
      <c r="W377" s="103"/>
      <c r="X377" s="71"/>
      <c r="Y377" s="137"/>
      <c r="Z377" s="180"/>
      <c r="AA377" s="181"/>
      <c r="AB377" s="182"/>
      <c r="AC377" s="137"/>
      <c r="AD377" s="125"/>
      <c r="AE377" s="162"/>
      <c r="AF377" s="183"/>
      <c r="AG377" s="195"/>
      <c r="AH377" s="195"/>
      <c r="AI377" s="195"/>
      <c r="AJ377" s="195"/>
      <c r="AK377" s="71"/>
      <c r="AL377" s="71"/>
      <c r="AM377" s="71"/>
      <c r="AN377" s="71"/>
      <c r="AO377" s="71"/>
    </row>
    <row r="378">
      <c r="A378" s="137"/>
      <c r="B378" s="138"/>
      <c r="C378" s="103"/>
      <c r="D378" s="71"/>
      <c r="E378" s="137"/>
      <c r="F378" s="138"/>
      <c r="G378" s="103"/>
      <c r="H378" s="71"/>
      <c r="I378" s="137"/>
      <c r="J378" s="138"/>
      <c r="K378" s="103"/>
      <c r="L378" s="71"/>
      <c r="M378" s="137"/>
      <c r="N378" s="125"/>
      <c r="O378" s="103"/>
      <c r="P378" s="71"/>
      <c r="Q378" s="189"/>
      <c r="R378" s="125"/>
      <c r="S378" s="103"/>
      <c r="T378" s="71"/>
      <c r="U378" s="189"/>
      <c r="V378" s="125"/>
      <c r="W378" s="103"/>
      <c r="X378" s="71"/>
      <c r="Y378" s="137"/>
      <c r="Z378" s="180"/>
      <c r="AA378" s="181"/>
      <c r="AB378" s="182"/>
      <c r="AC378" s="137"/>
      <c r="AD378" s="125"/>
      <c r="AE378" s="162"/>
      <c r="AF378" s="183"/>
      <c r="AG378" s="195"/>
      <c r="AH378" s="195"/>
      <c r="AI378" s="195"/>
      <c r="AJ378" s="195"/>
      <c r="AK378" s="71"/>
      <c r="AL378" s="71"/>
      <c r="AM378" s="71"/>
      <c r="AN378" s="71"/>
      <c r="AO378" s="71"/>
    </row>
    <row r="379">
      <c r="A379" s="137"/>
      <c r="B379" s="138"/>
      <c r="C379" s="103"/>
      <c r="D379" s="71"/>
      <c r="E379" s="137"/>
      <c r="F379" s="138"/>
      <c r="G379" s="103"/>
      <c r="H379" s="71"/>
      <c r="I379" s="137"/>
      <c r="J379" s="138"/>
      <c r="K379" s="103"/>
      <c r="L379" s="71"/>
      <c r="M379" s="137"/>
      <c r="N379" s="125"/>
      <c r="O379" s="103"/>
      <c r="P379" s="71"/>
      <c r="Q379" s="189"/>
      <c r="R379" s="125"/>
      <c r="S379" s="103"/>
      <c r="T379" s="71"/>
      <c r="U379" s="189"/>
      <c r="V379" s="125"/>
      <c r="W379" s="103"/>
      <c r="X379" s="71"/>
      <c r="Y379" s="137"/>
      <c r="Z379" s="180"/>
      <c r="AA379" s="181"/>
      <c r="AB379" s="182"/>
      <c r="AC379" s="137"/>
      <c r="AD379" s="125"/>
      <c r="AE379" s="162"/>
      <c r="AF379" s="183"/>
      <c r="AG379" s="195"/>
      <c r="AH379" s="195"/>
      <c r="AI379" s="195"/>
      <c r="AJ379" s="195"/>
      <c r="AK379" s="71"/>
      <c r="AL379" s="71"/>
      <c r="AM379" s="71"/>
      <c r="AN379" s="71"/>
      <c r="AO379" s="71"/>
    </row>
    <row r="380">
      <c r="A380" s="137"/>
      <c r="B380" s="138"/>
      <c r="C380" s="103"/>
      <c r="D380" s="71"/>
      <c r="E380" s="137"/>
      <c r="F380" s="138"/>
      <c r="G380" s="103"/>
      <c r="H380" s="71"/>
      <c r="I380" s="137"/>
      <c r="J380" s="138"/>
      <c r="K380" s="103"/>
      <c r="L380" s="71"/>
      <c r="M380" s="137"/>
      <c r="N380" s="125"/>
      <c r="O380" s="103"/>
      <c r="P380" s="71"/>
      <c r="Q380" s="189"/>
      <c r="R380" s="125"/>
      <c r="S380" s="103"/>
      <c r="T380" s="71"/>
      <c r="U380" s="189"/>
      <c r="V380" s="125"/>
      <c r="W380" s="103"/>
      <c r="X380" s="71"/>
      <c r="Y380" s="137"/>
      <c r="Z380" s="180"/>
      <c r="AA380" s="181"/>
      <c r="AB380" s="182"/>
      <c r="AC380" s="137"/>
      <c r="AD380" s="125"/>
      <c r="AE380" s="162"/>
      <c r="AF380" s="183"/>
      <c r="AG380" s="195"/>
      <c r="AH380" s="195"/>
      <c r="AI380" s="195"/>
      <c r="AJ380" s="195"/>
      <c r="AK380" s="71"/>
      <c r="AL380" s="71"/>
      <c r="AM380" s="71"/>
      <c r="AN380" s="71"/>
      <c r="AO380" s="71"/>
    </row>
    <row r="381">
      <c r="A381" s="137"/>
      <c r="B381" s="138"/>
      <c r="C381" s="103"/>
      <c r="D381" s="71"/>
      <c r="E381" s="137"/>
      <c r="F381" s="138"/>
      <c r="G381" s="103"/>
      <c r="H381" s="71"/>
      <c r="I381" s="137"/>
      <c r="J381" s="138"/>
      <c r="K381" s="103"/>
      <c r="L381" s="71"/>
      <c r="M381" s="137"/>
      <c r="N381" s="125"/>
      <c r="O381" s="103"/>
      <c r="P381" s="71"/>
      <c r="Q381" s="189"/>
      <c r="R381" s="125"/>
      <c r="S381" s="103"/>
      <c r="T381" s="71"/>
      <c r="U381" s="189"/>
      <c r="V381" s="125"/>
      <c r="W381" s="103"/>
      <c r="X381" s="71"/>
      <c r="Y381" s="137"/>
      <c r="Z381" s="180"/>
      <c r="AA381" s="181"/>
      <c r="AB381" s="182"/>
      <c r="AC381" s="137"/>
      <c r="AD381" s="125"/>
      <c r="AE381" s="162"/>
      <c r="AF381" s="183"/>
      <c r="AG381" s="195"/>
      <c r="AH381" s="195"/>
      <c r="AI381" s="195"/>
      <c r="AJ381" s="195"/>
      <c r="AK381" s="71"/>
      <c r="AL381" s="71"/>
      <c r="AM381" s="71"/>
      <c r="AN381" s="71"/>
      <c r="AO381" s="71"/>
    </row>
    <row r="382">
      <c r="A382" s="137"/>
      <c r="B382" s="138"/>
      <c r="C382" s="103"/>
      <c r="D382" s="71"/>
      <c r="E382" s="137"/>
      <c r="F382" s="138"/>
      <c r="G382" s="103"/>
      <c r="H382" s="71"/>
      <c r="I382" s="137"/>
      <c r="J382" s="138"/>
      <c r="K382" s="103"/>
      <c r="L382" s="71"/>
      <c r="M382" s="137"/>
      <c r="N382" s="125"/>
      <c r="O382" s="103"/>
      <c r="P382" s="71"/>
      <c r="Q382" s="189"/>
      <c r="R382" s="125"/>
      <c r="S382" s="103"/>
      <c r="T382" s="71"/>
      <c r="U382" s="189"/>
      <c r="V382" s="125"/>
      <c r="W382" s="103"/>
      <c r="X382" s="71"/>
      <c r="Y382" s="137"/>
      <c r="Z382" s="180"/>
      <c r="AA382" s="181"/>
      <c r="AB382" s="182"/>
      <c r="AC382" s="137"/>
      <c r="AD382" s="125"/>
      <c r="AE382" s="162"/>
      <c r="AF382" s="183"/>
      <c r="AG382" s="195"/>
      <c r="AH382" s="195"/>
      <c r="AI382" s="195"/>
      <c r="AJ382" s="195"/>
      <c r="AK382" s="71"/>
      <c r="AL382" s="71"/>
      <c r="AM382" s="71"/>
      <c r="AN382" s="71"/>
      <c r="AO382" s="71"/>
    </row>
    <row r="383">
      <c r="A383" s="137"/>
      <c r="B383" s="138"/>
      <c r="C383" s="103"/>
      <c r="D383" s="71"/>
      <c r="E383" s="137"/>
      <c r="F383" s="138"/>
      <c r="G383" s="103"/>
      <c r="H383" s="71"/>
      <c r="I383" s="137"/>
      <c r="J383" s="138"/>
      <c r="K383" s="103"/>
      <c r="L383" s="71"/>
      <c r="M383" s="137"/>
      <c r="N383" s="125"/>
      <c r="O383" s="103"/>
      <c r="P383" s="71"/>
      <c r="Q383" s="189"/>
      <c r="R383" s="125"/>
      <c r="S383" s="103"/>
      <c r="T383" s="71"/>
      <c r="U383" s="189"/>
      <c r="V383" s="125"/>
      <c r="W383" s="103"/>
      <c r="X383" s="71"/>
      <c r="Y383" s="137"/>
      <c r="Z383" s="180"/>
      <c r="AA383" s="181"/>
      <c r="AB383" s="182"/>
      <c r="AC383" s="137"/>
      <c r="AD383" s="125"/>
      <c r="AE383" s="162"/>
      <c r="AF383" s="183"/>
      <c r="AG383" s="195"/>
      <c r="AH383" s="195"/>
      <c r="AI383" s="195"/>
      <c r="AJ383" s="195"/>
      <c r="AK383" s="71"/>
      <c r="AL383" s="71"/>
      <c r="AM383" s="71"/>
      <c r="AN383" s="71"/>
      <c r="AO383" s="71"/>
    </row>
    <row r="384">
      <c r="A384" s="137"/>
      <c r="B384" s="138"/>
      <c r="C384" s="103"/>
      <c r="D384" s="71"/>
      <c r="E384" s="137"/>
      <c r="F384" s="138"/>
      <c r="G384" s="103"/>
      <c r="H384" s="71"/>
      <c r="I384" s="137"/>
      <c r="J384" s="138"/>
      <c r="K384" s="103"/>
      <c r="L384" s="71"/>
      <c r="M384" s="137"/>
      <c r="N384" s="125"/>
      <c r="O384" s="103"/>
      <c r="P384" s="71"/>
      <c r="Q384" s="189"/>
      <c r="R384" s="125"/>
      <c r="S384" s="103"/>
      <c r="T384" s="71"/>
      <c r="U384" s="189"/>
      <c r="V384" s="125"/>
      <c r="W384" s="103"/>
      <c r="X384" s="71"/>
      <c r="Y384" s="137"/>
      <c r="Z384" s="180"/>
      <c r="AA384" s="181"/>
      <c r="AB384" s="182"/>
      <c r="AC384" s="137"/>
      <c r="AD384" s="125"/>
      <c r="AE384" s="162"/>
      <c r="AF384" s="183"/>
      <c r="AG384" s="195"/>
      <c r="AH384" s="195"/>
      <c r="AI384" s="195"/>
      <c r="AJ384" s="195"/>
      <c r="AK384" s="71"/>
      <c r="AL384" s="71"/>
      <c r="AM384" s="71"/>
      <c r="AN384" s="71"/>
      <c r="AO384" s="71"/>
    </row>
    <row r="385">
      <c r="A385" s="137"/>
      <c r="B385" s="138"/>
      <c r="C385" s="103"/>
      <c r="D385" s="71"/>
      <c r="E385" s="137"/>
      <c r="F385" s="138"/>
      <c r="G385" s="103"/>
      <c r="H385" s="71"/>
      <c r="I385" s="137"/>
      <c r="J385" s="138"/>
      <c r="K385" s="103"/>
      <c r="L385" s="71"/>
      <c r="M385" s="137"/>
      <c r="N385" s="125"/>
      <c r="O385" s="103"/>
      <c r="P385" s="71"/>
      <c r="Q385" s="189"/>
      <c r="R385" s="125"/>
      <c r="S385" s="103"/>
      <c r="T385" s="71"/>
      <c r="U385" s="189"/>
      <c r="V385" s="125"/>
      <c r="W385" s="103"/>
      <c r="X385" s="71"/>
      <c r="Y385" s="137"/>
      <c r="Z385" s="180"/>
      <c r="AA385" s="181"/>
      <c r="AB385" s="182"/>
      <c r="AC385" s="137"/>
      <c r="AD385" s="125"/>
      <c r="AE385" s="162"/>
      <c r="AF385" s="183"/>
      <c r="AG385" s="195"/>
      <c r="AH385" s="195"/>
      <c r="AI385" s="195"/>
      <c r="AJ385" s="195"/>
      <c r="AK385" s="71"/>
      <c r="AL385" s="71"/>
      <c r="AM385" s="71"/>
      <c r="AN385" s="71"/>
      <c r="AO385" s="71"/>
    </row>
    <row r="386">
      <c r="A386" s="137"/>
      <c r="B386" s="138"/>
      <c r="C386" s="103"/>
      <c r="D386" s="71"/>
      <c r="E386" s="137"/>
      <c r="F386" s="138"/>
      <c r="G386" s="103"/>
      <c r="H386" s="71"/>
      <c r="I386" s="137"/>
      <c r="J386" s="138"/>
      <c r="K386" s="103"/>
      <c r="L386" s="71"/>
      <c r="M386" s="137"/>
      <c r="N386" s="125"/>
      <c r="O386" s="103"/>
      <c r="P386" s="71"/>
      <c r="Q386" s="189"/>
      <c r="R386" s="125"/>
      <c r="S386" s="103"/>
      <c r="T386" s="71"/>
      <c r="U386" s="189"/>
      <c r="V386" s="125"/>
      <c r="W386" s="103"/>
      <c r="X386" s="71"/>
      <c r="Y386" s="137"/>
      <c r="Z386" s="180"/>
      <c r="AA386" s="181"/>
      <c r="AB386" s="182"/>
      <c r="AC386" s="137"/>
      <c r="AD386" s="125"/>
      <c r="AE386" s="162"/>
      <c r="AF386" s="183"/>
      <c r="AG386" s="195"/>
      <c r="AH386" s="195"/>
      <c r="AI386" s="195"/>
      <c r="AJ386" s="195"/>
      <c r="AK386" s="71"/>
      <c r="AL386" s="71"/>
      <c r="AM386" s="71"/>
      <c r="AN386" s="71"/>
      <c r="AO386" s="71"/>
    </row>
    <row r="387">
      <c r="A387" s="137"/>
      <c r="B387" s="138"/>
      <c r="C387" s="103"/>
      <c r="D387" s="71"/>
      <c r="E387" s="137"/>
      <c r="F387" s="138"/>
      <c r="G387" s="103"/>
      <c r="H387" s="71"/>
      <c r="I387" s="137"/>
      <c r="J387" s="138"/>
      <c r="K387" s="103"/>
      <c r="L387" s="71"/>
      <c r="M387" s="137"/>
      <c r="N387" s="125"/>
      <c r="O387" s="103"/>
      <c r="P387" s="71"/>
      <c r="Q387" s="189"/>
      <c r="R387" s="125"/>
      <c r="S387" s="103"/>
      <c r="T387" s="71"/>
      <c r="U387" s="189"/>
      <c r="V387" s="125"/>
      <c r="W387" s="103"/>
      <c r="X387" s="71"/>
      <c r="Y387" s="137"/>
      <c r="Z387" s="180"/>
      <c r="AA387" s="181"/>
      <c r="AB387" s="182"/>
      <c r="AC387" s="137"/>
      <c r="AD387" s="125"/>
      <c r="AE387" s="162"/>
      <c r="AF387" s="183"/>
      <c r="AG387" s="195"/>
      <c r="AH387" s="195"/>
      <c r="AI387" s="195"/>
      <c r="AJ387" s="195"/>
      <c r="AK387" s="71"/>
      <c r="AL387" s="71"/>
      <c r="AM387" s="71"/>
      <c r="AN387" s="71"/>
      <c r="AO387" s="71"/>
    </row>
    <row r="388">
      <c r="A388" s="137"/>
      <c r="B388" s="138"/>
      <c r="C388" s="103"/>
      <c r="D388" s="71"/>
      <c r="E388" s="137"/>
      <c r="F388" s="138"/>
      <c r="G388" s="103"/>
      <c r="H388" s="71"/>
      <c r="I388" s="137"/>
      <c r="J388" s="138"/>
      <c r="K388" s="103"/>
      <c r="L388" s="71"/>
      <c r="M388" s="137"/>
      <c r="N388" s="125"/>
      <c r="O388" s="103"/>
      <c r="P388" s="71"/>
      <c r="Q388" s="189"/>
      <c r="R388" s="125"/>
      <c r="S388" s="103"/>
      <c r="T388" s="71"/>
      <c r="U388" s="189"/>
      <c r="V388" s="125"/>
      <c r="W388" s="103"/>
      <c r="X388" s="71"/>
      <c r="Y388" s="137"/>
      <c r="Z388" s="180"/>
      <c r="AA388" s="181"/>
      <c r="AB388" s="182"/>
      <c r="AC388" s="137"/>
      <c r="AD388" s="125"/>
      <c r="AE388" s="162"/>
      <c r="AF388" s="183"/>
      <c r="AG388" s="195"/>
      <c r="AH388" s="195"/>
      <c r="AI388" s="195"/>
      <c r="AJ388" s="195"/>
      <c r="AK388" s="71"/>
      <c r="AL388" s="71"/>
      <c r="AM388" s="71"/>
      <c r="AN388" s="71"/>
      <c r="AO388" s="71"/>
    </row>
    <row r="389">
      <c r="A389" s="137"/>
      <c r="B389" s="138"/>
      <c r="C389" s="103"/>
      <c r="D389" s="71"/>
      <c r="E389" s="137"/>
      <c r="F389" s="138"/>
      <c r="G389" s="103"/>
      <c r="H389" s="71"/>
      <c r="I389" s="137"/>
      <c r="J389" s="138"/>
      <c r="K389" s="103"/>
      <c r="L389" s="71"/>
      <c r="M389" s="137"/>
      <c r="N389" s="125"/>
      <c r="O389" s="103"/>
      <c r="P389" s="71"/>
      <c r="Q389" s="189"/>
      <c r="R389" s="125"/>
      <c r="S389" s="103"/>
      <c r="T389" s="71"/>
      <c r="U389" s="189"/>
      <c r="V389" s="125"/>
      <c r="W389" s="103"/>
      <c r="X389" s="71"/>
      <c r="Y389" s="137"/>
      <c r="Z389" s="180"/>
      <c r="AA389" s="181"/>
      <c r="AB389" s="182"/>
      <c r="AC389" s="137"/>
      <c r="AD389" s="125"/>
      <c r="AE389" s="162"/>
      <c r="AF389" s="183"/>
      <c r="AG389" s="195"/>
      <c r="AH389" s="195"/>
      <c r="AI389" s="195"/>
      <c r="AJ389" s="195"/>
      <c r="AK389" s="71"/>
      <c r="AL389" s="71"/>
      <c r="AM389" s="71"/>
      <c r="AN389" s="71"/>
      <c r="AO389" s="71"/>
    </row>
    <row r="390">
      <c r="A390" s="137"/>
      <c r="B390" s="138"/>
      <c r="C390" s="103"/>
      <c r="D390" s="71"/>
      <c r="E390" s="137"/>
      <c r="F390" s="138"/>
      <c r="G390" s="103"/>
      <c r="H390" s="71"/>
      <c r="I390" s="137"/>
      <c r="J390" s="138"/>
      <c r="K390" s="103"/>
      <c r="L390" s="71"/>
      <c r="M390" s="137"/>
      <c r="N390" s="125"/>
      <c r="O390" s="103"/>
      <c r="P390" s="71"/>
      <c r="Q390" s="189"/>
      <c r="R390" s="125"/>
      <c r="S390" s="103"/>
      <c r="T390" s="71"/>
      <c r="U390" s="189"/>
      <c r="V390" s="125"/>
      <c r="W390" s="103"/>
      <c r="X390" s="71"/>
      <c r="Y390" s="137"/>
      <c r="Z390" s="180"/>
      <c r="AA390" s="181"/>
      <c r="AB390" s="182"/>
      <c r="AC390" s="137"/>
      <c r="AD390" s="125"/>
      <c r="AE390" s="162"/>
      <c r="AF390" s="183"/>
      <c r="AG390" s="195"/>
      <c r="AH390" s="195"/>
      <c r="AI390" s="195"/>
      <c r="AJ390" s="195"/>
      <c r="AK390" s="71"/>
      <c r="AL390" s="71"/>
      <c r="AM390" s="71"/>
      <c r="AN390" s="71"/>
      <c r="AO390" s="71"/>
    </row>
    <row r="391">
      <c r="A391" s="137"/>
      <c r="B391" s="138"/>
      <c r="C391" s="103"/>
      <c r="D391" s="71"/>
      <c r="E391" s="137"/>
      <c r="F391" s="138"/>
      <c r="G391" s="103"/>
      <c r="H391" s="71"/>
      <c r="I391" s="137"/>
      <c r="J391" s="138"/>
      <c r="K391" s="103"/>
      <c r="L391" s="71"/>
      <c r="M391" s="137"/>
      <c r="N391" s="125"/>
      <c r="O391" s="103"/>
      <c r="P391" s="71"/>
      <c r="Q391" s="189"/>
      <c r="R391" s="125"/>
      <c r="S391" s="103"/>
      <c r="T391" s="71"/>
      <c r="U391" s="189"/>
      <c r="V391" s="125"/>
      <c r="W391" s="103"/>
      <c r="X391" s="71"/>
      <c r="Y391" s="137"/>
      <c r="Z391" s="180"/>
      <c r="AA391" s="181"/>
      <c r="AB391" s="182"/>
      <c r="AC391" s="137"/>
      <c r="AD391" s="125"/>
      <c r="AE391" s="162"/>
      <c r="AF391" s="183"/>
      <c r="AG391" s="195"/>
      <c r="AH391" s="195"/>
      <c r="AI391" s="195"/>
      <c r="AJ391" s="195"/>
      <c r="AK391" s="71"/>
      <c r="AL391" s="71"/>
      <c r="AM391" s="71"/>
      <c r="AN391" s="71"/>
      <c r="AO391" s="71"/>
    </row>
    <row r="392">
      <c r="A392" s="137"/>
      <c r="B392" s="138"/>
      <c r="C392" s="103"/>
      <c r="D392" s="71"/>
      <c r="E392" s="137"/>
      <c r="F392" s="138"/>
      <c r="G392" s="103"/>
      <c r="H392" s="71"/>
      <c r="I392" s="137"/>
      <c r="J392" s="138"/>
      <c r="K392" s="103"/>
      <c r="L392" s="71"/>
      <c r="M392" s="137"/>
      <c r="N392" s="125"/>
      <c r="O392" s="103"/>
      <c r="P392" s="71"/>
      <c r="Q392" s="189"/>
      <c r="R392" s="125"/>
      <c r="S392" s="103"/>
      <c r="T392" s="71"/>
      <c r="U392" s="189"/>
      <c r="V392" s="125"/>
      <c r="W392" s="103"/>
      <c r="X392" s="71"/>
      <c r="Y392" s="137"/>
      <c r="Z392" s="180"/>
      <c r="AA392" s="181"/>
      <c r="AB392" s="182"/>
      <c r="AC392" s="137"/>
      <c r="AD392" s="125"/>
      <c r="AE392" s="162"/>
      <c r="AF392" s="183"/>
      <c r="AG392" s="195"/>
      <c r="AH392" s="195"/>
      <c r="AI392" s="195"/>
      <c r="AJ392" s="195"/>
      <c r="AK392" s="71"/>
      <c r="AL392" s="71"/>
      <c r="AM392" s="71"/>
      <c r="AN392" s="71"/>
      <c r="AO392" s="71"/>
    </row>
    <row r="393">
      <c r="A393" s="137"/>
      <c r="B393" s="138"/>
      <c r="C393" s="103"/>
      <c r="D393" s="71"/>
      <c r="E393" s="137"/>
      <c r="F393" s="138"/>
      <c r="G393" s="103"/>
      <c r="H393" s="71"/>
      <c r="I393" s="137"/>
      <c r="J393" s="138"/>
      <c r="K393" s="103"/>
      <c r="L393" s="71"/>
      <c r="M393" s="137"/>
      <c r="N393" s="125"/>
      <c r="O393" s="103"/>
      <c r="P393" s="71"/>
      <c r="Q393" s="189"/>
      <c r="R393" s="125"/>
      <c r="S393" s="103"/>
      <c r="T393" s="71"/>
      <c r="U393" s="189"/>
      <c r="V393" s="125"/>
      <c r="W393" s="103"/>
      <c r="X393" s="71"/>
      <c r="Y393" s="137"/>
      <c r="Z393" s="180"/>
      <c r="AA393" s="181"/>
      <c r="AB393" s="182"/>
      <c r="AC393" s="137"/>
      <c r="AD393" s="125"/>
      <c r="AE393" s="162"/>
      <c r="AF393" s="183"/>
      <c r="AG393" s="195"/>
      <c r="AH393" s="195"/>
      <c r="AI393" s="195"/>
      <c r="AJ393" s="195"/>
      <c r="AK393" s="71"/>
      <c r="AL393" s="71"/>
      <c r="AM393" s="71"/>
      <c r="AN393" s="71"/>
      <c r="AO393" s="71"/>
    </row>
    <row r="394">
      <c r="A394" s="137"/>
      <c r="B394" s="138"/>
      <c r="C394" s="103"/>
      <c r="D394" s="71"/>
      <c r="E394" s="137"/>
      <c r="F394" s="138"/>
      <c r="G394" s="103"/>
      <c r="H394" s="71"/>
      <c r="I394" s="137"/>
      <c r="J394" s="138"/>
      <c r="K394" s="103"/>
      <c r="L394" s="71"/>
      <c r="M394" s="137"/>
      <c r="N394" s="125"/>
      <c r="O394" s="103"/>
      <c r="P394" s="71"/>
      <c r="Q394" s="189"/>
      <c r="R394" s="125"/>
      <c r="S394" s="103"/>
      <c r="T394" s="71"/>
      <c r="U394" s="189"/>
      <c r="V394" s="125"/>
      <c r="W394" s="103"/>
      <c r="X394" s="71"/>
      <c r="Y394" s="137"/>
      <c r="Z394" s="180"/>
      <c r="AA394" s="181"/>
      <c r="AB394" s="182"/>
      <c r="AC394" s="137"/>
      <c r="AD394" s="125"/>
      <c r="AE394" s="162"/>
      <c r="AF394" s="183"/>
      <c r="AG394" s="195"/>
      <c r="AH394" s="195"/>
      <c r="AI394" s="195"/>
      <c r="AJ394" s="195"/>
      <c r="AK394" s="71"/>
      <c r="AL394" s="71"/>
      <c r="AM394" s="71"/>
      <c r="AN394" s="71"/>
      <c r="AO394" s="71"/>
    </row>
    <row r="395">
      <c r="A395" s="137"/>
      <c r="B395" s="138"/>
      <c r="C395" s="103"/>
      <c r="D395" s="71"/>
      <c r="E395" s="137"/>
      <c r="F395" s="138"/>
      <c r="G395" s="103"/>
      <c r="H395" s="71"/>
      <c r="I395" s="137"/>
      <c r="J395" s="138"/>
      <c r="K395" s="103"/>
      <c r="L395" s="71"/>
      <c r="M395" s="137"/>
      <c r="N395" s="125"/>
      <c r="O395" s="103"/>
      <c r="P395" s="71"/>
      <c r="Q395" s="189"/>
      <c r="R395" s="125"/>
      <c r="S395" s="103"/>
      <c r="T395" s="71"/>
      <c r="U395" s="189"/>
      <c r="V395" s="125"/>
      <c r="W395" s="103"/>
      <c r="X395" s="71"/>
      <c r="Y395" s="137"/>
      <c r="Z395" s="180"/>
      <c r="AA395" s="181"/>
      <c r="AB395" s="182"/>
      <c r="AC395" s="137"/>
      <c r="AD395" s="125"/>
      <c r="AE395" s="162"/>
      <c r="AF395" s="183"/>
      <c r="AG395" s="195"/>
      <c r="AH395" s="195"/>
      <c r="AI395" s="195"/>
      <c r="AJ395" s="195"/>
      <c r="AK395" s="71"/>
      <c r="AL395" s="71"/>
      <c r="AM395" s="71"/>
      <c r="AN395" s="71"/>
      <c r="AO395" s="71"/>
    </row>
    <row r="396">
      <c r="A396" s="137"/>
      <c r="B396" s="138"/>
      <c r="C396" s="103"/>
      <c r="D396" s="71"/>
      <c r="E396" s="137"/>
      <c r="F396" s="138"/>
      <c r="G396" s="103"/>
      <c r="H396" s="71"/>
      <c r="I396" s="137"/>
      <c r="J396" s="138"/>
      <c r="K396" s="103"/>
      <c r="L396" s="71"/>
      <c r="M396" s="137"/>
      <c r="N396" s="125"/>
      <c r="O396" s="103"/>
      <c r="P396" s="71"/>
      <c r="Q396" s="189"/>
      <c r="R396" s="125"/>
      <c r="S396" s="103"/>
      <c r="T396" s="71"/>
      <c r="U396" s="189"/>
      <c r="V396" s="125"/>
      <c r="W396" s="103"/>
      <c r="X396" s="71"/>
      <c r="Y396" s="137"/>
      <c r="Z396" s="180"/>
      <c r="AA396" s="181"/>
      <c r="AB396" s="182"/>
      <c r="AC396" s="137"/>
      <c r="AD396" s="125"/>
      <c r="AE396" s="162"/>
      <c r="AF396" s="183"/>
      <c r="AG396" s="195"/>
      <c r="AH396" s="195"/>
      <c r="AI396" s="195"/>
      <c r="AJ396" s="195"/>
      <c r="AK396" s="71"/>
      <c r="AL396" s="71"/>
      <c r="AM396" s="71"/>
      <c r="AN396" s="71"/>
      <c r="AO396" s="71"/>
    </row>
    <row r="397">
      <c r="A397" s="137"/>
      <c r="B397" s="138"/>
      <c r="C397" s="103"/>
      <c r="D397" s="71"/>
      <c r="E397" s="137"/>
      <c r="F397" s="138"/>
      <c r="G397" s="103"/>
      <c r="H397" s="71"/>
      <c r="I397" s="137"/>
      <c r="J397" s="138"/>
      <c r="K397" s="103"/>
      <c r="L397" s="71"/>
      <c r="M397" s="137"/>
      <c r="N397" s="125"/>
      <c r="O397" s="103"/>
      <c r="P397" s="71"/>
      <c r="Q397" s="189"/>
      <c r="R397" s="125"/>
      <c r="S397" s="103"/>
      <c r="T397" s="71"/>
      <c r="U397" s="189"/>
      <c r="V397" s="125"/>
      <c r="W397" s="103"/>
      <c r="X397" s="71"/>
      <c r="Y397" s="137"/>
      <c r="Z397" s="180"/>
      <c r="AA397" s="181"/>
      <c r="AB397" s="182"/>
      <c r="AC397" s="137"/>
      <c r="AD397" s="125"/>
      <c r="AE397" s="162"/>
      <c r="AF397" s="183"/>
      <c r="AG397" s="195"/>
      <c r="AH397" s="195"/>
      <c r="AI397" s="195"/>
      <c r="AJ397" s="195"/>
      <c r="AK397" s="71"/>
      <c r="AL397" s="71"/>
      <c r="AM397" s="71"/>
      <c r="AN397" s="71"/>
      <c r="AO397" s="71"/>
    </row>
    <row r="398">
      <c r="A398" s="137"/>
      <c r="B398" s="138"/>
      <c r="C398" s="103"/>
      <c r="D398" s="71"/>
      <c r="E398" s="137"/>
      <c r="F398" s="138"/>
      <c r="G398" s="103"/>
      <c r="H398" s="71"/>
      <c r="I398" s="137"/>
      <c r="J398" s="138"/>
      <c r="K398" s="103"/>
      <c r="L398" s="71"/>
      <c r="M398" s="137"/>
      <c r="N398" s="125"/>
      <c r="O398" s="103"/>
      <c r="P398" s="71"/>
      <c r="Q398" s="189"/>
      <c r="R398" s="125"/>
      <c r="S398" s="103"/>
      <c r="T398" s="71"/>
      <c r="U398" s="189"/>
      <c r="V398" s="125"/>
      <c r="W398" s="103"/>
      <c r="X398" s="71"/>
      <c r="Y398" s="137"/>
      <c r="Z398" s="180"/>
      <c r="AA398" s="181"/>
      <c r="AB398" s="182"/>
      <c r="AC398" s="137"/>
      <c r="AD398" s="125"/>
      <c r="AE398" s="162"/>
      <c r="AF398" s="183"/>
      <c r="AG398" s="195"/>
      <c r="AH398" s="195"/>
      <c r="AI398" s="195"/>
      <c r="AJ398" s="195"/>
      <c r="AK398" s="71"/>
      <c r="AL398" s="71"/>
      <c r="AM398" s="71"/>
      <c r="AN398" s="71"/>
      <c r="AO398" s="71"/>
    </row>
    <row r="399">
      <c r="A399" s="137"/>
      <c r="B399" s="138"/>
      <c r="C399" s="103"/>
      <c r="D399" s="71"/>
      <c r="E399" s="137"/>
      <c r="F399" s="138"/>
      <c r="G399" s="103"/>
      <c r="H399" s="71"/>
      <c r="I399" s="137"/>
      <c r="J399" s="138"/>
      <c r="K399" s="103"/>
      <c r="L399" s="71"/>
      <c r="M399" s="137"/>
      <c r="N399" s="125"/>
      <c r="O399" s="103"/>
      <c r="P399" s="71"/>
      <c r="Q399" s="189"/>
      <c r="R399" s="125"/>
      <c r="S399" s="103"/>
      <c r="T399" s="71"/>
      <c r="U399" s="189"/>
      <c r="V399" s="125"/>
      <c r="W399" s="103"/>
      <c r="X399" s="71"/>
      <c r="Y399" s="137"/>
      <c r="Z399" s="180"/>
      <c r="AA399" s="181"/>
      <c r="AB399" s="182"/>
      <c r="AC399" s="137"/>
      <c r="AD399" s="125"/>
      <c r="AE399" s="162"/>
      <c r="AF399" s="183"/>
      <c r="AG399" s="195"/>
      <c r="AH399" s="195"/>
      <c r="AI399" s="195"/>
      <c r="AJ399" s="195"/>
      <c r="AK399" s="71"/>
      <c r="AL399" s="71"/>
      <c r="AM399" s="71"/>
      <c r="AN399" s="71"/>
      <c r="AO399" s="71"/>
    </row>
    <row r="400">
      <c r="A400" s="137"/>
      <c r="B400" s="138"/>
      <c r="C400" s="103"/>
      <c r="D400" s="71"/>
      <c r="E400" s="137"/>
      <c r="F400" s="138"/>
      <c r="G400" s="103"/>
      <c r="H400" s="71"/>
      <c r="I400" s="137"/>
      <c r="J400" s="138"/>
      <c r="K400" s="103"/>
      <c r="L400" s="71"/>
      <c r="M400" s="137"/>
      <c r="N400" s="125"/>
      <c r="O400" s="103"/>
      <c r="P400" s="71"/>
      <c r="Q400" s="189"/>
      <c r="R400" s="125"/>
      <c r="S400" s="103"/>
      <c r="T400" s="71"/>
      <c r="U400" s="189"/>
      <c r="V400" s="125"/>
      <c r="W400" s="103"/>
      <c r="X400" s="71"/>
      <c r="Y400" s="137"/>
      <c r="Z400" s="180"/>
      <c r="AA400" s="181"/>
      <c r="AB400" s="182"/>
      <c r="AC400" s="137"/>
      <c r="AD400" s="125"/>
      <c r="AE400" s="162"/>
      <c r="AF400" s="183"/>
      <c r="AG400" s="195"/>
      <c r="AH400" s="195"/>
      <c r="AI400" s="195"/>
      <c r="AJ400" s="195"/>
      <c r="AK400" s="71"/>
      <c r="AL400" s="71"/>
      <c r="AM400" s="71"/>
      <c r="AN400" s="71"/>
      <c r="AO400" s="71"/>
    </row>
    <row r="401">
      <c r="A401" s="137"/>
      <c r="B401" s="138"/>
      <c r="C401" s="103"/>
      <c r="D401" s="71"/>
      <c r="E401" s="137"/>
      <c r="F401" s="138"/>
      <c r="G401" s="103"/>
      <c r="H401" s="71"/>
      <c r="I401" s="137"/>
      <c r="J401" s="138"/>
      <c r="K401" s="103"/>
      <c r="L401" s="71"/>
      <c r="M401" s="137"/>
      <c r="N401" s="125"/>
      <c r="O401" s="103"/>
      <c r="P401" s="71"/>
      <c r="Q401" s="189"/>
      <c r="R401" s="125"/>
      <c r="S401" s="103"/>
      <c r="T401" s="71"/>
      <c r="U401" s="189"/>
      <c r="V401" s="125"/>
      <c r="W401" s="103"/>
      <c r="X401" s="71"/>
      <c r="Y401" s="137"/>
      <c r="Z401" s="180"/>
      <c r="AA401" s="181"/>
      <c r="AB401" s="182"/>
      <c r="AC401" s="137"/>
      <c r="AD401" s="125"/>
      <c r="AE401" s="162"/>
      <c r="AF401" s="183"/>
      <c r="AG401" s="195"/>
      <c r="AH401" s="195"/>
      <c r="AI401" s="195"/>
      <c r="AJ401" s="195"/>
      <c r="AK401" s="71"/>
      <c r="AL401" s="71"/>
      <c r="AM401" s="71"/>
      <c r="AN401" s="71"/>
      <c r="AO401" s="71"/>
    </row>
    <row r="402">
      <c r="A402" s="137"/>
      <c r="B402" s="138"/>
      <c r="C402" s="103"/>
      <c r="D402" s="71"/>
      <c r="E402" s="137"/>
      <c r="F402" s="138"/>
      <c r="G402" s="103"/>
      <c r="H402" s="71"/>
      <c r="I402" s="137"/>
      <c r="J402" s="138"/>
      <c r="K402" s="103"/>
      <c r="L402" s="71"/>
      <c r="M402" s="137"/>
      <c r="N402" s="125"/>
      <c r="O402" s="103"/>
      <c r="P402" s="71"/>
      <c r="Q402" s="189"/>
      <c r="R402" s="125"/>
      <c r="S402" s="103"/>
      <c r="T402" s="71"/>
      <c r="U402" s="189"/>
      <c r="V402" s="125"/>
      <c r="W402" s="103"/>
      <c r="X402" s="71"/>
      <c r="Y402" s="137"/>
      <c r="Z402" s="180"/>
      <c r="AA402" s="181"/>
      <c r="AB402" s="182"/>
      <c r="AC402" s="137"/>
      <c r="AD402" s="125"/>
      <c r="AE402" s="162"/>
      <c r="AF402" s="183"/>
      <c r="AG402" s="195"/>
      <c r="AH402" s="195"/>
      <c r="AI402" s="195"/>
      <c r="AJ402" s="195"/>
      <c r="AK402" s="71"/>
      <c r="AL402" s="71"/>
      <c r="AM402" s="71"/>
      <c r="AN402" s="71"/>
      <c r="AO402" s="71"/>
    </row>
    <row r="403">
      <c r="A403" s="137"/>
      <c r="B403" s="138"/>
      <c r="C403" s="103"/>
      <c r="D403" s="71"/>
      <c r="E403" s="137"/>
      <c r="F403" s="138"/>
      <c r="G403" s="103"/>
      <c r="H403" s="71"/>
      <c r="I403" s="137"/>
      <c r="J403" s="138"/>
      <c r="K403" s="103"/>
      <c r="L403" s="71"/>
      <c r="M403" s="137"/>
      <c r="N403" s="125"/>
      <c r="O403" s="103"/>
      <c r="P403" s="71"/>
      <c r="Q403" s="189"/>
      <c r="R403" s="125"/>
      <c r="S403" s="103"/>
      <c r="T403" s="71"/>
      <c r="U403" s="189"/>
      <c r="V403" s="125"/>
      <c r="W403" s="103"/>
      <c r="X403" s="71"/>
      <c r="Y403" s="137"/>
      <c r="Z403" s="180"/>
      <c r="AA403" s="181"/>
      <c r="AB403" s="182"/>
      <c r="AC403" s="137"/>
      <c r="AD403" s="125"/>
      <c r="AE403" s="162"/>
      <c r="AF403" s="183"/>
      <c r="AG403" s="195"/>
      <c r="AH403" s="195"/>
      <c r="AI403" s="195"/>
      <c r="AJ403" s="195"/>
      <c r="AK403" s="71"/>
      <c r="AL403" s="71"/>
      <c r="AM403" s="71"/>
      <c r="AN403" s="71"/>
      <c r="AO403" s="71"/>
    </row>
    <row r="404">
      <c r="A404" s="137"/>
      <c r="B404" s="138"/>
      <c r="C404" s="103"/>
      <c r="D404" s="71"/>
      <c r="E404" s="137"/>
      <c r="F404" s="138"/>
      <c r="G404" s="103"/>
      <c r="H404" s="71"/>
      <c r="I404" s="137"/>
      <c r="J404" s="138"/>
      <c r="K404" s="103"/>
      <c r="L404" s="71"/>
      <c r="M404" s="137"/>
      <c r="N404" s="125"/>
      <c r="O404" s="103"/>
      <c r="P404" s="71"/>
      <c r="Q404" s="189"/>
      <c r="R404" s="125"/>
      <c r="S404" s="103"/>
      <c r="T404" s="71"/>
      <c r="U404" s="189"/>
      <c r="V404" s="125"/>
      <c r="W404" s="103"/>
      <c r="X404" s="71"/>
      <c r="Y404" s="137"/>
      <c r="Z404" s="180"/>
      <c r="AA404" s="181"/>
      <c r="AB404" s="182"/>
      <c r="AC404" s="137"/>
      <c r="AD404" s="125"/>
      <c r="AE404" s="162"/>
      <c r="AF404" s="183"/>
      <c r="AG404" s="195"/>
      <c r="AH404" s="195"/>
      <c r="AI404" s="195"/>
      <c r="AJ404" s="195"/>
      <c r="AK404" s="71"/>
      <c r="AL404" s="71"/>
      <c r="AM404" s="71"/>
      <c r="AN404" s="71"/>
      <c r="AO404" s="71"/>
    </row>
    <row r="405">
      <c r="A405" s="137"/>
      <c r="B405" s="138"/>
      <c r="C405" s="103"/>
      <c r="D405" s="71"/>
      <c r="E405" s="137"/>
      <c r="F405" s="138"/>
      <c r="G405" s="103"/>
      <c r="H405" s="71"/>
      <c r="I405" s="137"/>
      <c r="J405" s="138"/>
      <c r="K405" s="103"/>
      <c r="L405" s="71"/>
      <c r="M405" s="137"/>
      <c r="N405" s="125"/>
      <c r="O405" s="103"/>
      <c r="P405" s="71"/>
      <c r="Q405" s="189"/>
      <c r="R405" s="125"/>
      <c r="S405" s="103"/>
      <c r="T405" s="71"/>
      <c r="U405" s="189"/>
      <c r="V405" s="125"/>
      <c r="W405" s="103"/>
      <c r="X405" s="71"/>
      <c r="Y405" s="137"/>
      <c r="Z405" s="180"/>
      <c r="AA405" s="181"/>
      <c r="AB405" s="182"/>
      <c r="AC405" s="137"/>
      <c r="AD405" s="125"/>
      <c r="AE405" s="162"/>
      <c r="AF405" s="183"/>
      <c r="AG405" s="195"/>
      <c r="AH405" s="195"/>
      <c r="AI405" s="195"/>
      <c r="AJ405" s="195"/>
      <c r="AK405" s="71"/>
      <c r="AL405" s="71"/>
      <c r="AM405" s="71"/>
      <c r="AN405" s="71"/>
      <c r="AO405" s="71"/>
    </row>
    <row r="406">
      <c r="A406" s="137"/>
      <c r="B406" s="138"/>
      <c r="C406" s="103"/>
      <c r="D406" s="71"/>
      <c r="E406" s="137"/>
      <c r="F406" s="138"/>
      <c r="G406" s="103"/>
      <c r="H406" s="71"/>
      <c r="I406" s="137"/>
      <c r="J406" s="138"/>
      <c r="K406" s="103"/>
      <c r="L406" s="71"/>
      <c r="M406" s="137"/>
      <c r="N406" s="125"/>
      <c r="O406" s="103"/>
      <c r="P406" s="71"/>
      <c r="Q406" s="189"/>
      <c r="R406" s="125"/>
      <c r="S406" s="103"/>
      <c r="T406" s="71"/>
      <c r="U406" s="189"/>
      <c r="V406" s="125"/>
      <c r="W406" s="103"/>
      <c r="X406" s="71"/>
      <c r="Y406" s="137"/>
      <c r="Z406" s="180"/>
      <c r="AA406" s="181"/>
      <c r="AB406" s="182"/>
      <c r="AC406" s="137"/>
      <c r="AD406" s="125"/>
      <c r="AE406" s="162"/>
      <c r="AF406" s="183"/>
      <c r="AG406" s="195"/>
      <c r="AH406" s="195"/>
      <c r="AI406" s="195"/>
      <c r="AJ406" s="195"/>
      <c r="AK406" s="71"/>
      <c r="AL406" s="71"/>
      <c r="AM406" s="71"/>
      <c r="AN406" s="71"/>
      <c r="AO406" s="71"/>
    </row>
    <row r="407">
      <c r="A407" s="137"/>
      <c r="B407" s="138"/>
      <c r="C407" s="103"/>
      <c r="D407" s="71"/>
      <c r="E407" s="137"/>
      <c r="F407" s="138"/>
      <c r="G407" s="103"/>
      <c r="H407" s="71"/>
      <c r="I407" s="137"/>
      <c r="J407" s="138"/>
      <c r="K407" s="103"/>
      <c r="L407" s="71"/>
      <c r="M407" s="137"/>
      <c r="N407" s="125"/>
      <c r="O407" s="103"/>
      <c r="P407" s="71"/>
      <c r="Q407" s="189"/>
      <c r="R407" s="125"/>
      <c r="S407" s="103"/>
      <c r="T407" s="71"/>
      <c r="U407" s="189"/>
      <c r="V407" s="125"/>
      <c r="W407" s="103"/>
      <c r="X407" s="71"/>
      <c r="Y407" s="137"/>
      <c r="Z407" s="180"/>
      <c r="AA407" s="181"/>
      <c r="AB407" s="182"/>
      <c r="AC407" s="137"/>
      <c r="AD407" s="125"/>
      <c r="AE407" s="162"/>
      <c r="AF407" s="183"/>
      <c r="AG407" s="195"/>
      <c r="AH407" s="195"/>
      <c r="AI407" s="195"/>
      <c r="AJ407" s="195"/>
      <c r="AK407" s="71"/>
      <c r="AL407" s="71"/>
      <c r="AM407" s="71"/>
      <c r="AN407" s="71"/>
      <c r="AO407" s="71"/>
    </row>
    <row r="408">
      <c r="A408" s="137"/>
      <c r="B408" s="138"/>
      <c r="C408" s="103"/>
      <c r="D408" s="71"/>
      <c r="E408" s="137"/>
      <c r="F408" s="138"/>
      <c r="G408" s="103"/>
      <c r="H408" s="71"/>
      <c r="I408" s="137"/>
      <c r="J408" s="138"/>
      <c r="K408" s="103"/>
      <c r="L408" s="71"/>
      <c r="M408" s="137"/>
      <c r="N408" s="125"/>
      <c r="O408" s="103"/>
      <c r="P408" s="71"/>
      <c r="Q408" s="189"/>
      <c r="R408" s="125"/>
      <c r="S408" s="103"/>
      <c r="T408" s="71"/>
      <c r="U408" s="189"/>
      <c r="V408" s="125"/>
      <c r="W408" s="103"/>
      <c r="X408" s="71"/>
      <c r="Y408" s="137"/>
      <c r="Z408" s="180"/>
      <c r="AA408" s="181"/>
      <c r="AB408" s="182"/>
      <c r="AC408" s="137"/>
      <c r="AD408" s="125"/>
      <c r="AE408" s="162"/>
      <c r="AF408" s="183"/>
      <c r="AG408" s="195"/>
      <c r="AH408" s="195"/>
      <c r="AI408" s="195"/>
      <c r="AJ408" s="195"/>
      <c r="AK408" s="71"/>
      <c r="AL408" s="71"/>
      <c r="AM408" s="71"/>
      <c r="AN408" s="71"/>
      <c r="AO408" s="71"/>
    </row>
    <row r="409">
      <c r="A409" s="137"/>
      <c r="B409" s="138"/>
      <c r="C409" s="103"/>
      <c r="D409" s="71"/>
      <c r="E409" s="137"/>
      <c r="F409" s="138"/>
      <c r="G409" s="103"/>
      <c r="H409" s="71"/>
      <c r="I409" s="137"/>
      <c r="J409" s="138"/>
      <c r="K409" s="103"/>
      <c r="L409" s="71"/>
      <c r="M409" s="137"/>
      <c r="N409" s="125"/>
      <c r="O409" s="103"/>
      <c r="P409" s="71"/>
      <c r="Q409" s="189"/>
      <c r="R409" s="125"/>
      <c r="S409" s="103"/>
      <c r="T409" s="71"/>
      <c r="U409" s="189"/>
      <c r="V409" s="125"/>
      <c r="W409" s="103"/>
      <c r="X409" s="71"/>
      <c r="Y409" s="137"/>
      <c r="Z409" s="180"/>
      <c r="AA409" s="181"/>
      <c r="AB409" s="182"/>
      <c r="AC409" s="137"/>
      <c r="AD409" s="125"/>
      <c r="AE409" s="162"/>
      <c r="AF409" s="183"/>
      <c r="AG409" s="195"/>
      <c r="AH409" s="195"/>
      <c r="AI409" s="195"/>
      <c r="AJ409" s="195"/>
      <c r="AK409" s="71"/>
      <c r="AL409" s="71"/>
      <c r="AM409" s="71"/>
      <c r="AN409" s="71"/>
      <c r="AO409" s="71"/>
    </row>
    <row r="410">
      <c r="A410" s="137"/>
      <c r="B410" s="138"/>
      <c r="C410" s="103"/>
      <c r="D410" s="71"/>
      <c r="E410" s="137"/>
      <c r="F410" s="138"/>
      <c r="G410" s="103"/>
      <c r="H410" s="71"/>
      <c r="I410" s="137"/>
      <c r="J410" s="138"/>
      <c r="K410" s="103"/>
      <c r="L410" s="71"/>
      <c r="M410" s="137"/>
      <c r="N410" s="125"/>
      <c r="O410" s="103"/>
      <c r="P410" s="71"/>
      <c r="Q410" s="189"/>
      <c r="R410" s="125"/>
      <c r="S410" s="103"/>
      <c r="T410" s="71"/>
      <c r="U410" s="189"/>
      <c r="V410" s="125"/>
      <c r="W410" s="103"/>
      <c r="X410" s="71"/>
      <c r="Y410" s="137"/>
      <c r="Z410" s="180"/>
      <c r="AA410" s="181"/>
      <c r="AB410" s="182"/>
      <c r="AC410" s="137"/>
      <c r="AD410" s="125"/>
      <c r="AE410" s="162"/>
      <c r="AF410" s="183"/>
      <c r="AG410" s="195"/>
      <c r="AH410" s="195"/>
      <c r="AI410" s="195"/>
      <c r="AJ410" s="195"/>
      <c r="AK410" s="71"/>
      <c r="AL410" s="71"/>
      <c r="AM410" s="71"/>
      <c r="AN410" s="71"/>
      <c r="AO410" s="71"/>
    </row>
    <row r="411">
      <c r="A411" s="137"/>
      <c r="B411" s="138"/>
      <c r="C411" s="103"/>
      <c r="D411" s="71"/>
      <c r="E411" s="137"/>
      <c r="F411" s="138"/>
      <c r="G411" s="103"/>
      <c r="H411" s="71"/>
      <c r="I411" s="137"/>
      <c r="J411" s="138"/>
      <c r="K411" s="103"/>
      <c r="L411" s="71"/>
      <c r="M411" s="137"/>
      <c r="N411" s="125"/>
      <c r="O411" s="103"/>
      <c r="P411" s="71"/>
      <c r="Q411" s="189"/>
      <c r="R411" s="125"/>
      <c r="S411" s="103"/>
      <c r="T411" s="71"/>
      <c r="U411" s="189"/>
      <c r="V411" s="125"/>
      <c r="W411" s="103"/>
      <c r="X411" s="71"/>
      <c r="Y411" s="137"/>
      <c r="Z411" s="180"/>
      <c r="AA411" s="181"/>
      <c r="AB411" s="182"/>
      <c r="AC411" s="137"/>
      <c r="AD411" s="125"/>
      <c r="AE411" s="162"/>
      <c r="AF411" s="183"/>
      <c r="AG411" s="195"/>
      <c r="AH411" s="195"/>
      <c r="AI411" s="195"/>
      <c r="AJ411" s="195"/>
      <c r="AK411" s="71"/>
      <c r="AL411" s="71"/>
      <c r="AM411" s="71"/>
      <c r="AN411" s="71"/>
      <c r="AO411" s="71"/>
    </row>
    <row r="412">
      <c r="A412" s="137"/>
      <c r="B412" s="138"/>
      <c r="C412" s="103"/>
      <c r="D412" s="71"/>
      <c r="E412" s="137"/>
      <c r="F412" s="138"/>
      <c r="G412" s="103"/>
      <c r="H412" s="71"/>
      <c r="I412" s="137"/>
      <c r="J412" s="138"/>
      <c r="K412" s="103"/>
      <c r="L412" s="71"/>
      <c r="M412" s="137"/>
      <c r="N412" s="125"/>
      <c r="O412" s="103"/>
      <c r="P412" s="71"/>
      <c r="Q412" s="189"/>
      <c r="R412" s="125"/>
      <c r="S412" s="103"/>
      <c r="T412" s="71"/>
      <c r="U412" s="189"/>
      <c r="V412" s="125"/>
      <c r="W412" s="103"/>
      <c r="X412" s="71"/>
      <c r="Y412" s="137"/>
      <c r="Z412" s="180"/>
      <c r="AA412" s="181"/>
      <c r="AB412" s="182"/>
      <c r="AC412" s="137"/>
      <c r="AD412" s="125"/>
      <c r="AE412" s="162"/>
      <c r="AF412" s="183"/>
      <c r="AG412" s="195"/>
      <c r="AH412" s="195"/>
      <c r="AI412" s="195"/>
      <c r="AJ412" s="195"/>
      <c r="AK412" s="71"/>
      <c r="AL412" s="71"/>
      <c r="AM412" s="71"/>
      <c r="AN412" s="71"/>
      <c r="AO412" s="71"/>
    </row>
    <row r="413">
      <c r="A413" s="137"/>
      <c r="B413" s="138"/>
      <c r="C413" s="103"/>
      <c r="D413" s="71"/>
      <c r="E413" s="137"/>
      <c r="F413" s="138"/>
      <c r="G413" s="103"/>
      <c r="H413" s="71"/>
      <c r="I413" s="137"/>
      <c r="J413" s="138"/>
      <c r="K413" s="103"/>
      <c r="L413" s="71"/>
      <c r="M413" s="137"/>
      <c r="N413" s="125"/>
      <c r="O413" s="103"/>
      <c r="P413" s="71"/>
      <c r="Q413" s="189"/>
      <c r="R413" s="125"/>
      <c r="S413" s="103"/>
      <c r="T413" s="71"/>
      <c r="U413" s="189"/>
      <c r="V413" s="125"/>
      <c r="W413" s="103"/>
      <c r="X413" s="71"/>
      <c r="Y413" s="137"/>
      <c r="Z413" s="180"/>
      <c r="AA413" s="181"/>
      <c r="AB413" s="182"/>
      <c r="AC413" s="137"/>
      <c r="AD413" s="125"/>
      <c r="AE413" s="162"/>
      <c r="AF413" s="183"/>
      <c r="AG413" s="195"/>
      <c r="AH413" s="195"/>
      <c r="AI413" s="195"/>
      <c r="AJ413" s="195"/>
      <c r="AK413" s="71"/>
      <c r="AL413" s="71"/>
      <c r="AM413" s="71"/>
      <c r="AN413" s="71"/>
      <c r="AO413" s="71"/>
    </row>
    <row r="414">
      <c r="A414" s="137"/>
      <c r="B414" s="138"/>
      <c r="C414" s="103"/>
      <c r="D414" s="71"/>
      <c r="E414" s="137"/>
      <c r="F414" s="138"/>
      <c r="G414" s="103"/>
      <c r="H414" s="71"/>
      <c r="I414" s="137"/>
      <c r="J414" s="138"/>
      <c r="K414" s="103"/>
      <c r="L414" s="71"/>
      <c r="M414" s="137"/>
      <c r="N414" s="125"/>
      <c r="O414" s="103"/>
      <c r="P414" s="71"/>
      <c r="Q414" s="189"/>
      <c r="R414" s="125"/>
      <c r="S414" s="103"/>
      <c r="T414" s="71"/>
      <c r="U414" s="189"/>
      <c r="V414" s="125"/>
      <c r="W414" s="103"/>
      <c r="X414" s="71"/>
      <c r="Y414" s="137"/>
      <c r="Z414" s="180"/>
      <c r="AA414" s="181"/>
      <c r="AB414" s="182"/>
      <c r="AC414" s="137"/>
      <c r="AD414" s="125"/>
      <c r="AE414" s="162"/>
      <c r="AF414" s="183"/>
      <c r="AG414" s="195"/>
      <c r="AH414" s="195"/>
      <c r="AI414" s="195"/>
      <c r="AJ414" s="195"/>
      <c r="AK414" s="71"/>
      <c r="AL414" s="71"/>
      <c r="AM414" s="71"/>
      <c r="AN414" s="71"/>
      <c r="AO414" s="71"/>
    </row>
    <row r="415">
      <c r="A415" s="137"/>
      <c r="B415" s="138"/>
      <c r="C415" s="103"/>
      <c r="D415" s="71"/>
      <c r="E415" s="137"/>
      <c r="F415" s="138"/>
      <c r="G415" s="103"/>
      <c r="H415" s="71"/>
      <c r="I415" s="137"/>
      <c r="J415" s="138"/>
      <c r="K415" s="103"/>
      <c r="L415" s="71"/>
      <c r="M415" s="137"/>
      <c r="N415" s="125"/>
      <c r="O415" s="103"/>
      <c r="P415" s="71"/>
      <c r="Q415" s="189"/>
      <c r="R415" s="125"/>
      <c r="S415" s="103"/>
      <c r="T415" s="71"/>
      <c r="U415" s="189"/>
      <c r="V415" s="125"/>
      <c r="W415" s="103"/>
      <c r="X415" s="71"/>
      <c r="Y415" s="137"/>
      <c r="Z415" s="180"/>
      <c r="AA415" s="181"/>
      <c r="AB415" s="182"/>
      <c r="AC415" s="137"/>
      <c r="AD415" s="125"/>
      <c r="AE415" s="162"/>
      <c r="AF415" s="183"/>
      <c r="AG415" s="195"/>
      <c r="AH415" s="195"/>
      <c r="AI415" s="195"/>
      <c r="AJ415" s="195"/>
      <c r="AK415" s="71"/>
      <c r="AL415" s="71"/>
      <c r="AM415" s="71"/>
      <c r="AN415" s="71"/>
      <c r="AO415" s="71"/>
    </row>
    <row r="416">
      <c r="A416" s="137"/>
      <c r="B416" s="138"/>
      <c r="C416" s="103"/>
      <c r="D416" s="71"/>
      <c r="E416" s="137"/>
      <c r="F416" s="138"/>
      <c r="G416" s="103"/>
      <c r="H416" s="71"/>
      <c r="I416" s="137"/>
      <c r="J416" s="138"/>
      <c r="K416" s="103"/>
      <c r="L416" s="71"/>
      <c r="M416" s="137"/>
      <c r="N416" s="125"/>
      <c r="O416" s="103"/>
      <c r="P416" s="71"/>
      <c r="Q416" s="189"/>
      <c r="R416" s="125"/>
      <c r="S416" s="103"/>
      <c r="T416" s="71"/>
      <c r="U416" s="189"/>
      <c r="V416" s="125"/>
      <c r="W416" s="103"/>
      <c r="X416" s="71"/>
      <c r="Y416" s="137"/>
      <c r="Z416" s="180"/>
      <c r="AA416" s="181"/>
      <c r="AB416" s="182"/>
      <c r="AC416" s="137"/>
      <c r="AD416" s="125"/>
      <c r="AE416" s="162"/>
      <c r="AF416" s="183"/>
      <c r="AG416" s="195"/>
      <c r="AH416" s="195"/>
      <c r="AI416" s="195"/>
      <c r="AJ416" s="195"/>
      <c r="AK416" s="71"/>
      <c r="AL416" s="71"/>
      <c r="AM416" s="71"/>
      <c r="AN416" s="71"/>
      <c r="AO416" s="71"/>
    </row>
    <row r="417">
      <c r="A417" s="137"/>
      <c r="B417" s="138"/>
      <c r="C417" s="103"/>
      <c r="D417" s="71"/>
      <c r="E417" s="137"/>
      <c r="F417" s="138"/>
      <c r="G417" s="103"/>
      <c r="H417" s="71"/>
      <c r="I417" s="137"/>
      <c r="J417" s="138"/>
      <c r="K417" s="103"/>
      <c r="L417" s="71"/>
      <c r="M417" s="137"/>
      <c r="N417" s="125"/>
      <c r="O417" s="103"/>
      <c r="P417" s="71"/>
      <c r="Q417" s="189"/>
      <c r="R417" s="125"/>
      <c r="S417" s="103"/>
      <c r="T417" s="71"/>
      <c r="U417" s="189"/>
      <c r="V417" s="125"/>
      <c r="W417" s="103"/>
      <c r="X417" s="71"/>
      <c r="Y417" s="137"/>
      <c r="Z417" s="180"/>
      <c r="AA417" s="181"/>
      <c r="AB417" s="182"/>
      <c r="AC417" s="137"/>
      <c r="AD417" s="125"/>
      <c r="AE417" s="162"/>
      <c r="AF417" s="183"/>
      <c r="AG417" s="195"/>
      <c r="AH417" s="195"/>
      <c r="AI417" s="195"/>
      <c r="AJ417" s="195"/>
      <c r="AK417" s="71"/>
      <c r="AL417" s="71"/>
      <c r="AM417" s="71"/>
      <c r="AN417" s="71"/>
      <c r="AO417" s="71"/>
    </row>
    <row r="418">
      <c r="A418" s="137"/>
      <c r="B418" s="138"/>
      <c r="C418" s="103"/>
      <c r="D418" s="71"/>
      <c r="E418" s="137"/>
      <c r="F418" s="138"/>
      <c r="G418" s="103"/>
      <c r="H418" s="71"/>
      <c r="I418" s="137"/>
      <c r="J418" s="138"/>
      <c r="K418" s="103"/>
      <c r="L418" s="71"/>
      <c r="M418" s="137"/>
      <c r="N418" s="125"/>
      <c r="O418" s="103"/>
      <c r="P418" s="71"/>
      <c r="Q418" s="189"/>
      <c r="R418" s="125"/>
      <c r="S418" s="103"/>
      <c r="T418" s="71"/>
      <c r="U418" s="189"/>
      <c r="V418" s="125"/>
      <c r="W418" s="103"/>
      <c r="X418" s="71"/>
      <c r="Y418" s="137"/>
      <c r="Z418" s="180"/>
      <c r="AA418" s="181"/>
      <c r="AB418" s="182"/>
      <c r="AC418" s="137"/>
      <c r="AD418" s="125"/>
      <c r="AE418" s="162"/>
      <c r="AF418" s="183"/>
      <c r="AG418" s="195"/>
      <c r="AH418" s="195"/>
      <c r="AI418" s="195"/>
      <c r="AJ418" s="195"/>
      <c r="AK418" s="71"/>
      <c r="AL418" s="71"/>
      <c r="AM418" s="71"/>
      <c r="AN418" s="71"/>
      <c r="AO418" s="71"/>
    </row>
    <row r="419">
      <c r="A419" s="137"/>
      <c r="B419" s="138"/>
      <c r="C419" s="103"/>
      <c r="D419" s="71"/>
      <c r="E419" s="137"/>
      <c r="F419" s="138"/>
      <c r="G419" s="103"/>
      <c r="H419" s="71"/>
      <c r="I419" s="137"/>
      <c r="J419" s="138"/>
      <c r="K419" s="103"/>
      <c r="L419" s="71"/>
      <c r="M419" s="137"/>
      <c r="N419" s="125"/>
      <c r="O419" s="103"/>
      <c r="P419" s="71"/>
      <c r="Q419" s="189"/>
      <c r="R419" s="125"/>
      <c r="S419" s="103"/>
      <c r="T419" s="71"/>
      <c r="U419" s="189"/>
      <c r="V419" s="125"/>
      <c r="W419" s="103"/>
      <c r="X419" s="71"/>
      <c r="Y419" s="137"/>
      <c r="Z419" s="180"/>
      <c r="AA419" s="181"/>
      <c r="AB419" s="182"/>
      <c r="AC419" s="137"/>
      <c r="AD419" s="125"/>
      <c r="AE419" s="162"/>
      <c r="AF419" s="183"/>
      <c r="AG419" s="195"/>
      <c r="AH419" s="195"/>
      <c r="AI419" s="195"/>
      <c r="AJ419" s="195"/>
      <c r="AK419" s="71"/>
      <c r="AL419" s="71"/>
      <c r="AM419" s="71"/>
      <c r="AN419" s="71"/>
      <c r="AO419" s="71"/>
    </row>
    <row r="420">
      <c r="A420" s="137"/>
      <c r="B420" s="138"/>
      <c r="C420" s="103"/>
      <c r="D420" s="71"/>
      <c r="E420" s="137"/>
      <c r="F420" s="138"/>
      <c r="G420" s="103"/>
      <c r="H420" s="71"/>
      <c r="I420" s="137"/>
      <c r="J420" s="138"/>
      <c r="K420" s="103"/>
      <c r="L420" s="71"/>
      <c r="M420" s="137"/>
      <c r="N420" s="125"/>
      <c r="O420" s="103"/>
      <c r="P420" s="71"/>
      <c r="Q420" s="189"/>
      <c r="R420" s="125"/>
      <c r="S420" s="103"/>
      <c r="T420" s="71"/>
      <c r="U420" s="189"/>
      <c r="V420" s="125"/>
      <c r="W420" s="103"/>
      <c r="X420" s="71"/>
      <c r="Y420" s="137"/>
      <c r="Z420" s="180"/>
      <c r="AA420" s="181"/>
      <c r="AB420" s="182"/>
      <c r="AC420" s="137"/>
      <c r="AD420" s="125"/>
      <c r="AE420" s="162"/>
      <c r="AF420" s="183"/>
      <c r="AG420" s="195"/>
      <c r="AH420" s="195"/>
      <c r="AI420" s="195"/>
      <c r="AJ420" s="195"/>
      <c r="AK420" s="71"/>
      <c r="AL420" s="71"/>
      <c r="AM420" s="71"/>
      <c r="AN420" s="71"/>
      <c r="AO420" s="71"/>
    </row>
    <row r="421">
      <c r="A421" s="137"/>
      <c r="B421" s="138"/>
      <c r="C421" s="103"/>
      <c r="D421" s="71"/>
      <c r="E421" s="137"/>
      <c r="F421" s="138"/>
      <c r="G421" s="103"/>
      <c r="H421" s="71"/>
      <c r="I421" s="137"/>
      <c r="J421" s="138"/>
      <c r="K421" s="103"/>
      <c r="L421" s="71"/>
      <c r="M421" s="137"/>
      <c r="N421" s="125"/>
      <c r="O421" s="103"/>
      <c r="P421" s="71"/>
      <c r="Q421" s="189"/>
      <c r="R421" s="125"/>
      <c r="S421" s="103"/>
      <c r="T421" s="71"/>
      <c r="U421" s="189"/>
      <c r="V421" s="125"/>
      <c r="W421" s="103"/>
      <c r="X421" s="71"/>
      <c r="Y421" s="137"/>
      <c r="Z421" s="180"/>
      <c r="AA421" s="181"/>
      <c r="AB421" s="182"/>
      <c r="AC421" s="137"/>
      <c r="AD421" s="125"/>
      <c r="AE421" s="162"/>
      <c r="AF421" s="183"/>
      <c r="AG421" s="195"/>
      <c r="AH421" s="195"/>
      <c r="AI421" s="195"/>
      <c r="AJ421" s="195"/>
      <c r="AK421" s="71"/>
      <c r="AL421" s="71"/>
      <c r="AM421" s="71"/>
      <c r="AN421" s="71"/>
      <c r="AO421" s="71"/>
    </row>
    <row r="422">
      <c r="A422" s="137"/>
      <c r="B422" s="138"/>
      <c r="C422" s="103"/>
      <c r="D422" s="71"/>
      <c r="E422" s="137"/>
      <c r="F422" s="138"/>
      <c r="G422" s="103"/>
      <c r="H422" s="71"/>
      <c r="I422" s="137"/>
      <c r="J422" s="138"/>
      <c r="K422" s="103"/>
      <c r="L422" s="71"/>
      <c r="M422" s="137"/>
      <c r="N422" s="125"/>
      <c r="O422" s="103"/>
      <c r="P422" s="71"/>
      <c r="Q422" s="189"/>
      <c r="R422" s="125"/>
      <c r="S422" s="103"/>
      <c r="T422" s="71"/>
      <c r="U422" s="189"/>
      <c r="V422" s="125"/>
      <c r="W422" s="103"/>
      <c r="X422" s="71"/>
      <c r="Y422" s="137"/>
      <c r="Z422" s="180"/>
      <c r="AA422" s="181"/>
      <c r="AB422" s="182"/>
      <c r="AC422" s="137"/>
      <c r="AD422" s="125"/>
      <c r="AE422" s="162"/>
      <c r="AF422" s="183"/>
      <c r="AG422" s="195"/>
      <c r="AH422" s="195"/>
      <c r="AI422" s="195"/>
      <c r="AJ422" s="195"/>
      <c r="AK422" s="71"/>
      <c r="AL422" s="71"/>
      <c r="AM422" s="71"/>
      <c r="AN422" s="71"/>
      <c r="AO422" s="71"/>
    </row>
    <row r="423">
      <c r="A423" s="137"/>
      <c r="B423" s="138"/>
      <c r="C423" s="103"/>
      <c r="D423" s="71"/>
      <c r="E423" s="137"/>
      <c r="F423" s="138"/>
      <c r="G423" s="103"/>
      <c r="H423" s="71"/>
      <c r="I423" s="137"/>
      <c r="J423" s="138"/>
      <c r="K423" s="103"/>
      <c r="L423" s="71"/>
      <c r="M423" s="137"/>
      <c r="N423" s="125"/>
      <c r="O423" s="103"/>
      <c r="P423" s="71"/>
      <c r="Q423" s="189"/>
      <c r="R423" s="125"/>
      <c r="S423" s="103"/>
      <c r="T423" s="71"/>
      <c r="U423" s="189"/>
      <c r="V423" s="125"/>
      <c r="W423" s="103"/>
      <c r="X423" s="71"/>
      <c r="Y423" s="137"/>
      <c r="Z423" s="180"/>
      <c r="AA423" s="181"/>
      <c r="AB423" s="182"/>
      <c r="AC423" s="137"/>
      <c r="AD423" s="125"/>
      <c r="AE423" s="162"/>
      <c r="AF423" s="183"/>
      <c r="AG423" s="195"/>
      <c r="AH423" s="195"/>
      <c r="AI423" s="195"/>
      <c r="AJ423" s="195"/>
      <c r="AK423" s="71"/>
      <c r="AL423" s="71"/>
      <c r="AM423" s="71"/>
      <c r="AN423" s="71"/>
      <c r="AO423" s="71"/>
    </row>
    <row r="424">
      <c r="A424" s="137"/>
      <c r="B424" s="138"/>
      <c r="C424" s="103"/>
      <c r="D424" s="71"/>
      <c r="E424" s="137"/>
      <c r="F424" s="138"/>
      <c r="G424" s="103"/>
      <c r="H424" s="71"/>
      <c r="I424" s="137"/>
      <c r="J424" s="138"/>
      <c r="K424" s="103"/>
      <c r="L424" s="71"/>
      <c r="M424" s="137"/>
      <c r="N424" s="125"/>
      <c r="O424" s="103"/>
      <c r="P424" s="71"/>
      <c r="Q424" s="189"/>
      <c r="R424" s="125"/>
      <c r="S424" s="103"/>
      <c r="T424" s="71"/>
      <c r="U424" s="189"/>
      <c r="V424" s="125"/>
      <c r="W424" s="103"/>
      <c r="X424" s="71"/>
      <c r="Y424" s="137"/>
      <c r="Z424" s="180"/>
      <c r="AA424" s="181"/>
      <c r="AB424" s="182"/>
      <c r="AC424" s="137"/>
      <c r="AD424" s="125"/>
      <c r="AE424" s="162"/>
      <c r="AF424" s="183"/>
      <c r="AG424" s="195"/>
      <c r="AH424" s="195"/>
      <c r="AI424" s="195"/>
      <c r="AJ424" s="195"/>
      <c r="AK424" s="71"/>
      <c r="AL424" s="71"/>
      <c r="AM424" s="71"/>
      <c r="AN424" s="71"/>
      <c r="AO424" s="71"/>
    </row>
    <row r="425">
      <c r="A425" s="137"/>
      <c r="B425" s="138"/>
      <c r="C425" s="103"/>
      <c r="D425" s="71"/>
      <c r="E425" s="137"/>
      <c r="F425" s="138"/>
      <c r="G425" s="103"/>
      <c r="H425" s="71"/>
      <c r="I425" s="137"/>
      <c r="J425" s="138"/>
      <c r="K425" s="103"/>
      <c r="L425" s="71"/>
      <c r="M425" s="137"/>
      <c r="N425" s="125"/>
      <c r="O425" s="103"/>
      <c r="P425" s="71"/>
      <c r="Q425" s="189"/>
      <c r="R425" s="125"/>
      <c r="S425" s="103"/>
      <c r="T425" s="71"/>
      <c r="U425" s="189"/>
      <c r="V425" s="125"/>
      <c r="W425" s="103"/>
      <c r="X425" s="71"/>
      <c r="Y425" s="137"/>
      <c r="Z425" s="180"/>
      <c r="AA425" s="181"/>
      <c r="AB425" s="182"/>
      <c r="AC425" s="137"/>
      <c r="AD425" s="125"/>
      <c r="AE425" s="162"/>
      <c r="AF425" s="183"/>
      <c r="AG425" s="195"/>
      <c r="AH425" s="195"/>
      <c r="AI425" s="195"/>
      <c r="AJ425" s="195"/>
      <c r="AK425" s="71"/>
      <c r="AL425" s="71"/>
      <c r="AM425" s="71"/>
      <c r="AN425" s="71"/>
      <c r="AO425" s="71"/>
    </row>
    <row r="426">
      <c r="A426" s="137"/>
      <c r="B426" s="138"/>
      <c r="C426" s="103"/>
      <c r="D426" s="71"/>
      <c r="E426" s="137"/>
      <c r="F426" s="138"/>
      <c r="G426" s="103"/>
      <c r="H426" s="71"/>
      <c r="I426" s="137"/>
      <c r="J426" s="138"/>
      <c r="K426" s="103"/>
      <c r="L426" s="71"/>
      <c r="M426" s="137"/>
      <c r="N426" s="125"/>
      <c r="O426" s="103"/>
      <c r="P426" s="71"/>
      <c r="Q426" s="189"/>
      <c r="R426" s="125"/>
      <c r="S426" s="103"/>
      <c r="T426" s="71"/>
      <c r="U426" s="189"/>
      <c r="V426" s="125"/>
      <c r="W426" s="103"/>
      <c r="X426" s="71"/>
      <c r="Y426" s="137"/>
      <c r="Z426" s="180"/>
      <c r="AA426" s="181"/>
      <c r="AB426" s="182"/>
      <c r="AC426" s="137"/>
      <c r="AD426" s="125"/>
      <c r="AE426" s="162"/>
      <c r="AF426" s="183"/>
      <c r="AG426" s="195"/>
      <c r="AH426" s="195"/>
      <c r="AI426" s="195"/>
      <c r="AJ426" s="195"/>
      <c r="AK426" s="71"/>
      <c r="AL426" s="71"/>
      <c r="AM426" s="71"/>
      <c r="AN426" s="71"/>
      <c r="AO426" s="71"/>
    </row>
    <row r="427">
      <c r="A427" s="137"/>
      <c r="B427" s="138"/>
      <c r="C427" s="103"/>
      <c r="D427" s="71"/>
      <c r="E427" s="137"/>
      <c r="F427" s="138"/>
      <c r="G427" s="103"/>
      <c r="H427" s="71"/>
      <c r="I427" s="137"/>
      <c r="J427" s="138"/>
      <c r="K427" s="103"/>
      <c r="L427" s="71"/>
      <c r="M427" s="137"/>
      <c r="N427" s="125"/>
      <c r="O427" s="103"/>
      <c r="P427" s="71"/>
      <c r="Q427" s="189"/>
      <c r="R427" s="125"/>
      <c r="S427" s="103"/>
      <c r="T427" s="71"/>
      <c r="U427" s="189"/>
      <c r="V427" s="125"/>
      <c r="W427" s="103"/>
      <c r="X427" s="71"/>
      <c r="Y427" s="137"/>
      <c r="Z427" s="180"/>
      <c r="AA427" s="181"/>
      <c r="AB427" s="182"/>
      <c r="AC427" s="137"/>
      <c r="AD427" s="125"/>
      <c r="AE427" s="162"/>
      <c r="AF427" s="183"/>
      <c r="AG427" s="195"/>
      <c r="AH427" s="195"/>
      <c r="AI427" s="195"/>
      <c r="AJ427" s="195"/>
      <c r="AK427" s="71"/>
      <c r="AL427" s="71"/>
      <c r="AM427" s="71"/>
      <c r="AN427" s="71"/>
      <c r="AO427" s="71"/>
    </row>
    <row r="428">
      <c r="A428" s="137"/>
      <c r="B428" s="138"/>
      <c r="C428" s="103"/>
      <c r="D428" s="71"/>
      <c r="E428" s="137"/>
      <c r="F428" s="138"/>
      <c r="G428" s="103"/>
      <c r="H428" s="71"/>
      <c r="I428" s="137"/>
      <c r="J428" s="138"/>
      <c r="K428" s="103"/>
      <c r="L428" s="71"/>
      <c r="M428" s="137"/>
      <c r="N428" s="125"/>
      <c r="O428" s="103"/>
      <c r="P428" s="71"/>
      <c r="Q428" s="189"/>
      <c r="R428" s="125"/>
      <c r="S428" s="103"/>
      <c r="T428" s="71"/>
      <c r="U428" s="189"/>
      <c r="V428" s="125"/>
      <c r="W428" s="103"/>
      <c r="X428" s="71"/>
      <c r="Y428" s="137"/>
      <c r="Z428" s="180"/>
      <c r="AA428" s="181"/>
      <c r="AB428" s="182"/>
      <c r="AC428" s="137"/>
      <c r="AD428" s="125"/>
      <c r="AE428" s="162"/>
      <c r="AF428" s="183"/>
      <c r="AG428" s="195"/>
      <c r="AH428" s="195"/>
      <c r="AI428" s="195"/>
      <c r="AJ428" s="195"/>
      <c r="AK428" s="71"/>
      <c r="AL428" s="71"/>
      <c r="AM428" s="71"/>
      <c r="AN428" s="71"/>
      <c r="AO428" s="71"/>
    </row>
    <row r="429">
      <c r="A429" s="137"/>
      <c r="B429" s="138"/>
      <c r="C429" s="103"/>
      <c r="D429" s="71"/>
      <c r="E429" s="137"/>
      <c r="F429" s="138"/>
      <c r="G429" s="103"/>
      <c r="H429" s="71"/>
      <c r="I429" s="137"/>
      <c r="J429" s="138"/>
      <c r="K429" s="103"/>
      <c r="L429" s="71"/>
      <c r="M429" s="137"/>
      <c r="N429" s="125"/>
      <c r="O429" s="103"/>
      <c r="P429" s="71"/>
      <c r="Q429" s="189"/>
      <c r="R429" s="125"/>
      <c r="S429" s="103"/>
      <c r="T429" s="71"/>
      <c r="U429" s="189"/>
      <c r="V429" s="125"/>
      <c r="W429" s="103"/>
      <c r="X429" s="71"/>
      <c r="Y429" s="137"/>
      <c r="Z429" s="180"/>
      <c r="AA429" s="181"/>
      <c r="AB429" s="182"/>
      <c r="AC429" s="137"/>
      <c r="AD429" s="125"/>
      <c r="AE429" s="162"/>
      <c r="AF429" s="183"/>
      <c r="AG429" s="195"/>
      <c r="AH429" s="195"/>
      <c r="AI429" s="195"/>
      <c r="AJ429" s="195"/>
      <c r="AK429" s="71"/>
      <c r="AL429" s="71"/>
      <c r="AM429" s="71"/>
      <c r="AN429" s="71"/>
      <c r="AO429" s="71"/>
    </row>
    <row r="430">
      <c r="A430" s="137"/>
      <c r="B430" s="138"/>
      <c r="C430" s="103"/>
      <c r="D430" s="71"/>
      <c r="E430" s="137"/>
      <c r="F430" s="138"/>
      <c r="G430" s="103"/>
      <c r="H430" s="71"/>
      <c r="I430" s="137"/>
      <c r="J430" s="138"/>
      <c r="K430" s="103"/>
      <c r="L430" s="71"/>
      <c r="M430" s="137"/>
      <c r="N430" s="125"/>
      <c r="O430" s="103"/>
      <c r="P430" s="71"/>
      <c r="Q430" s="189"/>
      <c r="R430" s="125"/>
      <c r="S430" s="103"/>
      <c r="T430" s="71"/>
      <c r="U430" s="189"/>
      <c r="V430" s="125"/>
      <c r="W430" s="103"/>
      <c r="X430" s="71"/>
      <c r="Y430" s="137"/>
      <c r="Z430" s="180"/>
      <c r="AA430" s="181"/>
      <c r="AB430" s="182"/>
      <c r="AC430" s="137"/>
      <c r="AD430" s="125"/>
      <c r="AE430" s="162"/>
      <c r="AF430" s="183"/>
      <c r="AG430" s="195"/>
      <c r="AH430" s="195"/>
      <c r="AI430" s="195"/>
      <c r="AJ430" s="195"/>
      <c r="AK430" s="71"/>
      <c r="AL430" s="71"/>
      <c r="AM430" s="71"/>
      <c r="AN430" s="71"/>
      <c r="AO430" s="71"/>
    </row>
    <row r="431">
      <c r="A431" s="137"/>
      <c r="B431" s="138"/>
      <c r="C431" s="103"/>
      <c r="D431" s="71"/>
      <c r="E431" s="137"/>
      <c r="F431" s="138"/>
      <c r="G431" s="103"/>
      <c r="H431" s="71"/>
      <c r="I431" s="137"/>
      <c r="J431" s="138"/>
      <c r="K431" s="103"/>
      <c r="L431" s="71"/>
      <c r="M431" s="137"/>
      <c r="N431" s="125"/>
      <c r="O431" s="103"/>
      <c r="P431" s="71"/>
      <c r="Q431" s="189"/>
      <c r="R431" s="125"/>
      <c r="S431" s="103"/>
      <c r="T431" s="71"/>
      <c r="U431" s="189"/>
      <c r="V431" s="125"/>
      <c r="W431" s="103"/>
      <c r="X431" s="71"/>
      <c r="Y431" s="137"/>
      <c r="Z431" s="180"/>
      <c r="AA431" s="181"/>
      <c r="AB431" s="182"/>
      <c r="AC431" s="137"/>
      <c r="AD431" s="125"/>
      <c r="AE431" s="162"/>
      <c r="AF431" s="183"/>
      <c r="AG431" s="195"/>
      <c r="AH431" s="195"/>
      <c r="AI431" s="195"/>
      <c r="AJ431" s="195"/>
      <c r="AK431" s="71"/>
      <c r="AL431" s="71"/>
      <c r="AM431" s="71"/>
      <c r="AN431" s="71"/>
      <c r="AO431" s="71"/>
    </row>
    <row r="432">
      <c r="A432" s="137"/>
      <c r="B432" s="138"/>
      <c r="C432" s="103"/>
      <c r="D432" s="71"/>
      <c r="E432" s="137"/>
      <c r="F432" s="138"/>
      <c r="G432" s="103"/>
      <c r="H432" s="71"/>
      <c r="I432" s="137"/>
      <c r="J432" s="138"/>
      <c r="K432" s="103"/>
      <c r="L432" s="71"/>
      <c r="M432" s="137"/>
      <c r="N432" s="125"/>
      <c r="O432" s="103"/>
      <c r="P432" s="71"/>
      <c r="Q432" s="189"/>
      <c r="R432" s="125"/>
      <c r="S432" s="103"/>
      <c r="T432" s="71"/>
      <c r="U432" s="189"/>
      <c r="V432" s="125"/>
      <c r="W432" s="103"/>
      <c r="X432" s="71"/>
      <c r="Y432" s="137"/>
      <c r="Z432" s="180"/>
      <c r="AA432" s="181"/>
      <c r="AB432" s="182"/>
      <c r="AC432" s="137"/>
      <c r="AD432" s="125"/>
      <c r="AE432" s="162"/>
      <c r="AF432" s="183"/>
      <c r="AG432" s="195"/>
      <c r="AH432" s="195"/>
      <c r="AI432" s="195"/>
      <c r="AJ432" s="195"/>
      <c r="AK432" s="71"/>
      <c r="AL432" s="71"/>
      <c r="AM432" s="71"/>
      <c r="AN432" s="71"/>
      <c r="AO432" s="71"/>
    </row>
    <row r="433">
      <c r="A433" s="137"/>
      <c r="B433" s="138"/>
      <c r="C433" s="103"/>
      <c r="D433" s="71"/>
      <c r="E433" s="137"/>
      <c r="F433" s="138"/>
      <c r="G433" s="103"/>
      <c r="H433" s="71"/>
      <c r="I433" s="137"/>
      <c r="J433" s="138"/>
      <c r="K433" s="103"/>
      <c r="L433" s="71"/>
      <c r="M433" s="137"/>
      <c r="N433" s="125"/>
      <c r="O433" s="103"/>
      <c r="P433" s="71"/>
      <c r="Q433" s="189"/>
      <c r="R433" s="125"/>
      <c r="S433" s="103"/>
      <c r="T433" s="71"/>
      <c r="U433" s="189"/>
      <c r="V433" s="125"/>
      <c r="W433" s="103"/>
      <c r="X433" s="71"/>
      <c r="Y433" s="137"/>
      <c r="Z433" s="180"/>
      <c r="AA433" s="181"/>
      <c r="AB433" s="182"/>
      <c r="AC433" s="137"/>
      <c r="AD433" s="125"/>
      <c r="AE433" s="162"/>
      <c r="AF433" s="183"/>
      <c r="AG433" s="195"/>
      <c r="AH433" s="195"/>
      <c r="AI433" s="195"/>
      <c r="AJ433" s="195"/>
      <c r="AK433" s="71"/>
      <c r="AL433" s="71"/>
      <c r="AM433" s="71"/>
      <c r="AN433" s="71"/>
      <c r="AO433" s="71"/>
    </row>
    <row r="434">
      <c r="A434" s="137"/>
      <c r="B434" s="138"/>
      <c r="C434" s="103"/>
      <c r="D434" s="71"/>
      <c r="E434" s="137"/>
      <c r="F434" s="138"/>
      <c r="G434" s="103"/>
      <c r="H434" s="71"/>
      <c r="I434" s="137"/>
      <c r="J434" s="138"/>
      <c r="K434" s="103"/>
      <c r="L434" s="71"/>
      <c r="M434" s="137"/>
      <c r="N434" s="125"/>
      <c r="O434" s="103"/>
      <c r="P434" s="71"/>
      <c r="Q434" s="189"/>
      <c r="R434" s="125"/>
      <c r="S434" s="103"/>
      <c r="T434" s="71"/>
      <c r="U434" s="189"/>
      <c r="V434" s="125"/>
      <c r="W434" s="103"/>
      <c r="X434" s="71"/>
      <c r="Y434" s="137"/>
      <c r="Z434" s="180"/>
      <c r="AA434" s="181"/>
      <c r="AB434" s="182"/>
      <c r="AC434" s="137"/>
      <c r="AD434" s="125"/>
      <c r="AE434" s="162"/>
      <c r="AF434" s="183"/>
      <c r="AG434" s="195"/>
      <c r="AH434" s="195"/>
      <c r="AI434" s="195"/>
      <c r="AJ434" s="195"/>
      <c r="AK434" s="71"/>
      <c r="AL434" s="71"/>
      <c r="AM434" s="71"/>
      <c r="AN434" s="71"/>
      <c r="AO434" s="71"/>
    </row>
    <row r="435">
      <c r="A435" s="137"/>
      <c r="B435" s="138"/>
      <c r="C435" s="103"/>
      <c r="D435" s="71"/>
      <c r="E435" s="137"/>
      <c r="F435" s="138"/>
      <c r="G435" s="103"/>
      <c r="H435" s="71"/>
      <c r="I435" s="137"/>
      <c r="J435" s="138"/>
      <c r="K435" s="103"/>
      <c r="L435" s="71"/>
      <c r="M435" s="137"/>
      <c r="N435" s="125"/>
      <c r="O435" s="103"/>
      <c r="P435" s="71"/>
      <c r="Q435" s="189"/>
      <c r="R435" s="125"/>
      <c r="S435" s="103"/>
      <c r="T435" s="71"/>
      <c r="U435" s="189"/>
      <c r="V435" s="125"/>
      <c r="W435" s="103"/>
      <c r="X435" s="71"/>
      <c r="Y435" s="137"/>
      <c r="Z435" s="180"/>
      <c r="AA435" s="181"/>
      <c r="AB435" s="182"/>
      <c r="AC435" s="137"/>
      <c r="AD435" s="125"/>
      <c r="AE435" s="162"/>
      <c r="AF435" s="183"/>
      <c r="AG435" s="195"/>
      <c r="AH435" s="195"/>
      <c r="AI435" s="195"/>
      <c r="AJ435" s="195"/>
      <c r="AK435" s="71"/>
      <c r="AL435" s="71"/>
      <c r="AM435" s="71"/>
      <c r="AN435" s="71"/>
      <c r="AO435" s="71"/>
    </row>
    <row r="436">
      <c r="A436" s="137"/>
      <c r="B436" s="138"/>
      <c r="C436" s="103"/>
      <c r="D436" s="71"/>
      <c r="E436" s="137"/>
      <c r="F436" s="138"/>
      <c r="G436" s="103"/>
      <c r="H436" s="71"/>
      <c r="I436" s="137"/>
      <c r="J436" s="138"/>
      <c r="K436" s="103"/>
      <c r="L436" s="71"/>
      <c r="M436" s="137"/>
      <c r="N436" s="125"/>
      <c r="O436" s="103"/>
      <c r="P436" s="71"/>
      <c r="Q436" s="189"/>
      <c r="R436" s="125"/>
      <c r="S436" s="103"/>
      <c r="T436" s="71"/>
      <c r="U436" s="189"/>
      <c r="V436" s="125"/>
      <c r="W436" s="103"/>
      <c r="X436" s="71"/>
      <c r="Y436" s="137"/>
      <c r="Z436" s="180"/>
      <c r="AA436" s="181"/>
      <c r="AB436" s="182"/>
      <c r="AC436" s="137"/>
      <c r="AD436" s="125"/>
      <c r="AE436" s="162"/>
      <c r="AF436" s="183"/>
      <c r="AG436" s="195"/>
      <c r="AH436" s="195"/>
      <c r="AI436" s="195"/>
      <c r="AJ436" s="195"/>
      <c r="AK436" s="71"/>
      <c r="AL436" s="71"/>
      <c r="AM436" s="71"/>
      <c r="AN436" s="71"/>
      <c r="AO436" s="71"/>
    </row>
    <row r="437">
      <c r="A437" s="137"/>
      <c r="B437" s="138"/>
      <c r="C437" s="103"/>
      <c r="D437" s="71"/>
      <c r="E437" s="137"/>
      <c r="F437" s="138"/>
      <c r="G437" s="103"/>
      <c r="H437" s="71"/>
      <c r="I437" s="137"/>
      <c r="J437" s="138"/>
      <c r="K437" s="103"/>
      <c r="L437" s="71"/>
      <c r="M437" s="137"/>
      <c r="N437" s="125"/>
      <c r="O437" s="103"/>
      <c r="P437" s="71"/>
      <c r="Q437" s="189"/>
      <c r="R437" s="125"/>
      <c r="S437" s="103"/>
      <c r="T437" s="71"/>
      <c r="U437" s="189"/>
      <c r="V437" s="125"/>
      <c r="W437" s="103"/>
      <c r="X437" s="71"/>
      <c r="Y437" s="137"/>
      <c r="Z437" s="180"/>
      <c r="AA437" s="181"/>
      <c r="AB437" s="182"/>
      <c r="AC437" s="137"/>
      <c r="AD437" s="125"/>
      <c r="AE437" s="162"/>
      <c r="AF437" s="183"/>
      <c r="AG437" s="195"/>
      <c r="AH437" s="195"/>
      <c r="AI437" s="195"/>
      <c r="AJ437" s="195"/>
      <c r="AK437" s="71"/>
      <c r="AL437" s="71"/>
      <c r="AM437" s="71"/>
      <c r="AN437" s="71"/>
      <c r="AO437" s="71"/>
    </row>
    <row r="438">
      <c r="A438" s="137"/>
      <c r="B438" s="138"/>
      <c r="C438" s="103"/>
      <c r="D438" s="71"/>
      <c r="E438" s="137"/>
      <c r="F438" s="138"/>
      <c r="G438" s="103"/>
      <c r="H438" s="71"/>
      <c r="I438" s="137"/>
      <c r="J438" s="138"/>
      <c r="K438" s="103"/>
      <c r="L438" s="71"/>
      <c r="M438" s="137"/>
      <c r="N438" s="125"/>
      <c r="O438" s="103"/>
      <c r="P438" s="71"/>
      <c r="Q438" s="189"/>
      <c r="R438" s="125"/>
      <c r="S438" s="103"/>
      <c r="T438" s="71"/>
      <c r="U438" s="189"/>
      <c r="V438" s="125"/>
      <c r="W438" s="103"/>
      <c r="X438" s="71"/>
      <c r="Y438" s="137"/>
      <c r="Z438" s="180"/>
      <c r="AA438" s="181"/>
      <c r="AB438" s="182"/>
      <c r="AC438" s="137"/>
      <c r="AD438" s="125"/>
      <c r="AE438" s="162"/>
      <c r="AF438" s="183"/>
      <c r="AG438" s="195"/>
      <c r="AH438" s="195"/>
      <c r="AI438" s="195"/>
      <c r="AJ438" s="195"/>
      <c r="AK438" s="71"/>
      <c r="AL438" s="71"/>
      <c r="AM438" s="71"/>
      <c r="AN438" s="71"/>
      <c r="AO438" s="71"/>
    </row>
    <row r="439">
      <c r="A439" s="137"/>
      <c r="B439" s="138"/>
      <c r="C439" s="103"/>
      <c r="D439" s="71"/>
      <c r="E439" s="137"/>
      <c r="F439" s="138"/>
      <c r="G439" s="103"/>
      <c r="H439" s="71"/>
      <c r="I439" s="137"/>
      <c r="J439" s="138"/>
      <c r="K439" s="103"/>
      <c r="L439" s="71"/>
      <c r="M439" s="137"/>
      <c r="N439" s="125"/>
      <c r="O439" s="103"/>
      <c r="P439" s="71"/>
      <c r="Q439" s="189"/>
      <c r="R439" s="125"/>
      <c r="S439" s="103"/>
      <c r="T439" s="71"/>
      <c r="U439" s="189"/>
      <c r="V439" s="125"/>
      <c r="W439" s="103"/>
      <c r="X439" s="71"/>
      <c r="Y439" s="137"/>
      <c r="Z439" s="180"/>
      <c r="AA439" s="181"/>
      <c r="AB439" s="182"/>
      <c r="AC439" s="137"/>
      <c r="AD439" s="125"/>
      <c r="AE439" s="162"/>
      <c r="AF439" s="183"/>
      <c r="AG439" s="195"/>
      <c r="AH439" s="195"/>
      <c r="AI439" s="195"/>
      <c r="AJ439" s="195"/>
      <c r="AK439" s="71"/>
      <c r="AL439" s="71"/>
      <c r="AM439" s="71"/>
      <c r="AN439" s="71"/>
      <c r="AO439" s="71"/>
    </row>
    <row r="440">
      <c r="A440" s="137"/>
      <c r="B440" s="138"/>
      <c r="C440" s="103"/>
      <c r="D440" s="71"/>
      <c r="E440" s="137"/>
      <c r="F440" s="138"/>
      <c r="G440" s="103"/>
      <c r="H440" s="71"/>
      <c r="I440" s="137"/>
      <c r="J440" s="138"/>
      <c r="K440" s="103"/>
      <c r="L440" s="71"/>
      <c r="M440" s="137"/>
      <c r="N440" s="125"/>
      <c r="O440" s="103"/>
      <c r="P440" s="71"/>
      <c r="Q440" s="189"/>
      <c r="R440" s="125"/>
      <c r="S440" s="103"/>
      <c r="T440" s="71"/>
      <c r="U440" s="189"/>
      <c r="V440" s="125"/>
      <c r="W440" s="103"/>
      <c r="X440" s="71"/>
      <c r="Y440" s="137"/>
      <c r="Z440" s="180"/>
      <c r="AA440" s="181"/>
      <c r="AB440" s="182"/>
      <c r="AC440" s="137"/>
      <c r="AD440" s="125"/>
      <c r="AE440" s="162"/>
      <c r="AF440" s="183"/>
      <c r="AG440" s="195"/>
      <c r="AH440" s="195"/>
      <c r="AI440" s="195"/>
      <c r="AJ440" s="195"/>
      <c r="AK440" s="71"/>
      <c r="AL440" s="71"/>
      <c r="AM440" s="71"/>
      <c r="AN440" s="71"/>
      <c r="AO440" s="71"/>
    </row>
    <row r="441">
      <c r="A441" s="137"/>
      <c r="B441" s="138"/>
      <c r="C441" s="103"/>
      <c r="D441" s="71"/>
      <c r="E441" s="137"/>
      <c r="F441" s="138"/>
      <c r="G441" s="103"/>
      <c r="H441" s="71"/>
      <c r="I441" s="137"/>
      <c r="J441" s="138"/>
      <c r="K441" s="103"/>
      <c r="L441" s="71"/>
      <c r="M441" s="137"/>
      <c r="N441" s="125"/>
      <c r="O441" s="103"/>
      <c r="P441" s="71"/>
      <c r="Q441" s="189"/>
      <c r="R441" s="125"/>
      <c r="S441" s="103"/>
      <c r="T441" s="71"/>
      <c r="U441" s="189"/>
      <c r="V441" s="125"/>
      <c r="W441" s="103"/>
      <c r="X441" s="71"/>
      <c r="Y441" s="137"/>
      <c r="Z441" s="180"/>
      <c r="AA441" s="181"/>
      <c r="AB441" s="182"/>
      <c r="AC441" s="137"/>
      <c r="AD441" s="125"/>
      <c r="AE441" s="162"/>
      <c r="AF441" s="183"/>
      <c r="AG441" s="195"/>
      <c r="AH441" s="195"/>
      <c r="AI441" s="195"/>
      <c r="AJ441" s="195"/>
      <c r="AK441" s="71"/>
      <c r="AL441" s="71"/>
      <c r="AM441" s="71"/>
      <c r="AN441" s="71"/>
      <c r="AO441" s="71"/>
    </row>
    <row r="442">
      <c r="A442" s="137"/>
      <c r="B442" s="138"/>
      <c r="C442" s="103"/>
      <c r="D442" s="71"/>
      <c r="E442" s="137"/>
      <c r="F442" s="138"/>
      <c r="G442" s="103"/>
      <c r="H442" s="71"/>
      <c r="I442" s="137"/>
      <c r="J442" s="138"/>
      <c r="K442" s="103"/>
      <c r="L442" s="71"/>
      <c r="M442" s="137"/>
      <c r="N442" s="125"/>
      <c r="O442" s="103"/>
      <c r="P442" s="71"/>
      <c r="Q442" s="189"/>
      <c r="R442" s="125"/>
      <c r="S442" s="103"/>
      <c r="T442" s="71"/>
      <c r="U442" s="189"/>
      <c r="V442" s="125"/>
      <c r="W442" s="103"/>
      <c r="X442" s="71"/>
      <c r="Y442" s="137"/>
      <c r="Z442" s="180"/>
      <c r="AA442" s="181"/>
      <c r="AB442" s="182"/>
      <c r="AC442" s="137"/>
      <c r="AD442" s="125"/>
      <c r="AE442" s="162"/>
      <c r="AF442" s="183"/>
      <c r="AG442" s="195"/>
      <c r="AH442" s="195"/>
      <c r="AI442" s="195"/>
      <c r="AJ442" s="195"/>
      <c r="AK442" s="71"/>
      <c r="AL442" s="71"/>
      <c r="AM442" s="71"/>
      <c r="AN442" s="71"/>
      <c r="AO442" s="71"/>
    </row>
    <row r="443">
      <c r="A443" s="137"/>
      <c r="B443" s="138"/>
      <c r="C443" s="103"/>
      <c r="D443" s="71"/>
      <c r="E443" s="137"/>
      <c r="F443" s="138"/>
      <c r="G443" s="103"/>
      <c r="H443" s="71"/>
      <c r="I443" s="137"/>
      <c r="J443" s="138"/>
      <c r="K443" s="103"/>
      <c r="L443" s="71"/>
      <c r="M443" s="137"/>
      <c r="N443" s="125"/>
      <c r="O443" s="103"/>
      <c r="P443" s="71"/>
      <c r="Q443" s="189"/>
      <c r="R443" s="125"/>
      <c r="S443" s="103"/>
      <c r="T443" s="71"/>
      <c r="U443" s="189"/>
      <c r="V443" s="125"/>
      <c r="W443" s="103"/>
      <c r="X443" s="71"/>
      <c r="Y443" s="137"/>
      <c r="Z443" s="180"/>
      <c r="AA443" s="181"/>
      <c r="AB443" s="182"/>
      <c r="AC443" s="137"/>
      <c r="AD443" s="125"/>
      <c r="AE443" s="162"/>
      <c r="AF443" s="183"/>
      <c r="AG443" s="195"/>
      <c r="AH443" s="195"/>
      <c r="AI443" s="195"/>
      <c r="AJ443" s="195"/>
      <c r="AK443" s="71"/>
      <c r="AL443" s="71"/>
      <c r="AM443" s="71"/>
      <c r="AN443" s="71"/>
      <c r="AO443" s="71"/>
    </row>
    <row r="444">
      <c r="A444" s="137"/>
      <c r="B444" s="138"/>
      <c r="C444" s="103"/>
      <c r="D444" s="71"/>
      <c r="E444" s="137"/>
      <c r="F444" s="138"/>
      <c r="G444" s="103"/>
      <c r="H444" s="71"/>
      <c r="I444" s="137"/>
      <c r="J444" s="138"/>
      <c r="K444" s="103"/>
      <c r="L444" s="71"/>
      <c r="M444" s="137"/>
      <c r="N444" s="125"/>
      <c r="O444" s="103"/>
      <c r="P444" s="71"/>
      <c r="Q444" s="189"/>
      <c r="R444" s="125"/>
      <c r="S444" s="103"/>
      <c r="T444" s="71"/>
      <c r="U444" s="189"/>
      <c r="V444" s="125"/>
      <c r="W444" s="103"/>
      <c r="X444" s="71"/>
      <c r="Y444" s="137"/>
      <c r="Z444" s="180"/>
      <c r="AA444" s="181"/>
      <c r="AB444" s="182"/>
      <c r="AC444" s="137"/>
      <c r="AD444" s="125"/>
      <c r="AE444" s="162"/>
      <c r="AF444" s="183"/>
      <c r="AG444" s="195"/>
      <c r="AH444" s="195"/>
      <c r="AI444" s="195"/>
      <c r="AJ444" s="195"/>
      <c r="AK444" s="71"/>
      <c r="AL444" s="71"/>
      <c r="AM444" s="71"/>
      <c r="AN444" s="71"/>
      <c r="AO444" s="71"/>
    </row>
    <row r="445">
      <c r="A445" s="137"/>
      <c r="B445" s="138"/>
      <c r="C445" s="103"/>
      <c r="D445" s="71"/>
      <c r="E445" s="137"/>
      <c r="F445" s="138"/>
      <c r="G445" s="103"/>
      <c r="H445" s="71"/>
      <c r="I445" s="137"/>
      <c r="J445" s="138"/>
      <c r="K445" s="103"/>
      <c r="L445" s="71"/>
      <c r="M445" s="137"/>
      <c r="N445" s="125"/>
      <c r="O445" s="103"/>
      <c r="P445" s="71"/>
      <c r="Q445" s="189"/>
      <c r="R445" s="125"/>
      <c r="S445" s="103"/>
      <c r="T445" s="71"/>
      <c r="U445" s="189"/>
      <c r="V445" s="125"/>
      <c r="W445" s="103"/>
      <c r="X445" s="71"/>
      <c r="Y445" s="137"/>
      <c r="Z445" s="180"/>
      <c r="AA445" s="181"/>
      <c r="AB445" s="182"/>
      <c r="AC445" s="137"/>
      <c r="AD445" s="125"/>
      <c r="AE445" s="162"/>
      <c r="AF445" s="183"/>
      <c r="AG445" s="195"/>
      <c r="AH445" s="195"/>
      <c r="AI445" s="195"/>
      <c r="AJ445" s="195"/>
      <c r="AK445" s="71"/>
      <c r="AL445" s="71"/>
      <c r="AM445" s="71"/>
      <c r="AN445" s="71"/>
      <c r="AO445" s="71"/>
    </row>
    <row r="446">
      <c r="A446" s="137"/>
      <c r="B446" s="138"/>
      <c r="C446" s="103"/>
      <c r="D446" s="71"/>
      <c r="E446" s="137"/>
      <c r="F446" s="138"/>
      <c r="G446" s="103"/>
      <c r="H446" s="71"/>
      <c r="I446" s="137"/>
      <c r="J446" s="138"/>
      <c r="K446" s="103"/>
      <c r="L446" s="71"/>
      <c r="M446" s="137"/>
      <c r="N446" s="125"/>
      <c r="O446" s="103"/>
      <c r="P446" s="71"/>
      <c r="Q446" s="189"/>
      <c r="R446" s="125"/>
      <c r="S446" s="103"/>
      <c r="T446" s="71"/>
      <c r="U446" s="189"/>
      <c r="V446" s="125"/>
      <c r="W446" s="103"/>
      <c r="X446" s="71"/>
      <c r="Y446" s="137"/>
      <c r="Z446" s="180"/>
      <c r="AA446" s="181"/>
      <c r="AB446" s="182"/>
      <c r="AC446" s="137"/>
      <c r="AD446" s="125"/>
      <c r="AE446" s="162"/>
      <c r="AF446" s="183"/>
      <c r="AG446" s="195"/>
      <c r="AH446" s="195"/>
      <c r="AI446" s="195"/>
      <c r="AJ446" s="195"/>
      <c r="AK446" s="71"/>
      <c r="AL446" s="71"/>
      <c r="AM446" s="71"/>
      <c r="AN446" s="71"/>
      <c r="AO446" s="71"/>
    </row>
    <row r="447">
      <c r="A447" s="137"/>
      <c r="B447" s="138"/>
      <c r="C447" s="103"/>
      <c r="D447" s="71"/>
      <c r="E447" s="137"/>
      <c r="F447" s="138"/>
      <c r="G447" s="103"/>
      <c r="H447" s="71"/>
      <c r="I447" s="137"/>
      <c r="J447" s="138"/>
      <c r="K447" s="103"/>
      <c r="L447" s="71"/>
      <c r="M447" s="137"/>
      <c r="N447" s="125"/>
      <c r="O447" s="103"/>
      <c r="P447" s="71"/>
      <c r="Q447" s="189"/>
      <c r="R447" s="125"/>
      <c r="S447" s="103"/>
      <c r="T447" s="71"/>
      <c r="U447" s="189"/>
      <c r="V447" s="125"/>
      <c r="W447" s="103"/>
      <c r="X447" s="71"/>
      <c r="Y447" s="137"/>
      <c r="Z447" s="180"/>
      <c r="AA447" s="181"/>
      <c r="AB447" s="182"/>
      <c r="AC447" s="137"/>
      <c r="AD447" s="125"/>
      <c r="AE447" s="162"/>
      <c r="AF447" s="183"/>
      <c r="AG447" s="195"/>
      <c r="AH447" s="195"/>
      <c r="AI447" s="195"/>
      <c r="AJ447" s="195"/>
      <c r="AK447" s="71"/>
      <c r="AL447" s="71"/>
      <c r="AM447" s="71"/>
      <c r="AN447" s="71"/>
      <c r="AO447" s="71"/>
    </row>
    <row r="448">
      <c r="A448" s="137"/>
      <c r="B448" s="138"/>
      <c r="C448" s="103"/>
      <c r="D448" s="71"/>
      <c r="E448" s="137"/>
      <c r="F448" s="138"/>
      <c r="G448" s="103"/>
      <c r="H448" s="71"/>
      <c r="I448" s="137"/>
      <c r="J448" s="138"/>
      <c r="K448" s="103"/>
      <c r="L448" s="71"/>
      <c r="M448" s="137"/>
      <c r="N448" s="125"/>
      <c r="O448" s="103"/>
      <c r="P448" s="71"/>
      <c r="Q448" s="189"/>
      <c r="R448" s="125"/>
      <c r="S448" s="103"/>
      <c r="T448" s="71"/>
      <c r="U448" s="189"/>
      <c r="V448" s="125"/>
      <c r="W448" s="103"/>
      <c r="X448" s="71"/>
      <c r="Y448" s="137"/>
      <c r="Z448" s="180"/>
      <c r="AA448" s="181"/>
      <c r="AB448" s="182"/>
      <c r="AC448" s="137"/>
      <c r="AD448" s="125"/>
      <c r="AE448" s="162"/>
      <c r="AF448" s="183"/>
      <c r="AG448" s="195"/>
      <c r="AH448" s="195"/>
      <c r="AI448" s="195"/>
      <c r="AJ448" s="195"/>
      <c r="AK448" s="71"/>
      <c r="AL448" s="71"/>
      <c r="AM448" s="71"/>
      <c r="AN448" s="71"/>
      <c r="AO448" s="71"/>
    </row>
    <row r="449">
      <c r="A449" s="137"/>
      <c r="B449" s="138"/>
      <c r="C449" s="103"/>
      <c r="D449" s="71"/>
      <c r="E449" s="137"/>
      <c r="F449" s="138"/>
      <c r="G449" s="103"/>
      <c r="H449" s="71"/>
      <c r="I449" s="137"/>
      <c r="J449" s="138"/>
      <c r="K449" s="103"/>
      <c r="L449" s="71"/>
      <c r="M449" s="137"/>
      <c r="N449" s="125"/>
      <c r="O449" s="103"/>
      <c r="P449" s="71"/>
      <c r="Q449" s="189"/>
      <c r="R449" s="125"/>
      <c r="S449" s="103"/>
      <c r="T449" s="71"/>
      <c r="U449" s="189"/>
      <c r="V449" s="125"/>
      <c r="W449" s="103"/>
      <c r="X449" s="71"/>
      <c r="Y449" s="137"/>
      <c r="Z449" s="180"/>
      <c r="AA449" s="181"/>
      <c r="AB449" s="182"/>
      <c r="AC449" s="137"/>
      <c r="AD449" s="125"/>
      <c r="AE449" s="162"/>
      <c r="AF449" s="183"/>
      <c r="AG449" s="195"/>
      <c r="AH449" s="195"/>
      <c r="AI449" s="195"/>
      <c r="AJ449" s="195"/>
      <c r="AK449" s="71"/>
      <c r="AL449" s="71"/>
      <c r="AM449" s="71"/>
      <c r="AN449" s="71"/>
      <c r="AO449" s="71"/>
    </row>
    <row r="450">
      <c r="A450" s="137"/>
      <c r="B450" s="138"/>
      <c r="C450" s="103"/>
      <c r="D450" s="71"/>
      <c r="E450" s="137"/>
      <c r="F450" s="138"/>
      <c r="G450" s="103"/>
      <c r="H450" s="71"/>
      <c r="I450" s="137"/>
      <c r="J450" s="138"/>
      <c r="K450" s="103"/>
      <c r="L450" s="71"/>
      <c r="M450" s="137"/>
      <c r="N450" s="125"/>
      <c r="O450" s="103"/>
      <c r="P450" s="71"/>
      <c r="Q450" s="189"/>
      <c r="R450" s="125"/>
      <c r="S450" s="103"/>
      <c r="T450" s="71"/>
      <c r="U450" s="189"/>
      <c r="V450" s="125"/>
      <c r="W450" s="103"/>
      <c r="X450" s="71"/>
      <c r="Y450" s="137"/>
      <c r="Z450" s="180"/>
      <c r="AA450" s="181"/>
      <c r="AB450" s="182"/>
      <c r="AC450" s="137"/>
      <c r="AD450" s="125"/>
      <c r="AE450" s="162"/>
      <c r="AF450" s="183"/>
      <c r="AG450" s="195"/>
      <c r="AH450" s="195"/>
      <c r="AI450" s="195"/>
      <c r="AJ450" s="195"/>
      <c r="AK450" s="71"/>
      <c r="AL450" s="71"/>
      <c r="AM450" s="71"/>
      <c r="AN450" s="71"/>
      <c r="AO450" s="71"/>
    </row>
    <row r="451">
      <c r="A451" s="137"/>
      <c r="B451" s="138"/>
      <c r="C451" s="103"/>
      <c r="D451" s="71"/>
      <c r="E451" s="137"/>
      <c r="F451" s="138"/>
      <c r="G451" s="103"/>
      <c r="H451" s="71"/>
      <c r="I451" s="137"/>
      <c r="J451" s="138"/>
      <c r="K451" s="103"/>
      <c r="L451" s="71"/>
      <c r="M451" s="137"/>
      <c r="N451" s="125"/>
      <c r="O451" s="103"/>
      <c r="P451" s="71"/>
      <c r="Q451" s="189"/>
      <c r="R451" s="125"/>
      <c r="S451" s="103"/>
      <c r="T451" s="71"/>
      <c r="U451" s="189"/>
      <c r="V451" s="125"/>
      <c r="W451" s="103"/>
      <c r="X451" s="71"/>
      <c r="Y451" s="137"/>
      <c r="Z451" s="180"/>
      <c r="AA451" s="181"/>
      <c r="AB451" s="182"/>
      <c r="AC451" s="137"/>
      <c r="AD451" s="125"/>
      <c r="AE451" s="162"/>
      <c r="AF451" s="183"/>
      <c r="AG451" s="195"/>
      <c r="AH451" s="195"/>
      <c r="AI451" s="195"/>
      <c r="AJ451" s="195"/>
      <c r="AK451" s="71"/>
      <c r="AL451" s="71"/>
      <c r="AM451" s="71"/>
      <c r="AN451" s="71"/>
      <c r="AO451" s="71"/>
    </row>
    <row r="452">
      <c r="A452" s="137"/>
      <c r="B452" s="138"/>
      <c r="C452" s="103"/>
      <c r="D452" s="71"/>
      <c r="E452" s="137"/>
      <c r="F452" s="138"/>
      <c r="G452" s="103"/>
      <c r="H452" s="71"/>
      <c r="I452" s="137"/>
      <c r="J452" s="138"/>
      <c r="K452" s="103"/>
      <c r="L452" s="71"/>
      <c r="M452" s="137"/>
      <c r="N452" s="125"/>
      <c r="O452" s="103"/>
      <c r="P452" s="71"/>
      <c r="Q452" s="189"/>
      <c r="R452" s="125"/>
      <c r="S452" s="103"/>
      <c r="T452" s="71"/>
      <c r="U452" s="189"/>
      <c r="V452" s="125"/>
      <c r="W452" s="103"/>
      <c r="X452" s="71"/>
      <c r="Y452" s="137"/>
      <c r="Z452" s="180"/>
      <c r="AA452" s="181"/>
      <c r="AB452" s="182"/>
      <c r="AC452" s="137"/>
      <c r="AD452" s="125"/>
      <c r="AE452" s="162"/>
      <c r="AF452" s="183"/>
      <c r="AG452" s="195"/>
      <c r="AH452" s="195"/>
      <c r="AI452" s="195"/>
      <c r="AJ452" s="195"/>
      <c r="AK452" s="71"/>
      <c r="AL452" s="71"/>
      <c r="AM452" s="71"/>
      <c r="AN452" s="71"/>
      <c r="AO452" s="71"/>
    </row>
    <row r="453">
      <c r="A453" s="137"/>
      <c r="B453" s="138"/>
      <c r="C453" s="103"/>
      <c r="D453" s="71"/>
      <c r="E453" s="137"/>
      <c r="F453" s="138"/>
      <c r="G453" s="103"/>
      <c r="H453" s="71"/>
      <c r="I453" s="137"/>
      <c r="J453" s="138"/>
      <c r="K453" s="103"/>
      <c r="L453" s="71"/>
      <c r="M453" s="137"/>
      <c r="N453" s="125"/>
      <c r="O453" s="103"/>
      <c r="P453" s="71"/>
      <c r="Q453" s="189"/>
      <c r="R453" s="125"/>
      <c r="S453" s="103"/>
      <c r="T453" s="71"/>
      <c r="U453" s="189"/>
      <c r="V453" s="125"/>
      <c r="W453" s="103"/>
      <c r="X453" s="71"/>
      <c r="Y453" s="137"/>
      <c r="Z453" s="180"/>
      <c r="AA453" s="181"/>
      <c r="AB453" s="182"/>
      <c r="AC453" s="137"/>
      <c r="AD453" s="125"/>
      <c r="AE453" s="162"/>
      <c r="AF453" s="183"/>
      <c r="AG453" s="195"/>
      <c r="AH453" s="195"/>
      <c r="AI453" s="195"/>
      <c r="AJ453" s="195"/>
      <c r="AK453" s="71"/>
      <c r="AL453" s="71"/>
      <c r="AM453" s="71"/>
      <c r="AN453" s="71"/>
      <c r="AO453" s="71"/>
    </row>
    <row r="454">
      <c r="A454" s="137"/>
      <c r="B454" s="138"/>
      <c r="C454" s="103"/>
      <c r="D454" s="71"/>
      <c r="E454" s="137"/>
      <c r="F454" s="138"/>
      <c r="G454" s="103"/>
      <c r="H454" s="71"/>
      <c r="I454" s="137"/>
      <c r="J454" s="138"/>
      <c r="K454" s="103"/>
      <c r="L454" s="71"/>
      <c r="M454" s="137"/>
      <c r="N454" s="125"/>
      <c r="O454" s="103"/>
      <c r="P454" s="71"/>
      <c r="Q454" s="189"/>
      <c r="R454" s="125"/>
      <c r="S454" s="103"/>
      <c r="T454" s="71"/>
      <c r="U454" s="189"/>
      <c r="V454" s="125"/>
      <c r="W454" s="103"/>
      <c r="X454" s="71"/>
      <c r="Y454" s="137"/>
      <c r="Z454" s="180"/>
      <c r="AA454" s="181"/>
      <c r="AB454" s="182"/>
      <c r="AC454" s="137"/>
      <c r="AD454" s="125"/>
      <c r="AE454" s="162"/>
      <c r="AF454" s="183"/>
      <c r="AG454" s="195"/>
      <c r="AH454" s="195"/>
      <c r="AI454" s="195"/>
      <c r="AJ454" s="195"/>
      <c r="AK454" s="71"/>
      <c r="AL454" s="71"/>
      <c r="AM454" s="71"/>
      <c r="AN454" s="71"/>
      <c r="AO454" s="71"/>
    </row>
    <row r="455">
      <c r="A455" s="137"/>
      <c r="B455" s="138"/>
      <c r="C455" s="103"/>
      <c r="D455" s="71"/>
      <c r="E455" s="137"/>
      <c r="F455" s="138"/>
      <c r="G455" s="103"/>
      <c r="H455" s="71"/>
      <c r="I455" s="137"/>
      <c r="J455" s="138"/>
      <c r="K455" s="103"/>
      <c r="L455" s="71"/>
      <c r="M455" s="137"/>
      <c r="N455" s="125"/>
      <c r="O455" s="103"/>
      <c r="P455" s="71"/>
      <c r="Q455" s="189"/>
      <c r="R455" s="125"/>
      <c r="S455" s="103"/>
      <c r="T455" s="71"/>
      <c r="U455" s="189"/>
      <c r="V455" s="125"/>
      <c r="W455" s="103"/>
      <c r="X455" s="71"/>
      <c r="Y455" s="137"/>
      <c r="Z455" s="180"/>
      <c r="AA455" s="181"/>
      <c r="AB455" s="182"/>
      <c r="AC455" s="137"/>
      <c r="AD455" s="125"/>
      <c r="AE455" s="162"/>
      <c r="AF455" s="183"/>
      <c r="AG455" s="195"/>
      <c r="AH455" s="195"/>
      <c r="AI455" s="195"/>
      <c r="AJ455" s="195"/>
      <c r="AK455" s="71"/>
      <c r="AL455" s="71"/>
      <c r="AM455" s="71"/>
      <c r="AN455" s="71"/>
      <c r="AO455" s="71"/>
    </row>
    <row r="456">
      <c r="A456" s="137"/>
      <c r="B456" s="138"/>
      <c r="C456" s="103"/>
      <c r="D456" s="71"/>
      <c r="E456" s="137"/>
      <c r="F456" s="138"/>
      <c r="G456" s="103"/>
      <c r="H456" s="71"/>
      <c r="I456" s="137"/>
      <c r="J456" s="138"/>
      <c r="K456" s="103"/>
      <c r="L456" s="71"/>
      <c r="M456" s="137"/>
      <c r="N456" s="125"/>
      <c r="O456" s="103"/>
      <c r="P456" s="71"/>
      <c r="Q456" s="189"/>
      <c r="R456" s="125"/>
      <c r="S456" s="103"/>
      <c r="T456" s="71"/>
      <c r="U456" s="189"/>
      <c r="V456" s="125"/>
      <c r="W456" s="103"/>
      <c r="X456" s="71"/>
      <c r="Y456" s="137"/>
      <c r="Z456" s="180"/>
      <c r="AA456" s="181"/>
      <c r="AB456" s="182"/>
      <c r="AC456" s="137"/>
      <c r="AD456" s="125"/>
      <c r="AE456" s="162"/>
      <c r="AF456" s="183"/>
      <c r="AG456" s="195"/>
      <c r="AH456" s="195"/>
      <c r="AI456" s="195"/>
      <c r="AJ456" s="195"/>
      <c r="AK456" s="71"/>
      <c r="AL456" s="71"/>
      <c r="AM456" s="71"/>
      <c r="AN456" s="71"/>
      <c r="AO456" s="71"/>
    </row>
    <row r="457">
      <c r="A457" s="137"/>
      <c r="B457" s="138"/>
      <c r="C457" s="103"/>
      <c r="D457" s="71"/>
      <c r="E457" s="137"/>
      <c r="F457" s="138"/>
      <c r="G457" s="103"/>
      <c r="H457" s="71"/>
      <c r="I457" s="137"/>
      <c r="J457" s="138"/>
      <c r="K457" s="103"/>
      <c r="L457" s="71"/>
      <c r="M457" s="137"/>
      <c r="N457" s="125"/>
      <c r="O457" s="103"/>
      <c r="P457" s="71"/>
      <c r="Q457" s="189"/>
      <c r="R457" s="125"/>
      <c r="S457" s="103"/>
      <c r="T457" s="71"/>
      <c r="U457" s="189"/>
      <c r="V457" s="125"/>
      <c r="W457" s="103"/>
      <c r="X457" s="71"/>
      <c r="Y457" s="137"/>
      <c r="Z457" s="180"/>
      <c r="AA457" s="181"/>
      <c r="AB457" s="182"/>
      <c r="AC457" s="137"/>
      <c r="AD457" s="125"/>
      <c r="AE457" s="162"/>
      <c r="AF457" s="183"/>
      <c r="AG457" s="195"/>
      <c r="AH457" s="195"/>
      <c r="AI457" s="195"/>
      <c r="AJ457" s="195"/>
      <c r="AK457" s="71"/>
      <c r="AL457" s="71"/>
      <c r="AM457" s="71"/>
      <c r="AN457" s="71"/>
      <c r="AO457" s="71"/>
    </row>
    <row r="458">
      <c r="A458" s="137"/>
      <c r="B458" s="138"/>
      <c r="C458" s="103"/>
      <c r="D458" s="71"/>
      <c r="E458" s="137"/>
      <c r="F458" s="138"/>
      <c r="G458" s="103"/>
      <c r="H458" s="71"/>
      <c r="I458" s="137"/>
      <c r="J458" s="138"/>
      <c r="K458" s="103"/>
      <c r="L458" s="71"/>
      <c r="M458" s="137"/>
      <c r="N458" s="125"/>
      <c r="O458" s="103"/>
      <c r="P458" s="71"/>
      <c r="Q458" s="189"/>
      <c r="R458" s="125"/>
      <c r="S458" s="103"/>
      <c r="T458" s="71"/>
      <c r="U458" s="189"/>
      <c r="V458" s="125"/>
      <c r="W458" s="103"/>
      <c r="X458" s="71"/>
      <c r="Y458" s="137"/>
      <c r="Z458" s="180"/>
      <c r="AA458" s="181"/>
      <c r="AB458" s="182"/>
      <c r="AC458" s="137"/>
      <c r="AD458" s="125"/>
      <c r="AE458" s="162"/>
      <c r="AF458" s="183"/>
      <c r="AG458" s="195"/>
      <c r="AH458" s="195"/>
      <c r="AI458" s="195"/>
      <c r="AJ458" s="195"/>
      <c r="AK458" s="71"/>
      <c r="AL458" s="71"/>
      <c r="AM458" s="71"/>
      <c r="AN458" s="71"/>
      <c r="AO458" s="71"/>
    </row>
    <row r="459">
      <c r="A459" s="137"/>
      <c r="B459" s="138"/>
      <c r="C459" s="103"/>
      <c r="D459" s="71"/>
      <c r="E459" s="137"/>
      <c r="F459" s="138"/>
      <c r="G459" s="103"/>
      <c r="H459" s="71"/>
      <c r="I459" s="137"/>
      <c r="J459" s="138"/>
      <c r="K459" s="103"/>
      <c r="L459" s="71"/>
      <c r="M459" s="137"/>
      <c r="N459" s="125"/>
      <c r="O459" s="103"/>
      <c r="P459" s="71"/>
      <c r="Q459" s="189"/>
      <c r="R459" s="125"/>
      <c r="S459" s="103"/>
      <c r="T459" s="71"/>
      <c r="U459" s="189"/>
      <c r="V459" s="125"/>
      <c r="W459" s="103"/>
      <c r="X459" s="71"/>
      <c r="Y459" s="137"/>
      <c r="Z459" s="180"/>
      <c r="AA459" s="181"/>
      <c r="AB459" s="182"/>
      <c r="AC459" s="137"/>
      <c r="AD459" s="125"/>
      <c r="AE459" s="162"/>
      <c r="AF459" s="183"/>
      <c r="AG459" s="195"/>
      <c r="AH459" s="195"/>
      <c r="AI459" s="195"/>
      <c r="AJ459" s="195"/>
      <c r="AK459" s="71"/>
      <c r="AL459" s="71"/>
      <c r="AM459" s="71"/>
      <c r="AN459" s="71"/>
      <c r="AO459" s="71"/>
    </row>
    <row r="460">
      <c r="A460" s="137"/>
      <c r="B460" s="138"/>
      <c r="C460" s="103"/>
      <c r="D460" s="71"/>
      <c r="E460" s="137"/>
      <c r="F460" s="138"/>
      <c r="G460" s="103"/>
      <c r="H460" s="71"/>
      <c r="I460" s="137"/>
      <c r="J460" s="138"/>
      <c r="K460" s="103"/>
      <c r="L460" s="71"/>
      <c r="M460" s="137"/>
      <c r="N460" s="125"/>
      <c r="O460" s="103"/>
      <c r="P460" s="71"/>
      <c r="Q460" s="189"/>
      <c r="R460" s="125"/>
      <c r="S460" s="103"/>
      <c r="T460" s="71"/>
      <c r="U460" s="189"/>
      <c r="V460" s="125"/>
      <c r="W460" s="103"/>
      <c r="X460" s="71"/>
      <c r="Y460" s="137"/>
      <c r="Z460" s="180"/>
      <c r="AA460" s="181"/>
      <c r="AB460" s="182"/>
      <c r="AC460" s="137"/>
      <c r="AD460" s="125"/>
      <c r="AE460" s="162"/>
      <c r="AF460" s="183"/>
      <c r="AG460" s="195"/>
      <c r="AH460" s="195"/>
      <c r="AI460" s="195"/>
      <c r="AJ460" s="195"/>
      <c r="AK460" s="71"/>
      <c r="AL460" s="71"/>
      <c r="AM460" s="71"/>
      <c r="AN460" s="71"/>
      <c r="AO460" s="71"/>
    </row>
    <row r="461">
      <c r="A461" s="137"/>
      <c r="B461" s="138"/>
      <c r="C461" s="103"/>
      <c r="D461" s="71"/>
      <c r="E461" s="137"/>
      <c r="F461" s="138"/>
      <c r="G461" s="103"/>
      <c r="H461" s="71"/>
      <c r="I461" s="137"/>
      <c r="J461" s="138"/>
      <c r="K461" s="103"/>
      <c r="L461" s="71"/>
      <c r="M461" s="137"/>
      <c r="N461" s="125"/>
      <c r="O461" s="103"/>
      <c r="P461" s="71"/>
      <c r="Q461" s="189"/>
      <c r="R461" s="125"/>
      <c r="S461" s="103"/>
      <c r="T461" s="71"/>
      <c r="U461" s="189"/>
      <c r="V461" s="125"/>
      <c r="W461" s="103"/>
      <c r="X461" s="71"/>
      <c r="Y461" s="137"/>
      <c r="Z461" s="180"/>
      <c r="AA461" s="181"/>
      <c r="AB461" s="182"/>
      <c r="AC461" s="137"/>
      <c r="AD461" s="125"/>
      <c r="AE461" s="162"/>
      <c r="AF461" s="183"/>
      <c r="AG461" s="195"/>
      <c r="AH461" s="195"/>
      <c r="AI461" s="195"/>
      <c r="AJ461" s="195"/>
      <c r="AK461" s="71"/>
      <c r="AL461" s="71"/>
      <c r="AM461" s="71"/>
      <c r="AN461" s="71"/>
      <c r="AO461" s="71"/>
    </row>
    <row r="462">
      <c r="A462" s="137"/>
      <c r="B462" s="138"/>
      <c r="C462" s="103"/>
      <c r="D462" s="71"/>
      <c r="E462" s="137"/>
      <c r="F462" s="138"/>
      <c r="G462" s="103"/>
      <c r="H462" s="71"/>
      <c r="I462" s="137"/>
      <c r="J462" s="138"/>
      <c r="K462" s="103"/>
      <c r="L462" s="71"/>
      <c r="M462" s="137"/>
      <c r="N462" s="125"/>
      <c r="O462" s="103"/>
      <c r="P462" s="71"/>
      <c r="Q462" s="189"/>
      <c r="R462" s="125"/>
      <c r="S462" s="103"/>
      <c r="T462" s="71"/>
      <c r="U462" s="189"/>
      <c r="V462" s="125"/>
      <c r="W462" s="103"/>
      <c r="X462" s="71"/>
      <c r="Y462" s="137"/>
      <c r="Z462" s="180"/>
      <c r="AA462" s="181"/>
      <c r="AB462" s="182"/>
      <c r="AC462" s="137"/>
      <c r="AD462" s="125"/>
      <c r="AE462" s="162"/>
      <c r="AF462" s="183"/>
      <c r="AG462" s="195"/>
      <c r="AH462" s="195"/>
      <c r="AI462" s="195"/>
      <c r="AJ462" s="195"/>
      <c r="AK462" s="71"/>
      <c r="AL462" s="71"/>
      <c r="AM462" s="71"/>
      <c r="AN462" s="71"/>
      <c r="AO462" s="71"/>
    </row>
    <row r="463">
      <c r="A463" s="137"/>
      <c r="B463" s="138"/>
      <c r="C463" s="103"/>
      <c r="D463" s="71"/>
      <c r="E463" s="137"/>
      <c r="F463" s="138"/>
      <c r="G463" s="103"/>
      <c r="H463" s="71"/>
      <c r="I463" s="137"/>
      <c r="J463" s="138"/>
      <c r="K463" s="103"/>
      <c r="L463" s="71"/>
      <c r="M463" s="137"/>
      <c r="N463" s="125"/>
      <c r="O463" s="103"/>
      <c r="P463" s="71"/>
      <c r="Q463" s="189"/>
      <c r="R463" s="125"/>
      <c r="S463" s="103"/>
      <c r="T463" s="71"/>
      <c r="U463" s="189"/>
      <c r="V463" s="125"/>
      <c r="W463" s="103"/>
      <c r="X463" s="71"/>
      <c r="Y463" s="137"/>
      <c r="Z463" s="180"/>
      <c r="AA463" s="181"/>
      <c r="AB463" s="182"/>
      <c r="AC463" s="137"/>
      <c r="AD463" s="125"/>
      <c r="AE463" s="162"/>
      <c r="AF463" s="183"/>
      <c r="AG463" s="195"/>
      <c r="AH463" s="195"/>
      <c r="AI463" s="195"/>
      <c r="AJ463" s="195"/>
      <c r="AK463" s="71"/>
      <c r="AL463" s="71"/>
      <c r="AM463" s="71"/>
      <c r="AN463" s="71"/>
      <c r="AO463" s="71"/>
    </row>
    <row r="464">
      <c r="A464" s="137"/>
      <c r="B464" s="138"/>
      <c r="C464" s="103"/>
      <c r="D464" s="71"/>
      <c r="E464" s="137"/>
      <c r="F464" s="138"/>
      <c r="G464" s="103"/>
      <c r="H464" s="71"/>
      <c r="I464" s="137"/>
      <c r="J464" s="138"/>
      <c r="K464" s="103"/>
      <c r="L464" s="71"/>
      <c r="M464" s="137"/>
      <c r="N464" s="125"/>
      <c r="O464" s="103"/>
      <c r="P464" s="71"/>
      <c r="Q464" s="189"/>
      <c r="R464" s="125"/>
      <c r="S464" s="103"/>
      <c r="T464" s="71"/>
      <c r="U464" s="189"/>
      <c r="V464" s="125"/>
      <c r="W464" s="103"/>
      <c r="X464" s="71"/>
      <c r="Y464" s="137"/>
      <c r="Z464" s="180"/>
      <c r="AA464" s="181"/>
      <c r="AB464" s="182"/>
      <c r="AC464" s="137"/>
      <c r="AD464" s="125"/>
      <c r="AE464" s="162"/>
      <c r="AF464" s="183"/>
      <c r="AG464" s="195"/>
      <c r="AH464" s="195"/>
      <c r="AI464" s="195"/>
      <c r="AJ464" s="195"/>
      <c r="AK464" s="71"/>
      <c r="AL464" s="71"/>
      <c r="AM464" s="71"/>
      <c r="AN464" s="71"/>
      <c r="AO464" s="71"/>
    </row>
    <row r="465">
      <c r="A465" s="137"/>
      <c r="B465" s="138"/>
      <c r="C465" s="103"/>
      <c r="D465" s="71"/>
      <c r="E465" s="137"/>
      <c r="F465" s="138"/>
      <c r="G465" s="103"/>
      <c r="H465" s="71"/>
      <c r="I465" s="137"/>
      <c r="J465" s="138"/>
      <c r="K465" s="103"/>
      <c r="L465" s="71"/>
      <c r="M465" s="137"/>
      <c r="N465" s="125"/>
      <c r="O465" s="103"/>
      <c r="P465" s="71"/>
      <c r="Q465" s="189"/>
      <c r="R465" s="125"/>
      <c r="S465" s="103"/>
      <c r="T465" s="71"/>
      <c r="U465" s="189"/>
      <c r="V465" s="125"/>
      <c r="W465" s="103"/>
      <c r="X465" s="71"/>
      <c r="Y465" s="137"/>
      <c r="Z465" s="180"/>
      <c r="AA465" s="181"/>
      <c r="AB465" s="182"/>
      <c r="AC465" s="137"/>
      <c r="AD465" s="125"/>
      <c r="AE465" s="162"/>
      <c r="AF465" s="183"/>
      <c r="AG465" s="195"/>
      <c r="AH465" s="195"/>
      <c r="AI465" s="195"/>
      <c r="AJ465" s="195"/>
      <c r="AK465" s="71"/>
      <c r="AL465" s="71"/>
      <c r="AM465" s="71"/>
      <c r="AN465" s="71"/>
      <c r="AO465" s="71"/>
    </row>
    <row r="466">
      <c r="A466" s="137"/>
      <c r="B466" s="138"/>
      <c r="C466" s="103"/>
      <c r="D466" s="71"/>
      <c r="E466" s="137"/>
      <c r="F466" s="138"/>
      <c r="G466" s="103"/>
      <c r="H466" s="71"/>
      <c r="I466" s="137"/>
      <c r="J466" s="138"/>
      <c r="K466" s="103"/>
      <c r="L466" s="71"/>
      <c r="M466" s="137"/>
      <c r="N466" s="125"/>
      <c r="O466" s="103"/>
      <c r="P466" s="71"/>
      <c r="Q466" s="189"/>
      <c r="R466" s="125"/>
      <c r="S466" s="103"/>
      <c r="T466" s="71"/>
      <c r="U466" s="189"/>
      <c r="V466" s="125"/>
      <c r="W466" s="103"/>
      <c r="X466" s="71"/>
      <c r="Y466" s="137"/>
      <c r="Z466" s="180"/>
      <c r="AA466" s="181"/>
      <c r="AB466" s="182"/>
      <c r="AC466" s="137"/>
      <c r="AD466" s="125"/>
      <c r="AE466" s="162"/>
      <c r="AF466" s="183"/>
      <c r="AG466" s="195"/>
      <c r="AH466" s="195"/>
      <c r="AI466" s="195"/>
      <c r="AJ466" s="195"/>
      <c r="AK466" s="71"/>
      <c r="AL466" s="71"/>
      <c r="AM466" s="71"/>
      <c r="AN466" s="71"/>
      <c r="AO466" s="71"/>
    </row>
    <row r="467">
      <c r="A467" s="137"/>
      <c r="B467" s="138"/>
      <c r="C467" s="103"/>
      <c r="D467" s="71"/>
      <c r="E467" s="137"/>
      <c r="F467" s="138"/>
      <c r="G467" s="103"/>
      <c r="H467" s="71"/>
      <c r="I467" s="137"/>
      <c r="J467" s="138"/>
      <c r="K467" s="103"/>
      <c r="L467" s="71"/>
      <c r="M467" s="137"/>
      <c r="N467" s="125"/>
      <c r="O467" s="103"/>
      <c r="P467" s="71"/>
      <c r="Q467" s="189"/>
      <c r="R467" s="125"/>
      <c r="S467" s="103"/>
      <c r="T467" s="71"/>
      <c r="U467" s="189"/>
      <c r="V467" s="125"/>
      <c r="W467" s="103"/>
      <c r="X467" s="71"/>
      <c r="Y467" s="137"/>
      <c r="Z467" s="180"/>
      <c r="AA467" s="181"/>
      <c r="AB467" s="182"/>
      <c r="AC467" s="137"/>
      <c r="AD467" s="125"/>
      <c r="AE467" s="162"/>
      <c r="AF467" s="183"/>
      <c r="AG467" s="195"/>
      <c r="AH467" s="195"/>
      <c r="AI467" s="195"/>
      <c r="AJ467" s="195"/>
      <c r="AK467" s="71"/>
      <c r="AL467" s="71"/>
      <c r="AM467" s="71"/>
      <c r="AN467" s="71"/>
      <c r="AO467" s="71"/>
    </row>
    <row r="468">
      <c r="A468" s="137"/>
      <c r="B468" s="138"/>
      <c r="C468" s="103"/>
      <c r="D468" s="71"/>
      <c r="E468" s="137"/>
      <c r="F468" s="138"/>
      <c r="G468" s="103"/>
      <c r="H468" s="71"/>
      <c r="I468" s="137"/>
      <c r="J468" s="138"/>
      <c r="K468" s="103"/>
      <c r="L468" s="71"/>
      <c r="M468" s="137"/>
      <c r="N468" s="125"/>
      <c r="O468" s="103"/>
      <c r="P468" s="71"/>
      <c r="Q468" s="189"/>
      <c r="R468" s="125"/>
      <c r="S468" s="103"/>
      <c r="T468" s="71"/>
      <c r="U468" s="189"/>
      <c r="V468" s="125"/>
      <c r="W468" s="103"/>
      <c r="X468" s="71"/>
      <c r="Y468" s="137"/>
      <c r="Z468" s="180"/>
      <c r="AA468" s="181"/>
      <c r="AB468" s="182"/>
      <c r="AC468" s="137"/>
      <c r="AD468" s="125"/>
      <c r="AE468" s="162"/>
      <c r="AF468" s="183"/>
      <c r="AG468" s="195"/>
      <c r="AH468" s="195"/>
      <c r="AI468" s="195"/>
      <c r="AJ468" s="195"/>
      <c r="AK468" s="71"/>
      <c r="AL468" s="71"/>
      <c r="AM468" s="71"/>
      <c r="AN468" s="71"/>
      <c r="AO468" s="71"/>
    </row>
    <row r="469">
      <c r="A469" s="137"/>
      <c r="B469" s="138"/>
      <c r="C469" s="103"/>
      <c r="D469" s="71"/>
      <c r="E469" s="137"/>
      <c r="F469" s="138"/>
      <c r="G469" s="103"/>
      <c r="H469" s="71"/>
      <c r="I469" s="137"/>
      <c r="J469" s="138"/>
      <c r="K469" s="103"/>
      <c r="L469" s="71"/>
      <c r="M469" s="137"/>
      <c r="N469" s="125"/>
      <c r="O469" s="103"/>
      <c r="P469" s="71"/>
      <c r="Q469" s="189"/>
      <c r="R469" s="125"/>
      <c r="S469" s="103"/>
      <c r="T469" s="71"/>
      <c r="U469" s="189"/>
      <c r="V469" s="125"/>
      <c r="W469" s="103"/>
      <c r="X469" s="71"/>
      <c r="Y469" s="137"/>
      <c r="Z469" s="180"/>
      <c r="AA469" s="181"/>
      <c r="AB469" s="182"/>
      <c r="AC469" s="137"/>
      <c r="AD469" s="125"/>
      <c r="AE469" s="162"/>
      <c r="AF469" s="183"/>
      <c r="AG469" s="195"/>
      <c r="AH469" s="195"/>
      <c r="AI469" s="195"/>
      <c r="AJ469" s="195"/>
      <c r="AK469" s="71"/>
      <c r="AL469" s="71"/>
      <c r="AM469" s="71"/>
      <c r="AN469" s="71"/>
      <c r="AO469" s="71"/>
    </row>
    <row r="470">
      <c r="A470" s="137"/>
      <c r="B470" s="138"/>
      <c r="C470" s="103"/>
      <c r="D470" s="71"/>
      <c r="E470" s="137"/>
      <c r="F470" s="138"/>
      <c r="G470" s="103"/>
      <c r="H470" s="71"/>
      <c r="I470" s="137"/>
      <c r="J470" s="138"/>
      <c r="K470" s="103"/>
      <c r="L470" s="71"/>
      <c r="M470" s="137"/>
      <c r="N470" s="125"/>
      <c r="O470" s="103"/>
      <c r="P470" s="71"/>
      <c r="Q470" s="189"/>
      <c r="R470" s="125"/>
      <c r="S470" s="103"/>
      <c r="T470" s="71"/>
      <c r="U470" s="189"/>
      <c r="V470" s="125"/>
      <c r="W470" s="103"/>
      <c r="X470" s="71"/>
      <c r="Y470" s="137"/>
      <c r="Z470" s="180"/>
      <c r="AA470" s="181"/>
      <c r="AB470" s="182"/>
      <c r="AC470" s="137"/>
      <c r="AD470" s="125"/>
      <c r="AE470" s="162"/>
      <c r="AF470" s="183"/>
      <c r="AG470" s="195"/>
      <c r="AH470" s="195"/>
      <c r="AI470" s="195"/>
      <c r="AJ470" s="195"/>
      <c r="AK470" s="71"/>
      <c r="AL470" s="71"/>
      <c r="AM470" s="71"/>
      <c r="AN470" s="71"/>
      <c r="AO470" s="71"/>
    </row>
    <row r="471">
      <c r="A471" s="137"/>
      <c r="B471" s="138"/>
      <c r="C471" s="103"/>
      <c r="D471" s="71"/>
      <c r="E471" s="137"/>
      <c r="F471" s="138"/>
      <c r="G471" s="103"/>
      <c r="H471" s="71"/>
      <c r="I471" s="137"/>
      <c r="J471" s="138"/>
      <c r="K471" s="103"/>
      <c r="L471" s="71"/>
      <c r="M471" s="137"/>
      <c r="N471" s="125"/>
      <c r="O471" s="103"/>
      <c r="P471" s="71"/>
      <c r="Q471" s="189"/>
      <c r="R471" s="125"/>
      <c r="S471" s="103"/>
      <c r="T471" s="71"/>
      <c r="U471" s="189"/>
      <c r="V471" s="125"/>
      <c r="W471" s="103"/>
      <c r="X471" s="71"/>
      <c r="Y471" s="137"/>
      <c r="Z471" s="180"/>
      <c r="AA471" s="181"/>
      <c r="AB471" s="182"/>
      <c r="AC471" s="137"/>
      <c r="AD471" s="125"/>
      <c r="AE471" s="162"/>
      <c r="AF471" s="183"/>
      <c r="AG471" s="195"/>
      <c r="AH471" s="195"/>
      <c r="AI471" s="195"/>
      <c r="AJ471" s="195"/>
      <c r="AK471" s="71"/>
      <c r="AL471" s="71"/>
      <c r="AM471" s="71"/>
      <c r="AN471" s="71"/>
      <c r="AO471" s="71"/>
    </row>
    <row r="472">
      <c r="A472" s="137"/>
      <c r="B472" s="138"/>
      <c r="C472" s="103"/>
      <c r="D472" s="71"/>
      <c r="E472" s="137"/>
      <c r="F472" s="138"/>
      <c r="G472" s="103"/>
      <c r="H472" s="71"/>
      <c r="I472" s="137"/>
      <c r="J472" s="138"/>
      <c r="K472" s="103"/>
      <c r="L472" s="71"/>
      <c r="M472" s="137"/>
      <c r="N472" s="125"/>
      <c r="O472" s="103"/>
      <c r="P472" s="71"/>
      <c r="Q472" s="189"/>
      <c r="R472" s="125"/>
      <c r="S472" s="103"/>
      <c r="T472" s="71"/>
      <c r="U472" s="189"/>
      <c r="V472" s="125"/>
      <c r="W472" s="103"/>
      <c r="X472" s="71"/>
      <c r="Y472" s="137"/>
      <c r="Z472" s="180"/>
      <c r="AA472" s="181"/>
      <c r="AB472" s="182"/>
      <c r="AC472" s="137"/>
      <c r="AD472" s="125"/>
      <c r="AE472" s="162"/>
      <c r="AF472" s="183"/>
      <c r="AG472" s="195"/>
      <c r="AH472" s="195"/>
      <c r="AI472" s="195"/>
      <c r="AJ472" s="195"/>
      <c r="AK472" s="71"/>
      <c r="AL472" s="71"/>
      <c r="AM472" s="71"/>
      <c r="AN472" s="71"/>
      <c r="AO472" s="71"/>
    </row>
    <row r="473">
      <c r="A473" s="137"/>
      <c r="B473" s="138"/>
      <c r="C473" s="103"/>
      <c r="D473" s="71"/>
      <c r="E473" s="137"/>
      <c r="F473" s="138"/>
      <c r="G473" s="103"/>
      <c r="H473" s="71"/>
      <c r="I473" s="137"/>
      <c r="J473" s="138"/>
      <c r="K473" s="103"/>
      <c r="L473" s="71"/>
      <c r="M473" s="137"/>
      <c r="N473" s="125"/>
      <c r="O473" s="103"/>
      <c r="P473" s="71"/>
      <c r="Q473" s="189"/>
      <c r="R473" s="125"/>
      <c r="S473" s="103"/>
      <c r="T473" s="71"/>
      <c r="U473" s="189"/>
      <c r="V473" s="125"/>
      <c r="W473" s="103"/>
      <c r="X473" s="71"/>
      <c r="Y473" s="137"/>
      <c r="Z473" s="180"/>
      <c r="AA473" s="181"/>
      <c r="AB473" s="182"/>
      <c r="AC473" s="137"/>
      <c r="AD473" s="125"/>
      <c r="AE473" s="162"/>
      <c r="AF473" s="183"/>
      <c r="AG473" s="195"/>
      <c r="AH473" s="195"/>
      <c r="AI473" s="195"/>
      <c r="AJ473" s="195"/>
      <c r="AK473" s="71"/>
      <c r="AL473" s="71"/>
      <c r="AM473" s="71"/>
      <c r="AN473" s="71"/>
      <c r="AO473" s="71"/>
    </row>
    <row r="474">
      <c r="A474" s="137"/>
      <c r="B474" s="138"/>
      <c r="C474" s="103"/>
      <c r="D474" s="71"/>
      <c r="E474" s="137"/>
      <c r="F474" s="138"/>
      <c r="G474" s="103"/>
      <c r="H474" s="71"/>
      <c r="I474" s="137"/>
      <c r="J474" s="138"/>
      <c r="K474" s="103"/>
      <c r="L474" s="71"/>
      <c r="M474" s="137"/>
      <c r="N474" s="125"/>
      <c r="O474" s="103"/>
      <c r="P474" s="71"/>
      <c r="Q474" s="189"/>
      <c r="R474" s="125"/>
      <c r="S474" s="103"/>
      <c r="T474" s="71"/>
      <c r="U474" s="189"/>
      <c r="V474" s="125"/>
      <c r="W474" s="103"/>
      <c r="X474" s="71"/>
      <c r="Y474" s="137"/>
      <c r="Z474" s="180"/>
      <c r="AA474" s="181"/>
      <c r="AB474" s="182"/>
      <c r="AC474" s="137"/>
      <c r="AD474" s="125"/>
      <c r="AE474" s="162"/>
      <c r="AF474" s="183"/>
      <c r="AG474" s="195"/>
      <c r="AH474" s="195"/>
      <c r="AI474" s="195"/>
      <c r="AJ474" s="195"/>
      <c r="AK474" s="71"/>
      <c r="AL474" s="71"/>
      <c r="AM474" s="71"/>
      <c r="AN474" s="71"/>
      <c r="AO474" s="71"/>
    </row>
    <row r="475">
      <c r="A475" s="137"/>
      <c r="B475" s="138"/>
      <c r="C475" s="103"/>
      <c r="D475" s="71"/>
      <c r="E475" s="137"/>
      <c r="F475" s="138"/>
      <c r="G475" s="103"/>
      <c r="H475" s="71"/>
      <c r="I475" s="137"/>
      <c r="J475" s="138"/>
      <c r="K475" s="103"/>
      <c r="L475" s="71"/>
      <c r="M475" s="137"/>
      <c r="N475" s="125"/>
      <c r="O475" s="103"/>
      <c r="P475" s="71"/>
      <c r="Q475" s="189"/>
      <c r="R475" s="125"/>
      <c r="S475" s="103"/>
      <c r="T475" s="71"/>
      <c r="U475" s="189"/>
      <c r="V475" s="125"/>
      <c r="W475" s="103"/>
      <c r="X475" s="71"/>
      <c r="Y475" s="137"/>
      <c r="Z475" s="180"/>
      <c r="AA475" s="181"/>
      <c r="AB475" s="182"/>
      <c r="AC475" s="137"/>
      <c r="AD475" s="125"/>
      <c r="AE475" s="162"/>
      <c r="AF475" s="183"/>
      <c r="AG475" s="195"/>
      <c r="AH475" s="195"/>
      <c r="AI475" s="195"/>
      <c r="AJ475" s="195"/>
      <c r="AK475" s="71"/>
      <c r="AL475" s="71"/>
      <c r="AM475" s="71"/>
      <c r="AN475" s="71"/>
      <c r="AO475" s="71"/>
    </row>
    <row r="476">
      <c r="A476" s="137"/>
      <c r="B476" s="138"/>
      <c r="C476" s="103"/>
      <c r="D476" s="71"/>
      <c r="E476" s="137"/>
      <c r="F476" s="138"/>
      <c r="G476" s="103"/>
      <c r="H476" s="71"/>
      <c r="I476" s="137"/>
      <c r="J476" s="138"/>
      <c r="K476" s="103"/>
      <c r="L476" s="71"/>
      <c r="M476" s="137"/>
      <c r="N476" s="125"/>
      <c r="O476" s="103"/>
      <c r="P476" s="71"/>
      <c r="Q476" s="189"/>
      <c r="R476" s="125"/>
      <c r="S476" s="103"/>
      <c r="T476" s="71"/>
      <c r="U476" s="189"/>
      <c r="V476" s="125"/>
      <c r="W476" s="103"/>
      <c r="X476" s="71"/>
      <c r="Y476" s="137"/>
      <c r="Z476" s="180"/>
      <c r="AA476" s="181"/>
      <c r="AB476" s="182"/>
      <c r="AC476" s="137"/>
      <c r="AD476" s="125"/>
      <c r="AE476" s="162"/>
      <c r="AF476" s="183"/>
      <c r="AG476" s="195"/>
      <c r="AH476" s="195"/>
      <c r="AI476" s="195"/>
      <c r="AJ476" s="195"/>
      <c r="AK476" s="71"/>
      <c r="AL476" s="71"/>
      <c r="AM476" s="71"/>
      <c r="AN476" s="71"/>
      <c r="AO476" s="71"/>
    </row>
    <row r="477">
      <c r="A477" s="137"/>
      <c r="B477" s="138"/>
      <c r="C477" s="103"/>
      <c r="D477" s="71"/>
      <c r="E477" s="137"/>
      <c r="F477" s="138"/>
      <c r="G477" s="103"/>
      <c r="H477" s="71"/>
      <c r="I477" s="137"/>
      <c r="J477" s="138"/>
      <c r="K477" s="103"/>
      <c r="L477" s="71"/>
      <c r="M477" s="137"/>
      <c r="N477" s="125"/>
      <c r="O477" s="103"/>
      <c r="P477" s="71"/>
      <c r="Q477" s="189"/>
      <c r="R477" s="125"/>
      <c r="S477" s="103"/>
      <c r="T477" s="71"/>
      <c r="U477" s="189"/>
      <c r="V477" s="125"/>
      <c r="W477" s="103"/>
      <c r="X477" s="71"/>
      <c r="Y477" s="137"/>
      <c r="Z477" s="180"/>
      <c r="AA477" s="181"/>
      <c r="AB477" s="182"/>
      <c r="AC477" s="137"/>
      <c r="AD477" s="125"/>
      <c r="AE477" s="162"/>
      <c r="AF477" s="183"/>
      <c r="AG477" s="195"/>
      <c r="AH477" s="195"/>
      <c r="AI477" s="195"/>
      <c r="AJ477" s="195"/>
      <c r="AK477" s="71"/>
      <c r="AL477" s="71"/>
      <c r="AM477" s="71"/>
      <c r="AN477" s="71"/>
      <c r="AO477" s="71"/>
    </row>
    <row r="478">
      <c r="A478" s="137"/>
      <c r="B478" s="138"/>
      <c r="C478" s="103"/>
      <c r="D478" s="71"/>
      <c r="E478" s="137"/>
      <c r="F478" s="138"/>
      <c r="G478" s="103"/>
      <c r="H478" s="71"/>
      <c r="I478" s="137"/>
      <c r="J478" s="138"/>
      <c r="K478" s="103"/>
      <c r="L478" s="71"/>
      <c r="M478" s="137"/>
      <c r="N478" s="125"/>
      <c r="O478" s="103"/>
      <c r="P478" s="71"/>
      <c r="Q478" s="189"/>
      <c r="R478" s="125"/>
      <c r="S478" s="103"/>
      <c r="T478" s="71"/>
      <c r="U478" s="189"/>
      <c r="V478" s="125"/>
      <c r="W478" s="103"/>
      <c r="X478" s="71"/>
      <c r="Y478" s="137"/>
      <c r="Z478" s="180"/>
      <c r="AA478" s="181"/>
      <c r="AB478" s="182"/>
      <c r="AC478" s="137"/>
      <c r="AD478" s="125"/>
      <c r="AE478" s="162"/>
      <c r="AF478" s="183"/>
      <c r="AG478" s="195"/>
      <c r="AH478" s="195"/>
      <c r="AI478" s="195"/>
      <c r="AJ478" s="195"/>
      <c r="AK478" s="71"/>
      <c r="AL478" s="71"/>
      <c r="AM478" s="71"/>
      <c r="AN478" s="71"/>
      <c r="AO478" s="71"/>
    </row>
    <row r="479">
      <c r="A479" s="137"/>
      <c r="B479" s="138"/>
      <c r="C479" s="103"/>
      <c r="D479" s="71"/>
      <c r="E479" s="137"/>
      <c r="F479" s="138"/>
      <c r="G479" s="103"/>
      <c r="H479" s="71"/>
      <c r="I479" s="137"/>
      <c r="J479" s="138"/>
      <c r="K479" s="103"/>
      <c r="L479" s="71"/>
      <c r="M479" s="137"/>
      <c r="N479" s="125"/>
      <c r="O479" s="103"/>
      <c r="P479" s="71"/>
      <c r="Q479" s="189"/>
      <c r="R479" s="125"/>
      <c r="S479" s="103"/>
      <c r="T479" s="71"/>
      <c r="U479" s="189"/>
      <c r="V479" s="125"/>
      <c r="W479" s="103"/>
      <c r="X479" s="71"/>
      <c r="Y479" s="137"/>
      <c r="Z479" s="180"/>
      <c r="AA479" s="181"/>
      <c r="AB479" s="182"/>
      <c r="AC479" s="137"/>
      <c r="AD479" s="125"/>
      <c r="AE479" s="162"/>
      <c r="AF479" s="183"/>
      <c r="AG479" s="195"/>
      <c r="AH479" s="195"/>
      <c r="AI479" s="195"/>
      <c r="AJ479" s="195"/>
      <c r="AK479" s="71"/>
      <c r="AL479" s="71"/>
      <c r="AM479" s="71"/>
      <c r="AN479" s="71"/>
      <c r="AO479" s="71"/>
    </row>
    <row r="480">
      <c r="A480" s="137"/>
      <c r="B480" s="138"/>
      <c r="C480" s="103"/>
      <c r="D480" s="71"/>
      <c r="E480" s="137"/>
      <c r="F480" s="138"/>
      <c r="G480" s="103"/>
      <c r="H480" s="71"/>
      <c r="I480" s="137"/>
      <c r="J480" s="138"/>
      <c r="K480" s="103"/>
      <c r="L480" s="71"/>
      <c r="M480" s="137"/>
      <c r="N480" s="125"/>
      <c r="O480" s="103"/>
      <c r="P480" s="71"/>
      <c r="Q480" s="189"/>
      <c r="R480" s="125"/>
      <c r="S480" s="103"/>
      <c r="T480" s="71"/>
      <c r="U480" s="189"/>
      <c r="V480" s="125"/>
      <c r="W480" s="103"/>
      <c r="X480" s="71"/>
      <c r="Y480" s="137"/>
      <c r="Z480" s="180"/>
      <c r="AA480" s="181"/>
      <c r="AB480" s="182"/>
      <c r="AC480" s="137"/>
      <c r="AD480" s="125"/>
      <c r="AE480" s="162"/>
      <c r="AF480" s="183"/>
      <c r="AG480" s="195"/>
      <c r="AH480" s="195"/>
      <c r="AI480" s="195"/>
      <c r="AJ480" s="195"/>
      <c r="AK480" s="71"/>
      <c r="AL480" s="71"/>
      <c r="AM480" s="71"/>
      <c r="AN480" s="71"/>
      <c r="AO480" s="71"/>
    </row>
    <row r="481">
      <c r="A481" s="137"/>
      <c r="B481" s="138"/>
      <c r="C481" s="103"/>
      <c r="D481" s="71"/>
      <c r="E481" s="137"/>
      <c r="F481" s="138"/>
      <c r="G481" s="103"/>
      <c r="H481" s="71"/>
      <c r="I481" s="137"/>
      <c r="J481" s="138"/>
      <c r="K481" s="103"/>
      <c r="L481" s="71"/>
      <c r="M481" s="137"/>
      <c r="N481" s="125"/>
      <c r="O481" s="103"/>
      <c r="P481" s="71"/>
      <c r="Q481" s="189"/>
      <c r="R481" s="125"/>
      <c r="S481" s="103"/>
      <c r="T481" s="71"/>
      <c r="U481" s="189"/>
      <c r="V481" s="125"/>
      <c r="W481" s="103"/>
      <c r="X481" s="71"/>
      <c r="Y481" s="137"/>
      <c r="Z481" s="180"/>
      <c r="AA481" s="181"/>
      <c r="AB481" s="182"/>
      <c r="AC481" s="137"/>
      <c r="AD481" s="125"/>
      <c r="AE481" s="162"/>
      <c r="AF481" s="183"/>
      <c r="AG481" s="195"/>
      <c r="AH481" s="195"/>
      <c r="AI481" s="195"/>
      <c r="AJ481" s="195"/>
      <c r="AK481" s="71"/>
      <c r="AL481" s="71"/>
      <c r="AM481" s="71"/>
      <c r="AN481" s="71"/>
      <c r="AO481" s="71"/>
    </row>
    <row r="482">
      <c r="A482" s="137"/>
      <c r="B482" s="138"/>
      <c r="C482" s="103"/>
      <c r="D482" s="71"/>
      <c r="E482" s="137"/>
      <c r="F482" s="138"/>
      <c r="G482" s="103"/>
      <c r="H482" s="71"/>
      <c r="I482" s="137"/>
      <c r="J482" s="138"/>
      <c r="K482" s="103"/>
      <c r="L482" s="71"/>
      <c r="M482" s="137"/>
      <c r="N482" s="125"/>
      <c r="O482" s="103"/>
      <c r="P482" s="71"/>
      <c r="Q482" s="189"/>
      <c r="R482" s="125"/>
      <c r="S482" s="103"/>
      <c r="T482" s="71"/>
      <c r="U482" s="189"/>
      <c r="V482" s="125"/>
      <c r="W482" s="103"/>
      <c r="X482" s="71"/>
      <c r="Y482" s="137"/>
      <c r="Z482" s="180"/>
      <c r="AA482" s="181"/>
      <c r="AB482" s="182"/>
      <c r="AC482" s="137"/>
      <c r="AD482" s="125"/>
      <c r="AE482" s="162"/>
      <c r="AF482" s="183"/>
      <c r="AG482" s="195"/>
      <c r="AH482" s="195"/>
      <c r="AI482" s="195"/>
      <c r="AJ482" s="195"/>
      <c r="AK482" s="71"/>
      <c r="AL482" s="71"/>
      <c r="AM482" s="71"/>
      <c r="AN482" s="71"/>
      <c r="AO482" s="71"/>
    </row>
    <row r="483">
      <c r="A483" s="137"/>
      <c r="B483" s="138"/>
      <c r="C483" s="103"/>
      <c r="D483" s="71"/>
      <c r="E483" s="137"/>
      <c r="F483" s="138"/>
      <c r="G483" s="103"/>
      <c r="H483" s="71"/>
      <c r="I483" s="137"/>
      <c r="J483" s="138"/>
      <c r="K483" s="103"/>
      <c r="L483" s="71"/>
      <c r="M483" s="137"/>
      <c r="N483" s="125"/>
      <c r="O483" s="103"/>
      <c r="P483" s="71"/>
      <c r="Q483" s="189"/>
      <c r="R483" s="125"/>
      <c r="S483" s="103"/>
      <c r="T483" s="71"/>
      <c r="U483" s="189"/>
      <c r="V483" s="125"/>
      <c r="W483" s="103"/>
      <c r="X483" s="71"/>
      <c r="Y483" s="137"/>
      <c r="Z483" s="180"/>
      <c r="AA483" s="181"/>
      <c r="AB483" s="182"/>
      <c r="AC483" s="137"/>
      <c r="AD483" s="125"/>
      <c r="AE483" s="162"/>
      <c r="AF483" s="183"/>
      <c r="AG483" s="195"/>
      <c r="AH483" s="195"/>
      <c r="AI483" s="195"/>
      <c r="AJ483" s="195"/>
      <c r="AK483" s="71"/>
      <c r="AL483" s="71"/>
      <c r="AM483" s="71"/>
      <c r="AN483" s="71"/>
      <c r="AO483" s="71"/>
    </row>
    <row r="484">
      <c r="A484" s="137"/>
      <c r="B484" s="138"/>
      <c r="C484" s="103"/>
      <c r="D484" s="71"/>
      <c r="E484" s="137"/>
      <c r="F484" s="138"/>
      <c r="G484" s="103"/>
      <c r="H484" s="71"/>
      <c r="I484" s="137"/>
      <c r="J484" s="138"/>
      <c r="K484" s="103"/>
      <c r="L484" s="71"/>
      <c r="M484" s="137"/>
      <c r="N484" s="125"/>
      <c r="O484" s="103"/>
      <c r="P484" s="71"/>
      <c r="Q484" s="189"/>
      <c r="R484" s="125"/>
      <c r="S484" s="103"/>
      <c r="T484" s="71"/>
      <c r="U484" s="189"/>
      <c r="V484" s="125"/>
      <c r="W484" s="103"/>
      <c r="X484" s="71"/>
      <c r="Y484" s="137"/>
      <c r="Z484" s="180"/>
      <c r="AA484" s="181"/>
      <c r="AB484" s="182"/>
      <c r="AC484" s="137"/>
      <c r="AD484" s="125"/>
      <c r="AE484" s="162"/>
      <c r="AF484" s="183"/>
      <c r="AG484" s="195"/>
      <c r="AH484" s="195"/>
      <c r="AI484" s="195"/>
      <c r="AJ484" s="195"/>
      <c r="AK484" s="71"/>
      <c r="AL484" s="71"/>
      <c r="AM484" s="71"/>
      <c r="AN484" s="71"/>
      <c r="AO484" s="71"/>
    </row>
    <row r="485">
      <c r="A485" s="137"/>
      <c r="B485" s="138"/>
      <c r="C485" s="103"/>
      <c r="D485" s="71"/>
      <c r="E485" s="137"/>
      <c r="F485" s="138"/>
      <c r="G485" s="103"/>
      <c r="H485" s="71"/>
      <c r="I485" s="137"/>
      <c r="J485" s="138"/>
      <c r="K485" s="103"/>
      <c r="L485" s="71"/>
      <c r="M485" s="137"/>
      <c r="N485" s="125"/>
      <c r="O485" s="103"/>
      <c r="P485" s="71"/>
      <c r="Q485" s="189"/>
      <c r="R485" s="125"/>
      <c r="S485" s="103"/>
      <c r="T485" s="71"/>
      <c r="U485" s="189"/>
      <c r="V485" s="125"/>
      <c r="W485" s="103"/>
      <c r="X485" s="71"/>
      <c r="Y485" s="137"/>
      <c r="Z485" s="180"/>
      <c r="AA485" s="181"/>
      <c r="AB485" s="182"/>
      <c r="AC485" s="137"/>
      <c r="AD485" s="125"/>
      <c r="AE485" s="162"/>
      <c r="AF485" s="183"/>
      <c r="AG485" s="195"/>
      <c r="AH485" s="195"/>
      <c r="AI485" s="195"/>
      <c r="AJ485" s="195"/>
      <c r="AK485" s="71"/>
      <c r="AL485" s="71"/>
      <c r="AM485" s="71"/>
      <c r="AN485" s="71"/>
      <c r="AO485" s="71"/>
    </row>
    <row r="486">
      <c r="A486" s="137"/>
      <c r="B486" s="138"/>
      <c r="C486" s="103"/>
      <c r="D486" s="71"/>
      <c r="E486" s="137"/>
      <c r="F486" s="138"/>
      <c r="G486" s="103"/>
      <c r="H486" s="71"/>
      <c r="I486" s="137"/>
      <c r="J486" s="138"/>
      <c r="K486" s="103"/>
      <c r="L486" s="71"/>
      <c r="M486" s="137"/>
      <c r="N486" s="125"/>
      <c r="O486" s="103"/>
      <c r="P486" s="71"/>
      <c r="Q486" s="189"/>
      <c r="R486" s="125"/>
      <c r="S486" s="103"/>
      <c r="T486" s="71"/>
      <c r="U486" s="189"/>
      <c r="V486" s="125"/>
      <c r="W486" s="103"/>
      <c r="X486" s="71"/>
      <c r="Y486" s="137"/>
      <c r="Z486" s="180"/>
      <c r="AA486" s="181"/>
      <c r="AB486" s="182"/>
      <c r="AC486" s="137"/>
      <c r="AD486" s="125"/>
      <c r="AE486" s="162"/>
      <c r="AF486" s="183"/>
      <c r="AG486" s="195"/>
      <c r="AH486" s="195"/>
      <c r="AI486" s="195"/>
      <c r="AJ486" s="195"/>
      <c r="AK486" s="71"/>
      <c r="AL486" s="71"/>
      <c r="AM486" s="71"/>
      <c r="AN486" s="71"/>
      <c r="AO486" s="71"/>
    </row>
    <row r="487">
      <c r="A487" s="137"/>
      <c r="B487" s="138"/>
      <c r="C487" s="103"/>
      <c r="D487" s="71"/>
      <c r="E487" s="137"/>
      <c r="F487" s="138"/>
      <c r="G487" s="103"/>
      <c r="H487" s="71"/>
      <c r="I487" s="137"/>
      <c r="J487" s="138"/>
      <c r="K487" s="103"/>
      <c r="L487" s="71"/>
      <c r="M487" s="137"/>
      <c r="N487" s="125"/>
      <c r="O487" s="103"/>
      <c r="P487" s="71"/>
      <c r="Q487" s="189"/>
      <c r="R487" s="125"/>
      <c r="S487" s="103"/>
      <c r="T487" s="71"/>
      <c r="U487" s="189"/>
      <c r="V487" s="125"/>
      <c r="W487" s="103"/>
      <c r="X487" s="71"/>
      <c r="Y487" s="137"/>
      <c r="Z487" s="180"/>
      <c r="AA487" s="181"/>
      <c r="AB487" s="182"/>
      <c r="AC487" s="137"/>
      <c r="AD487" s="125"/>
      <c r="AE487" s="162"/>
      <c r="AF487" s="183"/>
      <c r="AG487" s="195"/>
      <c r="AH487" s="195"/>
      <c r="AI487" s="195"/>
      <c r="AJ487" s="195"/>
      <c r="AK487" s="71"/>
      <c r="AL487" s="71"/>
      <c r="AM487" s="71"/>
      <c r="AN487" s="71"/>
      <c r="AO487" s="71"/>
    </row>
    <row r="488">
      <c r="A488" s="137"/>
      <c r="B488" s="138"/>
      <c r="C488" s="103"/>
      <c r="D488" s="71"/>
      <c r="E488" s="137"/>
      <c r="F488" s="138"/>
      <c r="G488" s="103"/>
      <c r="H488" s="71"/>
      <c r="I488" s="137"/>
      <c r="J488" s="138"/>
      <c r="K488" s="103"/>
      <c r="L488" s="71"/>
      <c r="M488" s="137"/>
      <c r="N488" s="125"/>
      <c r="O488" s="103"/>
      <c r="P488" s="71"/>
      <c r="Q488" s="189"/>
      <c r="R488" s="125"/>
      <c r="S488" s="103"/>
      <c r="T488" s="71"/>
      <c r="U488" s="189"/>
      <c r="V488" s="125"/>
      <c r="W488" s="103"/>
      <c r="X488" s="71"/>
      <c r="Y488" s="137"/>
      <c r="Z488" s="180"/>
      <c r="AA488" s="181"/>
      <c r="AB488" s="182"/>
      <c r="AC488" s="137"/>
      <c r="AD488" s="125"/>
      <c r="AE488" s="162"/>
      <c r="AF488" s="183"/>
      <c r="AG488" s="195"/>
      <c r="AH488" s="195"/>
      <c r="AI488" s="195"/>
      <c r="AJ488" s="195"/>
      <c r="AK488" s="71"/>
      <c r="AL488" s="71"/>
      <c r="AM488" s="71"/>
      <c r="AN488" s="71"/>
      <c r="AO488" s="71"/>
    </row>
    <row r="489">
      <c r="A489" s="137"/>
      <c r="B489" s="138"/>
      <c r="C489" s="103"/>
      <c r="D489" s="71"/>
      <c r="E489" s="137"/>
      <c r="F489" s="138"/>
      <c r="G489" s="103"/>
      <c r="H489" s="71"/>
      <c r="I489" s="137"/>
      <c r="J489" s="138"/>
      <c r="K489" s="103"/>
      <c r="L489" s="71"/>
      <c r="M489" s="137"/>
      <c r="N489" s="125"/>
      <c r="O489" s="103"/>
      <c r="P489" s="71"/>
      <c r="Q489" s="189"/>
      <c r="R489" s="125"/>
      <c r="S489" s="103"/>
      <c r="T489" s="71"/>
      <c r="U489" s="189"/>
      <c r="V489" s="125"/>
      <c r="W489" s="103"/>
      <c r="X489" s="71"/>
      <c r="Y489" s="137"/>
      <c r="Z489" s="180"/>
      <c r="AA489" s="181"/>
      <c r="AB489" s="182"/>
      <c r="AC489" s="137"/>
      <c r="AD489" s="125"/>
      <c r="AE489" s="162"/>
      <c r="AF489" s="183"/>
      <c r="AG489" s="195"/>
      <c r="AH489" s="195"/>
      <c r="AI489" s="195"/>
      <c r="AJ489" s="195"/>
      <c r="AK489" s="71"/>
      <c r="AL489" s="71"/>
      <c r="AM489" s="71"/>
      <c r="AN489" s="71"/>
      <c r="AO489" s="71"/>
    </row>
    <row r="490">
      <c r="A490" s="137"/>
      <c r="B490" s="138"/>
      <c r="C490" s="103"/>
      <c r="D490" s="71"/>
      <c r="E490" s="137"/>
      <c r="F490" s="138"/>
      <c r="G490" s="103"/>
      <c r="H490" s="71"/>
      <c r="I490" s="137"/>
      <c r="J490" s="138"/>
      <c r="K490" s="103"/>
      <c r="L490" s="71"/>
      <c r="M490" s="137"/>
      <c r="N490" s="125"/>
      <c r="O490" s="103"/>
      <c r="P490" s="71"/>
      <c r="Q490" s="189"/>
      <c r="R490" s="125"/>
      <c r="S490" s="103"/>
      <c r="T490" s="71"/>
      <c r="U490" s="189"/>
      <c r="V490" s="125"/>
      <c r="W490" s="103"/>
      <c r="X490" s="71"/>
      <c r="Y490" s="137"/>
      <c r="Z490" s="180"/>
      <c r="AA490" s="181"/>
      <c r="AB490" s="182"/>
      <c r="AC490" s="137"/>
      <c r="AD490" s="125"/>
      <c r="AE490" s="162"/>
      <c r="AF490" s="183"/>
      <c r="AG490" s="195"/>
      <c r="AH490" s="195"/>
      <c r="AI490" s="195"/>
      <c r="AJ490" s="195"/>
      <c r="AK490" s="71"/>
      <c r="AL490" s="71"/>
      <c r="AM490" s="71"/>
      <c r="AN490" s="71"/>
      <c r="AO490" s="71"/>
    </row>
    <row r="491">
      <c r="A491" s="137"/>
      <c r="B491" s="138"/>
      <c r="C491" s="103"/>
      <c r="D491" s="71"/>
      <c r="E491" s="137"/>
      <c r="F491" s="138"/>
      <c r="G491" s="103"/>
      <c r="H491" s="71"/>
      <c r="I491" s="137"/>
      <c r="J491" s="138"/>
      <c r="K491" s="103"/>
      <c r="L491" s="71"/>
      <c r="M491" s="137"/>
      <c r="N491" s="125"/>
      <c r="O491" s="103"/>
      <c r="P491" s="71"/>
      <c r="Q491" s="189"/>
      <c r="R491" s="125"/>
      <c r="S491" s="103"/>
      <c r="T491" s="71"/>
      <c r="U491" s="189"/>
      <c r="V491" s="125"/>
      <c r="W491" s="103"/>
      <c r="X491" s="71"/>
      <c r="Y491" s="137"/>
      <c r="Z491" s="180"/>
      <c r="AA491" s="181"/>
      <c r="AB491" s="182"/>
      <c r="AC491" s="137"/>
      <c r="AD491" s="125"/>
      <c r="AE491" s="162"/>
      <c r="AF491" s="183"/>
      <c r="AG491" s="195"/>
      <c r="AH491" s="195"/>
      <c r="AI491" s="195"/>
      <c r="AJ491" s="195"/>
      <c r="AK491" s="71"/>
      <c r="AL491" s="71"/>
      <c r="AM491" s="71"/>
      <c r="AN491" s="71"/>
      <c r="AO491" s="71"/>
    </row>
    <row r="492">
      <c r="A492" s="137"/>
      <c r="B492" s="138"/>
      <c r="C492" s="103"/>
      <c r="D492" s="71"/>
      <c r="E492" s="137"/>
      <c r="F492" s="138"/>
      <c r="G492" s="103"/>
      <c r="H492" s="71"/>
      <c r="I492" s="137"/>
      <c r="J492" s="138"/>
      <c r="K492" s="103"/>
      <c r="L492" s="71"/>
      <c r="M492" s="137"/>
      <c r="N492" s="125"/>
      <c r="O492" s="103"/>
      <c r="P492" s="71"/>
      <c r="Q492" s="189"/>
      <c r="R492" s="125"/>
      <c r="S492" s="103"/>
      <c r="T492" s="71"/>
      <c r="U492" s="189"/>
      <c r="V492" s="125"/>
      <c r="W492" s="103"/>
      <c r="X492" s="71"/>
      <c r="Y492" s="137"/>
      <c r="Z492" s="180"/>
      <c r="AA492" s="181"/>
      <c r="AB492" s="182"/>
      <c r="AC492" s="137"/>
      <c r="AD492" s="125"/>
      <c r="AE492" s="162"/>
      <c r="AF492" s="183"/>
      <c r="AG492" s="195"/>
      <c r="AH492" s="195"/>
      <c r="AI492" s="195"/>
      <c r="AJ492" s="195"/>
      <c r="AK492" s="71"/>
      <c r="AL492" s="71"/>
      <c r="AM492" s="71"/>
      <c r="AN492" s="71"/>
      <c r="AO492" s="71"/>
    </row>
    <row r="493">
      <c r="A493" s="137"/>
      <c r="B493" s="138"/>
      <c r="C493" s="103"/>
      <c r="D493" s="71"/>
      <c r="E493" s="137"/>
      <c r="F493" s="138"/>
      <c r="G493" s="103"/>
      <c r="H493" s="71"/>
      <c r="I493" s="137"/>
      <c r="J493" s="138"/>
      <c r="K493" s="103"/>
      <c r="L493" s="71"/>
      <c r="M493" s="137"/>
      <c r="N493" s="125"/>
      <c r="O493" s="103"/>
      <c r="P493" s="71"/>
      <c r="Q493" s="189"/>
      <c r="R493" s="125"/>
      <c r="S493" s="103"/>
      <c r="T493" s="71"/>
      <c r="U493" s="189"/>
      <c r="V493" s="125"/>
      <c r="W493" s="103"/>
      <c r="X493" s="71"/>
      <c r="Y493" s="137"/>
      <c r="Z493" s="180"/>
      <c r="AA493" s="181"/>
      <c r="AB493" s="182"/>
      <c r="AC493" s="137"/>
      <c r="AD493" s="125"/>
      <c r="AE493" s="162"/>
      <c r="AF493" s="183"/>
      <c r="AG493" s="195"/>
      <c r="AH493" s="195"/>
      <c r="AI493" s="195"/>
      <c r="AJ493" s="195"/>
      <c r="AK493" s="71"/>
      <c r="AL493" s="71"/>
      <c r="AM493" s="71"/>
      <c r="AN493" s="71"/>
      <c r="AO493" s="71"/>
    </row>
    <row r="494">
      <c r="A494" s="137"/>
      <c r="B494" s="138"/>
      <c r="C494" s="103"/>
      <c r="D494" s="71"/>
      <c r="E494" s="137"/>
      <c r="F494" s="138"/>
      <c r="G494" s="103"/>
      <c r="H494" s="71"/>
      <c r="I494" s="137"/>
      <c r="J494" s="138"/>
      <c r="K494" s="103"/>
      <c r="L494" s="71"/>
      <c r="M494" s="137"/>
      <c r="N494" s="125"/>
      <c r="O494" s="103"/>
      <c r="P494" s="71"/>
      <c r="Q494" s="189"/>
      <c r="R494" s="125"/>
      <c r="S494" s="103"/>
      <c r="T494" s="71"/>
      <c r="U494" s="189"/>
      <c r="V494" s="125"/>
      <c r="W494" s="103"/>
      <c r="X494" s="71"/>
      <c r="Y494" s="137"/>
      <c r="Z494" s="180"/>
      <c r="AA494" s="181"/>
      <c r="AB494" s="182"/>
      <c r="AC494" s="137"/>
      <c r="AD494" s="125"/>
      <c r="AE494" s="162"/>
      <c r="AF494" s="183"/>
      <c r="AG494" s="195"/>
      <c r="AH494" s="195"/>
      <c r="AI494" s="195"/>
      <c r="AJ494" s="195"/>
      <c r="AK494" s="71"/>
      <c r="AL494" s="71"/>
      <c r="AM494" s="71"/>
      <c r="AN494" s="71"/>
      <c r="AO494" s="71"/>
    </row>
    <row r="495">
      <c r="A495" s="137"/>
      <c r="B495" s="138"/>
      <c r="C495" s="103"/>
      <c r="D495" s="71"/>
      <c r="E495" s="137"/>
      <c r="F495" s="138"/>
      <c r="G495" s="103"/>
      <c r="H495" s="71"/>
      <c r="I495" s="137"/>
      <c r="J495" s="138"/>
      <c r="K495" s="103"/>
      <c r="L495" s="71"/>
      <c r="M495" s="137"/>
      <c r="N495" s="125"/>
      <c r="O495" s="103"/>
      <c r="P495" s="71"/>
      <c r="Q495" s="189"/>
      <c r="R495" s="125"/>
      <c r="S495" s="103"/>
      <c r="T495" s="71"/>
      <c r="U495" s="189"/>
      <c r="V495" s="125"/>
      <c r="W495" s="103"/>
      <c r="X495" s="71"/>
      <c r="Y495" s="137"/>
      <c r="Z495" s="180"/>
      <c r="AA495" s="181"/>
      <c r="AB495" s="182"/>
      <c r="AC495" s="137"/>
      <c r="AD495" s="125"/>
      <c r="AE495" s="162"/>
      <c r="AF495" s="183"/>
      <c r="AG495" s="195"/>
      <c r="AH495" s="195"/>
      <c r="AI495" s="195"/>
      <c r="AJ495" s="195"/>
      <c r="AK495" s="71"/>
      <c r="AL495" s="71"/>
      <c r="AM495" s="71"/>
      <c r="AN495" s="71"/>
      <c r="AO495" s="71"/>
    </row>
    <row r="496">
      <c r="A496" s="137"/>
      <c r="B496" s="138"/>
      <c r="C496" s="103"/>
      <c r="D496" s="71"/>
      <c r="E496" s="137"/>
      <c r="F496" s="138"/>
      <c r="G496" s="103"/>
      <c r="H496" s="71"/>
      <c r="I496" s="137"/>
      <c r="J496" s="138"/>
      <c r="K496" s="103"/>
      <c r="L496" s="71"/>
      <c r="M496" s="137"/>
      <c r="N496" s="125"/>
      <c r="O496" s="103"/>
      <c r="P496" s="71"/>
      <c r="Q496" s="189"/>
      <c r="R496" s="125"/>
      <c r="S496" s="103"/>
      <c r="T496" s="71"/>
      <c r="U496" s="189"/>
      <c r="V496" s="125"/>
      <c r="W496" s="103"/>
      <c r="X496" s="71"/>
      <c r="Y496" s="137"/>
      <c r="Z496" s="180"/>
      <c r="AA496" s="181"/>
      <c r="AB496" s="182"/>
      <c r="AC496" s="137"/>
      <c r="AD496" s="125"/>
      <c r="AE496" s="162"/>
      <c r="AF496" s="183"/>
      <c r="AG496" s="195"/>
      <c r="AH496" s="195"/>
      <c r="AI496" s="195"/>
      <c r="AJ496" s="195"/>
      <c r="AK496" s="71"/>
      <c r="AL496" s="71"/>
      <c r="AM496" s="71"/>
      <c r="AN496" s="71"/>
      <c r="AO496" s="71"/>
    </row>
    <row r="497">
      <c r="A497" s="137"/>
      <c r="B497" s="138"/>
      <c r="C497" s="103"/>
      <c r="D497" s="71"/>
      <c r="E497" s="137"/>
      <c r="F497" s="138"/>
      <c r="G497" s="103"/>
      <c r="H497" s="71"/>
      <c r="I497" s="137"/>
      <c r="J497" s="138"/>
      <c r="K497" s="103"/>
      <c r="L497" s="71"/>
      <c r="M497" s="137"/>
      <c r="N497" s="125"/>
      <c r="O497" s="103"/>
      <c r="P497" s="71"/>
      <c r="Q497" s="189"/>
      <c r="R497" s="125"/>
      <c r="S497" s="103"/>
      <c r="T497" s="71"/>
      <c r="U497" s="189"/>
      <c r="V497" s="125"/>
      <c r="W497" s="103"/>
      <c r="X497" s="71"/>
      <c r="Y497" s="137"/>
      <c r="Z497" s="180"/>
      <c r="AA497" s="181"/>
      <c r="AB497" s="182"/>
      <c r="AC497" s="137"/>
      <c r="AD497" s="125"/>
      <c r="AE497" s="162"/>
      <c r="AF497" s="183"/>
      <c r="AG497" s="195"/>
      <c r="AH497" s="195"/>
      <c r="AI497" s="195"/>
      <c r="AJ497" s="195"/>
      <c r="AK497" s="71"/>
      <c r="AL497" s="71"/>
      <c r="AM497" s="71"/>
      <c r="AN497" s="71"/>
      <c r="AO497" s="71"/>
    </row>
    <row r="498">
      <c r="A498" s="137"/>
      <c r="B498" s="138"/>
      <c r="C498" s="103"/>
      <c r="D498" s="71"/>
      <c r="E498" s="137"/>
      <c r="F498" s="138"/>
      <c r="G498" s="103"/>
      <c r="H498" s="71"/>
      <c r="I498" s="137"/>
      <c r="J498" s="138"/>
      <c r="K498" s="103"/>
      <c r="L498" s="71"/>
      <c r="M498" s="137"/>
      <c r="N498" s="125"/>
      <c r="O498" s="103"/>
      <c r="P498" s="71"/>
      <c r="Q498" s="189"/>
      <c r="R498" s="125"/>
      <c r="S498" s="103"/>
      <c r="T498" s="71"/>
      <c r="U498" s="189"/>
      <c r="V498" s="125"/>
      <c r="W498" s="103"/>
      <c r="X498" s="71"/>
      <c r="Y498" s="137"/>
      <c r="Z498" s="180"/>
      <c r="AA498" s="181"/>
      <c r="AB498" s="182"/>
      <c r="AC498" s="137"/>
      <c r="AD498" s="125"/>
      <c r="AE498" s="162"/>
      <c r="AF498" s="183"/>
      <c r="AG498" s="195"/>
      <c r="AH498" s="195"/>
      <c r="AI498" s="195"/>
      <c r="AJ498" s="195"/>
      <c r="AK498" s="71"/>
      <c r="AL498" s="71"/>
      <c r="AM498" s="71"/>
      <c r="AN498" s="71"/>
      <c r="AO498" s="71"/>
    </row>
    <row r="499">
      <c r="A499" s="137"/>
      <c r="B499" s="138"/>
      <c r="C499" s="103"/>
      <c r="D499" s="71"/>
      <c r="E499" s="137"/>
      <c r="F499" s="138"/>
      <c r="G499" s="103"/>
      <c r="H499" s="71"/>
      <c r="I499" s="137"/>
      <c r="J499" s="138"/>
      <c r="K499" s="103"/>
      <c r="L499" s="71"/>
      <c r="M499" s="137"/>
      <c r="N499" s="125"/>
      <c r="O499" s="103"/>
      <c r="P499" s="71"/>
      <c r="Q499" s="189"/>
      <c r="R499" s="125"/>
      <c r="S499" s="103"/>
      <c r="T499" s="71"/>
      <c r="U499" s="189"/>
      <c r="V499" s="125"/>
      <c r="W499" s="103"/>
      <c r="X499" s="71"/>
      <c r="Y499" s="137"/>
      <c r="Z499" s="180"/>
      <c r="AA499" s="181"/>
      <c r="AB499" s="182"/>
      <c r="AC499" s="137"/>
      <c r="AD499" s="125"/>
      <c r="AE499" s="162"/>
      <c r="AF499" s="183"/>
      <c r="AG499" s="195"/>
      <c r="AH499" s="195"/>
      <c r="AI499" s="195"/>
      <c r="AJ499" s="195"/>
      <c r="AK499" s="71"/>
      <c r="AL499" s="71"/>
      <c r="AM499" s="71"/>
      <c r="AN499" s="71"/>
      <c r="AO499" s="71"/>
    </row>
    <row r="500">
      <c r="A500" s="137"/>
      <c r="B500" s="138"/>
      <c r="C500" s="103"/>
      <c r="D500" s="71"/>
      <c r="E500" s="137"/>
      <c r="F500" s="138"/>
      <c r="G500" s="103"/>
      <c r="H500" s="71"/>
      <c r="I500" s="137"/>
      <c r="J500" s="138"/>
      <c r="K500" s="103"/>
      <c r="L500" s="71"/>
      <c r="M500" s="137"/>
      <c r="N500" s="125"/>
      <c r="O500" s="103"/>
      <c r="P500" s="71"/>
      <c r="Q500" s="189"/>
      <c r="R500" s="125"/>
      <c r="S500" s="103"/>
      <c r="T500" s="71"/>
      <c r="U500" s="189"/>
      <c r="V500" s="125"/>
      <c r="W500" s="103"/>
      <c r="X500" s="71"/>
      <c r="Y500" s="137"/>
      <c r="Z500" s="180"/>
      <c r="AA500" s="181"/>
      <c r="AB500" s="182"/>
      <c r="AC500" s="137"/>
      <c r="AD500" s="125"/>
      <c r="AE500" s="162"/>
      <c r="AF500" s="183"/>
      <c r="AG500" s="195"/>
      <c r="AH500" s="195"/>
      <c r="AI500" s="195"/>
      <c r="AJ500" s="195"/>
      <c r="AK500" s="71"/>
      <c r="AL500" s="71"/>
      <c r="AM500" s="71"/>
      <c r="AN500" s="71"/>
      <c r="AO500" s="71"/>
    </row>
    <row r="501">
      <c r="A501" s="137"/>
      <c r="B501" s="138"/>
      <c r="C501" s="103"/>
      <c r="D501" s="71"/>
      <c r="E501" s="137"/>
      <c r="F501" s="138"/>
      <c r="G501" s="103"/>
      <c r="H501" s="71"/>
      <c r="I501" s="137"/>
      <c r="J501" s="138"/>
      <c r="K501" s="103"/>
      <c r="L501" s="71"/>
      <c r="M501" s="137"/>
      <c r="N501" s="125"/>
      <c r="O501" s="103"/>
      <c r="P501" s="71"/>
      <c r="Q501" s="189"/>
      <c r="R501" s="125"/>
      <c r="S501" s="103"/>
      <c r="T501" s="71"/>
      <c r="U501" s="189"/>
      <c r="V501" s="125"/>
      <c r="W501" s="103"/>
      <c r="X501" s="71"/>
      <c r="Y501" s="137"/>
      <c r="Z501" s="180"/>
      <c r="AA501" s="181"/>
      <c r="AB501" s="182"/>
      <c r="AC501" s="137"/>
      <c r="AD501" s="125"/>
      <c r="AE501" s="162"/>
      <c r="AF501" s="183"/>
      <c r="AG501" s="195"/>
      <c r="AH501" s="195"/>
      <c r="AI501" s="195"/>
      <c r="AJ501" s="195"/>
      <c r="AK501" s="71"/>
      <c r="AL501" s="71"/>
      <c r="AM501" s="71"/>
      <c r="AN501" s="71"/>
      <c r="AO501" s="71"/>
    </row>
    <row r="502">
      <c r="A502" s="137"/>
      <c r="B502" s="138"/>
      <c r="C502" s="103"/>
      <c r="D502" s="71"/>
      <c r="E502" s="137"/>
      <c r="F502" s="138"/>
      <c r="G502" s="103"/>
      <c r="H502" s="71"/>
      <c r="I502" s="137"/>
      <c r="J502" s="138"/>
      <c r="K502" s="103"/>
      <c r="L502" s="71"/>
      <c r="M502" s="137"/>
      <c r="N502" s="125"/>
      <c r="O502" s="103"/>
      <c r="P502" s="71"/>
      <c r="Q502" s="189"/>
      <c r="R502" s="125"/>
      <c r="S502" s="103"/>
      <c r="T502" s="71"/>
      <c r="U502" s="189"/>
      <c r="V502" s="125"/>
      <c r="W502" s="103"/>
      <c r="X502" s="71"/>
      <c r="Y502" s="137"/>
      <c r="Z502" s="180"/>
      <c r="AA502" s="181"/>
      <c r="AB502" s="182"/>
      <c r="AC502" s="137"/>
      <c r="AD502" s="125"/>
      <c r="AE502" s="162"/>
      <c r="AF502" s="183"/>
      <c r="AG502" s="195"/>
      <c r="AH502" s="195"/>
      <c r="AI502" s="195"/>
      <c r="AJ502" s="195"/>
      <c r="AK502" s="71"/>
      <c r="AL502" s="71"/>
      <c r="AM502" s="71"/>
      <c r="AN502" s="71"/>
      <c r="AO502" s="71"/>
    </row>
    <row r="503">
      <c r="A503" s="137"/>
      <c r="B503" s="138"/>
      <c r="C503" s="103"/>
      <c r="D503" s="71"/>
      <c r="E503" s="137"/>
      <c r="F503" s="138"/>
      <c r="G503" s="103"/>
      <c r="H503" s="71"/>
      <c r="I503" s="137"/>
      <c r="J503" s="138"/>
      <c r="K503" s="103"/>
      <c r="L503" s="71"/>
      <c r="M503" s="137"/>
      <c r="N503" s="125"/>
      <c r="O503" s="103"/>
      <c r="P503" s="71"/>
      <c r="Q503" s="189"/>
      <c r="R503" s="125"/>
      <c r="S503" s="103"/>
      <c r="T503" s="71"/>
      <c r="U503" s="189"/>
      <c r="V503" s="125"/>
      <c r="W503" s="103"/>
      <c r="X503" s="71"/>
      <c r="Y503" s="137"/>
      <c r="Z503" s="180"/>
      <c r="AA503" s="181"/>
      <c r="AB503" s="182"/>
      <c r="AC503" s="137"/>
      <c r="AD503" s="125"/>
      <c r="AE503" s="162"/>
      <c r="AF503" s="183"/>
      <c r="AG503" s="195"/>
      <c r="AH503" s="195"/>
      <c r="AI503" s="195"/>
      <c r="AJ503" s="195"/>
      <c r="AK503" s="71"/>
      <c r="AL503" s="71"/>
      <c r="AM503" s="71"/>
      <c r="AN503" s="71"/>
      <c r="AO503" s="71"/>
    </row>
    <row r="504">
      <c r="A504" s="137"/>
      <c r="B504" s="138"/>
      <c r="C504" s="103"/>
      <c r="D504" s="71"/>
      <c r="E504" s="137"/>
      <c r="F504" s="138"/>
      <c r="G504" s="103"/>
      <c r="H504" s="71"/>
      <c r="I504" s="137"/>
      <c r="J504" s="138"/>
      <c r="K504" s="103"/>
      <c r="L504" s="71"/>
      <c r="M504" s="137"/>
      <c r="N504" s="125"/>
      <c r="O504" s="103"/>
      <c r="P504" s="71"/>
      <c r="Q504" s="189"/>
      <c r="R504" s="125"/>
      <c r="S504" s="103"/>
      <c r="T504" s="71"/>
      <c r="U504" s="189"/>
      <c r="V504" s="125"/>
      <c r="W504" s="103"/>
      <c r="X504" s="71"/>
      <c r="Y504" s="137"/>
      <c r="Z504" s="180"/>
      <c r="AA504" s="181"/>
      <c r="AB504" s="182"/>
      <c r="AC504" s="137"/>
      <c r="AD504" s="125"/>
      <c r="AE504" s="162"/>
      <c r="AF504" s="183"/>
      <c r="AG504" s="195"/>
      <c r="AH504" s="195"/>
      <c r="AI504" s="195"/>
      <c r="AJ504" s="195"/>
      <c r="AK504" s="71"/>
      <c r="AL504" s="71"/>
      <c r="AM504" s="71"/>
      <c r="AN504" s="71"/>
      <c r="AO504" s="71"/>
    </row>
    <row r="505">
      <c r="A505" s="137"/>
      <c r="B505" s="138"/>
      <c r="C505" s="103"/>
      <c r="D505" s="71"/>
      <c r="E505" s="137"/>
      <c r="F505" s="138"/>
      <c r="G505" s="103"/>
      <c r="H505" s="71"/>
      <c r="I505" s="137"/>
      <c r="J505" s="138"/>
      <c r="K505" s="103"/>
      <c r="L505" s="71"/>
      <c r="M505" s="137"/>
      <c r="N505" s="125"/>
      <c r="O505" s="103"/>
      <c r="P505" s="71"/>
      <c r="Q505" s="189"/>
      <c r="R505" s="125"/>
      <c r="S505" s="103"/>
      <c r="T505" s="71"/>
      <c r="U505" s="189"/>
      <c r="V505" s="125"/>
      <c r="W505" s="103"/>
      <c r="X505" s="71"/>
      <c r="Y505" s="137"/>
      <c r="Z505" s="180"/>
      <c r="AA505" s="181"/>
      <c r="AB505" s="182"/>
      <c r="AC505" s="137"/>
      <c r="AD505" s="125"/>
      <c r="AE505" s="162"/>
      <c r="AF505" s="183"/>
      <c r="AG505" s="195"/>
      <c r="AH505" s="195"/>
      <c r="AI505" s="195"/>
      <c r="AJ505" s="195"/>
      <c r="AK505" s="71"/>
      <c r="AL505" s="71"/>
      <c r="AM505" s="71"/>
      <c r="AN505" s="71"/>
      <c r="AO505" s="71"/>
    </row>
    <row r="506">
      <c r="A506" s="137"/>
      <c r="B506" s="138"/>
      <c r="C506" s="103"/>
      <c r="D506" s="71"/>
      <c r="E506" s="137"/>
      <c r="F506" s="138"/>
      <c r="G506" s="103"/>
      <c r="H506" s="71"/>
      <c r="I506" s="137"/>
      <c r="J506" s="138"/>
      <c r="K506" s="103"/>
      <c r="L506" s="71"/>
      <c r="M506" s="137"/>
      <c r="N506" s="125"/>
      <c r="O506" s="103"/>
      <c r="P506" s="71"/>
      <c r="Q506" s="189"/>
      <c r="R506" s="125"/>
      <c r="S506" s="103"/>
      <c r="T506" s="71"/>
      <c r="U506" s="189"/>
      <c r="V506" s="125"/>
      <c r="W506" s="103"/>
      <c r="X506" s="71"/>
      <c r="Y506" s="137"/>
      <c r="Z506" s="180"/>
      <c r="AA506" s="181"/>
      <c r="AB506" s="182"/>
      <c r="AC506" s="137"/>
      <c r="AD506" s="125"/>
      <c r="AE506" s="162"/>
      <c r="AF506" s="183"/>
      <c r="AG506" s="195"/>
      <c r="AH506" s="195"/>
      <c r="AI506" s="195"/>
      <c r="AJ506" s="195"/>
      <c r="AK506" s="71"/>
      <c r="AL506" s="71"/>
      <c r="AM506" s="71"/>
      <c r="AN506" s="71"/>
      <c r="AO506" s="71"/>
    </row>
    <row r="507">
      <c r="A507" s="137"/>
      <c r="B507" s="138"/>
      <c r="C507" s="103"/>
      <c r="D507" s="71"/>
      <c r="E507" s="137"/>
      <c r="F507" s="138"/>
      <c r="G507" s="103"/>
      <c r="H507" s="71"/>
      <c r="I507" s="137"/>
      <c r="J507" s="138"/>
      <c r="K507" s="103"/>
      <c r="L507" s="71"/>
      <c r="M507" s="137"/>
      <c r="N507" s="125"/>
      <c r="O507" s="103"/>
      <c r="P507" s="71"/>
      <c r="Q507" s="189"/>
      <c r="R507" s="125"/>
      <c r="S507" s="103"/>
      <c r="T507" s="71"/>
      <c r="U507" s="189"/>
      <c r="V507" s="125"/>
      <c r="W507" s="103"/>
      <c r="X507" s="71"/>
      <c r="Y507" s="137"/>
      <c r="Z507" s="180"/>
      <c r="AA507" s="181"/>
      <c r="AB507" s="182"/>
      <c r="AC507" s="137"/>
      <c r="AD507" s="125"/>
      <c r="AE507" s="162"/>
      <c r="AF507" s="183"/>
      <c r="AG507" s="195"/>
      <c r="AH507" s="195"/>
      <c r="AI507" s="195"/>
      <c r="AJ507" s="195"/>
      <c r="AK507" s="71"/>
      <c r="AL507" s="71"/>
      <c r="AM507" s="71"/>
      <c r="AN507" s="71"/>
      <c r="AO507" s="71"/>
    </row>
    <row r="508">
      <c r="A508" s="137"/>
      <c r="B508" s="138"/>
      <c r="C508" s="103"/>
      <c r="D508" s="71"/>
      <c r="E508" s="137"/>
      <c r="F508" s="138"/>
      <c r="G508" s="103"/>
      <c r="H508" s="71"/>
      <c r="I508" s="137"/>
      <c r="J508" s="138"/>
      <c r="K508" s="103"/>
      <c r="L508" s="71"/>
      <c r="M508" s="137"/>
      <c r="N508" s="125"/>
      <c r="O508" s="103"/>
      <c r="P508" s="71"/>
      <c r="Q508" s="189"/>
      <c r="R508" s="125"/>
      <c r="S508" s="103"/>
      <c r="T508" s="71"/>
      <c r="U508" s="189"/>
      <c r="V508" s="125"/>
      <c r="W508" s="103"/>
      <c r="X508" s="71"/>
      <c r="Y508" s="137"/>
      <c r="Z508" s="180"/>
      <c r="AA508" s="181"/>
      <c r="AB508" s="182"/>
      <c r="AC508" s="137"/>
      <c r="AD508" s="125"/>
      <c r="AE508" s="162"/>
      <c r="AF508" s="183"/>
      <c r="AG508" s="195"/>
      <c r="AH508" s="195"/>
      <c r="AI508" s="195"/>
      <c r="AJ508" s="195"/>
      <c r="AK508" s="71"/>
      <c r="AL508" s="71"/>
      <c r="AM508" s="71"/>
      <c r="AN508" s="71"/>
      <c r="AO508" s="71"/>
    </row>
    <row r="509">
      <c r="A509" s="137"/>
      <c r="B509" s="138"/>
      <c r="C509" s="103"/>
      <c r="D509" s="71"/>
      <c r="E509" s="137"/>
      <c r="F509" s="138"/>
      <c r="G509" s="103"/>
      <c r="H509" s="71"/>
      <c r="I509" s="137"/>
      <c r="J509" s="138"/>
      <c r="K509" s="103"/>
      <c r="L509" s="71"/>
      <c r="M509" s="137"/>
      <c r="N509" s="125"/>
      <c r="O509" s="103"/>
      <c r="P509" s="71"/>
      <c r="Q509" s="189"/>
      <c r="R509" s="125"/>
      <c r="S509" s="103"/>
      <c r="T509" s="71"/>
      <c r="U509" s="189"/>
      <c r="V509" s="125"/>
      <c r="W509" s="103"/>
      <c r="X509" s="71"/>
      <c r="Y509" s="137"/>
      <c r="Z509" s="180"/>
      <c r="AA509" s="181"/>
      <c r="AB509" s="182"/>
      <c r="AC509" s="137"/>
      <c r="AD509" s="125"/>
      <c r="AE509" s="162"/>
      <c r="AF509" s="183"/>
      <c r="AG509" s="195"/>
      <c r="AH509" s="195"/>
      <c r="AI509" s="195"/>
      <c r="AJ509" s="195"/>
      <c r="AK509" s="71"/>
      <c r="AL509" s="71"/>
      <c r="AM509" s="71"/>
      <c r="AN509" s="71"/>
      <c r="AO509" s="71"/>
    </row>
    <row r="510">
      <c r="A510" s="137"/>
      <c r="B510" s="138"/>
      <c r="C510" s="103"/>
      <c r="D510" s="71"/>
      <c r="E510" s="137"/>
      <c r="F510" s="138"/>
      <c r="G510" s="103"/>
      <c r="H510" s="71"/>
      <c r="I510" s="137"/>
      <c r="J510" s="138"/>
      <c r="K510" s="103"/>
      <c r="L510" s="71"/>
      <c r="M510" s="137"/>
      <c r="N510" s="125"/>
      <c r="O510" s="103"/>
      <c r="P510" s="71"/>
      <c r="Q510" s="189"/>
      <c r="R510" s="125"/>
      <c r="S510" s="103"/>
      <c r="T510" s="71"/>
      <c r="U510" s="189"/>
      <c r="V510" s="125"/>
      <c r="W510" s="103"/>
      <c r="X510" s="71"/>
      <c r="Y510" s="137"/>
      <c r="Z510" s="180"/>
      <c r="AA510" s="181"/>
      <c r="AB510" s="182"/>
      <c r="AC510" s="137"/>
      <c r="AD510" s="125"/>
      <c r="AE510" s="162"/>
      <c r="AF510" s="183"/>
      <c r="AG510" s="195"/>
      <c r="AH510" s="195"/>
      <c r="AI510" s="195"/>
      <c r="AJ510" s="195"/>
      <c r="AK510" s="71"/>
      <c r="AL510" s="71"/>
      <c r="AM510" s="71"/>
      <c r="AN510" s="71"/>
      <c r="AO510" s="71"/>
    </row>
    <row r="511">
      <c r="A511" s="137"/>
      <c r="B511" s="138"/>
      <c r="C511" s="103"/>
      <c r="D511" s="71"/>
      <c r="E511" s="137"/>
      <c r="F511" s="138"/>
      <c r="G511" s="103"/>
      <c r="H511" s="71"/>
      <c r="I511" s="137"/>
      <c r="J511" s="138"/>
      <c r="K511" s="103"/>
      <c r="L511" s="71"/>
      <c r="M511" s="137"/>
      <c r="N511" s="125"/>
      <c r="O511" s="103"/>
      <c r="P511" s="71"/>
      <c r="Q511" s="189"/>
      <c r="R511" s="125"/>
      <c r="S511" s="103"/>
      <c r="T511" s="71"/>
      <c r="U511" s="189"/>
      <c r="V511" s="125"/>
      <c r="W511" s="103"/>
      <c r="X511" s="71"/>
      <c r="Y511" s="137"/>
      <c r="Z511" s="180"/>
      <c r="AA511" s="181"/>
      <c r="AB511" s="182"/>
      <c r="AC511" s="137"/>
      <c r="AD511" s="125"/>
      <c r="AE511" s="162"/>
      <c r="AF511" s="183"/>
      <c r="AG511" s="195"/>
      <c r="AH511" s="195"/>
      <c r="AI511" s="195"/>
      <c r="AJ511" s="195"/>
      <c r="AK511" s="71"/>
      <c r="AL511" s="71"/>
      <c r="AM511" s="71"/>
      <c r="AN511" s="71"/>
      <c r="AO511" s="71"/>
    </row>
    <row r="512">
      <c r="A512" s="137"/>
      <c r="B512" s="138"/>
      <c r="C512" s="103"/>
      <c r="D512" s="71"/>
      <c r="E512" s="137"/>
      <c r="F512" s="138"/>
      <c r="G512" s="103"/>
      <c r="H512" s="71"/>
      <c r="I512" s="137"/>
      <c r="J512" s="138"/>
      <c r="K512" s="103"/>
      <c r="L512" s="71"/>
      <c r="M512" s="137"/>
      <c r="N512" s="125"/>
      <c r="O512" s="103"/>
      <c r="P512" s="71"/>
      <c r="Q512" s="189"/>
      <c r="R512" s="125"/>
      <c r="S512" s="103"/>
      <c r="T512" s="71"/>
      <c r="U512" s="189"/>
      <c r="V512" s="125"/>
      <c r="W512" s="103"/>
      <c r="X512" s="71"/>
      <c r="Y512" s="137"/>
      <c r="Z512" s="180"/>
      <c r="AA512" s="181"/>
      <c r="AB512" s="182"/>
      <c r="AC512" s="137"/>
      <c r="AD512" s="125"/>
      <c r="AE512" s="162"/>
      <c r="AF512" s="183"/>
      <c r="AG512" s="195"/>
      <c r="AH512" s="195"/>
      <c r="AI512" s="195"/>
      <c r="AJ512" s="195"/>
      <c r="AK512" s="71"/>
      <c r="AL512" s="71"/>
      <c r="AM512" s="71"/>
      <c r="AN512" s="71"/>
      <c r="AO512" s="71"/>
    </row>
    <row r="513">
      <c r="A513" s="137"/>
      <c r="B513" s="138"/>
      <c r="C513" s="103"/>
      <c r="D513" s="71"/>
      <c r="E513" s="137"/>
      <c r="F513" s="138"/>
      <c r="G513" s="103"/>
      <c r="H513" s="71"/>
      <c r="I513" s="137"/>
      <c r="J513" s="138"/>
      <c r="K513" s="103"/>
      <c r="L513" s="71"/>
      <c r="M513" s="137"/>
      <c r="N513" s="125"/>
      <c r="O513" s="103"/>
      <c r="P513" s="71"/>
      <c r="Q513" s="189"/>
      <c r="R513" s="125"/>
      <c r="S513" s="103"/>
      <c r="T513" s="71"/>
      <c r="U513" s="189"/>
      <c r="V513" s="125"/>
      <c r="W513" s="103"/>
      <c r="X513" s="71"/>
      <c r="Y513" s="137"/>
      <c r="Z513" s="180"/>
      <c r="AA513" s="181"/>
      <c r="AB513" s="182"/>
      <c r="AC513" s="137"/>
      <c r="AD513" s="125"/>
      <c r="AE513" s="162"/>
      <c r="AF513" s="183"/>
      <c r="AG513" s="195"/>
      <c r="AH513" s="195"/>
      <c r="AI513" s="195"/>
      <c r="AJ513" s="195"/>
      <c r="AK513" s="71"/>
      <c r="AL513" s="71"/>
      <c r="AM513" s="71"/>
      <c r="AN513" s="71"/>
      <c r="AO513" s="71"/>
    </row>
    <row r="514">
      <c r="A514" s="137"/>
      <c r="B514" s="138"/>
      <c r="C514" s="103"/>
      <c r="D514" s="71"/>
      <c r="E514" s="137"/>
      <c r="F514" s="138"/>
      <c r="G514" s="103"/>
      <c r="H514" s="71"/>
      <c r="I514" s="137"/>
      <c r="J514" s="138"/>
      <c r="K514" s="103"/>
      <c r="L514" s="71"/>
      <c r="M514" s="137"/>
      <c r="N514" s="125"/>
      <c r="O514" s="103"/>
      <c r="P514" s="71"/>
      <c r="Q514" s="189"/>
      <c r="R514" s="125"/>
      <c r="S514" s="103"/>
      <c r="T514" s="71"/>
      <c r="U514" s="189"/>
      <c r="V514" s="125"/>
      <c r="W514" s="103"/>
      <c r="X514" s="71"/>
      <c r="Y514" s="137"/>
      <c r="Z514" s="180"/>
      <c r="AA514" s="181"/>
      <c r="AB514" s="182"/>
      <c r="AC514" s="137"/>
      <c r="AD514" s="125"/>
      <c r="AE514" s="162"/>
      <c r="AF514" s="183"/>
      <c r="AG514" s="195"/>
      <c r="AH514" s="195"/>
      <c r="AI514" s="195"/>
      <c r="AJ514" s="195"/>
      <c r="AK514" s="71"/>
      <c r="AL514" s="71"/>
      <c r="AM514" s="71"/>
      <c r="AN514" s="71"/>
      <c r="AO514" s="71"/>
    </row>
    <row r="515">
      <c r="A515" s="137"/>
      <c r="B515" s="138"/>
      <c r="C515" s="103"/>
      <c r="D515" s="71"/>
      <c r="E515" s="137"/>
      <c r="F515" s="138"/>
      <c r="G515" s="103"/>
      <c r="H515" s="71"/>
      <c r="I515" s="137"/>
      <c r="J515" s="138"/>
      <c r="K515" s="103"/>
      <c r="L515" s="71"/>
      <c r="M515" s="137"/>
      <c r="N515" s="125"/>
      <c r="O515" s="103"/>
      <c r="P515" s="71"/>
      <c r="Q515" s="189"/>
      <c r="R515" s="125"/>
      <c r="S515" s="103"/>
      <c r="T515" s="71"/>
      <c r="U515" s="189"/>
      <c r="V515" s="125"/>
      <c r="W515" s="103"/>
      <c r="X515" s="71"/>
      <c r="Y515" s="137"/>
      <c r="Z515" s="180"/>
      <c r="AA515" s="181"/>
      <c r="AB515" s="182"/>
      <c r="AC515" s="137"/>
      <c r="AD515" s="125"/>
      <c r="AE515" s="162"/>
      <c r="AF515" s="183"/>
      <c r="AG515" s="195"/>
      <c r="AH515" s="195"/>
      <c r="AI515" s="195"/>
      <c r="AJ515" s="195"/>
      <c r="AK515" s="71"/>
      <c r="AL515" s="71"/>
      <c r="AM515" s="71"/>
      <c r="AN515" s="71"/>
      <c r="AO515" s="71"/>
    </row>
    <row r="516">
      <c r="A516" s="137"/>
      <c r="B516" s="138"/>
      <c r="C516" s="103"/>
      <c r="D516" s="71"/>
      <c r="E516" s="137"/>
      <c r="F516" s="138"/>
      <c r="G516" s="103"/>
      <c r="H516" s="71"/>
      <c r="I516" s="137"/>
      <c r="J516" s="138"/>
      <c r="K516" s="103"/>
      <c r="L516" s="71"/>
      <c r="M516" s="137"/>
      <c r="N516" s="125"/>
      <c r="O516" s="103"/>
      <c r="P516" s="71"/>
      <c r="Q516" s="189"/>
      <c r="R516" s="125"/>
      <c r="S516" s="103"/>
      <c r="T516" s="71"/>
      <c r="U516" s="189"/>
      <c r="V516" s="125"/>
      <c r="W516" s="103"/>
      <c r="X516" s="71"/>
      <c r="Y516" s="137"/>
      <c r="Z516" s="180"/>
      <c r="AA516" s="181"/>
      <c r="AB516" s="182"/>
      <c r="AC516" s="137"/>
      <c r="AD516" s="125"/>
      <c r="AE516" s="162"/>
      <c r="AF516" s="183"/>
      <c r="AG516" s="195"/>
      <c r="AH516" s="195"/>
      <c r="AI516" s="195"/>
      <c r="AJ516" s="195"/>
      <c r="AK516" s="71"/>
      <c r="AL516" s="71"/>
      <c r="AM516" s="71"/>
      <c r="AN516" s="71"/>
      <c r="AO516" s="71"/>
    </row>
    <row r="517">
      <c r="A517" s="137"/>
      <c r="B517" s="138"/>
      <c r="C517" s="103"/>
      <c r="D517" s="71"/>
      <c r="E517" s="137"/>
      <c r="F517" s="138"/>
      <c r="G517" s="103"/>
      <c r="H517" s="71"/>
      <c r="I517" s="137"/>
      <c r="J517" s="138"/>
      <c r="K517" s="103"/>
      <c r="L517" s="71"/>
      <c r="M517" s="137"/>
      <c r="N517" s="125"/>
      <c r="O517" s="103"/>
      <c r="P517" s="71"/>
      <c r="Q517" s="189"/>
      <c r="R517" s="125"/>
      <c r="S517" s="103"/>
      <c r="T517" s="71"/>
      <c r="U517" s="189"/>
      <c r="V517" s="125"/>
      <c r="W517" s="103"/>
      <c r="X517" s="71"/>
      <c r="Y517" s="137"/>
      <c r="Z517" s="180"/>
      <c r="AA517" s="181"/>
      <c r="AB517" s="182"/>
      <c r="AC517" s="137"/>
      <c r="AD517" s="125"/>
      <c r="AE517" s="162"/>
      <c r="AF517" s="183"/>
      <c r="AG517" s="195"/>
      <c r="AH517" s="195"/>
      <c r="AI517" s="195"/>
      <c r="AJ517" s="195"/>
      <c r="AK517" s="71"/>
      <c r="AL517" s="71"/>
      <c r="AM517" s="71"/>
      <c r="AN517" s="71"/>
      <c r="AO517" s="71"/>
    </row>
    <row r="518">
      <c r="A518" s="137"/>
      <c r="B518" s="138"/>
      <c r="C518" s="103"/>
      <c r="D518" s="71"/>
      <c r="E518" s="137"/>
      <c r="F518" s="138"/>
      <c r="G518" s="103"/>
      <c r="H518" s="71"/>
      <c r="I518" s="137"/>
      <c r="J518" s="138"/>
      <c r="K518" s="103"/>
      <c r="L518" s="71"/>
      <c r="M518" s="137"/>
      <c r="N518" s="125"/>
      <c r="O518" s="103"/>
      <c r="P518" s="71"/>
      <c r="Q518" s="189"/>
      <c r="R518" s="125"/>
      <c r="S518" s="103"/>
      <c r="T518" s="71"/>
      <c r="U518" s="189"/>
      <c r="V518" s="125"/>
      <c r="W518" s="103"/>
      <c r="X518" s="71"/>
      <c r="Y518" s="137"/>
      <c r="Z518" s="180"/>
      <c r="AA518" s="181"/>
      <c r="AB518" s="182"/>
      <c r="AC518" s="137"/>
      <c r="AD518" s="125"/>
      <c r="AE518" s="162"/>
      <c r="AF518" s="183"/>
      <c r="AG518" s="195"/>
      <c r="AH518" s="195"/>
      <c r="AI518" s="195"/>
      <c r="AJ518" s="195"/>
      <c r="AK518" s="71"/>
      <c r="AL518" s="71"/>
      <c r="AM518" s="71"/>
      <c r="AN518" s="71"/>
      <c r="AO518" s="71"/>
    </row>
    <row r="519">
      <c r="A519" s="137"/>
      <c r="B519" s="138"/>
      <c r="C519" s="103"/>
      <c r="D519" s="71"/>
      <c r="E519" s="137"/>
      <c r="F519" s="138"/>
      <c r="G519" s="103"/>
      <c r="H519" s="71"/>
      <c r="I519" s="137"/>
      <c r="J519" s="138"/>
      <c r="K519" s="103"/>
      <c r="L519" s="71"/>
      <c r="M519" s="137"/>
      <c r="N519" s="125"/>
      <c r="O519" s="103"/>
      <c r="P519" s="71"/>
      <c r="Q519" s="189"/>
      <c r="R519" s="125"/>
      <c r="S519" s="103"/>
      <c r="T519" s="71"/>
      <c r="U519" s="189"/>
      <c r="V519" s="125"/>
      <c r="W519" s="103"/>
      <c r="X519" s="71"/>
      <c r="Y519" s="137"/>
      <c r="Z519" s="180"/>
      <c r="AA519" s="181"/>
      <c r="AB519" s="182"/>
      <c r="AC519" s="137"/>
      <c r="AD519" s="125"/>
      <c r="AE519" s="162"/>
      <c r="AF519" s="183"/>
      <c r="AG519" s="195"/>
      <c r="AH519" s="195"/>
      <c r="AI519" s="195"/>
      <c r="AJ519" s="195"/>
      <c r="AK519" s="71"/>
      <c r="AL519" s="71"/>
      <c r="AM519" s="71"/>
      <c r="AN519" s="71"/>
      <c r="AO519" s="71"/>
    </row>
    <row r="520">
      <c r="A520" s="137"/>
      <c r="B520" s="138"/>
      <c r="C520" s="103"/>
      <c r="D520" s="71"/>
      <c r="E520" s="137"/>
      <c r="F520" s="138"/>
      <c r="G520" s="103"/>
      <c r="H520" s="71"/>
      <c r="I520" s="137"/>
      <c r="J520" s="138"/>
      <c r="K520" s="103"/>
      <c r="L520" s="71"/>
      <c r="M520" s="137"/>
      <c r="N520" s="125"/>
      <c r="O520" s="103"/>
      <c r="P520" s="71"/>
      <c r="Q520" s="189"/>
      <c r="R520" s="125"/>
      <c r="S520" s="103"/>
      <c r="T520" s="71"/>
      <c r="U520" s="189"/>
      <c r="V520" s="125"/>
      <c r="W520" s="103"/>
      <c r="X520" s="71"/>
      <c r="Y520" s="137"/>
      <c r="Z520" s="180"/>
      <c r="AA520" s="181"/>
      <c r="AB520" s="182"/>
      <c r="AC520" s="137"/>
      <c r="AD520" s="125"/>
      <c r="AE520" s="162"/>
      <c r="AF520" s="183"/>
      <c r="AG520" s="195"/>
      <c r="AH520" s="195"/>
      <c r="AI520" s="195"/>
      <c r="AJ520" s="195"/>
      <c r="AK520" s="71"/>
      <c r="AL520" s="71"/>
      <c r="AM520" s="71"/>
      <c r="AN520" s="71"/>
      <c r="AO520" s="71"/>
    </row>
    <row r="521">
      <c r="A521" s="137"/>
      <c r="B521" s="138"/>
      <c r="C521" s="103"/>
      <c r="D521" s="71"/>
      <c r="E521" s="137"/>
      <c r="F521" s="138"/>
      <c r="G521" s="103"/>
      <c r="H521" s="71"/>
      <c r="I521" s="137"/>
      <c r="J521" s="138"/>
      <c r="K521" s="103"/>
      <c r="L521" s="71"/>
      <c r="M521" s="137"/>
      <c r="N521" s="125"/>
      <c r="O521" s="103"/>
      <c r="P521" s="71"/>
      <c r="Q521" s="189"/>
      <c r="R521" s="125"/>
      <c r="S521" s="103"/>
      <c r="T521" s="71"/>
      <c r="U521" s="189"/>
      <c r="V521" s="125"/>
      <c r="W521" s="103"/>
      <c r="X521" s="71"/>
      <c r="Y521" s="137"/>
      <c r="Z521" s="180"/>
      <c r="AA521" s="181"/>
      <c r="AB521" s="182"/>
      <c r="AC521" s="137"/>
      <c r="AD521" s="125"/>
      <c r="AE521" s="162"/>
      <c r="AF521" s="183"/>
      <c r="AG521" s="195"/>
      <c r="AH521" s="195"/>
      <c r="AI521" s="195"/>
      <c r="AJ521" s="195"/>
      <c r="AK521" s="71"/>
      <c r="AL521" s="71"/>
      <c r="AM521" s="71"/>
      <c r="AN521" s="71"/>
      <c r="AO521" s="71"/>
    </row>
    <row r="522">
      <c r="A522" s="137"/>
      <c r="B522" s="138"/>
      <c r="C522" s="103"/>
      <c r="D522" s="71"/>
      <c r="E522" s="137"/>
      <c r="F522" s="138"/>
      <c r="G522" s="103"/>
      <c r="H522" s="71"/>
      <c r="I522" s="137"/>
      <c r="J522" s="138"/>
      <c r="K522" s="103"/>
      <c r="L522" s="71"/>
      <c r="M522" s="137"/>
      <c r="N522" s="125"/>
      <c r="O522" s="103"/>
      <c r="P522" s="71"/>
      <c r="Q522" s="189"/>
      <c r="R522" s="125"/>
      <c r="S522" s="103"/>
      <c r="T522" s="71"/>
      <c r="U522" s="189"/>
      <c r="V522" s="125"/>
      <c r="W522" s="103"/>
      <c r="X522" s="71"/>
      <c r="Y522" s="137"/>
      <c r="Z522" s="180"/>
      <c r="AA522" s="181"/>
      <c r="AB522" s="182"/>
      <c r="AC522" s="137"/>
      <c r="AD522" s="125"/>
      <c r="AE522" s="162"/>
      <c r="AF522" s="183"/>
      <c r="AG522" s="195"/>
      <c r="AH522" s="195"/>
      <c r="AI522" s="195"/>
      <c r="AJ522" s="195"/>
      <c r="AK522" s="71"/>
      <c r="AL522" s="71"/>
      <c r="AM522" s="71"/>
      <c r="AN522" s="71"/>
      <c r="AO522" s="71"/>
    </row>
    <row r="523">
      <c r="A523" s="137"/>
      <c r="B523" s="138"/>
      <c r="C523" s="103"/>
      <c r="D523" s="71"/>
      <c r="E523" s="137"/>
      <c r="F523" s="138"/>
      <c r="G523" s="103"/>
      <c r="H523" s="71"/>
      <c r="I523" s="137"/>
      <c r="J523" s="138"/>
      <c r="K523" s="103"/>
      <c r="L523" s="71"/>
      <c r="M523" s="137"/>
      <c r="N523" s="125"/>
      <c r="O523" s="103"/>
      <c r="P523" s="71"/>
      <c r="Q523" s="189"/>
      <c r="R523" s="125"/>
      <c r="S523" s="103"/>
      <c r="T523" s="71"/>
      <c r="U523" s="189"/>
      <c r="V523" s="125"/>
      <c r="W523" s="103"/>
      <c r="X523" s="71"/>
      <c r="Y523" s="137"/>
      <c r="Z523" s="180"/>
      <c r="AA523" s="181"/>
      <c r="AB523" s="182"/>
      <c r="AC523" s="137"/>
      <c r="AD523" s="125"/>
      <c r="AE523" s="162"/>
      <c r="AF523" s="183"/>
      <c r="AG523" s="195"/>
      <c r="AH523" s="195"/>
      <c r="AI523" s="195"/>
      <c r="AJ523" s="195"/>
      <c r="AK523" s="71"/>
      <c r="AL523" s="71"/>
      <c r="AM523" s="71"/>
      <c r="AN523" s="71"/>
      <c r="AO523" s="71"/>
    </row>
    <row r="524">
      <c r="A524" s="137"/>
      <c r="B524" s="138"/>
      <c r="C524" s="103"/>
      <c r="D524" s="71"/>
      <c r="E524" s="137"/>
      <c r="F524" s="138"/>
      <c r="G524" s="103"/>
      <c r="H524" s="71"/>
      <c r="I524" s="137"/>
      <c r="J524" s="138"/>
      <c r="K524" s="103"/>
      <c r="L524" s="71"/>
      <c r="M524" s="137"/>
      <c r="N524" s="125"/>
      <c r="O524" s="103"/>
      <c r="P524" s="71"/>
      <c r="Q524" s="189"/>
      <c r="R524" s="125"/>
      <c r="S524" s="103"/>
      <c r="T524" s="71"/>
      <c r="U524" s="189"/>
      <c r="V524" s="125"/>
      <c r="W524" s="103"/>
      <c r="X524" s="71"/>
      <c r="Y524" s="137"/>
      <c r="Z524" s="180"/>
      <c r="AA524" s="181"/>
      <c r="AB524" s="182"/>
      <c r="AC524" s="137"/>
      <c r="AD524" s="125"/>
      <c r="AE524" s="162"/>
      <c r="AF524" s="183"/>
      <c r="AG524" s="195"/>
      <c r="AH524" s="195"/>
      <c r="AI524" s="195"/>
      <c r="AJ524" s="195"/>
      <c r="AK524" s="71"/>
      <c r="AL524" s="71"/>
      <c r="AM524" s="71"/>
      <c r="AN524" s="71"/>
      <c r="AO524" s="71"/>
    </row>
    <row r="525">
      <c r="A525" s="137"/>
      <c r="B525" s="138"/>
      <c r="C525" s="103"/>
      <c r="D525" s="71"/>
      <c r="E525" s="137"/>
      <c r="F525" s="138"/>
      <c r="G525" s="103"/>
      <c r="H525" s="71"/>
      <c r="I525" s="137"/>
      <c r="J525" s="138"/>
      <c r="K525" s="103"/>
      <c r="L525" s="71"/>
      <c r="M525" s="137"/>
      <c r="N525" s="125"/>
      <c r="O525" s="103"/>
      <c r="P525" s="71"/>
      <c r="Q525" s="189"/>
      <c r="R525" s="125"/>
      <c r="S525" s="103"/>
      <c r="T525" s="71"/>
      <c r="U525" s="189"/>
      <c r="V525" s="125"/>
      <c r="W525" s="103"/>
      <c r="X525" s="71"/>
      <c r="Y525" s="137"/>
      <c r="Z525" s="180"/>
      <c r="AA525" s="181"/>
      <c r="AB525" s="182"/>
      <c r="AC525" s="137"/>
      <c r="AD525" s="125"/>
      <c r="AE525" s="162"/>
      <c r="AF525" s="183"/>
      <c r="AG525" s="195"/>
      <c r="AH525" s="195"/>
      <c r="AI525" s="195"/>
      <c r="AJ525" s="195"/>
      <c r="AK525" s="71"/>
      <c r="AL525" s="71"/>
      <c r="AM525" s="71"/>
      <c r="AN525" s="71"/>
      <c r="AO525" s="71"/>
    </row>
    <row r="526">
      <c r="A526" s="137"/>
      <c r="B526" s="138"/>
      <c r="C526" s="103"/>
      <c r="D526" s="71"/>
      <c r="E526" s="137"/>
      <c r="F526" s="138"/>
      <c r="G526" s="103"/>
      <c r="H526" s="71"/>
      <c r="I526" s="137"/>
      <c r="J526" s="138"/>
      <c r="K526" s="103"/>
      <c r="L526" s="71"/>
      <c r="M526" s="137"/>
      <c r="N526" s="125"/>
      <c r="O526" s="103"/>
      <c r="P526" s="71"/>
      <c r="Q526" s="189"/>
      <c r="R526" s="125"/>
      <c r="S526" s="103"/>
      <c r="T526" s="71"/>
      <c r="U526" s="189"/>
      <c r="V526" s="125"/>
      <c r="W526" s="103"/>
      <c r="X526" s="71"/>
      <c r="Y526" s="137"/>
      <c r="Z526" s="180"/>
      <c r="AA526" s="181"/>
      <c r="AB526" s="182"/>
      <c r="AC526" s="137"/>
      <c r="AD526" s="125"/>
      <c r="AE526" s="162"/>
      <c r="AF526" s="183"/>
      <c r="AG526" s="195"/>
      <c r="AH526" s="195"/>
      <c r="AI526" s="195"/>
      <c r="AJ526" s="195"/>
      <c r="AK526" s="71"/>
      <c r="AL526" s="71"/>
      <c r="AM526" s="71"/>
      <c r="AN526" s="71"/>
      <c r="AO526" s="71"/>
    </row>
    <row r="527">
      <c r="A527" s="137"/>
      <c r="B527" s="138"/>
      <c r="C527" s="103"/>
      <c r="D527" s="71"/>
      <c r="E527" s="137"/>
      <c r="F527" s="138"/>
      <c r="G527" s="103"/>
      <c r="H527" s="71"/>
      <c r="I527" s="137"/>
      <c r="J527" s="138"/>
      <c r="K527" s="103"/>
      <c r="L527" s="71"/>
      <c r="M527" s="137"/>
      <c r="N527" s="125"/>
      <c r="O527" s="103"/>
      <c r="P527" s="71"/>
      <c r="Q527" s="189"/>
      <c r="R527" s="125"/>
      <c r="S527" s="103"/>
      <c r="T527" s="71"/>
      <c r="U527" s="189"/>
      <c r="V527" s="125"/>
      <c r="W527" s="103"/>
      <c r="X527" s="71"/>
      <c r="Y527" s="137"/>
      <c r="Z527" s="180"/>
      <c r="AA527" s="181"/>
      <c r="AB527" s="182"/>
      <c r="AC527" s="137"/>
      <c r="AD527" s="125"/>
      <c r="AE527" s="162"/>
      <c r="AF527" s="183"/>
      <c r="AG527" s="195"/>
      <c r="AH527" s="195"/>
      <c r="AI527" s="195"/>
      <c r="AJ527" s="195"/>
      <c r="AK527" s="71"/>
      <c r="AL527" s="71"/>
      <c r="AM527" s="71"/>
      <c r="AN527" s="71"/>
      <c r="AO527" s="71"/>
    </row>
    <row r="528">
      <c r="A528" s="137"/>
      <c r="B528" s="138"/>
      <c r="C528" s="103"/>
      <c r="D528" s="71"/>
      <c r="E528" s="137"/>
      <c r="F528" s="138"/>
      <c r="G528" s="103"/>
      <c r="H528" s="71"/>
      <c r="I528" s="137"/>
      <c r="J528" s="138"/>
      <c r="K528" s="103"/>
      <c r="L528" s="71"/>
      <c r="M528" s="137"/>
      <c r="N528" s="125"/>
      <c r="O528" s="103"/>
      <c r="P528" s="71"/>
      <c r="Q528" s="189"/>
      <c r="R528" s="125"/>
      <c r="S528" s="103"/>
      <c r="T528" s="71"/>
      <c r="U528" s="189"/>
      <c r="V528" s="125"/>
      <c r="W528" s="103"/>
      <c r="X528" s="71"/>
      <c r="Y528" s="137"/>
      <c r="Z528" s="180"/>
      <c r="AA528" s="181"/>
      <c r="AB528" s="182"/>
      <c r="AC528" s="137"/>
      <c r="AD528" s="125"/>
      <c r="AE528" s="162"/>
      <c r="AF528" s="183"/>
      <c r="AG528" s="195"/>
      <c r="AH528" s="195"/>
      <c r="AI528" s="195"/>
      <c r="AJ528" s="195"/>
      <c r="AK528" s="71"/>
      <c r="AL528" s="71"/>
      <c r="AM528" s="71"/>
      <c r="AN528" s="71"/>
      <c r="AO528" s="71"/>
    </row>
    <row r="529">
      <c r="A529" s="137"/>
      <c r="B529" s="138"/>
      <c r="C529" s="103"/>
      <c r="D529" s="71"/>
      <c r="E529" s="137"/>
      <c r="F529" s="138"/>
      <c r="G529" s="103"/>
      <c r="H529" s="71"/>
      <c r="I529" s="137"/>
      <c r="J529" s="138"/>
      <c r="K529" s="103"/>
      <c r="L529" s="71"/>
      <c r="M529" s="137"/>
      <c r="N529" s="125"/>
      <c r="O529" s="103"/>
      <c r="P529" s="71"/>
      <c r="Q529" s="189"/>
      <c r="R529" s="125"/>
      <c r="S529" s="103"/>
      <c r="T529" s="71"/>
      <c r="U529" s="189"/>
      <c r="V529" s="125"/>
      <c r="W529" s="103"/>
      <c r="X529" s="71"/>
      <c r="Y529" s="137"/>
      <c r="Z529" s="180"/>
      <c r="AA529" s="181"/>
      <c r="AB529" s="182"/>
      <c r="AC529" s="137"/>
      <c r="AD529" s="125"/>
      <c r="AE529" s="162"/>
      <c r="AF529" s="183"/>
      <c r="AG529" s="195"/>
      <c r="AH529" s="195"/>
      <c r="AI529" s="195"/>
      <c r="AJ529" s="195"/>
      <c r="AK529" s="71"/>
      <c r="AL529" s="71"/>
      <c r="AM529" s="71"/>
      <c r="AN529" s="71"/>
      <c r="AO529" s="71"/>
    </row>
    <row r="530">
      <c r="A530" s="137"/>
      <c r="B530" s="138"/>
      <c r="C530" s="103"/>
      <c r="D530" s="71"/>
      <c r="E530" s="137"/>
      <c r="F530" s="138"/>
      <c r="G530" s="103"/>
      <c r="H530" s="71"/>
      <c r="I530" s="137"/>
      <c r="J530" s="138"/>
      <c r="K530" s="103"/>
      <c r="L530" s="71"/>
      <c r="M530" s="137"/>
      <c r="N530" s="125"/>
      <c r="O530" s="103"/>
      <c r="P530" s="71"/>
      <c r="Q530" s="189"/>
      <c r="R530" s="125"/>
      <c r="S530" s="103"/>
      <c r="T530" s="71"/>
      <c r="U530" s="189"/>
      <c r="V530" s="125"/>
      <c r="W530" s="103"/>
      <c r="X530" s="71"/>
      <c r="Y530" s="137"/>
      <c r="Z530" s="180"/>
      <c r="AA530" s="181"/>
      <c r="AB530" s="182"/>
      <c r="AC530" s="137"/>
      <c r="AD530" s="125"/>
      <c r="AE530" s="162"/>
      <c r="AF530" s="183"/>
      <c r="AG530" s="195"/>
      <c r="AH530" s="195"/>
      <c r="AI530" s="195"/>
      <c r="AJ530" s="195"/>
      <c r="AK530" s="71"/>
      <c r="AL530" s="71"/>
      <c r="AM530" s="71"/>
      <c r="AN530" s="71"/>
      <c r="AO530" s="71"/>
    </row>
    <row r="531">
      <c r="A531" s="137"/>
      <c r="B531" s="138"/>
      <c r="C531" s="103"/>
      <c r="D531" s="71"/>
      <c r="E531" s="137"/>
      <c r="F531" s="138"/>
      <c r="G531" s="103"/>
      <c r="H531" s="71"/>
      <c r="I531" s="137"/>
      <c r="J531" s="138"/>
      <c r="K531" s="103"/>
      <c r="L531" s="71"/>
      <c r="M531" s="137"/>
      <c r="N531" s="125"/>
      <c r="O531" s="103"/>
      <c r="P531" s="71"/>
      <c r="Q531" s="189"/>
      <c r="R531" s="125"/>
      <c r="S531" s="103"/>
      <c r="T531" s="71"/>
      <c r="U531" s="189"/>
      <c r="V531" s="125"/>
      <c r="W531" s="103"/>
      <c r="X531" s="71"/>
      <c r="Y531" s="137"/>
      <c r="Z531" s="180"/>
      <c r="AA531" s="181"/>
      <c r="AB531" s="182"/>
      <c r="AC531" s="137"/>
      <c r="AD531" s="125"/>
      <c r="AE531" s="162"/>
      <c r="AF531" s="183"/>
      <c r="AG531" s="195"/>
      <c r="AH531" s="195"/>
      <c r="AI531" s="195"/>
      <c r="AJ531" s="195"/>
      <c r="AK531" s="71"/>
      <c r="AL531" s="71"/>
      <c r="AM531" s="71"/>
      <c r="AN531" s="71"/>
      <c r="AO531" s="71"/>
    </row>
    <row r="532">
      <c r="A532" s="137"/>
      <c r="B532" s="138"/>
      <c r="C532" s="103"/>
      <c r="D532" s="71"/>
      <c r="E532" s="137"/>
      <c r="F532" s="138"/>
      <c r="G532" s="103"/>
      <c r="H532" s="71"/>
      <c r="I532" s="137"/>
      <c r="J532" s="138"/>
      <c r="K532" s="103"/>
      <c r="L532" s="71"/>
      <c r="M532" s="137"/>
      <c r="N532" s="125"/>
      <c r="O532" s="103"/>
      <c r="P532" s="71"/>
      <c r="Q532" s="189"/>
      <c r="R532" s="125"/>
      <c r="S532" s="103"/>
      <c r="T532" s="71"/>
      <c r="U532" s="189"/>
      <c r="V532" s="125"/>
      <c r="W532" s="103"/>
      <c r="X532" s="71"/>
      <c r="Y532" s="137"/>
      <c r="Z532" s="180"/>
      <c r="AA532" s="181"/>
      <c r="AB532" s="182"/>
      <c r="AC532" s="137"/>
      <c r="AD532" s="125"/>
      <c r="AE532" s="162"/>
      <c r="AF532" s="183"/>
      <c r="AG532" s="195"/>
      <c r="AH532" s="195"/>
      <c r="AI532" s="195"/>
      <c r="AJ532" s="195"/>
      <c r="AK532" s="71"/>
      <c r="AL532" s="71"/>
      <c r="AM532" s="71"/>
      <c r="AN532" s="71"/>
      <c r="AO532" s="71"/>
    </row>
    <row r="533">
      <c r="A533" s="137"/>
      <c r="B533" s="138"/>
      <c r="C533" s="103"/>
      <c r="D533" s="71"/>
      <c r="E533" s="137"/>
      <c r="F533" s="138"/>
      <c r="G533" s="103"/>
      <c r="H533" s="71"/>
      <c r="I533" s="137"/>
      <c r="J533" s="138"/>
      <c r="K533" s="103"/>
      <c r="L533" s="71"/>
      <c r="M533" s="137"/>
      <c r="N533" s="125"/>
      <c r="O533" s="103"/>
      <c r="P533" s="71"/>
      <c r="Q533" s="189"/>
      <c r="R533" s="125"/>
      <c r="S533" s="103"/>
      <c r="T533" s="71"/>
      <c r="U533" s="189"/>
      <c r="V533" s="125"/>
      <c r="W533" s="103"/>
      <c r="X533" s="71"/>
      <c r="Y533" s="137"/>
      <c r="Z533" s="180"/>
      <c r="AA533" s="181"/>
      <c r="AB533" s="182"/>
      <c r="AC533" s="137"/>
      <c r="AD533" s="125"/>
      <c r="AE533" s="162"/>
      <c r="AF533" s="183"/>
      <c r="AG533" s="195"/>
      <c r="AH533" s="195"/>
      <c r="AI533" s="195"/>
      <c r="AJ533" s="195"/>
      <c r="AK533" s="71"/>
      <c r="AL533" s="71"/>
      <c r="AM533" s="71"/>
      <c r="AN533" s="71"/>
      <c r="AO533" s="71"/>
    </row>
    <row r="534">
      <c r="A534" s="137"/>
      <c r="B534" s="138"/>
      <c r="C534" s="103"/>
      <c r="D534" s="71"/>
      <c r="E534" s="137"/>
      <c r="F534" s="138"/>
      <c r="G534" s="103"/>
      <c r="H534" s="71"/>
      <c r="I534" s="137"/>
      <c r="J534" s="138"/>
      <c r="K534" s="103"/>
      <c r="L534" s="71"/>
      <c r="M534" s="137"/>
      <c r="N534" s="125"/>
      <c r="O534" s="103"/>
      <c r="P534" s="71"/>
      <c r="Q534" s="189"/>
      <c r="R534" s="125"/>
      <c r="S534" s="103"/>
      <c r="T534" s="71"/>
      <c r="U534" s="189"/>
      <c r="V534" s="125"/>
      <c r="W534" s="103"/>
      <c r="X534" s="71"/>
      <c r="Y534" s="137"/>
      <c r="Z534" s="180"/>
      <c r="AA534" s="181"/>
      <c r="AB534" s="182"/>
      <c r="AC534" s="137"/>
      <c r="AD534" s="125"/>
      <c r="AE534" s="162"/>
      <c r="AF534" s="183"/>
      <c r="AG534" s="195"/>
      <c r="AH534" s="195"/>
      <c r="AI534" s="195"/>
      <c r="AJ534" s="195"/>
      <c r="AK534" s="71"/>
      <c r="AL534" s="71"/>
      <c r="AM534" s="71"/>
      <c r="AN534" s="71"/>
      <c r="AO534" s="71"/>
    </row>
    <row r="535">
      <c r="A535" s="137"/>
      <c r="B535" s="138"/>
      <c r="C535" s="103"/>
      <c r="D535" s="71"/>
      <c r="E535" s="137"/>
      <c r="F535" s="138"/>
      <c r="G535" s="103"/>
      <c r="H535" s="71"/>
      <c r="I535" s="137"/>
      <c r="J535" s="138"/>
      <c r="K535" s="103"/>
      <c r="L535" s="71"/>
      <c r="M535" s="137"/>
      <c r="N535" s="125"/>
      <c r="O535" s="103"/>
      <c r="P535" s="71"/>
      <c r="Q535" s="189"/>
      <c r="R535" s="125"/>
      <c r="S535" s="103"/>
      <c r="T535" s="71"/>
      <c r="U535" s="189"/>
      <c r="V535" s="125"/>
      <c r="W535" s="103"/>
      <c r="X535" s="71"/>
      <c r="Y535" s="137"/>
      <c r="Z535" s="180"/>
      <c r="AA535" s="181"/>
      <c r="AB535" s="182"/>
      <c r="AC535" s="137"/>
      <c r="AD535" s="125"/>
      <c r="AE535" s="162"/>
      <c r="AF535" s="183"/>
      <c r="AG535" s="195"/>
      <c r="AH535" s="195"/>
      <c r="AI535" s="195"/>
      <c r="AJ535" s="195"/>
      <c r="AK535" s="71"/>
      <c r="AL535" s="71"/>
      <c r="AM535" s="71"/>
      <c r="AN535" s="71"/>
      <c r="AO535" s="71"/>
    </row>
    <row r="536">
      <c r="A536" s="137"/>
      <c r="B536" s="138"/>
      <c r="C536" s="103"/>
      <c r="D536" s="71"/>
      <c r="E536" s="137"/>
      <c r="F536" s="138"/>
      <c r="G536" s="103"/>
      <c r="H536" s="71"/>
      <c r="I536" s="137"/>
      <c r="J536" s="138"/>
      <c r="K536" s="103"/>
      <c r="L536" s="71"/>
      <c r="M536" s="137"/>
      <c r="N536" s="125"/>
      <c r="O536" s="103"/>
      <c r="P536" s="71"/>
      <c r="Q536" s="189"/>
      <c r="R536" s="125"/>
      <c r="S536" s="103"/>
      <c r="T536" s="71"/>
      <c r="U536" s="189"/>
      <c r="V536" s="125"/>
      <c r="W536" s="103"/>
      <c r="X536" s="71"/>
      <c r="Y536" s="137"/>
      <c r="Z536" s="180"/>
      <c r="AA536" s="181"/>
      <c r="AB536" s="182"/>
      <c r="AC536" s="137"/>
      <c r="AD536" s="125"/>
      <c r="AE536" s="162"/>
      <c r="AF536" s="183"/>
      <c r="AG536" s="195"/>
      <c r="AH536" s="195"/>
      <c r="AI536" s="195"/>
      <c r="AJ536" s="195"/>
      <c r="AK536" s="71"/>
      <c r="AL536" s="71"/>
      <c r="AM536" s="71"/>
      <c r="AN536" s="71"/>
      <c r="AO536" s="71"/>
    </row>
    <row r="537">
      <c r="A537" s="137"/>
      <c r="B537" s="138"/>
      <c r="C537" s="103"/>
      <c r="D537" s="71"/>
      <c r="E537" s="137"/>
      <c r="F537" s="138"/>
      <c r="G537" s="103"/>
      <c r="H537" s="71"/>
      <c r="I537" s="137"/>
      <c r="J537" s="138"/>
      <c r="K537" s="103"/>
      <c r="L537" s="71"/>
      <c r="M537" s="137"/>
      <c r="N537" s="125"/>
      <c r="O537" s="103"/>
      <c r="P537" s="71"/>
      <c r="Q537" s="189"/>
      <c r="R537" s="125"/>
      <c r="S537" s="103"/>
      <c r="T537" s="71"/>
      <c r="U537" s="189"/>
      <c r="V537" s="125"/>
      <c r="W537" s="103"/>
      <c r="X537" s="71"/>
      <c r="Y537" s="137"/>
      <c r="Z537" s="180"/>
      <c r="AA537" s="181"/>
      <c r="AB537" s="182"/>
      <c r="AC537" s="137"/>
      <c r="AD537" s="125"/>
      <c r="AE537" s="162"/>
      <c r="AF537" s="183"/>
      <c r="AG537" s="195"/>
      <c r="AH537" s="195"/>
      <c r="AI537" s="195"/>
      <c r="AJ537" s="195"/>
      <c r="AK537" s="71"/>
      <c r="AL537" s="71"/>
      <c r="AM537" s="71"/>
      <c r="AN537" s="71"/>
      <c r="AO537" s="71"/>
    </row>
    <row r="538">
      <c r="A538" s="137"/>
      <c r="B538" s="138"/>
      <c r="C538" s="103"/>
      <c r="D538" s="71"/>
      <c r="E538" s="137"/>
      <c r="F538" s="138"/>
      <c r="G538" s="103"/>
      <c r="H538" s="71"/>
      <c r="I538" s="137"/>
      <c r="J538" s="138"/>
      <c r="K538" s="103"/>
      <c r="L538" s="71"/>
      <c r="M538" s="137"/>
      <c r="N538" s="125"/>
      <c r="O538" s="103"/>
      <c r="P538" s="71"/>
      <c r="Q538" s="189"/>
      <c r="R538" s="125"/>
      <c r="S538" s="103"/>
      <c r="T538" s="71"/>
      <c r="U538" s="189"/>
      <c r="V538" s="125"/>
      <c r="W538" s="103"/>
      <c r="X538" s="71"/>
      <c r="Y538" s="137"/>
      <c r="Z538" s="180"/>
      <c r="AA538" s="181"/>
      <c r="AB538" s="182"/>
      <c r="AC538" s="137"/>
      <c r="AD538" s="125"/>
      <c r="AE538" s="162"/>
      <c r="AF538" s="183"/>
      <c r="AG538" s="195"/>
      <c r="AH538" s="195"/>
      <c r="AI538" s="195"/>
      <c r="AJ538" s="195"/>
      <c r="AK538" s="71"/>
      <c r="AL538" s="71"/>
      <c r="AM538" s="71"/>
      <c r="AN538" s="71"/>
      <c r="AO538" s="71"/>
    </row>
    <row r="539">
      <c r="A539" s="137"/>
      <c r="B539" s="138"/>
      <c r="C539" s="103"/>
      <c r="D539" s="71"/>
      <c r="E539" s="137"/>
      <c r="F539" s="138"/>
      <c r="G539" s="103"/>
      <c r="H539" s="71"/>
      <c r="I539" s="137"/>
      <c r="J539" s="138"/>
      <c r="K539" s="103"/>
      <c r="L539" s="71"/>
      <c r="M539" s="137"/>
      <c r="N539" s="125"/>
      <c r="O539" s="103"/>
      <c r="P539" s="71"/>
      <c r="Q539" s="189"/>
      <c r="R539" s="125"/>
      <c r="S539" s="103"/>
      <c r="T539" s="71"/>
      <c r="U539" s="189"/>
      <c r="V539" s="125"/>
      <c r="W539" s="103"/>
      <c r="X539" s="71"/>
      <c r="Y539" s="137"/>
      <c r="Z539" s="180"/>
      <c r="AA539" s="181"/>
      <c r="AB539" s="182"/>
      <c r="AC539" s="137"/>
      <c r="AD539" s="125"/>
      <c r="AE539" s="162"/>
      <c r="AF539" s="183"/>
      <c r="AG539" s="195"/>
      <c r="AH539" s="195"/>
      <c r="AI539" s="195"/>
      <c r="AJ539" s="195"/>
      <c r="AK539" s="71"/>
      <c r="AL539" s="71"/>
      <c r="AM539" s="71"/>
      <c r="AN539" s="71"/>
      <c r="AO539" s="71"/>
    </row>
    <row r="540">
      <c r="A540" s="137"/>
      <c r="B540" s="138"/>
      <c r="C540" s="103"/>
      <c r="D540" s="71"/>
      <c r="E540" s="137"/>
      <c r="F540" s="138"/>
      <c r="G540" s="103"/>
      <c r="H540" s="71"/>
      <c r="I540" s="137"/>
      <c r="J540" s="138"/>
      <c r="K540" s="103"/>
      <c r="L540" s="71"/>
      <c r="M540" s="137"/>
      <c r="N540" s="125"/>
      <c r="O540" s="103"/>
      <c r="P540" s="71"/>
      <c r="Q540" s="189"/>
      <c r="R540" s="125"/>
      <c r="S540" s="103"/>
      <c r="T540" s="71"/>
      <c r="U540" s="189"/>
      <c r="V540" s="125"/>
      <c r="W540" s="103"/>
      <c r="X540" s="71"/>
      <c r="Y540" s="137"/>
      <c r="Z540" s="180"/>
      <c r="AA540" s="181"/>
      <c r="AB540" s="182"/>
      <c r="AC540" s="137"/>
      <c r="AD540" s="125"/>
      <c r="AE540" s="162"/>
      <c r="AF540" s="183"/>
      <c r="AG540" s="195"/>
      <c r="AH540" s="195"/>
      <c r="AI540" s="195"/>
      <c r="AJ540" s="195"/>
      <c r="AK540" s="71"/>
      <c r="AL540" s="71"/>
      <c r="AM540" s="71"/>
      <c r="AN540" s="71"/>
      <c r="AO540" s="71"/>
    </row>
    <row r="541">
      <c r="A541" s="137"/>
      <c r="B541" s="138"/>
      <c r="C541" s="103"/>
      <c r="D541" s="71"/>
      <c r="E541" s="137"/>
      <c r="F541" s="138"/>
      <c r="G541" s="103"/>
      <c r="H541" s="71"/>
      <c r="I541" s="137"/>
      <c r="J541" s="138"/>
      <c r="K541" s="103"/>
      <c r="L541" s="71"/>
      <c r="M541" s="137"/>
      <c r="N541" s="125"/>
      <c r="O541" s="103"/>
      <c r="P541" s="71"/>
      <c r="Q541" s="189"/>
      <c r="R541" s="125"/>
      <c r="S541" s="103"/>
      <c r="T541" s="71"/>
      <c r="U541" s="189"/>
      <c r="V541" s="125"/>
      <c r="W541" s="103"/>
      <c r="X541" s="71"/>
      <c r="Y541" s="137"/>
      <c r="Z541" s="180"/>
      <c r="AA541" s="181"/>
      <c r="AB541" s="182"/>
      <c r="AC541" s="137"/>
      <c r="AD541" s="125"/>
      <c r="AE541" s="162"/>
      <c r="AF541" s="183"/>
      <c r="AG541" s="195"/>
      <c r="AH541" s="195"/>
      <c r="AI541" s="195"/>
      <c r="AJ541" s="195"/>
      <c r="AK541" s="71"/>
      <c r="AL541" s="71"/>
      <c r="AM541" s="71"/>
      <c r="AN541" s="71"/>
      <c r="AO541" s="71"/>
    </row>
    <row r="542">
      <c r="A542" s="137"/>
      <c r="B542" s="138"/>
      <c r="C542" s="103"/>
      <c r="D542" s="71"/>
      <c r="E542" s="137"/>
      <c r="F542" s="138"/>
      <c r="G542" s="103"/>
      <c r="H542" s="71"/>
      <c r="I542" s="137"/>
      <c r="J542" s="138"/>
      <c r="K542" s="103"/>
      <c r="L542" s="71"/>
      <c r="M542" s="137"/>
      <c r="N542" s="125"/>
      <c r="O542" s="103"/>
      <c r="P542" s="71"/>
      <c r="Q542" s="189"/>
      <c r="R542" s="125"/>
      <c r="S542" s="103"/>
      <c r="T542" s="71"/>
      <c r="U542" s="189"/>
      <c r="V542" s="125"/>
      <c r="W542" s="103"/>
      <c r="X542" s="71"/>
      <c r="Y542" s="137"/>
      <c r="Z542" s="180"/>
      <c r="AA542" s="181"/>
      <c r="AB542" s="182"/>
      <c r="AC542" s="137"/>
      <c r="AD542" s="125"/>
      <c r="AE542" s="162"/>
      <c r="AF542" s="183"/>
      <c r="AG542" s="195"/>
      <c r="AH542" s="195"/>
      <c r="AI542" s="195"/>
      <c r="AJ542" s="195"/>
      <c r="AK542" s="71"/>
      <c r="AL542" s="71"/>
      <c r="AM542" s="71"/>
      <c r="AN542" s="71"/>
      <c r="AO542" s="71"/>
    </row>
    <row r="543">
      <c r="A543" s="137"/>
      <c r="B543" s="138"/>
      <c r="C543" s="103"/>
      <c r="D543" s="71"/>
      <c r="E543" s="137"/>
      <c r="F543" s="138"/>
      <c r="G543" s="103"/>
      <c r="H543" s="71"/>
      <c r="I543" s="137"/>
      <c r="J543" s="138"/>
      <c r="K543" s="103"/>
      <c r="L543" s="71"/>
      <c r="M543" s="137"/>
      <c r="N543" s="125"/>
      <c r="O543" s="103"/>
      <c r="P543" s="71"/>
      <c r="Q543" s="189"/>
      <c r="R543" s="125"/>
      <c r="S543" s="103"/>
      <c r="T543" s="71"/>
      <c r="U543" s="189"/>
      <c r="V543" s="125"/>
      <c r="W543" s="103"/>
      <c r="X543" s="71"/>
      <c r="Y543" s="137"/>
      <c r="Z543" s="180"/>
      <c r="AA543" s="181"/>
      <c r="AB543" s="182"/>
      <c r="AC543" s="137"/>
      <c r="AD543" s="125"/>
      <c r="AE543" s="162"/>
      <c r="AF543" s="183"/>
      <c r="AG543" s="195"/>
      <c r="AH543" s="195"/>
      <c r="AI543" s="195"/>
      <c r="AJ543" s="195"/>
      <c r="AK543" s="71"/>
      <c r="AL543" s="71"/>
      <c r="AM543" s="71"/>
      <c r="AN543" s="71"/>
      <c r="AO543" s="71"/>
    </row>
    <row r="544">
      <c r="A544" s="137"/>
      <c r="B544" s="138"/>
      <c r="C544" s="103"/>
      <c r="D544" s="71"/>
      <c r="E544" s="137"/>
      <c r="F544" s="138"/>
      <c r="G544" s="103"/>
      <c r="H544" s="71"/>
      <c r="I544" s="137"/>
      <c r="J544" s="138"/>
      <c r="K544" s="103"/>
      <c r="L544" s="71"/>
      <c r="M544" s="137"/>
      <c r="N544" s="125"/>
      <c r="O544" s="103"/>
      <c r="P544" s="71"/>
      <c r="Q544" s="189"/>
      <c r="R544" s="125"/>
      <c r="S544" s="103"/>
      <c r="T544" s="71"/>
      <c r="U544" s="189"/>
      <c r="V544" s="125"/>
      <c r="W544" s="103"/>
      <c r="X544" s="71"/>
      <c r="Y544" s="137"/>
      <c r="Z544" s="180"/>
      <c r="AA544" s="181"/>
      <c r="AB544" s="182"/>
      <c r="AC544" s="137"/>
      <c r="AD544" s="125"/>
      <c r="AE544" s="162"/>
      <c r="AF544" s="183"/>
      <c r="AG544" s="195"/>
      <c r="AH544" s="195"/>
      <c r="AI544" s="195"/>
      <c r="AJ544" s="195"/>
      <c r="AK544" s="71"/>
      <c r="AL544" s="71"/>
      <c r="AM544" s="71"/>
      <c r="AN544" s="71"/>
      <c r="AO544" s="71"/>
    </row>
    <row r="545">
      <c r="A545" s="137"/>
      <c r="B545" s="138"/>
      <c r="C545" s="103"/>
      <c r="D545" s="71"/>
      <c r="E545" s="137"/>
      <c r="F545" s="138"/>
      <c r="G545" s="103"/>
      <c r="H545" s="71"/>
      <c r="I545" s="137"/>
      <c r="J545" s="138"/>
      <c r="K545" s="103"/>
      <c r="L545" s="71"/>
      <c r="M545" s="137"/>
      <c r="N545" s="125"/>
      <c r="O545" s="103"/>
      <c r="P545" s="71"/>
      <c r="Q545" s="189"/>
      <c r="R545" s="125"/>
      <c r="S545" s="103"/>
      <c r="T545" s="71"/>
      <c r="U545" s="189"/>
      <c r="V545" s="125"/>
      <c r="W545" s="103"/>
      <c r="X545" s="71"/>
      <c r="Y545" s="137"/>
      <c r="Z545" s="180"/>
      <c r="AA545" s="181"/>
      <c r="AB545" s="182"/>
      <c r="AC545" s="137"/>
      <c r="AD545" s="125"/>
      <c r="AE545" s="162"/>
      <c r="AF545" s="183"/>
      <c r="AG545" s="195"/>
      <c r="AH545" s="195"/>
      <c r="AI545" s="195"/>
      <c r="AJ545" s="195"/>
      <c r="AK545" s="71"/>
      <c r="AL545" s="71"/>
      <c r="AM545" s="71"/>
      <c r="AN545" s="71"/>
      <c r="AO545" s="71"/>
    </row>
    <row r="546">
      <c r="A546" s="137"/>
      <c r="B546" s="138"/>
      <c r="C546" s="103"/>
      <c r="D546" s="71"/>
      <c r="E546" s="137"/>
      <c r="F546" s="138"/>
      <c r="G546" s="103"/>
      <c r="H546" s="71"/>
      <c r="I546" s="137"/>
      <c r="J546" s="138"/>
      <c r="K546" s="103"/>
      <c r="L546" s="71"/>
      <c r="M546" s="137"/>
      <c r="N546" s="125"/>
      <c r="O546" s="103"/>
      <c r="P546" s="71"/>
      <c r="Q546" s="189"/>
      <c r="R546" s="125"/>
      <c r="S546" s="103"/>
      <c r="T546" s="71"/>
      <c r="U546" s="189"/>
      <c r="V546" s="125"/>
      <c r="W546" s="103"/>
      <c r="X546" s="71"/>
      <c r="Y546" s="137"/>
      <c r="Z546" s="180"/>
      <c r="AA546" s="181"/>
      <c r="AB546" s="182"/>
      <c r="AC546" s="137"/>
      <c r="AD546" s="125"/>
      <c r="AE546" s="162"/>
      <c r="AF546" s="183"/>
      <c r="AG546" s="195"/>
      <c r="AH546" s="195"/>
      <c r="AI546" s="195"/>
      <c r="AJ546" s="195"/>
      <c r="AK546" s="71"/>
      <c r="AL546" s="71"/>
      <c r="AM546" s="71"/>
      <c r="AN546" s="71"/>
      <c r="AO546" s="71"/>
    </row>
    <row r="547">
      <c r="A547" s="137"/>
      <c r="B547" s="138"/>
      <c r="C547" s="103"/>
      <c r="D547" s="71"/>
      <c r="E547" s="137"/>
      <c r="F547" s="138"/>
      <c r="G547" s="103"/>
      <c r="H547" s="71"/>
      <c r="I547" s="137"/>
      <c r="J547" s="138"/>
      <c r="K547" s="103"/>
      <c r="L547" s="71"/>
      <c r="M547" s="137"/>
      <c r="N547" s="125"/>
      <c r="O547" s="103"/>
      <c r="P547" s="71"/>
      <c r="Q547" s="189"/>
      <c r="R547" s="125"/>
      <c r="S547" s="103"/>
      <c r="T547" s="71"/>
      <c r="U547" s="189"/>
      <c r="V547" s="125"/>
      <c r="W547" s="103"/>
      <c r="X547" s="71"/>
      <c r="Y547" s="137"/>
      <c r="Z547" s="180"/>
      <c r="AA547" s="181"/>
      <c r="AB547" s="182"/>
      <c r="AC547" s="137"/>
      <c r="AD547" s="125"/>
      <c r="AE547" s="162"/>
      <c r="AF547" s="183"/>
      <c r="AG547" s="195"/>
      <c r="AH547" s="195"/>
      <c r="AI547" s="195"/>
      <c r="AJ547" s="195"/>
      <c r="AK547" s="71"/>
      <c r="AL547" s="71"/>
      <c r="AM547" s="71"/>
      <c r="AN547" s="71"/>
      <c r="AO547" s="71"/>
    </row>
    <row r="548">
      <c r="A548" s="137"/>
      <c r="B548" s="138"/>
      <c r="C548" s="103"/>
      <c r="D548" s="71"/>
      <c r="E548" s="137"/>
      <c r="F548" s="138"/>
      <c r="G548" s="103"/>
      <c r="H548" s="71"/>
      <c r="I548" s="137"/>
      <c r="J548" s="138"/>
      <c r="K548" s="103"/>
      <c r="L548" s="71"/>
      <c r="M548" s="137"/>
      <c r="N548" s="125"/>
      <c r="O548" s="103"/>
      <c r="P548" s="71"/>
      <c r="Q548" s="189"/>
      <c r="R548" s="125"/>
      <c r="S548" s="103"/>
      <c r="T548" s="71"/>
      <c r="U548" s="189"/>
      <c r="V548" s="125"/>
      <c r="W548" s="103"/>
      <c r="X548" s="71"/>
      <c r="Y548" s="137"/>
      <c r="Z548" s="180"/>
      <c r="AA548" s="181"/>
      <c r="AB548" s="182"/>
      <c r="AC548" s="137"/>
      <c r="AD548" s="125"/>
      <c r="AE548" s="162"/>
      <c r="AF548" s="183"/>
      <c r="AG548" s="195"/>
      <c r="AH548" s="195"/>
      <c r="AI548" s="195"/>
      <c r="AJ548" s="195"/>
      <c r="AK548" s="71"/>
      <c r="AL548" s="71"/>
      <c r="AM548" s="71"/>
      <c r="AN548" s="71"/>
      <c r="AO548" s="71"/>
    </row>
    <row r="549">
      <c r="A549" s="137"/>
      <c r="B549" s="138"/>
      <c r="C549" s="103"/>
      <c r="D549" s="71"/>
      <c r="E549" s="137"/>
      <c r="F549" s="138"/>
      <c r="G549" s="103"/>
      <c r="H549" s="71"/>
      <c r="I549" s="137"/>
      <c r="J549" s="138"/>
      <c r="K549" s="103"/>
      <c r="L549" s="71"/>
      <c r="M549" s="137"/>
      <c r="N549" s="125"/>
      <c r="O549" s="103"/>
      <c r="P549" s="71"/>
      <c r="Q549" s="189"/>
      <c r="R549" s="125"/>
      <c r="S549" s="103"/>
      <c r="T549" s="71"/>
      <c r="U549" s="189"/>
      <c r="V549" s="125"/>
      <c r="W549" s="103"/>
      <c r="X549" s="71"/>
      <c r="Y549" s="137"/>
      <c r="Z549" s="180"/>
      <c r="AA549" s="181"/>
      <c r="AB549" s="182"/>
      <c r="AC549" s="137"/>
      <c r="AD549" s="125"/>
      <c r="AE549" s="162"/>
      <c r="AF549" s="183"/>
      <c r="AG549" s="195"/>
      <c r="AH549" s="195"/>
      <c r="AI549" s="195"/>
      <c r="AJ549" s="195"/>
      <c r="AK549" s="71"/>
      <c r="AL549" s="71"/>
      <c r="AM549" s="71"/>
      <c r="AN549" s="71"/>
      <c r="AO549" s="71"/>
    </row>
    <row r="550">
      <c r="A550" s="137"/>
      <c r="B550" s="138"/>
      <c r="C550" s="103"/>
      <c r="D550" s="71"/>
      <c r="E550" s="137"/>
      <c r="F550" s="138"/>
      <c r="G550" s="103"/>
      <c r="H550" s="71"/>
      <c r="I550" s="137"/>
      <c r="J550" s="138"/>
      <c r="K550" s="103"/>
      <c r="L550" s="71"/>
      <c r="M550" s="137"/>
      <c r="N550" s="125"/>
      <c r="O550" s="103"/>
      <c r="P550" s="71"/>
      <c r="Q550" s="189"/>
      <c r="R550" s="125"/>
      <c r="S550" s="103"/>
      <c r="T550" s="71"/>
      <c r="U550" s="189"/>
      <c r="V550" s="125"/>
      <c r="W550" s="103"/>
      <c r="X550" s="71"/>
      <c r="Y550" s="137"/>
      <c r="Z550" s="180"/>
      <c r="AA550" s="181"/>
      <c r="AB550" s="182"/>
      <c r="AC550" s="137"/>
      <c r="AD550" s="125"/>
      <c r="AE550" s="162"/>
      <c r="AF550" s="183"/>
      <c r="AG550" s="195"/>
      <c r="AH550" s="195"/>
      <c r="AI550" s="195"/>
      <c r="AJ550" s="195"/>
      <c r="AK550" s="71"/>
      <c r="AL550" s="71"/>
      <c r="AM550" s="71"/>
      <c r="AN550" s="71"/>
      <c r="AO550" s="71"/>
    </row>
    <row r="551">
      <c r="A551" s="137"/>
      <c r="B551" s="138"/>
      <c r="C551" s="103"/>
      <c r="D551" s="71"/>
      <c r="E551" s="137"/>
      <c r="F551" s="138"/>
      <c r="G551" s="103"/>
      <c r="H551" s="71"/>
      <c r="I551" s="137"/>
      <c r="J551" s="138"/>
      <c r="K551" s="103"/>
      <c r="L551" s="71"/>
      <c r="M551" s="137"/>
      <c r="N551" s="125"/>
      <c r="O551" s="103"/>
      <c r="P551" s="71"/>
      <c r="Q551" s="189"/>
      <c r="R551" s="125"/>
      <c r="S551" s="103"/>
      <c r="T551" s="71"/>
      <c r="U551" s="189"/>
      <c r="V551" s="125"/>
      <c r="W551" s="103"/>
      <c r="X551" s="71"/>
      <c r="Y551" s="137"/>
      <c r="Z551" s="180"/>
      <c r="AA551" s="181"/>
      <c r="AB551" s="182"/>
      <c r="AC551" s="137"/>
      <c r="AD551" s="125"/>
      <c r="AE551" s="162"/>
      <c r="AF551" s="183"/>
      <c r="AG551" s="195"/>
      <c r="AH551" s="195"/>
      <c r="AI551" s="195"/>
      <c r="AJ551" s="195"/>
      <c r="AK551" s="71"/>
      <c r="AL551" s="71"/>
      <c r="AM551" s="71"/>
      <c r="AN551" s="71"/>
      <c r="AO551" s="71"/>
    </row>
    <row r="552">
      <c r="A552" s="137"/>
      <c r="B552" s="138"/>
      <c r="C552" s="103"/>
      <c r="D552" s="71"/>
      <c r="E552" s="137"/>
      <c r="F552" s="138"/>
      <c r="G552" s="103"/>
      <c r="H552" s="71"/>
      <c r="I552" s="137"/>
      <c r="J552" s="138"/>
      <c r="K552" s="103"/>
      <c r="L552" s="71"/>
      <c r="M552" s="137"/>
      <c r="N552" s="125"/>
      <c r="O552" s="103"/>
      <c r="P552" s="71"/>
      <c r="Q552" s="189"/>
      <c r="R552" s="125"/>
      <c r="S552" s="103"/>
      <c r="T552" s="71"/>
      <c r="U552" s="189"/>
      <c r="V552" s="125"/>
      <c r="W552" s="103"/>
      <c r="X552" s="71"/>
      <c r="Y552" s="137"/>
      <c r="Z552" s="180"/>
      <c r="AA552" s="181"/>
      <c r="AB552" s="182"/>
      <c r="AC552" s="137"/>
      <c r="AD552" s="125"/>
      <c r="AE552" s="162"/>
      <c r="AF552" s="183"/>
      <c r="AG552" s="195"/>
      <c r="AH552" s="195"/>
      <c r="AI552" s="195"/>
      <c r="AJ552" s="195"/>
      <c r="AK552" s="71"/>
      <c r="AL552" s="71"/>
      <c r="AM552" s="71"/>
      <c r="AN552" s="71"/>
      <c r="AO552" s="71"/>
    </row>
    <row r="553">
      <c r="A553" s="137"/>
      <c r="B553" s="138"/>
      <c r="C553" s="103"/>
      <c r="D553" s="71"/>
      <c r="E553" s="137"/>
      <c r="F553" s="138"/>
      <c r="G553" s="103"/>
      <c r="H553" s="71"/>
      <c r="I553" s="137"/>
      <c r="J553" s="138"/>
      <c r="K553" s="103"/>
      <c r="L553" s="71"/>
      <c r="M553" s="137"/>
      <c r="N553" s="125"/>
      <c r="O553" s="103"/>
      <c r="P553" s="71"/>
      <c r="Q553" s="189"/>
      <c r="R553" s="125"/>
      <c r="S553" s="103"/>
      <c r="T553" s="71"/>
      <c r="U553" s="189"/>
      <c r="V553" s="125"/>
      <c r="W553" s="103"/>
      <c r="X553" s="71"/>
      <c r="Y553" s="137"/>
      <c r="Z553" s="180"/>
      <c r="AA553" s="181"/>
      <c r="AB553" s="182"/>
      <c r="AC553" s="137"/>
      <c r="AD553" s="125"/>
      <c r="AE553" s="162"/>
      <c r="AF553" s="183"/>
      <c r="AG553" s="195"/>
      <c r="AH553" s="195"/>
      <c r="AI553" s="195"/>
      <c r="AJ553" s="195"/>
      <c r="AK553" s="71"/>
      <c r="AL553" s="71"/>
      <c r="AM553" s="71"/>
      <c r="AN553" s="71"/>
      <c r="AO553" s="71"/>
    </row>
    <row r="554">
      <c r="A554" s="137"/>
      <c r="B554" s="138"/>
      <c r="C554" s="103"/>
      <c r="D554" s="71"/>
      <c r="E554" s="137"/>
      <c r="F554" s="138"/>
      <c r="G554" s="103"/>
      <c r="H554" s="71"/>
      <c r="I554" s="137"/>
      <c r="J554" s="138"/>
      <c r="K554" s="103"/>
      <c r="L554" s="71"/>
      <c r="M554" s="137"/>
      <c r="N554" s="125"/>
      <c r="O554" s="103"/>
      <c r="P554" s="71"/>
      <c r="Q554" s="189"/>
      <c r="R554" s="125"/>
      <c r="S554" s="103"/>
      <c r="T554" s="71"/>
      <c r="U554" s="189"/>
      <c r="V554" s="125"/>
      <c r="W554" s="103"/>
      <c r="X554" s="71"/>
      <c r="Y554" s="137"/>
      <c r="Z554" s="180"/>
      <c r="AA554" s="181"/>
      <c r="AB554" s="182"/>
      <c r="AC554" s="137"/>
      <c r="AD554" s="125"/>
      <c r="AE554" s="162"/>
      <c r="AF554" s="183"/>
      <c r="AG554" s="195"/>
      <c r="AH554" s="195"/>
      <c r="AI554" s="195"/>
      <c r="AJ554" s="195"/>
      <c r="AK554" s="71"/>
      <c r="AL554" s="71"/>
      <c r="AM554" s="71"/>
      <c r="AN554" s="71"/>
      <c r="AO554" s="71"/>
    </row>
    <row r="555">
      <c r="A555" s="137"/>
      <c r="B555" s="138"/>
      <c r="C555" s="103"/>
      <c r="D555" s="71"/>
      <c r="E555" s="137"/>
      <c r="F555" s="138"/>
      <c r="G555" s="103"/>
      <c r="H555" s="71"/>
      <c r="I555" s="137"/>
      <c r="J555" s="138"/>
      <c r="K555" s="103"/>
      <c r="L555" s="71"/>
      <c r="M555" s="137"/>
      <c r="N555" s="125"/>
      <c r="O555" s="103"/>
      <c r="P555" s="71"/>
      <c r="Q555" s="189"/>
      <c r="R555" s="125"/>
      <c r="S555" s="103"/>
      <c r="T555" s="71"/>
      <c r="U555" s="189"/>
      <c r="V555" s="125"/>
      <c r="W555" s="103"/>
      <c r="X555" s="71"/>
      <c r="Y555" s="137"/>
      <c r="Z555" s="180"/>
      <c r="AA555" s="181"/>
      <c r="AB555" s="182"/>
      <c r="AC555" s="137"/>
      <c r="AD555" s="125"/>
      <c r="AE555" s="162"/>
      <c r="AF555" s="183"/>
      <c r="AG555" s="195"/>
      <c r="AH555" s="195"/>
      <c r="AI555" s="195"/>
      <c r="AJ555" s="195"/>
      <c r="AK555" s="71"/>
      <c r="AL555" s="71"/>
      <c r="AM555" s="71"/>
      <c r="AN555" s="71"/>
      <c r="AO555" s="71"/>
    </row>
    <row r="556">
      <c r="A556" s="137"/>
      <c r="B556" s="138"/>
      <c r="C556" s="103"/>
      <c r="D556" s="71"/>
      <c r="E556" s="137"/>
      <c r="F556" s="138"/>
      <c r="G556" s="103"/>
      <c r="H556" s="71"/>
      <c r="I556" s="137"/>
      <c r="J556" s="138"/>
      <c r="K556" s="103"/>
      <c r="L556" s="71"/>
      <c r="M556" s="137"/>
      <c r="N556" s="125"/>
      <c r="O556" s="103"/>
      <c r="P556" s="71"/>
      <c r="Q556" s="189"/>
      <c r="R556" s="125"/>
      <c r="S556" s="103"/>
      <c r="T556" s="71"/>
      <c r="U556" s="189"/>
      <c r="V556" s="125"/>
      <c r="W556" s="103"/>
      <c r="X556" s="71"/>
      <c r="Y556" s="137"/>
      <c r="Z556" s="180"/>
      <c r="AA556" s="181"/>
      <c r="AB556" s="182"/>
      <c r="AC556" s="137"/>
      <c r="AD556" s="125"/>
      <c r="AE556" s="162"/>
      <c r="AF556" s="183"/>
      <c r="AG556" s="195"/>
      <c r="AH556" s="195"/>
      <c r="AI556" s="195"/>
      <c r="AJ556" s="195"/>
      <c r="AK556" s="71"/>
      <c r="AL556" s="71"/>
      <c r="AM556" s="71"/>
      <c r="AN556" s="71"/>
      <c r="AO556" s="71"/>
    </row>
    <row r="557">
      <c r="A557" s="137"/>
      <c r="B557" s="138"/>
      <c r="C557" s="103"/>
      <c r="D557" s="71"/>
      <c r="E557" s="137"/>
      <c r="F557" s="138"/>
      <c r="G557" s="103"/>
      <c r="H557" s="71"/>
      <c r="I557" s="137"/>
      <c r="J557" s="138"/>
      <c r="K557" s="103"/>
      <c r="L557" s="71"/>
      <c r="M557" s="137"/>
      <c r="N557" s="125"/>
      <c r="O557" s="103"/>
      <c r="P557" s="71"/>
      <c r="Q557" s="189"/>
      <c r="R557" s="125"/>
      <c r="S557" s="103"/>
      <c r="T557" s="71"/>
      <c r="U557" s="189"/>
      <c r="V557" s="125"/>
      <c r="W557" s="103"/>
      <c r="X557" s="71"/>
      <c r="Y557" s="137"/>
      <c r="Z557" s="180"/>
      <c r="AA557" s="181"/>
      <c r="AB557" s="182"/>
      <c r="AC557" s="137"/>
      <c r="AD557" s="125"/>
      <c r="AE557" s="162"/>
      <c r="AF557" s="183"/>
      <c r="AG557" s="195"/>
      <c r="AH557" s="195"/>
      <c r="AI557" s="195"/>
      <c r="AJ557" s="195"/>
      <c r="AK557" s="71"/>
      <c r="AL557" s="71"/>
      <c r="AM557" s="71"/>
      <c r="AN557" s="71"/>
      <c r="AO557" s="71"/>
    </row>
    <row r="558">
      <c r="A558" s="137"/>
      <c r="B558" s="138"/>
      <c r="C558" s="103"/>
      <c r="D558" s="71"/>
      <c r="E558" s="137"/>
      <c r="F558" s="138"/>
      <c r="G558" s="103"/>
      <c r="H558" s="71"/>
      <c r="I558" s="137"/>
      <c r="J558" s="138"/>
      <c r="K558" s="103"/>
      <c r="L558" s="71"/>
      <c r="M558" s="137"/>
      <c r="N558" s="125"/>
      <c r="O558" s="103"/>
      <c r="P558" s="71"/>
      <c r="Q558" s="189"/>
      <c r="R558" s="125"/>
      <c r="S558" s="103"/>
      <c r="T558" s="71"/>
      <c r="U558" s="189"/>
      <c r="V558" s="125"/>
      <c r="W558" s="103"/>
      <c r="X558" s="71"/>
      <c r="Y558" s="137"/>
      <c r="Z558" s="180"/>
      <c r="AA558" s="181"/>
      <c r="AB558" s="182"/>
      <c r="AC558" s="137"/>
      <c r="AD558" s="125"/>
      <c r="AE558" s="162"/>
      <c r="AF558" s="183"/>
      <c r="AG558" s="195"/>
      <c r="AH558" s="195"/>
      <c r="AI558" s="195"/>
      <c r="AJ558" s="195"/>
      <c r="AK558" s="71"/>
      <c r="AL558" s="71"/>
      <c r="AM558" s="71"/>
      <c r="AN558" s="71"/>
      <c r="AO558" s="71"/>
    </row>
    <row r="559">
      <c r="A559" s="137"/>
      <c r="B559" s="138"/>
      <c r="C559" s="103"/>
      <c r="D559" s="71"/>
      <c r="E559" s="137"/>
      <c r="F559" s="138"/>
      <c r="G559" s="103"/>
      <c r="H559" s="71"/>
      <c r="I559" s="137"/>
      <c r="J559" s="138"/>
      <c r="K559" s="103"/>
      <c r="L559" s="71"/>
      <c r="M559" s="137"/>
      <c r="N559" s="125"/>
      <c r="O559" s="103"/>
      <c r="P559" s="71"/>
      <c r="Q559" s="189"/>
      <c r="R559" s="125"/>
      <c r="S559" s="103"/>
      <c r="T559" s="71"/>
      <c r="U559" s="189"/>
      <c r="V559" s="125"/>
      <c r="W559" s="103"/>
      <c r="X559" s="71"/>
      <c r="Y559" s="137"/>
      <c r="Z559" s="180"/>
      <c r="AA559" s="181"/>
      <c r="AB559" s="182"/>
      <c r="AC559" s="137"/>
      <c r="AD559" s="125"/>
      <c r="AE559" s="162"/>
      <c r="AF559" s="183"/>
      <c r="AG559" s="195"/>
      <c r="AH559" s="195"/>
      <c r="AI559" s="195"/>
      <c r="AJ559" s="195"/>
      <c r="AK559" s="71"/>
      <c r="AL559" s="71"/>
      <c r="AM559" s="71"/>
      <c r="AN559" s="71"/>
      <c r="AO559" s="71"/>
    </row>
    <row r="560">
      <c r="A560" s="137"/>
      <c r="B560" s="138"/>
      <c r="C560" s="103"/>
      <c r="D560" s="71"/>
      <c r="E560" s="137"/>
      <c r="F560" s="138"/>
      <c r="G560" s="103"/>
      <c r="H560" s="71"/>
      <c r="I560" s="137"/>
      <c r="J560" s="138"/>
      <c r="K560" s="103"/>
      <c r="L560" s="71"/>
      <c r="M560" s="137"/>
      <c r="N560" s="125"/>
      <c r="O560" s="103"/>
      <c r="P560" s="71"/>
      <c r="Q560" s="189"/>
      <c r="R560" s="125"/>
      <c r="S560" s="103"/>
      <c r="T560" s="71"/>
      <c r="U560" s="189"/>
      <c r="V560" s="125"/>
      <c r="W560" s="103"/>
      <c r="X560" s="71"/>
      <c r="Y560" s="137"/>
      <c r="Z560" s="180"/>
      <c r="AA560" s="181"/>
      <c r="AB560" s="182"/>
      <c r="AC560" s="137"/>
      <c r="AD560" s="125"/>
      <c r="AE560" s="162"/>
      <c r="AF560" s="183"/>
      <c r="AG560" s="195"/>
      <c r="AH560" s="195"/>
      <c r="AI560" s="195"/>
      <c r="AJ560" s="195"/>
      <c r="AK560" s="71"/>
      <c r="AL560" s="71"/>
      <c r="AM560" s="71"/>
      <c r="AN560" s="71"/>
      <c r="AO560" s="71"/>
    </row>
    <row r="561">
      <c r="A561" s="137"/>
      <c r="B561" s="138"/>
      <c r="C561" s="103"/>
      <c r="D561" s="71"/>
      <c r="E561" s="137"/>
      <c r="F561" s="138"/>
      <c r="G561" s="103"/>
      <c r="H561" s="71"/>
      <c r="I561" s="137"/>
      <c r="J561" s="138"/>
      <c r="K561" s="103"/>
      <c r="L561" s="71"/>
      <c r="M561" s="137"/>
      <c r="N561" s="125"/>
      <c r="O561" s="103"/>
      <c r="P561" s="71"/>
      <c r="Q561" s="189"/>
      <c r="R561" s="125"/>
      <c r="S561" s="103"/>
      <c r="T561" s="71"/>
      <c r="U561" s="189"/>
      <c r="V561" s="125"/>
      <c r="W561" s="103"/>
      <c r="X561" s="71"/>
      <c r="Y561" s="137"/>
      <c r="Z561" s="180"/>
      <c r="AA561" s="181"/>
      <c r="AB561" s="182"/>
      <c r="AC561" s="137"/>
      <c r="AD561" s="125"/>
      <c r="AE561" s="162"/>
      <c r="AF561" s="183"/>
      <c r="AG561" s="195"/>
      <c r="AH561" s="195"/>
      <c r="AI561" s="195"/>
      <c r="AJ561" s="195"/>
      <c r="AK561" s="71"/>
      <c r="AL561" s="71"/>
      <c r="AM561" s="71"/>
      <c r="AN561" s="71"/>
      <c r="AO561" s="71"/>
    </row>
    <row r="562">
      <c r="A562" s="137"/>
      <c r="B562" s="138"/>
      <c r="C562" s="103"/>
      <c r="D562" s="71"/>
      <c r="E562" s="137"/>
      <c r="F562" s="138"/>
      <c r="G562" s="103"/>
      <c r="H562" s="71"/>
      <c r="I562" s="137"/>
      <c r="J562" s="138"/>
      <c r="K562" s="103"/>
      <c r="L562" s="71"/>
      <c r="M562" s="137"/>
      <c r="N562" s="125"/>
      <c r="O562" s="103"/>
      <c r="P562" s="71"/>
      <c r="Q562" s="189"/>
      <c r="R562" s="125"/>
      <c r="S562" s="103"/>
      <c r="T562" s="71"/>
      <c r="U562" s="189"/>
      <c r="V562" s="125"/>
      <c r="W562" s="103"/>
      <c r="X562" s="71"/>
      <c r="Y562" s="137"/>
      <c r="Z562" s="180"/>
      <c r="AA562" s="181"/>
      <c r="AB562" s="182"/>
      <c r="AC562" s="137"/>
      <c r="AD562" s="125"/>
      <c r="AE562" s="162"/>
      <c r="AF562" s="183"/>
      <c r="AG562" s="195"/>
      <c r="AH562" s="195"/>
      <c r="AI562" s="195"/>
      <c r="AJ562" s="195"/>
      <c r="AK562" s="71"/>
      <c r="AL562" s="71"/>
      <c r="AM562" s="71"/>
      <c r="AN562" s="71"/>
      <c r="AO562" s="71"/>
    </row>
    <row r="563">
      <c r="A563" s="137"/>
      <c r="B563" s="138"/>
      <c r="C563" s="103"/>
      <c r="D563" s="71"/>
      <c r="E563" s="137"/>
      <c r="F563" s="138"/>
      <c r="G563" s="103"/>
      <c r="H563" s="71"/>
      <c r="I563" s="137"/>
      <c r="J563" s="138"/>
      <c r="K563" s="103"/>
      <c r="L563" s="71"/>
      <c r="M563" s="137"/>
      <c r="N563" s="125"/>
      <c r="O563" s="103"/>
      <c r="P563" s="71"/>
      <c r="Q563" s="189"/>
      <c r="R563" s="125"/>
      <c r="S563" s="103"/>
      <c r="T563" s="71"/>
      <c r="U563" s="189"/>
      <c r="V563" s="125"/>
      <c r="W563" s="103"/>
      <c r="X563" s="71"/>
      <c r="Y563" s="137"/>
      <c r="Z563" s="180"/>
      <c r="AA563" s="181"/>
      <c r="AB563" s="182"/>
      <c r="AC563" s="137"/>
      <c r="AD563" s="125"/>
      <c r="AE563" s="162"/>
      <c r="AF563" s="183"/>
      <c r="AG563" s="195"/>
      <c r="AH563" s="195"/>
      <c r="AI563" s="195"/>
      <c r="AJ563" s="195"/>
      <c r="AK563" s="71"/>
      <c r="AL563" s="71"/>
      <c r="AM563" s="71"/>
      <c r="AN563" s="71"/>
      <c r="AO563" s="71"/>
    </row>
    <row r="564">
      <c r="A564" s="137"/>
      <c r="B564" s="138"/>
      <c r="C564" s="103"/>
      <c r="D564" s="71"/>
      <c r="E564" s="137"/>
      <c r="F564" s="138"/>
      <c r="G564" s="103"/>
      <c r="H564" s="71"/>
      <c r="I564" s="137"/>
      <c r="J564" s="138"/>
      <c r="K564" s="103"/>
      <c r="L564" s="71"/>
      <c r="M564" s="137"/>
      <c r="N564" s="125"/>
      <c r="O564" s="103"/>
      <c r="P564" s="71"/>
      <c r="Q564" s="189"/>
      <c r="R564" s="125"/>
      <c r="S564" s="103"/>
      <c r="T564" s="71"/>
      <c r="U564" s="189"/>
      <c r="V564" s="125"/>
      <c r="W564" s="103"/>
      <c r="X564" s="71"/>
      <c r="Y564" s="137"/>
      <c r="Z564" s="180"/>
      <c r="AA564" s="181"/>
      <c r="AB564" s="182"/>
      <c r="AC564" s="137"/>
      <c r="AD564" s="125"/>
      <c r="AE564" s="162"/>
      <c r="AF564" s="183"/>
      <c r="AG564" s="195"/>
      <c r="AH564" s="195"/>
      <c r="AI564" s="195"/>
      <c r="AJ564" s="195"/>
      <c r="AK564" s="71"/>
      <c r="AL564" s="71"/>
      <c r="AM564" s="71"/>
      <c r="AN564" s="71"/>
      <c r="AO564" s="71"/>
    </row>
    <row r="565">
      <c r="A565" s="137"/>
      <c r="B565" s="138"/>
      <c r="C565" s="103"/>
      <c r="D565" s="71"/>
      <c r="E565" s="137"/>
      <c r="F565" s="138"/>
      <c r="G565" s="103"/>
      <c r="H565" s="71"/>
      <c r="I565" s="137"/>
      <c r="J565" s="138"/>
      <c r="K565" s="103"/>
      <c r="L565" s="71"/>
      <c r="M565" s="137"/>
      <c r="N565" s="125"/>
      <c r="O565" s="103"/>
      <c r="P565" s="71"/>
      <c r="Q565" s="189"/>
      <c r="R565" s="125"/>
      <c r="S565" s="103"/>
      <c r="T565" s="71"/>
      <c r="U565" s="189"/>
      <c r="V565" s="125"/>
      <c r="W565" s="103"/>
      <c r="X565" s="71"/>
      <c r="Y565" s="137"/>
      <c r="Z565" s="180"/>
      <c r="AA565" s="181"/>
      <c r="AB565" s="182"/>
      <c r="AC565" s="137"/>
      <c r="AD565" s="125"/>
      <c r="AE565" s="162"/>
      <c r="AF565" s="183"/>
      <c r="AG565" s="195"/>
      <c r="AH565" s="195"/>
      <c r="AI565" s="195"/>
      <c r="AJ565" s="195"/>
      <c r="AK565" s="71"/>
      <c r="AL565" s="71"/>
      <c r="AM565" s="71"/>
      <c r="AN565" s="71"/>
      <c r="AO565" s="71"/>
    </row>
    <row r="566">
      <c r="A566" s="137"/>
      <c r="B566" s="138"/>
      <c r="C566" s="103"/>
      <c r="D566" s="71"/>
      <c r="E566" s="137"/>
      <c r="F566" s="138"/>
      <c r="G566" s="103"/>
      <c r="H566" s="71"/>
      <c r="I566" s="137"/>
      <c r="J566" s="138"/>
      <c r="K566" s="103"/>
      <c r="L566" s="71"/>
      <c r="M566" s="137"/>
      <c r="N566" s="125"/>
      <c r="O566" s="103"/>
      <c r="P566" s="71"/>
      <c r="Q566" s="189"/>
      <c r="R566" s="125"/>
      <c r="S566" s="103"/>
      <c r="T566" s="71"/>
      <c r="U566" s="189"/>
      <c r="V566" s="125"/>
      <c r="W566" s="103"/>
      <c r="X566" s="71"/>
      <c r="Y566" s="137"/>
      <c r="Z566" s="180"/>
      <c r="AA566" s="181"/>
      <c r="AB566" s="182"/>
      <c r="AC566" s="137"/>
      <c r="AD566" s="125"/>
      <c r="AE566" s="162"/>
      <c r="AF566" s="183"/>
      <c r="AG566" s="195"/>
      <c r="AH566" s="195"/>
      <c r="AI566" s="195"/>
      <c r="AJ566" s="195"/>
      <c r="AK566" s="71"/>
      <c r="AL566" s="71"/>
      <c r="AM566" s="71"/>
      <c r="AN566" s="71"/>
      <c r="AO566" s="71"/>
    </row>
    <row r="567">
      <c r="A567" s="137"/>
      <c r="B567" s="138"/>
      <c r="C567" s="103"/>
      <c r="D567" s="71"/>
      <c r="E567" s="137"/>
      <c r="F567" s="138"/>
      <c r="G567" s="103"/>
      <c r="H567" s="71"/>
      <c r="I567" s="137"/>
      <c r="J567" s="138"/>
      <c r="K567" s="103"/>
      <c r="L567" s="71"/>
      <c r="M567" s="137"/>
      <c r="N567" s="125"/>
      <c r="O567" s="103"/>
      <c r="P567" s="71"/>
      <c r="Q567" s="189"/>
      <c r="R567" s="125"/>
      <c r="S567" s="103"/>
      <c r="T567" s="71"/>
      <c r="U567" s="189"/>
      <c r="V567" s="125"/>
      <c r="W567" s="103"/>
      <c r="X567" s="71"/>
      <c r="Y567" s="137"/>
      <c r="Z567" s="180"/>
      <c r="AA567" s="181"/>
      <c r="AB567" s="182"/>
      <c r="AC567" s="137"/>
      <c r="AD567" s="125"/>
      <c r="AE567" s="162"/>
      <c r="AF567" s="183"/>
      <c r="AG567" s="195"/>
      <c r="AH567" s="195"/>
      <c r="AI567" s="195"/>
      <c r="AJ567" s="195"/>
      <c r="AK567" s="71"/>
      <c r="AL567" s="71"/>
      <c r="AM567" s="71"/>
      <c r="AN567" s="71"/>
      <c r="AO567" s="71"/>
    </row>
    <row r="568">
      <c r="A568" s="137"/>
      <c r="B568" s="138"/>
      <c r="C568" s="103"/>
      <c r="D568" s="71"/>
      <c r="E568" s="137"/>
      <c r="F568" s="138"/>
      <c r="G568" s="103"/>
      <c r="H568" s="71"/>
      <c r="I568" s="137"/>
      <c r="J568" s="138"/>
      <c r="K568" s="103"/>
      <c r="L568" s="71"/>
      <c r="M568" s="137"/>
      <c r="N568" s="125"/>
      <c r="O568" s="103"/>
      <c r="P568" s="71"/>
      <c r="Q568" s="189"/>
      <c r="R568" s="125"/>
      <c r="S568" s="103"/>
      <c r="T568" s="71"/>
      <c r="U568" s="189"/>
      <c r="V568" s="125"/>
      <c r="W568" s="103"/>
      <c r="X568" s="71"/>
      <c r="Y568" s="137"/>
      <c r="Z568" s="180"/>
      <c r="AA568" s="181"/>
      <c r="AB568" s="182"/>
      <c r="AC568" s="137"/>
      <c r="AD568" s="125"/>
      <c r="AE568" s="162"/>
      <c r="AF568" s="183"/>
      <c r="AG568" s="195"/>
      <c r="AH568" s="195"/>
      <c r="AI568" s="195"/>
      <c r="AJ568" s="195"/>
      <c r="AK568" s="71"/>
      <c r="AL568" s="71"/>
      <c r="AM568" s="71"/>
      <c r="AN568" s="71"/>
      <c r="AO568" s="71"/>
    </row>
    <row r="569">
      <c r="A569" s="137"/>
      <c r="B569" s="138"/>
      <c r="C569" s="103"/>
      <c r="D569" s="71"/>
      <c r="E569" s="137"/>
      <c r="F569" s="138"/>
      <c r="G569" s="103"/>
      <c r="H569" s="71"/>
      <c r="I569" s="137"/>
      <c r="J569" s="138"/>
      <c r="K569" s="103"/>
      <c r="L569" s="71"/>
      <c r="M569" s="137"/>
      <c r="N569" s="125"/>
      <c r="O569" s="103"/>
      <c r="P569" s="71"/>
      <c r="Q569" s="189"/>
      <c r="R569" s="125"/>
      <c r="S569" s="103"/>
      <c r="T569" s="71"/>
      <c r="U569" s="189"/>
      <c r="V569" s="125"/>
      <c r="W569" s="103"/>
      <c r="X569" s="71"/>
      <c r="Y569" s="137"/>
      <c r="Z569" s="180"/>
      <c r="AA569" s="181"/>
      <c r="AB569" s="182"/>
      <c r="AC569" s="137"/>
      <c r="AD569" s="125"/>
      <c r="AE569" s="162"/>
      <c r="AF569" s="183"/>
      <c r="AG569" s="195"/>
      <c r="AH569" s="195"/>
      <c r="AI569" s="195"/>
      <c r="AJ569" s="195"/>
      <c r="AK569" s="71"/>
      <c r="AL569" s="71"/>
      <c r="AM569" s="71"/>
      <c r="AN569" s="71"/>
      <c r="AO569" s="71"/>
    </row>
    <row r="570">
      <c r="A570" s="137"/>
      <c r="B570" s="138"/>
      <c r="C570" s="103"/>
      <c r="D570" s="71"/>
      <c r="E570" s="137"/>
      <c r="F570" s="138"/>
      <c r="G570" s="103"/>
      <c r="H570" s="71"/>
      <c r="I570" s="137"/>
      <c r="J570" s="138"/>
      <c r="K570" s="103"/>
      <c r="L570" s="71"/>
      <c r="M570" s="137"/>
      <c r="N570" s="125"/>
      <c r="O570" s="103"/>
      <c r="P570" s="71"/>
      <c r="Q570" s="189"/>
      <c r="R570" s="125"/>
      <c r="S570" s="103"/>
      <c r="T570" s="71"/>
      <c r="U570" s="189"/>
      <c r="V570" s="125"/>
      <c r="W570" s="103"/>
      <c r="X570" s="71"/>
      <c r="Y570" s="137"/>
      <c r="Z570" s="180"/>
      <c r="AA570" s="181"/>
      <c r="AB570" s="182"/>
      <c r="AC570" s="137"/>
      <c r="AD570" s="125"/>
      <c r="AE570" s="162"/>
      <c r="AF570" s="183"/>
      <c r="AG570" s="195"/>
      <c r="AH570" s="195"/>
      <c r="AI570" s="195"/>
      <c r="AJ570" s="195"/>
      <c r="AK570" s="71"/>
      <c r="AL570" s="71"/>
      <c r="AM570" s="71"/>
      <c r="AN570" s="71"/>
      <c r="AO570" s="71"/>
    </row>
    <row r="571">
      <c r="A571" s="137"/>
      <c r="B571" s="138"/>
      <c r="C571" s="103"/>
      <c r="D571" s="71"/>
      <c r="E571" s="137"/>
      <c r="F571" s="138"/>
      <c r="G571" s="103"/>
      <c r="H571" s="71"/>
      <c r="I571" s="137"/>
      <c r="J571" s="138"/>
      <c r="K571" s="103"/>
      <c r="L571" s="71"/>
      <c r="M571" s="137"/>
      <c r="N571" s="125"/>
      <c r="O571" s="103"/>
      <c r="P571" s="71"/>
      <c r="Q571" s="189"/>
      <c r="R571" s="125"/>
      <c r="S571" s="103"/>
      <c r="T571" s="71"/>
      <c r="U571" s="189"/>
      <c r="V571" s="125"/>
      <c r="W571" s="103"/>
      <c r="X571" s="71"/>
      <c r="Y571" s="137"/>
      <c r="Z571" s="180"/>
      <c r="AA571" s="181"/>
      <c r="AB571" s="182"/>
      <c r="AC571" s="137"/>
      <c r="AD571" s="125"/>
      <c r="AE571" s="162"/>
      <c r="AF571" s="183"/>
      <c r="AG571" s="195"/>
      <c r="AH571" s="195"/>
      <c r="AI571" s="195"/>
      <c r="AJ571" s="195"/>
      <c r="AK571" s="71"/>
      <c r="AL571" s="71"/>
      <c r="AM571" s="71"/>
      <c r="AN571" s="71"/>
      <c r="AO571" s="71"/>
    </row>
    <row r="572">
      <c r="A572" s="137"/>
      <c r="B572" s="138"/>
      <c r="C572" s="103"/>
      <c r="D572" s="71"/>
      <c r="E572" s="137"/>
      <c r="F572" s="138"/>
      <c r="G572" s="103"/>
      <c r="H572" s="71"/>
      <c r="I572" s="137"/>
      <c r="J572" s="138"/>
      <c r="K572" s="103"/>
      <c r="L572" s="71"/>
      <c r="M572" s="137"/>
      <c r="N572" s="125"/>
      <c r="O572" s="103"/>
      <c r="P572" s="71"/>
      <c r="Q572" s="189"/>
      <c r="R572" s="125"/>
      <c r="S572" s="103"/>
      <c r="T572" s="71"/>
      <c r="U572" s="189"/>
      <c r="V572" s="125"/>
      <c r="W572" s="103"/>
      <c r="X572" s="71"/>
      <c r="Y572" s="137"/>
      <c r="Z572" s="180"/>
      <c r="AA572" s="181"/>
      <c r="AB572" s="182"/>
      <c r="AC572" s="137"/>
      <c r="AD572" s="125"/>
      <c r="AE572" s="162"/>
      <c r="AF572" s="183"/>
      <c r="AG572" s="195"/>
      <c r="AH572" s="195"/>
      <c r="AI572" s="195"/>
      <c r="AJ572" s="195"/>
      <c r="AK572" s="71"/>
      <c r="AL572" s="71"/>
      <c r="AM572" s="71"/>
      <c r="AN572" s="71"/>
      <c r="AO572" s="71"/>
    </row>
    <row r="573">
      <c r="A573" s="137"/>
      <c r="B573" s="138"/>
      <c r="C573" s="103"/>
      <c r="D573" s="71"/>
      <c r="E573" s="137"/>
      <c r="F573" s="138"/>
      <c r="G573" s="103"/>
      <c r="H573" s="71"/>
      <c r="I573" s="137"/>
      <c r="J573" s="138"/>
      <c r="K573" s="103"/>
      <c r="L573" s="71"/>
      <c r="M573" s="137"/>
      <c r="N573" s="125"/>
      <c r="O573" s="103"/>
      <c r="P573" s="71"/>
      <c r="Q573" s="189"/>
      <c r="R573" s="125"/>
      <c r="S573" s="103"/>
      <c r="T573" s="71"/>
      <c r="U573" s="189"/>
      <c r="V573" s="125"/>
      <c r="W573" s="103"/>
      <c r="X573" s="71"/>
      <c r="Y573" s="137"/>
      <c r="Z573" s="180"/>
      <c r="AA573" s="181"/>
      <c r="AB573" s="182"/>
      <c r="AC573" s="137"/>
      <c r="AD573" s="125"/>
      <c r="AE573" s="162"/>
      <c r="AF573" s="183"/>
      <c r="AG573" s="195"/>
      <c r="AH573" s="195"/>
      <c r="AI573" s="195"/>
      <c r="AJ573" s="195"/>
      <c r="AK573" s="71"/>
      <c r="AL573" s="71"/>
      <c r="AM573" s="71"/>
      <c r="AN573" s="71"/>
      <c r="AO573" s="71"/>
    </row>
    <row r="574">
      <c r="A574" s="137"/>
      <c r="B574" s="138"/>
      <c r="C574" s="103"/>
      <c r="D574" s="71"/>
      <c r="E574" s="137"/>
      <c r="F574" s="138"/>
      <c r="G574" s="103"/>
      <c r="H574" s="71"/>
      <c r="I574" s="137"/>
      <c r="J574" s="138"/>
      <c r="K574" s="103"/>
      <c r="L574" s="71"/>
      <c r="M574" s="137"/>
      <c r="N574" s="125"/>
      <c r="O574" s="103"/>
      <c r="P574" s="71"/>
      <c r="Q574" s="189"/>
      <c r="R574" s="125"/>
      <c r="S574" s="103"/>
      <c r="T574" s="71"/>
      <c r="U574" s="189"/>
      <c r="V574" s="125"/>
      <c r="W574" s="103"/>
      <c r="X574" s="71"/>
      <c r="Y574" s="137"/>
      <c r="Z574" s="180"/>
      <c r="AA574" s="181"/>
      <c r="AB574" s="182"/>
      <c r="AC574" s="137"/>
      <c r="AD574" s="125"/>
      <c r="AE574" s="162"/>
      <c r="AF574" s="183"/>
      <c r="AG574" s="195"/>
      <c r="AH574" s="195"/>
      <c r="AI574" s="195"/>
      <c r="AJ574" s="195"/>
      <c r="AK574" s="71"/>
      <c r="AL574" s="71"/>
      <c r="AM574" s="71"/>
      <c r="AN574" s="71"/>
      <c r="AO574" s="71"/>
    </row>
    <row r="575">
      <c r="A575" s="137"/>
      <c r="B575" s="138"/>
      <c r="C575" s="103"/>
      <c r="D575" s="71"/>
      <c r="E575" s="137"/>
      <c r="F575" s="138"/>
      <c r="G575" s="103"/>
      <c r="H575" s="71"/>
      <c r="I575" s="137"/>
      <c r="J575" s="138"/>
      <c r="K575" s="103"/>
      <c r="L575" s="71"/>
      <c r="M575" s="137"/>
      <c r="N575" s="125"/>
      <c r="O575" s="103"/>
      <c r="P575" s="71"/>
      <c r="Q575" s="189"/>
      <c r="R575" s="125"/>
      <c r="S575" s="103"/>
      <c r="T575" s="71"/>
      <c r="U575" s="189"/>
      <c r="V575" s="125"/>
      <c r="W575" s="103"/>
      <c r="X575" s="71"/>
      <c r="Y575" s="137"/>
      <c r="Z575" s="180"/>
      <c r="AA575" s="181"/>
      <c r="AB575" s="182"/>
      <c r="AC575" s="137"/>
      <c r="AD575" s="125"/>
      <c r="AE575" s="162"/>
      <c r="AF575" s="183"/>
      <c r="AG575" s="195"/>
      <c r="AH575" s="195"/>
      <c r="AI575" s="195"/>
      <c r="AJ575" s="195"/>
      <c r="AK575" s="71"/>
      <c r="AL575" s="71"/>
      <c r="AM575" s="71"/>
      <c r="AN575" s="71"/>
      <c r="AO575" s="71"/>
    </row>
    <row r="576">
      <c r="A576" s="137"/>
      <c r="B576" s="138"/>
      <c r="C576" s="103"/>
      <c r="D576" s="71"/>
      <c r="E576" s="137"/>
      <c r="F576" s="138"/>
      <c r="G576" s="103"/>
      <c r="H576" s="71"/>
      <c r="I576" s="137"/>
      <c r="J576" s="138"/>
      <c r="K576" s="103"/>
      <c r="L576" s="71"/>
      <c r="M576" s="137"/>
      <c r="N576" s="125"/>
      <c r="O576" s="103"/>
      <c r="P576" s="71"/>
      <c r="Q576" s="189"/>
      <c r="R576" s="125"/>
      <c r="S576" s="103"/>
      <c r="T576" s="71"/>
      <c r="U576" s="189"/>
      <c r="V576" s="125"/>
      <c r="W576" s="103"/>
      <c r="X576" s="71"/>
      <c r="Y576" s="137"/>
      <c r="Z576" s="180"/>
      <c r="AA576" s="181"/>
      <c r="AB576" s="182"/>
      <c r="AC576" s="137"/>
      <c r="AD576" s="125"/>
      <c r="AE576" s="162"/>
      <c r="AF576" s="183"/>
      <c r="AG576" s="195"/>
      <c r="AH576" s="195"/>
      <c r="AI576" s="195"/>
      <c r="AJ576" s="195"/>
      <c r="AK576" s="71"/>
      <c r="AL576" s="71"/>
      <c r="AM576" s="71"/>
      <c r="AN576" s="71"/>
      <c r="AO576" s="71"/>
    </row>
    <row r="577">
      <c r="A577" s="137"/>
      <c r="B577" s="138"/>
      <c r="C577" s="103"/>
      <c r="D577" s="71"/>
      <c r="E577" s="137"/>
      <c r="F577" s="138"/>
      <c r="G577" s="103"/>
      <c r="H577" s="71"/>
      <c r="I577" s="137"/>
      <c r="J577" s="138"/>
      <c r="K577" s="103"/>
      <c r="L577" s="71"/>
      <c r="M577" s="137"/>
      <c r="N577" s="125"/>
      <c r="O577" s="103"/>
      <c r="P577" s="71"/>
      <c r="Q577" s="189"/>
      <c r="R577" s="125"/>
      <c r="S577" s="103"/>
      <c r="T577" s="71"/>
      <c r="U577" s="189"/>
      <c r="V577" s="125"/>
      <c r="W577" s="103"/>
      <c r="X577" s="71"/>
      <c r="Y577" s="137"/>
      <c r="Z577" s="180"/>
      <c r="AA577" s="181"/>
      <c r="AB577" s="182"/>
      <c r="AC577" s="137"/>
      <c r="AD577" s="125"/>
      <c r="AE577" s="162"/>
      <c r="AF577" s="183"/>
      <c r="AG577" s="195"/>
      <c r="AH577" s="195"/>
      <c r="AI577" s="195"/>
      <c r="AJ577" s="195"/>
      <c r="AK577" s="71"/>
      <c r="AL577" s="71"/>
      <c r="AM577" s="71"/>
      <c r="AN577" s="71"/>
      <c r="AO577" s="71"/>
    </row>
    <row r="578">
      <c r="A578" s="137"/>
      <c r="B578" s="138"/>
      <c r="C578" s="103"/>
      <c r="D578" s="71"/>
      <c r="E578" s="137"/>
      <c r="F578" s="138"/>
      <c r="G578" s="103"/>
      <c r="H578" s="71"/>
      <c r="I578" s="137"/>
      <c r="J578" s="138"/>
      <c r="K578" s="103"/>
      <c r="L578" s="71"/>
      <c r="M578" s="137"/>
      <c r="N578" s="125"/>
      <c r="O578" s="103"/>
      <c r="P578" s="71"/>
      <c r="Q578" s="189"/>
      <c r="R578" s="125"/>
      <c r="S578" s="103"/>
      <c r="T578" s="71"/>
      <c r="U578" s="189"/>
      <c r="V578" s="125"/>
      <c r="W578" s="103"/>
      <c r="X578" s="71"/>
      <c r="Y578" s="137"/>
      <c r="Z578" s="180"/>
      <c r="AA578" s="181"/>
      <c r="AB578" s="182"/>
      <c r="AC578" s="137"/>
      <c r="AD578" s="125"/>
      <c r="AE578" s="162"/>
      <c r="AF578" s="183"/>
      <c r="AG578" s="195"/>
      <c r="AH578" s="195"/>
      <c r="AI578" s="195"/>
      <c r="AJ578" s="195"/>
      <c r="AK578" s="71"/>
      <c r="AL578" s="71"/>
      <c r="AM578" s="71"/>
      <c r="AN578" s="71"/>
      <c r="AO578" s="71"/>
    </row>
    <row r="579">
      <c r="A579" s="137"/>
      <c r="B579" s="138"/>
      <c r="C579" s="103"/>
      <c r="D579" s="71"/>
      <c r="E579" s="137"/>
      <c r="F579" s="138"/>
      <c r="G579" s="103"/>
      <c r="H579" s="71"/>
      <c r="I579" s="137"/>
      <c r="J579" s="138"/>
      <c r="K579" s="103"/>
      <c r="L579" s="71"/>
      <c r="M579" s="137"/>
      <c r="N579" s="125"/>
      <c r="O579" s="103"/>
      <c r="P579" s="71"/>
      <c r="Q579" s="189"/>
      <c r="R579" s="125"/>
      <c r="S579" s="103"/>
      <c r="T579" s="71"/>
      <c r="U579" s="189"/>
      <c r="V579" s="125"/>
      <c r="W579" s="103"/>
      <c r="X579" s="71"/>
      <c r="Y579" s="137"/>
      <c r="Z579" s="180"/>
      <c r="AA579" s="181"/>
      <c r="AB579" s="182"/>
      <c r="AC579" s="137"/>
      <c r="AD579" s="125"/>
      <c r="AE579" s="162"/>
      <c r="AF579" s="183"/>
      <c r="AG579" s="195"/>
      <c r="AH579" s="195"/>
      <c r="AI579" s="195"/>
      <c r="AJ579" s="195"/>
      <c r="AK579" s="71"/>
      <c r="AL579" s="71"/>
      <c r="AM579" s="71"/>
      <c r="AN579" s="71"/>
      <c r="AO579" s="71"/>
    </row>
    <row r="580">
      <c r="A580" s="137"/>
      <c r="B580" s="138"/>
      <c r="C580" s="103"/>
      <c r="D580" s="71"/>
      <c r="E580" s="137"/>
      <c r="F580" s="138"/>
      <c r="G580" s="103"/>
      <c r="H580" s="71"/>
      <c r="I580" s="137"/>
      <c r="J580" s="138"/>
      <c r="K580" s="103"/>
      <c r="L580" s="71"/>
      <c r="M580" s="137"/>
      <c r="N580" s="125"/>
      <c r="O580" s="103"/>
      <c r="P580" s="71"/>
      <c r="Q580" s="189"/>
      <c r="R580" s="125"/>
      <c r="S580" s="103"/>
      <c r="T580" s="71"/>
      <c r="U580" s="189"/>
      <c r="V580" s="125"/>
      <c r="W580" s="103"/>
      <c r="X580" s="71"/>
      <c r="Y580" s="137"/>
      <c r="Z580" s="180"/>
      <c r="AA580" s="181"/>
      <c r="AB580" s="182"/>
      <c r="AC580" s="137"/>
      <c r="AD580" s="125"/>
      <c r="AE580" s="162"/>
      <c r="AF580" s="183"/>
      <c r="AG580" s="195"/>
      <c r="AH580" s="195"/>
      <c r="AI580" s="195"/>
      <c r="AJ580" s="195"/>
      <c r="AK580" s="71"/>
      <c r="AL580" s="71"/>
      <c r="AM580" s="71"/>
      <c r="AN580" s="71"/>
      <c r="AO580" s="71"/>
    </row>
    <row r="581">
      <c r="A581" s="137"/>
      <c r="B581" s="138"/>
      <c r="C581" s="103"/>
      <c r="D581" s="71"/>
      <c r="E581" s="137"/>
      <c r="F581" s="138"/>
      <c r="G581" s="103"/>
      <c r="H581" s="71"/>
      <c r="I581" s="137"/>
      <c r="J581" s="138"/>
      <c r="K581" s="103"/>
      <c r="L581" s="71"/>
      <c r="M581" s="137"/>
      <c r="N581" s="125"/>
      <c r="O581" s="103"/>
      <c r="P581" s="71"/>
      <c r="Q581" s="189"/>
      <c r="R581" s="125"/>
      <c r="S581" s="103"/>
      <c r="T581" s="71"/>
      <c r="U581" s="189"/>
      <c r="V581" s="125"/>
      <c r="W581" s="103"/>
      <c r="X581" s="71"/>
      <c r="Y581" s="137"/>
      <c r="Z581" s="180"/>
      <c r="AA581" s="181"/>
      <c r="AB581" s="182"/>
      <c r="AC581" s="137"/>
      <c r="AD581" s="125"/>
      <c r="AE581" s="162"/>
      <c r="AF581" s="183"/>
      <c r="AG581" s="195"/>
      <c r="AH581" s="195"/>
      <c r="AI581" s="195"/>
      <c r="AJ581" s="195"/>
      <c r="AK581" s="71"/>
      <c r="AL581" s="71"/>
      <c r="AM581" s="71"/>
      <c r="AN581" s="71"/>
      <c r="AO581" s="71"/>
    </row>
    <row r="582">
      <c r="A582" s="137"/>
      <c r="B582" s="138"/>
      <c r="C582" s="103"/>
      <c r="D582" s="71"/>
      <c r="E582" s="137"/>
      <c r="F582" s="138"/>
      <c r="G582" s="103"/>
      <c r="H582" s="71"/>
      <c r="I582" s="137"/>
      <c r="J582" s="138"/>
      <c r="K582" s="103"/>
      <c r="L582" s="71"/>
      <c r="M582" s="137"/>
      <c r="N582" s="125"/>
      <c r="O582" s="103"/>
      <c r="P582" s="71"/>
      <c r="Q582" s="189"/>
      <c r="R582" s="125"/>
      <c r="S582" s="103"/>
      <c r="T582" s="71"/>
      <c r="U582" s="189"/>
      <c r="V582" s="125"/>
      <c r="W582" s="103"/>
      <c r="X582" s="71"/>
      <c r="Y582" s="137"/>
      <c r="Z582" s="180"/>
      <c r="AA582" s="181"/>
      <c r="AB582" s="182"/>
      <c r="AC582" s="137"/>
      <c r="AD582" s="125"/>
      <c r="AE582" s="162"/>
      <c r="AF582" s="183"/>
      <c r="AG582" s="195"/>
      <c r="AH582" s="195"/>
      <c r="AI582" s="195"/>
      <c r="AJ582" s="195"/>
      <c r="AK582" s="71"/>
      <c r="AL582" s="71"/>
      <c r="AM582" s="71"/>
      <c r="AN582" s="71"/>
      <c r="AO582" s="71"/>
    </row>
    <row r="583">
      <c r="A583" s="137"/>
      <c r="B583" s="138"/>
      <c r="C583" s="103"/>
      <c r="D583" s="71"/>
      <c r="E583" s="137"/>
      <c r="F583" s="138"/>
      <c r="G583" s="103"/>
      <c r="H583" s="71"/>
      <c r="I583" s="137"/>
      <c r="J583" s="138"/>
      <c r="K583" s="103"/>
      <c r="L583" s="71"/>
      <c r="M583" s="137"/>
      <c r="N583" s="125"/>
      <c r="O583" s="103"/>
      <c r="P583" s="71"/>
      <c r="Q583" s="189"/>
      <c r="R583" s="125"/>
      <c r="S583" s="103"/>
      <c r="T583" s="71"/>
      <c r="U583" s="189"/>
      <c r="V583" s="125"/>
      <c r="W583" s="103"/>
      <c r="X583" s="71"/>
      <c r="Y583" s="137"/>
      <c r="Z583" s="180"/>
      <c r="AA583" s="181"/>
      <c r="AB583" s="182"/>
      <c r="AC583" s="137"/>
      <c r="AD583" s="125"/>
      <c r="AE583" s="162"/>
      <c r="AF583" s="183"/>
      <c r="AG583" s="195"/>
      <c r="AH583" s="195"/>
      <c r="AI583" s="195"/>
      <c r="AJ583" s="195"/>
      <c r="AK583" s="71"/>
      <c r="AL583" s="71"/>
      <c r="AM583" s="71"/>
      <c r="AN583" s="71"/>
      <c r="AO583" s="71"/>
    </row>
    <row r="584">
      <c r="A584" s="137"/>
      <c r="B584" s="138"/>
      <c r="C584" s="103"/>
      <c r="D584" s="71"/>
      <c r="E584" s="137"/>
      <c r="F584" s="138"/>
      <c r="G584" s="103"/>
      <c r="H584" s="71"/>
      <c r="I584" s="137"/>
      <c r="J584" s="138"/>
      <c r="K584" s="103"/>
      <c r="L584" s="71"/>
      <c r="M584" s="137"/>
      <c r="N584" s="125"/>
      <c r="O584" s="103"/>
      <c r="P584" s="71"/>
      <c r="Q584" s="189"/>
      <c r="R584" s="125"/>
      <c r="S584" s="103"/>
      <c r="T584" s="71"/>
      <c r="U584" s="189"/>
      <c r="V584" s="125"/>
      <c r="W584" s="103"/>
      <c r="X584" s="71"/>
      <c r="Y584" s="137"/>
      <c r="Z584" s="180"/>
      <c r="AA584" s="181"/>
      <c r="AB584" s="182"/>
      <c r="AC584" s="137"/>
      <c r="AD584" s="125"/>
      <c r="AE584" s="162"/>
      <c r="AF584" s="183"/>
      <c r="AG584" s="195"/>
      <c r="AH584" s="195"/>
      <c r="AI584" s="195"/>
      <c r="AJ584" s="195"/>
      <c r="AK584" s="71"/>
      <c r="AL584" s="71"/>
      <c r="AM584" s="71"/>
      <c r="AN584" s="71"/>
      <c r="AO584" s="71"/>
    </row>
    <row r="585">
      <c r="A585" s="137"/>
      <c r="B585" s="138"/>
      <c r="C585" s="103"/>
      <c r="D585" s="71"/>
      <c r="E585" s="137"/>
      <c r="F585" s="138"/>
      <c r="G585" s="103"/>
      <c r="H585" s="71"/>
      <c r="I585" s="137"/>
      <c r="J585" s="138"/>
      <c r="K585" s="103"/>
      <c r="L585" s="71"/>
      <c r="M585" s="137"/>
      <c r="N585" s="125"/>
      <c r="O585" s="103"/>
      <c r="P585" s="71"/>
      <c r="Q585" s="189"/>
      <c r="R585" s="125"/>
      <c r="S585" s="103"/>
      <c r="T585" s="71"/>
      <c r="U585" s="189"/>
      <c r="V585" s="125"/>
      <c r="W585" s="103"/>
      <c r="X585" s="71"/>
      <c r="Y585" s="137"/>
      <c r="Z585" s="180"/>
      <c r="AA585" s="181"/>
      <c r="AB585" s="182"/>
      <c r="AC585" s="137"/>
      <c r="AD585" s="125"/>
      <c r="AE585" s="162"/>
      <c r="AF585" s="183"/>
      <c r="AG585" s="195"/>
      <c r="AH585" s="195"/>
      <c r="AI585" s="195"/>
      <c r="AJ585" s="195"/>
      <c r="AK585" s="71"/>
      <c r="AL585" s="71"/>
      <c r="AM585" s="71"/>
      <c r="AN585" s="71"/>
      <c r="AO585" s="71"/>
    </row>
    <row r="586">
      <c r="A586" s="137"/>
      <c r="B586" s="138"/>
      <c r="C586" s="103"/>
      <c r="D586" s="71"/>
      <c r="E586" s="137"/>
      <c r="F586" s="138"/>
      <c r="G586" s="103"/>
      <c r="H586" s="71"/>
      <c r="I586" s="137"/>
      <c r="J586" s="138"/>
      <c r="K586" s="103"/>
      <c r="L586" s="71"/>
      <c r="M586" s="137"/>
      <c r="N586" s="125"/>
      <c r="O586" s="103"/>
      <c r="P586" s="71"/>
      <c r="Q586" s="189"/>
      <c r="R586" s="125"/>
      <c r="S586" s="103"/>
      <c r="T586" s="71"/>
      <c r="U586" s="189"/>
      <c r="V586" s="125"/>
      <c r="W586" s="103"/>
      <c r="X586" s="71"/>
      <c r="Y586" s="137"/>
      <c r="Z586" s="180"/>
      <c r="AA586" s="181"/>
      <c r="AB586" s="182"/>
      <c r="AC586" s="137"/>
      <c r="AD586" s="125"/>
      <c r="AE586" s="162"/>
      <c r="AF586" s="183"/>
      <c r="AG586" s="195"/>
      <c r="AH586" s="195"/>
      <c r="AI586" s="195"/>
      <c r="AJ586" s="195"/>
      <c r="AK586" s="71"/>
      <c r="AL586" s="71"/>
      <c r="AM586" s="71"/>
      <c r="AN586" s="71"/>
      <c r="AO586" s="71"/>
    </row>
    <row r="587">
      <c r="A587" s="137"/>
      <c r="B587" s="138"/>
      <c r="C587" s="103"/>
      <c r="D587" s="71"/>
      <c r="E587" s="137"/>
      <c r="F587" s="138"/>
      <c r="G587" s="103"/>
      <c r="H587" s="71"/>
      <c r="I587" s="137"/>
      <c r="J587" s="138"/>
      <c r="K587" s="103"/>
      <c r="L587" s="71"/>
      <c r="M587" s="137"/>
      <c r="N587" s="125"/>
      <c r="O587" s="103"/>
      <c r="P587" s="71"/>
      <c r="Q587" s="189"/>
      <c r="R587" s="125"/>
      <c r="S587" s="103"/>
      <c r="T587" s="71"/>
      <c r="U587" s="189"/>
      <c r="V587" s="125"/>
      <c r="W587" s="103"/>
      <c r="X587" s="71"/>
      <c r="Y587" s="137"/>
      <c r="Z587" s="180"/>
      <c r="AA587" s="181"/>
      <c r="AB587" s="182"/>
      <c r="AC587" s="137"/>
      <c r="AD587" s="125"/>
      <c r="AE587" s="162"/>
      <c r="AF587" s="183"/>
      <c r="AG587" s="195"/>
      <c r="AH587" s="195"/>
      <c r="AI587" s="195"/>
      <c r="AJ587" s="195"/>
      <c r="AK587" s="71"/>
      <c r="AL587" s="71"/>
      <c r="AM587" s="71"/>
      <c r="AN587" s="71"/>
      <c r="AO587" s="71"/>
    </row>
    <row r="588">
      <c r="A588" s="137"/>
      <c r="B588" s="138"/>
      <c r="C588" s="103"/>
      <c r="D588" s="71"/>
      <c r="E588" s="137"/>
      <c r="F588" s="138"/>
      <c r="G588" s="103"/>
      <c r="H588" s="71"/>
      <c r="I588" s="137"/>
      <c r="J588" s="138"/>
      <c r="K588" s="103"/>
      <c r="L588" s="71"/>
      <c r="M588" s="137"/>
      <c r="N588" s="125"/>
      <c r="O588" s="103"/>
      <c r="P588" s="71"/>
      <c r="Q588" s="189"/>
      <c r="R588" s="125"/>
      <c r="S588" s="103"/>
      <c r="T588" s="71"/>
      <c r="U588" s="189"/>
      <c r="V588" s="125"/>
      <c r="W588" s="103"/>
      <c r="X588" s="71"/>
      <c r="Y588" s="137"/>
      <c r="Z588" s="180"/>
      <c r="AA588" s="181"/>
      <c r="AB588" s="182"/>
      <c r="AC588" s="137"/>
      <c r="AD588" s="125"/>
      <c r="AE588" s="162"/>
      <c r="AF588" s="183"/>
      <c r="AG588" s="195"/>
      <c r="AH588" s="195"/>
      <c r="AI588" s="195"/>
      <c r="AJ588" s="195"/>
      <c r="AK588" s="71"/>
      <c r="AL588" s="71"/>
      <c r="AM588" s="71"/>
      <c r="AN588" s="71"/>
      <c r="AO588" s="71"/>
    </row>
    <row r="589">
      <c r="A589" s="137"/>
      <c r="B589" s="138"/>
      <c r="C589" s="103"/>
      <c r="D589" s="71"/>
      <c r="E589" s="137"/>
      <c r="F589" s="138"/>
      <c r="G589" s="103"/>
      <c r="H589" s="71"/>
      <c r="I589" s="137"/>
      <c r="J589" s="138"/>
      <c r="K589" s="103"/>
      <c r="L589" s="71"/>
      <c r="M589" s="137"/>
      <c r="N589" s="125"/>
      <c r="O589" s="103"/>
      <c r="P589" s="71"/>
      <c r="Q589" s="189"/>
      <c r="R589" s="125"/>
      <c r="S589" s="103"/>
      <c r="T589" s="71"/>
      <c r="U589" s="189"/>
      <c r="V589" s="125"/>
      <c r="W589" s="103"/>
      <c r="X589" s="71"/>
      <c r="Y589" s="137"/>
      <c r="Z589" s="180"/>
      <c r="AA589" s="181"/>
      <c r="AB589" s="182"/>
      <c r="AC589" s="137"/>
      <c r="AD589" s="125"/>
      <c r="AE589" s="162"/>
      <c r="AF589" s="183"/>
      <c r="AG589" s="195"/>
      <c r="AH589" s="195"/>
      <c r="AI589" s="195"/>
      <c r="AJ589" s="195"/>
      <c r="AK589" s="71"/>
      <c r="AL589" s="71"/>
      <c r="AM589" s="71"/>
      <c r="AN589" s="71"/>
      <c r="AO589" s="71"/>
    </row>
    <row r="590">
      <c r="A590" s="137"/>
      <c r="B590" s="138"/>
      <c r="C590" s="103"/>
      <c r="D590" s="71"/>
      <c r="E590" s="137"/>
      <c r="F590" s="138"/>
      <c r="G590" s="103"/>
      <c r="H590" s="71"/>
      <c r="I590" s="137"/>
      <c r="J590" s="138"/>
      <c r="K590" s="103"/>
      <c r="L590" s="71"/>
      <c r="M590" s="137"/>
      <c r="N590" s="125"/>
      <c r="O590" s="103"/>
      <c r="P590" s="71"/>
      <c r="Q590" s="189"/>
      <c r="R590" s="125"/>
      <c r="S590" s="103"/>
      <c r="T590" s="71"/>
      <c r="U590" s="189"/>
      <c r="V590" s="125"/>
      <c r="W590" s="103"/>
      <c r="X590" s="71"/>
      <c r="Y590" s="137"/>
      <c r="Z590" s="180"/>
      <c r="AA590" s="181"/>
      <c r="AB590" s="182"/>
      <c r="AC590" s="137"/>
      <c r="AD590" s="125"/>
      <c r="AE590" s="162"/>
      <c r="AF590" s="183"/>
      <c r="AG590" s="195"/>
      <c r="AH590" s="195"/>
      <c r="AI590" s="195"/>
      <c r="AJ590" s="195"/>
      <c r="AK590" s="71"/>
      <c r="AL590" s="71"/>
      <c r="AM590" s="71"/>
      <c r="AN590" s="71"/>
      <c r="AO590" s="71"/>
    </row>
    <row r="591">
      <c r="A591" s="137"/>
      <c r="B591" s="138"/>
      <c r="C591" s="103"/>
      <c r="D591" s="71"/>
      <c r="E591" s="137"/>
      <c r="F591" s="138"/>
      <c r="G591" s="103"/>
      <c r="H591" s="71"/>
      <c r="I591" s="137"/>
      <c r="J591" s="138"/>
      <c r="K591" s="103"/>
      <c r="L591" s="71"/>
      <c r="M591" s="137"/>
      <c r="N591" s="125"/>
      <c r="O591" s="103"/>
      <c r="P591" s="71"/>
      <c r="Q591" s="189"/>
      <c r="R591" s="125"/>
      <c r="S591" s="103"/>
      <c r="T591" s="71"/>
      <c r="U591" s="189"/>
      <c r="V591" s="125"/>
      <c r="W591" s="103"/>
      <c r="X591" s="71"/>
      <c r="Y591" s="137"/>
      <c r="Z591" s="180"/>
      <c r="AA591" s="181"/>
      <c r="AB591" s="182"/>
      <c r="AC591" s="137"/>
      <c r="AD591" s="125"/>
      <c r="AE591" s="162"/>
      <c r="AF591" s="183"/>
      <c r="AG591" s="195"/>
      <c r="AH591" s="195"/>
      <c r="AI591" s="195"/>
      <c r="AJ591" s="195"/>
      <c r="AK591" s="71"/>
      <c r="AL591" s="71"/>
      <c r="AM591" s="71"/>
      <c r="AN591" s="71"/>
      <c r="AO591" s="71"/>
    </row>
    <row r="592">
      <c r="A592" s="137"/>
      <c r="B592" s="138"/>
      <c r="C592" s="103"/>
      <c r="D592" s="71"/>
      <c r="E592" s="137"/>
      <c r="F592" s="138"/>
      <c r="G592" s="103"/>
      <c r="H592" s="71"/>
      <c r="I592" s="137"/>
      <c r="J592" s="138"/>
      <c r="K592" s="103"/>
      <c r="L592" s="71"/>
      <c r="M592" s="137"/>
      <c r="N592" s="125"/>
      <c r="O592" s="103"/>
      <c r="P592" s="71"/>
      <c r="Q592" s="189"/>
      <c r="R592" s="125"/>
      <c r="S592" s="103"/>
      <c r="T592" s="71"/>
      <c r="U592" s="189"/>
      <c r="V592" s="125"/>
      <c r="W592" s="103"/>
      <c r="X592" s="71"/>
      <c r="Y592" s="137"/>
      <c r="Z592" s="180"/>
      <c r="AA592" s="181"/>
      <c r="AB592" s="182"/>
      <c r="AC592" s="137"/>
      <c r="AD592" s="125"/>
      <c r="AE592" s="162"/>
      <c r="AF592" s="183"/>
      <c r="AG592" s="195"/>
      <c r="AH592" s="195"/>
      <c r="AI592" s="195"/>
      <c r="AJ592" s="195"/>
      <c r="AK592" s="71"/>
      <c r="AL592" s="71"/>
      <c r="AM592" s="71"/>
      <c r="AN592" s="71"/>
      <c r="AO592" s="71"/>
    </row>
    <row r="593">
      <c r="A593" s="137"/>
      <c r="B593" s="138"/>
      <c r="C593" s="103"/>
      <c r="D593" s="71"/>
      <c r="E593" s="137"/>
      <c r="F593" s="138"/>
      <c r="G593" s="103"/>
      <c r="H593" s="71"/>
      <c r="I593" s="137"/>
      <c r="J593" s="138"/>
      <c r="K593" s="103"/>
      <c r="L593" s="71"/>
      <c r="M593" s="137"/>
      <c r="N593" s="125"/>
      <c r="O593" s="103"/>
      <c r="P593" s="71"/>
      <c r="Q593" s="189"/>
      <c r="R593" s="125"/>
      <c r="S593" s="103"/>
      <c r="T593" s="71"/>
      <c r="U593" s="189"/>
      <c r="V593" s="125"/>
      <c r="W593" s="103"/>
      <c r="X593" s="71"/>
      <c r="Y593" s="137"/>
      <c r="Z593" s="180"/>
      <c r="AA593" s="181"/>
      <c r="AB593" s="182"/>
      <c r="AC593" s="137"/>
      <c r="AD593" s="125"/>
      <c r="AE593" s="162"/>
      <c r="AF593" s="183"/>
      <c r="AG593" s="195"/>
      <c r="AH593" s="195"/>
      <c r="AI593" s="195"/>
      <c r="AJ593" s="195"/>
      <c r="AK593" s="71"/>
      <c r="AL593" s="71"/>
      <c r="AM593" s="71"/>
      <c r="AN593" s="71"/>
      <c r="AO593" s="71"/>
    </row>
    <row r="594">
      <c r="A594" s="137"/>
      <c r="B594" s="138"/>
      <c r="C594" s="103"/>
      <c r="D594" s="71"/>
      <c r="E594" s="137"/>
      <c r="F594" s="138"/>
      <c r="G594" s="103"/>
      <c r="H594" s="71"/>
      <c r="I594" s="137"/>
      <c r="J594" s="138"/>
      <c r="K594" s="103"/>
      <c r="L594" s="71"/>
      <c r="M594" s="137"/>
      <c r="N594" s="125"/>
      <c r="O594" s="103"/>
      <c r="P594" s="71"/>
      <c r="Q594" s="189"/>
      <c r="R594" s="125"/>
      <c r="S594" s="103"/>
      <c r="T594" s="71"/>
      <c r="U594" s="189"/>
      <c r="V594" s="125"/>
      <c r="W594" s="103"/>
      <c r="X594" s="71"/>
      <c r="Y594" s="137"/>
      <c r="Z594" s="180"/>
      <c r="AA594" s="181"/>
      <c r="AB594" s="182"/>
      <c r="AC594" s="137"/>
      <c r="AD594" s="125"/>
      <c r="AE594" s="162"/>
      <c r="AF594" s="183"/>
      <c r="AG594" s="195"/>
      <c r="AH594" s="195"/>
      <c r="AI594" s="195"/>
      <c r="AJ594" s="195"/>
      <c r="AK594" s="71"/>
      <c r="AL594" s="71"/>
      <c r="AM594" s="71"/>
      <c r="AN594" s="71"/>
      <c r="AO594" s="71"/>
    </row>
    <row r="595">
      <c r="A595" s="137"/>
      <c r="B595" s="138"/>
      <c r="C595" s="103"/>
      <c r="D595" s="71"/>
      <c r="E595" s="137"/>
      <c r="F595" s="138"/>
      <c r="G595" s="103"/>
      <c r="H595" s="71"/>
      <c r="I595" s="137"/>
      <c r="J595" s="138"/>
      <c r="K595" s="103"/>
      <c r="L595" s="71"/>
      <c r="M595" s="137"/>
      <c r="N595" s="125"/>
      <c r="O595" s="103"/>
      <c r="P595" s="71"/>
      <c r="Q595" s="189"/>
      <c r="R595" s="125"/>
      <c r="S595" s="103"/>
      <c r="T595" s="71"/>
      <c r="U595" s="189"/>
      <c r="V595" s="125"/>
      <c r="W595" s="103"/>
      <c r="X595" s="71"/>
      <c r="Y595" s="137"/>
      <c r="Z595" s="180"/>
      <c r="AA595" s="181"/>
      <c r="AB595" s="182"/>
      <c r="AC595" s="137"/>
      <c r="AD595" s="125"/>
      <c r="AE595" s="162"/>
      <c r="AF595" s="183"/>
      <c r="AG595" s="195"/>
      <c r="AH595" s="195"/>
      <c r="AI595" s="195"/>
      <c r="AJ595" s="195"/>
      <c r="AK595" s="71"/>
      <c r="AL595" s="71"/>
      <c r="AM595" s="71"/>
      <c r="AN595" s="71"/>
      <c r="AO595" s="71"/>
    </row>
    <row r="596">
      <c r="A596" s="137"/>
      <c r="B596" s="138"/>
      <c r="C596" s="103"/>
      <c r="D596" s="71"/>
      <c r="E596" s="137"/>
      <c r="F596" s="138"/>
      <c r="G596" s="103"/>
      <c r="H596" s="71"/>
      <c r="I596" s="137"/>
      <c r="J596" s="138"/>
      <c r="K596" s="103"/>
      <c r="L596" s="71"/>
      <c r="M596" s="137"/>
      <c r="N596" s="125"/>
      <c r="O596" s="103"/>
      <c r="P596" s="71"/>
      <c r="Q596" s="189"/>
      <c r="R596" s="125"/>
      <c r="S596" s="103"/>
      <c r="T596" s="71"/>
      <c r="U596" s="189"/>
      <c r="V596" s="125"/>
      <c r="W596" s="103"/>
      <c r="X596" s="71"/>
      <c r="Y596" s="137"/>
      <c r="Z596" s="180"/>
      <c r="AA596" s="181"/>
      <c r="AB596" s="182"/>
      <c r="AC596" s="137"/>
      <c r="AD596" s="125"/>
      <c r="AE596" s="162"/>
      <c r="AF596" s="183"/>
      <c r="AG596" s="195"/>
      <c r="AH596" s="195"/>
      <c r="AI596" s="195"/>
      <c r="AJ596" s="195"/>
      <c r="AK596" s="71"/>
      <c r="AL596" s="71"/>
      <c r="AM596" s="71"/>
      <c r="AN596" s="71"/>
      <c r="AO596" s="71"/>
    </row>
    <row r="597">
      <c r="A597" s="137"/>
      <c r="B597" s="138"/>
      <c r="C597" s="103"/>
      <c r="D597" s="71"/>
      <c r="E597" s="137"/>
      <c r="F597" s="138"/>
      <c r="G597" s="103"/>
      <c r="H597" s="71"/>
      <c r="I597" s="137"/>
      <c r="J597" s="138"/>
      <c r="K597" s="103"/>
      <c r="L597" s="71"/>
      <c r="M597" s="137"/>
      <c r="N597" s="125"/>
      <c r="O597" s="103"/>
      <c r="P597" s="71"/>
      <c r="Q597" s="189"/>
      <c r="R597" s="125"/>
      <c r="S597" s="103"/>
      <c r="T597" s="71"/>
      <c r="U597" s="189"/>
      <c r="V597" s="125"/>
      <c r="W597" s="103"/>
      <c r="X597" s="71"/>
      <c r="Y597" s="137"/>
      <c r="Z597" s="180"/>
      <c r="AA597" s="181"/>
      <c r="AB597" s="182"/>
      <c r="AC597" s="137"/>
      <c r="AD597" s="125"/>
      <c r="AE597" s="162"/>
      <c r="AF597" s="183"/>
      <c r="AG597" s="195"/>
      <c r="AH597" s="195"/>
      <c r="AI597" s="195"/>
      <c r="AJ597" s="195"/>
      <c r="AK597" s="71"/>
      <c r="AL597" s="71"/>
      <c r="AM597" s="71"/>
      <c r="AN597" s="71"/>
      <c r="AO597" s="71"/>
    </row>
    <row r="598">
      <c r="A598" s="137"/>
      <c r="B598" s="138"/>
      <c r="C598" s="103"/>
      <c r="D598" s="71"/>
      <c r="E598" s="137"/>
      <c r="F598" s="138"/>
      <c r="G598" s="103"/>
      <c r="H598" s="71"/>
      <c r="I598" s="137"/>
      <c r="J598" s="138"/>
      <c r="K598" s="103"/>
      <c r="L598" s="71"/>
      <c r="M598" s="137"/>
      <c r="N598" s="125"/>
      <c r="O598" s="103"/>
      <c r="P598" s="71"/>
      <c r="Q598" s="189"/>
      <c r="R598" s="125"/>
      <c r="S598" s="103"/>
      <c r="T598" s="71"/>
      <c r="U598" s="189"/>
      <c r="V598" s="125"/>
      <c r="W598" s="103"/>
      <c r="X598" s="71"/>
      <c r="Y598" s="137"/>
      <c r="Z598" s="180"/>
      <c r="AA598" s="181"/>
      <c r="AB598" s="182"/>
      <c r="AC598" s="137"/>
      <c r="AD598" s="125"/>
      <c r="AE598" s="162"/>
      <c r="AF598" s="183"/>
      <c r="AG598" s="195"/>
      <c r="AH598" s="195"/>
      <c r="AI598" s="195"/>
      <c r="AJ598" s="195"/>
      <c r="AK598" s="71"/>
      <c r="AL598" s="71"/>
      <c r="AM598" s="71"/>
      <c r="AN598" s="71"/>
      <c r="AO598" s="71"/>
    </row>
    <row r="599">
      <c r="A599" s="137"/>
      <c r="B599" s="138"/>
      <c r="C599" s="103"/>
      <c r="D599" s="71"/>
      <c r="E599" s="137"/>
      <c r="F599" s="138"/>
      <c r="G599" s="103"/>
      <c r="H599" s="71"/>
      <c r="I599" s="137"/>
      <c r="J599" s="138"/>
      <c r="K599" s="103"/>
      <c r="L599" s="71"/>
      <c r="M599" s="137"/>
      <c r="N599" s="125"/>
      <c r="O599" s="103"/>
      <c r="P599" s="71"/>
      <c r="Q599" s="189"/>
      <c r="R599" s="125"/>
      <c r="S599" s="103"/>
      <c r="T599" s="71"/>
      <c r="U599" s="189"/>
      <c r="V599" s="125"/>
      <c r="W599" s="103"/>
      <c r="X599" s="71"/>
      <c r="Y599" s="137"/>
      <c r="Z599" s="180"/>
      <c r="AA599" s="181"/>
      <c r="AB599" s="182"/>
      <c r="AC599" s="137"/>
      <c r="AD599" s="125"/>
      <c r="AE599" s="162"/>
      <c r="AF599" s="183"/>
      <c r="AG599" s="195"/>
      <c r="AH599" s="195"/>
      <c r="AI599" s="195"/>
      <c r="AJ599" s="195"/>
      <c r="AK599" s="71"/>
      <c r="AL599" s="71"/>
      <c r="AM599" s="71"/>
      <c r="AN599" s="71"/>
      <c r="AO599" s="71"/>
    </row>
    <row r="600">
      <c r="A600" s="137"/>
      <c r="B600" s="138"/>
      <c r="C600" s="103"/>
      <c r="D600" s="71"/>
      <c r="E600" s="137"/>
      <c r="F600" s="138"/>
      <c r="G600" s="103"/>
      <c r="H600" s="71"/>
      <c r="I600" s="137"/>
      <c r="J600" s="138"/>
      <c r="K600" s="103"/>
      <c r="L600" s="71"/>
      <c r="M600" s="137"/>
      <c r="N600" s="125"/>
      <c r="O600" s="103"/>
      <c r="P600" s="71"/>
      <c r="Q600" s="189"/>
      <c r="R600" s="125"/>
      <c r="S600" s="103"/>
      <c r="T600" s="71"/>
      <c r="U600" s="189"/>
      <c r="V600" s="125"/>
      <c r="W600" s="103"/>
      <c r="X600" s="71"/>
      <c r="Y600" s="137"/>
      <c r="Z600" s="180"/>
      <c r="AA600" s="181"/>
      <c r="AB600" s="182"/>
      <c r="AC600" s="137"/>
      <c r="AD600" s="125"/>
      <c r="AE600" s="162"/>
      <c r="AF600" s="183"/>
      <c r="AG600" s="195"/>
      <c r="AH600" s="195"/>
      <c r="AI600" s="195"/>
      <c r="AJ600" s="195"/>
      <c r="AK600" s="71"/>
      <c r="AL600" s="71"/>
      <c r="AM600" s="71"/>
      <c r="AN600" s="71"/>
      <c r="AO600" s="71"/>
    </row>
    <row r="601">
      <c r="A601" s="137"/>
      <c r="B601" s="138"/>
      <c r="C601" s="103"/>
      <c r="D601" s="71"/>
      <c r="E601" s="137"/>
      <c r="F601" s="138"/>
      <c r="G601" s="103"/>
      <c r="H601" s="71"/>
      <c r="I601" s="137"/>
      <c r="J601" s="138"/>
      <c r="K601" s="103"/>
      <c r="L601" s="71"/>
      <c r="M601" s="137"/>
      <c r="N601" s="125"/>
      <c r="O601" s="103"/>
      <c r="P601" s="71"/>
      <c r="Q601" s="189"/>
      <c r="R601" s="125"/>
      <c r="S601" s="103"/>
      <c r="T601" s="71"/>
      <c r="U601" s="189"/>
      <c r="V601" s="125"/>
      <c r="W601" s="103"/>
      <c r="X601" s="71"/>
      <c r="Y601" s="137"/>
      <c r="Z601" s="180"/>
      <c r="AA601" s="181"/>
      <c r="AB601" s="182"/>
      <c r="AC601" s="137"/>
      <c r="AD601" s="125"/>
      <c r="AE601" s="162"/>
      <c r="AF601" s="183"/>
      <c r="AG601" s="195"/>
      <c r="AH601" s="195"/>
      <c r="AI601" s="195"/>
      <c r="AJ601" s="195"/>
      <c r="AK601" s="71"/>
      <c r="AL601" s="71"/>
      <c r="AM601" s="71"/>
      <c r="AN601" s="71"/>
      <c r="AO601" s="71"/>
    </row>
    <row r="602">
      <c r="A602" s="137"/>
      <c r="B602" s="138"/>
      <c r="C602" s="103"/>
      <c r="D602" s="71"/>
      <c r="E602" s="137"/>
      <c r="F602" s="138"/>
      <c r="G602" s="103"/>
      <c r="H602" s="71"/>
      <c r="I602" s="137"/>
      <c r="J602" s="138"/>
      <c r="K602" s="103"/>
      <c r="L602" s="71"/>
      <c r="M602" s="137"/>
      <c r="N602" s="125"/>
      <c r="O602" s="103"/>
      <c r="P602" s="71"/>
      <c r="Q602" s="189"/>
      <c r="R602" s="125"/>
      <c r="S602" s="103"/>
      <c r="T602" s="71"/>
      <c r="U602" s="189"/>
      <c r="V602" s="125"/>
      <c r="W602" s="103"/>
      <c r="X602" s="71"/>
      <c r="Y602" s="137"/>
      <c r="Z602" s="180"/>
      <c r="AA602" s="181"/>
      <c r="AB602" s="182"/>
      <c r="AC602" s="137"/>
      <c r="AD602" s="125"/>
      <c r="AE602" s="162"/>
      <c r="AF602" s="183"/>
      <c r="AG602" s="195"/>
      <c r="AH602" s="195"/>
      <c r="AI602" s="195"/>
      <c r="AJ602" s="195"/>
      <c r="AK602" s="71"/>
      <c r="AL602" s="71"/>
      <c r="AM602" s="71"/>
      <c r="AN602" s="71"/>
      <c r="AO602" s="71"/>
    </row>
    <row r="603">
      <c r="A603" s="137"/>
      <c r="B603" s="138"/>
      <c r="C603" s="103"/>
      <c r="D603" s="71"/>
      <c r="E603" s="137"/>
      <c r="F603" s="138"/>
      <c r="G603" s="103"/>
      <c r="H603" s="71"/>
      <c r="I603" s="137"/>
      <c r="J603" s="138"/>
      <c r="K603" s="103"/>
      <c r="L603" s="71"/>
      <c r="M603" s="137"/>
      <c r="N603" s="125"/>
      <c r="O603" s="103"/>
      <c r="P603" s="71"/>
      <c r="Q603" s="189"/>
      <c r="R603" s="125"/>
      <c r="S603" s="103"/>
      <c r="T603" s="71"/>
      <c r="U603" s="189"/>
      <c r="V603" s="125"/>
      <c r="W603" s="103"/>
      <c r="X603" s="71"/>
      <c r="Y603" s="137"/>
      <c r="Z603" s="180"/>
      <c r="AA603" s="181"/>
      <c r="AB603" s="182"/>
      <c r="AC603" s="137"/>
      <c r="AD603" s="125"/>
      <c r="AE603" s="162"/>
      <c r="AF603" s="183"/>
      <c r="AG603" s="195"/>
      <c r="AH603" s="195"/>
      <c r="AI603" s="195"/>
      <c r="AJ603" s="195"/>
      <c r="AK603" s="71"/>
      <c r="AL603" s="71"/>
      <c r="AM603" s="71"/>
      <c r="AN603" s="71"/>
      <c r="AO603" s="71"/>
    </row>
    <row r="604">
      <c r="A604" s="137"/>
      <c r="B604" s="138"/>
      <c r="C604" s="103"/>
      <c r="D604" s="71"/>
      <c r="E604" s="137"/>
      <c r="F604" s="138"/>
      <c r="G604" s="103"/>
      <c r="H604" s="71"/>
      <c r="I604" s="137"/>
      <c r="J604" s="138"/>
      <c r="K604" s="103"/>
      <c r="L604" s="71"/>
      <c r="M604" s="137"/>
      <c r="N604" s="125"/>
      <c r="O604" s="103"/>
      <c r="P604" s="71"/>
      <c r="Q604" s="189"/>
      <c r="R604" s="125"/>
      <c r="S604" s="103"/>
      <c r="T604" s="71"/>
      <c r="U604" s="189"/>
      <c r="V604" s="125"/>
      <c r="W604" s="103"/>
      <c r="X604" s="71"/>
      <c r="Y604" s="137"/>
      <c r="Z604" s="180"/>
      <c r="AA604" s="181"/>
      <c r="AB604" s="182"/>
      <c r="AC604" s="137"/>
      <c r="AD604" s="125"/>
      <c r="AE604" s="162"/>
      <c r="AF604" s="183"/>
      <c r="AG604" s="195"/>
      <c r="AH604" s="195"/>
      <c r="AI604" s="195"/>
      <c r="AJ604" s="195"/>
      <c r="AK604" s="71"/>
      <c r="AL604" s="71"/>
      <c r="AM604" s="71"/>
      <c r="AN604" s="71"/>
      <c r="AO604" s="71"/>
    </row>
    <row r="605">
      <c r="A605" s="137"/>
      <c r="B605" s="138"/>
      <c r="C605" s="103"/>
      <c r="D605" s="71"/>
      <c r="E605" s="137"/>
      <c r="F605" s="138"/>
      <c r="G605" s="103"/>
      <c r="H605" s="71"/>
      <c r="I605" s="137"/>
      <c r="J605" s="138"/>
      <c r="K605" s="103"/>
      <c r="L605" s="71"/>
      <c r="M605" s="137"/>
      <c r="N605" s="125"/>
      <c r="O605" s="103"/>
      <c r="P605" s="71"/>
      <c r="Q605" s="189"/>
      <c r="R605" s="125"/>
      <c r="S605" s="103"/>
      <c r="T605" s="71"/>
      <c r="U605" s="189"/>
      <c r="V605" s="125"/>
      <c r="W605" s="103"/>
      <c r="X605" s="71"/>
      <c r="Y605" s="137"/>
      <c r="Z605" s="180"/>
      <c r="AA605" s="181"/>
      <c r="AB605" s="182"/>
      <c r="AC605" s="137"/>
      <c r="AD605" s="125"/>
      <c r="AE605" s="162"/>
      <c r="AF605" s="183"/>
      <c r="AG605" s="195"/>
      <c r="AH605" s="195"/>
      <c r="AI605" s="195"/>
      <c r="AJ605" s="195"/>
      <c r="AK605" s="71"/>
      <c r="AL605" s="71"/>
      <c r="AM605" s="71"/>
      <c r="AN605" s="71"/>
      <c r="AO605" s="71"/>
    </row>
    <row r="606">
      <c r="A606" s="137"/>
      <c r="B606" s="138"/>
      <c r="C606" s="103"/>
      <c r="D606" s="71"/>
      <c r="E606" s="137"/>
      <c r="F606" s="138"/>
      <c r="G606" s="103"/>
      <c r="H606" s="71"/>
      <c r="I606" s="137"/>
      <c r="J606" s="138"/>
      <c r="K606" s="103"/>
      <c r="L606" s="71"/>
      <c r="M606" s="137"/>
      <c r="N606" s="125"/>
      <c r="O606" s="103"/>
      <c r="P606" s="71"/>
      <c r="Q606" s="189"/>
      <c r="R606" s="125"/>
      <c r="S606" s="103"/>
      <c r="T606" s="71"/>
      <c r="U606" s="189"/>
      <c r="V606" s="125"/>
      <c r="W606" s="103"/>
      <c r="X606" s="71"/>
      <c r="Y606" s="137"/>
      <c r="Z606" s="180"/>
      <c r="AA606" s="181"/>
      <c r="AB606" s="182"/>
      <c r="AC606" s="137"/>
      <c r="AD606" s="125"/>
      <c r="AE606" s="162"/>
      <c r="AF606" s="183"/>
      <c r="AG606" s="195"/>
      <c r="AH606" s="195"/>
      <c r="AI606" s="195"/>
      <c r="AJ606" s="195"/>
      <c r="AK606" s="71"/>
      <c r="AL606" s="71"/>
      <c r="AM606" s="71"/>
      <c r="AN606" s="71"/>
      <c r="AO606" s="71"/>
    </row>
    <row r="607">
      <c r="A607" s="137"/>
      <c r="B607" s="138"/>
      <c r="C607" s="103"/>
      <c r="D607" s="71"/>
      <c r="E607" s="137"/>
      <c r="F607" s="138"/>
      <c r="G607" s="103"/>
      <c r="H607" s="71"/>
      <c r="I607" s="137"/>
      <c r="J607" s="138"/>
      <c r="K607" s="103"/>
      <c r="L607" s="71"/>
      <c r="M607" s="137"/>
      <c r="N607" s="125"/>
      <c r="O607" s="103"/>
      <c r="P607" s="71"/>
      <c r="Q607" s="189"/>
      <c r="R607" s="125"/>
      <c r="S607" s="103"/>
      <c r="T607" s="71"/>
      <c r="U607" s="189"/>
      <c r="V607" s="125"/>
      <c r="W607" s="103"/>
      <c r="X607" s="71"/>
      <c r="Y607" s="137"/>
      <c r="Z607" s="180"/>
      <c r="AA607" s="181"/>
      <c r="AB607" s="182"/>
      <c r="AC607" s="137"/>
      <c r="AD607" s="125"/>
      <c r="AE607" s="162"/>
      <c r="AF607" s="183"/>
      <c r="AG607" s="195"/>
      <c r="AH607" s="195"/>
      <c r="AI607" s="195"/>
      <c r="AJ607" s="195"/>
      <c r="AK607" s="71"/>
      <c r="AL607" s="71"/>
      <c r="AM607" s="71"/>
      <c r="AN607" s="71"/>
      <c r="AO607" s="71"/>
    </row>
    <row r="608">
      <c r="A608" s="137"/>
      <c r="B608" s="138"/>
      <c r="C608" s="103"/>
      <c r="D608" s="71"/>
      <c r="E608" s="137"/>
      <c r="F608" s="138"/>
      <c r="G608" s="103"/>
      <c r="H608" s="71"/>
      <c r="I608" s="137"/>
      <c r="J608" s="138"/>
      <c r="K608" s="103"/>
      <c r="L608" s="71"/>
      <c r="M608" s="137"/>
      <c r="N608" s="125"/>
      <c r="O608" s="103"/>
      <c r="P608" s="71"/>
      <c r="Q608" s="189"/>
      <c r="R608" s="125"/>
      <c r="S608" s="103"/>
      <c r="T608" s="71"/>
      <c r="U608" s="189"/>
      <c r="V608" s="125"/>
      <c r="W608" s="103"/>
      <c r="X608" s="71"/>
      <c r="Y608" s="137"/>
      <c r="Z608" s="180"/>
      <c r="AA608" s="181"/>
      <c r="AB608" s="182"/>
      <c r="AC608" s="137"/>
      <c r="AD608" s="125"/>
      <c r="AE608" s="162"/>
      <c r="AF608" s="183"/>
      <c r="AG608" s="195"/>
      <c r="AH608" s="195"/>
      <c r="AI608" s="195"/>
      <c r="AJ608" s="195"/>
      <c r="AK608" s="71"/>
      <c r="AL608" s="71"/>
      <c r="AM608" s="71"/>
      <c r="AN608" s="71"/>
      <c r="AO608" s="71"/>
    </row>
    <row r="609">
      <c r="A609" s="137"/>
      <c r="B609" s="138"/>
      <c r="C609" s="103"/>
      <c r="D609" s="71"/>
      <c r="E609" s="137"/>
      <c r="F609" s="138"/>
      <c r="G609" s="103"/>
      <c r="H609" s="71"/>
      <c r="I609" s="137"/>
      <c r="J609" s="138"/>
      <c r="K609" s="103"/>
      <c r="L609" s="71"/>
      <c r="M609" s="137"/>
      <c r="N609" s="125"/>
      <c r="O609" s="103"/>
      <c r="P609" s="71"/>
      <c r="Q609" s="189"/>
      <c r="R609" s="125"/>
      <c r="S609" s="103"/>
      <c r="T609" s="71"/>
      <c r="U609" s="189"/>
      <c r="V609" s="125"/>
      <c r="W609" s="103"/>
      <c r="X609" s="71"/>
      <c r="Y609" s="137"/>
      <c r="Z609" s="180"/>
      <c r="AA609" s="181"/>
      <c r="AB609" s="182"/>
      <c r="AC609" s="137"/>
      <c r="AD609" s="125"/>
      <c r="AE609" s="162"/>
      <c r="AF609" s="183"/>
      <c r="AG609" s="195"/>
      <c r="AH609" s="195"/>
      <c r="AI609" s="195"/>
      <c r="AJ609" s="195"/>
      <c r="AK609" s="71"/>
      <c r="AL609" s="71"/>
      <c r="AM609" s="71"/>
      <c r="AN609" s="71"/>
      <c r="AO609" s="71"/>
    </row>
    <row r="610">
      <c r="A610" s="137"/>
      <c r="B610" s="138"/>
      <c r="C610" s="103"/>
      <c r="D610" s="71"/>
      <c r="E610" s="137"/>
      <c r="F610" s="138"/>
      <c r="G610" s="103"/>
      <c r="H610" s="71"/>
      <c r="I610" s="137"/>
      <c r="J610" s="138"/>
      <c r="K610" s="103"/>
      <c r="L610" s="71"/>
      <c r="M610" s="137"/>
      <c r="N610" s="125"/>
      <c r="O610" s="103"/>
      <c r="P610" s="71"/>
      <c r="Q610" s="189"/>
      <c r="R610" s="125"/>
      <c r="S610" s="103"/>
      <c r="T610" s="71"/>
      <c r="U610" s="189"/>
      <c r="V610" s="125"/>
      <c r="W610" s="103"/>
      <c r="X610" s="71"/>
      <c r="Y610" s="137"/>
      <c r="Z610" s="180"/>
      <c r="AA610" s="181"/>
      <c r="AB610" s="182"/>
      <c r="AC610" s="137"/>
      <c r="AD610" s="125"/>
      <c r="AE610" s="162"/>
      <c r="AF610" s="183"/>
      <c r="AG610" s="195"/>
      <c r="AH610" s="195"/>
      <c r="AI610" s="195"/>
      <c r="AJ610" s="195"/>
      <c r="AK610" s="71"/>
      <c r="AL610" s="71"/>
      <c r="AM610" s="71"/>
      <c r="AN610" s="71"/>
      <c r="AO610" s="71"/>
    </row>
    <row r="611">
      <c r="A611" s="137"/>
      <c r="B611" s="138"/>
      <c r="C611" s="103"/>
      <c r="D611" s="71"/>
      <c r="E611" s="137"/>
      <c r="F611" s="138"/>
      <c r="G611" s="103"/>
      <c r="H611" s="71"/>
      <c r="I611" s="137"/>
      <c r="J611" s="138"/>
      <c r="K611" s="103"/>
      <c r="L611" s="71"/>
      <c r="M611" s="137"/>
      <c r="N611" s="125"/>
      <c r="O611" s="103"/>
      <c r="P611" s="71"/>
      <c r="Q611" s="189"/>
      <c r="R611" s="125"/>
      <c r="S611" s="103"/>
      <c r="T611" s="71"/>
      <c r="U611" s="189"/>
      <c r="V611" s="125"/>
      <c r="W611" s="103"/>
      <c r="X611" s="71"/>
      <c r="Y611" s="137"/>
      <c r="Z611" s="180"/>
      <c r="AA611" s="181"/>
      <c r="AB611" s="182"/>
      <c r="AC611" s="137"/>
      <c r="AD611" s="125"/>
      <c r="AE611" s="162"/>
      <c r="AF611" s="183"/>
      <c r="AG611" s="195"/>
      <c r="AH611" s="195"/>
      <c r="AI611" s="195"/>
      <c r="AJ611" s="195"/>
      <c r="AK611" s="71"/>
      <c r="AL611" s="71"/>
      <c r="AM611" s="71"/>
      <c r="AN611" s="71"/>
      <c r="AO611" s="71"/>
    </row>
    <row r="612">
      <c r="A612" s="137"/>
      <c r="B612" s="138"/>
      <c r="C612" s="103"/>
      <c r="D612" s="71"/>
      <c r="E612" s="137"/>
      <c r="F612" s="138"/>
      <c r="G612" s="103"/>
      <c r="H612" s="71"/>
      <c r="I612" s="137"/>
      <c r="J612" s="138"/>
      <c r="K612" s="103"/>
      <c r="L612" s="71"/>
      <c r="M612" s="137"/>
      <c r="N612" s="125"/>
      <c r="O612" s="103"/>
      <c r="P612" s="71"/>
      <c r="Q612" s="189"/>
      <c r="R612" s="125"/>
      <c r="S612" s="103"/>
      <c r="T612" s="71"/>
      <c r="U612" s="189"/>
      <c r="V612" s="125"/>
      <c r="W612" s="103"/>
      <c r="X612" s="71"/>
      <c r="Y612" s="137"/>
      <c r="Z612" s="180"/>
      <c r="AA612" s="181"/>
      <c r="AB612" s="182"/>
      <c r="AC612" s="137"/>
      <c r="AD612" s="125"/>
      <c r="AE612" s="162"/>
      <c r="AF612" s="183"/>
      <c r="AG612" s="195"/>
      <c r="AH612" s="195"/>
      <c r="AI612" s="195"/>
      <c r="AJ612" s="195"/>
      <c r="AK612" s="71"/>
      <c r="AL612" s="71"/>
      <c r="AM612" s="71"/>
      <c r="AN612" s="71"/>
      <c r="AO612" s="71"/>
    </row>
    <row r="613">
      <c r="A613" s="137"/>
      <c r="B613" s="138"/>
      <c r="C613" s="103"/>
      <c r="D613" s="71"/>
      <c r="E613" s="137"/>
      <c r="F613" s="138"/>
      <c r="G613" s="103"/>
      <c r="H613" s="71"/>
      <c r="I613" s="137"/>
      <c r="J613" s="138"/>
      <c r="K613" s="103"/>
      <c r="L613" s="71"/>
      <c r="M613" s="137"/>
      <c r="N613" s="125"/>
      <c r="O613" s="103"/>
      <c r="P613" s="71"/>
      <c r="Q613" s="189"/>
      <c r="R613" s="125"/>
      <c r="S613" s="103"/>
      <c r="T613" s="71"/>
      <c r="U613" s="189"/>
      <c r="V613" s="125"/>
      <c r="W613" s="103"/>
      <c r="X613" s="71"/>
      <c r="Y613" s="137"/>
      <c r="Z613" s="180"/>
      <c r="AA613" s="181"/>
      <c r="AB613" s="182"/>
      <c r="AC613" s="137"/>
      <c r="AD613" s="125"/>
      <c r="AE613" s="162"/>
      <c r="AF613" s="183"/>
      <c r="AG613" s="195"/>
      <c r="AH613" s="195"/>
      <c r="AI613" s="195"/>
      <c r="AJ613" s="195"/>
      <c r="AK613" s="71"/>
      <c r="AL613" s="71"/>
      <c r="AM613" s="71"/>
      <c r="AN613" s="71"/>
      <c r="AO613" s="71"/>
    </row>
    <row r="614">
      <c r="A614" s="137"/>
      <c r="B614" s="138"/>
      <c r="C614" s="103"/>
      <c r="D614" s="71"/>
      <c r="E614" s="137"/>
      <c r="F614" s="138"/>
      <c r="G614" s="103"/>
      <c r="H614" s="71"/>
      <c r="I614" s="137"/>
      <c r="J614" s="138"/>
      <c r="K614" s="103"/>
      <c r="L614" s="71"/>
      <c r="M614" s="137"/>
      <c r="N614" s="125"/>
      <c r="O614" s="103"/>
      <c r="P614" s="71"/>
      <c r="Q614" s="189"/>
      <c r="R614" s="125"/>
      <c r="S614" s="103"/>
      <c r="T614" s="71"/>
      <c r="U614" s="189"/>
      <c r="V614" s="125"/>
      <c r="W614" s="103"/>
      <c r="X614" s="71"/>
      <c r="Y614" s="137"/>
      <c r="Z614" s="180"/>
      <c r="AA614" s="181"/>
      <c r="AB614" s="182"/>
      <c r="AC614" s="137"/>
      <c r="AD614" s="125"/>
      <c r="AE614" s="162"/>
      <c r="AF614" s="183"/>
      <c r="AG614" s="195"/>
      <c r="AH614" s="195"/>
      <c r="AI614" s="195"/>
      <c r="AJ614" s="195"/>
      <c r="AK614" s="71"/>
      <c r="AL614" s="71"/>
      <c r="AM614" s="71"/>
      <c r="AN614" s="71"/>
      <c r="AO614" s="71"/>
    </row>
    <row r="615">
      <c r="A615" s="137"/>
      <c r="B615" s="138"/>
      <c r="C615" s="103"/>
      <c r="D615" s="71"/>
      <c r="E615" s="137"/>
      <c r="F615" s="138"/>
      <c r="G615" s="103"/>
      <c r="H615" s="71"/>
      <c r="I615" s="137"/>
      <c r="J615" s="138"/>
      <c r="K615" s="103"/>
      <c r="L615" s="71"/>
      <c r="M615" s="137"/>
      <c r="N615" s="125"/>
      <c r="O615" s="103"/>
      <c r="P615" s="71"/>
      <c r="Q615" s="189"/>
      <c r="R615" s="125"/>
      <c r="S615" s="103"/>
      <c r="T615" s="71"/>
      <c r="U615" s="189"/>
      <c r="V615" s="125"/>
      <c r="W615" s="103"/>
      <c r="X615" s="71"/>
      <c r="Y615" s="137"/>
      <c r="Z615" s="180"/>
      <c r="AA615" s="181"/>
      <c r="AB615" s="182"/>
      <c r="AC615" s="137"/>
      <c r="AD615" s="125"/>
      <c r="AE615" s="162"/>
      <c r="AF615" s="183"/>
      <c r="AG615" s="195"/>
      <c r="AH615" s="195"/>
      <c r="AI615" s="195"/>
      <c r="AJ615" s="195"/>
      <c r="AK615" s="71"/>
      <c r="AL615" s="71"/>
      <c r="AM615" s="71"/>
      <c r="AN615" s="71"/>
      <c r="AO615" s="71"/>
    </row>
    <row r="616">
      <c r="A616" s="137"/>
      <c r="B616" s="138"/>
      <c r="C616" s="103"/>
      <c r="D616" s="71"/>
      <c r="E616" s="137"/>
      <c r="F616" s="138"/>
      <c r="G616" s="103"/>
      <c r="H616" s="71"/>
      <c r="I616" s="137"/>
      <c r="J616" s="138"/>
      <c r="K616" s="103"/>
      <c r="L616" s="71"/>
      <c r="M616" s="137"/>
      <c r="N616" s="125"/>
      <c r="O616" s="103"/>
      <c r="P616" s="71"/>
      <c r="Q616" s="189"/>
      <c r="R616" s="125"/>
      <c r="S616" s="103"/>
      <c r="T616" s="71"/>
      <c r="U616" s="189"/>
      <c r="V616" s="125"/>
      <c r="W616" s="103"/>
      <c r="X616" s="71"/>
      <c r="Y616" s="137"/>
      <c r="Z616" s="180"/>
      <c r="AA616" s="181"/>
      <c r="AB616" s="182"/>
      <c r="AC616" s="137"/>
      <c r="AD616" s="125"/>
      <c r="AE616" s="162"/>
      <c r="AF616" s="183"/>
      <c r="AG616" s="195"/>
      <c r="AH616" s="195"/>
      <c r="AI616" s="195"/>
      <c r="AJ616" s="195"/>
      <c r="AK616" s="71"/>
      <c r="AL616" s="71"/>
      <c r="AM616" s="71"/>
      <c r="AN616" s="71"/>
      <c r="AO616" s="71"/>
    </row>
    <row r="617">
      <c r="A617" s="137"/>
      <c r="B617" s="138"/>
      <c r="C617" s="103"/>
      <c r="D617" s="71"/>
      <c r="E617" s="137"/>
      <c r="F617" s="138"/>
      <c r="G617" s="103"/>
      <c r="H617" s="71"/>
      <c r="I617" s="137"/>
      <c r="J617" s="138"/>
      <c r="K617" s="103"/>
      <c r="L617" s="71"/>
      <c r="M617" s="137"/>
      <c r="N617" s="125"/>
      <c r="O617" s="103"/>
      <c r="P617" s="71"/>
      <c r="Q617" s="189"/>
      <c r="R617" s="125"/>
      <c r="S617" s="103"/>
      <c r="T617" s="71"/>
      <c r="U617" s="189"/>
      <c r="V617" s="125"/>
      <c r="W617" s="103"/>
      <c r="X617" s="71"/>
      <c r="Y617" s="137"/>
      <c r="Z617" s="180"/>
      <c r="AA617" s="181"/>
      <c r="AB617" s="182"/>
      <c r="AC617" s="137"/>
      <c r="AD617" s="125"/>
      <c r="AE617" s="162"/>
      <c r="AF617" s="183"/>
      <c r="AG617" s="195"/>
      <c r="AH617" s="195"/>
      <c r="AI617" s="195"/>
      <c r="AJ617" s="195"/>
      <c r="AK617" s="71"/>
      <c r="AL617" s="71"/>
      <c r="AM617" s="71"/>
      <c r="AN617" s="71"/>
      <c r="AO617" s="71"/>
    </row>
    <row r="618">
      <c r="A618" s="137"/>
      <c r="B618" s="138"/>
      <c r="C618" s="103"/>
      <c r="D618" s="71"/>
      <c r="E618" s="137"/>
      <c r="F618" s="138"/>
      <c r="G618" s="103"/>
      <c r="H618" s="71"/>
      <c r="I618" s="137"/>
      <c r="J618" s="138"/>
      <c r="K618" s="103"/>
      <c r="L618" s="71"/>
      <c r="M618" s="137"/>
      <c r="N618" s="125"/>
      <c r="O618" s="103"/>
      <c r="P618" s="71"/>
      <c r="Q618" s="189"/>
      <c r="R618" s="125"/>
      <c r="S618" s="103"/>
      <c r="T618" s="71"/>
      <c r="U618" s="189"/>
      <c r="V618" s="125"/>
      <c r="W618" s="103"/>
      <c r="X618" s="71"/>
      <c r="Y618" s="137"/>
      <c r="Z618" s="180"/>
      <c r="AA618" s="181"/>
      <c r="AB618" s="182"/>
      <c r="AC618" s="137"/>
      <c r="AD618" s="125"/>
      <c r="AE618" s="162"/>
      <c r="AF618" s="183"/>
      <c r="AG618" s="195"/>
      <c r="AH618" s="195"/>
      <c r="AI618" s="195"/>
      <c r="AJ618" s="195"/>
      <c r="AK618" s="71"/>
      <c r="AL618" s="71"/>
      <c r="AM618" s="71"/>
      <c r="AN618" s="71"/>
      <c r="AO618" s="71"/>
    </row>
    <row r="619">
      <c r="A619" s="137"/>
      <c r="B619" s="138"/>
      <c r="C619" s="103"/>
      <c r="D619" s="71"/>
      <c r="E619" s="137"/>
      <c r="F619" s="138"/>
      <c r="G619" s="103"/>
      <c r="H619" s="71"/>
      <c r="I619" s="137"/>
      <c r="J619" s="138"/>
      <c r="K619" s="103"/>
      <c r="L619" s="71"/>
      <c r="M619" s="137"/>
      <c r="N619" s="125"/>
      <c r="O619" s="103"/>
      <c r="P619" s="71"/>
      <c r="Q619" s="189"/>
      <c r="R619" s="125"/>
      <c r="S619" s="103"/>
      <c r="T619" s="71"/>
      <c r="U619" s="189"/>
      <c r="V619" s="125"/>
      <c r="W619" s="103"/>
      <c r="X619" s="71"/>
      <c r="Y619" s="137"/>
      <c r="Z619" s="180"/>
      <c r="AA619" s="181"/>
      <c r="AB619" s="182"/>
      <c r="AC619" s="137"/>
      <c r="AD619" s="125"/>
      <c r="AE619" s="162"/>
      <c r="AF619" s="183"/>
      <c r="AG619" s="195"/>
      <c r="AH619" s="195"/>
      <c r="AI619" s="195"/>
      <c r="AJ619" s="195"/>
      <c r="AK619" s="71"/>
      <c r="AL619" s="71"/>
      <c r="AM619" s="71"/>
      <c r="AN619" s="71"/>
      <c r="AO619" s="71"/>
    </row>
    <row r="620">
      <c r="A620" s="137"/>
      <c r="B620" s="138"/>
      <c r="C620" s="103"/>
      <c r="D620" s="71"/>
      <c r="E620" s="137"/>
      <c r="F620" s="138"/>
      <c r="G620" s="103"/>
      <c r="H620" s="71"/>
      <c r="I620" s="137"/>
      <c r="J620" s="138"/>
      <c r="K620" s="103"/>
      <c r="L620" s="71"/>
      <c r="M620" s="137"/>
      <c r="N620" s="125"/>
      <c r="O620" s="103"/>
      <c r="P620" s="71"/>
      <c r="Q620" s="189"/>
      <c r="R620" s="125"/>
      <c r="S620" s="103"/>
      <c r="T620" s="71"/>
      <c r="U620" s="189"/>
      <c r="V620" s="125"/>
      <c r="W620" s="103"/>
      <c r="X620" s="71"/>
      <c r="Y620" s="137"/>
      <c r="Z620" s="180"/>
      <c r="AA620" s="181"/>
      <c r="AB620" s="182"/>
      <c r="AC620" s="137"/>
      <c r="AD620" s="125"/>
      <c r="AE620" s="162"/>
      <c r="AF620" s="183"/>
      <c r="AG620" s="195"/>
      <c r="AH620" s="195"/>
      <c r="AI620" s="195"/>
      <c r="AJ620" s="195"/>
      <c r="AK620" s="71"/>
      <c r="AL620" s="71"/>
      <c r="AM620" s="71"/>
      <c r="AN620" s="71"/>
      <c r="AO620" s="71"/>
    </row>
    <row r="621">
      <c r="A621" s="137"/>
      <c r="B621" s="138"/>
      <c r="C621" s="103"/>
      <c r="D621" s="71"/>
      <c r="E621" s="137"/>
      <c r="F621" s="138"/>
      <c r="G621" s="103"/>
      <c r="H621" s="71"/>
      <c r="I621" s="137"/>
      <c r="J621" s="138"/>
      <c r="K621" s="103"/>
      <c r="L621" s="71"/>
      <c r="M621" s="137"/>
      <c r="N621" s="125"/>
      <c r="O621" s="103"/>
      <c r="P621" s="71"/>
      <c r="Q621" s="189"/>
      <c r="R621" s="125"/>
      <c r="S621" s="103"/>
      <c r="T621" s="71"/>
      <c r="U621" s="189"/>
      <c r="V621" s="125"/>
      <c r="W621" s="103"/>
      <c r="X621" s="71"/>
      <c r="Y621" s="137"/>
      <c r="Z621" s="180"/>
      <c r="AA621" s="181"/>
      <c r="AB621" s="182"/>
      <c r="AC621" s="137"/>
      <c r="AD621" s="125"/>
      <c r="AE621" s="162"/>
      <c r="AF621" s="183"/>
      <c r="AG621" s="195"/>
      <c r="AH621" s="195"/>
      <c r="AI621" s="195"/>
      <c r="AJ621" s="195"/>
      <c r="AK621" s="71"/>
      <c r="AL621" s="71"/>
      <c r="AM621" s="71"/>
      <c r="AN621" s="71"/>
      <c r="AO621" s="71"/>
    </row>
    <row r="622">
      <c r="A622" s="137"/>
      <c r="B622" s="138"/>
      <c r="C622" s="103"/>
      <c r="D622" s="71"/>
      <c r="E622" s="137"/>
      <c r="F622" s="138"/>
      <c r="G622" s="103"/>
      <c r="H622" s="71"/>
      <c r="I622" s="137"/>
      <c r="J622" s="138"/>
      <c r="K622" s="103"/>
      <c r="L622" s="71"/>
      <c r="M622" s="137"/>
      <c r="N622" s="125"/>
      <c r="O622" s="103"/>
      <c r="P622" s="71"/>
      <c r="Q622" s="189"/>
      <c r="R622" s="125"/>
      <c r="S622" s="103"/>
      <c r="T622" s="71"/>
      <c r="U622" s="189"/>
      <c r="V622" s="125"/>
      <c r="W622" s="103"/>
      <c r="X622" s="71"/>
      <c r="Y622" s="137"/>
      <c r="Z622" s="180"/>
      <c r="AA622" s="181"/>
      <c r="AB622" s="182"/>
      <c r="AC622" s="137"/>
      <c r="AD622" s="125"/>
      <c r="AE622" s="162"/>
      <c r="AF622" s="183"/>
      <c r="AG622" s="195"/>
      <c r="AH622" s="195"/>
      <c r="AI622" s="195"/>
      <c r="AJ622" s="195"/>
      <c r="AK622" s="71"/>
      <c r="AL622" s="71"/>
      <c r="AM622" s="71"/>
      <c r="AN622" s="71"/>
      <c r="AO622" s="71"/>
    </row>
    <row r="623">
      <c r="A623" s="137"/>
      <c r="B623" s="138"/>
      <c r="C623" s="103"/>
      <c r="D623" s="71"/>
      <c r="E623" s="137"/>
      <c r="F623" s="138"/>
      <c r="G623" s="103"/>
      <c r="H623" s="71"/>
      <c r="I623" s="137"/>
      <c r="J623" s="138"/>
      <c r="K623" s="103"/>
      <c r="L623" s="71"/>
      <c r="M623" s="137"/>
      <c r="N623" s="125"/>
      <c r="O623" s="103"/>
      <c r="P623" s="71"/>
      <c r="Q623" s="189"/>
      <c r="R623" s="125"/>
      <c r="S623" s="103"/>
      <c r="T623" s="71"/>
      <c r="U623" s="189"/>
      <c r="V623" s="125"/>
      <c r="W623" s="103"/>
      <c r="X623" s="71"/>
      <c r="Y623" s="137"/>
      <c r="Z623" s="180"/>
      <c r="AA623" s="181"/>
      <c r="AB623" s="182"/>
      <c r="AC623" s="137"/>
      <c r="AD623" s="125"/>
      <c r="AE623" s="162"/>
      <c r="AF623" s="183"/>
      <c r="AG623" s="195"/>
      <c r="AH623" s="195"/>
      <c r="AI623" s="195"/>
      <c r="AJ623" s="195"/>
      <c r="AK623" s="71"/>
      <c r="AL623" s="71"/>
      <c r="AM623" s="71"/>
      <c r="AN623" s="71"/>
      <c r="AO623" s="71"/>
    </row>
    <row r="624">
      <c r="A624" s="137"/>
      <c r="B624" s="138"/>
      <c r="C624" s="103"/>
      <c r="D624" s="71"/>
      <c r="E624" s="137"/>
      <c r="F624" s="138"/>
      <c r="G624" s="103"/>
      <c r="H624" s="71"/>
      <c r="I624" s="137"/>
      <c r="J624" s="138"/>
      <c r="K624" s="103"/>
      <c r="L624" s="71"/>
      <c r="M624" s="137"/>
      <c r="N624" s="125"/>
      <c r="O624" s="103"/>
      <c r="P624" s="71"/>
      <c r="Q624" s="189"/>
      <c r="R624" s="125"/>
      <c r="S624" s="103"/>
      <c r="T624" s="71"/>
      <c r="U624" s="189"/>
      <c r="V624" s="125"/>
      <c r="W624" s="103"/>
      <c r="X624" s="71"/>
      <c r="Y624" s="137"/>
      <c r="Z624" s="180"/>
      <c r="AA624" s="181"/>
      <c r="AB624" s="182"/>
      <c r="AC624" s="137"/>
      <c r="AD624" s="125"/>
      <c r="AE624" s="162"/>
      <c r="AF624" s="183"/>
      <c r="AG624" s="195"/>
      <c r="AH624" s="195"/>
      <c r="AI624" s="195"/>
      <c r="AJ624" s="195"/>
      <c r="AK624" s="71"/>
      <c r="AL624" s="71"/>
      <c r="AM624" s="71"/>
      <c r="AN624" s="71"/>
      <c r="AO624" s="71"/>
    </row>
    <row r="625">
      <c r="A625" s="137"/>
      <c r="B625" s="138"/>
      <c r="C625" s="103"/>
      <c r="D625" s="71"/>
      <c r="E625" s="137"/>
      <c r="F625" s="138"/>
      <c r="G625" s="103"/>
      <c r="H625" s="71"/>
      <c r="I625" s="137"/>
      <c r="J625" s="138"/>
      <c r="K625" s="103"/>
      <c r="L625" s="71"/>
      <c r="M625" s="137"/>
      <c r="N625" s="125"/>
      <c r="O625" s="103"/>
      <c r="P625" s="71"/>
      <c r="Q625" s="189"/>
      <c r="R625" s="125"/>
      <c r="S625" s="103"/>
      <c r="T625" s="71"/>
      <c r="U625" s="189"/>
      <c r="V625" s="125"/>
      <c r="W625" s="103"/>
      <c r="X625" s="71"/>
      <c r="Y625" s="137"/>
      <c r="Z625" s="180"/>
      <c r="AA625" s="181"/>
      <c r="AB625" s="182"/>
      <c r="AC625" s="137"/>
      <c r="AD625" s="125"/>
      <c r="AE625" s="162"/>
      <c r="AF625" s="183"/>
      <c r="AG625" s="195"/>
      <c r="AH625" s="195"/>
      <c r="AI625" s="195"/>
      <c r="AJ625" s="195"/>
      <c r="AK625" s="71"/>
      <c r="AL625" s="71"/>
      <c r="AM625" s="71"/>
      <c r="AN625" s="71"/>
      <c r="AO625" s="71"/>
    </row>
    <row r="626">
      <c r="A626" s="137"/>
      <c r="B626" s="138"/>
      <c r="C626" s="103"/>
      <c r="D626" s="71"/>
      <c r="E626" s="137"/>
      <c r="F626" s="138"/>
      <c r="G626" s="103"/>
      <c r="H626" s="71"/>
      <c r="I626" s="137"/>
      <c r="J626" s="138"/>
      <c r="K626" s="103"/>
      <c r="L626" s="71"/>
      <c r="M626" s="137"/>
      <c r="N626" s="125"/>
      <c r="O626" s="103"/>
      <c r="P626" s="71"/>
      <c r="Q626" s="189"/>
      <c r="R626" s="125"/>
      <c r="S626" s="103"/>
      <c r="T626" s="71"/>
      <c r="U626" s="189"/>
      <c r="V626" s="125"/>
      <c r="W626" s="103"/>
      <c r="X626" s="71"/>
      <c r="Y626" s="137"/>
      <c r="Z626" s="180"/>
      <c r="AA626" s="181"/>
      <c r="AB626" s="182"/>
      <c r="AC626" s="137"/>
      <c r="AD626" s="125"/>
      <c r="AE626" s="162"/>
      <c r="AF626" s="183"/>
      <c r="AG626" s="195"/>
      <c r="AH626" s="195"/>
      <c r="AI626" s="195"/>
      <c r="AJ626" s="195"/>
      <c r="AK626" s="71"/>
      <c r="AL626" s="71"/>
      <c r="AM626" s="71"/>
      <c r="AN626" s="71"/>
      <c r="AO626" s="71"/>
    </row>
    <row r="627">
      <c r="A627" s="137"/>
      <c r="B627" s="138"/>
      <c r="C627" s="103"/>
      <c r="D627" s="71"/>
      <c r="E627" s="137"/>
      <c r="F627" s="138"/>
      <c r="G627" s="103"/>
      <c r="H627" s="71"/>
      <c r="I627" s="137"/>
      <c r="J627" s="138"/>
      <c r="K627" s="103"/>
      <c r="L627" s="71"/>
      <c r="M627" s="137"/>
      <c r="N627" s="125"/>
      <c r="O627" s="103"/>
      <c r="P627" s="71"/>
      <c r="Q627" s="189"/>
      <c r="R627" s="125"/>
      <c r="S627" s="103"/>
      <c r="T627" s="71"/>
      <c r="U627" s="189"/>
      <c r="V627" s="125"/>
      <c r="W627" s="103"/>
      <c r="X627" s="71"/>
      <c r="Y627" s="137"/>
      <c r="Z627" s="180"/>
      <c r="AA627" s="181"/>
      <c r="AB627" s="182"/>
      <c r="AC627" s="137"/>
      <c r="AD627" s="125"/>
      <c r="AE627" s="162"/>
      <c r="AF627" s="183"/>
      <c r="AG627" s="195"/>
      <c r="AH627" s="195"/>
      <c r="AI627" s="195"/>
      <c r="AJ627" s="195"/>
      <c r="AK627" s="71"/>
      <c r="AL627" s="71"/>
      <c r="AM627" s="71"/>
      <c r="AN627" s="71"/>
      <c r="AO627" s="71"/>
    </row>
    <row r="628">
      <c r="A628" s="137"/>
      <c r="B628" s="138"/>
      <c r="C628" s="103"/>
      <c r="D628" s="71"/>
      <c r="E628" s="137"/>
      <c r="F628" s="138"/>
      <c r="G628" s="103"/>
      <c r="H628" s="71"/>
      <c r="I628" s="137"/>
      <c r="J628" s="138"/>
      <c r="K628" s="103"/>
      <c r="L628" s="71"/>
      <c r="M628" s="137"/>
      <c r="N628" s="125"/>
      <c r="O628" s="103"/>
      <c r="P628" s="71"/>
      <c r="Q628" s="189"/>
      <c r="R628" s="125"/>
      <c r="S628" s="103"/>
      <c r="T628" s="71"/>
      <c r="U628" s="189"/>
      <c r="V628" s="125"/>
      <c r="W628" s="103"/>
      <c r="X628" s="71"/>
      <c r="Y628" s="137"/>
      <c r="Z628" s="180"/>
      <c r="AA628" s="181"/>
      <c r="AB628" s="182"/>
      <c r="AC628" s="137"/>
      <c r="AD628" s="125"/>
      <c r="AE628" s="162"/>
      <c r="AF628" s="183"/>
      <c r="AG628" s="195"/>
      <c r="AH628" s="195"/>
      <c r="AI628" s="195"/>
      <c r="AJ628" s="195"/>
      <c r="AK628" s="71"/>
      <c r="AL628" s="71"/>
      <c r="AM628" s="71"/>
      <c r="AN628" s="71"/>
      <c r="AO628" s="71"/>
    </row>
    <row r="629">
      <c r="A629" s="137"/>
      <c r="B629" s="138"/>
      <c r="C629" s="103"/>
      <c r="D629" s="71"/>
      <c r="E629" s="137"/>
      <c r="F629" s="138"/>
      <c r="G629" s="103"/>
      <c r="H629" s="71"/>
      <c r="I629" s="137"/>
      <c r="J629" s="138"/>
      <c r="K629" s="103"/>
      <c r="L629" s="71"/>
      <c r="M629" s="137"/>
      <c r="N629" s="125"/>
      <c r="O629" s="103"/>
      <c r="P629" s="71"/>
      <c r="Q629" s="189"/>
      <c r="R629" s="125"/>
      <c r="S629" s="103"/>
      <c r="T629" s="71"/>
      <c r="U629" s="189"/>
      <c r="V629" s="125"/>
      <c r="W629" s="103"/>
      <c r="X629" s="71"/>
      <c r="Y629" s="137"/>
      <c r="Z629" s="180"/>
      <c r="AA629" s="181"/>
      <c r="AB629" s="182"/>
      <c r="AC629" s="137"/>
      <c r="AD629" s="125"/>
      <c r="AE629" s="162"/>
      <c r="AF629" s="183"/>
      <c r="AG629" s="195"/>
      <c r="AH629" s="195"/>
      <c r="AI629" s="195"/>
      <c r="AJ629" s="195"/>
      <c r="AK629" s="71"/>
      <c r="AL629" s="71"/>
      <c r="AM629" s="71"/>
      <c r="AN629" s="71"/>
      <c r="AO629" s="71"/>
    </row>
    <row r="630">
      <c r="A630" s="137"/>
      <c r="B630" s="138"/>
      <c r="C630" s="103"/>
      <c r="D630" s="71"/>
      <c r="E630" s="137"/>
      <c r="F630" s="138"/>
      <c r="G630" s="103"/>
      <c r="H630" s="71"/>
      <c r="I630" s="137"/>
      <c r="J630" s="138"/>
      <c r="K630" s="103"/>
      <c r="L630" s="71"/>
      <c r="M630" s="137"/>
      <c r="N630" s="125"/>
      <c r="O630" s="103"/>
      <c r="P630" s="71"/>
      <c r="Q630" s="189"/>
      <c r="R630" s="125"/>
      <c r="S630" s="103"/>
      <c r="T630" s="71"/>
      <c r="U630" s="189"/>
      <c r="V630" s="125"/>
      <c r="W630" s="103"/>
      <c r="X630" s="71"/>
      <c r="Y630" s="137"/>
      <c r="Z630" s="180"/>
      <c r="AA630" s="181"/>
      <c r="AB630" s="182"/>
      <c r="AC630" s="137"/>
      <c r="AD630" s="125"/>
      <c r="AE630" s="162"/>
      <c r="AF630" s="183"/>
      <c r="AG630" s="195"/>
      <c r="AH630" s="195"/>
      <c r="AI630" s="195"/>
      <c r="AJ630" s="195"/>
      <c r="AK630" s="71"/>
      <c r="AL630" s="71"/>
      <c r="AM630" s="71"/>
      <c r="AN630" s="71"/>
      <c r="AO630" s="71"/>
    </row>
    <row r="631">
      <c r="A631" s="137"/>
      <c r="B631" s="138"/>
      <c r="C631" s="103"/>
      <c r="D631" s="71"/>
      <c r="E631" s="137"/>
      <c r="F631" s="138"/>
      <c r="G631" s="103"/>
      <c r="H631" s="71"/>
      <c r="I631" s="137"/>
      <c r="J631" s="138"/>
      <c r="K631" s="103"/>
      <c r="L631" s="71"/>
      <c r="M631" s="137"/>
      <c r="N631" s="125"/>
      <c r="O631" s="103"/>
      <c r="P631" s="71"/>
      <c r="Q631" s="189"/>
      <c r="R631" s="125"/>
      <c r="S631" s="103"/>
      <c r="T631" s="71"/>
      <c r="U631" s="189"/>
      <c r="V631" s="125"/>
      <c r="W631" s="103"/>
      <c r="X631" s="71"/>
      <c r="Y631" s="137"/>
      <c r="Z631" s="180"/>
      <c r="AA631" s="181"/>
      <c r="AB631" s="182"/>
      <c r="AC631" s="137"/>
      <c r="AD631" s="125"/>
      <c r="AE631" s="162"/>
      <c r="AF631" s="183"/>
      <c r="AG631" s="195"/>
      <c r="AH631" s="195"/>
      <c r="AI631" s="195"/>
      <c r="AJ631" s="195"/>
      <c r="AK631" s="71"/>
      <c r="AL631" s="71"/>
      <c r="AM631" s="71"/>
      <c r="AN631" s="71"/>
      <c r="AO631" s="71"/>
    </row>
    <row r="632">
      <c r="A632" s="137"/>
      <c r="B632" s="138"/>
      <c r="C632" s="103"/>
      <c r="D632" s="71"/>
      <c r="E632" s="137"/>
      <c r="F632" s="138"/>
      <c r="G632" s="103"/>
      <c r="H632" s="71"/>
      <c r="I632" s="137"/>
      <c r="J632" s="138"/>
      <c r="K632" s="103"/>
      <c r="L632" s="71"/>
      <c r="M632" s="137"/>
      <c r="N632" s="125"/>
      <c r="O632" s="103"/>
      <c r="P632" s="71"/>
      <c r="Q632" s="189"/>
      <c r="R632" s="125"/>
      <c r="S632" s="103"/>
      <c r="T632" s="71"/>
      <c r="U632" s="189"/>
      <c r="V632" s="125"/>
      <c r="W632" s="103"/>
      <c r="X632" s="71"/>
      <c r="Y632" s="137"/>
      <c r="Z632" s="180"/>
      <c r="AA632" s="181"/>
      <c r="AB632" s="182"/>
      <c r="AC632" s="137"/>
      <c r="AD632" s="125"/>
      <c r="AE632" s="162"/>
      <c r="AF632" s="183"/>
      <c r="AG632" s="195"/>
      <c r="AH632" s="195"/>
      <c r="AI632" s="195"/>
      <c r="AJ632" s="195"/>
      <c r="AK632" s="71"/>
      <c r="AL632" s="71"/>
      <c r="AM632" s="71"/>
      <c r="AN632" s="71"/>
      <c r="AO632" s="71"/>
    </row>
    <row r="633">
      <c r="A633" s="137"/>
      <c r="B633" s="138"/>
      <c r="C633" s="103"/>
      <c r="D633" s="71"/>
      <c r="E633" s="137"/>
      <c r="F633" s="138"/>
      <c r="G633" s="103"/>
      <c r="H633" s="71"/>
      <c r="I633" s="137"/>
      <c r="J633" s="138"/>
      <c r="K633" s="103"/>
      <c r="L633" s="71"/>
      <c r="M633" s="137"/>
      <c r="N633" s="125"/>
      <c r="O633" s="103"/>
      <c r="P633" s="71"/>
      <c r="Q633" s="189"/>
      <c r="R633" s="125"/>
      <c r="S633" s="103"/>
      <c r="T633" s="71"/>
      <c r="U633" s="189"/>
      <c r="V633" s="125"/>
      <c r="W633" s="103"/>
      <c r="X633" s="71"/>
      <c r="Y633" s="137"/>
      <c r="Z633" s="180"/>
      <c r="AA633" s="181"/>
      <c r="AB633" s="182"/>
      <c r="AC633" s="137"/>
      <c r="AD633" s="125"/>
      <c r="AE633" s="162"/>
      <c r="AF633" s="183"/>
      <c r="AG633" s="195"/>
      <c r="AH633" s="195"/>
      <c r="AI633" s="195"/>
      <c r="AJ633" s="195"/>
      <c r="AK633" s="71"/>
      <c r="AL633" s="71"/>
      <c r="AM633" s="71"/>
      <c r="AN633" s="71"/>
      <c r="AO633" s="71"/>
    </row>
    <row r="634">
      <c r="A634" s="137"/>
      <c r="B634" s="138"/>
      <c r="C634" s="103"/>
      <c r="D634" s="71"/>
      <c r="E634" s="137"/>
      <c r="F634" s="138"/>
      <c r="G634" s="103"/>
      <c r="H634" s="71"/>
      <c r="I634" s="137"/>
      <c r="J634" s="138"/>
      <c r="K634" s="103"/>
      <c r="L634" s="71"/>
      <c r="M634" s="137"/>
      <c r="N634" s="125"/>
      <c r="O634" s="103"/>
      <c r="P634" s="71"/>
      <c r="Q634" s="189"/>
      <c r="R634" s="125"/>
      <c r="S634" s="103"/>
      <c r="T634" s="71"/>
      <c r="U634" s="189"/>
      <c r="V634" s="125"/>
      <c r="W634" s="103"/>
      <c r="X634" s="71"/>
      <c r="Y634" s="137"/>
      <c r="Z634" s="180"/>
      <c r="AA634" s="181"/>
      <c r="AB634" s="182"/>
      <c r="AC634" s="137"/>
      <c r="AD634" s="125"/>
      <c r="AE634" s="162"/>
      <c r="AF634" s="183"/>
      <c r="AG634" s="195"/>
      <c r="AH634" s="195"/>
      <c r="AI634" s="195"/>
      <c r="AJ634" s="195"/>
      <c r="AK634" s="71"/>
      <c r="AL634" s="71"/>
      <c r="AM634" s="71"/>
      <c r="AN634" s="71"/>
      <c r="AO634" s="71"/>
    </row>
    <row r="635">
      <c r="A635" s="137"/>
      <c r="B635" s="138"/>
      <c r="C635" s="103"/>
      <c r="D635" s="71"/>
      <c r="E635" s="137"/>
      <c r="F635" s="138"/>
      <c r="G635" s="103"/>
      <c r="H635" s="71"/>
      <c r="I635" s="137"/>
      <c r="J635" s="138"/>
      <c r="K635" s="103"/>
      <c r="L635" s="71"/>
      <c r="M635" s="137"/>
      <c r="N635" s="125"/>
      <c r="O635" s="103"/>
      <c r="P635" s="71"/>
      <c r="Q635" s="189"/>
      <c r="R635" s="125"/>
      <c r="S635" s="103"/>
      <c r="T635" s="71"/>
      <c r="U635" s="189"/>
      <c r="V635" s="125"/>
      <c r="W635" s="103"/>
      <c r="X635" s="71"/>
      <c r="Y635" s="137"/>
      <c r="Z635" s="180"/>
      <c r="AA635" s="181"/>
      <c r="AB635" s="182"/>
      <c r="AC635" s="137"/>
      <c r="AD635" s="125"/>
      <c r="AE635" s="162"/>
      <c r="AF635" s="183"/>
      <c r="AG635" s="195"/>
      <c r="AH635" s="195"/>
      <c r="AI635" s="195"/>
      <c r="AJ635" s="195"/>
      <c r="AK635" s="71"/>
      <c r="AL635" s="71"/>
      <c r="AM635" s="71"/>
      <c r="AN635" s="71"/>
      <c r="AO635" s="71"/>
    </row>
    <row r="636">
      <c r="A636" s="137"/>
      <c r="B636" s="138"/>
      <c r="C636" s="103"/>
      <c r="D636" s="71"/>
      <c r="E636" s="137"/>
      <c r="F636" s="138"/>
      <c r="G636" s="103"/>
      <c r="H636" s="71"/>
      <c r="I636" s="137"/>
      <c r="J636" s="138"/>
      <c r="K636" s="103"/>
      <c r="L636" s="71"/>
      <c r="M636" s="137"/>
      <c r="N636" s="125"/>
      <c r="O636" s="103"/>
      <c r="P636" s="71"/>
      <c r="Q636" s="189"/>
      <c r="R636" s="125"/>
      <c r="S636" s="103"/>
      <c r="T636" s="71"/>
      <c r="U636" s="189"/>
      <c r="V636" s="125"/>
      <c r="W636" s="103"/>
      <c r="X636" s="71"/>
      <c r="Y636" s="137"/>
      <c r="Z636" s="180"/>
      <c r="AA636" s="181"/>
      <c r="AB636" s="182"/>
      <c r="AC636" s="137"/>
      <c r="AD636" s="125"/>
      <c r="AE636" s="162"/>
      <c r="AF636" s="183"/>
      <c r="AG636" s="195"/>
      <c r="AH636" s="195"/>
      <c r="AI636" s="195"/>
      <c r="AJ636" s="195"/>
      <c r="AK636" s="71"/>
      <c r="AL636" s="71"/>
      <c r="AM636" s="71"/>
      <c r="AN636" s="71"/>
      <c r="AO636" s="71"/>
    </row>
    <row r="637">
      <c r="A637" s="137"/>
      <c r="B637" s="138"/>
      <c r="C637" s="103"/>
      <c r="D637" s="71"/>
      <c r="E637" s="137"/>
      <c r="F637" s="138"/>
      <c r="G637" s="103"/>
      <c r="H637" s="71"/>
      <c r="I637" s="137"/>
      <c r="J637" s="138"/>
      <c r="K637" s="103"/>
      <c r="L637" s="71"/>
      <c r="M637" s="137"/>
      <c r="N637" s="125"/>
      <c r="O637" s="103"/>
      <c r="P637" s="71"/>
      <c r="Q637" s="189"/>
      <c r="R637" s="125"/>
      <c r="S637" s="103"/>
      <c r="T637" s="71"/>
      <c r="U637" s="189"/>
      <c r="V637" s="125"/>
      <c r="W637" s="103"/>
      <c r="X637" s="71"/>
      <c r="Y637" s="137"/>
      <c r="Z637" s="180"/>
      <c r="AA637" s="181"/>
      <c r="AB637" s="182"/>
      <c r="AC637" s="137"/>
      <c r="AD637" s="125"/>
      <c r="AE637" s="162"/>
      <c r="AF637" s="183"/>
      <c r="AG637" s="195"/>
      <c r="AH637" s="195"/>
      <c r="AI637" s="195"/>
      <c r="AJ637" s="195"/>
      <c r="AK637" s="71"/>
      <c r="AL637" s="71"/>
      <c r="AM637" s="71"/>
      <c r="AN637" s="71"/>
      <c r="AO637" s="71"/>
    </row>
    <row r="638">
      <c r="A638" s="137"/>
      <c r="B638" s="138"/>
      <c r="C638" s="103"/>
      <c r="D638" s="71"/>
      <c r="E638" s="137"/>
      <c r="F638" s="138"/>
      <c r="G638" s="103"/>
      <c r="H638" s="71"/>
      <c r="I638" s="137"/>
      <c r="J638" s="138"/>
      <c r="K638" s="103"/>
      <c r="L638" s="71"/>
      <c r="M638" s="137"/>
      <c r="N638" s="125"/>
      <c r="O638" s="103"/>
      <c r="P638" s="71"/>
      <c r="Q638" s="189"/>
      <c r="R638" s="125"/>
      <c r="S638" s="103"/>
      <c r="T638" s="71"/>
      <c r="U638" s="189"/>
      <c r="V638" s="125"/>
      <c r="W638" s="103"/>
      <c r="X638" s="71"/>
      <c r="Y638" s="137"/>
      <c r="Z638" s="180"/>
      <c r="AA638" s="181"/>
      <c r="AB638" s="182"/>
      <c r="AC638" s="137"/>
      <c r="AD638" s="125"/>
      <c r="AE638" s="162"/>
      <c r="AF638" s="183"/>
      <c r="AG638" s="195"/>
      <c r="AH638" s="195"/>
      <c r="AI638" s="195"/>
      <c r="AJ638" s="195"/>
      <c r="AK638" s="71"/>
      <c r="AL638" s="71"/>
      <c r="AM638" s="71"/>
      <c r="AN638" s="71"/>
      <c r="AO638" s="71"/>
    </row>
    <row r="639">
      <c r="A639" s="137"/>
      <c r="B639" s="138"/>
      <c r="C639" s="103"/>
      <c r="D639" s="71"/>
      <c r="E639" s="137"/>
      <c r="F639" s="138"/>
      <c r="G639" s="103"/>
      <c r="H639" s="71"/>
      <c r="I639" s="137"/>
      <c r="J639" s="138"/>
      <c r="K639" s="103"/>
      <c r="L639" s="71"/>
      <c r="M639" s="137"/>
      <c r="N639" s="125"/>
      <c r="O639" s="103"/>
      <c r="P639" s="71"/>
      <c r="Q639" s="189"/>
      <c r="R639" s="125"/>
      <c r="S639" s="103"/>
      <c r="T639" s="71"/>
      <c r="U639" s="189"/>
      <c r="V639" s="125"/>
      <c r="W639" s="103"/>
      <c r="X639" s="71"/>
      <c r="Y639" s="137"/>
      <c r="Z639" s="180"/>
      <c r="AA639" s="181"/>
      <c r="AB639" s="182"/>
      <c r="AC639" s="137"/>
      <c r="AD639" s="125"/>
      <c r="AE639" s="162"/>
      <c r="AF639" s="183"/>
      <c r="AG639" s="195"/>
      <c r="AH639" s="195"/>
      <c r="AI639" s="195"/>
      <c r="AJ639" s="195"/>
      <c r="AK639" s="71"/>
      <c r="AL639" s="71"/>
      <c r="AM639" s="71"/>
      <c r="AN639" s="71"/>
      <c r="AO639" s="71"/>
    </row>
    <row r="640">
      <c r="A640" s="137"/>
      <c r="B640" s="138"/>
      <c r="C640" s="103"/>
      <c r="D640" s="71"/>
      <c r="E640" s="137"/>
      <c r="F640" s="138"/>
      <c r="G640" s="103"/>
      <c r="H640" s="71"/>
      <c r="I640" s="137"/>
      <c r="J640" s="138"/>
      <c r="K640" s="103"/>
      <c r="L640" s="71"/>
      <c r="M640" s="137"/>
      <c r="N640" s="125"/>
      <c r="O640" s="103"/>
      <c r="P640" s="71"/>
      <c r="Q640" s="189"/>
      <c r="R640" s="125"/>
      <c r="S640" s="103"/>
      <c r="T640" s="71"/>
      <c r="U640" s="189"/>
      <c r="V640" s="125"/>
      <c r="W640" s="103"/>
      <c r="X640" s="71"/>
      <c r="Y640" s="137"/>
      <c r="Z640" s="180"/>
      <c r="AA640" s="181"/>
      <c r="AB640" s="182"/>
      <c r="AC640" s="137"/>
      <c r="AD640" s="125"/>
      <c r="AE640" s="162"/>
      <c r="AF640" s="183"/>
      <c r="AG640" s="195"/>
      <c r="AH640" s="195"/>
      <c r="AI640" s="195"/>
      <c r="AJ640" s="195"/>
      <c r="AK640" s="71"/>
      <c r="AL640" s="71"/>
      <c r="AM640" s="71"/>
      <c r="AN640" s="71"/>
      <c r="AO640" s="71"/>
    </row>
    <row r="641">
      <c r="A641" s="137"/>
      <c r="B641" s="138"/>
      <c r="C641" s="103"/>
      <c r="D641" s="71"/>
      <c r="E641" s="137"/>
      <c r="F641" s="138"/>
      <c r="G641" s="103"/>
      <c r="H641" s="71"/>
      <c r="I641" s="137"/>
      <c r="J641" s="138"/>
      <c r="K641" s="103"/>
      <c r="L641" s="71"/>
      <c r="M641" s="137"/>
      <c r="N641" s="125"/>
      <c r="O641" s="103"/>
      <c r="P641" s="71"/>
      <c r="Q641" s="189"/>
      <c r="R641" s="125"/>
      <c r="S641" s="103"/>
      <c r="T641" s="71"/>
      <c r="U641" s="189"/>
      <c r="V641" s="125"/>
      <c r="W641" s="103"/>
      <c r="X641" s="71"/>
      <c r="Y641" s="137"/>
      <c r="Z641" s="180"/>
      <c r="AA641" s="181"/>
      <c r="AB641" s="182"/>
      <c r="AC641" s="137"/>
      <c r="AD641" s="125"/>
      <c r="AE641" s="162"/>
      <c r="AF641" s="183"/>
      <c r="AG641" s="195"/>
      <c r="AH641" s="195"/>
      <c r="AI641" s="195"/>
      <c r="AJ641" s="195"/>
      <c r="AK641" s="71"/>
      <c r="AL641" s="71"/>
      <c r="AM641" s="71"/>
      <c r="AN641" s="71"/>
      <c r="AO641" s="71"/>
    </row>
    <row r="642">
      <c r="A642" s="137"/>
      <c r="B642" s="138"/>
      <c r="C642" s="103"/>
      <c r="D642" s="71"/>
      <c r="E642" s="137"/>
      <c r="F642" s="138"/>
      <c r="G642" s="103"/>
      <c r="H642" s="71"/>
      <c r="I642" s="137"/>
      <c r="J642" s="138"/>
      <c r="K642" s="103"/>
      <c r="L642" s="71"/>
      <c r="M642" s="137"/>
      <c r="N642" s="125"/>
      <c r="O642" s="103"/>
      <c r="P642" s="71"/>
      <c r="Q642" s="189"/>
      <c r="R642" s="125"/>
      <c r="S642" s="103"/>
      <c r="T642" s="71"/>
      <c r="U642" s="189"/>
      <c r="V642" s="125"/>
      <c r="W642" s="103"/>
      <c r="X642" s="71"/>
      <c r="Y642" s="137"/>
      <c r="Z642" s="180"/>
      <c r="AA642" s="181"/>
      <c r="AB642" s="182"/>
      <c r="AC642" s="137"/>
      <c r="AD642" s="125"/>
      <c r="AE642" s="162"/>
      <c r="AF642" s="183"/>
      <c r="AG642" s="195"/>
      <c r="AH642" s="195"/>
      <c r="AI642" s="195"/>
      <c r="AJ642" s="195"/>
      <c r="AK642" s="71"/>
      <c r="AL642" s="71"/>
      <c r="AM642" s="71"/>
      <c r="AN642" s="71"/>
      <c r="AO642" s="71"/>
    </row>
    <row r="643">
      <c r="A643" s="137"/>
      <c r="B643" s="138"/>
      <c r="C643" s="103"/>
      <c r="D643" s="71"/>
      <c r="E643" s="137"/>
      <c r="F643" s="138"/>
      <c r="G643" s="103"/>
      <c r="H643" s="71"/>
      <c r="I643" s="137"/>
      <c r="J643" s="138"/>
      <c r="K643" s="103"/>
      <c r="L643" s="71"/>
      <c r="M643" s="137"/>
      <c r="N643" s="125"/>
      <c r="O643" s="103"/>
      <c r="P643" s="71"/>
      <c r="Q643" s="189"/>
      <c r="R643" s="125"/>
      <c r="S643" s="103"/>
      <c r="T643" s="71"/>
      <c r="U643" s="189"/>
      <c r="V643" s="125"/>
      <c r="W643" s="103"/>
      <c r="X643" s="71"/>
      <c r="Y643" s="137"/>
      <c r="Z643" s="180"/>
      <c r="AA643" s="181"/>
      <c r="AB643" s="182"/>
      <c r="AC643" s="137"/>
      <c r="AD643" s="125"/>
      <c r="AE643" s="162"/>
      <c r="AF643" s="183"/>
      <c r="AG643" s="195"/>
      <c r="AH643" s="195"/>
      <c r="AI643" s="195"/>
      <c r="AJ643" s="195"/>
      <c r="AK643" s="71"/>
      <c r="AL643" s="71"/>
      <c r="AM643" s="71"/>
      <c r="AN643" s="71"/>
      <c r="AO643" s="71"/>
    </row>
    <row r="644">
      <c r="A644" s="137"/>
      <c r="B644" s="138"/>
      <c r="C644" s="103"/>
      <c r="D644" s="71"/>
      <c r="E644" s="137"/>
      <c r="F644" s="138"/>
      <c r="G644" s="103"/>
      <c r="H644" s="71"/>
      <c r="I644" s="137"/>
      <c r="J644" s="138"/>
      <c r="K644" s="103"/>
      <c r="L644" s="71"/>
      <c r="M644" s="137"/>
      <c r="N644" s="125"/>
      <c r="O644" s="103"/>
      <c r="P644" s="71"/>
      <c r="Q644" s="189"/>
      <c r="R644" s="125"/>
      <c r="S644" s="103"/>
      <c r="T644" s="71"/>
      <c r="U644" s="189"/>
      <c r="V644" s="125"/>
      <c r="W644" s="103"/>
      <c r="X644" s="71"/>
      <c r="Y644" s="137"/>
      <c r="Z644" s="180"/>
      <c r="AA644" s="181"/>
      <c r="AB644" s="182"/>
      <c r="AC644" s="137"/>
      <c r="AD644" s="125"/>
      <c r="AE644" s="162"/>
      <c r="AF644" s="183"/>
      <c r="AG644" s="195"/>
      <c r="AH644" s="195"/>
      <c r="AI644" s="195"/>
      <c r="AJ644" s="195"/>
      <c r="AK644" s="71"/>
      <c r="AL644" s="71"/>
      <c r="AM644" s="71"/>
      <c r="AN644" s="71"/>
      <c r="AO644" s="71"/>
    </row>
    <row r="645">
      <c r="A645" s="137"/>
      <c r="B645" s="138"/>
      <c r="C645" s="103"/>
      <c r="D645" s="71"/>
      <c r="E645" s="137"/>
      <c r="F645" s="138"/>
      <c r="G645" s="103"/>
      <c r="H645" s="71"/>
      <c r="I645" s="137"/>
      <c r="J645" s="138"/>
      <c r="K645" s="103"/>
      <c r="L645" s="71"/>
      <c r="M645" s="137"/>
      <c r="N645" s="125"/>
      <c r="O645" s="103"/>
      <c r="P645" s="71"/>
      <c r="Q645" s="189"/>
      <c r="R645" s="125"/>
      <c r="S645" s="103"/>
      <c r="T645" s="71"/>
      <c r="U645" s="189"/>
      <c r="V645" s="125"/>
      <c r="W645" s="103"/>
      <c r="X645" s="71"/>
      <c r="Y645" s="137"/>
      <c r="Z645" s="180"/>
      <c r="AA645" s="181"/>
      <c r="AB645" s="182"/>
      <c r="AC645" s="137"/>
      <c r="AD645" s="125"/>
      <c r="AE645" s="162"/>
      <c r="AF645" s="183"/>
      <c r="AG645" s="195"/>
      <c r="AH645" s="195"/>
      <c r="AI645" s="195"/>
      <c r="AJ645" s="195"/>
      <c r="AK645" s="71"/>
      <c r="AL645" s="71"/>
      <c r="AM645" s="71"/>
      <c r="AN645" s="71"/>
      <c r="AO645" s="71"/>
    </row>
    <row r="646">
      <c r="A646" s="137"/>
      <c r="B646" s="138"/>
      <c r="C646" s="103"/>
      <c r="D646" s="71"/>
      <c r="E646" s="137"/>
      <c r="F646" s="138"/>
      <c r="G646" s="103"/>
      <c r="H646" s="71"/>
      <c r="I646" s="137"/>
      <c r="J646" s="138"/>
      <c r="K646" s="103"/>
      <c r="L646" s="71"/>
      <c r="M646" s="137"/>
      <c r="N646" s="125"/>
      <c r="O646" s="103"/>
      <c r="P646" s="71"/>
      <c r="Q646" s="189"/>
      <c r="R646" s="125"/>
      <c r="S646" s="103"/>
      <c r="T646" s="71"/>
      <c r="U646" s="189"/>
      <c r="V646" s="125"/>
      <c r="W646" s="103"/>
      <c r="X646" s="71"/>
      <c r="Y646" s="137"/>
      <c r="Z646" s="180"/>
      <c r="AA646" s="181"/>
      <c r="AB646" s="182"/>
      <c r="AC646" s="137"/>
      <c r="AD646" s="125"/>
      <c r="AE646" s="162"/>
      <c r="AF646" s="183"/>
      <c r="AG646" s="195"/>
      <c r="AH646" s="195"/>
      <c r="AI646" s="195"/>
      <c r="AJ646" s="195"/>
      <c r="AK646" s="71"/>
      <c r="AL646" s="71"/>
      <c r="AM646" s="71"/>
      <c r="AN646" s="71"/>
      <c r="AO646" s="71"/>
    </row>
    <row r="647">
      <c r="A647" s="137"/>
      <c r="B647" s="138"/>
      <c r="C647" s="103"/>
      <c r="D647" s="71"/>
      <c r="E647" s="137"/>
      <c r="F647" s="138"/>
      <c r="G647" s="103"/>
      <c r="H647" s="71"/>
      <c r="I647" s="137"/>
      <c r="J647" s="138"/>
      <c r="K647" s="103"/>
      <c r="L647" s="71"/>
      <c r="M647" s="137"/>
      <c r="N647" s="125"/>
      <c r="O647" s="103"/>
      <c r="P647" s="71"/>
      <c r="Q647" s="189"/>
      <c r="R647" s="125"/>
      <c r="S647" s="103"/>
      <c r="T647" s="71"/>
      <c r="U647" s="189"/>
      <c r="V647" s="125"/>
      <c r="W647" s="103"/>
      <c r="X647" s="71"/>
      <c r="Y647" s="137"/>
      <c r="Z647" s="180"/>
      <c r="AA647" s="181"/>
      <c r="AB647" s="182"/>
      <c r="AC647" s="137"/>
      <c r="AD647" s="125"/>
      <c r="AE647" s="162"/>
      <c r="AF647" s="183"/>
      <c r="AG647" s="195"/>
      <c r="AH647" s="195"/>
      <c r="AI647" s="195"/>
      <c r="AJ647" s="195"/>
      <c r="AK647" s="71"/>
      <c r="AL647" s="71"/>
      <c r="AM647" s="71"/>
      <c r="AN647" s="71"/>
      <c r="AO647" s="71"/>
    </row>
    <row r="648">
      <c r="A648" s="137"/>
      <c r="B648" s="138"/>
      <c r="C648" s="103"/>
      <c r="D648" s="71"/>
      <c r="E648" s="137"/>
      <c r="F648" s="138"/>
      <c r="G648" s="103"/>
      <c r="H648" s="71"/>
      <c r="I648" s="137"/>
      <c r="J648" s="138"/>
      <c r="K648" s="103"/>
      <c r="L648" s="71"/>
      <c r="M648" s="137"/>
      <c r="N648" s="125"/>
      <c r="O648" s="103"/>
      <c r="P648" s="71"/>
      <c r="Q648" s="189"/>
      <c r="R648" s="125"/>
      <c r="S648" s="103"/>
      <c r="T648" s="71"/>
      <c r="U648" s="189"/>
      <c r="V648" s="125"/>
      <c r="W648" s="103"/>
      <c r="X648" s="71"/>
      <c r="Y648" s="137"/>
      <c r="Z648" s="180"/>
      <c r="AA648" s="181"/>
      <c r="AB648" s="182"/>
      <c r="AC648" s="137"/>
      <c r="AD648" s="125"/>
      <c r="AE648" s="162"/>
      <c r="AF648" s="183"/>
      <c r="AG648" s="195"/>
      <c r="AH648" s="195"/>
      <c r="AI648" s="195"/>
      <c r="AJ648" s="195"/>
      <c r="AK648" s="71"/>
      <c r="AL648" s="71"/>
      <c r="AM648" s="71"/>
      <c r="AN648" s="71"/>
      <c r="AO648" s="71"/>
    </row>
    <row r="649">
      <c r="A649" s="137"/>
      <c r="B649" s="138"/>
      <c r="C649" s="103"/>
      <c r="D649" s="71"/>
      <c r="E649" s="137"/>
      <c r="F649" s="138"/>
      <c r="G649" s="103"/>
      <c r="H649" s="71"/>
      <c r="I649" s="137"/>
      <c r="J649" s="138"/>
      <c r="K649" s="103"/>
      <c r="L649" s="71"/>
      <c r="M649" s="137"/>
      <c r="N649" s="125"/>
      <c r="O649" s="103"/>
      <c r="P649" s="71"/>
      <c r="Q649" s="189"/>
      <c r="R649" s="125"/>
      <c r="S649" s="103"/>
      <c r="T649" s="71"/>
      <c r="U649" s="189"/>
      <c r="V649" s="125"/>
      <c r="W649" s="103"/>
      <c r="X649" s="71"/>
      <c r="Y649" s="137"/>
      <c r="Z649" s="180"/>
      <c r="AA649" s="181"/>
      <c r="AB649" s="182"/>
      <c r="AC649" s="137"/>
      <c r="AD649" s="125"/>
      <c r="AE649" s="162"/>
      <c r="AF649" s="183"/>
      <c r="AG649" s="195"/>
      <c r="AH649" s="195"/>
      <c r="AI649" s="195"/>
      <c r="AJ649" s="195"/>
      <c r="AK649" s="71"/>
      <c r="AL649" s="71"/>
      <c r="AM649" s="71"/>
      <c r="AN649" s="71"/>
      <c r="AO649" s="71"/>
    </row>
    <row r="650">
      <c r="A650" s="137"/>
      <c r="B650" s="138"/>
      <c r="C650" s="103"/>
      <c r="D650" s="71"/>
      <c r="E650" s="137"/>
      <c r="F650" s="138"/>
      <c r="G650" s="103"/>
      <c r="H650" s="71"/>
      <c r="I650" s="137"/>
      <c r="J650" s="138"/>
      <c r="K650" s="103"/>
      <c r="L650" s="71"/>
      <c r="M650" s="137"/>
      <c r="N650" s="125"/>
      <c r="O650" s="103"/>
      <c r="P650" s="71"/>
      <c r="Q650" s="189"/>
      <c r="R650" s="125"/>
      <c r="S650" s="103"/>
      <c r="T650" s="71"/>
      <c r="U650" s="189"/>
      <c r="V650" s="125"/>
      <c r="W650" s="103"/>
      <c r="X650" s="71"/>
      <c r="Y650" s="137"/>
      <c r="Z650" s="180"/>
      <c r="AA650" s="181"/>
      <c r="AB650" s="182"/>
      <c r="AC650" s="137"/>
      <c r="AD650" s="125"/>
      <c r="AE650" s="162"/>
      <c r="AF650" s="183"/>
      <c r="AG650" s="195"/>
      <c r="AH650" s="195"/>
      <c r="AI650" s="195"/>
      <c r="AJ650" s="195"/>
      <c r="AK650" s="71"/>
      <c r="AL650" s="71"/>
      <c r="AM650" s="71"/>
      <c r="AN650" s="71"/>
      <c r="AO650" s="71"/>
    </row>
    <row r="651">
      <c r="A651" s="137"/>
      <c r="B651" s="138"/>
      <c r="C651" s="103"/>
      <c r="D651" s="71"/>
      <c r="E651" s="137"/>
      <c r="F651" s="138"/>
      <c r="G651" s="103"/>
      <c r="H651" s="71"/>
      <c r="I651" s="137"/>
      <c r="J651" s="138"/>
      <c r="K651" s="103"/>
      <c r="L651" s="71"/>
      <c r="M651" s="137"/>
      <c r="N651" s="125"/>
      <c r="O651" s="103"/>
      <c r="P651" s="71"/>
      <c r="Q651" s="189"/>
      <c r="R651" s="125"/>
      <c r="S651" s="103"/>
      <c r="T651" s="71"/>
      <c r="U651" s="189"/>
      <c r="V651" s="125"/>
      <c r="W651" s="103"/>
      <c r="X651" s="71"/>
      <c r="Y651" s="137"/>
      <c r="Z651" s="180"/>
      <c r="AA651" s="181"/>
      <c r="AB651" s="182"/>
      <c r="AC651" s="137"/>
      <c r="AD651" s="125"/>
      <c r="AE651" s="162"/>
      <c r="AF651" s="183"/>
      <c r="AG651" s="195"/>
      <c r="AH651" s="195"/>
      <c r="AI651" s="195"/>
      <c r="AJ651" s="195"/>
      <c r="AK651" s="71"/>
      <c r="AL651" s="71"/>
      <c r="AM651" s="71"/>
      <c r="AN651" s="71"/>
      <c r="AO651" s="71"/>
    </row>
    <row r="652">
      <c r="A652" s="137"/>
      <c r="B652" s="138"/>
      <c r="C652" s="103"/>
      <c r="D652" s="71"/>
      <c r="E652" s="137"/>
      <c r="F652" s="138"/>
      <c r="G652" s="103"/>
      <c r="H652" s="71"/>
      <c r="I652" s="137"/>
      <c r="J652" s="138"/>
      <c r="K652" s="103"/>
      <c r="L652" s="71"/>
      <c r="M652" s="137"/>
      <c r="N652" s="125"/>
      <c r="O652" s="103"/>
      <c r="P652" s="71"/>
      <c r="Q652" s="189"/>
      <c r="R652" s="125"/>
      <c r="S652" s="103"/>
      <c r="T652" s="71"/>
      <c r="U652" s="189"/>
      <c r="V652" s="125"/>
      <c r="W652" s="103"/>
      <c r="X652" s="71"/>
      <c r="Y652" s="137"/>
      <c r="Z652" s="180"/>
      <c r="AA652" s="181"/>
      <c r="AB652" s="182"/>
      <c r="AC652" s="137"/>
      <c r="AD652" s="125"/>
      <c r="AE652" s="162"/>
      <c r="AF652" s="183"/>
      <c r="AG652" s="195"/>
      <c r="AH652" s="195"/>
      <c r="AI652" s="195"/>
      <c r="AJ652" s="195"/>
      <c r="AK652" s="71"/>
      <c r="AL652" s="71"/>
      <c r="AM652" s="71"/>
      <c r="AN652" s="71"/>
      <c r="AO652" s="71"/>
    </row>
    <row r="653">
      <c r="A653" s="137"/>
      <c r="B653" s="138"/>
      <c r="C653" s="103"/>
      <c r="D653" s="71"/>
      <c r="E653" s="137"/>
      <c r="F653" s="138"/>
      <c r="G653" s="103"/>
      <c r="H653" s="71"/>
      <c r="I653" s="137"/>
      <c r="J653" s="138"/>
      <c r="K653" s="103"/>
      <c r="L653" s="71"/>
      <c r="M653" s="137"/>
      <c r="N653" s="125"/>
      <c r="O653" s="103"/>
      <c r="P653" s="71"/>
      <c r="Q653" s="189"/>
      <c r="R653" s="125"/>
      <c r="S653" s="103"/>
      <c r="T653" s="71"/>
      <c r="U653" s="189"/>
      <c r="V653" s="125"/>
      <c r="W653" s="103"/>
      <c r="X653" s="71"/>
      <c r="Y653" s="137"/>
      <c r="Z653" s="180"/>
      <c r="AA653" s="181"/>
      <c r="AB653" s="182"/>
      <c r="AC653" s="137"/>
      <c r="AD653" s="125"/>
      <c r="AE653" s="162"/>
      <c r="AF653" s="183"/>
      <c r="AG653" s="195"/>
      <c r="AH653" s="195"/>
      <c r="AI653" s="195"/>
      <c r="AJ653" s="195"/>
      <c r="AK653" s="71"/>
      <c r="AL653" s="71"/>
      <c r="AM653" s="71"/>
      <c r="AN653" s="71"/>
      <c r="AO653" s="71"/>
    </row>
    <row r="654">
      <c r="A654" s="137"/>
      <c r="B654" s="138"/>
      <c r="C654" s="103"/>
      <c r="D654" s="71"/>
      <c r="E654" s="137"/>
      <c r="F654" s="138"/>
      <c r="G654" s="103"/>
      <c r="H654" s="71"/>
      <c r="I654" s="137"/>
      <c r="J654" s="138"/>
      <c r="K654" s="103"/>
      <c r="L654" s="71"/>
      <c r="M654" s="137"/>
      <c r="N654" s="125"/>
      <c r="O654" s="103"/>
      <c r="P654" s="71"/>
      <c r="Q654" s="189"/>
      <c r="R654" s="125"/>
      <c r="S654" s="103"/>
      <c r="T654" s="71"/>
      <c r="U654" s="189"/>
      <c r="V654" s="125"/>
      <c r="W654" s="103"/>
      <c r="X654" s="71"/>
      <c r="Y654" s="137"/>
      <c r="Z654" s="180"/>
      <c r="AA654" s="181"/>
      <c r="AB654" s="182"/>
      <c r="AC654" s="137"/>
      <c r="AD654" s="125"/>
      <c r="AE654" s="162"/>
      <c r="AF654" s="183"/>
      <c r="AG654" s="195"/>
      <c r="AH654" s="195"/>
      <c r="AI654" s="195"/>
      <c r="AJ654" s="195"/>
      <c r="AK654" s="71"/>
      <c r="AL654" s="71"/>
      <c r="AM654" s="71"/>
      <c r="AN654" s="71"/>
      <c r="AO654" s="71"/>
    </row>
    <row r="655">
      <c r="A655" s="137"/>
      <c r="B655" s="138"/>
      <c r="C655" s="103"/>
      <c r="D655" s="71"/>
      <c r="E655" s="137"/>
      <c r="F655" s="138"/>
      <c r="G655" s="103"/>
      <c r="H655" s="71"/>
      <c r="I655" s="137"/>
      <c r="J655" s="138"/>
      <c r="K655" s="103"/>
      <c r="L655" s="71"/>
      <c r="M655" s="137"/>
      <c r="N655" s="125"/>
      <c r="O655" s="103"/>
      <c r="P655" s="71"/>
      <c r="Q655" s="189"/>
      <c r="R655" s="125"/>
      <c r="S655" s="103"/>
      <c r="T655" s="71"/>
      <c r="U655" s="189"/>
      <c r="V655" s="125"/>
      <c r="W655" s="103"/>
      <c r="X655" s="71"/>
      <c r="Y655" s="137"/>
      <c r="Z655" s="180"/>
      <c r="AA655" s="181"/>
      <c r="AB655" s="182"/>
      <c r="AC655" s="137"/>
      <c r="AD655" s="125"/>
      <c r="AE655" s="162"/>
      <c r="AF655" s="183"/>
      <c r="AG655" s="195"/>
      <c r="AH655" s="195"/>
      <c r="AI655" s="195"/>
      <c r="AJ655" s="195"/>
      <c r="AK655" s="71"/>
      <c r="AL655" s="71"/>
      <c r="AM655" s="71"/>
      <c r="AN655" s="71"/>
      <c r="AO655" s="71"/>
    </row>
    <row r="656">
      <c r="A656" s="137"/>
      <c r="B656" s="138"/>
      <c r="C656" s="103"/>
      <c r="D656" s="71"/>
      <c r="E656" s="137"/>
      <c r="F656" s="138"/>
      <c r="G656" s="103"/>
      <c r="H656" s="71"/>
      <c r="I656" s="137"/>
      <c r="J656" s="138"/>
      <c r="K656" s="103"/>
      <c r="L656" s="71"/>
      <c r="M656" s="137"/>
      <c r="N656" s="125"/>
      <c r="O656" s="103"/>
      <c r="P656" s="71"/>
      <c r="Q656" s="189"/>
      <c r="R656" s="125"/>
      <c r="S656" s="103"/>
      <c r="T656" s="71"/>
      <c r="U656" s="189"/>
      <c r="V656" s="125"/>
      <c r="W656" s="103"/>
      <c r="X656" s="71"/>
      <c r="Y656" s="137"/>
      <c r="Z656" s="180"/>
      <c r="AA656" s="181"/>
      <c r="AB656" s="182"/>
      <c r="AC656" s="137"/>
      <c r="AD656" s="125"/>
      <c r="AE656" s="162"/>
      <c r="AF656" s="183"/>
      <c r="AG656" s="195"/>
      <c r="AH656" s="195"/>
      <c r="AI656" s="195"/>
      <c r="AJ656" s="195"/>
      <c r="AK656" s="71"/>
      <c r="AL656" s="71"/>
      <c r="AM656" s="71"/>
      <c r="AN656" s="71"/>
      <c r="AO656" s="71"/>
    </row>
    <row r="657">
      <c r="A657" s="137"/>
      <c r="B657" s="138"/>
      <c r="C657" s="103"/>
      <c r="D657" s="71"/>
      <c r="E657" s="137"/>
      <c r="F657" s="138"/>
      <c r="G657" s="103"/>
      <c r="H657" s="71"/>
      <c r="I657" s="137"/>
      <c r="J657" s="138"/>
      <c r="K657" s="103"/>
      <c r="L657" s="71"/>
      <c r="M657" s="137"/>
      <c r="N657" s="125"/>
      <c r="O657" s="103"/>
      <c r="P657" s="71"/>
      <c r="Q657" s="189"/>
      <c r="R657" s="125"/>
      <c r="S657" s="103"/>
      <c r="T657" s="71"/>
      <c r="U657" s="189"/>
      <c r="V657" s="125"/>
      <c r="W657" s="103"/>
      <c r="X657" s="71"/>
      <c r="Y657" s="137"/>
      <c r="Z657" s="180"/>
      <c r="AA657" s="181"/>
      <c r="AB657" s="182"/>
      <c r="AC657" s="137"/>
      <c r="AD657" s="125"/>
      <c r="AE657" s="162"/>
      <c r="AF657" s="183"/>
      <c r="AG657" s="195"/>
      <c r="AH657" s="195"/>
      <c r="AI657" s="195"/>
      <c r="AJ657" s="195"/>
      <c r="AK657" s="71"/>
      <c r="AL657" s="71"/>
      <c r="AM657" s="71"/>
      <c r="AN657" s="71"/>
      <c r="AO657" s="71"/>
    </row>
    <row r="658">
      <c r="A658" s="137"/>
      <c r="B658" s="138"/>
      <c r="C658" s="103"/>
      <c r="D658" s="71"/>
      <c r="E658" s="137"/>
      <c r="F658" s="138"/>
      <c r="G658" s="103"/>
      <c r="H658" s="71"/>
      <c r="I658" s="137"/>
      <c r="J658" s="138"/>
      <c r="K658" s="103"/>
      <c r="L658" s="71"/>
      <c r="M658" s="137"/>
      <c r="N658" s="125"/>
      <c r="O658" s="103"/>
      <c r="P658" s="71"/>
      <c r="Q658" s="189"/>
      <c r="R658" s="125"/>
      <c r="S658" s="103"/>
      <c r="T658" s="71"/>
      <c r="U658" s="189"/>
      <c r="V658" s="125"/>
      <c r="W658" s="103"/>
      <c r="X658" s="71"/>
      <c r="Y658" s="137"/>
      <c r="Z658" s="180"/>
      <c r="AA658" s="181"/>
      <c r="AB658" s="182"/>
      <c r="AC658" s="137"/>
      <c r="AD658" s="125"/>
      <c r="AE658" s="162"/>
      <c r="AF658" s="183"/>
      <c r="AG658" s="195"/>
      <c r="AH658" s="195"/>
      <c r="AI658" s="195"/>
      <c r="AJ658" s="195"/>
      <c r="AK658" s="71"/>
      <c r="AL658" s="71"/>
      <c r="AM658" s="71"/>
      <c r="AN658" s="71"/>
      <c r="AO658" s="71"/>
    </row>
    <row r="659">
      <c r="A659" s="137"/>
      <c r="B659" s="138"/>
      <c r="C659" s="103"/>
      <c r="D659" s="71"/>
      <c r="E659" s="137"/>
      <c r="F659" s="138"/>
      <c r="G659" s="103"/>
      <c r="H659" s="71"/>
      <c r="I659" s="137"/>
      <c r="J659" s="138"/>
      <c r="K659" s="103"/>
      <c r="L659" s="71"/>
      <c r="M659" s="137"/>
      <c r="N659" s="125"/>
      <c r="O659" s="103"/>
      <c r="P659" s="71"/>
      <c r="Q659" s="189"/>
      <c r="R659" s="125"/>
      <c r="S659" s="103"/>
      <c r="T659" s="71"/>
      <c r="U659" s="189"/>
      <c r="V659" s="125"/>
      <c r="W659" s="103"/>
      <c r="X659" s="71"/>
      <c r="Y659" s="137"/>
      <c r="Z659" s="180"/>
      <c r="AA659" s="181"/>
      <c r="AB659" s="182"/>
      <c r="AC659" s="137"/>
      <c r="AD659" s="125"/>
      <c r="AE659" s="162"/>
      <c r="AF659" s="183"/>
      <c r="AG659" s="195"/>
      <c r="AH659" s="195"/>
      <c r="AI659" s="195"/>
      <c r="AJ659" s="195"/>
      <c r="AK659" s="71"/>
      <c r="AL659" s="71"/>
      <c r="AM659" s="71"/>
      <c r="AN659" s="71"/>
      <c r="AO659" s="71"/>
    </row>
    <row r="660">
      <c r="A660" s="137"/>
      <c r="B660" s="138"/>
      <c r="C660" s="103"/>
      <c r="D660" s="71"/>
      <c r="E660" s="137"/>
      <c r="F660" s="138"/>
      <c r="G660" s="103"/>
      <c r="H660" s="71"/>
      <c r="I660" s="137"/>
      <c r="J660" s="138"/>
      <c r="K660" s="103"/>
      <c r="L660" s="71"/>
      <c r="M660" s="137"/>
      <c r="N660" s="125"/>
      <c r="O660" s="103"/>
      <c r="P660" s="71"/>
      <c r="Q660" s="189"/>
      <c r="R660" s="125"/>
      <c r="S660" s="103"/>
      <c r="T660" s="71"/>
      <c r="U660" s="189"/>
      <c r="V660" s="125"/>
      <c r="W660" s="103"/>
      <c r="X660" s="71"/>
      <c r="Y660" s="137"/>
      <c r="Z660" s="180"/>
      <c r="AA660" s="181"/>
      <c r="AB660" s="182"/>
      <c r="AC660" s="137"/>
      <c r="AD660" s="125"/>
      <c r="AE660" s="162"/>
      <c r="AF660" s="183"/>
      <c r="AG660" s="195"/>
      <c r="AH660" s="195"/>
      <c r="AI660" s="195"/>
      <c r="AJ660" s="195"/>
      <c r="AK660" s="71"/>
      <c r="AL660" s="71"/>
      <c r="AM660" s="71"/>
      <c r="AN660" s="71"/>
      <c r="AO660" s="71"/>
    </row>
    <row r="661">
      <c r="A661" s="137"/>
      <c r="B661" s="138"/>
      <c r="C661" s="103"/>
      <c r="D661" s="71"/>
      <c r="E661" s="137"/>
      <c r="F661" s="138"/>
      <c r="G661" s="103"/>
      <c r="H661" s="71"/>
      <c r="I661" s="137"/>
      <c r="J661" s="138"/>
      <c r="K661" s="103"/>
      <c r="L661" s="71"/>
      <c r="M661" s="137"/>
      <c r="N661" s="125"/>
      <c r="O661" s="103"/>
      <c r="P661" s="71"/>
      <c r="Q661" s="189"/>
      <c r="R661" s="125"/>
      <c r="S661" s="103"/>
      <c r="T661" s="71"/>
      <c r="U661" s="189"/>
      <c r="V661" s="125"/>
      <c r="W661" s="103"/>
      <c r="X661" s="71"/>
      <c r="Y661" s="137"/>
      <c r="Z661" s="180"/>
      <c r="AA661" s="181"/>
      <c r="AB661" s="182"/>
      <c r="AC661" s="137"/>
      <c r="AD661" s="125"/>
      <c r="AE661" s="162"/>
      <c r="AF661" s="183"/>
      <c r="AG661" s="195"/>
      <c r="AH661" s="195"/>
      <c r="AI661" s="195"/>
      <c r="AJ661" s="195"/>
      <c r="AK661" s="71"/>
      <c r="AL661" s="71"/>
      <c r="AM661" s="71"/>
      <c r="AN661" s="71"/>
      <c r="AO661" s="71"/>
    </row>
    <row r="662">
      <c r="A662" s="137"/>
      <c r="B662" s="138"/>
      <c r="C662" s="103"/>
      <c r="D662" s="71"/>
      <c r="E662" s="137"/>
      <c r="F662" s="138"/>
      <c r="G662" s="103"/>
      <c r="H662" s="71"/>
      <c r="I662" s="137"/>
      <c r="J662" s="138"/>
      <c r="K662" s="103"/>
      <c r="L662" s="71"/>
      <c r="M662" s="137"/>
      <c r="N662" s="125"/>
      <c r="O662" s="103"/>
      <c r="P662" s="71"/>
      <c r="Q662" s="189"/>
      <c r="R662" s="125"/>
      <c r="S662" s="103"/>
      <c r="T662" s="71"/>
      <c r="U662" s="189"/>
      <c r="V662" s="125"/>
      <c r="W662" s="103"/>
      <c r="X662" s="71"/>
      <c r="Y662" s="137"/>
      <c r="Z662" s="180"/>
      <c r="AA662" s="181"/>
      <c r="AB662" s="182"/>
      <c r="AC662" s="137"/>
      <c r="AD662" s="125"/>
      <c r="AE662" s="162"/>
      <c r="AF662" s="183"/>
      <c r="AG662" s="195"/>
      <c r="AH662" s="195"/>
      <c r="AI662" s="195"/>
      <c r="AJ662" s="195"/>
      <c r="AK662" s="71"/>
      <c r="AL662" s="71"/>
      <c r="AM662" s="71"/>
      <c r="AN662" s="71"/>
      <c r="AO662" s="71"/>
    </row>
    <row r="663">
      <c r="A663" s="137"/>
      <c r="B663" s="138"/>
      <c r="C663" s="103"/>
      <c r="D663" s="71"/>
      <c r="E663" s="137"/>
      <c r="F663" s="138"/>
      <c r="G663" s="103"/>
      <c r="H663" s="71"/>
      <c r="I663" s="137"/>
      <c r="J663" s="138"/>
      <c r="K663" s="103"/>
      <c r="L663" s="71"/>
      <c r="M663" s="137"/>
      <c r="N663" s="125"/>
      <c r="O663" s="103"/>
      <c r="P663" s="71"/>
      <c r="Q663" s="189"/>
      <c r="R663" s="125"/>
      <c r="S663" s="103"/>
      <c r="T663" s="71"/>
      <c r="U663" s="189"/>
      <c r="V663" s="125"/>
      <c r="W663" s="103"/>
      <c r="X663" s="71"/>
      <c r="Y663" s="137"/>
      <c r="Z663" s="180"/>
      <c r="AA663" s="181"/>
      <c r="AB663" s="182"/>
      <c r="AC663" s="137"/>
      <c r="AD663" s="125"/>
      <c r="AE663" s="162"/>
      <c r="AF663" s="183"/>
      <c r="AG663" s="195"/>
      <c r="AH663" s="195"/>
      <c r="AI663" s="195"/>
      <c r="AJ663" s="195"/>
      <c r="AK663" s="71"/>
      <c r="AL663" s="71"/>
      <c r="AM663" s="71"/>
      <c r="AN663" s="71"/>
      <c r="AO663" s="71"/>
    </row>
    <row r="664">
      <c r="A664" s="137"/>
      <c r="B664" s="138"/>
      <c r="C664" s="103"/>
      <c r="D664" s="71"/>
      <c r="E664" s="137"/>
      <c r="F664" s="138"/>
      <c r="G664" s="103"/>
      <c r="H664" s="71"/>
      <c r="I664" s="137"/>
      <c r="J664" s="138"/>
      <c r="K664" s="103"/>
      <c r="L664" s="71"/>
      <c r="M664" s="137"/>
      <c r="N664" s="125"/>
      <c r="O664" s="103"/>
      <c r="P664" s="71"/>
      <c r="Q664" s="189"/>
      <c r="R664" s="125"/>
      <c r="S664" s="103"/>
      <c r="T664" s="71"/>
      <c r="U664" s="189"/>
      <c r="V664" s="125"/>
      <c r="W664" s="103"/>
      <c r="X664" s="71"/>
      <c r="Y664" s="137"/>
      <c r="Z664" s="180"/>
      <c r="AA664" s="181"/>
      <c r="AB664" s="182"/>
      <c r="AC664" s="137"/>
      <c r="AD664" s="125"/>
      <c r="AE664" s="162"/>
      <c r="AF664" s="183"/>
      <c r="AG664" s="195"/>
      <c r="AH664" s="195"/>
      <c r="AI664" s="195"/>
      <c r="AJ664" s="195"/>
      <c r="AK664" s="71"/>
      <c r="AL664" s="71"/>
      <c r="AM664" s="71"/>
      <c r="AN664" s="71"/>
      <c r="AO664" s="71"/>
    </row>
    <row r="665">
      <c r="A665" s="137"/>
      <c r="B665" s="138"/>
      <c r="C665" s="103"/>
      <c r="D665" s="71"/>
      <c r="E665" s="137"/>
      <c r="F665" s="138"/>
      <c r="G665" s="103"/>
      <c r="H665" s="71"/>
      <c r="I665" s="137"/>
      <c r="J665" s="138"/>
      <c r="K665" s="103"/>
      <c r="L665" s="71"/>
      <c r="M665" s="137"/>
      <c r="N665" s="125"/>
      <c r="O665" s="103"/>
      <c r="P665" s="71"/>
      <c r="Q665" s="189"/>
      <c r="R665" s="125"/>
      <c r="S665" s="103"/>
      <c r="T665" s="71"/>
      <c r="U665" s="189"/>
      <c r="V665" s="125"/>
      <c r="W665" s="103"/>
      <c r="X665" s="71"/>
      <c r="Y665" s="137"/>
      <c r="Z665" s="180"/>
      <c r="AA665" s="181"/>
      <c r="AB665" s="182"/>
      <c r="AC665" s="137"/>
      <c r="AD665" s="125"/>
      <c r="AE665" s="162"/>
      <c r="AF665" s="183"/>
      <c r="AG665" s="195"/>
      <c r="AH665" s="195"/>
      <c r="AI665" s="195"/>
      <c r="AJ665" s="195"/>
      <c r="AK665" s="71"/>
      <c r="AL665" s="71"/>
      <c r="AM665" s="71"/>
      <c r="AN665" s="71"/>
      <c r="AO665" s="71"/>
    </row>
    <row r="666">
      <c r="A666" s="137"/>
      <c r="B666" s="138"/>
      <c r="C666" s="103"/>
      <c r="D666" s="71"/>
      <c r="E666" s="137"/>
      <c r="F666" s="138"/>
      <c r="G666" s="103"/>
      <c r="H666" s="71"/>
      <c r="I666" s="137"/>
      <c r="J666" s="138"/>
      <c r="K666" s="103"/>
      <c r="L666" s="71"/>
      <c r="M666" s="137"/>
      <c r="N666" s="125"/>
      <c r="O666" s="103"/>
      <c r="P666" s="71"/>
      <c r="Q666" s="189"/>
      <c r="R666" s="125"/>
      <c r="S666" s="103"/>
      <c r="T666" s="71"/>
      <c r="U666" s="189"/>
      <c r="V666" s="125"/>
      <c r="W666" s="103"/>
      <c r="X666" s="71"/>
      <c r="Y666" s="137"/>
      <c r="Z666" s="180"/>
      <c r="AA666" s="181"/>
      <c r="AB666" s="182"/>
      <c r="AC666" s="137"/>
      <c r="AD666" s="125"/>
      <c r="AE666" s="162"/>
      <c r="AF666" s="183"/>
      <c r="AG666" s="195"/>
      <c r="AH666" s="195"/>
      <c r="AI666" s="195"/>
      <c r="AJ666" s="195"/>
      <c r="AK666" s="71"/>
      <c r="AL666" s="71"/>
      <c r="AM666" s="71"/>
      <c r="AN666" s="71"/>
      <c r="AO666" s="71"/>
    </row>
    <row r="667">
      <c r="A667" s="137"/>
      <c r="B667" s="138"/>
      <c r="C667" s="103"/>
      <c r="D667" s="71"/>
      <c r="E667" s="137"/>
      <c r="F667" s="138"/>
      <c r="G667" s="103"/>
      <c r="H667" s="71"/>
      <c r="I667" s="137"/>
      <c r="J667" s="138"/>
      <c r="K667" s="103"/>
      <c r="L667" s="71"/>
      <c r="M667" s="137"/>
      <c r="N667" s="125"/>
      <c r="O667" s="103"/>
      <c r="P667" s="71"/>
      <c r="Q667" s="189"/>
      <c r="R667" s="125"/>
      <c r="S667" s="103"/>
      <c r="T667" s="71"/>
      <c r="U667" s="189"/>
      <c r="V667" s="125"/>
      <c r="W667" s="103"/>
      <c r="X667" s="71"/>
      <c r="Y667" s="137"/>
      <c r="Z667" s="180"/>
      <c r="AA667" s="181"/>
      <c r="AB667" s="182"/>
      <c r="AC667" s="137"/>
      <c r="AD667" s="125"/>
      <c r="AE667" s="162"/>
      <c r="AF667" s="183"/>
      <c r="AG667" s="195"/>
      <c r="AH667" s="195"/>
      <c r="AI667" s="195"/>
      <c r="AJ667" s="195"/>
      <c r="AK667" s="71"/>
      <c r="AL667" s="71"/>
      <c r="AM667" s="71"/>
      <c r="AN667" s="71"/>
      <c r="AO667" s="71"/>
    </row>
    <row r="668">
      <c r="A668" s="137"/>
      <c r="B668" s="138"/>
      <c r="C668" s="103"/>
      <c r="D668" s="71"/>
      <c r="E668" s="137"/>
      <c r="F668" s="138"/>
      <c r="G668" s="103"/>
      <c r="H668" s="71"/>
      <c r="I668" s="137"/>
      <c r="J668" s="138"/>
      <c r="K668" s="103"/>
      <c r="L668" s="71"/>
      <c r="M668" s="137"/>
      <c r="N668" s="125"/>
      <c r="O668" s="103"/>
      <c r="P668" s="71"/>
      <c r="Q668" s="189"/>
      <c r="R668" s="125"/>
      <c r="S668" s="103"/>
      <c r="T668" s="71"/>
      <c r="U668" s="189"/>
      <c r="V668" s="125"/>
      <c r="W668" s="103"/>
      <c r="X668" s="71"/>
      <c r="Y668" s="137"/>
      <c r="Z668" s="180"/>
      <c r="AA668" s="181"/>
      <c r="AB668" s="182"/>
      <c r="AC668" s="137"/>
      <c r="AD668" s="125"/>
      <c r="AE668" s="162"/>
      <c r="AF668" s="183"/>
      <c r="AG668" s="195"/>
      <c r="AH668" s="195"/>
      <c r="AI668" s="195"/>
      <c r="AJ668" s="195"/>
      <c r="AK668" s="71"/>
      <c r="AL668" s="71"/>
      <c r="AM668" s="71"/>
      <c r="AN668" s="71"/>
      <c r="AO668" s="71"/>
    </row>
    <row r="669">
      <c r="A669" s="137"/>
      <c r="B669" s="138"/>
      <c r="C669" s="103"/>
      <c r="D669" s="71"/>
      <c r="E669" s="137"/>
      <c r="F669" s="138"/>
      <c r="G669" s="103"/>
      <c r="H669" s="71"/>
      <c r="I669" s="137"/>
      <c r="J669" s="138"/>
      <c r="K669" s="103"/>
      <c r="L669" s="71"/>
      <c r="M669" s="137"/>
      <c r="N669" s="125"/>
      <c r="O669" s="103"/>
      <c r="P669" s="71"/>
      <c r="Q669" s="189"/>
      <c r="R669" s="125"/>
      <c r="S669" s="103"/>
      <c r="T669" s="71"/>
      <c r="U669" s="189"/>
      <c r="V669" s="125"/>
      <c r="W669" s="103"/>
      <c r="X669" s="71"/>
      <c r="Y669" s="137"/>
      <c r="Z669" s="180"/>
      <c r="AA669" s="181"/>
      <c r="AB669" s="182"/>
      <c r="AC669" s="137"/>
      <c r="AD669" s="125"/>
      <c r="AE669" s="162"/>
      <c r="AF669" s="183"/>
      <c r="AG669" s="195"/>
      <c r="AH669" s="195"/>
      <c r="AI669" s="195"/>
      <c r="AJ669" s="195"/>
      <c r="AK669" s="71"/>
      <c r="AL669" s="71"/>
      <c r="AM669" s="71"/>
      <c r="AN669" s="71"/>
      <c r="AO669" s="71"/>
    </row>
    <row r="670">
      <c r="A670" s="137"/>
      <c r="B670" s="138"/>
      <c r="C670" s="103"/>
      <c r="D670" s="71"/>
      <c r="E670" s="137"/>
      <c r="F670" s="138"/>
      <c r="G670" s="103"/>
      <c r="H670" s="71"/>
      <c r="I670" s="137"/>
      <c r="J670" s="138"/>
      <c r="K670" s="103"/>
      <c r="L670" s="71"/>
      <c r="M670" s="137"/>
      <c r="N670" s="125"/>
      <c r="O670" s="103"/>
      <c r="P670" s="71"/>
      <c r="Q670" s="189"/>
      <c r="R670" s="125"/>
      <c r="S670" s="103"/>
      <c r="T670" s="71"/>
      <c r="U670" s="189"/>
      <c r="V670" s="125"/>
      <c r="W670" s="103"/>
      <c r="X670" s="71"/>
      <c r="Y670" s="137"/>
      <c r="Z670" s="180"/>
      <c r="AA670" s="181"/>
      <c r="AB670" s="182"/>
      <c r="AC670" s="137"/>
      <c r="AD670" s="125"/>
      <c r="AE670" s="162"/>
      <c r="AF670" s="183"/>
      <c r="AG670" s="195"/>
      <c r="AH670" s="195"/>
      <c r="AI670" s="195"/>
      <c r="AJ670" s="195"/>
      <c r="AK670" s="71"/>
      <c r="AL670" s="71"/>
      <c r="AM670" s="71"/>
      <c r="AN670" s="71"/>
      <c r="AO670" s="71"/>
    </row>
    <row r="671">
      <c r="A671" s="137"/>
      <c r="B671" s="138"/>
      <c r="C671" s="103"/>
      <c r="D671" s="71"/>
      <c r="E671" s="137"/>
      <c r="F671" s="138"/>
      <c r="G671" s="103"/>
      <c r="H671" s="71"/>
      <c r="I671" s="137"/>
      <c r="J671" s="138"/>
      <c r="K671" s="103"/>
      <c r="L671" s="71"/>
      <c r="M671" s="137"/>
      <c r="N671" s="125"/>
      <c r="O671" s="103"/>
      <c r="P671" s="71"/>
      <c r="Q671" s="189"/>
      <c r="R671" s="125"/>
      <c r="S671" s="103"/>
      <c r="T671" s="71"/>
      <c r="U671" s="189"/>
      <c r="V671" s="125"/>
      <c r="W671" s="103"/>
      <c r="X671" s="71"/>
      <c r="Y671" s="137"/>
      <c r="Z671" s="180"/>
      <c r="AA671" s="181"/>
      <c r="AB671" s="182"/>
      <c r="AC671" s="137"/>
      <c r="AD671" s="125"/>
      <c r="AE671" s="162"/>
      <c r="AF671" s="183"/>
      <c r="AG671" s="195"/>
      <c r="AH671" s="195"/>
      <c r="AI671" s="195"/>
      <c r="AJ671" s="195"/>
      <c r="AK671" s="71"/>
      <c r="AL671" s="71"/>
      <c r="AM671" s="71"/>
      <c r="AN671" s="71"/>
      <c r="AO671" s="71"/>
    </row>
    <row r="672">
      <c r="A672" s="137"/>
      <c r="B672" s="138"/>
      <c r="C672" s="103"/>
      <c r="D672" s="71"/>
      <c r="E672" s="137"/>
      <c r="F672" s="138"/>
      <c r="G672" s="103"/>
      <c r="H672" s="71"/>
      <c r="I672" s="137"/>
      <c r="J672" s="138"/>
      <c r="K672" s="103"/>
      <c r="L672" s="71"/>
      <c r="M672" s="137"/>
      <c r="N672" s="125"/>
      <c r="O672" s="103"/>
      <c r="P672" s="71"/>
      <c r="Q672" s="189"/>
      <c r="R672" s="125"/>
      <c r="S672" s="103"/>
      <c r="T672" s="71"/>
      <c r="U672" s="189"/>
      <c r="V672" s="125"/>
      <c r="W672" s="103"/>
      <c r="X672" s="71"/>
      <c r="Y672" s="137"/>
      <c r="Z672" s="180"/>
      <c r="AA672" s="181"/>
      <c r="AB672" s="182"/>
      <c r="AC672" s="137"/>
      <c r="AD672" s="125"/>
      <c r="AE672" s="162"/>
      <c r="AF672" s="183"/>
      <c r="AG672" s="195"/>
      <c r="AH672" s="195"/>
      <c r="AI672" s="195"/>
      <c r="AJ672" s="195"/>
      <c r="AK672" s="71"/>
      <c r="AL672" s="71"/>
      <c r="AM672" s="71"/>
      <c r="AN672" s="71"/>
      <c r="AO672" s="71"/>
    </row>
    <row r="673">
      <c r="A673" s="137"/>
      <c r="B673" s="138"/>
      <c r="C673" s="103"/>
      <c r="D673" s="71"/>
      <c r="E673" s="137"/>
      <c r="F673" s="138"/>
      <c r="G673" s="103"/>
      <c r="H673" s="71"/>
      <c r="I673" s="137"/>
      <c r="J673" s="138"/>
      <c r="K673" s="103"/>
      <c r="L673" s="71"/>
      <c r="M673" s="137"/>
      <c r="N673" s="125"/>
      <c r="O673" s="103"/>
      <c r="P673" s="71"/>
      <c r="Q673" s="189"/>
      <c r="R673" s="125"/>
      <c r="S673" s="103"/>
      <c r="T673" s="71"/>
      <c r="U673" s="189"/>
      <c r="V673" s="125"/>
      <c r="W673" s="103"/>
      <c r="X673" s="71"/>
      <c r="Y673" s="137"/>
      <c r="Z673" s="180"/>
      <c r="AA673" s="181"/>
      <c r="AB673" s="182"/>
      <c r="AC673" s="137"/>
      <c r="AD673" s="125"/>
      <c r="AE673" s="162"/>
      <c r="AF673" s="183"/>
      <c r="AG673" s="195"/>
      <c r="AH673" s="195"/>
      <c r="AI673" s="195"/>
      <c r="AJ673" s="195"/>
      <c r="AK673" s="71"/>
      <c r="AL673" s="71"/>
      <c r="AM673" s="71"/>
      <c r="AN673" s="71"/>
      <c r="AO673" s="71"/>
    </row>
    <row r="674">
      <c r="A674" s="137"/>
      <c r="B674" s="138"/>
      <c r="C674" s="103"/>
      <c r="D674" s="71"/>
      <c r="E674" s="137"/>
      <c r="F674" s="138"/>
      <c r="G674" s="103"/>
      <c r="H674" s="71"/>
      <c r="I674" s="137"/>
      <c r="J674" s="138"/>
      <c r="K674" s="103"/>
      <c r="L674" s="71"/>
      <c r="M674" s="137"/>
      <c r="N674" s="125"/>
      <c r="O674" s="103"/>
      <c r="P674" s="71"/>
      <c r="Q674" s="189"/>
      <c r="R674" s="125"/>
      <c r="S674" s="103"/>
      <c r="T674" s="71"/>
      <c r="U674" s="189"/>
      <c r="V674" s="125"/>
      <c r="W674" s="103"/>
      <c r="X674" s="71"/>
      <c r="Y674" s="137"/>
      <c r="Z674" s="180"/>
      <c r="AA674" s="181"/>
      <c r="AB674" s="182"/>
      <c r="AC674" s="137"/>
      <c r="AD674" s="125"/>
      <c r="AE674" s="162"/>
      <c r="AF674" s="183"/>
      <c r="AG674" s="195"/>
      <c r="AH674" s="195"/>
      <c r="AI674" s="195"/>
      <c r="AJ674" s="195"/>
      <c r="AK674" s="71"/>
      <c r="AL674" s="71"/>
      <c r="AM674" s="71"/>
      <c r="AN674" s="71"/>
      <c r="AO674" s="71"/>
    </row>
    <row r="675">
      <c r="A675" s="137"/>
      <c r="B675" s="138"/>
      <c r="C675" s="103"/>
      <c r="D675" s="71"/>
      <c r="E675" s="137"/>
      <c r="F675" s="138"/>
      <c r="G675" s="103"/>
      <c r="H675" s="71"/>
      <c r="I675" s="137"/>
      <c r="J675" s="138"/>
      <c r="K675" s="103"/>
      <c r="L675" s="71"/>
      <c r="M675" s="137"/>
      <c r="N675" s="125"/>
      <c r="O675" s="103"/>
      <c r="P675" s="71"/>
      <c r="Q675" s="189"/>
      <c r="R675" s="125"/>
      <c r="S675" s="103"/>
      <c r="T675" s="71"/>
      <c r="U675" s="189"/>
      <c r="V675" s="125"/>
      <c r="W675" s="103"/>
      <c r="X675" s="71"/>
      <c r="Y675" s="137"/>
      <c r="Z675" s="180"/>
      <c r="AA675" s="181"/>
      <c r="AB675" s="182"/>
      <c r="AC675" s="137"/>
      <c r="AD675" s="125"/>
      <c r="AE675" s="162"/>
      <c r="AF675" s="183"/>
      <c r="AG675" s="195"/>
      <c r="AH675" s="195"/>
      <c r="AI675" s="195"/>
      <c r="AJ675" s="195"/>
      <c r="AK675" s="71"/>
      <c r="AL675" s="71"/>
      <c r="AM675" s="71"/>
      <c r="AN675" s="71"/>
      <c r="AO675" s="71"/>
    </row>
    <row r="676">
      <c r="A676" s="137"/>
      <c r="B676" s="138"/>
      <c r="C676" s="103"/>
      <c r="D676" s="71"/>
      <c r="E676" s="137"/>
      <c r="F676" s="138"/>
      <c r="G676" s="103"/>
      <c r="H676" s="71"/>
      <c r="I676" s="137"/>
      <c r="J676" s="138"/>
      <c r="K676" s="103"/>
      <c r="L676" s="71"/>
      <c r="M676" s="137"/>
      <c r="N676" s="125"/>
      <c r="O676" s="103"/>
      <c r="P676" s="71"/>
      <c r="Q676" s="189"/>
      <c r="R676" s="125"/>
      <c r="S676" s="103"/>
      <c r="T676" s="71"/>
      <c r="U676" s="189"/>
      <c r="V676" s="125"/>
      <c r="W676" s="103"/>
      <c r="X676" s="71"/>
      <c r="Y676" s="137"/>
      <c r="Z676" s="180"/>
      <c r="AA676" s="181"/>
      <c r="AB676" s="182"/>
      <c r="AC676" s="137"/>
      <c r="AD676" s="125"/>
      <c r="AE676" s="162"/>
      <c r="AF676" s="183"/>
      <c r="AG676" s="195"/>
      <c r="AH676" s="195"/>
      <c r="AI676" s="195"/>
      <c r="AJ676" s="195"/>
      <c r="AK676" s="71"/>
      <c r="AL676" s="71"/>
      <c r="AM676" s="71"/>
      <c r="AN676" s="71"/>
      <c r="AO676" s="71"/>
    </row>
    <row r="677">
      <c r="A677" s="137"/>
      <c r="B677" s="138"/>
      <c r="C677" s="103"/>
      <c r="D677" s="71"/>
      <c r="E677" s="137"/>
      <c r="F677" s="138"/>
      <c r="G677" s="103"/>
      <c r="H677" s="71"/>
      <c r="I677" s="137"/>
      <c r="J677" s="138"/>
      <c r="K677" s="103"/>
      <c r="L677" s="71"/>
      <c r="M677" s="137"/>
      <c r="N677" s="125"/>
      <c r="O677" s="103"/>
      <c r="P677" s="71"/>
      <c r="Q677" s="189"/>
      <c r="R677" s="125"/>
      <c r="S677" s="103"/>
      <c r="T677" s="71"/>
      <c r="U677" s="189"/>
      <c r="V677" s="125"/>
      <c r="W677" s="103"/>
      <c r="X677" s="71"/>
      <c r="Y677" s="137"/>
      <c r="Z677" s="180"/>
      <c r="AA677" s="181"/>
      <c r="AB677" s="182"/>
      <c r="AC677" s="137"/>
      <c r="AD677" s="125"/>
      <c r="AE677" s="162"/>
      <c r="AF677" s="183"/>
      <c r="AG677" s="195"/>
      <c r="AH677" s="195"/>
      <c r="AI677" s="195"/>
      <c r="AJ677" s="195"/>
      <c r="AK677" s="71"/>
      <c r="AL677" s="71"/>
      <c r="AM677" s="71"/>
      <c r="AN677" s="71"/>
      <c r="AO677" s="71"/>
    </row>
    <row r="678">
      <c r="A678" s="137"/>
      <c r="B678" s="138"/>
      <c r="C678" s="103"/>
      <c r="D678" s="71"/>
      <c r="E678" s="137"/>
      <c r="F678" s="138"/>
      <c r="G678" s="103"/>
      <c r="H678" s="71"/>
      <c r="I678" s="137"/>
      <c r="J678" s="138"/>
      <c r="K678" s="103"/>
      <c r="L678" s="71"/>
      <c r="M678" s="137"/>
      <c r="N678" s="125"/>
      <c r="O678" s="103"/>
      <c r="P678" s="71"/>
      <c r="Q678" s="189"/>
      <c r="R678" s="125"/>
      <c r="S678" s="103"/>
      <c r="T678" s="71"/>
      <c r="U678" s="189"/>
      <c r="V678" s="125"/>
      <c r="W678" s="103"/>
      <c r="X678" s="71"/>
      <c r="Y678" s="137"/>
      <c r="Z678" s="180"/>
      <c r="AA678" s="181"/>
      <c r="AB678" s="182"/>
      <c r="AC678" s="137"/>
      <c r="AD678" s="125"/>
      <c r="AE678" s="162"/>
      <c r="AF678" s="183"/>
      <c r="AG678" s="195"/>
      <c r="AH678" s="195"/>
      <c r="AI678" s="195"/>
      <c r="AJ678" s="195"/>
      <c r="AK678" s="71"/>
      <c r="AL678" s="71"/>
      <c r="AM678" s="71"/>
      <c r="AN678" s="71"/>
      <c r="AO678" s="71"/>
    </row>
    <row r="679">
      <c r="A679" s="137"/>
      <c r="B679" s="138"/>
      <c r="C679" s="103"/>
      <c r="D679" s="71"/>
      <c r="E679" s="137"/>
      <c r="F679" s="138"/>
      <c r="G679" s="103"/>
      <c r="H679" s="71"/>
      <c r="I679" s="137"/>
      <c r="J679" s="138"/>
      <c r="K679" s="103"/>
      <c r="L679" s="71"/>
      <c r="M679" s="137"/>
      <c r="N679" s="125"/>
      <c r="O679" s="103"/>
      <c r="P679" s="71"/>
      <c r="Q679" s="189"/>
      <c r="R679" s="125"/>
      <c r="S679" s="103"/>
      <c r="T679" s="71"/>
      <c r="U679" s="189"/>
      <c r="V679" s="125"/>
      <c r="W679" s="103"/>
      <c r="X679" s="71"/>
      <c r="Y679" s="137"/>
      <c r="Z679" s="180"/>
      <c r="AA679" s="181"/>
      <c r="AB679" s="182"/>
      <c r="AC679" s="137"/>
      <c r="AD679" s="125"/>
      <c r="AE679" s="162"/>
      <c r="AF679" s="183"/>
      <c r="AG679" s="195"/>
      <c r="AH679" s="195"/>
      <c r="AI679" s="195"/>
      <c r="AJ679" s="195"/>
      <c r="AK679" s="71"/>
      <c r="AL679" s="71"/>
      <c r="AM679" s="71"/>
      <c r="AN679" s="71"/>
      <c r="AO679" s="71"/>
    </row>
    <row r="680">
      <c r="A680" s="137"/>
      <c r="B680" s="138"/>
      <c r="C680" s="103"/>
      <c r="D680" s="71"/>
      <c r="E680" s="137"/>
      <c r="F680" s="138"/>
      <c r="G680" s="103"/>
      <c r="H680" s="71"/>
      <c r="I680" s="137"/>
      <c r="J680" s="138"/>
      <c r="K680" s="103"/>
      <c r="L680" s="71"/>
      <c r="M680" s="137"/>
      <c r="N680" s="125"/>
      <c r="O680" s="103"/>
      <c r="P680" s="71"/>
      <c r="Q680" s="189"/>
      <c r="R680" s="125"/>
      <c r="S680" s="103"/>
      <c r="T680" s="71"/>
      <c r="U680" s="189"/>
      <c r="V680" s="125"/>
      <c r="W680" s="103"/>
      <c r="X680" s="71"/>
      <c r="Y680" s="137"/>
      <c r="Z680" s="180"/>
      <c r="AA680" s="181"/>
      <c r="AB680" s="182"/>
      <c r="AC680" s="137"/>
      <c r="AD680" s="125"/>
      <c r="AE680" s="162"/>
      <c r="AF680" s="183"/>
      <c r="AG680" s="195"/>
      <c r="AH680" s="195"/>
      <c r="AI680" s="195"/>
      <c r="AJ680" s="195"/>
      <c r="AK680" s="71"/>
      <c r="AL680" s="71"/>
      <c r="AM680" s="71"/>
      <c r="AN680" s="71"/>
      <c r="AO680" s="71"/>
    </row>
    <row r="681">
      <c r="A681" s="137"/>
      <c r="B681" s="138"/>
      <c r="C681" s="103"/>
      <c r="D681" s="71"/>
      <c r="E681" s="137"/>
      <c r="F681" s="138"/>
      <c r="G681" s="103"/>
      <c r="H681" s="71"/>
      <c r="I681" s="137"/>
      <c r="J681" s="138"/>
      <c r="K681" s="103"/>
      <c r="L681" s="71"/>
      <c r="M681" s="137"/>
      <c r="N681" s="125"/>
      <c r="O681" s="103"/>
      <c r="P681" s="71"/>
      <c r="Q681" s="189"/>
      <c r="R681" s="125"/>
      <c r="S681" s="103"/>
      <c r="T681" s="71"/>
      <c r="U681" s="189"/>
      <c r="V681" s="125"/>
      <c r="W681" s="103"/>
      <c r="X681" s="71"/>
      <c r="Y681" s="137"/>
      <c r="Z681" s="180"/>
      <c r="AA681" s="181"/>
      <c r="AB681" s="182"/>
      <c r="AC681" s="137"/>
      <c r="AD681" s="125"/>
      <c r="AE681" s="162"/>
      <c r="AF681" s="183"/>
      <c r="AG681" s="195"/>
      <c r="AH681" s="195"/>
      <c r="AI681" s="195"/>
      <c r="AJ681" s="195"/>
      <c r="AK681" s="71"/>
      <c r="AL681" s="71"/>
      <c r="AM681" s="71"/>
      <c r="AN681" s="71"/>
      <c r="AO681" s="71"/>
    </row>
    <row r="682">
      <c r="A682" s="137"/>
      <c r="B682" s="138"/>
      <c r="C682" s="103"/>
      <c r="D682" s="71"/>
      <c r="E682" s="137"/>
      <c r="F682" s="138"/>
      <c r="G682" s="103"/>
      <c r="H682" s="71"/>
      <c r="I682" s="137"/>
      <c r="J682" s="138"/>
      <c r="K682" s="103"/>
      <c r="L682" s="71"/>
      <c r="M682" s="137"/>
      <c r="N682" s="125"/>
      <c r="O682" s="103"/>
      <c r="P682" s="71"/>
      <c r="Q682" s="189"/>
      <c r="R682" s="125"/>
      <c r="S682" s="103"/>
      <c r="T682" s="71"/>
      <c r="U682" s="189"/>
      <c r="V682" s="125"/>
      <c r="W682" s="103"/>
      <c r="X682" s="71"/>
      <c r="Y682" s="137"/>
      <c r="Z682" s="180"/>
      <c r="AA682" s="181"/>
      <c r="AB682" s="182"/>
      <c r="AC682" s="137"/>
      <c r="AD682" s="125"/>
      <c r="AE682" s="162"/>
      <c r="AF682" s="183"/>
      <c r="AG682" s="195"/>
      <c r="AH682" s="195"/>
      <c r="AI682" s="195"/>
      <c r="AJ682" s="195"/>
      <c r="AK682" s="71"/>
      <c r="AL682" s="71"/>
      <c r="AM682" s="71"/>
      <c r="AN682" s="71"/>
      <c r="AO682" s="71"/>
    </row>
    <row r="683">
      <c r="A683" s="137"/>
      <c r="B683" s="138"/>
      <c r="C683" s="103"/>
      <c r="D683" s="71"/>
      <c r="E683" s="137"/>
      <c r="F683" s="138"/>
      <c r="G683" s="103"/>
      <c r="H683" s="71"/>
      <c r="I683" s="137"/>
      <c r="J683" s="138"/>
      <c r="K683" s="103"/>
      <c r="L683" s="71"/>
      <c r="M683" s="137"/>
      <c r="N683" s="125"/>
      <c r="O683" s="103"/>
      <c r="P683" s="71"/>
      <c r="Q683" s="189"/>
      <c r="R683" s="125"/>
      <c r="S683" s="103"/>
      <c r="T683" s="71"/>
      <c r="U683" s="189"/>
      <c r="V683" s="125"/>
      <c r="W683" s="103"/>
      <c r="X683" s="71"/>
      <c r="Y683" s="137"/>
      <c r="Z683" s="180"/>
      <c r="AA683" s="181"/>
      <c r="AB683" s="182"/>
      <c r="AC683" s="137"/>
      <c r="AD683" s="125"/>
      <c r="AE683" s="162"/>
      <c r="AF683" s="183"/>
      <c r="AG683" s="195"/>
      <c r="AH683" s="195"/>
      <c r="AI683" s="195"/>
      <c r="AJ683" s="195"/>
      <c r="AK683" s="71"/>
      <c r="AL683" s="71"/>
      <c r="AM683" s="71"/>
      <c r="AN683" s="71"/>
      <c r="AO683" s="71"/>
    </row>
    <row r="684">
      <c r="A684" s="137"/>
      <c r="B684" s="138"/>
      <c r="C684" s="103"/>
      <c r="D684" s="71"/>
      <c r="E684" s="137"/>
      <c r="F684" s="138"/>
      <c r="G684" s="103"/>
      <c r="H684" s="71"/>
      <c r="I684" s="137"/>
      <c r="J684" s="138"/>
      <c r="K684" s="103"/>
      <c r="L684" s="71"/>
      <c r="M684" s="137"/>
      <c r="N684" s="125"/>
      <c r="O684" s="103"/>
      <c r="P684" s="71"/>
      <c r="Q684" s="189"/>
      <c r="R684" s="125"/>
      <c r="S684" s="103"/>
      <c r="T684" s="71"/>
      <c r="U684" s="189"/>
      <c r="V684" s="125"/>
      <c r="W684" s="103"/>
      <c r="X684" s="71"/>
      <c r="Y684" s="137"/>
      <c r="Z684" s="180"/>
      <c r="AA684" s="181"/>
      <c r="AB684" s="182"/>
      <c r="AC684" s="137"/>
      <c r="AD684" s="125"/>
      <c r="AE684" s="162"/>
      <c r="AF684" s="183"/>
      <c r="AG684" s="195"/>
      <c r="AH684" s="195"/>
      <c r="AI684" s="195"/>
      <c r="AJ684" s="195"/>
      <c r="AK684" s="71"/>
      <c r="AL684" s="71"/>
      <c r="AM684" s="71"/>
      <c r="AN684" s="71"/>
      <c r="AO684" s="71"/>
    </row>
    <row r="685">
      <c r="A685" s="137"/>
      <c r="B685" s="138"/>
      <c r="C685" s="103"/>
      <c r="D685" s="71"/>
      <c r="E685" s="137"/>
      <c r="F685" s="138"/>
      <c r="G685" s="103"/>
      <c r="H685" s="71"/>
      <c r="I685" s="137"/>
      <c r="J685" s="138"/>
      <c r="K685" s="103"/>
      <c r="L685" s="71"/>
      <c r="M685" s="137"/>
      <c r="N685" s="125"/>
      <c r="O685" s="103"/>
      <c r="P685" s="71"/>
      <c r="Q685" s="189"/>
      <c r="R685" s="125"/>
      <c r="S685" s="103"/>
      <c r="T685" s="71"/>
      <c r="U685" s="189"/>
      <c r="V685" s="125"/>
      <c r="W685" s="103"/>
      <c r="X685" s="71"/>
      <c r="Y685" s="137"/>
      <c r="Z685" s="180"/>
      <c r="AA685" s="181"/>
      <c r="AB685" s="182"/>
      <c r="AC685" s="137"/>
      <c r="AD685" s="125"/>
      <c r="AE685" s="162"/>
      <c r="AF685" s="183"/>
      <c r="AG685" s="195"/>
      <c r="AH685" s="195"/>
      <c r="AI685" s="195"/>
      <c r="AJ685" s="195"/>
      <c r="AK685" s="71"/>
      <c r="AL685" s="71"/>
      <c r="AM685" s="71"/>
      <c r="AN685" s="71"/>
      <c r="AO685" s="71"/>
    </row>
    <row r="686">
      <c r="A686" s="137"/>
      <c r="B686" s="138"/>
      <c r="C686" s="103"/>
      <c r="D686" s="71"/>
      <c r="E686" s="137"/>
      <c r="F686" s="138"/>
      <c r="G686" s="103"/>
      <c r="H686" s="71"/>
      <c r="I686" s="137"/>
      <c r="J686" s="138"/>
      <c r="K686" s="103"/>
      <c r="L686" s="71"/>
      <c r="M686" s="137"/>
      <c r="N686" s="125"/>
      <c r="O686" s="103"/>
      <c r="P686" s="71"/>
      <c r="Q686" s="189"/>
      <c r="R686" s="125"/>
      <c r="S686" s="103"/>
      <c r="T686" s="71"/>
      <c r="U686" s="189"/>
      <c r="V686" s="125"/>
      <c r="W686" s="103"/>
      <c r="X686" s="71"/>
      <c r="Y686" s="137"/>
      <c r="Z686" s="180"/>
      <c r="AA686" s="181"/>
      <c r="AB686" s="182"/>
      <c r="AC686" s="137"/>
      <c r="AD686" s="125"/>
      <c r="AE686" s="162"/>
      <c r="AF686" s="183"/>
      <c r="AG686" s="195"/>
      <c r="AH686" s="195"/>
      <c r="AI686" s="195"/>
      <c r="AJ686" s="195"/>
      <c r="AK686" s="71"/>
      <c r="AL686" s="71"/>
      <c r="AM686" s="71"/>
      <c r="AN686" s="71"/>
      <c r="AO686" s="71"/>
    </row>
    <row r="687">
      <c r="A687" s="137"/>
      <c r="B687" s="138"/>
      <c r="C687" s="103"/>
      <c r="D687" s="71"/>
      <c r="E687" s="137"/>
      <c r="F687" s="138"/>
      <c r="G687" s="103"/>
      <c r="H687" s="71"/>
      <c r="I687" s="137"/>
      <c r="J687" s="138"/>
      <c r="K687" s="103"/>
      <c r="L687" s="71"/>
      <c r="M687" s="137"/>
      <c r="N687" s="125"/>
      <c r="O687" s="103"/>
      <c r="P687" s="71"/>
      <c r="Q687" s="189"/>
      <c r="R687" s="125"/>
      <c r="S687" s="103"/>
      <c r="T687" s="71"/>
      <c r="U687" s="189"/>
      <c r="V687" s="125"/>
      <c r="W687" s="103"/>
      <c r="X687" s="71"/>
      <c r="Y687" s="137"/>
      <c r="Z687" s="180"/>
      <c r="AA687" s="181"/>
      <c r="AB687" s="182"/>
      <c r="AC687" s="137"/>
      <c r="AD687" s="125"/>
      <c r="AE687" s="162"/>
      <c r="AF687" s="183"/>
      <c r="AG687" s="195"/>
      <c r="AH687" s="195"/>
      <c r="AI687" s="195"/>
      <c r="AJ687" s="195"/>
      <c r="AK687" s="71"/>
      <c r="AL687" s="71"/>
      <c r="AM687" s="71"/>
      <c r="AN687" s="71"/>
      <c r="AO687" s="71"/>
    </row>
    <row r="688">
      <c r="A688" s="137"/>
      <c r="B688" s="138"/>
      <c r="C688" s="103"/>
      <c r="D688" s="71"/>
      <c r="E688" s="137"/>
      <c r="F688" s="138"/>
      <c r="G688" s="103"/>
      <c r="H688" s="71"/>
      <c r="I688" s="137"/>
      <c r="J688" s="138"/>
      <c r="K688" s="103"/>
      <c r="L688" s="71"/>
      <c r="M688" s="137"/>
      <c r="N688" s="125"/>
      <c r="O688" s="103"/>
      <c r="P688" s="71"/>
      <c r="Q688" s="189"/>
      <c r="R688" s="125"/>
      <c r="S688" s="103"/>
      <c r="T688" s="71"/>
      <c r="U688" s="189"/>
      <c r="V688" s="125"/>
      <c r="W688" s="103"/>
      <c r="X688" s="71"/>
      <c r="Y688" s="137"/>
      <c r="Z688" s="180"/>
      <c r="AA688" s="181"/>
      <c r="AB688" s="182"/>
      <c r="AC688" s="137"/>
      <c r="AD688" s="125"/>
      <c r="AE688" s="162"/>
      <c r="AF688" s="183"/>
      <c r="AG688" s="195"/>
      <c r="AH688" s="195"/>
      <c r="AI688" s="195"/>
      <c r="AJ688" s="195"/>
      <c r="AK688" s="71"/>
      <c r="AL688" s="71"/>
      <c r="AM688" s="71"/>
      <c r="AN688" s="71"/>
      <c r="AO688" s="71"/>
    </row>
    <row r="689">
      <c r="A689" s="137"/>
      <c r="B689" s="138"/>
      <c r="C689" s="103"/>
      <c r="D689" s="71"/>
      <c r="E689" s="137"/>
      <c r="F689" s="138"/>
      <c r="G689" s="103"/>
      <c r="H689" s="71"/>
      <c r="I689" s="137"/>
      <c r="J689" s="138"/>
      <c r="K689" s="103"/>
      <c r="L689" s="71"/>
      <c r="M689" s="137"/>
      <c r="N689" s="125"/>
      <c r="O689" s="103"/>
      <c r="P689" s="71"/>
      <c r="Q689" s="189"/>
      <c r="R689" s="125"/>
      <c r="S689" s="103"/>
      <c r="T689" s="71"/>
      <c r="U689" s="189"/>
      <c r="V689" s="125"/>
      <c r="W689" s="103"/>
      <c r="X689" s="71"/>
      <c r="Y689" s="137"/>
      <c r="Z689" s="180"/>
      <c r="AA689" s="181"/>
      <c r="AB689" s="182"/>
      <c r="AC689" s="137"/>
      <c r="AD689" s="125"/>
      <c r="AE689" s="162"/>
      <c r="AF689" s="183"/>
      <c r="AG689" s="195"/>
      <c r="AH689" s="195"/>
      <c r="AI689" s="195"/>
      <c r="AJ689" s="195"/>
      <c r="AK689" s="71"/>
      <c r="AL689" s="71"/>
      <c r="AM689" s="71"/>
      <c r="AN689" s="71"/>
      <c r="AO689" s="71"/>
    </row>
    <row r="690">
      <c r="A690" s="137"/>
      <c r="B690" s="138"/>
      <c r="C690" s="103"/>
      <c r="D690" s="71"/>
      <c r="E690" s="137"/>
      <c r="F690" s="138"/>
      <c r="G690" s="103"/>
      <c r="H690" s="71"/>
      <c r="I690" s="137"/>
      <c r="J690" s="138"/>
      <c r="K690" s="103"/>
      <c r="L690" s="71"/>
      <c r="M690" s="137"/>
      <c r="N690" s="125"/>
      <c r="O690" s="103"/>
      <c r="P690" s="71"/>
      <c r="Q690" s="189"/>
      <c r="R690" s="125"/>
      <c r="S690" s="103"/>
      <c r="T690" s="71"/>
      <c r="U690" s="189"/>
      <c r="V690" s="125"/>
      <c r="W690" s="103"/>
      <c r="X690" s="71"/>
      <c r="Y690" s="137"/>
      <c r="Z690" s="180"/>
      <c r="AA690" s="181"/>
      <c r="AB690" s="182"/>
      <c r="AC690" s="137"/>
      <c r="AD690" s="125"/>
      <c r="AE690" s="162"/>
      <c r="AF690" s="183"/>
      <c r="AG690" s="195"/>
      <c r="AH690" s="195"/>
      <c r="AI690" s="195"/>
      <c r="AJ690" s="195"/>
      <c r="AK690" s="71"/>
      <c r="AL690" s="71"/>
      <c r="AM690" s="71"/>
      <c r="AN690" s="71"/>
      <c r="AO690" s="71"/>
    </row>
    <row r="691">
      <c r="A691" s="137"/>
      <c r="B691" s="138"/>
      <c r="C691" s="103"/>
      <c r="D691" s="71"/>
      <c r="E691" s="137"/>
      <c r="F691" s="138"/>
      <c r="G691" s="103"/>
      <c r="H691" s="71"/>
      <c r="I691" s="137"/>
      <c r="J691" s="138"/>
      <c r="K691" s="103"/>
      <c r="L691" s="71"/>
      <c r="M691" s="137"/>
      <c r="N691" s="125"/>
      <c r="O691" s="103"/>
      <c r="P691" s="71"/>
      <c r="Q691" s="189"/>
      <c r="R691" s="125"/>
      <c r="S691" s="103"/>
      <c r="T691" s="71"/>
      <c r="U691" s="189"/>
      <c r="V691" s="125"/>
      <c r="W691" s="103"/>
      <c r="X691" s="71"/>
      <c r="Y691" s="137"/>
      <c r="Z691" s="180"/>
      <c r="AA691" s="181"/>
      <c r="AB691" s="182"/>
      <c r="AC691" s="137"/>
      <c r="AD691" s="125"/>
      <c r="AE691" s="162"/>
      <c r="AF691" s="183"/>
      <c r="AG691" s="195"/>
      <c r="AH691" s="195"/>
      <c r="AI691" s="195"/>
      <c r="AJ691" s="195"/>
      <c r="AK691" s="71"/>
      <c r="AL691" s="71"/>
      <c r="AM691" s="71"/>
      <c r="AN691" s="71"/>
      <c r="AO691" s="71"/>
    </row>
    <row r="692">
      <c r="A692" s="137"/>
      <c r="B692" s="138"/>
      <c r="C692" s="103"/>
      <c r="D692" s="71"/>
      <c r="E692" s="137"/>
      <c r="F692" s="138"/>
      <c r="G692" s="103"/>
      <c r="H692" s="71"/>
      <c r="I692" s="137"/>
      <c r="J692" s="138"/>
      <c r="K692" s="103"/>
      <c r="L692" s="71"/>
      <c r="M692" s="137"/>
      <c r="N692" s="125"/>
      <c r="O692" s="103"/>
      <c r="P692" s="71"/>
      <c r="Q692" s="189"/>
      <c r="R692" s="125"/>
      <c r="S692" s="103"/>
      <c r="T692" s="71"/>
      <c r="U692" s="189"/>
      <c r="V692" s="125"/>
      <c r="W692" s="103"/>
      <c r="X692" s="71"/>
      <c r="Y692" s="137"/>
      <c r="Z692" s="180"/>
      <c r="AA692" s="181"/>
      <c r="AB692" s="182"/>
      <c r="AC692" s="137"/>
      <c r="AD692" s="125"/>
      <c r="AE692" s="162"/>
      <c r="AF692" s="183"/>
      <c r="AG692" s="195"/>
      <c r="AH692" s="195"/>
      <c r="AI692" s="195"/>
      <c r="AJ692" s="195"/>
      <c r="AK692" s="71"/>
      <c r="AL692" s="71"/>
      <c r="AM692" s="71"/>
      <c r="AN692" s="71"/>
      <c r="AO692" s="71"/>
    </row>
    <row r="693">
      <c r="A693" s="137"/>
      <c r="B693" s="138"/>
      <c r="C693" s="103"/>
      <c r="D693" s="71"/>
      <c r="E693" s="137"/>
      <c r="F693" s="138"/>
      <c r="G693" s="103"/>
      <c r="H693" s="71"/>
      <c r="I693" s="137"/>
      <c r="J693" s="138"/>
      <c r="K693" s="103"/>
      <c r="L693" s="71"/>
      <c r="M693" s="137"/>
      <c r="N693" s="125"/>
      <c r="O693" s="103"/>
      <c r="P693" s="71"/>
      <c r="Q693" s="189"/>
      <c r="R693" s="125"/>
      <c r="S693" s="103"/>
      <c r="T693" s="71"/>
      <c r="U693" s="189"/>
      <c r="V693" s="125"/>
      <c r="W693" s="103"/>
      <c r="X693" s="71"/>
      <c r="Y693" s="137"/>
      <c r="Z693" s="180"/>
      <c r="AA693" s="181"/>
      <c r="AB693" s="182"/>
      <c r="AC693" s="137"/>
      <c r="AD693" s="125"/>
      <c r="AE693" s="162"/>
      <c r="AF693" s="183"/>
      <c r="AG693" s="195"/>
      <c r="AH693" s="195"/>
      <c r="AI693" s="195"/>
      <c r="AJ693" s="195"/>
      <c r="AK693" s="71"/>
      <c r="AL693" s="71"/>
      <c r="AM693" s="71"/>
      <c r="AN693" s="71"/>
      <c r="AO693" s="71"/>
    </row>
    <row r="694">
      <c r="A694" s="137"/>
      <c r="B694" s="138"/>
      <c r="C694" s="103"/>
      <c r="D694" s="71"/>
      <c r="E694" s="137"/>
      <c r="F694" s="138"/>
      <c r="G694" s="103"/>
      <c r="H694" s="71"/>
      <c r="I694" s="137"/>
      <c r="J694" s="138"/>
      <c r="K694" s="103"/>
      <c r="L694" s="71"/>
      <c r="M694" s="137"/>
      <c r="N694" s="125"/>
      <c r="O694" s="103"/>
      <c r="P694" s="71"/>
      <c r="Q694" s="189"/>
      <c r="R694" s="125"/>
      <c r="S694" s="103"/>
      <c r="T694" s="71"/>
      <c r="U694" s="189"/>
      <c r="V694" s="125"/>
      <c r="W694" s="103"/>
      <c r="X694" s="71"/>
      <c r="Y694" s="137"/>
      <c r="Z694" s="180"/>
      <c r="AA694" s="181"/>
      <c r="AB694" s="182"/>
      <c r="AC694" s="137"/>
      <c r="AD694" s="125"/>
      <c r="AE694" s="162"/>
      <c r="AF694" s="183"/>
      <c r="AG694" s="195"/>
      <c r="AH694" s="195"/>
      <c r="AI694" s="195"/>
      <c r="AJ694" s="195"/>
      <c r="AK694" s="71"/>
      <c r="AL694" s="71"/>
      <c r="AM694" s="71"/>
      <c r="AN694" s="71"/>
      <c r="AO694" s="71"/>
    </row>
    <row r="695">
      <c r="A695" s="137"/>
      <c r="B695" s="138"/>
      <c r="C695" s="103"/>
      <c r="D695" s="71"/>
      <c r="E695" s="137"/>
      <c r="F695" s="138"/>
      <c r="G695" s="103"/>
      <c r="H695" s="71"/>
      <c r="I695" s="137"/>
      <c r="J695" s="138"/>
      <c r="K695" s="103"/>
      <c r="L695" s="71"/>
      <c r="M695" s="137"/>
      <c r="N695" s="125"/>
      <c r="O695" s="103"/>
      <c r="P695" s="71"/>
      <c r="Q695" s="189"/>
      <c r="R695" s="125"/>
      <c r="S695" s="103"/>
      <c r="T695" s="71"/>
      <c r="U695" s="189"/>
      <c r="V695" s="125"/>
      <c r="W695" s="103"/>
      <c r="X695" s="71"/>
      <c r="Y695" s="137"/>
      <c r="Z695" s="180"/>
      <c r="AA695" s="181"/>
      <c r="AB695" s="182"/>
      <c r="AC695" s="137"/>
      <c r="AD695" s="125"/>
      <c r="AE695" s="162"/>
      <c r="AF695" s="183"/>
      <c r="AG695" s="195"/>
      <c r="AH695" s="195"/>
      <c r="AI695" s="195"/>
      <c r="AJ695" s="195"/>
      <c r="AK695" s="71"/>
      <c r="AL695" s="71"/>
      <c r="AM695" s="71"/>
      <c r="AN695" s="71"/>
      <c r="AO695" s="71"/>
    </row>
    <row r="696">
      <c r="A696" s="137"/>
      <c r="B696" s="138"/>
      <c r="C696" s="103"/>
      <c r="D696" s="71"/>
      <c r="E696" s="137"/>
      <c r="F696" s="138"/>
      <c r="G696" s="103"/>
      <c r="H696" s="71"/>
      <c r="I696" s="137"/>
      <c r="J696" s="138"/>
      <c r="K696" s="103"/>
      <c r="L696" s="71"/>
      <c r="M696" s="137"/>
      <c r="N696" s="125"/>
      <c r="O696" s="103"/>
      <c r="P696" s="71"/>
      <c r="Q696" s="189"/>
      <c r="R696" s="125"/>
      <c r="S696" s="103"/>
      <c r="T696" s="71"/>
      <c r="U696" s="189"/>
      <c r="V696" s="125"/>
      <c r="W696" s="103"/>
      <c r="X696" s="71"/>
      <c r="Y696" s="137"/>
      <c r="Z696" s="180"/>
      <c r="AA696" s="181"/>
      <c r="AB696" s="182"/>
      <c r="AC696" s="137"/>
      <c r="AD696" s="125"/>
      <c r="AE696" s="162"/>
      <c r="AF696" s="183"/>
      <c r="AG696" s="195"/>
      <c r="AH696" s="195"/>
      <c r="AI696" s="195"/>
      <c r="AJ696" s="195"/>
      <c r="AK696" s="71"/>
      <c r="AL696" s="71"/>
      <c r="AM696" s="71"/>
      <c r="AN696" s="71"/>
      <c r="AO696" s="71"/>
    </row>
    <row r="697">
      <c r="A697" s="137"/>
      <c r="B697" s="138"/>
      <c r="C697" s="103"/>
      <c r="D697" s="71"/>
      <c r="E697" s="137"/>
      <c r="F697" s="138"/>
      <c r="G697" s="103"/>
      <c r="H697" s="71"/>
      <c r="I697" s="137"/>
      <c r="J697" s="138"/>
      <c r="K697" s="103"/>
      <c r="L697" s="71"/>
      <c r="M697" s="137"/>
      <c r="N697" s="125"/>
      <c r="O697" s="103"/>
      <c r="P697" s="71"/>
      <c r="Q697" s="189"/>
      <c r="R697" s="125"/>
      <c r="S697" s="103"/>
      <c r="T697" s="71"/>
      <c r="U697" s="189"/>
      <c r="V697" s="125"/>
      <c r="W697" s="103"/>
      <c r="X697" s="71"/>
      <c r="Y697" s="137"/>
      <c r="Z697" s="180"/>
      <c r="AA697" s="181"/>
      <c r="AB697" s="182"/>
      <c r="AC697" s="137"/>
      <c r="AD697" s="125"/>
      <c r="AE697" s="162"/>
      <c r="AF697" s="183"/>
      <c r="AG697" s="195"/>
      <c r="AH697" s="195"/>
      <c r="AI697" s="195"/>
      <c r="AJ697" s="195"/>
      <c r="AK697" s="71"/>
      <c r="AL697" s="71"/>
      <c r="AM697" s="71"/>
      <c r="AN697" s="71"/>
      <c r="AO697" s="71"/>
    </row>
    <row r="698">
      <c r="A698" s="137"/>
      <c r="B698" s="138"/>
      <c r="C698" s="103"/>
      <c r="D698" s="71"/>
      <c r="E698" s="137"/>
      <c r="F698" s="138"/>
      <c r="G698" s="103"/>
      <c r="H698" s="71"/>
      <c r="I698" s="137"/>
      <c r="J698" s="138"/>
      <c r="K698" s="103"/>
      <c r="L698" s="71"/>
      <c r="M698" s="137"/>
      <c r="N698" s="125"/>
      <c r="O698" s="103"/>
      <c r="P698" s="71"/>
      <c r="Q698" s="189"/>
      <c r="R698" s="125"/>
      <c r="S698" s="103"/>
      <c r="T698" s="71"/>
      <c r="U698" s="189"/>
      <c r="V698" s="125"/>
      <c r="W698" s="103"/>
      <c r="X698" s="71"/>
      <c r="Y698" s="137"/>
      <c r="Z698" s="180"/>
      <c r="AA698" s="181"/>
      <c r="AB698" s="182"/>
      <c r="AC698" s="137"/>
      <c r="AD698" s="125"/>
      <c r="AE698" s="162"/>
      <c r="AF698" s="183"/>
      <c r="AG698" s="195"/>
      <c r="AH698" s="195"/>
      <c r="AI698" s="195"/>
      <c r="AJ698" s="195"/>
      <c r="AK698" s="71"/>
      <c r="AL698" s="71"/>
      <c r="AM698" s="71"/>
      <c r="AN698" s="71"/>
      <c r="AO698" s="71"/>
    </row>
    <row r="699">
      <c r="A699" s="137"/>
      <c r="B699" s="138"/>
      <c r="C699" s="103"/>
      <c r="D699" s="71"/>
      <c r="E699" s="137"/>
      <c r="F699" s="138"/>
      <c r="G699" s="103"/>
      <c r="H699" s="71"/>
      <c r="I699" s="137"/>
      <c r="J699" s="138"/>
      <c r="K699" s="103"/>
      <c r="L699" s="71"/>
      <c r="M699" s="137"/>
      <c r="N699" s="125"/>
      <c r="O699" s="103"/>
      <c r="P699" s="71"/>
      <c r="Q699" s="189"/>
      <c r="R699" s="125"/>
      <c r="S699" s="103"/>
      <c r="T699" s="71"/>
      <c r="U699" s="189"/>
      <c r="V699" s="125"/>
      <c r="W699" s="103"/>
      <c r="X699" s="71"/>
      <c r="Y699" s="137"/>
      <c r="Z699" s="180"/>
      <c r="AA699" s="181"/>
      <c r="AB699" s="182"/>
      <c r="AC699" s="137"/>
      <c r="AD699" s="125"/>
      <c r="AE699" s="162"/>
      <c r="AF699" s="183"/>
      <c r="AG699" s="195"/>
      <c r="AH699" s="195"/>
      <c r="AI699" s="195"/>
      <c r="AJ699" s="195"/>
      <c r="AK699" s="71"/>
      <c r="AL699" s="71"/>
      <c r="AM699" s="71"/>
      <c r="AN699" s="71"/>
      <c r="AO699" s="71"/>
    </row>
    <row r="700">
      <c r="A700" s="137"/>
      <c r="B700" s="138"/>
      <c r="C700" s="103"/>
      <c r="D700" s="71"/>
      <c r="E700" s="137"/>
      <c r="F700" s="138"/>
      <c r="G700" s="103"/>
      <c r="H700" s="71"/>
      <c r="I700" s="137"/>
      <c r="J700" s="138"/>
      <c r="K700" s="103"/>
      <c r="L700" s="71"/>
      <c r="M700" s="137"/>
      <c r="N700" s="125"/>
      <c r="O700" s="103"/>
      <c r="P700" s="71"/>
      <c r="Q700" s="189"/>
      <c r="R700" s="125"/>
      <c r="S700" s="103"/>
      <c r="T700" s="71"/>
      <c r="U700" s="189"/>
      <c r="V700" s="125"/>
      <c r="W700" s="103"/>
      <c r="X700" s="71"/>
      <c r="Y700" s="137"/>
      <c r="Z700" s="180"/>
      <c r="AA700" s="181"/>
      <c r="AB700" s="182"/>
      <c r="AC700" s="137"/>
      <c r="AD700" s="125"/>
      <c r="AE700" s="162"/>
      <c r="AF700" s="183"/>
      <c r="AG700" s="195"/>
      <c r="AH700" s="195"/>
      <c r="AI700" s="195"/>
      <c r="AJ700" s="195"/>
      <c r="AK700" s="71"/>
      <c r="AL700" s="71"/>
      <c r="AM700" s="71"/>
      <c r="AN700" s="71"/>
      <c r="AO700" s="71"/>
    </row>
    <row r="701">
      <c r="A701" s="137"/>
      <c r="B701" s="138"/>
      <c r="C701" s="103"/>
      <c r="D701" s="71"/>
      <c r="E701" s="137"/>
      <c r="F701" s="138"/>
      <c r="G701" s="103"/>
      <c r="H701" s="71"/>
      <c r="I701" s="137"/>
      <c r="J701" s="138"/>
      <c r="K701" s="103"/>
      <c r="L701" s="71"/>
      <c r="M701" s="137"/>
      <c r="N701" s="125"/>
      <c r="O701" s="103"/>
      <c r="P701" s="71"/>
      <c r="Q701" s="189"/>
      <c r="R701" s="125"/>
      <c r="S701" s="103"/>
      <c r="T701" s="71"/>
      <c r="U701" s="189"/>
      <c r="V701" s="125"/>
      <c r="W701" s="103"/>
      <c r="X701" s="71"/>
      <c r="Y701" s="137"/>
      <c r="Z701" s="180"/>
      <c r="AA701" s="181"/>
      <c r="AB701" s="182"/>
      <c r="AC701" s="137"/>
      <c r="AD701" s="125"/>
      <c r="AE701" s="162"/>
      <c r="AF701" s="183"/>
      <c r="AG701" s="195"/>
      <c r="AH701" s="195"/>
      <c r="AI701" s="195"/>
      <c r="AJ701" s="195"/>
      <c r="AK701" s="71"/>
      <c r="AL701" s="71"/>
      <c r="AM701" s="71"/>
      <c r="AN701" s="71"/>
      <c r="AO701" s="71"/>
    </row>
    <row r="702">
      <c r="A702" s="137"/>
      <c r="B702" s="138"/>
      <c r="C702" s="103"/>
      <c r="D702" s="71"/>
      <c r="E702" s="137"/>
      <c r="F702" s="138"/>
      <c r="G702" s="103"/>
      <c r="H702" s="71"/>
      <c r="I702" s="137"/>
      <c r="J702" s="138"/>
      <c r="K702" s="103"/>
      <c r="L702" s="71"/>
      <c r="M702" s="137"/>
      <c r="N702" s="125"/>
      <c r="O702" s="103"/>
      <c r="P702" s="71"/>
      <c r="Q702" s="189"/>
      <c r="R702" s="125"/>
      <c r="S702" s="103"/>
      <c r="T702" s="71"/>
      <c r="U702" s="189"/>
      <c r="V702" s="125"/>
      <c r="W702" s="103"/>
      <c r="X702" s="71"/>
      <c r="Y702" s="137"/>
      <c r="Z702" s="180"/>
      <c r="AA702" s="181"/>
      <c r="AB702" s="182"/>
      <c r="AC702" s="137"/>
      <c r="AD702" s="125"/>
      <c r="AE702" s="162"/>
      <c r="AF702" s="183"/>
      <c r="AG702" s="195"/>
      <c r="AH702" s="195"/>
      <c r="AI702" s="195"/>
      <c r="AJ702" s="195"/>
      <c r="AK702" s="71"/>
      <c r="AL702" s="71"/>
      <c r="AM702" s="71"/>
      <c r="AN702" s="71"/>
      <c r="AO702" s="71"/>
    </row>
    <row r="703">
      <c r="A703" s="137"/>
      <c r="B703" s="138"/>
      <c r="C703" s="103"/>
      <c r="D703" s="71"/>
      <c r="E703" s="137"/>
      <c r="F703" s="138"/>
      <c r="G703" s="103"/>
      <c r="H703" s="71"/>
      <c r="I703" s="137"/>
      <c r="J703" s="138"/>
      <c r="K703" s="103"/>
      <c r="L703" s="71"/>
      <c r="M703" s="137"/>
      <c r="N703" s="125"/>
      <c r="O703" s="103"/>
      <c r="P703" s="71"/>
      <c r="Q703" s="189"/>
      <c r="R703" s="125"/>
      <c r="S703" s="103"/>
      <c r="T703" s="71"/>
      <c r="U703" s="189"/>
      <c r="V703" s="125"/>
      <c r="W703" s="103"/>
      <c r="X703" s="71"/>
      <c r="Y703" s="137"/>
      <c r="Z703" s="180"/>
      <c r="AA703" s="181"/>
      <c r="AB703" s="182"/>
      <c r="AC703" s="137"/>
      <c r="AD703" s="125"/>
      <c r="AE703" s="162"/>
      <c r="AF703" s="183"/>
      <c r="AG703" s="195"/>
      <c r="AH703" s="195"/>
      <c r="AI703" s="195"/>
      <c r="AJ703" s="195"/>
      <c r="AK703" s="71"/>
      <c r="AL703" s="71"/>
      <c r="AM703" s="71"/>
      <c r="AN703" s="71"/>
      <c r="AO703" s="71"/>
    </row>
    <row r="704">
      <c r="A704" s="137"/>
      <c r="B704" s="138"/>
      <c r="C704" s="103"/>
      <c r="D704" s="71"/>
      <c r="E704" s="137"/>
      <c r="F704" s="138"/>
      <c r="G704" s="103"/>
      <c r="H704" s="71"/>
      <c r="I704" s="137"/>
      <c r="J704" s="138"/>
      <c r="K704" s="103"/>
      <c r="L704" s="71"/>
      <c r="M704" s="137"/>
      <c r="N704" s="125"/>
      <c r="O704" s="103"/>
      <c r="P704" s="71"/>
      <c r="Q704" s="189"/>
      <c r="R704" s="125"/>
      <c r="S704" s="103"/>
      <c r="T704" s="71"/>
      <c r="U704" s="189"/>
      <c r="V704" s="125"/>
      <c r="W704" s="103"/>
      <c r="X704" s="71"/>
      <c r="Y704" s="137"/>
      <c r="Z704" s="180"/>
      <c r="AA704" s="181"/>
      <c r="AB704" s="182"/>
      <c r="AC704" s="137"/>
      <c r="AD704" s="125"/>
      <c r="AE704" s="162"/>
      <c r="AF704" s="183"/>
      <c r="AG704" s="195"/>
      <c r="AH704" s="195"/>
      <c r="AI704" s="195"/>
      <c r="AJ704" s="195"/>
      <c r="AK704" s="71"/>
      <c r="AL704" s="71"/>
      <c r="AM704" s="71"/>
      <c r="AN704" s="71"/>
      <c r="AO704" s="71"/>
    </row>
    <row r="705">
      <c r="A705" s="137"/>
      <c r="B705" s="138"/>
      <c r="C705" s="103"/>
      <c r="D705" s="71"/>
      <c r="E705" s="137"/>
      <c r="F705" s="138"/>
      <c r="G705" s="103"/>
      <c r="H705" s="71"/>
      <c r="I705" s="137"/>
      <c r="J705" s="138"/>
      <c r="K705" s="103"/>
      <c r="L705" s="71"/>
      <c r="M705" s="137"/>
      <c r="N705" s="125"/>
      <c r="O705" s="103"/>
      <c r="P705" s="71"/>
      <c r="Q705" s="189"/>
      <c r="R705" s="125"/>
      <c r="S705" s="103"/>
      <c r="T705" s="71"/>
      <c r="U705" s="189"/>
      <c r="V705" s="125"/>
      <c r="W705" s="103"/>
      <c r="X705" s="71"/>
      <c r="Y705" s="137"/>
      <c r="Z705" s="180"/>
      <c r="AA705" s="181"/>
      <c r="AB705" s="182"/>
      <c r="AC705" s="137"/>
      <c r="AD705" s="125"/>
      <c r="AE705" s="162"/>
      <c r="AF705" s="183"/>
      <c r="AG705" s="195"/>
      <c r="AH705" s="195"/>
      <c r="AI705" s="195"/>
      <c r="AJ705" s="195"/>
      <c r="AK705" s="71"/>
      <c r="AL705" s="71"/>
      <c r="AM705" s="71"/>
      <c r="AN705" s="71"/>
      <c r="AO705" s="71"/>
    </row>
    <row r="706">
      <c r="A706" s="137"/>
      <c r="B706" s="138"/>
      <c r="C706" s="103"/>
      <c r="D706" s="71"/>
      <c r="E706" s="137"/>
      <c r="F706" s="138"/>
      <c r="G706" s="103"/>
      <c r="H706" s="71"/>
      <c r="I706" s="137"/>
      <c r="J706" s="138"/>
      <c r="K706" s="103"/>
      <c r="L706" s="71"/>
      <c r="M706" s="137"/>
      <c r="N706" s="125"/>
      <c r="O706" s="103"/>
      <c r="P706" s="71"/>
      <c r="Q706" s="189"/>
      <c r="R706" s="125"/>
      <c r="S706" s="103"/>
      <c r="T706" s="71"/>
      <c r="U706" s="189"/>
      <c r="V706" s="125"/>
      <c r="W706" s="103"/>
      <c r="X706" s="71"/>
      <c r="Y706" s="137"/>
      <c r="Z706" s="180"/>
      <c r="AA706" s="181"/>
      <c r="AB706" s="182"/>
      <c r="AC706" s="137"/>
      <c r="AD706" s="125"/>
      <c r="AE706" s="162"/>
      <c r="AF706" s="183"/>
      <c r="AG706" s="195"/>
      <c r="AH706" s="195"/>
      <c r="AI706" s="195"/>
      <c r="AJ706" s="195"/>
      <c r="AK706" s="71"/>
      <c r="AL706" s="71"/>
      <c r="AM706" s="71"/>
      <c r="AN706" s="71"/>
      <c r="AO706" s="71"/>
    </row>
    <row r="707">
      <c r="A707" s="137"/>
      <c r="B707" s="138"/>
      <c r="C707" s="103"/>
      <c r="D707" s="71"/>
      <c r="E707" s="137"/>
      <c r="F707" s="138"/>
      <c r="G707" s="103"/>
      <c r="H707" s="71"/>
      <c r="I707" s="137"/>
      <c r="J707" s="138"/>
      <c r="K707" s="103"/>
      <c r="L707" s="71"/>
      <c r="M707" s="137"/>
      <c r="N707" s="125"/>
      <c r="O707" s="103"/>
      <c r="P707" s="71"/>
      <c r="Q707" s="189"/>
      <c r="R707" s="125"/>
      <c r="S707" s="103"/>
      <c r="T707" s="71"/>
      <c r="U707" s="189"/>
      <c r="V707" s="125"/>
      <c r="W707" s="103"/>
      <c r="X707" s="71"/>
      <c r="Y707" s="137"/>
      <c r="Z707" s="180"/>
      <c r="AA707" s="181"/>
      <c r="AB707" s="182"/>
      <c r="AC707" s="137"/>
      <c r="AD707" s="125"/>
      <c r="AE707" s="162"/>
      <c r="AF707" s="183"/>
      <c r="AG707" s="195"/>
      <c r="AH707" s="195"/>
      <c r="AI707" s="195"/>
      <c r="AJ707" s="195"/>
      <c r="AK707" s="71"/>
      <c r="AL707" s="71"/>
      <c r="AM707" s="71"/>
      <c r="AN707" s="71"/>
      <c r="AO707" s="71"/>
    </row>
    <row r="708">
      <c r="A708" s="137"/>
      <c r="B708" s="138"/>
      <c r="C708" s="103"/>
      <c r="D708" s="71"/>
      <c r="E708" s="137"/>
      <c r="F708" s="138"/>
      <c r="G708" s="103"/>
      <c r="H708" s="71"/>
      <c r="I708" s="137"/>
      <c r="J708" s="138"/>
      <c r="K708" s="103"/>
      <c r="L708" s="71"/>
      <c r="M708" s="137"/>
      <c r="N708" s="125"/>
      <c r="O708" s="103"/>
      <c r="P708" s="71"/>
      <c r="Q708" s="189"/>
      <c r="R708" s="125"/>
      <c r="S708" s="103"/>
      <c r="T708" s="71"/>
      <c r="U708" s="189"/>
      <c r="V708" s="125"/>
      <c r="W708" s="103"/>
      <c r="X708" s="71"/>
      <c r="Y708" s="137"/>
      <c r="Z708" s="180"/>
      <c r="AA708" s="181"/>
      <c r="AB708" s="182"/>
      <c r="AC708" s="137"/>
      <c r="AD708" s="125"/>
      <c r="AE708" s="162"/>
      <c r="AF708" s="183"/>
      <c r="AG708" s="195"/>
      <c r="AH708" s="195"/>
      <c r="AI708" s="195"/>
      <c r="AJ708" s="195"/>
      <c r="AK708" s="71"/>
      <c r="AL708" s="71"/>
      <c r="AM708" s="71"/>
      <c r="AN708" s="71"/>
      <c r="AO708" s="71"/>
    </row>
    <row r="709">
      <c r="A709" s="137"/>
      <c r="B709" s="138"/>
      <c r="C709" s="103"/>
      <c r="D709" s="71"/>
      <c r="E709" s="137"/>
      <c r="F709" s="138"/>
      <c r="G709" s="103"/>
      <c r="H709" s="71"/>
      <c r="I709" s="137"/>
      <c r="J709" s="138"/>
      <c r="K709" s="103"/>
      <c r="L709" s="71"/>
      <c r="M709" s="137"/>
      <c r="N709" s="125"/>
      <c r="O709" s="103"/>
      <c r="P709" s="71"/>
      <c r="Q709" s="189"/>
      <c r="R709" s="125"/>
      <c r="S709" s="103"/>
      <c r="T709" s="71"/>
      <c r="U709" s="189"/>
      <c r="V709" s="125"/>
      <c r="W709" s="103"/>
      <c r="X709" s="71"/>
      <c r="Y709" s="137"/>
      <c r="Z709" s="180"/>
      <c r="AA709" s="181"/>
      <c r="AB709" s="182"/>
      <c r="AC709" s="137"/>
      <c r="AD709" s="125"/>
      <c r="AE709" s="162"/>
      <c r="AF709" s="183"/>
      <c r="AG709" s="195"/>
      <c r="AH709" s="195"/>
      <c r="AI709" s="195"/>
      <c r="AJ709" s="195"/>
      <c r="AK709" s="71"/>
      <c r="AL709" s="71"/>
      <c r="AM709" s="71"/>
      <c r="AN709" s="71"/>
      <c r="AO709" s="71"/>
    </row>
    <row r="710">
      <c r="A710" s="137"/>
      <c r="B710" s="138"/>
      <c r="C710" s="103"/>
      <c r="D710" s="71"/>
      <c r="E710" s="137"/>
      <c r="F710" s="138"/>
      <c r="G710" s="103"/>
      <c r="H710" s="71"/>
      <c r="I710" s="137"/>
      <c r="J710" s="138"/>
      <c r="K710" s="103"/>
      <c r="L710" s="71"/>
      <c r="M710" s="137"/>
      <c r="N710" s="125"/>
      <c r="O710" s="103"/>
      <c r="P710" s="71"/>
      <c r="Q710" s="189"/>
      <c r="R710" s="125"/>
      <c r="S710" s="103"/>
      <c r="T710" s="71"/>
      <c r="U710" s="189"/>
      <c r="V710" s="125"/>
      <c r="W710" s="103"/>
      <c r="X710" s="71"/>
      <c r="Y710" s="137"/>
      <c r="Z710" s="180"/>
      <c r="AA710" s="181"/>
      <c r="AB710" s="182"/>
      <c r="AC710" s="137"/>
      <c r="AD710" s="125"/>
      <c r="AE710" s="162"/>
      <c r="AF710" s="183"/>
      <c r="AG710" s="195"/>
      <c r="AH710" s="195"/>
      <c r="AI710" s="195"/>
      <c r="AJ710" s="195"/>
      <c r="AK710" s="71"/>
      <c r="AL710" s="71"/>
      <c r="AM710" s="71"/>
      <c r="AN710" s="71"/>
      <c r="AO710" s="71"/>
    </row>
    <row r="711">
      <c r="A711" s="137"/>
      <c r="B711" s="138"/>
      <c r="C711" s="103"/>
      <c r="D711" s="71"/>
      <c r="E711" s="137"/>
      <c r="F711" s="138"/>
      <c r="G711" s="103"/>
      <c r="H711" s="71"/>
      <c r="I711" s="137"/>
      <c r="J711" s="138"/>
      <c r="K711" s="103"/>
      <c r="L711" s="71"/>
      <c r="M711" s="137"/>
      <c r="N711" s="125"/>
      <c r="O711" s="103"/>
      <c r="P711" s="71"/>
      <c r="Q711" s="189"/>
      <c r="R711" s="125"/>
      <c r="S711" s="103"/>
      <c r="T711" s="71"/>
      <c r="U711" s="189"/>
      <c r="V711" s="125"/>
      <c r="W711" s="103"/>
      <c r="X711" s="71"/>
      <c r="Y711" s="137"/>
      <c r="Z711" s="180"/>
      <c r="AA711" s="181"/>
      <c r="AB711" s="182"/>
      <c r="AC711" s="137"/>
      <c r="AD711" s="125"/>
      <c r="AE711" s="162"/>
      <c r="AF711" s="183"/>
      <c r="AG711" s="195"/>
      <c r="AH711" s="195"/>
      <c r="AI711" s="195"/>
      <c r="AJ711" s="195"/>
      <c r="AK711" s="71"/>
      <c r="AL711" s="71"/>
      <c r="AM711" s="71"/>
      <c r="AN711" s="71"/>
      <c r="AO711" s="71"/>
    </row>
    <row r="712">
      <c r="A712" s="137"/>
      <c r="B712" s="138"/>
      <c r="C712" s="103"/>
      <c r="D712" s="71"/>
      <c r="E712" s="137"/>
      <c r="F712" s="138"/>
      <c r="G712" s="103"/>
      <c r="H712" s="71"/>
      <c r="I712" s="137"/>
      <c r="J712" s="138"/>
      <c r="K712" s="103"/>
      <c r="L712" s="71"/>
      <c r="M712" s="137"/>
      <c r="N712" s="125"/>
      <c r="O712" s="103"/>
      <c r="P712" s="71"/>
      <c r="Q712" s="189"/>
      <c r="R712" s="125"/>
      <c r="S712" s="103"/>
      <c r="T712" s="71"/>
      <c r="U712" s="189"/>
      <c r="V712" s="125"/>
      <c r="W712" s="103"/>
      <c r="X712" s="71"/>
      <c r="Y712" s="137"/>
      <c r="Z712" s="180"/>
      <c r="AA712" s="181"/>
      <c r="AB712" s="182"/>
      <c r="AC712" s="137"/>
      <c r="AD712" s="125"/>
      <c r="AE712" s="162"/>
      <c r="AF712" s="183"/>
      <c r="AG712" s="195"/>
      <c r="AH712" s="195"/>
      <c r="AI712" s="195"/>
      <c r="AJ712" s="195"/>
      <c r="AK712" s="71"/>
      <c r="AL712" s="71"/>
      <c r="AM712" s="71"/>
      <c r="AN712" s="71"/>
      <c r="AO712" s="71"/>
    </row>
    <row r="713">
      <c r="A713" s="137"/>
      <c r="B713" s="138"/>
      <c r="C713" s="103"/>
      <c r="D713" s="71"/>
      <c r="E713" s="137"/>
      <c r="F713" s="138"/>
      <c r="G713" s="103"/>
      <c r="H713" s="71"/>
      <c r="I713" s="137"/>
      <c r="J713" s="138"/>
      <c r="K713" s="103"/>
      <c r="L713" s="71"/>
      <c r="M713" s="137"/>
      <c r="N713" s="125"/>
      <c r="O713" s="103"/>
      <c r="P713" s="71"/>
      <c r="Q713" s="189"/>
      <c r="R713" s="125"/>
      <c r="S713" s="103"/>
      <c r="T713" s="71"/>
      <c r="U713" s="189"/>
      <c r="V713" s="125"/>
      <c r="W713" s="103"/>
      <c r="X713" s="71"/>
      <c r="Y713" s="137"/>
      <c r="Z713" s="180"/>
      <c r="AA713" s="181"/>
      <c r="AB713" s="182"/>
      <c r="AC713" s="137"/>
      <c r="AD713" s="125"/>
      <c r="AE713" s="162"/>
      <c r="AF713" s="183"/>
      <c r="AG713" s="195"/>
      <c r="AH713" s="195"/>
      <c r="AI713" s="195"/>
      <c r="AJ713" s="195"/>
      <c r="AK713" s="71"/>
      <c r="AL713" s="71"/>
      <c r="AM713" s="71"/>
      <c r="AN713" s="71"/>
      <c r="AO713" s="71"/>
    </row>
    <row r="714">
      <c r="A714" s="137"/>
      <c r="B714" s="138"/>
      <c r="C714" s="103"/>
      <c r="D714" s="71"/>
      <c r="E714" s="137"/>
      <c r="F714" s="138"/>
      <c r="G714" s="103"/>
      <c r="H714" s="71"/>
      <c r="I714" s="137"/>
      <c r="J714" s="138"/>
      <c r="K714" s="103"/>
      <c r="L714" s="71"/>
      <c r="M714" s="137"/>
      <c r="N714" s="125"/>
      <c r="O714" s="103"/>
      <c r="P714" s="71"/>
      <c r="Q714" s="189"/>
      <c r="R714" s="125"/>
      <c r="S714" s="103"/>
      <c r="T714" s="71"/>
      <c r="U714" s="189"/>
      <c r="V714" s="125"/>
      <c r="W714" s="103"/>
      <c r="X714" s="71"/>
      <c r="Y714" s="137"/>
      <c r="Z714" s="180"/>
      <c r="AA714" s="181"/>
      <c r="AB714" s="182"/>
      <c r="AC714" s="137"/>
      <c r="AD714" s="125"/>
      <c r="AE714" s="162"/>
      <c r="AF714" s="183"/>
      <c r="AG714" s="195"/>
      <c r="AH714" s="195"/>
      <c r="AI714" s="195"/>
      <c r="AJ714" s="195"/>
      <c r="AK714" s="71"/>
      <c r="AL714" s="71"/>
      <c r="AM714" s="71"/>
      <c r="AN714" s="71"/>
      <c r="AO714" s="71"/>
    </row>
    <row r="715">
      <c r="A715" s="137"/>
      <c r="B715" s="138"/>
      <c r="C715" s="103"/>
      <c r="D715" s="71"/>
      <c r="E715" s="137"/>
      <c r="F715" s="138"/>
      <c r="G715" s="103"/>
      <c r="H715" s="71"/>
      <c r="I715" s="137"/>
      <c r="J715" s="138"/>
      <c r="K715" s="103"/>
      <c r="L715" s="71"/>
      <c r="M715" s="137"/>
      <c r="N715" s="125"/>
      <c r="O715" s="103"/>
      <c r="P715" s="71"/>
      <c r="Q715" s="189"/>
      <c r="R715" s="125"/>
      <c r="S715" s="103"/>
      <c r="T715" s="71"/>
      <c r="U715" s="189"/>
      <c r="V715" s="125"/>
      <c r="W715" s="103"/>
      <c r="X715" s="71"/>
      <c r="Y715" s="137"/>
      <c r="Z715" s="180"/>
      <c r="AA715" s="181"/>
      <c r="AB715" s="182"/>
      <c r="AC715" s="137"/>
      <c r="AD715" s="125"/>
      <c r="AE715" s="162"/>
      <c r="AF715" s="183"/>
      <c r="AG715" s="195"/>
      <c r="AH715" s="195"/>
      <c r="AI715" s="195"/>
      <c r="AJ715" s="195"/>
      <c r="AK715" s="71"/>
      <c r="AL715" s="71"/>
      <c r="AM715" s="71"/>
      <c r="AN715" s="71"/>
      <c r="AO715" s="71"/>
    </row>
    <row r="716">
      <c r="A716" s="137"/>
      <c r="B716" s="138"/>
      <c r="C716" s="103"/>
      <c r="D716" s="71"/>
      <c r="E716" s="137"/>
      <c r="F716" s="138"/>
      <c r="G716" s="103"/>
      <c r="H716" s="71"/>
      <c r="I716" s="137"/>
      <c r="J716" s="138"/>
      <c r="K716" s="103"/>
      <c r="L716" s="71"/>
      <c r="M716" s="137"/>
      <c r="N716" s="125"/>
      <c r="O716" s="103"/>
      <c r="P716" s="71"/>
      <c r="Q716" s="189"/>
      <c r="R716" s="125"/>
      <c r="S716" s="103"/>
      <c r="T716" s="71"/>
      <c r="U716" s="189"/>
      <c r="V716" s="125"/>
      <c r="W716" s="103"/>
      <c r="X716" s="71"/>
      <c r="Y716" s="137"/>
      <c r="Z716" s="180"/>
      <c r="AA716" s="181"/>
      <c r="AB716" s="182"/>
      <c r="AC716" s="137"/>
      <c r="AD716" s="125"/>
      <c r="AE716" s="162"/>
      <c r="AF716" s="183"/>
      <c r="AG716" s="195"/>
      <c r="AH716" s="195"/>
      <c r="AI716" s="195"/>
      <c r="AJ716" s="195"/>
      <c r="AK716" s="71"/>
      <c r="AL716" s="71"/>
      <c r="AM716" s="71"/>
      <c r="AN716" s="71"/>
      <c r="AO716" s="71"/>
    </row>
    <row r="717">
      <c r="A717" s="137"/>
      <c r="B717" s="138"/>
      <c r="C717" s="103"/>
      <c r="D717" s="71"/>
      <c r="E717" s="137"/>
      <c r="F717" s="138"/>
      <c r="G717" s="103"/>
      <c r="H717" s="71"/>
      <c r="I717" s="137"/>
      <c r="J717" s="138"/>
      <c r="K717" s="103"/>
      <c r="L717" s="71"/>
      <c r="M717" s="137"/>
      <c r="N717" s="125"/>
      <c r="O717" s="103"/>
      <c r="P717" s="71"/>
      <c r="Q717" s="189"/>
      <c r="R717" s="125"/>
      <c r="S717" s="103"/>
      <c r="T717" s="71"/>
      <c r="U717" s="189"/>
      <c r="V717" s="125"/>
      <c r="W717" s="103"/>
      <c r="X717" s="71"/>
      <c r="Y717" s="137"/>
      <c r="Z717" s="180"/>
      <c r="AA717" s="181"/>
      <c r="AB717" s="182"/>
      <c r="AC717" s="137"/>
      <c r="AD717" s="125"/>
      <c r="AE717" s="162"/>
      <c r="AF717" s="183"/>
      <c r="AG717" s="195"/>
      <c r="AH717" s="195"/>
      <c r="AI717" s="195"/>
      <c r="AJ717" s="195"/>
      <c r="AK717" s="71"/>
      <c r="AL717" s="71"/>
      <c r="AM717" s="71"/>
      <c r="AN717" s="71"/>
      <c r="AO717" s="71"/>
    </row>
    <row r="718">
      <c r="A718" s="137"/>
      <c r="B718" s="138"/>
      <c r="C718" s="103"/>
      <c r="D718" s="71"/>
      <c r="E718" s="137"/>
      <c r="F718" s="138"/>
      <c r="G718" s="103"/>
      <c r="H718" s="71"/>
      <c r="I718" s="137"/>
      <c r="J718" s="138"/>
      <c r="K718" s="103"/>
      <c r="L718" s="71"/>
      <c r="M718" s="137"/>
      <c r="N718" s="125"/>
      <c r="O718" s="103"/>
      <c r="P718" s="71"/>
      <c r="Q718" s="189"/>
      <c r="R718" s="125"/>
      <c r="S718" s="103"/>
      <c r="T718" s="71"/>
      <c r="U718" s="189"/>
      <c r="V718" s="125"/>
      <c r="W718" s="103"/>
      <c r="X718" s="71"/>
      <c r="Y718" s="137"/>
      <c r="Z718" s="180"/>
      <c r="AA718" s="181"/>
      <c r="AB718" s="182"/>
      <c r="AC718" s="137"/>
      <c r="AD718" s="125"/>
      <c r="AE718" s="162"/>
      <c r="AF718" s="183"/>
      <c r="AG718" s="195"/>
      <c r="AH718" s="195"/>
      <c r="AI718" s="195"/>
      <c r="AJ718" s="195"/>
      <c r="AK718" s="71"/>
      <c r="AL718" s="71"/>
      <c r="AM718" s="71"/>
      <c r="AN718" s="71"/>
      <c r="AO718" s="71"/>
    </row>
    <row r="719">
      <c r="A719" s="137"/>
      <c r="B719" s="138"/>
      <c r="C719" s="103"/>
      <c r="D719" s="71"/>
      <c r="E719" s="137"/>
      <c r="F719" s="138"/>
      <c r="G719" s="103"/>
      <c r="H719" s="71"/>
      <c r="I719" s="137"/>
      <c r="J719" s="138"/>
      <c r="K719" s="103"/>
      <c r="L719" s="71"/>
      <c r="M719" s="137"/>
      <c r="N719" s="125"/>
      <c r="O719" s="103"/>
      <c r="P719" s="71"/>
      <c r="Q719" s="189"/>
      <c r="R719" s="125"/>
      <c r="S719" s="103"/>
      <c r="T719" s="71"/>
      <c r="U719" s="189"/>
      <c r="V719" s="125"/>
      <c r="W719" s="103"/>
      <c r="X719" s="71"/>
      <c r="Y719" s="137"/>
      <c r="Z719" s="180"/>
      <c r="AA719" s="181"/>
      <c r="AB719" s="182"/>
      <c r="AC719" s="137"/>
      <c r="AD719" s="125"/>
      <c r="AE719" s="162"/>
      <c r="AF719" s="183"/>
      <c r="AG719" s="195"/>
      <c r="AH719" s="195"/>
      <c r="AI719" s="195"/>
      <c r="AJ719" s="195"/>
      <c r="AK719" s="71"/>
      <c r="AL719" s="71"/>
      <c r="AM719" s="71"/>
      <c r="AN719" s="71"/>
      <c r="AO719" s="71"/>
    </row>
    <row r="720">
      <c r="A720" s="137"/>
      <c r="B720" s="138"/>
      <c r="C720" s="103"/>
      <c r="D720" s="71"/>
      <c r="E720" s="137"/>
      <c r="F720" s="138"/>
      <c r="G720" s="103"/>
      <c r="H720" s="71"/>
      <c r="I720" s="137"/>
      <c r="J720" s="138"/>
      <c r="K720" s="103"/>
      <c r="L720" s="71"/>
      <c r="M720" s="137"/>
      <c r="N720" s="125"/>
      <c r="O720" s="103"/>
      <c r="P720" s="71"/>
      <c r="Q720" s="189"/>
      <c r="R720" s="125"/>
      <c r="S720" s="103"/>
      <c r="T720" s="71"/>
      <c r="U720" s="189"/>
      <c r="V720" s="125"/>
      <c r="W720" s="103"/>
      <c r="X720" s="71"/>
      <c r="Y720" s="137"/>
      <c r="Z720" s="180"/>
      <c r="AA720" s="181"/>
      <c r="AB720" s="182"/>
      <c r="AC720" s="137"/>
      <c r="AD720" s="125"/>
      <c r="AE720" s="162"/>
      <c r="AF720" s="183"/>
      <c r="AG720" s="195"/>
      <c r="AH720" s="195"/>
      <c r="AI720" s="195"/>
      <c r="AJ720" s="195"/>
      <c r="AK720" s="71"/>
      <c r="AL720" s="71"/>
      <c r="AM720" s="71"/>
      <c r="AN720" s="71"/>
      <c r="AO720" s="71"/>
    </row>
    <row r="721">
      <c r="A721" s="137"/>
      <c r="B721" s="138"/>
      <c r="C721" s="103"/>
      <c r="D721" s="71"/>
      <c r="E721" s="137"/>
      <c r="F721" s="138"/>
      <c r="G721" s="103"/>
      <c r="H721" s="71"/>
      <c r="I721" s="137"/>
      <c r="J721" s="138"/>
      <c r="K721" s="103"/>
      <c r="L721" s="71"/>
      <c r="M721" s="137"/>
      <c r="N721" s="125"/>
      <c r="O721" s="103"/>
      <c r="P721" s="71"/>
      <c r="Q721" s="189"/>
      <c r="R721" s="125"/>
      <c r="S721" s="103"/>
      <c r="T721" s="71"/>
      <c r="U721" s="189"/>
      <c r="V721" s="125"/>
      <c r="W721" s="103"/>
      <c r="X721" s="71"/>
      <c r="Y721" s="137"/>
      <c r="Z721" s="180"/>
      <c r="AA721" s="181"/>
      <c r="AB721" s="182"/>
      <c r="AC721" s="137"/>
      <c r="AD721" s="125"/>
      <c r="AE721" s="162"/>
      <c r="AF721" s="183"/>
      <c r="AG721" s="195"/>
      <c r="AH721" s="195"/>
      <c r="AI721" s="195"/>
      <c r="AJ721" s="195"/>
      <c r="AK721" s="71"/>
      <c r="AL721" s="71"/>
      <c r="AM721" s="71"/>
      <c r="AN721" s="71"/>
      <c r="AO721" s="71"/>
    </row>
    <row r="722">
      <c r="A722" s="137"/>
      <c r="B722" s="138"/>
      <c r="C722" s="103"/>
      <c r="D722" s="71"/>
      <c r="E722" s="137"/>
      <c r="F722" s="138"/>
      <c r="G722" s="103"/>
      <c r="H722" s="71"/>
      <c r="I722" s="137"/>
      <c r="J722" s="138"/>
      <c r="K722" s="103"/>
      <c r="L722" s="71"/>
      <c r="M722" s="137"/>
      <c r="N722" s="125"/>
      <c r="O722" s="103"/>
      <c r="P722" s="71"/>
      <c r="Q722" s="189"/>
      <c r="R722" s="125"/>
      <c r="S722" s="103"/>
      <c r="T722" s="71"/>
      <c r="U722" s="189"/>
      <c r="V722" s="125"/>
      <c r="W722" s="103"/>
      <c r="X722" s="71"/>
      <c r="Y722" s="137"/>
      <c r="Z722" s="180"/>
      <c r="AA722" s="181"/>
      <c r="AB722" s="182"/>
      <c r="AC722" s="137"/>
      <c r="AD722" s="125"/>
      <c r="AE722" s="162"/>
      <c r="AF722" s="183"/>
      <c r="AG722" s="195"/>
      <c r="AH722" s="195"/>
      <c r="AI722" s="195"/>
      <c r="AJ722" s="195"/>
      <c r="AK722" s="71"/>
      <c r="AL722" s="71"/>
      <c r="AM722" s="71"/>
      <c r="AN722" s="71"/>
      <c r="AO722" s="71"/>
    </row>
    <row r="723">
      <c r="A723" s="137"/>
      <c r="B723" s="138"/>
      <c r="C723" s="103"/>
      <c r="D723" s="71"/>
      <c r="E723" s="137"/>
      <c r="F723" s="138"/>
      <c r="G723" s="103"/>
      <c r="H723" s="71"/>
      <c r="I723" s="137"/>
      <c r="J723" s="138"/>
      <c r="K723" s="103"/>
      <c r="L723" s="71"/>
      <c r="M723" s="137"/>
      <c r="N723" s="125"/>
      <c r="O723" s="103"/>
      <c r="P723" s="71"/>
      <c r="Q723" s="189"/>
      <c r="R723" s="125"/>
      <c r="S723" s="103"/>
      <c r="T723" s="71"/>
      <c r="U723" s="189"/>
      <c r="V723" s="125"/>
      <c r="W723" s="103"/>
      <c r="X723" s="71"/>
      <c r="Y723" s="137"/>
      <c r="Z723" s="180"/>
      <c r="AA723" s="181"/>
      <c r="AB723" s="182"/>
      <c r="AC723" s="137"/>
      <c r="AD723" s="125"/>
      <c r="AE723" s="162"/>
      <c r="AF723" s="183"/>
      <c r="AG723" s="195"/>
      <c r="AH723" s="195"/>
      <c r="AI723" s="195"/>
      <c r="AJ723" s="195"/>
      <c r="AK723" s="71"/>
      <c r="AL723" s="71"/>
      <c r="AM723" s="71"/>
      <c r="AN723" s="71"/>
      <c r="AO723" s="71"/>
    </row>
    <row r="724">
      <c r="A724" s="137"/>
      <c r="B724" s="138"/>
      <c r="C724" s="103"/>
      <c r="D724" s="71"/>
      <c r="E724" s="137"/>
      <c r="F724" s="138"/>
      <c r="G724" s="103"/>
      <c r="H724" s="71"/>
      <c r="I724" s="137"/>
      <c r="J724" s="138"/>
      <c r="K724" s="103"/>
      <c r="L724" s="71"/>
      <c r="M724" s="137"/>
      <c r="N724" s="125"/>
      <c r="O724" s="103"/>
      <c r="P724" s="71"/>
      <c r="Q724" s="189"/>
      <c r="R724" s="125"/>
      <c r="S724" s="103"/>
      <c r="T724" s="71"/>
      <c r="U724" s="189"/>
      <c r="V724" s="125"/>
      <c r="W724" s="103"/>
      <c r="X724" s="71"/>
      <c r="Y724" s="137"/>
      <c r="Z724" s="180"/>
      <c r="AA724" s="181"/>
      <c r="AB724" s="182"/>
      <c r="AC724" s="137"/>
      <c r="AD724" s="125"/>
      <c r="AE724" s="162"/>
      <c r="AF724" s="183"/>
      <c r="AG724" s="195"/>
      <c r="AH724" s="195"/>
      <c r="AI724" s="195"/>
      <c r="AJ724" s="195"/>
      <c r="AK724" s="71"/>
      <c r="AL724" s="71"/>
      <c r="AM724" s="71"/>
      <c r="AN724" s="71"/>
      <c r="AO724" s="71"/>
    </row>
    <row r="725">
      <c r="A725" s="137"/>
      <c r="B725" s="138"/>
      <c r="C725" s="103"/>
      <c r="D725" s="71"/>
      <c r="E725" s="137"/>
      <c r="F725" s="138"/>
      <c r="G725" s="103"/>
      <c r="H725" s="71"/>
      <c r="I725" s="137"/>
      <c r="J725" s="138"/>
      <c r="K725" s="103"/>
      <c r="L725" s="71"/>
      <c r="M725" s="137"/>
      <c r="N725" s="125"/>
      <c r="O725" s="103"/>
      <c r="P725" s="71"/>
      <c r="Q725" s="189"/>
      <c r="R725" s="125"/>
      <c r="S725" s="103"/>
      <c r="T725" s="71"/>
      <c r="U725" s="189"/>
      <c r="V725" s="125"/>
      <c r="W725" s="103"/>
      <c r="X725" s="71"/>
      <c r="Y725" s="137"/>
      <c r="Z725" s="180"/>
      <c r="AA725" s="181"/>
      <c r="AB725" s="182"/>
      <c r="AC725" s="137"/>
      <c r="AD725" s="125"/>
      <c r="AE725" s="162"/>
      <c r="AF725" s="183"/>
      <c r="AG725" s="195"/>
      <c r="AH725" s="195"/>
      <c r="AI725" s="195"/>
      <c r="AJ725" s="195"/>
      <c r="AK725" s="71"/>
      <c r="AL725" s="71"/>
      <c r="AM725" s="71"/>
      <c r="AN725" s="71"/>
      <c r="AO725" s="71"/>
    </row>
    <row r="726">
      <c r="A726" s="137"/>
      <c r="B726" s="138"/>
      <c r="C726" s="103"/>
      <c r="D726" s="71"/>
      <c r="E726" s="137"/>
      <c r="F726" s="138"/>
      <c r="G726" s="103"/>
      <c r="H726" s="71"/>
      <c r="I726" s="137"/>
      <c r="J726" s="138"/>
      <c r="K726" s="103"/>
      <c r="L726" s="71"/>
      <c r="M726" s="137"/>
      <c r="N726" s="125"/>
      <c r="O726" s="103"/>
      <c r="P726" s="71"/>
      <c r="Q726" s="189"/>
      <c r="R726" s="125"/>
      <c r="S726" s="103"/>
      <c r="T726" s="71"/>
      <c r="U726" s="189"/>
      <c r="V726" s="125"/>
      <c r="W726" s="103"/>
      <c r="X726" s="71"/>
      <c r="Y726" s="137"/>
      <c r="Z726" s="180"/>
      <c r="AA726" s="181"/>
      <c r="AB726" s="182"/>
      <c r="AC726" s="137"/>
      <c r="AD726" s="125"/>
      <c r="AE726" s="162"/>
      <c r="AF726" s="183"/>
      <c r="AG726" s="195"/>
      <c r="AH726" s="195"/>
      <c r="AI726" s="195"/>
      <c r="AJ726" s="195"/>
      <c r="AK726" s="71"/>
      <c r="AL726" s="71"/>
      <c r="AM726" s="71"/>
      <c r="AN726" s="71"/>
      <c r="AO726" s="71"/>
    </row>
    <row r="727">
      <c r="A727" s="137"/>
      <c r="B727" s="138"/>
      <c r="C727" s="103"/>
      <c r="D727" s="71"/>
      <c r="E727" s="137"/>
      <c r="F727" s="138"/>
      <c r="G727" s="103"/>
      <c r="H727" s="71"/>
      <c r="I727" s="137"/>
      <c r="J727" s="138"/>
      <c r="K727" s="103"/>
      <c r="L727" s="71"/>
      <c r="M727" s="137"/>
      <c r="N727" s="125"/>
      <c r="O727" s="103"/>
      <c r="P727" s="71"/>
      <c r="Q727" s="189"/>
      <c r="R727" s="125"/>
      <c r="S727" s="103"/>
      <c r="T727" s="71"/>
      <c r="U727" s="189"/>
      <c r="V727" s="125"/>
      <c r="W727" s="103"/>
      <c r="X727" s="71"/>
      <c r="Y727" s="137"/>
      <c r="Z727" s="180"/>
      <c r="AA727" s="181"/>
      <c r="AB727" s="182"/>
      <c r="AC727" s="137"/>
      <c r="AD727" s="125"/>
      <c r="AE727" s="162"/>
      <c r="AF727" s="183"/>
      <c r="AG727" s="195"/>
      <c r="AH727" s="195"/>
      <c r="AI727" s="195"/>
      <c r="AJ727" s="195"/>
      <c r="AK727" s="71"/>
      <c r="AL727" s="71"/>
      <c r="AM727" s="71"/>
      <c r="AN727" s="71"/>
      <c r="AO727" s="71"/>
    </row>
    <row r="728">
      <c r="A728" s="137"/>
      <c r="B728" s="138"/>
      <c r="C728" s="103"/>
      <c r="D728" s="71"/>
      <c r="E728" s="137"/>
      <c r="F728" s="138"/>
      <c r="G728" s="103"/>
      <c r="H728" s="71"/>
      <c r="I728" s="137"/>
      <c r="J728" s="138"/>
      <c r="K728" s="103"/>
      <c r="L728" s="71"/>
      <c r="M728" s="137"/>
      <c r="N728" s="125"/>
      <c r="O728" s="103"/>
      <c r="P728" s="71"/>
      <c r="Q728" s="189"/>
      <c r="R728" s="125"/>
      <c r="S728" s="103"/>
      <c r="T728" s="71"/>
      <c r="U728" s="189"/>
      <c r="V728" s="125"/>
      <c r="W728" s="103"/>
      <c r="X728" s="71"/>
      <c r="Y728" s="137"/>
      <c r="Z728" s="180"/>
      <c r="AA728" s="181"/>
      <c r="AB728" s="182"/>
      <c r="AC728" s="137"/>
      <c r="AD728" s="125"/>
      <c r="AE728" s="162"/>
      <c r="AF728" s="183"/>
      <c r="AG728" s="195"/>
      <c r="AH728" s="195"/>
      <c r="AI728" s="195"/>
      <c r="AJ728" s="195"/>
      <c r="AK728" s="71"/>
      <c r="AL728" s="71"/>
      <c r="AM728" s="71"/>
      <c r="AN728" s="71"/>
      <c r="AO728" s="71"/>
    </row>
    <row r="729">
      <c r="A729" s="137"/>
      <c r="B729" s="138"/>
      <c r="C729" s="103"/>
      <c r="D729" s="71"/>
      <c r="E729" s="137"/>
      <c r="F729" s="138"/>
      <c r="G729" s="103"/>
      <c r="H729" s="71"/>
      <c r="I729" s="137"/>
      <c r="J729" s="138"/>
      <c r="K729" s="103"/>
      <c r="L729" s="71"/>
      <c r="M729" s="137"/>
      <c r="N729" s="125"/>
      <c r="O729" s="103"/>
      <c r="P729" s="71"/>
      <c r="Q729" s="189"/>
      <c r="R729" s="125"/>
      <c r="S729" s="103"/>
      <c r="T729" s="71"/>
      <c r="U729" s="189"/>
      <c r="V729" s="125"/>
      <c r="W729" s="103"/>
      <c r="X729" s="71"/>
      <c r="Y729" s="137"/>
      <c r="Z729" s="180"/>
      <c r="AA729" s="181"/>
      <c r="AB729" s="182"/>
      <c r="AC729" s="137"/>
      <c r="AD729" s="125"/>
      <c r="AE729" s="162"/>
      <c r="AF729" s="183"/>
      <c r="AG729" s="195"/>
      <c r="AH729" s="195"/>
      <c r="AI729" s="195"/>
      <c r="AJ729" s="195"/>
      <c r="AK729" s="71"/>
      <c r="AL729" s="71"/>
      <c r="AM729" s="71"/>
      <c r="AN729" s="71"/>
      <c r="AO729" s="71"/>
    </row>
    <row r="730">
      <c r="A730" s="137"/>
      <c r="B730" s="138"/>
      <c r="C730" s="103"/>
      <c r="D730" s="71"/>
      <c r="E730" s="137"/>
      <c r="F730" s="138"/>
      <c r="G730" s="103"/>
      <c r="H730" s="71"/>
      <c r="I730" s="137"/>
      <c r="J730" s="138"/>
      <c r="K730" s="103"/>
      <c r="L730" s="71"/>
      <c r="M730" s="137"/>
      <c r="N730" s="125"/>
      <c r="O730" s="103"/>
      <c r="P730" s="71"/>
      <c r="Q730" s="189"/>
      <c r="R730" s="125"/>
      <c r="S730" s="103"/>
      <c r="T730" s="71"/>
      <c r="U730" s="189"/>
      <c r="V730" s="125"/>
      <c r="W730" s="103"/>
      <c r="X730" s="71"/>
      <c r="Y730" s="137"/>
      <c r="Z730" s="180"/>
      <c r="AA730" s="181"/>
      <c r="AB730" s="182"/>
      <c r="AC730" s="137"/>
      <c r="AD730" s="125"/>
      <c r="AE730" s="162"/>
      <c r="AF730" s="183"/>
      <c r="AG730" s="195"/>
      <c r="AH730" s="195"/>
      <c r="AI730" s="195"/>
      <c r="AJ730" s="195"/>
      <c r="AK730" s="71"/>
      <c r="AL730" s="71"/>
      <c r="AM730" s="71"/>
      <c r="AN730" s="71"/>
      <c r="AO730" s="71"/>
    </row>
    <row r="731">
      <c r="A731" s="137"/>
      <c r="B731" s="138"/>
      <c r="C731" s="103"/>
      <c r="D731" s="71"/>
      <c r="E731" s="137"/>
      <c r="F731" s="138"/>
      <c r="G731" s="103"/>
      <c r="H731" s="71"/>
      <c r="I731" s="137"/>
      <c r="J731" s="138"/>
      <c r="K731" s="103"/>
      <c r="L731" s="71"/>
      <c r="M731" s="137"/>
      <c r="N731" s="125"/>
      <c r="O731" s="103"/>
      <c r="P731" s="71"/>
      <c r="Q731" s="189"/>
      <c r="R731" s="125"/>
      <c r="S731" s="103"/>
      <c r="T731" s="71"/>
      <c r="U731" s="189"/>
      <c r="V731" s="125"/>
      <c r="W731" s="103"/>
      <c r="X731" s="71"/>
      <c r="Y731" s="137"/>
      <c r="Z731" s="180"/>
      <c r="AA731" s="181"/>
      <c r="AB731" s="182"/>
      <c r="AC731" s="137"/>
      <c r="AD731" s="125"/>
      <c r="AE731" s="162"/>
      <c r="AF731" s="183"/>
      <c r="AG731" s="195"/>
      <c r="AH731" s="195"/>
      <c r="AI731" s="195"/>
      <c r="AJ731" s="195"/>
      <c r="AK731" s="71"/>
      <c r="AL731" s="71"/>
      <c r="AM731" s="71"/>
      <c r="AN731" s="71"/>
      <c r="AO731" s="71"/>
    </row>
    <row r="732">
      <c r="A732" s="137"/>
      <c r="B732" s="138"/>
      <c r="C732" s="103"/>
      <c r="D732" s="71"/>
      <c r="E732" s="137"/>
      <c r="F732" s="138"/>
      <c r="G732" s="103"/>
      <c r="H732" s="71"/>
      <c r="I732" s="137"/>
      <c r="J732" s="138"/>
      <c r="K732" s="103"/>
      <c r="L732" s="71"/>
      <c r="M732" s="137"/>
      <c r="N732" s="125"/>
      <c r="O732" s="103"/>
      <c r="P732" s="71"/>
      <c r="Q732" s="189"/>
      <c r="R732" s="125"/>
      <c r="S732" s="103"/>
      <c r="T732" s="71"/>
      <c r="U732" s="189"/>
      <c r="V732" s="125"/>
      <c r="W732" s="103"/>
      <c r="X732" s="71"/>
      <c r="Y732" s="137"/>
      <c r="Z732" s="180"/>
      <c r="AA732" s="181"/>
      <c r="AB732" s="182"/>
      <c r="AC732" s="137"/>
      <c r="AD732" s="125"/>
      <c r="AE732" s="162"/>
      <c r="AF732" s="183"/>
      <c r="AG732" s="195"/>
      <c r="AH732" s="195"/>
      <c r="AI732" s="195"/>
      <c r="AJ732" s="195"/>
      <c r="AK732" s="71"/>
      <c r="AL732" s="71"/>
      <c r="AM732" s="71"/>
      <c r="AN732" s="71"/>
      <c r="AO732" s="71"/>
    </row>
    <row r="733">
      <c r="A733" s="137"/>
      <c r="B733" s="138"/>
      <c r="C733" s="103"/>
      <c r="D733" s="71"/>
      <c r="E733" s="137"/>
      <c r="F733" s="138"/>
      <c r="G733" s="103"/>
      <c r="H733" s="71"/>
      <c r="I733" s="137"/>
      <c r="J733" s="138"/>
      <c r="K733" s="103"/>
      <c r="L733" s="71"/>
      <c r="M733" s="137"/>
      <c r="N733" s="125"/>
      <c r="O733" s="103"/>
      <c r="P733" s="71"/>
      <c r="Q733" s="189"/>
      <c r="R733" s="125"/>
      <c r="S733" s="103"/>
      <c r="T733" s="71"/>
      <c r="U733" s="189"/>
      <c r="V733" s="125"/>
      <c r="W733" s="103"/>
      <c r="X733" s="71"/>
      <c r="Y733" s="137"/>
      <c r="Z733" s="180"/>
      <c r="AA733" s="181"/>
      <c r="AB733" s="182"/>
      <c r="AC733" s="137"/>
      <c r="AD733" s="125"/>
      <c r="AE733" s="162"/>
      <c r="AF733" s="183"/>
      <c r="AG733" s="195"/>
      <c r="AH733" s="195"/>
      <c r="AI733" s="195"/>
      <c r="AJ733" s="195"/>
      <c r="AK733" s="71"/>
      <c r="AL733" s="71"/>
      <c r="AM733" s="71"/>
      <c r="AN733" s="71"/>
      <c r="AO733" s="71"/>
    </row>
    <row r="734">
      <c r="A734" s="137"/>
      <c r="B734" s="138"/>
      <c r="C734" s="103"/>
      <c r="D734" s="71"/>
      <c r="E734" s="137"/>
      <c r="F734" s="138"/>
      <c r="G734" s="103"/>
      <c r="H734" s="71"/>
      <c r="I734" s="137"/>
      <c r="J734" s="138"/>
      <c r="K734" s="103"/>
      <c r="L734" s="71"/>
      <c r="M734" s="137"/>
      <c r="N734" s="125"/>
      <c r="O734" s="103"/>
      <c r="P734" s="71"/>
      <c r="Q734" s="189"/>
      <c r="R734" s="125"/>
      <c r="S734" s="103"/>
      <c r="T734" s="71"/>
      <c r="U734" s="189"/>
      <c r="V734" s="125"/>
      <c r="W734" s="103"/>
      <c r="X734" s="71"/>
      <c r="Y734" s="137"/>
      <c r="Z734" s="180"/>
      <c r="AA734" s="181"/>
      <c r="AB734" s="182"/>
      <c r="AC734" s="137"/>
      <c r="AD734" s="125"/>
      <c r="AE734" s="162"/>
      <c r="AF734" s="183"/>
      <c r="AG734" s="195"/>
      <c r="AH734" s="195"/>
      <c r="AI734" s="195"/>
      <c r="AJ734" s="195"/>
      <c r="AK734" s="71"/>
      <c r="AL734" s="71"/>
      <c r="AM734" s="71"/>
      <c r="AN734" s="71"/>
      <c r="AO734" s="71"/>
    </row>
    <row r="735">
      <c r="A735" s="137"/>
      <c r="B735" s="138"/>
      <c r="C735" s="103"/>
      <c r="D735" s="71"/>
      <c r="E735" s="137"/>
      <c r="F735" s="138"/>
      <c r="G735" s="103"/>
      <c r="H735" s="71"/>
      <c r="I735" s="137"/>
      <c r="J735" s="138"/>
      <c r="K735" s="103"/>
      <c r="L735" s="71"/>
      <c r="M735" s="137"/>
      <c r="N735" s="125"/>
      <c r="O735" s="103"/>
      <c r="P735" s="71"/>
      <c r="Q735" s="189"/>
      <c r="R735" s="125"/>
      <c r="S735" s="103"/>
      <c r="T735" s="71"/>
      <c r="U735" s="189"/>
      <c r="V735" s="125"/>
      <c r="W735" s="103"/>
      <c r="X735" s="71"/>
      <c r="Y735" s="137"/>
      <c r="Z735" s="180"/>
      <c r="AA735" s="181"/>
      <c r="AB735" s="182"/>
      <c r="AC735" s="137"/>
      <c r="AD735" s="125"/>
      <c r="AE735" s="162"/>
      <c r="AF735" s="183"/>
      <c r="AG735" s="195"/>
      <c r="AH735" s="195"/>
      <c r="AI735" s="195"/>
      <c r="AJ735" s="195"/>
      <c r="AK735" s="71"/>
      <c r="AL735" s="71"/>
      <c r="AM735" s="71"/>
      <c r="AN735" s="71"/>
      <c r="AO735" s="71"/>
    </row>
    <row r="736">
      <c r="A736" s="137"/>
      <c r="B736" s="138"/>
      <c r="C736" s="103"/>
      <c r="D736" s="71"/>
      <c r="E736" s="137"/>
      <c r="F736" s="138"/>
      <c r="G736" s="103"/>
      <c r="H736" s="71"/>
      <c r="I736" s="137"/>
      <c r="J736" s="138"/>
      <c r="K736" s="103"/>
      <c r="L736" s="71"/>
      <c r="M736" s="137"/>
      <c r="N736" s="125"/>
      <c r="O736" s="103"/>
      <c r="P736" s="71"/>
      <c r="Q736" s="189"/>
      <c r="R736" s="125"/>
      <c r="S736" s="103"/>
      <c r="T736" s="71"/>
      <c r="U736" s="189"/>
      <c r="V736" s="125"/>
      <c r="W736" s="103"/>
      <c r="X736" s="71"/>
      <c r="Y736" s="137"/>
      <c r="Z736" s="180"/>
      <c r="AA736" s="181"/>
      <c r="AB736" s="182"/>
      <c r="AC736" s="137"/>
      <c r="AD736" s="125"/>
      <c r="AE736" s="162"/>
      <c r="AF736" s="183"/>
      <c r="AG736" s="195"/>
      <c r="AH736" s="195"/>
      <c r="AI736" s="195"/>
      <c r="AJ736" s="195"/>
      <c r="AK736" s="71"/>
      <c r="AL736" s="71"/>
      <c r="AM736" s="71"/>
      <c r="AN736" s="71"/>
      <c r="AO736" s="71"/>
    </row>
    <row r="737">
      <c r="A737" s="137"/>
      <c r="B737" s="138"/>
      <c r="C737" s="103"/>
      <c r="D737" s="71"/>
      <c r="E737" s="137"/>
      <c r="F737" s="138"/>
      <c r="G737" s="103"/>
      <c r="H737" s="71"/>
      <c r="I737" s="137"/>
      <c r="J737" s="138"/>
      <c r="K737" s="103"/>
      <c r="L737" s="71"/>
      <c r="M737" s="137"/>
      <c r="N737" s="125"/>
      <c r="O737" s="103"/>
      <c r="P737" s="71"/>
      <c r="Q737" s="189"/>
      <c r="R737" s="125"/>
      <c r="S737" s="103"/>
      <c r="T737" s="71"/>
      <c r="U737" s="189"/>
      <c r="V737" s="125"/>
      <c r="W737" s="103"/>
      <c r="X737" s="71"/>
      <c r="Y737" s="137"/>
      <c r="Z737" s="180"/>
      <c r="AA737" s="181"/>
      <c r="AB737" s="182"/>
      <c r="AC737" s="137"/>
      <c r="AD737" s="125"/>
      <c r="AE737" s="162"/>
      <c r="AF737" s="183"/>
      <c r="AG737" s="195"/>
      <c r="AH737" s="195"/>
      <c r="AI737" s="195"/>
      <c r="AJ737" s="195"/>
      <c r="AK737" s="71"/>
      <c r="AL737" s="71"/>
      <c r="AM737" s="71"/>
      <c r="AN737" s="71"/>
      <c r="AO737" s="71"/>
    </row>
    <row r="738">
      <c r="A738" s="137"/>
      <c r="B738" s="138"/>
      <c r="C738" s="103"/>
      <c r="D738" s="71"/>
      <c r="E738" s="137"/>
      <c r="F738" s="138"/>
      <c r="G738" s="103"/>
      <c r="H738" s="71"/>
      <c r="I738" s="137"/>
      <c r="J738" s="138"/>
      <c r="K738" s="103"/>
      <c r="L738" s="71"/>
      <c r="M738" s="137"/>
      <c r="N738" s="125"/>
      <c r="O738" s="103"/>
      <c r="P738" s="71"/>
      <c r="Q738" s="189"/>
      <c r="R738" s="125"/>
      <c r="S738" s="103"/>
      <c r="T738" s="71"/>
      <c r="U738" s="189"/>
      <c r="V738" s="125"/>
      <c r="W738" s="103"/>
      <c r="X738" s="71"/>
      <c r="Y738" s="137"/>
      <c r="Z738" s="180"/>
      <c r="AA738" s="181"/>
      <c r="AB738" s="182"/>
      <c r="AC738" s="137"/>
      <c r="AD738" s="125"/>
      <c r="AE738" s="162"/>
      <c r="AF738" s="183"/>
      <c r="AG738" s="195"/>
      <c r="AH738" s="195"/>
      <c r="AI738" s="195"/>
      <c r="AJ738" s="195"/>
      <c r="AK738" s="71"/>
      <c r="AL738" s="71"/>
      <c r="AM738" s="71"/>
      <c r="AN738" s="71"/>
      <c r="AO738" s="71"/>
    </row>
    <row r="739">
      <c r="A739" s="137"/>
      <c r="B739" s="138"/>
      <c r="C739" s="103"/>
      <c r="D739" s="71"/>
      <c r="E739" s="137"/>
      <c r="F739" s="138"/>
      <c r="G739" s="103"/>
      <c r="H739" s="71"/>
      <c r="I739" s="137"/>
      <c r="J739" s="138"/>
      <c r="K739" s="103"/>
      <c r="L739" s="71"/>
      <c r="M739" s="137"/>
      <c r="N739" s="125"/>
      <c r="O739" s="103"/>
      <c r="P739" s="71"/>
      <c r="Q739" s="189"/>
      <c r="R739" s="125"/>
      <c r="S739" s="103"/>
      <c r="T739" s="71"/>
      <c r="U739" s="189"/>
      <c r="V739" s="125"/>
      <c r="W739" s="103"/>
      <c r="X739" s="71"/>
      <c r="Y739" s="137"/>
      <c r="Z739" s="180"/>
      <c r="AA739" s="181"/>
      <c r="AB739" s="182"/>
      <c r="AC739" s="137"/>
      <c r="AD739" s="125"/>
      <c r="AE739" s="162"/>
      <c r="AF739" s="183"/>
      <c r="AG739" s="195"/>
      <c r="AH739" s="195"/>
      <c r="AI739" s="195"/>
      <c r="AJ739" s="195"/>
      <c r="AK739" s="71"/>
      <c r="AL739" s="71"/>
      <c r="AM739" s="71"/>
      <c r="AN739" s="71"/>
      <c r="AO739" s="71"/>
    </row>
    <row r="740">
      <c r="A740" s="137"/>
      <c r="B740" s="138"/>
      <c r="C740" s="103"/>
      <c r="D740" s="71"/>
      <c r="E740" s="137"/>
      <c r="F740" s="138"/>
      <c r="G740" s="103"/>
      <c r="H740" s="71"/>
      <c r="I740" s="137"/>
      <c r="J740" s="138"/>
      <c r="K740" s="103"/>
      <c r="L740" s="71"/>
      <c r="M740" s="137"/>
      <c r="N740" s="125"/>
      <c r="O740" s="103"/>
      <c r="P740" s="71"/>
      <c r="Q740" s="189"/>
      <c r="R740" s="125"/>
      <c r="S740" s="103"/>
      <c r="T740" s="71"/>
      <c r="U740" s="189"/>
      <c r="V740" s="125"/>
      <c r="W740" s="103"/>
      <c r="X740" s="71"/>
      <c r="Y740" s="137"/>
      <c r="Z740" s="180"/>
      <c r="AA740" s="181"/>
      <c r="AB740" s="182"/>
      <c r="AC740" s="137"/>
      <c r="AD740" s="125"/>
      <c r="AE740" s="162"/>
      <c r="AF740" s="183"/>
      <c r="AG740" s="195"/>
      <c r="AH740" s="195"/>
      <c r="AI740" s="195"/>
      <c r="AJ740" s="195"/>
      <c r="AK740" s="71"/>
      <c r="AL740" s="71"/>
      <c r="AM740" s="71"/>
      <c r="AN740" s="71"/>
      <c r="AO740" s="71"/>
    </row>
    <row r="741">
      <c r="A741" s="137"/>
      <c r="B741" s="138"/>
      <c r="C741" s="103"/>
      <c r="D741" s="71"/>
      <c r="E741" s="137"/>
      <c r="F741" s="138"/>
      <c r="G741" s="103"/>
      <c r="H741" s="71"/>
      <c r="I741" s="137"/>
      <c r="J741" s="138"/>
      <c r="K741" s="103"/>
      <c r="L741" s="71"/>
      <c r="M741" s="137"/>
      <c r="N741" s="125"/>
      <c r="O741" s="103"/>
      <c r="P741" s="71"/>
      <c r="Q741" s="189"/>
      <c r="R741" s="125"/>
      <c r="S741" s="103"/>
      <c r="T741" s="71"/>
      <c r="U741" s="189"/>
      <c r="V741" s="125"/>
      <c r="W741" s="103"/>
      <c r="X741" s="71"/>
      <c r="Y741" s="137"/>
      <c r="Z741" s="180"/>
      <c r="AA741" s="181"/>
      <c r="AB741" s="182"/>
      <c r="AC741" s="137"/>
      <c r="AD741" s="125"/>
      <c r="AE741" s="162"/>
      <c r="AF741" s="183"/>
      <c r="AG741" s="195"/>
      <c r="AH741" s="195"/>
      <c r="AI741" s="195"/>
      <c r="AJ741" s="195"/>
      <c r="AK741" s="71"/>
      <c r="AL741" s="71"/>
      <c r="AM741" s="71"/>
      <c r="AN741" s="71"/>
      <c r="AO741" s="71"/>
    </row>
    <row r="742">
      <c r="A742" s="137"/>
      <c r="B742" s="138"/>
      <c r="C742" s="103"/>
      <c r="D742" s="71"/>
      <c r="E742" s="137"/>
      <c r="F742" s="138"/>
      <c r="G742" s="103"/>
      <c r="H742" s="71"/>
      <c r="I742" s="137"/>
      <c r="J742" s="138"/>
      <c r="K742" s="103"/>
      <c r="L742" s="71"/>
      <c r="M742" s="137"/>
      <c r="N742" s="125"/>
      <c r="O742" s="103"/>
      <c r="P742" s="71"/>
      <c r="Q742" s="189"/>
      <c r="R742" s="125"/>
      <c r="S742" s="103"/>
      <c r="T742" s="71"/>
      <c r="U742" s="189"/>
      <c r="V742" s="125"/>
      <c r="W742" s="103"/>
      <c r="X742" s="71"/>
      <c r="Y742" s="137"/>
      <c r="Z742" s="180"/>
      <c r="AA742" s="181"/>
      <c r="AB742" s="182"/>
      <c r="AC742" s="137"/>
      <c r="AD742" s="125"/>
      <c r="AE742" s="162"/>
      <c r="AF742" s="183"/>
      <c r="AG742" s="195"/>
      <c r="AH742" s="195"/>
      <c r="AI742" s="195"/>
      <c r="AJ742" s="195"/>
      <c r="AK742" s="71"/>
      <c r="AL742" s="71"/>
      <c r="AM742" s="71"/>
      <c r="AN742" s="71"/>
      <c r="AO742" s="71"/>
    </row>
    <row r="743">
      <c r="A743" s="137"/>
      <c r="B743" s="138"/>
      <c r="C743" s="103"/>
      <c r="D743" s="71"/>
      <c r="E743" s="137"/>
      <c r="F743" s="138"/>
      <c r="G743" s="103"/>
      <c r="H743" s="71"/>
      <c r="I743" s="137"/>
      <c r="J743" s="138"/>
      <c r="K743" s="103"/>
      <c r="L743" s="71"/>
      <c r="M743" s="137"/>
      <c r="N743" s="125"/>
      <c r="O743" s="103"/>
      <c r="P743" s="71"/>
      <c r="Q743" s="189"/>
      <c r="R743" s="125"/>
      <c r="S743" s="103"/>
      <c r="T743" s="71"/>
      <c r="U743" s="189"/>
      <c r="V743" s="125"/>
      <c r="W743" s="103"/>
      <c r="X743" s="71"/>
      <c r="Y743" s="137"/>
      <c r="Z743" s="180"/>
      <c r="AA743" s="181"/>
      <c r="AB743" s="182"/>
      <c r="AC743" s="137"/>
      <c r="AD743" s="125"/>
      <c r="AE743" s="162"/>
      <c r="AF743" s="183"/>
      <c r="AG743" s="195"/>
      <c r="AH743" s="195"/>
      <c r="AI743" s="195"/>
      <c r="AJ743" s="195"/>
      <c r="AK743" s="71"/>
      <c r="AL743" s="71"/>
      <c r="AM743" s="71"/>
      <c r="AN743" s="71"/>
      <c r="AO743" s="71"/>
    </row>
    <row r="744">
      <c r="A744" s="137"/>
      <c r="B744" s="138"/>
      <c r="C744" s="103"/>
      <c r="D744" s="71"/>
      <c r="E744" s="137"/>
      <c r="F744" s="138"/>
      <c r="G744" s="103"/>
      <c r="H744" s="71"/>
      <c r="I744" s="137"/>
      <c r="J744" s="138"/>
      <c r="K744" s="103"/>
      <c r="L744" s="71"/>
      <c r="M744" s="137"/>
      <c r="N744" s="125"/>
      <c r="O744" s="103"/>
      <c r="P744" s="71"/>
      <c r="Q744" s="189"/>
      <c r="R744" s="125"/>
      <c r="S744" s="103"/>
      <c r="T744" s="71"/>
      <c r="U744" s="189"/>
      <c r="V744" s="125"/>
      <c r="W744" s="103"/>
      <c r="X744" s="71"/>
      <c r="Y744" s="137"/>
      <c r="Z744" s="180"/>
      <c r="AA744" s="181"/>
      <c r="AB744" s="182"/>
      <c r="AC744" s="137"/>
      <c r="AD744" s="125"/>
      <c r="AE744" s="162"/>
      <c r="AF744" s="183"/>
      <c r="AG744" s="195"/>
      <c r="AH744" s="195"/>
      <c r="AI744" s="195"/>
      <c r="AJ744" s="195"/>
      <c r="AK744" s="71"/>
      <c r="AL744" s="71"/>
      <c r="AM744" s="71"/>
      <c r="AN744" s="71"/>
      <c r="AO744" s="71"/>
    </row>
    <row r="745">
      <c r="A745" s="137"/>
      <c r="B745" s="138"/>
      <c r="C745" s="103"/>
      <c r="D745" s="71"/>
      <c r="E745" s="137"/>
      <c r="F745" s="138"/>
      <c r="G745" s="103"/>
      <c r="H745" s="71"/>
      <c r="I745" s="137"/>
      <c r="J745" s="138"/>
      <c r="K745" s="103"/>
      <c r="L745" s="71"/>
      <c r="M745" s="137"/>
      <c r="N745" s="125"/>
      <c r="O745" s="103"/>
      <c r="P745" s="71"/>
      <c r="Q745" s="189"/>
      <c r="R745" s="125"/>
      <c r="S745" s="103"/>
      <c r="T745" s="71"/>
      <c r="U745" s="189"/>
      <c r="V745" s="125"/>
      <c r="W745" s="103"/>
      <c r="X745" s="71"/>
      <c r="Y745" s="137"/>
      <c r="Z745" s="180"/>
      <c r="AA745" s="181"/>
      <c r="AB745" s="182"/>
      <c r="AC745" s="137"/>
      <c r="AD745" s="125"/>
      <c r="AE745" s="162"/>
      <c r="AF745" s="183"/>
      <c r="AG745" s="195"/>
      <c r="AH745" s="195"/>
      <c r="AI745" s="195"/>
      <c r="AJ745" s="195"/>
      <c r="AK745" s="71"/>
      <c r="AL745" s="71"/>
      <c r="AM745" s="71"/>
      <c r="AN745" s="71"/>
      <c r="AO745" s="71"/>
    </row>
    <row r="746">
      <c r="A746" s="137"/>
      <c r="B746" s="138"/>
      <c r="C746" s="103"/>
      <c r="D746" s="71"/>
      <c r="E746" s="137"/>
      <c r="F746" s="138"/>
      <c r="G746" s="103"/>
      <c r="H746" s="71"/>
      <c r="I746" s="137"/>
      <c r="J746" s="138"/>
      <c r="K746" s="103"/>
      <c r="L746" s="71"/>
      <c r="M746" s="137"/>
      <c r="N746" s="125"/>
      <c r="O746" s="103"/>
      <c r="P746" s="71"/>
      <c r="Q746" s="189"/>
      <c r="R746" s="125"/>
      <c r="S746" s="103"/>
      <c r="T746" s="71"/>
      <c r="U746" s="189"/>
      <c r="V746" s="125"/>
      <c r="W746" s="103"/>
      <c r="X746" s="71"/>
      <c r="Y746" s="137"/>
      <c r="Z746" s="180"/>
      <c r="AA746" s="181"/>
      <c r="AB746" s="182"/>
      <c r="AC746" s="137"/>
      <c r="AD746" s="125"/>
      <c r="AE746" s="162"/>
      <c r="AF746" s="183"/>
      <c r="AG746" s="195"/>
      <c r="AH746" s="195"/>
      <c r="AI746" s="195"/>
      <c r="AJ746" s="195"/>
      <c r="AK746" s="71"/>
      <c r="AL746" s="71"/>
      <c r="AM746" s="71"/>
      <c r="AN746" s="71"/>
      <c r="AO746" s="71"/>
    </row>
    <row r="747">
      <c r="A747" s="137"/>
      <c r="B747" s="138"/>
      <c r="C747" s="103"/>
      <c r="D747" s="71"/>
      <c r="E747" s="137"/>
      <c r="F747" s="138"/>
      <c r="G747" s="103"/>
      <c r="H747" s="71"/>
      <c r="I747" s="137"/>
      <c r="J747" s="138"/>
      <c r="K747" s="103"/>
      <c r="L747" s="71"/>
      <c r="M747" s="137"/>
      <c r="N747" s="125"/>
      <c r="O747" s="103"/>
      <c r="P747" s="71"/>
      <c r="Q747" s="189"/>
      <c r="R747" s="125"/>
      <c r="S747" s="103"/>
      <c r="T747" s="71"/>
      <c r="U747" s="189"/>
      <c r="V747" s="125"/>
      <c r="W747" s="103"/>
      <c r="X747" s="71"/>
      <c r="Y747" s="137"/>
      <c r="Z747" s="180"/>
      <c r="AA747" s="181"/>
      <c r="AB747" s="182"/>
      <c r="AC747" s="137"/>
      <c r="AD747" s="125"/>
      <c r="AE747" s="162"/>
      <c r="AF747" s="183"/>
      <c r="AG747" s="195"/>
      <c r="AH747" s="195"/>
      <c r="AI747" s="195"/>
      <c r="AJ747" s="195"/>
      <c r="AK747" s="71"/>
      <c r="AL747" s="71"/>
      <c r="AM747" s="71"/>
      <c r="AN747" s="71"/>
      <c r="AO747" s="71"/>
    </row>
    <row r="748">
      <c r="A748" s="137"/>
      <c r="B748" s="138"/>
      <c r="C748" s="103"/>
      <c r="D748" s="71"/>
      <c r="E748" s="137"/>
      <c r="F748" s="138"/>
      <c r="G748" s="103"/>
      <c r="H748" s="71"/>
      <c r="I748" s="137"/>
      <c r="J748" s="138"/>
      <c r="K748" s="103"/>
      <c r="L748" s="71"/>
      <c r="M748" s="137"/>
      <c r="N748" s="125"/>
      <c r="O748" s="103"/>
      <c r="P748" s="71"/>
      <c r="Q748" s="189"/>
      <c r="R748" s="125"/>
      <c r="S748" s="103"/>
      <c r="T748" s="71"/>
      <c r="U748" s="189"/>
      <c r="V748" s="125"/>
      <c r="W748" s="103"/>
      <c r="X748" s="71"/>
      <c r="Y748" s="137"/>
      <c r="Z748" s="180"/>
      <c r="AA748" s="181"/>
      <c r="AB748" s="182"/>
      <c r="AC748" s="137"/>
      <c r="AD748" s="125"/>
      <c r="AE748" s="162"/>
      <c r="AF748" s="183"/>
      <c r="AG748" s="195"/>
      <c r="AH748" s="195"/>
      <c r="AI748" s="195"/>
      <c r="AJ748" s="195"/>
      <c r="AK748" s="71"/>
      <c r="AL748" s="71"/>
      <c r="AM748" s="71"/>
      <c r="AN748" s="71"/>
      <c r="AO748" s="71"/>
    </row>
    <row r="749">
      <c r="A749" s="137"/>
      <c r="B749" s="138"/>
      <c r="C749" s="103"/>
      <c r="D749" s="71"/>
      <c r="E749" s="137"/>
      <c r="F749" s="138"/>
      <c r="G749" s="103"/>
      <c r="H749" s="71"/>
      <c r="I749" s="137"/>
      <c r="J749" s="138"/>
      <c r="K749" s="103"/>
      <c r="L749" s="71"/>
      <c r="M749" s="137"/>
      <c r="N749" s="125"/>
      <c r="O749" s="103"/>
      <c r="P749" s="71"/>
      <c r="Q749" s="189"/>
      <c r="R749" s="125"/>
      <c r="S749" s="103"/>
      <c r="T749" s="71"/>
      <c r="U749" s="189"/>
      <c r="V749" s="125"/>
      <c r="W749" s="103"/>
      <c r="X749" s="71"/>
      <c r="Y749" s="137"/>
      <c r="Z749" s="180"/>
      <c r="AA749" s="181"/>
      <c r="AB749" s="182"/>
      <c r="AC749" s="137"/>
      <c r="AD749" s="125"/>
      <c r="AE749" s="162"/>
      <c r="AF749" s="183"/>
      <c r="AG749" s="195"/>
      <c r="AH749" s="195"/>
      <c r="AI749" s="195"/>
      <c r="AJ749" s="195"/>
      <c r="AK749" s="71"/>
      <c r="AL749" s="71"/>
      <c r="AM749" s="71"/>
      <c r="AN749" s="71"/>
      <c r="AO749" s="71"/>
    </row>
    <row r="750">
      <c r="A750" s="137"/>
      <c r="B750" s="138"/>
      <c r="C750" s="103"/>
      <c r="D750" s="71"/>
      <c r="E750" s="137"/>
      <c r="F750" s="138"/>
      <c r="G750" s="103"/>
      <c r="H750" s="71"/>
      <c r="I750" s="137"/>
      <c r="J750" s="138"/>
      <c r="K750" s="103"/>
      <c r="L750" s="71"/>
      <c r="M750" s="137"/>
      <c r="N750" s="125"/>
      <c r="O750" s="103"/>
      <c r="P750" s="71"/>
      <c r="Q750" s="189"/>
      <c r="R750" s="125"/>
      <c r="S750" s="103"/>
      <c r="T750" s="71"/>
      <c r="U750" s="189"/>
      <c r="V750" s="125"/>
      <c r="W750" s="103"/>
      <c r="X750" s="71"/>
      <c r="Y750" s="137"/>
      <c r="Z750" s="180"/>
      <c r="AA750" s="181"/>
      <c r="AB750" s="182"/>
      <c r="AC750" s="137"/>
      <c r="AD750" s="125"/>
      <c r="AE750" s="162"/>
      <c r="AF750" s="183"/>
      <c r="AG750" s="195"/>
      <c r="AH750" s="195"/>
      <c r="AI750" s="195"/>
      <c r="AJ750" s="195"/>
      <c r="AK750" s="71"/>
      <c r="AL750" s="71"/>
      <c r="AM750" s="71"/>
      <c r="AN750" s="71"/>
      <c r="AO750" s="71"/>
    </row>
    <row r="751">
      <c r="A751" s="137"/>
      <c r="B751" s="138"/>
      <c r="C751" s="103"/>
      <c r="D751" s="71"/>
      <c r="E751" s="137"/>
      <c r="F751" s="138"/>
      <c r="G751" s="103"/>
      <c r="H751" s="71"/>
      <c r="I751" s="137"/>
      <c r="J751" s="138"/>
      <c r="K751" s="103"/>
      <c r="L751" s="71"/>
      <c r="M751" s="137"/>
      <c r="N751" s="125"/>
      <c r="O751" s="103"/>
      <c r="P751" s="71"/>
      <c r="Q751" s="189"/>
      <c r="R751" s="125"/>
      <c r="S751" s="103"/>
      <c r="T751" s="71"/>
      <c r="U751" s="189"/>
      <c r="V751" s="125"/>
      <c r="W751" s="103"/>
      <c r="X751" s="71"/>
      <c r="Y751" s="137"/>
      <c r="Z751" s="180"/>
      <c r="AA751" s="181"/>
      <c r="AB751" s="182"/>
      <c r="AC751" s="137"/>
      <c r="AD751" s="125"/>
      <c r="AE751" s="162"/>
      <c r="AF751" s="183"/>
      <c r="AG751" s="195"/>
      <c r="AH751" s="195"/>
      <c r="AI751" s="195"/>
      <c r="AJ751" s="195"/>
      <c r="AK751" s="71"/>
      <c r="AL751" s="71"/>
      <c r="AM751" s="71"/>
      <c r="AN751" s="71"/>
      <c r="AO751" s="71"/>
    </row>
    <row r="752">
      <c r="A752" s="137"/>
      <c r="B752" s="138"/>
      <c r="C752" s="103"/>
      <c r="D752" s="71"/>
      <c r="E752" s="137"/>
      <c r="F752" s="138"/>
      <c r="G752" s="103"/>
      <c r="H752" s="71"/>
      <c r="I752" s="137"/>
      <c r="J752" s="138"/>
      <c r="K752" s="103"/>
      <c r="L752" s="71"/>
      <c r="M752" s="137"/>
      <c r="N752" s="125"/>
      <c r="O752" s="103"/>
      <c r="P752" s="71"/>
      <c r="Q752" s="189"/>
      <c r="R752" s="125"/>
      <c r="S752" s="103"/>
      <c r="T752" s="71"/>
      <c r="U752" s="189"/>
      <c r="V752" s="125"/>
      <c r="W752" s="103"/>
      <c r="X752" s="71"/>
      <c r="Y752" s="137"/>
      <c r="Z752" s="180"/>
      <c r="AA752" s="181"/>
      <c r="AB752" s="182"/>
      <c r="AC752" s="137"/>
      <c r="AD752" s="125"/>
      <c r="AE752" s="162"/>
      <c r="AF752" s="183"/>
      <c r="AG752" s="195"/>
      <c r="AH752" s="195"/>
      <c r="AI752" s="195"/>
      <c r="AJ752" s="195"/>
      <c r="AK752" s="71"/>
      <c r="AL752" s="71"/>
      <c r="AM752" s="71"/>
      <c r="AN752" s="71"/>
      <c r="AO752" s="71"/>
    </row>
    <row r="753">
      <c r="A753" s="137"/>
      <c r="B753" s="138"/>
      <c r="C753" s="103"/>
      <c r="D753" s="71"/>
      <c r="E753" s="137"/>
      <c r="F753" s="138"/>
      <c r="G753" s="103"/>
      <c r="H753" s="71"/>
      <c r="I753" s="137"/>
      <c r="J753" s="138"/>
      <c r="K753" s="103"/>
      <c r="L753" s="71"/>
      <c r="M753" s="137"/>
      <c r="N753" s="125"/>
      <c r="O753" s="103"/>
      <c r="P753" s="71"/>
      <c r="Q753" s="189"/>
      <c r="R753" s="125"/>
      <c r="S753" s="103"/>
      <c r="T753" s="71"/>
      <c r="U753" s="189"/>
      <c r="V753" s="125"/>
      <c r="W753" s="103"/>
      <c r="X753" s="71"/>
      <c r="Y753" s="137"/>
      <c r="Z753" s="180"/>
      <c r="AA753" s="181"/>
      <c r="AB753" s="182"/>
      <c r="AC753" s="137"/>
      <c r="AD753" s="125"/>
      <c r="AE753" s="162"/>
      <c r="AF753" s="183"/>
      <c r="AG753" s="195"/>
      <c r="AH753" s="195"/>
      <c r="AI753" s="195"/>
      <c r="AJ753" s="195"/>
      <c r="AK753" s="71"/>
      <c r="AL753" s="71"/>
      <c r="AM753" s="71"/>
      <c r="AN753" s="71"/>
      <c r="AO753" s="71"/>
    </row>
    <row r="754">
      <c r="A754" s="137"/>
      <c r="B754" s="138"/>
      <c r="C754" s="103"/>
      <c r="D754" s="71"/>
      <c r="E754" s="137"/>
      <c r="F754" s="138"/>
      <c r="G754" s="103"/>
      <c r="H754" s="71"/>
      <c r="I754" s="137"/>
      <c r="J754" s="138"/>
      <c r="K754" s="103"/>
      <c r="L754" s="71"/>
      <c r="M754" s="137"/>
      <c r="N754" s="125"/>
      <c r="O754" s="103"/>
      <c r="P754" s="71"/>
      <c r="Q754" s="189"/>
      <c r="R754" s="125"/>
      <c r="S754" s="103"/>
      <c r="T754" s="71"/>
      <c r="U754" s="189"/>
      <c r="V754" s="125"/>
      <c r="W754" s="103"/>
      <c r="X754" s="71"/>
      <c r="Y754" s="137"/>
      <c r="Z754" s="180"/>
      <c r="AA754" s="181"/>
      <c r="AB754" s="182"/>
      <c r="AC754" s="137"/>
      <c r="AD754" s="125"/>
      <c r="AE754" s="162"/>
      <c r="AF754" s="183"/>
      <c r="AG754" s="195"/>
      <c r="AH754" s="195"/>
      <c r="AI754" s="195"/>
      <c r="AJ754" s="195"/>
      <c r="AK754" s="71"/>
      <c r="AL754" s="71"/>
      <c r="AM754" s="71"/>
      <c r="AN754" s="71"/>
      <c r="AO754" s="71"/>
    </row>
    <row r="755">
      <c r="A755" s="137"/>
      <c r="B755" s="138"/>
      <c r="C755" s="103"/>
      <c r="D755" s="71"/>
      <c r="E755" s="137"/>
      <c r="F755" s="138"/>
      <c r="G755" s="103"/>
      <c r="H755" s="71"/>
      <c r="I755" s="137"/>
      <c r="J755" s="138"/>
      <c r="K755" s="103"/>
      <c r="L755" s="71"/>
      <c r="M755" s="137"/>
      <c r="N755" s="125"/>
      <c r="O755" s="103"/>
      <c r="P755" s="71"/>
      <c r="Q755" s="189"/>
      <c r="R755" s="125"/>
      <c r="S755" s="103"/>
      <c r="T755" s="71"/>
      <c r="U755" s="189"/>
      <c r="V755" s="125"/>
      <c r="W755" s="103"/>
      <c r="X755" s="71"/>
      <c r="Y755" s="137"/>
      <c r="Z755" s="180"/>
      <c r="AA755" s="181"/>
      <c r="AB755" s="182"/>
      <c r="AC755" s="137"/>
      <c r="AD755" s="125"/>
      <c r="AE755" s="162"/>
      <c r="AF755" s="183"/>
      <c r="AG755" s="195"/>
      <c r="AH755" s="195"/>
      <c r="AI755" s="195"/>
      <c r="AJ755" s="195"/>
      <c r="AK755" s="71"/>
      <c r="AL755" s="71"/>
      <c r="AM755" s="71"/>
      <c r="AN755" s="71"/>
      <c r="AO755" s="71"/>
    </row>
    <row r="756">
      <c r="A756" s="137"/>
      <c r="B756" s="138"/>
      <c r="C756" s="103"/>
      <c r="D756" s="71"/>
      <c r="E756" s="137"/>
      <c r="F756" s="138"/>
      <c r="G756" s="103"/>
      <c r="H756" s="71"/>
      <c r="I756" s="137"/>
      <c r="J756" s="138"/>
      <c r="K756" s="103"/>
      <c r="L756" s="71"/>
      <c r="M756" s="137"/>
      <c r="N756" s="125"/>
      <c r="O756" s="103"/>
      <c r="P756" s="71"/>
      <c r="Q756" s="189"/>
      <c r="R756" s="125"/>
      <c r="S756" s="103"/>
      <c r="T756" s="71"/>
      <c r="U756" s="189"/>
      <c r="V756" s="125"/>
      <c r="W756" s="103"/>
      <c r="X756" s="71"/>
      <c r="Y756" s="137"/>
      <c r="Z756" s="180"/>
      <c r="AA756" s="181"/>
      <c r="AB756" s="182"/>
      <c r="AC756" s="137"/>
      <c r="AD756" s="125"/>
      <c r="AE756" s="162"/>
      <c r="AF756" s="183"/>
      <c r="AG756" s="195"/>
      <c r="AH756" s="195"/>
      <c r="AI756" s="195"/>
      <c r="AJ756" s="195"/>
      <c r="AK756" s="71"/>
      <c r="AL756" s="71"/>
      <c r="AM756" s="71"/>
      <c r="AN756" s="71"/>
      <c r="AO756" s="71"/>
    </row>
    <row r="757">
      <c r="A757" s="137"/>
      <c r="B757" s="138"/>
      <c r="C757" s="103"/>
      <c r="D757" s="71"/>
      <c r="E757" s="137"/>
      <c r="F757" s="138"/>
      <c r="G757" s="103"/>
      <c r="H757" s="71"/>
      <c r="I757" s="137"/>
      <c r="J757" s="138"/>
      <c r="K757" s="103"/>
      <c r="L757" s="71"/>
      <c r="M757" s="137"/>
      <c r="N757" s="125"/>
      <c r="O757" s="103"/>
      <c r="P757" s="71"/>
      <c r="Q757" s="189"/>
      <c r="R757" s="125"/>
      <c r="S757" s="103"/>
      <c r="T757" s="71"/>
      <c r="U757" s="189"/>
      <c r="V757" s="125"/>
      <c r="W757" s="103"/>
      <c r="X757" s="71"/>
      <c r="Y757" s="137"/>
      <c r="Z757" s="180"/>
      <c r="AA757" s="181"/>
      <c r="AB757" s="182"/>
      <c r="AC757" s="137"/>
      <c r="AD757" s="125"/>
      <c r="AE757" s="162"/>
      <c r="AF757" s="183"/>
      <c r="AG757" s="195"/>
      <c r="AH757" s="195"/>
      <c r="AI757" s="195"/>
      <c r="AJ757" s="195"/>
      <c r="AK757" s="71"/>
      <c r="AL757" s="71"/>
      <c r="AM757" s="71"/>
      <c r="AN757" s="71"/>
      <c r="AO757" s="71"/>
    </row>
    <row r="758">
      <c r="A758" s="137"/>
      <c r="B758" s="138"/>
      <c r="C758" s="103"/>
      <c r="D758" s="71"/>
      <c r="E758" s="137"/>
      <c r="F758" s="138"/>
      <c r="G758" s="103"/>
      <c r="H758" s="71"/>
      <c r="I758" s="137"/>
      <c r="J758" s="138"/>
      <c r="K758" s="103"/>
      <c r="L758" s="71"/>
      <c r="M758" s="137"/>
      <c r="N758" s="125"/>
      <c r="O758" s="103"/>
      <c r="P758" s="71"/>
      <c r="Q758" s="189"/>
      <c r="R758" s="125"/>
      <c r="S758" s="103"/>
      <c r="T758" s="71"/>
      <c r="U758" s="189"/>
      <c r="V758" s="125"/>
      <c r="W758" s="103"/>
      <c r="X758" s="71"/>
      <c r="Y758" s="137"/>
      <c r="Z758" s="180"/>
      <c r="AA758" s="181"/>
      <c r="AB758" s="182"/>
      <c r="AC758" s="137"/>
      <c r="AD758" s="125"/>
      <c r="AE758" s="162"/>
      <c r="AF758" s="183"/>
      <c r="AG758" s="195"/>
      <c r="AH758" s="195"/>
      <c r="AI758" s="195"/>
      <c r="AJ758" s="195"/>
      <c r="AK758" s="71"/>
      <c r="AL758" s="71"/>
      <c r="AM758" s="71"/>
      <c r="AN758" s="71"/>
      <c r="AO758" s="71"/>
    </row>
    <row r="759">
      <c r="A759" s="137"/>
      <c r="B759" s="138"/>
      <c r="C759" s="103"/>
      <c r="D759" s="71"/>
      <c r="E759" s="137"/>
      <c r="F759" s="138"/>
      <c r="G759" s="103"/>
      <c r="H759" s="71"/>
      <c r="I759" s="137"/>
      <c r="J759" s="138"/>
      <c r="K759" s="103"/>
      <c r="L759" s="71"/>
      <c r="M759" s="137"/>
      <c r="N759" s="125"/>
      <c r="O759" s="103"/>
      <c r="P759" s="71"/>
      <c r="Q759" s="189"/>
      <c r="R759" s="125"/>
      <c r="S759" s="103"/>
      <c r="T759" s="71"/>
      <c r="U759" s="189"/>
      <c r="V759" s="125"/>
      <c r="W759" s="103"/>
      <c r="X759" s="71"/>
      <c r="Y759" s="137"/>
      <c r="Z759" s="180"/>
      <c r="AA759" s="181"/>
      <c r="AB759" s="182"/>
      <c r="AC759" s="137"/>
      <c r="AD759" s="125"/>
      <c r="AE759" s="162"/>
      <c r="AF759" s="183"/>
      <c r="AG759" s="195"/>
      <c r="AH759" s="195"/>
      <c r="AI759" s="195"/>
      <c r="AJ759" s="195"/>
      <c r="AK759" s="71"/>
      <c r="AL759" s="71"/>
      <c r="AM759" s="71"/>
      <c r="AN759" s="71"/>
      <c r="AO759" s="71"/>
    </row>
    <row r="760">
      <c r="A760" s="137"/>
      <c r="B760" s="138"/>
      <c r="C760" s="103"/>
      <c r="D760" s="71"/>
      <c r="E760" s="137"/>
      <c r="F760" s="138"/>
      <c r="G760" s="103"/>
      <c r="H760" s="71"/>
      <c r="I760" s="137"/>
      <c r="J760" s="138"/>
      <c r="K760" s="103"/>
      <c r="L760" s="71"/>
      <c r="M760" s="137"/>
      <c r="N760" s="125"/>
      <c r="O760" s="103"/>
      <c r="P760" s="71"/>
      <c r="Q760" s="189"/>
      <c r="R760" s="125"/>
      <c r="S760" s="103"/>
      <c r="T760" s="71"/>
      <c r="U760" s="189"/>
      <c r="V760" s="125"/>
      <c r="W760" s="103"/>
      <c r="X760" s="71"/>
      <c r="Y760" s="137"/>
      <c r="Z760" s="180"/>
      <c r="AA760" s="181"/>
      <c r="AB760" s="182"/>
      <c r="AC760" s="137"/>
      <c r="AD760" s="125"/>
      <c r="AE760" s="162"/>
      <c r="AF760" s="183"/>
      <c r="AG760" s="195"/>
      <c r="AH760" s="195"/>
      <c r="AI760" s="195"/>
      <c r="AJ760" s="195"/>
      <c r="AK760" s="71"/>
      <c r="AL760" s="71"/>
      <c r="AM760" s="71"/>
      <c r="AN760" s="71"/>
      <c r="AO760" s="71"/>
    </row>
    <row r="761">
      <c r="A761" s="137"/>
      <c r="B761" s="138"/>
      <c r="C761" s="103"/>
      <c r="D761" s="71"/>
      <c r="E761" s="137"/>
      <c r="F761" s="138"/>
      <c r="G761" s="103"/>
      <c r="H761" s="71"/>
      <c r="I761" s="137"/>
      <c r="J761" s="138"/>
      <c r="K761" s="103"/>
      <c r="L761" s="71"/>
      <c r="M761" s="137"/>
      <c r="N761" s="125"/>
      <c r="O761" s="103"/>
      <c r="P761" s="71"/>
      <c r="Q761" s="189"/>
      <c r="R761" s="125"/>
      <c r="S761" s="103"/>
      <c r="T761" s="71"/>
      <c r="U761" s="189"/>
      <c r="V761" s="125"/>
      <c r="W761" s="103"/>
      <c r="X761" s="71"/>
      <c r="Y761" s="137"/>
      <c r="Z761" s="180"/>
      <c r="AA761" s="181"/>
      <c r="AB761" s="182"/>
      <c r="AC761" s="137"/>
      <c r="AD761" s="125"/>
      <c r="AE761" s="162"/>
      <c r="AF761" s="183"/>
      <c r="AG761" s="195"/>
      <c r="AH761" s="195"/>
      <c r="AI761" s="195"/>
      <c r="AJ761" s="195"/>
      <c r="AK761" s="71"/>
      <c r="AL761" s="71"/>
      <c r="AM761" s="71"/>
      <c r="AN761" s="71"/>
      <c r="AO761" s="71"/>
    </row>
    <row r="762">
      <c r="A762" s="137"/>
      <c r="B762" s="138"/>
      <c r="C762" s="103"/>
      <c r="D762" s="71"/>
      <c r="E762" s="137"/>
      <c r="F762" s="138"/>
      <c r="G762" s="103"/>
      <c r="H762" s="71"/>
      <c r="I762" s="137"/>
      <c r="J762" s="138"/>
      <c r="K762" s="103"/>
      <c r="L762" s="71"/>
      <c r="M762" s="137"/>
      <c r="N762" s="125"/>
      <c r="O762" s="103"/>
      <c r="P762" s="71"/>
      <c r="Q762" s="189"/>
      <c r="R762" s="125"/>
      <c r="S762" s="103"/>
      <c r="T762" s="71"/>
      <c r="U762" s="189"/>
      <c r="V762" s="125"/>
      <c r="W762" s="103"/>
      <c r="X762" s="71"/>
      <c r="Y762" s="137"/>
      <c r="Z762" s="180"/>
      <c r="AA762" s="181"/>
      <c r="AB762" s="182"/>
      <c r="AC762" s="137"/>
      <c r="AD762" s="125"/>
      <c r="AE762" s="162"/>
      <c r="AF762" s="183"/>
      <c r="AG762" s="195"/>
      <c r="AH762" s="195"/>
      <c r="AI762" s="195"/>
      <c r="AJ762" s="195"/>
      <c r="AK762" s="71"/>
      <c r="AL762" s="71"/>
      <c r="AM762" s="71"/>
      <c r="AN762" s="71"/>
      <c r="AO762" s="71"/>
    </row>
    <row r="763">
      <c r="A763" s="137"/>
      <c r="B763" s="138"/>
      <c r="C763" s="103"/>
      <c r="D763" s="71"/>
      <c r="E763" s="137"/>
      <c r="F763" s="138"/>
      <c r="G763" s="103"/>
      <c r="H763" s="71"/>
      <c r="I763" s="137"/>
      <c r="J763" s="138"/>
      <c r="K763" s="103"/>
      <c r="L763" s="71"/>
      <c r="M763" s="137"/>
      <c r="N763" s="125"/>
      <c r="O763" s="103"/>
      <c r="P763" s="71"/>
      <c r="Q763" s="189"/>
      <c r="R763" s="125"/>
      <c r="S763" s="103"/>
      <c r="T763" s="71"/>
      <c r="U763" s="189"/>
      <c r="V763" s="125"/>
      <c r="W763" s="103"/>
      <c r="X763" s="71"/>
      <c r="Y763" s="137"/>
      <c r="Z763" s="180"/>
      <c r="AA763" s="181"/>
      <c r="AB763" s="182"/>
      <c r="AC763" s="137"/>
      <c r="AD763" s="125"/>
      <c r="AE763" s="162"/>
      <c r="AF763" s="183"/>
      <c r="AG763" s="195"/>
      <c r="AH763" s="195"/>
      <c r="AI763" s="195"/>
      <c r="AJ763" s="195"/>
      <c r="AK763" s="71"/>
      <c r="AL763" s="71"/>
      <c r="AM763" s="71"/>
      <c r="AN763" s="71"/>
      <c r="AO763" s="71"/>
    </row>
    <row r="764">
      <c r="A764" s="137"/>
      <c r="B764" s="138"/>
      <c r="C764" s="103"/>
      <c r="D764" s="71"/>
      <c r="E764" s="137"/>
      <c r="F764" s="138"/>
      <c r="G764" s="103"/>
      <c r="H764" s="71"/>
      <c r="I764" s="137"/>
      <c r="J764" s="138"/>
      <c r="K764" s="103"/>
      <c r="L764" s="71"/>
      <c r="M764" s="137"/>
      <c r="N764" s="125"/>
      <c r="O764" s="103"/>
      <c r="P764" s="71"/>
      <c r="Q764" s="189"/>
      <c r="R764" s="125"/>
      <c r="S764" s="103"/>
      <c r="T764" s="71"/>
      <c r="U764" s="189"/>
      <c r="V764" s="125"/>
      <c r="W764" s="103"/>
      <c r="X764" s="71"/>
      <c r="Y764" s="137"/>
      <c r="Z764" s="180"/>
      <c r="AA764" s="181"/>
      <c r="AB764" s="182"/>
      <c r="AC764" s="137"/>
      <c r="AD764" s="125"/>
      <c r="AE764" s="162"/>
      <c r="AF764" s="183"/>
      <c r="AG764" s="195"/>
      <c r="AH764" s="195"/>
      <c r="AI764" s="195"/>
      <c r="AJ764" s="195"/>
      <c r="AK764" s="71"/>
      <c r="AL764" s="71"/>
      <c r="AM764" s="71"/>
      <c r="AN764" s="71"/>
      <c r="AO764" s="71"/>
    </row>
    <row r="765">
      <c r="A765" s="137"/>
      <c r="B765" s="138"/>
      <c r="C765" s="103"/>
      <c r="D765" s="71"/>
      <c r="E765" s="137"/>
      <c r="F765" s="138"/>
      <c r="G765" s="103"/>
      <c r="H765" s="71"/>
      <c r="I765" s="137"/>
      <c r="J765" s="138"/>
      <c r="K765" s="103"/>
      <c r="L765" s="71"/>
      <c r="M765" s="137"/>
      <c r="N765" s="125"/>
      <c r="O765" s="103"/>
      <c r="P765" s="71"/>
      <c r="Q765" s="189"/>
      <c r="R765" s="125"/>
      <c r="S765" s="103"/>
      <c r="T765" s="71"/>
      <c r="U765" s="189"/>
      <c r="V765" s="125"/>
      <c r="W765" s="103"/>
      <c r="X765" s="71"/>
      <c r="Y765" s="137"/>
      <c r="Z765" s="180"/>
      <c r="AA765" s="181"/>
      <c r="AB765" s="182"/>
      <c r="AC765" s="137"/>
      <c r="AD765" s="125"/>
      <c r="AE765" s="162"/>
      <c r="AF765" s="183"/>
      <c r="AG765" s="195"/>
      <c r="AH765" s="195"/>
      <c r="AI765" s="195"/>
      <c r="AJ765" s="195"/>
      <c r="AK765" s="71"/>
      <c r="AL765" s="71"/>
      <c r="AM765" s="71"/>
      <c r="AN765" s="71"/>
      <c r="AO765" s="71"/>
    </row>
    <row r="766">
      <c r="A766" s="137"/>
      <c r="B766" s="138"/>
      <c r="C766" s="103"/>
      <c r="D766" s="71"/>
      <c r="E766" s="137"/>
      <c r="F766" s="138"/>
      <c r="G766" s="103"/>
      <c r="H766" s="71"/>
      <c r="I766" s="137"/>
      <c r="J766" s="138"/>
      <c r="K766" s="103"/>
      <c r="L766" s="71"/>
      <c r="M766" s="137"/>
      <c r="N766" s="125"/>
      <c r="O766" s="103"/>
      <c r="P766" s="71"/>
      <c r="Q766" s="189"/>
      <c r="R766" s="125"/>
      <c r="S766" s="103"/>
      <c r="T766" s="71"/>
      <c r="U766" s="189"/>
      <c r="V766" s="125"/>
      <c r="W766" s="103"/>
      <c r="X766" s="71"/>
      <c r="Y766" s="137"/>
      <c r="Z766" s="180"/>
      <c r="AA766" s="181"/>
      <c r="AB766" s="182"/>
      <c r="AC766" s="137"/>
      <c r="AD766" s="125"/>
      <c r="AE766" s="162"/>
      <c r="AF766" s="183"/>
      <c r="AG766" s="195"/>
      <c r="AH766" s="195"/>
      <c r="AI766" s="195"/>
      <c r="AJ766" s="195"/>
      <c r="AK766" s="71"/>
      <c r="AL766" s="71"/>
      <c r="AM766" s="71"/>
      <c r="AN766" s="71"/>
      <c r="AO766" s="71"/>
    </row>
    <row r="767">
      <c r="A767" s="137"/>
      <c r="B767" s="138"/>
      <c r="C767" s="103"/>
      <c r="D767" s="71"/>
      <c r="E767" s="137"/>
      <c r="F767" s="138"/>
      <c r="G767" s="103"/>
      <c r="H767" s="71"/>
      <c r="I767" s="137"/>
      <c r="J767" s="138"/>
      <c r="K767" s="103"/>
      <c r="L767" s="71"/>
      <c r="M767" s="137"/>
      <c r="N767" s="125"/>
      <c r="O767" s="103"/>
      <c r="P767" s="71"/>
      <c r="Q767" s="189"/>
      <c r="R767" s="125"/>
      <c r="S767" s="103"/>
      <c r="T767" s="71"/>
      <c r="U767" s="189"/>
      <c r="V767" s="125"/>
      <c r="W767" s="103"/>
      <c r="X767" s="71"/>
      <c r="Y767" s="137"/>
      <c r="Z767" s="180"/>
      <c r="AA767" s="181"/>
      <c r="AB767" s="182"/>
      <c r="AC767" s="137"/>
      <c r="AD767" s="125"/>
      <c r="AE767" s="162"/>
      <c r="AF767" s="183"/>
      <c r="AG767" s="195"/>
      <c r="AH767" s="195"/>
      <c r="AI767" s="195"/>
      <c r="AJ767" s="195"/>
      <c r="AK767" s="71"/>
      <c r="AL767" s="71"/>
      <c r="AM767" s="71"/>
      <c r="AN767" s="71"/>
      <c r="AO767" s="71"/>
    </row>
    <row r="768">
      <c r="A768" s="137"/>
      <c r="B768" s="138"/>
      <c r="C768" s="103"/>
      <c r="D768" s="71"/>
      <c r="E768" s="137"/>
      <c r="F768" s="138"/>
      <c r="G768" s="103"/>
      <c r="H768" s="71"/>
      <c r="I768" s="137"/>
      <c r="J768" s="138"/>
      <c r="K768" s="103"/>
      <c r="L768" s="71"/>
      <c r="M768" s="137"/>
      <c r="N768" s="125"/>
      <c r="O768" s="103"/>
      <c r="P768" s="71"/>
      <c r="Q768" s="189"/>
      <c r="R768" s="125"/>
      <c r="S768" s="103"/>
      <c r="T768" s="71"/>
      <c r="U768" s="189"/>
      <c r="V768" s="125"/>
      <c r="W768" s="103"/>
      <c r="X768" s="71"/>
      <c r="Y768" s="137"/>
      <c r="Z768" s="180"/>
      <c r="AA768" s="181"/>
      <c r="AB768" s="182"/>
      <c r="AC768" s="137"/>
      <c r="AD768" s="125"/>
      <c r="AE768" s="162"/>
      <c r="AF768" s="183"/>
      <c r="AG768" s="195"/>
      <c r="AH768" s="195"/>
      <c r="AI768" s="195"/>
      <c r="AJ768" s="195"/>
      <c r="AK768" s="71"/>
      <c r="AL768" s="71"/>
      <c r="AM768" s="71"/>
      <c r="AN768" s="71"/>
      <c r="AO768" s="71"/>
    </row>
    <row r="769">
      <c r="A769" s="137"/>
      <c r="B769" s="138"/>
      <c r="C769" s="103"/>
      <c r="D769" s="71"/>
      <c r="E769" s="137"/>
      <c r="F769" s="138"/>
      <c r="G769" s="103"/>
      <c r="H769" s="71"/>
      <c r="I769" s="137"/>
      <c r="J769" s="138"/>
      <c r="K769" s="103"/>
      <c r="L769" s="71"/>
      <c r="M769" s="137"/>
      <c r="N769" s="125"/>
      <c r="O769" s="103"/>
      <c r="P769" s="71"/>
      <c r="Q769" s="189"/>
      <c r="R769" s="125"/>
      <c r="S769" s="103"/>
      <c r="T769" s="71"/>
      <c r="U769" s="189"/>
      <c r="V769" s="125"/>
      <c r="W769" s="103"/>
      <c r="X769" s="71"/>
      <c r="Y769" s="137"/>
      <c r="Z769" s="180"/>
      <c r="AA769" s="181"/>
      <c r="AB769" s="182"/>
      <c r="AC769" s="137"/>
      <c r="AD769" s="125"/>
      <c r="AE769" s="162"/>
      <c r="AF769" s="183"/>
      <c r="AG769" s="195"/>
      <c r="AH769" s="195"/>
      <c r="AI769" s="195"/>
      <c r="AJ769" s="195"/>
      <c r="AK769" s="71"/>
      <c r="AL769" s="71"/>
      <c r="AM769" s="71"/>
      <c r="AN769" s="71"/>
      <c r="AO769" s="71"/>
    </row>
    <row r="770">
      <c r="A770" s="137"/>
      <c r="B770" s="138"/>
      <c r="C770" s="103"/>
      <c r="D770" s="71"/>
      <c r="E770" s="137"/>
      <c r="F770" s="138"/>
      <c r="G770" s="103"/>
      <c r="H770" s="71"/>
      <c r="I770" s="137"/>
      <c r="J770" s="138"/>
      <c r="K770" s="103"/>
      <c r="L770" s="71"/>
      <c r="M770" s="137"/>
      <c r="N770" s="125"/>
      <c r="O770" s="103"/>
      <c r="P770" s="71"/>
      <c r="Q770" s="189"/>
      <c r="R770" s="125"/>
      <c r="S770" s="103"/>
      <c r="T770" s="71"/>
      <c r="U770" s="189"/>
      <c r="V770" s="125"/>
      <c r="W770" s="103"/>
      <c r="X770" s="71"/>
      <c r="Y770" s="137"/>
      <c r="Z770" s="180"/>
      <c r="AA770" s="181"/>
      <c r="AB770" s="182"/>
      <c r="AC770" s="137"/>
      <c r="AD770" s="125"/>
      <c r="AE770" s="162"/>
      <c r="AF770" s="183"/>
      <c r="AG770" s="195"/>
      <c r="AH770" s="195"/>
      <c r="AI770" s="195"/>
      <c r="AJ770" s="195"/>
      <c r="AK770" s="71"/>
      <c r="AL770" s="71"/>
      <c r="AM770" s="71"/>
      <c r="AN770" s="71"/>
      <c r="AO770" s="71"/>
    </row>
    <row r="771">
      <c r="A771" s="137"/>
      <c r="B771" s="138"/>
      <c r="C771" s="103"/>
      <c r="D771" s="71"/>
      <c r="E771" s="137"/>
      <c r="F771" s="138"/>
      <c r="G771" s="103"/>
      <c r="H771" s="71"/>
      <c r="I771" s="137"/>
      <c r="J771" s="138"/>
      <c r="K771" s="103"/>
      <c r="L771" s="71"/>
      <c r="M771" s="137"/>
      <c r="N771" s="125"/>
      <c r="O771" s="103"/>
      <c r="P771" s="71"/>
      <c r="Q771" s="189"/>
      <c r="R771" s="125"/>
      <c r="S771" s="103"/>
      <c r="T771" s="71"/>
      <c r="U771" s="189"/>
      <c r="V771" s="125"/>
      <c r="W771" s="103"/>
      <c r="X771" s="71"/>
      <c r="Y771" s="137"/>
      <c r="Z771" s="180"/>
      <c r="AA771" s="181"/>
      <c r="AB771" s="182"/>
      <c r="AC771" s="137"/>
      <c r="AD771" s="125"/>
      <c r="AE771" s="162"/>
      <c r="AF771" s="183"/>
      <c r="AG771" s="195"/>
      <c r="AH771" s="195"/>
      <c r="AI771" s="195"/>
      <c r="AJ771" s="195"/>
      <c r="AK771" s="71"/>
      <c r="AL771" s="71"/>
      <c r="AM771" s="71"/>
      <c r="AN771" s="71"/>
      <c r="AO771" s="71"/>
    </row>
    <row r="772">
      <c r="A772" s="137"/>
      <c r="B772" s="138"/>
      <c r="C772" s="103"/>
      <c r="D772" s="71"/>
      <c r="E772" s="137"/>
      <c r="F772" s="138"/>
      <c r="G772" s="103"/>
      <c r="H772" s="71"/>
      <c r="I772" s="137"/>
      <c r="J772" s="138"/>
      <c r="K772" s="103"/>
      <c r="L772" s="71"/>
      <c r="M772" s="137"/>
      <c r="N772" s="125"/>
      <c r="O772" s="103"/>
      <c r="P772" s="71"/>
      <c r="Q772" s="189"/>
      <c r="R772" s="125"/>
      <c r="S772" s="103"/>
      <c r="T772" s="71"/>
      <c r="U772" s="189"/>
      <c r="V772" s="125"/>
      <c r="W772" s="103"/>
      <c r="X772" s="71"/>
      <c r="Y772" s="137"/>
      <c r="Z772" s="180"/>
      <c r="AA772" s="181"/>
      <c r="AB772" s="182"/>
      <c r="AC772" s="137"/>
      <c r="AD772" s="125"/>
      <c r="AE772" s="162"/>
      <c r="AF772" s="183"/>
      <c r="AG772" s="195"/>
      <c r="AH772" s="195"/>
      <c r="AI772" s="195"/>
      <c r="AJ772" s="195"/>
      <c r="AK772" s="71"/>
      <c r="AL772" s="71"/>
      <c r="AM772" s="71"/>
      <c r="AN772" s="71"/>
      <c r="AO772" s="71"/>
    </row>
    <row r="773">
      <c r="A773" s="137"/>
      <c r="B773" s="138"/>
      <c r="C773" s="103"/>
      <c r="D773" s="71"/>
      <c r="E773" s="137"/>
      <c r="F773" s="138"/>
      <c r="G773" s="103"/>
      <c r="H773" s="71"/>
      <c r="I773" s="137"/>
      <c r="J773" s="138"/>
      <c r="K773" s="103"/>
      <c r="L773" s="71"/>
      <c r="M773" s="137"/>
      <c r="N773" s="125"/>
      <c r="O773" s="103"/>
      <c r="P773" s="71"/>
      <c r="Q773" s="189"/>
      <c r="R773" s="125"/>
      <c r="S773" s="103"/>
      <c r="T773" s="71"/>
      <c r="U773" s="189"/>
      <c r="V773" s="125"/>
      <c r="W773" s="103"/>
      <c r="X773" s="71"/>
      <c r="Y773" s="137"/>
      <c r="Z773" s="180"/>
      <c r="AA773" s="181"/>
      <c r="AB773" s="182"/>
      <c r="AC773" s="137"/>
      <c r="AD773" s="125"/>
      <c r="AE773" s="162"/>
      <c r="AF773" s="183"/>
      <c r="AG773" s="195"/>
      <c r="AH773" s="195"/>
      <c r="AI773" s="195"/>
      <c r="AJ773" s="195"/>
      <c r="AK773" s="71"/>
      <c r="AL773" s="71"/>
      <c r="AM773" s="71"/>
      <c r="AN773" s="71"/>
      <c r="AO773" s="71"/>
    </row>
    <row r="774">
      <c r="A774" s="137"/>
      <c r="B774" s="138"/>
      <c r="C774" s="103"/>
      <c r="D774" s="71"/>
      <c r="E774" s="137"/>
      <c r="F774" s="138"/>
      <c r="G774" s="103"/>
      <c r="H774" s="71"/>
      <c r="I774" s="137"/>
      <c r="J774" s="138"/>
      <c r="K774" s="103"/>
      <c r="L774" s="71"/>
      <c r="M774" s="137"/>
      <c r="N774" s="125"/>
      <c r="O774" s="103"/>
      <c r="P774" s="71"/>
      <c r="Q774" s="189"/>
      <c r="R774" s="125"/>
      <c r="S774" s="103"/>
      <c r="T774" s="71"/>
      <c r="U774" s="189"/>
      <c r="V774" s="125"/>
      <c r="W774" s="103"/>
      <c r="X774" s="71"/>
      <c r="Y774" s="137"/>
      <c r="Z774" s="180"/>
      <c r="AA774" s="181"/>
      <c r="AB774" s="182"/>
      <c r="AC774" s="137"/>
      <c r="AD774" s="125"/>
      <c r="AE774" s="162"/>
      <c r="AF774" s="183"/>
      <c r="AG774" s="195"/>
      <c r="AH774" s="195"/>
      <c r="AI774" s="195"/>
      <c r="AJ774" s="195"/>
      <c r="AK774" s="71"/>
      <c r="AL774" s="71"/>
      <c r="AM774" s="71"/>
      <c r="AN774" s="71"/>
      <c r="AO774" s="71"/>
    </row>
    <row r="775">
      <c r="A775" s="137"/>
      <c r="B775" s="138"/>
      <c r="C775" s="103"/>
      <c r="D775" s="71"/>
      <c r="E775" s="137"/>
      <c r="F775" s="138"/>
      <c r="G775" s="103"/>
      <c r="H775" s="71"/>
      <c r="I775" s="137"/>
      <c r="J775" s="138"/>
      <c r="K775" s="103"/>
      <c r="L775" s="71"/>
      <c r="M775" s="137"/>
      <c r="N775" s="125"/>
      <c r="O775" s="103"/>
      <c r="P775" s="71"/>
      <c r="Q775" s="189"/>
      <c r="R775" s="125"/>
      <c r="S775" s="103"/>
      <c r="T775" s="71"/>
      <c r="U775" s="189"/>
      <c r="V775" s="125"/>
      <c r="W775" s="103"/>
      <c r="X775" s="71"/>
      <c r="Y775" s="137"/>
      <c r="Z775" s="180"/>
      <c r="AA775" s="181"/>
      <c r="AB775" s="182"/>
      <c r="AC775" s="137"/>
      <c r="AD775" s="125"/>
      <c r="AE775" s="162"/>
      <c r="AF775" s="183"/>
      <c r="AG775" s="195"/>
      <c r="AH775" s="195"/>
      <c r="AI775" s="195"/>
      <c r="AJ775" s="195"/>
      <c r="AK775" s="71"/>
      <c r="AL775" s="71"/>
      <c r="AM775" s="71"/>
      <c r="AN775" s="71"/>
      <c r="AO775" s="71"/>
    </row>
    <row r="776">
      <c r="A776" s="137"/>
      <c r="B776" s="138"/>
      <c r="C776" s="103"/>
      <c r="D776" s="71"/>
      <c r="E776" s="137"/>
      <c r="F776" s="138"/>
      <c r="G776" s="103"/>
      <c r="H776" s="71"/>
      <c r="I776" s="137"/>
      <c r="J776" s="138"/>
      <c r="K776" s="103"/>
      <c r="L776" s="71"/>
      <c r="M776" s="137"/>
      <c r="N776" s="125"/>
      <c r="O776" s="103"/>
      <c r="P776" s="71"/>
      <c r="Q776" s="189"/>
      <c r="R776" s="125"/>
      <c r="S776" s="103"/>
      <c r="T776" s="71"/>
      <c r="U776" s="189"/>
      <c r="V776" s="125"/>
      <c r="W776" s="103"/>
      <c r="X776" s="71"/>
      <c r="Y776" s="137"/>
      <c r="Z776" s="180"/>
      <c r="AA776" s="181"/>
      <c r="AB776" s="182"/>
      <c r="AC776" s="137"/>
      <c r="AD776" s="125"/>
      <c r="AE776" s="162"/>
      <c r="AF776" s="183"/>
      <c r="AG776" s="195"/>
      <c r="AH776" s="195"/>
      <c r="AI776" s="195"/>
      <c r="AJ776" s="195"/>
      <c r="AK776" s="71"/>
      <c r="AL776" s="71"/>
      <c r="AM776" s="71"/>
      <c r="AN776" s="71"/>
      <c r="AO776" s="71"/>
    </row>
    <row r="777">
      <c r="A777" s="137"/>
      <c r="B777" s="138"/>
      <c r="C777" s="103"/>
      <c r="D777" s="71"/>
      <c r="E777" s="137"/>
      <c r="F777" s="138"/>
      <c r="G777" s="103"/>
      <c r="H777" s="71"/>
      <c r="I777" s="137"/>
      <c r="J777" s="138"/>
      <c r="K777" s="103"/>
      <c r="L777" s="71"/>
      <c r="M777" s="137"/>
      <c r="N777" s="125"/>
      <c r="O777" s="103"/>
      <c r="P777" s="71"/>
      <c r="Q777" s="189"/>
      <c r="R777" s="125"/>
      <c r="S777" s="103"/>
      <c r="T777" s="71"/>
      <c r="U777" s="189"/>
      <c r="V777" s="125"/>
      <c r="W777" s="103"/>
      <c r="X777" s="71"/>
      <c r="Y777" s="137"/>
      <c r="Z777" s="180"/>
      <c r="AA777" s="181"/>
      <c r="AB777" s="182"/>
      <c r="AC777" s="137"/>
      <c r="AD777" s="125"/>
      <c r="AE777" s="162"/>
      <c r="AF777" s="183"/>
      <c r="AG777" s="195"/>
      <c r="AH777" s="195"/>
      <c r="AI777" s="195"/>
      <c r="AJ777" s="195"/>
      <c r="AK777" s="71"/>
      <c r="AL777" s="71"/>
      <c r="AM777" s="71"/>
      <c r="AN777" s="71"/>
      <c r="AO777" s="71"/>
    </row>
    <row r="778">
      <c r="A778" s="137"/>
      <c r="B778" s="138"/>
      <c r="C778" s="103"/>
      <c r="D778" s="71"/>
      <c r="E778" s="137"/>
      <c r="F778" s="138"/>
      <c r="G778" s="103"/>
      <c r="H778" s="71"/>
      <c r="I778" s="137"/>
      <c r="J778" s="138"/>
      <c r="K778" s="103"/>
      <c r="L778" s="71"/>
      <c r="M778" s="137"/>
      <c r="N778" s="125"/>
      <c r="O778" s="103"/>
      <c r="P778" s="71"/>
      <c r="Q778" s="189"/>
      <c r="R778" s="125"/>
      <c r="S778" s="103"/>
      <c r="T778" s="71"/>
      <c r="U778" s="189"/>
      <c r="V778" s="125"/>
      <c r="W778" s="103"/>
      <c r="X778" s="71"/>
      <c r="Y778" s="137"/>
      <c r="Z778" s="180"/>
      <c r="AA778" s="181"/>
      <c r="AB778" s="182"/>
      <c r="AC778" s="137"/>
      <c r="AD778" s="125"/>
      <c r="AE778" s="162"/>
      <c r="AF778" s="183"/>
      <c r="AG778" s="195"/>
      <c r="AH778" s="195"/>
      <c r="AI778" s="195"/>
      <c r="AJ778" s="195"/>
      <c r="AK778" s="71"/>
      <c r="AL778" s="71"/>
      <c r="AM778" s="71"/>
      <c r="AN778" s="71"/>
      <c r="AO778" s="71"/>
    </row>
    <row r="779">
      <c r="A779" s="137"/>
      <c r="B779" s="138"/>
      <c r="C779" s="103"/>
      <c r="D779" s="71"/>
      <c r="E779" s="137"/>
      <c r="F779" s="138"/>
      <c r="G779" s="103"/>
      <c r="H779" s="71"/>
      <c r="I779" s="137"/>
      <c r="J779" s="138"/>
      <c r="K779" s="103"/>
      <c r="L779" s="71"/>
      <c r="M779" s="137"/>
      <c r="N779" s="125"/>
      <c r="O779" s="103"/>
      <c r="P779" s="71"/>
      <c r="Q779" s="189"/>
      <c r="R779" s="125"/>
      <c r="S779" s="103"/>
      <c r="T779" s="71"/>
      <c r="U779" s="189"/>
      <c r="V779" s="125"/>
      <c r="W779" s="103"/>
      <c r="X779" s="71"/>
      <c r="Y779" s="137"/>
      <c r="Z779" s="180"/>
      <c r="AA779" s="181"/>
      <c r="AB779" s="182"/>
      <c r="AC779" s="137"/>
      <c r="AD779" s="125"/>
      <c r="AE779" s="162"/>
      <c r="AF779" s="183"/>
      <c r="AG779" s="195"/>
      <c r="AH779" s="195"/>
      <c r="AI779" s="195"/>
      <c r="AJ779" s="195"/>
      <c r="AK779" s="71"/>
      <c r="AL779" s="71"/>
      <c r="AM779" s="71"/>
      <c r="AN779" s="71"/>
      <c r="AO779" s="71"/>
    </row>
    <row r="780">
      <c r="A780" s="137"/>
      <c r="B780" s="138"/>
      <c r="C780" s="103"/>
      <c r="D780" s="71"/>
      <c r="E780" s="137"/>
      <c r="F780" s="138"/>
      <c r="G780" s="103"/>
      <c r="H780" s="71"/>
      <c r="I780" s="137"/>
      <c r="J780" s="138"/>
      <c r="K780" s="103"/>
      <c r="L780" s="71"/>
      <c r="M780" s="137"/>
      <c r="N780" s="125"/>
      <c r="O780" s="103"/>
      <c r="P780" s="71"/>
      <c r="Q780" s="189"/>
      <c r="R780" s="125"/>
      <c r="S780" s="103"/>
      <c r="T780" s="71"/>
      <c r="U780" s="189"/>
      <c r="V780" s="125"/>
      <c r="W780" s="103"/>
      <c r="X780" s="71"/>
      <c r="Y780" s="137"/>
      <c r="Z780" s="180"/>
      <c r="AA780" s="181"/>
      <c r="AB780" s="182"/>
      <c r="AC780" s="137"/>
      <c r="AD780" s="125"/>
      <c r="AE780" s="162"/>
      <c r="AF780" s="183"/>
      <c r="AG780" s="195"/>
      <c r="AH780" s="195"/>
      <c r="AI780" s="195"/>
      <c r="AJ780" s="195"/>
      <c r="AK780" s="71"/>
      <c r="AL780" s="71"/>
      <c r="AM780" s="71"/>
      <c r="AN780" s="71"/>
      <c r="AO780" s="71"/>
    </row>
    <row r="781">
      <c r="A781" s="137"/>
      <c r="B781" s="138"/>
      <c r="C781" s="103"/>
      <c r="D781" s="71"/>
      <c r="E781" s="137"/>
      <c r="F781" s="138"/>
      <c r="G781" s="103"/>
      <c r="H781" s="71"/>
      <c r="I781" s="137"/>
      <c r="J781" s="138"/>
      <c r="K781" s="103"/>
      <c r="L781" s="71"/>
      <c r="M781" s="137"/>
      <c r="N781" s="125"/>
      <c r="O781" s="103"/>
      <c r="P781" s="71"/>
      <c r="Q781" s="189"/>
      <c r="R781" s="125"/>
      <c r="S781" s="103"/>
      <c r="T781" s="71"/>
      <c r="U781" s="189"/>
      <c r="V781" s="125"/>
      <c r="W781" s="103"/>
      <c r="X781" s="71"/>
      <c r="Y781" s="137"/>
      <c r="Z781" s="180"/>
      <c r="AA781" s="181"/>
      <c r="AB781" s="182"/>
      <c r="AC781" s="137"/>
      <c r="AD781" s="125"/>
      <c r="AE781" s="162"/>
      <c r="AF781" s="183"/>
      <c r="AG781" s="195"/>
      <c r="AH781" s="195"/>
      <c r="AI781" s="195"/>
      <c r="AJ781" s="195"/>
      <c r="AK781" s="71"/>
      <c r="AL781" s="71"/>
      <c r="AM781" s="71"/>
      <c r="AN781" s="71"/>
      <c r="AO781" s="71"/>
    </row>
    <row r="782">
      <c r="A782" s="137"/>
      <c r="B782" s="138"/>
      <c r="C782" s="103"/>
      <c r="D782" s="71"/>
      <c r="E782" s="137"/>
      <c r="F782" s="138"/>
      <c r="G782" s="103"/>
      <c r="H782" s="71"/>
      <c r="I782" s="137"/>
      <c r="J782" s="138"/>
      <c r="K782" s="103"/>
      <c r="L782" s="71"/>
      <c r="M782" s="137"/>
      <c r="N782" s="125"/>
      <c r="O782" s="103"/>
      <c r="P782" s="71"/>
      <c r="Q782" s="189"/>
      <c r="R782" s="125"/>
      <c r="S782" s="103"/>
      <c r="T782" s="71"/>
      <c r="U782" s="189"/>
      <c r="V782" s="125"/>
      <c r="W782" s="103"/>
      <c r="X782" s="71"/>
      <c r="Y782" s="137"/>
      <c r="Z782" s="180"/>
      <c r="AA782" s="181"/>
      <c r="AB782" s="182"/>
      <c r="AC782" s="137"/>
      <c r="AD782" s="125"/>
      <c r="AE782" s="162"/>
      <c r="AF782" s="183"/>
      <c r="AG782" s="195"/>
      <c r="AH782" s="195"/>
      <c r="AI782" s="195"/>
      <c r="AJ782" s="195"/>
      <c r="AK782" s="71"/>
      <c r="AL782" s="71"/>
      <c r="AM782" s="71"/>
      <c r="AN782" s="71"/>
      <c r="AO782" s="71"/>
    </row>
    <row r="783">
      <c r="A783" s="137"/>
      <c r="B783" s="138"/>
      <c r="C783" s="103"/>
      <c r="D783" s="71"/>
      <c r="E783" s="137"/>
      <c r="F783" s="138"/>
      <c r="G783" s="103"/>
      <c r="H783" s="71"/>
      <c r="I783" s="137"/>
      <c r="J783" s="138"/>
      <c r="K783" s="103"/>
      <c r="L783" s="71"/>
      <c r="M783" s="137"/>
      <c r="N783" s="125"/>
      <c r="O783" s="103"/>
      <c r="P783" s="71"/>
      <c r="Q783" s="189"/>
      <c r="R783" s="125"/>
      <c r="S783" s="103"/>
      <c r="T783" s="71"/>
      <c r="U783" s="189"/>
      <c r="V783" s="125"/>
      <c r="W783" s="103"/>
      <c r="X783" s="71"/>
      <c r="Y783" s="137"/>
      <c r="Z783" s="180"/>
      <c r="AA783" s="181"/>
      <c r="AB783" s="182"/>
      <c r="AC783" s="137"/>
      <c r="AD783" s="125"/>
      <c r="AE783" s="162"/>
      <c r="AF783" s="183"/>
      <c r="AG783" s="195"/>
      <c r="AH783" s="195"/>
      <c r="AI783" s="195"/>
      <c r="AJ783" s="195"/>
      <c r="AK783" s="71"/>
      <c r="AL783" s="71"/>
      <c r="AM783" s="71"/>
      <c r="AN783" s="71"/>
      <c r="AO783" s="71"/>
    </row>
    <row r="784">
      <c r="A784" s="137"/>
      <c r="B784" s="138"/>
      <c r="C784" s="103"/>
      <c r="D784" s="71"/>
      <c r="E784" s="137"/>
      <c r="F784" s="138"/>
      <c r="G784" s="103"/>
      <c r="H784" s="71"/>
      <c r="I784" s="137"/>
      <c r="J784" s="138"/>
      <c r="K784" s="103"/>
      <c r="L784" s="71"/>
      <c r="M784" s="137"/>
      <c r="N784" s="125"/>
      <c r="O784" s="103"/>
      <c r="P784" s="71"/>
      <c r="Q784" s="189"/>
      <c r="R784" s="125"/>
      <c r="S784" s="103"/>
      <c r="T784" s="71"/>
      <c r="U784" s="189"/>
      <c r="V784" s="125"/>
      <c r="W784" s="103"/>
      <c r="X784" s="71"/>
      <c r="Y784" s="137"/>
      <c r="Z784" s="180"/>
      <c r="AA784" s="181"/>
      <c r="AB784" s="182"/>
      <c r="AC784" s="137"/>
      <c r="AD784" s="125"/>
      <c r="AE784" s="162"/>
      <c r="AF784" s="183"/>
      <c r="AG784" s="195"/>
      <c r="AH784" s="195"/>
      <c r="AI784" s="195"/>
      <c r="AJ784" s="195"/>
      <c r="AK784" s="71"/>
      <c r="AL784" s="71"/>
      <c r="AM784" s="71"/>
      <c r="AN784" s="71"/>
      <c r="AO784" s="71"/>
    </row>
    <row r="785">
      <c r="A785" s="137"/>
      <c r="B785" s="138"/>
      <c r="C785" s="103"/>
      <c r="D785" s="71"/>
      <c r="E785" s="137"/>
      <c r="F785" s="138"/>
      <c r="G785" s="103"/>
      <c r="H785" s="71"/>
      <c r="I785" s="137"/>
      <c r="J785" s="138"/>
      <c r="K785" s="103"/>
      <c r="L785" s="71"/>
      <c r="M785" s="137"/>
      <c r="N785" s="125"/>
      <c r="O785" s="103"/>
      <c r="P785" s="71"/>
      <c r="Q785" s="189"/>
      <c r="R785" s="125"/>
      <c r="S785" s="103"/>
      <c r="T785" s="71"/>
      <c r="U785" s="189"/>
      <c r="V785" s="125"/>
      <c r="W785" s="103"/>
      <c r="X785" s="71"/>
      <c r="Y785" s="137"/>
      <c r="Z785" s="180"/>
      <c r="AA785" s="181"/>
      <c r="AB785" s="182"/>
      <c r="AC785" s="137"/>
      <c r="AD785" s="125"/>
      <c r="AE785" s="162"/>
      <c r="AF785" s="183"/>
      <c r="AG785" s="195"/>
      <c r="AH785" s="195"/>
      <c r="AI785" s="195"/>
      <c r="AJ785" s="195"/>
      <c r="AK785" s="71"/>
      <c r="AL785" s="71"/>
      <c r="AM785" s="71"/>
      <c r="AN785" s="71"/>
      <c r="AO785" s="71"/>
    </row>
    <row r="786">
      <c r="A786" s="137"/>
      <c r="B786" s="138"/>
      <c r="C786" s="103"/>
      <c r="D786" s="71"/>
      <c r="E786" s="137"/>
      <c r="F786" s="138"/>
      <c r="G786" s="103"/>
      <c r="H786" s="71"/>
      <c r="I786" s="137"/>
      <c r="J786" s="138"/>
      <c r="K786" s="103"/>
      <c r="L786" s="71"/>
      <c r="M786" s="137"/>
      <c r="N786" s="125"/>
      <c r="O786" s="103"/>
      <c r="P786" s="71"/>
      <c r="Q786" s="189"/>
      <c r="R786" s="125"/>
      <c r="S786" s="103"/>
      <c r="T786" s="71"/>
      <c r="U786" s="189"/>
      <c r="V786" s="125"/>
      <c r="W786" s="103"/>
      <c r="X786" s="71"/>
      <c r="Y786" s="137"/>
      <c r="Z786" s="180"/>
      <c r="AA786" s="181"/>
      <c r="AB786" s="182"/>
      <c r="AC786" s="137"/>
      <c r="AD786" s="125"/>
      <c r="AE786" s="162"/>
      <c r="AF786" s="183"/>
      <c r="AG786" s="195"/>
      <c r="AH786" s="195"/>
      <c r="AI786" s="195"/>
      <c r="AJ786" s="195"/>
      <c r="AK786" s="71"/>
      <c r="AL786" s="71"/>
      <c r="AM786" s="71"/>
      <c r="AN786" s="71"/>
      <c r="AO786" s="71"/>
    </row>
    <row r="787">
      <c r="A787" s="137"/>
      <c r="B787" s="138"/>
      <c r="C787" s="103"/>
      <c r="D787" s="71"/>
      <c r="E787" s="137"/>
      <c r="F787" s="138"/>
      <c r="G787" s="103"/>
      <c r="H787" s="71"/>
      <c r="I787" s="137"/>
      <c r="J787" s="138"/>
      <c r="K787" s="103"/>
      <c r="L787" s="71"/>
      <c r="M787" s="137"/>
      <c r="N787" s="125"/>
      <c r="O787" s="103"/>
      <c r="P787" s="71"/>
      <c r="Q787" s="189"/>
      <c r="R787" s="125"/>
      <c r="S787" s="103"/>
      <c r="T787" s="71"/>
      <c r="U787" s="189"/>
      <c r="V787" s="125"/>
      <c r="W787" s="103"/>
      <c r="X787" s="71"/>
      <c r="Y787" s="137"/>
      <c r="Z787" s="180"/>
      <c r="AA787" s="181"/>
      <c r="AB787" s="182"/>
      <c r="AC787" s="137"/>
      <c r="AD787" s="125"/>
      <c r="AE787" s="162"/>
      <c r="AF787" s="183"/>
      <c r="AG787" s="195"/>
      <c r="AH787" s="195"/>
      <c r="AI787" s="195"/>
      <c r="AJ787" s="195"/>
      <c r="AK787" s="71"/>
      <c r="AL787" s="71"/>
      <c r="AM787" s="71"/>
      <c r="AN787" s="71"/>
      <c r="AO787" s="71"/>
    </row>
    <row r="788">
      <c r="A788" s="137"/>
      <c r="B788" s="138"/>
      <c r="C788" s="103"/>
      <c r="D788" s="71"/>
      <c r="E788" s="137"/>
      <c r="F788" s="138"/>
      <c r="G788" s="103"/>
      <c r="H788" s="71"/>
      <c r="I788" s="137"/>
      <c r="J788" s="138"/>
      <c r="K788" s="103"/>
      <c r="L788" s="71"/>
      <c r="M788" s="137"/>
      <c r="N788" s="125"/>
      <c r="O788" s="103"/>
      <c r="P788" s="71"/>
      <c r="Q788" s="189"/>
      <c r="R788" s="125"/>
      <c r="S788" s="103"/>
      <c r="T788" s="71"/>
      <c r="U788" s="189"/>
      <c r="V788" s="125"/>
      <c r="W788" s="103"/>
      <c r="X788" s="71"/>
      <c r="Y788" s="137"/>
      <c r="Z788" s="180"/>
      <c r="AA788" s="181"/>
      <c r="AB788" s="182"/>
      <c r="AC788" s="137"/>
      <c r="AD788" s="125"/>
      <c r="AE788" s="162"/>
      <c r="AF788" s="183"/>
      <c r="AG788" s="195"/>
      <c r="AH788" s="195"/>
      <c r="AI788" s="195"/>
      <c r="AJ788" s="195"/>
      <c r="AK788" s="71"/>
      <c r="AL788" s="71"/>
      <c r="AM788" s="71"/>
      <c r="AN788" s="71"/>
      <c r="AO788" s="71"/>
    </row>
    <row r="789">
      <c r="A789" s="137"/>
      <c r="B789" s="138"/>
      <c r="C789" s="103"/>
      <c r="D789" s="71"/>
      <c r="E789" s="137"/>
      <c r="F789" s="138"/>
      <c r="G789" s="103"/>
      <c r="H789" s="71"/>
      <c r="I789" s="137"/>
      <c r="J789" s="138"/>
      <c r="K789" s="103"/>
      <c r="L789" s="71"/>
      <c r="M789" s="137"/>
      <c r="N789" s="125"/>
      <c r="O789" s="103"/>
      <c r="P789" s="71"/>
      <c r="Q789" s="189"/>
      <c r="R789" s="125"/>
      <c r="S789" s="103"/>
      <c r="T789" s="71"/>
      <c r="U789" s="189"/>
      <c r="V789" s="125"/>
      <c r="W789" s="103"/>
      <c r="X789" s="71"/>
      <c r="Y789" s="137"/>
      <c r="Z789" s="180"/>
      <c r="AA789" s="181"/>
      <c r="AB789" s="182"/>
      <c r="AC789" s="137"/>
      <c r="AD789" s="125"/>
      <c r="AE789" s="162"/>
      <c r="AF789" s="183"/>
      <c r="AG789" s="195"/>
      <c r="AH789" s="195"/>
      <c r="AI789" s="195"/>
      <c r="AJ789" s="195"/>
      <c r="AK789" s="71"/>
      <c r="AL789" s="71"/>
      <c r="AM789" s="71"/>
      <c r="AN789" s="71"/>
      <c r="AO789" s="71"/>
    </row>
    <row r="790">
      <c r="A790" s="137"/>
      <c r="B790" s="138"/>
      <c r="C790" s="103"/>
      <c r="D790" s="71"/>
      <c r="E790" s="137"/>
      <c r="F790" s="138"/>
      <c r="G790" s="103"/>
      <c r="H790" s="71"/>
      <c r="I790" s="137"/>
      <c r="J790" s="138"/>
      <c r="K790" s="103"/>
      <c r="L790" s="71"/>
      <c r="M790" s="137"/>
      <c r="N790" s="125"/>
      <c r="O790" s="103"/>
      <c r="P790" s="71"/>
      <c r="Q790" s="189"/>
      <c r="R790" s="125"/>
      <c r="S790" s="103"/>
      <c r="T790" s="71"/>
      <c r="U790" s="189"/>
      <c r="V790" s="125"/>
      <c r="W790" s="103"/>
      <c r="X790" s="71"/>
      <c r="Y790" s="137"/>
      <c r="Z790" s="180"/>
      <c r="AA790" s="181"/>
      <c r="AB790" s="182"/>
      <c r="AC790" s="137"/>
      <c r="AD790" s="125"/>
      <c r="AE790" s="162"/>
      <c r="AF790" s="183"/>
      <c r="AG790" s="195"/>
      <c r="AH790" s="195"/>
      <c r="AI790" s="195"/>
      <c r="AJ790" s="195"/>
      <c r="AK790" s="71"/>
      <c r="AL790" s="71"/>
      <c r="AM790" s="71"/>
      <c r="AN790" s="71"/>
      <c r="AO790" s="71"/>
    </row>
    <row r="791">
      <c r="A791" s="137"/>
      <c r="B791" s="138"/>
      <c r="C791" s="103"/>
      <c r="D791" s="71"/>
      <c r="E791" s="137"/>
      <c r="F791" s="138"/>
      <c r="G791" s="103"/>
      <c r="H791" s="71"/>
      <c r="I791" s="137"/>
      <c r="J791" s="138"/>
      <c r="K791" s="103"/>
      <c r="L791" s="71"/>
      <c r="M791" s="137"/>
      <c r="N791" s="125"/>
      <c r="O791" s="103"/>
      <c r="P791" s="71"/>
      <c r="Q791" s="189"/>
      <c r="R791" s="125"/>
      <c r="S791" s="103"/>
      <c r="T791" s="71"/>
      <c r="U791" s="189"/>
      <c r="V791" s="125"/>
      <c r="W791" s="103"/>
      <c r="X791" s="71"/>
      <c r="Y791" s="137"/>
      <c r="Z791" s="180"/>
      <c r="AA791" s="181"/>
      <c r="AB791" s="182"/>
      <c r="AC791" s="137"/>
      <c r="AD791" s="125"/>
      <c r="AE791" s="162"/>
      <c r="AF791" s="183"/>
      <c r="AG791" s="195"/>
      <c r="AH791" s="195"/>
      <c r="AI791" s="195"/>
      <c r="AJ791" s="195"/>
      <c r="AK791" s="71"/>
      <c r="AL791" s="71"/>
      <c r="AM791" s="71"/>
      <c r="AN791" s="71"/>
      <c r="AO791" s="71"/>
    </row>
    <row r="792">
      <c r="A792" s="137"/>
      <c r="B792" s="138"/>
      <c r="C792" s="103"/>
      <c r="D792" s="71"/>
      <c r="E792" s="137"/>
      <c r="F792" s="138"/>
      <c r="G792" s="103"/>
      <c r="H792" s="71"/>
      <c r="I792" s="137"/>
      <c r="J792" s="138"/>
      <c r="K792" s="103"/>
      <c r="L792" s="71"/>
      <c r="M792" s="137"/>
      <c r="N792" s="125"/>
      <c r="O792" s="103"/>
      <c r="P792" s="71"/>
      <c r="Q792" s="189"/>
      <c r="R792" s="125"/>
      <c r="S792" s="103"/>
      <c r="T792" s="71"/>
      <c r="U792" s="189"/>
      <c r="V792" s="125"/>
      <c r="W792" s="103"/>
      <c r="X792" s="71"/>
      <c r="Y792" s="137"/>
      <c r="Z792" s="180"/>
      <c r="AA792" s="181"/>
      <c r="AB792" s="182"/>
      <c r="AC792" s="137"/>
      <c r="AD792" s="125"/>
      <c r="AE792" s="162"/>
      <c r="AF792" s="183"/>
      <c r="AG792" s="195"/>
      <c r="AH792" s="195"/>
      <c r="AI792" s="195"/>
      <c r="AJ792" s="195"/>
      <c r="AK792" s="71"/>
      <c r="AL792" s="71"/>
      <c r="AM792" s="71"/>
      <c r="AN792" s="71"/>
      <c r="AO792" s="71"/>
    </row>
    <row r="793">
      <c r="A793" s="137"/>
      <c r="B793" s="138"/>
      <c r="C793" s="103"/>
      <c r="D793" s="71"/>
      <c r="E793" s="137"/>
      <c r="F793" s="138"/>
      <c r="G793" s="103"/>
      <c r="H793" s="71"/>
      <c r="I793" s="137"/>
      <c r="J793" s="138"/>
      <c r="K793" s="103"/>
      <c r="L793" s="71"/>
      <c r="M793" s="137"/>
      <c r="N793" s="125"/>
      <c r="O793" s="103"/>
      <c r="P793" s="71"/>
      <c r="Q793" s="189"/>
      <c r="R793" s="125"/>
      <c r="S793" s="103"/>
      <c r="T793" s="71"/>
      <c r="U793" s="189"/>
      <c r="V793" s="125"/>
      <c r="W793" s="103"/>
      <c r="X793" s="71"/>
      <c r="Y793" s="137"/>
      <c r="Z793" s="180"/>
      <c r="AA793" s="181"/>
      <c r="AB793" s="182"/>
      <c r="AC793" s="137"/>
      <c r="AD793" s="125"/>
      <c r="AE793" s="162"/>
      <c r="AF793" s="183"/>
      <c r="AG793" s="195"/>
      <c r="AH793" s="195"/>
      <c r="AI793" s="195"/>
      <c r="AJ793" s="195"/>
      <c r="AK793" s="71"/>
      <c r="AL793" s="71"/>
      <c r="AM793" s="71"/>
      <c r="AN793" s="71"/>
      <c r="AO793" s="71"/>
    </row>
    <row r="794">
      <c r="A794" s="137"/>
      <c r="B794" s="138"/>
      <c r="C794" s="103"/>
      <c r="D794" s="71"/>
      <c r="E794" s="137"/>
      <c r="F794" s="138"/>
      <c r="G794" s="103"/>
      <c r="H794" s="71"/>
      <c r="I794" s="137"/>
      <c r="J794" s="138"/>
      <c r="K794" s="103"/>
      <c r="L794" s="71"/>
      <c r="M794" s="137"/>
      <c r="N794" s="125"/>
      <c r="O794" s="103"/>
      <c r="P794" s="71"/>
      <c r="Q794" s="189"/>
      <c r="R794" s="125"/>
      <c r="S794" s="103"/>
      <c r="T794" s="71"/>
      <c r="U794" s="189"/>
      <c r="V794" s="125"/>
      <c r="W794" s="103"/>
      <c r="X794" s="71"/>
      <c r="Y794" s="137"/>
      <c r="Z794" s="180"/>
      <c r="AA794" s="181"/>
      <c r="AB794" s="182"/>
      <c r="AC794" s="137"/>
      <c r="AD794" s="125"/>
      <c r="AE794" s="162"/>
      <c r="AF794" s="183"/>
      <c r="AG794" s="195"/>
      <c r="AH794" s="195"/>
      <c r="AI794" s="195"/>
      <c r="AJ794" s="195"/>
      <c r="AK794" s="71"/>
      <c r="AL794" s="71"/>
      <c r="AM794" s="71"/>
      <c r="AN794" s="71"/>
      <c r="AO794" s="71"/>
    </row>
    <row r="795">
      <c r="A795" s="137"/>
      <c r="B795" s="138"/>
      <c r="C795" s="103"/>
      <c r="D795" s="71"/>
      <c r="E795" s="137"/>
      <c r="F795" s="138"/>
      <c r="G795" s="103"/>
      <c r="H795" s="71"/>
      <c r="I795" s="137"/>
      <c r="J795" s="138"/>
      <c r="K795" s="103"/>
      <c r="L795" s="71"/>
      <c r="M795" s="137"/>
      <c r="N795" s="125"/>
      <c r="O795" s="103"/>
      <c r="P795" s="71"/>
      <c r="Q795" s="189"/>
      <c r="R795" s="125"/>
      <c r="S795" s="103"/>
      <c r="T795" s="71"/>
      <c r="U795" s="189"/>
      <c r="V795" s="125"/>
      <c r="W795" s="103"/>
      <c r="X795" s="71"/>
      <c r="Y795" s="137"/>
      <c r="Z795" s="180"/>
      <c r="AA795" s="181"/>
      <c r="AB795" s="182"/>
      <c r="AC795" s="137"/>
      <c r="AD795" s="125"/>
      <c r="AE795" s="162"/>
      <c r="AF795" s="183"/>
      <c r="AG795" s="195"/>
      <c r="AH795" s="195"/>
      <c r="AI795" s="195"/>
      <c r="AJ795" s="195"/>
      <c r="AK795" s="71"/>
      <c r="AL795" s="71"/>
      <c r="AM795" s="71"/>
      <c r="AN795" s="71"/>
      <c r="AO795" s="71"/>
    </row>
    <row r="796">
      <c r="A796" s="137"/>
      <c r="B796" s="138"/>
      <c r="C796" s="103"/>
      <c r="D796" s="71"/>
      <c r="E796" s="137"/>
      <c r="F796" s="138"/>
      <c r="G796" s="103"/>
      <c r="H796" s="71"/>
      <c r="I796" s="137"/>
      <c r="J796" s="138"/>
      <c r="K796" s="103"/>
      <c r="L796" s="71"/>
      <c r="M796" s="137"/>
      <c r="N796" s="125"/>
      <c r="O796" s="103"/>
      <c r="P796" s="71"/>
      <c r="Q796" s="189"/>
      <c r="R796" s="125"/>
      <c r="S796" s="103"/>
      <c r="T796" s="71"/>
      <c r="U796" s="189"/>
      <c r="V796" s="125"/>
      <c r="W796" s="103"/>
      <c r="X796" s="71"/>
      <c r="Y796" s="137"/>
      <c r="Z796" s="180"/>
      <c r="AA796" s="181"/>
      <c r="AB796" s="182"/>
      <c r="AC796" s="137"/>
      <c r="AD796" s="125"/>
      <c r="AE796" s="162"/>
      <c r="AF796" s="183"/>
      <c r="AG796" s="195"/>
      <c r="AH796" s="195"/>
      <c r="AI796" s="195"/>
      <c r="AJ796" s="195"/>
      <c r="AK796" s="71"/>
      <c r="AL796" s="71"/>
      <c r="AM796" s="71"/>
      <c r="AN796" s="71"/>
      <c r="AO796" s="71"/>
    </row>
    <row r="797">
      <c r="A797" s="137"/>
      <c r="B797" s="138"/>
      <c r="C797" s="103"/>
      <c r="D797" s="71"/>
      <c r="E797" s="137"/>
      <c r="F797" s="138"/>
      <c r="G797" s="103"/>
      <c r="H797" s="71"/>
      <c r="I797" s="137"/>
      <c r="J797" s="138"/>
      <c r="K797" s="103"/>
      <c r="L797" s="71"/>
      <c r="M797" s="137"/>
      <c r="N797" s="125"/>
      <c r="O797" s="103"/>
      <c r="P797" s="71"/>
      <c r="Q797" s="189"/>
      <c r="R797" s="125"/>
      <c r="S797" s="103"/>
      <c r="T797" s="71"/>
      <c r="U797" s="189"/>
      <c r="V797" s="125"/>
      <c r="W797" s="103"/>
      <c r="X797" s="71"/>
      <c r="Y797" s="137"/>
      <c r="Z797" s="180"/>
      <c r="AA797" s="181"/>
      <c r="AB797" s="182"/>
      <c r="AC797" s="137"/>
      <c r="AD797" s="125"/>
      <c r="AE797" s="162"/>
      <c r="AF797" s="183"/>
      <c r="AG797" s="195"/>
      <c r="AH797" s="195"/>
      <c r="AI797" s="195"/>
      <c r="AJ797" s="195"/>
      <c r="AK797" s="71"/>
      <c r="AL797" s="71"/>
      <c r="AM797" s="71"/>
      <c r="AN797" s="71"/>
      <c r="AO797" s="71"/>
    </row>
    <row r="798">
      <c r="A798" s="137"/>
      <c r="B798" s="138"/>
      <c r="C798" s="103"/>
      <c r="D798" s="71"/>
      <c r="E798" s="137"/>
      <c r="F798" s="138"/>
      <c r="G798" s="103"/>
      <c r="H798" s="71"/>
      <c r="I798" s="137"/>
      <c r="J798" s="138"/>
      <c r="K798" s="103"/>
      <c r="L798" s="71"/>
      <c r="M798" s="137"/>
      <c r="N798" s="125"/>
      <c r="O798" s="103"/>
      <c r="P798" s="71"/>
      <c r="Q798" s="189"/>
      <c r="R798" s="125"/>
      <c r="S798" s="103"/>
      <c r="T798" s="71"/>
      <c r="U798" s="189"/>
      <c r="V798" s="125"/>
      <c r="W798" s="103"/>
      <c r="X798" s="71"/>
      <c r="Y798" s="137"/>
      <c r="Z798" s="180"/>
      <c r="AA798" s="181"/>
      <c r="AB798" s="182"/>
      <c r="AC798" s="137"/>
      <c r="AD798" s="125"/>
      <c r="AE798" s="162"/>
      <c r="AF798" s="183"/>
      <c r="AG798" s="195"/>
      <c r="AH798" s="195"/>
      <c r="AI798" s="195"/>
      <c r="AJ798" s="195"/>
      <c r="AK798" s="71"/>
      <c r="AL798" s="71"/>
      <c r="AM798" s="71"/>
      <c r="AN798" s="71"/>
      <c r="AO798" s="71"/>
    </row>
    <row r="799">
      <c r="A799" s="137"/>
      <c r="B799" s="138"/>
      <c r="C799" s="103"/>
      <c r="D799" s="71"/>
      <c r="E799" s="137"/>
      <c r="F799" s="138"/>
      <c r="G799" s="103"/>
      <c r="H799" s="71"/>
      <c r="I799" s="137"/>
      <c r="J799" s="138"/>
      <c r="K799" s="103"/>
      <c r="L799" s="71"/>
      <c r="M799" s="137"/>
      <c r="N799" s="125"/>
      <c r="O799" s="103"/>
      <c r="P799" s="71"/>
      <c r="Q799" s="189"/>
      <c r="R799" s="125"/>
      <c r="S799" s="103"/>
      <c r="T799" s="71"/>
      <c r="U799" s="189"/>
      <c r="V799" s="125"/>
      <c r="W799" s="103"/>
      <c r="X799" s="71"/>
      <c r="Y799" s="137"/>
      <c r="Z799" s="180"/>
      <c r="AA799" s="181"/>
      <c r="AB799" s="182"/>
      <c r="AC799" s="137"/>
      <c r="AD799" s="125"/>
      <c r="AE799" s="162"/>
      <c r="AF799" s="183"/>
      <c r="AG799" s="195"/>
      <c r="AH799" s="195"/>
      <c r="AI799" s="195"/>
      <c r="AJ799" s="195"/>
      <c r="AK799" s="71"/>
      <c r="AL799" s="71"/>
      <c r="AM799" s="71"/>
      <c r="AN799" s="71"/>
      <c r="AO799" s="71"/>
    </row>
    <row r="800">
      <c r="A800" s="137"/>
      <c r="B800" s="138"/>
      <c r="C800" s="103"/>
      <c r="D800" s="71"/>
      <c r="E800" s="137"/>
      <c r="F800" s="138"/>
      <c r="G800" s="103"/>
      <c r="H800" s="71"/>
      <c r="I800" s="137"/>
      <c r="J800" s="138"/>
      <c r="K800" s="103"/>
      <c r="L800" s="71"/>
      <c r="M800" s="137"/>
      <c r="N800" s="125"/>
      <c r="O800" s="103"/>
      <c r="P800" s="71"/>
      <c r="Q800" s="189"/>
      <c r="R800" s="125"/>
      <c r="S800" s="103"/>
      <c r="T800" s="71"/>
      <c r="U800" s="189"/>
      <c r="V800" s="125"/>
      <c r="W800" s="103"/>
      <c r="X800" s="71"/>
      <c r="Y800" s="137"/>
      <c r="Z800" s="180"/>
      <c r="AA800" s="181"/>
      <c r="AB800" s="182"/>
      <c r="AC800" s="137"/>
      <c r="AD800" s="125"/>
      <c r="AE800" s="162"/>
      <c r="AF800" s="183"/>
      <c r="AG800" s="195"/>
      <c r="AH800" s="195"/>
      <c r="AI800" s="195"/>
      <c r="AJ800" s="195"/>
      <c r="AK800" s="71"/>
      <c r="AL800" s="71"/>
      <c r="AM800" s="71"/>
      <c r="AN800" s="71"/>
      <c r="AO800" s="71"/>
    </row>
    <row r="801">
      <c r="A801" s="137"/>
      <c r="B801" s="138"/>
      <c r="C801" s="103"/>
      <c r="D801" s="71"/>
      <c r="E801" s="137"/>
      <c r="F801" s="138"/>
      <c r="G801" s="103"/>
      <c r="H801" s="71"/>
      <c r="I801" s="137"/>
      <c r="J801" s="138"/>
      <c r="K801" s="103"/>
      <c r="L801" s="71"/>
      <c r="M801" s="137"/>
      <c r="N801" s="125"/>
      <c r="O801" s="103"/>
      <c r="P801" s="71"/>
      <c r="Q801" s="189"/>
      <c r="R801" s="125"/>
      <c r="S801" s="103"/>
      <c r="T801" s="71"/>
      <c r="U801" s="189"/>
      <c r="V801" s="125"/>
      <c r="W801" s="103"/>
      <c r="X801" s="71"/>
      <c r="Y801" s="137"/>
      <c r="Z801" s="180"/>
      <c r="AA801" s="181"/>
      <c r="AB801" s="182"/>
      <c r="AC801" s="137"/>
      <c r="AD801" s="125"/>
      <c r="AE801" s="162"/>
      <c r="AF801" s="183"/>
      <c r="AG801" s="195"/>
      <c r="AH801" s="195"/>
      <c r="AI801" s="195"/>
      <c r="AJ801" s="195"/>
      <c r="AK801" s="71"/>
      <c r="AL801" s="71"/>
      <c r="AM801" s="71"/>
      <c r="AN801" s="71"/>
      <c r="AO801" s="71"/>
    </row>
    <row r="802">
      <c r="A802" s="137"/>
      <c r="B802" s="138"/>
      <c r="C802" s="103"/>
      <c r="D802" s="71"/>
      <c r="E802" s="137"/>
      <c r="F802" s="138"/>
      <c r="G802" s="103"/>
      <c r="H802" s="71"/>
      <c r="I802" s="137"/>
      <c r="J802" s="138"/>
      <c r="K802" s="103"/>
      <c r="L802" s="71"/>
      <c r="M802" s="137"/>
      <c r="N802" s="125"/>
      <c r="O802" s="103"/>
      <c r="P802" s="71"/>
      <c r="Q802" s="189"/>
      <c r="R802" s="125"/>
      <c r="S802" s="103"/>
      <c r="T802" s="71"/>
      <c r="U802" s="189"/>
      <c r="V802" s="125"/>
      <c r="W802" s="103"/>
      <c r="X802" s="71"/>
      <c r="Y802" s="137"/>
      <c r="Z802" s="180"/>
      <c r="AA802" s="181"/>
      <c r="AB802" s="182"/>
      <c r="AC802" s="137"/>
      <c r="AD802" s="125"/>
      <c r="AE802" s="162"/>
      <c r="AF802" s="183"/>
      <c r="AG802" s="195"/>
      <c r="AH802" s="195"/>
      <c r="AI802" s="195"/>
      <c r="AJ802" s="195"/>
      <c r="AK802" s="71"/>
      <c r="AL802" s="71"/>
      <c r="AM802" s="71"/>
      <c r="AN802" s="71"/>
      <c r="AO802" s="71"/>
    </row>
    <row r="803">
      <c r="A803" s="137"/>
      <c r="B803" s="138"/>
      <c r="C803" s="103"/>
      <c r="D803" s="71"/>
      <c r="E803" s="137"/>
      <c r="F803" s="138"/>
      <c r="G803" s="103"/>
      <c r="H803" s="71"/>
      <c r="I803" s="137"/>
      <c r="J803" s="138"/>
      <c r="K803" s="103"/>
      <c r="L803" s="71"/>
      <c r="M803" s="137"/>
      <c r="N803" s="125"/>
      <c r="O803" s="103"/>
      <c r="P803" s="71"/>
      <c r="Q803" s="189"/>
      <c r="R803" s="125"/>
      <c r="S803" s="103"/>
      <c r="T803" s="71"/>
      <c r="U803" s="189"/>
      <c r="V803" s="125"/>
      <c r="W803" s="103"/>
      <c r="X803" s="71"/>
      <c r="Y803" s="137"/>
      <c r="Z803" s="180"/>
      <c r="AA803" s="181"/>
      <c r="AB803" s="182"/>
      <c r="AC803" s="137"/>
      <c r="AD803" s="125"/>
      <c r="AE803" s="162"/>
      <c r="AF803" s="183"/>
      <c r="AG803" s="195"/>
      <c r="AH803" s="195"/>
      <c r="AI803" s="195"/>
      <c r="AJ803" s="195"/>
      <c r="AK803" s="71"/>
      <c r="AL803" s="71"/>
      <c r="AM803" s="71"/>
      <c r="AN803" s="71"/>
      <c r="AO803" s="71"/>
    </row>
    <row r="804">
      <c r="A804" s="137"/>
      <c r="B804" s="138"/>
      <c r="C804" s="103"/>
      <c r="D804" s="71"/>
      <c r="E804" s="137"/>
      <c r="F804" s="138"/>
      <c r="G804" s="103"/>
      <c r="H804" s="71"/>
      <c r="I804" s="137"/>
      <c r="J804" s="138"/>
      <c r="K804" s="103"/>
      <c r="L804" s="71"/>
      <c r="M804" s="137"/>
      <c r="N804" s="125"/>
      <c r="O804" s="103"/>
      <c r="P804" s="71"/>
      <c r="Q804" s="189"/>
      <c r="R804" s="125"/>
      <c r="S804" s="103"/>
      <c r="T804" s="71"/>
      <c r="U804" s="189"/>
      <c r="V804" s="125"/>
      <c r="W804" s="103"/>
      <c r="X804" s="71"/>
      <c r="Y804" s="137"/>
      <c r="Z804" s="180"/>
      <c r="AA804" s="181"/>
      <c r="AB804" s="182"/>
      <c r="AC804" s="137"/>
      <c r="AD804" s="125"/>
      <c r="AE804" s="162"/>
      <c r="AF804" s="183"/>
      <c r="AG804" s="195"/>
      <c r="AH804" s="195"/>
      <c r="AI804" s="195"/>
      <c r="AJ804" s="195"/>
      <c r="AK804" s="71"/>
      <c r="AL804" s="71"/>
      <c r="AM804" s="71"/>
      <c r="AN804" s="71"/>
      <c r="AO804" s="71"/>
    </row>
    <row r="805">
      <c r="A805" s="137"/>
      <c r="B805" s="138"/>
      <c r="C805" s="103"/>
      <c r="D805" s="71"/>
      <c r="E805" s="137"/>
      <c r="F805" s="138"/>
      <c r="G805" s="103"/>
      <c r="H805" s="71"/>
      <c r="I805" s="137"/>
      <c r="J805" s="138"/>
      <c r="K805" s="103"/>
      <c r="L805" s="71"/>
      <c r="M805" s="137"/>
      <c r="N805" s="125"/>
      <c r="O805" s="103"/>
      <c r="P805" s="71"/>
      <c r="Q805" s="189"/>
      <c r="R805" s="125"/>
      <c r="S805" s="103"/>
      <c r="T805" s="71"/>
      <c r="U805" s="189"/>
      <c r="V805" s="125"/>
      <c r="W805" s="103"/>
      <c r="X805" s="71"/>
      <c r="Y805" s="137"/>
      <c r="Z805" s="180"/>
      <c r="AA805" s="181"/>
      <c r="AB805" s="182"/>
      <c r="AC805" s="137"/>
      <c r="AD805" s="125"/>
      <c r="AE805" s="162"/>
      <c r="AF805" s="183"/>
      <c r="AG805" s="195"/>
      <c r="AH805" s="195"/>
      <c r="AI805" s="195"/>
      <c r="AJ805" s="195"/>
      <c r="AK805" s="71"/>
      <c r="AL805" s="71"/>
      <c r="AM805" s="71"/>
      <c r="AN805" s="71"/>
      <c r="AO805" s="71"/>
    </row>
    <row r="806">
      <c r="A806" s="137"/>
      <c r="B806" s="138"/>
      <c r="C806" s="103"/>
      <c r="D806" s="71"/>
      <c r="E806" s="137"/>
      <c r="F806" s="138"/>
      <c r="G806" s="103"/>
      <c r="H806" s="71"/>
      <c r="I806" s="137"/>
      <c r="J806" s="138"/>
      <c r="K806" s="103"/>
      <c r="L806" s="71"/>
      <c r="M806" s="137"/>
      <c r="N806" s="125"/>
      <c r="O806" s="103"/>
      <c r="P806" s="71"/>
      <c r="Q806" s="189"/>
      <c r="R806" s="125"/>
      <c r="S806" s="103"/>
      <c r="T806" s="71"/>
      <c r="U806" s="189"/>
      <c r="V806" s="125"/>
      <c r="W806" s="103"/>
      <c r="X806" s="71"/>
      <c r="Y806" s="137"/>
      <c r="Z806" s="180"/>
      <c r="AA806" s="181"/>
      <c r="AB806" s="182"/>
      <c r="AC806" s="137"/>
      <c r="AD806" s="125"/>
      <c r="AE806" s="162"/>
      <c r="AF806" s="183"/>
      <c r="AG806" s="195"/>
      <c r="AH806" s="195"/>
      <c r="AI806" s="195"/>
      <c r="AJ806" s="195"/>
      <c r="AK806" s="71"/>
      <c r="AL806" s="71"/>
      <c r="AM806" s="71"/>
      <c r="AN806" s="71"/>
      <c r="AO806" s="71"/>
    </row>
    <row r="807">
      <c r="A807" s="137"/>
      <c r="B807" s="138"/>
      <c r="C807" s="103"/>
      <c r="D807" s="71"/>
      <c r="E807" s="137"/>
      <c r="F807" s="138"/>
      <c r="G807" s="103"/>
      <c r="H807" s="71"/>
      <c r="I807" s="137"/>
      <c r="J807" s="138"/>
      <c r="K807" s="103"/>
      <c r="L807" s="71"/>
      <c r="M807" s="137"/>
      <c r="N807" s="125"/>
      <c r="O807" s="103"/>
      <c r="P807" s="71"/>
      <c r="Q807" s="189"/>
      <c r="R807" s="125"/>
      <c r="S807" s="103"/>
      <c r="T807" s="71"/>
      <c r="U807" s="189"/>
      <c r="V807" s="125"/>
      <c r="W807" s="103"/>
      <c r="X807" s="71"/>
      <c r="Y807" s="137"/>
      <c r="Z807" s="180"/>
      <c r="AA807" s="181"/>
      <c r="AB807" s="182"/>
      <c r="AC807" s="137"/>
      <c r="AD807" s="125"/>
      <c r="AE807" s="162"/>
      <c r="AF807" s="183"/>
      <c r="AG807" s="195"/>
      <c r="AH807" s="195"/>
      <c r="AI807" s="195"/>
      <c r="AJ807" s="195"/>
      <c r="AK807" s="71"/>
      <c r="AL807" s="71"/>
      <c r="AM807" s="71"/>
      <c r="AN807" s="71"/>
      <c r="AO807" s="71"/>
    </row>
    <row r="808">
      <c r="A808" s="137"/>
      <c r="B808" s="138"/>
      <c r="C808" s="103"/>
      <c r="D808" s="71"/>
      <c r="E808" s="137"/>
      <c r="F808" s="138"/>
      <c r="G808" s="103"/>
      <c r="H808" s="71"/>
      <c r="I808" s="137"/>
      <c r="J808" s="138"/>
      <c r="K808" s="103"/>
      <c r="L808" s="71"/>
      <c r="M808" s="137"/>
      <c r="N808" s="125"/>
      <c r="O808" s="103"/>
      <c r="P808" s="71"/>
      <c r="Q808" s="189"/>
      <c r="R808" s="125"/>
      <c r="S808" s="103"/>
      <c r="T808" s="71"/>
      <c r="U808" s="189"/>
      <c r="V808" s="125"/>
      <c r="W808" s="103"/>
      <c r="X808" s="71"/>
      <c r="Y808" s="137"/>
      <c r="Z808" s="180"/>
      <c r="AA808" s="181"/>
      <c r="AB808" s="182"/>
      <c r="AC808" s="137"/>
      <c r="AD808" s="125"/>
      <c r="AE808" s="162"/>
      <c r="AF808" s="183"/>
      <c r="AG808" s="195"/>
      <c r="AH808" s="195"/>
      <c r="AI808" s="195"/>
      <c r="AJ808" s="195"/>
      <c r="AK808" s="71"/>
      <c r="AL808" s="71"/>
      <c r="AM808" s="71"/>
      <c r="AN808" s="71"/>
      <c r="AO808" s="71"/>
    </row>
    <row r="809">
      <c r="A809" s="137"/>
      <c r="B809" s="138"/>
      <c r="C809" s="103"/>
      <c r="D809" s="71"/>
      <c r="E809" s="137"/>
      <c r="F809" s="138"/>
      <c r="G809" s="103"/>
      <c r="H809" s="71"/>
      <c r="I809" s="137"/>
      <c r="J809" s="138"/>
      <c r="K809" s="103"/>
      <c r="L809" s="71"/>
      <c r="M809" s="137"/>
      <c r="N809" s="125"/>
      <c r="O809" s="103"/>
      <c r="P809" s="71"/>
      <c r="Q809" s="189"/>
      <c r="R809" s="125"/>
      <c r="S809" s="103"/>
      <c r="T809" s="71"/>
      <c r="U809" s="189"/>
      <c r="V809" s="125"/>
      <c r="W809" s="103"/>
      <c r="X809" s="71"/>
      <c r="Y809" s="137"/>
      <c r="Z809" s="180"/>
      <c r="AA809" s="181"/>
      <c r="AB809" s="182"/>
      <c r="AC809" s="137"/>
      <c r="AD809" s="125"/>
      <c r="AE809" s="162"/>
      <c r="AF809" s="183"/>
      <c r="AG809" s="195"/>
      <c r="AH809" s="195"/>
      <c r="AI809" s="195"/>
      <c r="AJ809" s="195"/>
      <c r="AK809" s="71"/>
      <c r="AL809" s="71"/>
      <c r="AM809" s="71"/>
      <c r="AN809" s="71"/>
      <c r="AO809" s="71"/>
    </row>
    <row r="810">
      <c r="A810" s="137"/>
      <c r="B810" s="138"/>
      <c r="C810" s="103"/>
      <c r="D810" s="71"/>
      <c r="E810" s="137"/>
      <c r="F810" s="138"/>
      <c r="G810" s="103"/>
      <c r="H810" s="71"/>
      <c r="I810" s="137"/>
      <c r="J810" s="138"/>
      <c r="K810" s="103"/>
      <c r="L810" s="71"/>
      <c r="M810" s="137"/>
      <c r="N810" s="125"/>
      <c r="O810" s="103"/>
      <c r="P810" s="71"/>
      <c r="Q810" s="189"/>
      <c r="R810" s="125"/>
      <c r="S810" s="103"/>
      <c r="T810" s="71"/>
      <c r="U810" s="189"/>
      <c r="V810" s="125"/>
      <c r="W810" s="103"/>
      <c r="X810" s="71"/>
      <c r="Y810" s="137"/>
      <c r="Z810" s="180"/>
      <c r="AA810" s="181"/>
      <c r="AB810" s="182"/>
      <c r="AC810" s="137"/>
      <c r="AD810" s="125"/>
      <c r="AE810" s="162"/>
      <c r="AF810" s="183"/>
      <c r="AG810" s="195"/>
      <c r="AH810" s="195"/>
      <c r="AI810" s="195"/>
      <c r="AJ810" s="195"/>
      <c r="AK810" s="71"/>
      <c r="AL810" s="71"/>
      <c r="AM810" s="71"/>
      <c r="AN810" s="71"/>
      <c r="AO810" s="71"/>
    </row>
    <row r="811">
      <c r="A811" s="137"/>
      <c r="B811" s="138"/>
      <c r="C811" s="103"/>
      <c r="D811" s="71"/>
      <c r="E811" s="137"/>
      <c r="F811" s="138"/>
      <c r="G811" s="103"/>
      <c r="H811" s="71"/>
      <c r="I811" s="137"/>
      <c r="J811" s="138"/>
      <c r="K811" s="103"/>
      <c r="L811" s="71"/>
      <c r="M811" s="137"/>
      <c r="N811" s="125"/>
      <c r="O811" s="103"/>
      <c r="P811" s="71"/>
      <c r="Q811" s="189"/>
      <c r="R811" s="125"/>
      <c r="S811" s="103"/>
      <c r="T811" s="71"/>
      <c r="U811" s="189"/>
      <c r="V811" s="125"/>
      <c r="W811" s="103"/>
      <c r="X811" s="71"/>
      <c r="Y811" s="137"/>
      <c r="Z811" s="180"/>
      <c r="AA811" s="181"/>
      <c r="AB811" s="182"/>
      <c r="AC811" s="137"/>
      <c r="AD811" s="125"/>
      <c r="AE811" s="162"/>
      <c r="AF811" s="183"/>
      <c r="AG811" s="195"/>
      <c r="AH811" s="195"/>
      <c r="AI811" s="195"/>
      <c r="AJ811" s="195"/>
      <c r="AK811" s="71"/>
      <c r="AL811" s="71"/>
      <c r="AM811" s="71"/>
      <c r="AN811" s="71"/>
      <c r="AO811" s="71"/>
    </row>
    <row r="812">
      <c r="A812" s="137"/>
      <c r="B812" s="138"/>
      <c r="C812" s="103"/>
      <c r="D812" s="71"/>
      <c r="E812" s="137"/>
      <c r="F812" s="138"/>
      <c r="G812" s="103"/>
      <c r="H812" s="71"/>
      <c r="I812" s="137"/>
      <c r="J812" s="138"/>
      <c r="K812" s="103"/>
      <c r="L812" s="71"/>
      <c r="M812" s="137"/>
      <c r="N812" s="125"/>
      <c r="O812" s="103"/>
      <c r="P812" s="71"/>
      <c r="Q812" s="189"/>
      <c r="R812" s="125"/>
      <c r="S812" s="103"/>
      <c r="T812" s="71"/>
      <c r="U812" s="189"/>
      <c r="V812" s="125"/>
      <c r="W812" s="103"/>
      <c r="X812" s="71"/>
      <c r="Y812" s="137"/>
      <c r="Z812" s="180"/>
      <c r="AA812" s="181"/>
      <c r="AB812" s="182"/>
      <c r="AC812" s="137"/>
      <c r="AD812" s="125"/>
      <c r="AE812" s="162"/>
      <c r="AF812" s="183"/>
      <c r="AG812" s="195"/>
      <c r="AH812" s="195"/>
      <c r="AI812" s="195"/>
      <c r="AJ812" s="195"/>
      <c r="AK812" s="71"/>
      <c r="AL812" s="71"/>
      <c r="AM812" s="71"/>
      <c r="AN812" s="71"/>
      <c r="AO812" s="71"/>
    </row>
    <row r="813">
      <c r="A813" s="137"/>
      <c r="B813" s="138"/>
      <c r="C813" s="103"/>
      <c r="D813" s="71"/>
      <c r="E813" s="137"/>
      <c r="F813" s="138"/>
      <c r="G813" s="103"/>
      <c r="H813" s="71"/>
      <c r="I813" s="137"/>
      <c r="J813" s="138"/>
      <c r="K813" s="103"/>
      <c r="L813" s="71"/>
      <c r="M813" s="137"/>
      <c r="N813" s="125"/>
      <c r="O813" s="103"/>
      <c r="P813" s="71"/>
      <c r="Q813" s="189"/>
      <c r="R813" s="125"/>
      <c r="S813" s="103"/>
      <c r="T813" s="71"/>
      <c r="U813" s="189"/>
      <c r="V813" s="125"/>
      <c r="W813" s="103"/>
      <c r="X813" s="71"/>
      <c r="Y813" s="137"/>
      <c r="Z813" s="180"/>
      <c r="AA813" s="181"/>
      <c r="AB813" s="182"/>
      <c r="AC813" s="137"/>
      <c r="AD813" s="125"/>
      <c r="AE813" s="162"/>
      <c r="AF813" s="183"/>
      <c r="AG813" s="195"/>
      <c r="AH813" s="195"/>
      <c r="AI813" s="195"/>
      <c r="AJ813" s="195"/>
      <c r="AK813" s="71"/>
      <c r="AL813" s="71"/>
      <c r="AM813" s="71"/>
      <c r="AN813" s="71"/>
      <c r="AO813" s="71"/>
    </row>
    <row r="814">
      <c r="A814" s="137"/>
      <c r="B814" s="138"/>
      <c r="C814" s="103"/>
      <c r="D814" s="71"/>
      <c r="E814" s="137"/>
      <c r="F814" s="138"/>
      <c r="G814" s="103"/>
      <c r="H814" s="71"/>
      <c r="I814" s="137"/>
      <c r="J814" s="138"/>
      <c r="K814" s="103"/>
      <c r="L814" s="71"/>
      <c r="M814" s="137"/>
      <c r="N814" s="125"/>
      <c r="O814" s="103"/>
      <c r="P814" s="71"/>
      <c r="Q814" s="189"/>
      <c r="R814" s="125"/>
      <c r="S814" s="103"/>
      <c r="T814" s="71"/>
      <c r="U814" s="189"/>
      <c r="V814" s="125"/>
      <c r="W814" s="103"/>
      <c r="X814" s="71"/>
      <c r="Y814" s="137"/>
      <c r="Z814" s="180"/>
      <c r="AA814" s="181"/>
      <c r="AB814" s="182"/>
      <c r="AC814" s="137"/>
      <c r="AD814" s="125"/>
      <c r="AE814" s="162"/>
      <c r="AF814" s="183"/>
      <c r="AG814" s="195"/>
      <c r="AH814" s="195"/>
      <c r="AI814" s="195"/>
      <c r="AJ814" s="195"/>
      <c r="AK814" s="71"/>
      <c r="AL814" s="71"/>
      <c r="AM814" s="71"/>
      <c r="AN814" s="71"/>
      <c r="AO814" s="71"/>
    </row>
    <row r="815">
      <c r="A815" s="137"/>
      <c r="B815" s="138"/>
      <c r="C815" s="103"/>
      <c r="D815" s="71"/>
      <c r="E815" s="137"/>
      <c r="F815" s="138"/>
      <c r="G815" s="103"/>
      <c r="H815" s="71"/>
      <c r="I815" s="137"/>
      <c r="J815" s="138"/>
      <c r="K815" s="103"/>
      <c r="L815" s="71"/>
      <c r="M815" s="137"/>
      <c r="N815" s="125"/>
      <c r="O815" s="103"/>
      <c r="P815" s="71"/>
      <c r="Q815" s="189"/>
      <c r="R815" s="125"/>
      <c r="S815" s="103"/>
      <c r="T815" s="71"/>
      <c r="U815" s="189"/>
      <c r="V815" s="125"/>
      <c r="W815" s="103"/>
      <c r="X815" s="71"/>
      <c r="Y815" s="137"/>
      <c r="Z815" s="180"/>
      <c r="AA815" s="181"/>
      <c r="AB815" s="182"/>
      <c r="AC815" s="137"/>
      <c r="AD815" s="125"/>
      <c r="AE815" s="162"/>
      <c r="AF815" s="183"/>
      <c r="AG815" s="195"/>
      <c r="AH815" s="195"/>
      <c r="AI815" s="195"/>
      <c r="AJ815" s="195"/>
      <c r="AK815" s="71"/>
      <c r="AL815" s="71"/>
      <c r="AM815" s="71"/>
      <c r="AN815" s="71"/>
      <c r="AO815" s="71"/>
    </row>
    <row r="816">
      <c r="A816" s="137"/>
      <c r="B816" s="138"/>
      <c r="C816" s="103"/>
      <c r="D816" s="71"/>
      <c r="E816" s="137"/>
      <c r="F816" s="138"/>
      <c r="G816" s="103"/>
      <c r="H816" s="71"/>
      <c r="I816" s="137"/>
      <c r="J816" s="138"/>
      <c r="K816" s="103"/>
      <c r="L816" s="71"/>
      <c r="M816" s="137"/>
      <c r="N816" s="125"/>
      <c r="O816" s="103"/>
      <c r="P816" s="71"/>
      <c r="Q816" s="189"/>
      <c r="R816" s="125"/>
      <c r="S816" s="103"/>
      <c r="T816" s="71"/>
      <c r="U816" s="189"/>
      <c r="V816" s="125"/>
      <c r="W816" s="103"/>
      <c r="X816" s="71"/>
      <c r="Y816" s="137"/>
      <c r="Z816" s="180"/>
      <c r="AA816" s="181"/>
      <c r="AB816" s="182"/>
      <c r="AC816" s="137"/>
      <c r="AD816" s="125"/>
      <c r="AE816" s="162"/>
      <c r="AF816" s="183"/>
      <c r="AG816" s="195"/>
      <c r="AH816" s="195"/>
      <c r="AI816" s="195"/>
      <c r="AJ816" s="195"/>
      <c r="AK816" s="71"/>
      <c r="AL816" s="71"/>
      <c r="AM816" s="71"/>
      <c r="AN816" s="71"/>
      <c r="AO816" s="71"/>
    </row>
    <row r="817">
      <c r="A817" s="137"/>
      <c r="B817" s="138"/>
      <c r="C817" s="103"/>
      <c r="D817" s="71"/>
      <c r="E817" s="137"/>
      <c r="F817" s="138"/>
      <c r="G817" s="103"/>
      <c r="H817" s="71"/>
      <c r="I817" s="137"/>
      <c r="J817" s="138"/>
      <c r="K817" s="103"/>
      <c r="L817" s="71"/>
      <c r="M817" s="137"/>
      <c r="N817" s="125"/>
      <c r="O817" s="103"/>
      <c r="P817" s="71"/>
      <c r="Q817" s="189"/>
      <c r="R817" s="125"/>
      <c r="S817" s="103"/>
      <c r="T817" s="71"/>
      <c r="U817" s="189"/>
      <c r="V817" s="125"/>
      <c r="W817" s="103"/>
      <c r="X817" s="71"/>
      <c r="Y817" s="137"/>
      <c r="Z817" s="180"/>
      <c r="AA817" s="181"/>
      <c r="AB817" s="182"/>
      <c r="AC817" s="137"/>
      <c r="AD817" s="125"/>
      <c r="AE817" s="162"/>
      <c r="AF817" s="183"/>
      <c r="AG817" s="195"/>
      <c r="AH817" s="195"/>
      <c r="AI817" s="195"/>
      <c r="AJ817" s="195"/>
      <c r="AK817" s="71"/>
      <c r="AL817" s="71"/>
      <c r="AM817" s="71"/>
      <c r="AN817" s="71"/>
      <c r="AO817" s="71"/>
    </row>
    <row r="818">
      <c r="A818" s="137"/>
      <c r="B818" s="138"/>
      <c r="C818" s="103"/>
      <c r="D818" s="71"/>
      <c r="E818" s="137"/>
      <c r="F818" s="138"/>
      <c r="G818" s="103"/>
      <c r="H818" s="71"/>
      <c r="I818" s="137"/>
      <c r="J818" s="138"/>
      <c r="K818" s="103"/>
      <c r="L818" s="71"/>
      <c r="M818" s="137"/>
      <c r="N818" s="125"/>
      <c r="O818" s="103"/>
      <c r="P818" s="71"/>
      <c r="Q818" s="189"/>
      <c r="R818" s="125"/>
      <c r="S818" s="103"/>
      <c r="T818" s="71"/>
      <c r="U818" s="189"/>
      <c r="V818" s="125"/>
      <c r="W818" s="103"/>
      <c r="X818" s="71"/>
      <c r="Y818" s="137"/>
      <c r="Z818" s="180"/>
      <c r="AA818" s="181"/>
      <c r="AB818" s="182"/>
      <c r="AC818" s="137"/>
      <c r="AD818" s="125"/>
      <c r="AE818" s="162"/>
      <c r="AF818" s="183"/>
      <c r="AG818" s="195"/>
      <c r="AH818" s="195"/>
      <c r="AI818" s="195"/>
      <c r="AJ818" s="195"/>
      <c r="AK818" s="71"/>
      <c r="AL818" s="71"/>
      <c r="AM818" s="71"/>
      <c r="AN818" s="71"/>
      <c r="AO818" s="71"/>
    </row>
    <row r="819">
      <c r="A819" s="137"/>
      <c r="B819" s="138"/>
      <c r="C819" s="103"/>
      <c r="D819" s="71"/>
      <c r="E819" s="137"/>
      <c r="F819" s="138"/>
      <c r="G819" s="103"/>
      <c r="H819" s="71"/>
      <c r="I819" s="137"/>
      <c r="J819" s="138"/>
      <c r="K819" s="103"/>
      <c r="L819" s="71"/>
      <c r="M819" s="137"/>
      <c r="N819" s="125"/>
      <c r="O819" s="103"/>
      <c r="P819" s="71"/>
      <c r="Q819" s="189"/>
      <c r="R819" s="125"/>
      <c r="S819" s="103"/>
      <c r="T819" s="71"/>
      <c r="U819" s="189"/>
      <c r="V819" s="125"/>
      <c r="W819" s="103"/>
      <c r="X819" s="71"/>
      <c r="Y819" s="137"/>
      <c r="Z819" s="180"/>
      <c r="AA819" s="181"/>
      <c r="AB819" s="182"/>
      <c r="AC819" s="137"/>
      <c r="AD819" s="125"/>
      <c r="AE819" s="162"/>
      <c r="AF819" s="183"/>
      <c r="AG819" s="195"/>
      <c r="AH819" s="195"/>
      <c r="AI819" s="195"/>
      <c r="AJ819" s="195"/>
      <c r="AK819" s="71"/>
      <c r="AL819" s="71"/>
      <c r="AM819" s="71"/>
      <c r="AN819" s="71"/>
      <c r="AO819" s="71"/>
    </row>
    <row r="820">
      <c r="A820" s="137"/>
      <c r="B820" s="138"/>
      <c r="C820" s="103"/>
      <c r="D820" s="71"/>
      <c r="E820" s="137"/>
      <c r="F820" s="138"/>
      <c r="G820" s="103"/>
      <c r="H820" s="71"/>
      <c r="I820" s="137"/>
      <c r="J820" s="138"/>
      <c r="K820" s="103"/>
      <c r="L820" s="71"/>
      <c r="M820" s="137"/>
      <c r="N820" s="125"/>
      <c r="O820" s="103"/>
      <c r="P820" s="71"/>
      <c r="Q820" s="189"/>
      <c r="R820" s="125"/>
      <c r="S820" s="103"/>
      <c r="T820" s="71"/>
      <c r="U820" s="189"/>
      <c r="V820" s="125"/>
      <c r="W820" s="103"/>
      <c r="X820" s="71"/>
      <c r="Y820" s="137"/>
      <c r="Z820" s="180"/>
      <c r="AA820" s="181"/>
      <c r="AB820" s="182"/>
      <c r="AC820" s="137"/>
      <c r="AD820" s="125"/>
      <c r="AE820" s="162"/>
      <c r="AF820" s="183"/>
      <c r="AG820" s="195"/>
      <c r="AH820" s="195"/>
      <c r="AI820" s="195"/>
      <c r="AJ820" s="195"/>
      <c r="AK820" s="71"/>
      <c r="AL820" s="71"/>
      <c r="AM820" s="71"/>
      <c r="AN820" s="71"/>
      <c r="AO820" s="71"/>
    </row>
    <row r="821">
      <c r="A821" s="137"/>
      <c r="B821" s="138"/>
      <c r="C821" s="103"/>
      <c r="D821" s="71"/>
      <c r="E821" s="137"/>
      <c r="F821" s="138"/>
      <c r="G821" s="103"/>
      <c r="H821" s="71"/>
      <c r="I821" s="137"/>
      <c r="J821" s="138"/>
      <c r="K821" s="103"/>
      <c r="L821" s="71"/>
      <c r="M821" s="137"/>
      <c r="N821" s="125"/>
      <c r="O821" s="103"/>
      <c r="P821" s="71"/>
      <c r="Q821" s="189"/>
      <c r="R821" s="125"/>
      <c r="S821" s="103"/>
      <c r="T821" s="71"/>
      <c r="U821" s="189"/>
      <c r="V821" s="125"/>
      <c r="W821" s="103"/>
      <c r="X821" s="71"/>
      <c r="Y821" s="137"/>
      <c r="Z821" s="180"/>
      <c r="AA821" s="181"/>
      <c r="AB821" s="182"/>
      <c r="AC821" s="137"/>
      <c r="AD821" s="125"/>
      <c r="AE821" s="162"/>
      <c r="AF821" s="183"/>
      <c r="AG821" s="195"/>
      <c r="AH821" s="195"/>
      <c r="AI821" s="195"/>
      <c r="AJ821" s="195"/>
      <c r="AK821" s="71"/>
      <c r="AL821" s="71"/>
      <c r="AM821" s="71"/>
      <c r="AN821" s="71"/>
      <c r="AO821" s="71"/>
    </row>
    <row r="822">
      <c r="A822" s="137"/>
      <c r="B822" s="138"/>
      <c r="C822" s="103"/>
      <c r="D822" s="71"/>
      <c r="E822" s="137"/>
      <c r="F822" s="138"/>
      <c r="G822" s="103"/>
      <c r="H822" s="71"/>
      <c r="I822" s="137"/>
      <c r="J822" s="138"/>
      <c r="K822" s="103"/>
      <c r="L822" s="71"/>
      <c r="M822" s="137"/>
      <c r="N822" s="125"/>
      <c r="O822" s="103"/>
      <c r="P822" s="71"/>
      <c r="Q822" s="189"/>
      <c r="R822" s="125"/>
      <c r="S822" s="103"/>
      <c r="T822" s="71"/>
      <c r="U822" s="189"/>
      <c r="V822" s="125"/>
      <c r="W822" s="103"/>
      <c r="X822" s="71"/>
      <c r="Y822" s="137"/>
      <c r="Z822" s="180"/>
      <c r="AA822" s="181"/>
      <c r="AB822" s="182"/>
      <c r="AC822" s="137"/>
      <c r="AD822" s="125"/>
      <c r="AE822" s="162"/>
      <c r="AF822" s="183"/>
      <c r="AG822" s="195"/>
      <c r="AH822" s="195"/>
      <c r="AI822" s="195"/>
      <c r="AJ822" s="195"/>
      <c r="AK822" s="71"/>
      <c r="AL822" s="71"/>
      <c r="AM822" s="71"/>
      <c r="AN822" s="71"/>
      <c r="AO822" s="71"/>
    </row>
    <row r="823">
      <c r="A823" s="137"/>
      <c r="B823" s="138"/>
      <c r="C823" s="103"/>
      <c r="D823" s="71"/>
      <c r="E823" s="137"/>
      <c r="F823" s="138"/>
      <c r="G823" s="103"/>
      <c r="H823" s="71"/>
      <c r="I823" s="137"/>
      <c r="J823" s="138"/>
      <c r="K823" s="103"/>
      <c r="L823" s="71"/>
      <c r="M823" s="137"/>
      <c r="N823" s="125"/>
      <c r="O823" s="103"/>
      <c r="P823" s="71"/>
      <c r="Q823" s="189"/>
      <c r="R823" s="125"/>
      <c r="S823" s="103"/>
      <c r="T823" s="71"/>
      <c r="U823" s="189"/>
      <c r="V823" s="125"/>
      <c r="W823" s="103"/>
      <c r="X823" s="71"/>
      <c r="Y823" s="137"/>
      <c r="Z823" s="180"/>
      <c r="AA823" s="181"/>
      <c r="AB823" s="182"/>
      <c r="AC823" s="137"/>
      <c r="AD823" s="125"/>
      <c r="AE823" s="162"/>
      <c r="AF823" s="183"/>
      <c r="AG823" s="195"/>
      <c r="AH823" s="195"/>
      <c r="AI823" s="195"/>
      <c r="AJ823" s="195"/>
      <c r="AK823" s="71"/>
      <c r="AL823" s="71"/>
      <c r="AM823" s="71"/>
      <c r="AN823" s="71"/>
      <c r="AO823" s="71"/>
    </row>
    <row r="824">
      <c r="A824" s="137"/>
      <c r="B824" s="138"/>
      <c r="C824" s="103"/>
      <c r="D824" s="71"/>
      <c r="E824" s="137"/>
      <c r="F824" s="138"/>
      <c r="G824" s="103"/>
      <c r="H824" s="71"/>
      <c r="I824" s="137"/>
      <c r="J824" s="138"/>
      <c r="K824" s="103"/>
      <c r="L824" s="71"/>
      <c r="M824" s="137"/>
      <c r="N824" s="125"/>
      <c r="O824" s="103"/>
      <c r="P824" s="71"/>
      <c r="Q824" s="189"/>
      <c r="R824" s="125"/>
      <c r="S824" s="103"/>
      <c r="T824" s="71"/>
      <c r="U824" s="189"/>
      <c r="V824" s="125"/>
      <c r="W824" s="103"/>
      <c r="X824" s="71"/>
      <c r="Y824" s="137"/>
      <c r="Z824" s="180"/>
      <c r="AA824" s="181"/>
      <c r="AB824" s="182"/>
      <c r="AC824" s="137"/>
      <c r="AD824" s="125"/>
      <c r="AE824" s="162"/>
      <c r="AF824" s="183"/>
      <c r="AG824" s="195"/>
      <c r="AH824" s="195"/>
      <c r="AI824" s="195"/>
      <c r="AJ824" s="195"/>
      <c r="AK824" s="71"/>
      <c r="AL824" s="71"/>
      <c r="AM824" s="71"/>
      <c r="AN824" s="71"/>
      <c r="AO824" s="71"/>
    </row>
    <row r="825">
      <c r="A825" s="137"/>
      <c r="B825" s="138"/>
      <c r="C825" s="103"/>
      <c r="D825" s="71"/>
      <c r="E825" s="137"/>
      <c r="F825" s="138"/>
      <c r="G825" s="103"/>
      <c r="H825" s="71"/>
      <c r="I825" s="137"/>
      <c r="J825" s="138"/>
      <c r="K825" s="103"/>
      <c r="L825" s="71"/>
      <c r="M825" s="137"/>
      <c r="N825" s="125"/>
      <c r="O825" s="103"/>
      <c r="P825" s="71"/>
      <c r="Q825" s="189"/>
      <c r="R825" s="125"/>
      <c r="S825" s="103"/>
      <c r="T825" s="71"/>
      <c r="U825" s="189"/>
      <c r="V825" s="125"/>
      <c r="W825" s="103"/>
      <c r="X825" s="71"/>
      <c r="Y825" s="137"/>
      <c r="Z825" s="180"/>
      <c r="AA825" s="181"/>
      <c r="AB825" s="182"/>
      <c r="AC825" s="137"/>
      <c r="AD825" s="125"/>
      <c r="AE825" s="162"/>
      <c r="AF825" s="183"/>
      <c r="AG825" s="195"/>
      <c r="AH825" s="195"/>
      <c r="AI825" s="195"/>
      <c r="AJ825" s="195"/>
      <c r="AK825" s="71"/>
      <c r="AL825" s="71"/>
      <c r="AM825" s="71"/>
      <c r="AN825" s="71"/>
      <c r="AO825" s="71"/>
    </row>
    <row r="826">
      <c r="A826" s="137"/>
      <c r="B826" s="138"/>
      <c r="C826" s="103"/>
      <c r="D826" s="71"/>
      <c r="E826" s="137"/>
      <c r="F826" s="138"/>
      <c r="G826" s="103"/>
      <c r="H826" s="71"/>
      <c r="I826" s="137"/>
      <c r="J826" s="138"/>
      <c r="K826" s="103"/>
      <c r="L826" s="71"/>
      <c r="M826" s="137"/>
      <c r="N826" s="125"/>
      <c r="O826" s="103"/>
      <c r="P826" s="71"/>
      <c r="Q826" s="189"/>
      <c r="R826" s="125"/>
      <c r="S826" s="103"/>
      <c r="T826" s="71"/>
      <c r="U826" s="189"/>
      <c r="V826" s="125"/>
      <c r="W826" s="103"/>
      <c r="X826" s="71"/>
      <c r="Y826" s="137"/>
      <c r="Z826" s="180"/>
      <c r="AA826" s="181"/>
      <c r="AB826" s="182"/>
      <c r="AC826" s="137"/>
      <c r="AD826" s="125"/>
      <c r="AE826" s="162"/>
      <c r="AF826" s="183"/>
      <c r="AG826" s="195"/>
      <c r="AH826" s="195"/>
      <c r="AI826" s="195"/>
      <c r="AJ826" s="195"/>
      <c r="AK826" s="71"/>
      <c r="AL826" s="71"/>
      <c r="AM826" s="71"/>
      <c r="AN826" s="71"/>
      <c r="AO826" s="71"/>
    </row>
    <row r="827">
      <c r="A827" s="137"/>
      <c r="B827" s="138"/>
      <c r="C827" s="103"/>
      <c r="D827" s="71"/>
      <c r="E827" s="137"/>
      <c r="F827" s="138"/>
      <c r="G827" s="103"/>
      <c r="H827" s="71"/>
      <c r="I827" s="137"/>
      <c r="J827" s="138"/>
      <c r="K827" s="103"/>
      <c r="L827" s="71"/>
      <c r="M827" s="137"/>
      <c r="N827" s="125"/>
      <c r="O827" s="103"/>
      <c r="P827" s="71"/>
      <c r="Q827" s="189"/>
      <c r="R827" s="125"/>
      <c r="S827" s="103"/>
      <c r="T827" s="71"/>
      <c r="U827" s="189"/>
      <c r="V827" s="125"/>
      <c r="W827" s="103"/>
      <c r="X827" s="71"/>
      <c r="Y827" s="137"/>
      <c r="Z827" s="180"/>
      <c r="AA827" s="181"/>
      <c r="AB827" s="182"/>
      <c r="AC827" s="137"/>
      <c r="AD827" s="125"/>
      <c r="AE827" s="162"/>
      <c r="AF827" s="183"/>
      <c r="AG827" s="195"/>
      <c r="AH827" s="195"/>
      <c r="AI827" s="195"/>
      <c r="AJ827" s="195"/>
      <c r="AK827" s="71"/>
      <c r="AL827" s="71"/>
      <c r="AM827" s="71"/>
      <c r="AN827" s="71"/>
      <c r="AO827" s="71"/>
    </row>
    <row r="828">
      <c r="A828" s="137"/>
      <c r="B828" s="138"/>
      <c r="C828" s="103"/>
      <c r="D828" s="71"/>
      <c r="E828" s="137"/>
      <c r="F828" s="138"/>
      <c r="G828" s="103"/>
      <c r="H828" s="71"/>
      <c r="I828" s="137"/>
      <c r="J828" s="138"/>
      <c r="K828" s="103"/>
      <c r="L828" s="71"/>
      <c r="M828" s="137"/>
      <c r="N828" s="125"/>
      <c r="O828" s="103"/>
      <c r="P828" s="71"/>
      <c r="Q828" s="189"/>
      <c r="R828" s="125"/>
      <c r="S828" s="103"/>
      <c r="T828" s="71"/>
      <c r="U828" s="189"/>
      <c r="V828" s="125"/>
      <c r="W828" s="103"/>
      <c r="X828" s="71"/>
      <c r="Y828" s="137"/>
      <c r="Z828" s="180"/>
      <c r="AA828" s="181"/>
      <c r="AB828" s="182"/>
      <c r="AC828" s="137"/>
      <c r="AD828" s="125"/>
      <c r="AE828" s="162"/>
      <c r="AF828" s="183"/>
      <c r="AG828" s="195"/>
      <c r="AH828" s="195"/>
      <c r="AI828" s="195"/>
      <c r="AJ828" s="195"/>
      <c r="AK828" s="71"/>
      <c r="AL828" s="71"/>
      <c r="AM828" s="71"/>
      <c r="AN828" s="71"/>
      <c r="AO828" s="71"/>
    </row>
    <row r="829">
      <c r="A829" s="137"/>
      <c r="B829" s="138"/>
      <c r="C829" s="103"/>
      <c r="D829" s="71"/>
      <c r="E829" s="137"/>
      <c r="F829" s="138"/>
      <c r="G829" s="103"/>
      <c r="H829" s="71"/>
      <c r="I829" s="137"/>
      <c r="J829" s="138"/>
      <c r="K829" s="103"/>
      <c r="L829" s="71"/>
      <c r="M829" s="137"/>
      <c r="N829" s="125"/>
      <c r="O829" s="103"/>
      <c r="P829" s="71"/>
      <c r="Q829" s="189"/>
      <c r="R829" s="125"/>
      <c r="S829" s="103"/>
      <c r="T829" s="71"/>
      <c r="U829" s="189"/>
      <c r="V829" s="125"/>
      <c r="W829" s="103"/>
      <c r="X829" s="71"/>
      <c r="Y829" s="137"/>
      <c r="Z829" s="180"/>
      <c r="AA829" s="181"/>
      <c r="AB829" s="182"/>
      <c r="AC829" s="137"/>
      <c r="AD829" s="125"/>
      <c r="AE829" s="162"/>
      <c r="AF829" s="183"/>
      <c r="AG829" s="195"/>
      <c r="AH829" s="195"/>
      <c r="AI829" s="195"/>
      <c r="AJ829" s="195"/>
      <c r="AK829" s="71"/>
      <c r="AL829" s="71"/>
      <c r="AM829" s="71"/>
      <c r="AN829" s="71"/>
      <c r="AO829" s="71"/>
    </row>
    <row r="830">
      <c r="A830" s="137"/>
      <c r="B830" s="138"/>
      <c r="C830" s="103"/>
      <c r="D830" s="71"/>
      <c r="E830" s="137"/>
      <c r="F830" s="138"/>
      <c r="G830" s="103"/>
      <c r="H830" s="71"/>
      <c r="I830" s="137"/>
      <c r="J830" s="138"/>
      <c r="K830" s="103"/>
      <c r="L830" s="71"/>
      <c r="M830" s="137"/>
      <c r="N830" s="125"/>
      <c r="O830" s="103"/>
      <c r="P830" s="71"/>
      <c r="Q830" s="189"/>
      <c r="R830" s="125"/>
      <c r="S830" s="103"/>
      <c r="T830" s="71"/>
      <c r="U830" s="189"/>
      <c r="V830" s="125"/>
      <c r="W830" s="103"/>
      <c r="X830" s="71"/>
      <c r="Y830" s="137"/>
      <c r="Z830" s="180"/>
      <c r="AA830" s="181"/>
      <c r="AB830" s="182"/>
      <c r="AC830" s="137"/>
      <c r="AD830" s="125"/>
      <c r="AE830" s="162"/>
      <c r="AF830" s="183"/>
      <c r="AG830" s="195"/>
      <c r="AH830" s="195"/>
      <c r="AI830" s="195"/>
      <c r="AJ830" s="195"/>
      <c r="AK830" s="71"/>
      <c r="AL830" s="71"/>
      <c r="AM830" s="71"/>
      <c r="AN830" s="71"/>
      <c r="AO830" s="71"/>
    </row>
    <row r="831">
      <c r="A831" s="137"/>
      <c r="B831" s="138"/>
      <c r="C831" s="103"/>
      <c r="D831" s="71"/>
      <c r="E831" s="137"/>
      <c r="F831" s="138"/>
      <c r="G831" s="103"/>
      <c r="H831" s="71"/>
      <c r="I831" s="137"/>
      <c r="J831" s="138"/>
      <c r="K831" s="103"/>
      <c r="L831" s="71"/>
      <c r="M831" s="137"/>
      <c r="N831" s="125"/>
      <c r="O831" s="103"/>
      <c r="P831" s="71"/>
      <c r="Q831" s="189"/>
      <c r="R831" s="125"/>
      <c r="S831" s="103"/>
      <c r="T831" s="71"/>
      <c r="U831" s="189"/>
      <c r="V831" s="125"/>
      <c r="W831" s="103"/>
      <c r="X831" s="71"/>
      <c r="Y831" s="137"/>
      <c r="Z831" s="180"/>
      <c r="AA831" s="181"/>
      <c r="AB831" s="182"/>
      <c r="AC831" s="137"/>
      <c r="AD831" s="125"/>
      <c r="AE831" s="162"/>
      <c r="AF831" s="183"/>
      <c r="AG831" s="195"/>
      <c r="AH831" s="195"/>
      <c r="AI831" s="195"/>
      <c r="AJ831" s="195"/>
      <c r="AK831" s="71"/>
      <c r="AL831" s="71"/>
      <c r="AM831" s="71"/>
      <c r="AN831" s="71"/>
      <c r="AO831" s="71"/>
    </row>
    <row r="832">
      <c r="A832" s="137"/>
      <c r="B832" s="138"/>
      <c r="C832" s="103"/>
      <c r="D832" s="71"/>
      <c r="E832" s="137"/>
      <c r="F832" s="138"/>
      <c r="G832" s="103"/>
      <c r="H832" s="71"/>
      <c r="I832" s="137"/>
      <c r="J832" s="138"/>
      <c r="K832" s="103"/>
      <c r="L832" s="71"/>
      <c r="M832" s="137"/>
      <c r="N832" s="125"/>
      <c r="O832" s="103"/>
      <c r="P832" s="71"/>
      <c r="Q832" s="189"/>
      <c r="R832" s="125"/>
      <c r="S832" s="103"/>
      <c r="T832" s="71"/>
      <c r="U832" s="189"/>
      <c r="V832" s="125"/>
      <c r="W832" s="103"/>
      <c r="X832" s="71"/>
      <c r="Y832" s="137"/>
      <c r="Z832" s="180"/>
      <c r="AA832" s="181"/>
      <c r="AB832" s="182"/>
      <c r="AC832" s="137"/>
      <c r="AD832" s="125"/>
      <c r="AE832" s="162"/>
      <c r="AF832" s="183"/>
      <c r="AG832" s="195"/>
      <c r="AH832" s="195"/>
      <c r="AI832" s="195"/>
      <c r="AJ832" s="195"/>
      <c r="AK832" s="71"/>
      <c r="AL832" s="71"/>
      <c r="AM832" s="71"/>
      <c r="AN832" s="71"/>
      <c r="AO832" s="71"/>
    </row>
    <row r="833">
      <c r="A833" s="137"/>
      <c r="B833" s="138"/>
      <c r="C833" s="103"/>
      <c r="D833" s="71"/>
      <c r="E833" s="137"/>
      <c r="F833" s="138"/>
      <c r="G833" s="103"/>
      <c r="H833" s="71"/>
      <c r="I833" s="137"/>
      <c r="J833" s="138"/>
      <c r="K833" s="103"/>
      <c r="L833" s="71"/>
      <c r="M833" s="137"/>
      <c r="N833" s="125"/>
      <c r="O833" s="103"/>
      <c r="P833" s="71"/>
      <c r="Q833" s="189"/>
      <c r="R833" s="125"/>
      <c r="S833" s="103"/>
      <c r="T833" s="71"/>
      <c r="U833" s="189"/>
      <c r="V833" s="125"/>
      <c r="W833" s="103"/>
      <c r="X833" s="71"/>
      <c r="Y833" s="137"/>
      <c r="Z833" s="180"/>
      <c r="AA833" s="181"/>
      <c r="AB833" s="182"/>
      <c r="AC833" s="137"/>
      <c r="AD833" s="125"/>
      <c r="AE833" s="162"/>
      <c r="AF833" s="183"/>
      <c r="AG833" s="195"/>
      <c r="AH833" s="195"/>
      <c r="AI833" s="195"/>
      <c r="AJ833" s="195"/>
      <c r="AK833" s="71"/>
      <c r="AL833" s="71"/>
      <c r="AM833" s="71"/>
      <c r="AN833" s="71"/>
      <c r="AO833" s="71"/>
    </row>
    <row r="834">
      <c r="A834" s="137"/>
      <c r="B834" s="138"/>
      <c r="C834" s="103"/>
      <c r="D834" s="71"/>
      <c r="E834" s="137"/>
      <c r="F834" s="138"/>
      <c r="G834" s="103"/>
      <c r="H834" s="71"/>
      <c r="I834" s="137"/>
      <c r="J834" s="138"/>
      <c r="K834" s="103"/>
      <c r="L834" s="71"/>
      <c r="M834" s="137"/>
      <c r="N834" s="125"/>
      <c r="O834" s="103"/>
      <c r="P834" s="71"/>
      <c r="Q834" s="189"/>
      <c r="R834" s="125"/>
      <c r="S834" s="103"/>
      <c r="T834" s="71"/>
      <c r="U834" s="189"/>
      <c r="V834" s="125"/>
      <c r="W834" s="103"/>
      <c r="X834" s="71"/>
      <c r="Y834" s="137"/>
      <c r="Z834" s="180"/>
      <c r="AA834" s="181"/>
      <c r="AB834" s="182"/>
      <c r="AC834" s="137"/>
      <c r="AD834" s="125"/>
      <c r="AE834" s="162"/>
      <c r="AF834" s="183"/>
      <c r="AG834" s="195"/>
      <c r="AH834" s="195"/>
      <c r="AI834" s="195"/>
      <c r="AJ834" s="195"/>
      <c r="AK834" s="71"/>
      <c r="AL834" s="71"/>
      <c r="AM834" s="71"/>
      <c r="AN834" s="71"/>
      <c r="AO834" s="71"/>
    </row>
    <row r="835">
      <c r="A835" s="137"/>
      <c r="B835" s="138"/>
      <c r="C835" s="103"/>
      <c r="D835" s="71"/>
      <c r="E835" s="137"/>
      <c r="F835" s="138"/>
      <c r="G835" s="103"/>
      <c r="H835" s="71"/>
      <c r="I835" s="137"/>
      <c r="J835" s="138"/>
      <c r="K835" s="103"/>
      <c r="L835" s="71"/>
      <c r="M835" s="137"/>
      <c r="N835" s="125"/>
      <c r="O835" s="103"/>
      <c r="P835" s="71"/>
      <c r="Q835" s="189"/>
      <c r="R835" s="125"/>
      <c r="S835" s="103"/>
      <c r="T835" s="71"/>
      <c r="U835" s="189"/>
      <c r="V835" s="125"/>
      <c r="W835" s="103"/>
      <c r="X835" s="71"/>
      <c r="Y835" s="137"/>
      <c r="Z835" s="180"/>
      <c r="AA835" s="181"/>
      <c r="AB835" s="182"/>
      <c r="AC835" s="137"/>
      <c r="AD835" s="125"/>
      <c r="AE835" s="162"/>
      <c r="AF835" s="183"/>
      <c r="AG835" s="195"/>
      <c r="AH835" s="195"/>
      <c r="AI835" s="195"/>
      <c r="AJ835" s="195"/>
      <c r="AK835" s="71"/>
      <c r="AL835" s="71"/>
      <c r="AM835" s="71"/>
      <c r="AN835" s="71"/>
      <c r="AO835" s="71"/>
    </row>
    <row r="836">
      <c r="A836" s="137"/>
      <c r="B836" s="138"/>
      <c r="C836" s="103"/>
      <c r="D836" s="71"/>
      <c r="E836" s="137"/>
      <c r="F836" s="138"/>
      <c r="G836" s="103"/>
      <c r="H836" s="71"/>
      <c r="I836" s="137"/>
      <c r="J836" s="138"/>
      <c r="K836" s="103"/>
      <c r="L836" s="71"/>
      <c r="M836" s="137"/>
      <c r="N836" s="125"/>
      <c r="O836" s="103"/>
      <c r="P836" s="71"/>
      <c r="Q836" s="189"/>
      <c r="R836" s="125"/>
      <c r="S836" s="103"/>
      <c r="T836" s="71"/>
      <c r="U836" s="189"/>
      <c r="V836" s="125"/>
      <c r="W836" s="103"/>
      <c r="X836" s="71"/>
      <c r="Y836" s="137"/>
      <c r="Z836" s="180"/>
      <c r="AA836" s="181"/>
      <c r="AB836" s="182"/>
      <c r="AC836" s="137"/>
      <c r="AD836" s="125"/>
      <c r="AE836" s="162"/>
      <c r="AF836" s="183"/>
      <c r="AG836" s="195"/>
      <c r="AH836" s="195"/>
      <c r="AI836" s="195"/>
      <c r="AJ836" s="195"/>
      <c r="AK836" s="71"/>
      <c r="AL836" s="71"/>
      <c r="AM836" s="71"/>
      <c r="AN836" s="71"/>
      <c r="AO836" s="71"/>
    </row>
    <row r="837">
      <c r="A837" s="137"/>
      <c r="B837" s="138"/>
      <c r="C837" s="103"/>
      <c r="D837" s="71"/>
      <c r="E837" s="137"/>
      <c r="F837" s="138"/>
      <c r="G837" s="103"/>
      <c r="H837" s="71"/>
      <c r="I837" s="137"/>
      <c r="J837" s="138"/>
      <c r="K837" s="103"/>
      <c r="L837" s="71"/>
      <c r="M837" s="137"/>
      <c r="N837" s="125"/>
      <c r="O837" s="103"/>
      <c r="P837" s="71"/>
      <c r="Q837" s="189"/>
      <c r="R837" s="125"/>
      <c r="S837" s="103"/>
      <c r="T837" s="71"/>
      <c r="U837" s="189"/>
      <c r="V837" s="125"/>
      <c r="W837" s="103"/>
      <c r="X837" s="71"/>
      <c r="Y837" s="137"/>
      <c r="Z837" s="180"/>
      <c r="AA837" s="181"/>
      <c r="AB837" s="182"/>
      <c r="AC837" s="137"/>
      <c r="AD837" s="125"/>
      <c r="AE837" s="162"/>
      <c r="AF837" s="183"/>
      <c r="AG837" s="195"/>
      <c r="AH837" s="195"/>
      <c r="AI837" s="195"/>
      <c r="AJ837" s="195"/>
      <c r="AK837" s="71"/>
      <c r="AL837" s="71"/>
      <c r="AM837" s="71"/>
      <c r="AN837" s="71"/>
      <c r="AO837" s="71"/>
    </row>
    <row r="838">
      <c r="A838" s="137"/>
      <c r="B838" s="138"/>
      <c r="C838" s="103"/>
      <c r="D838" s="71"/>
      <c r="E838" s="137"/>
      <c r="F838" s="138"/>
      <c r="G838" s="103"/>
      <c r="H838" s="71"/>
      <c r="I838" s="137"/>
      <c r="J838" s="138"/>
      <c r="K838" s="103"/>
      <c r="L838" s="71"/>
      <c r="M838" s="137"/>
      <c r="N838" s="125"/>
      <c r="O838" s="103"/>
      <c r="P838" s="71"/>
      <c r="Q838" s="189"/>
      <c r="R838" s="125"/>
      <c r="S838" s="103"/>
      <c r="T838" s="71"/>
      <c r="U838" s="189"/>
      <c r="V838" s="125"/>
      <c r="W838" s="103"/>
      <c r="X838" s="71"/>
      <c r="Y838" s="137"/>
      <c r="Z838" s="180"/>
      <c r="AA838" s="181"/>
      <c r="AB838" s="182"/>
      <c r="AC838" s="137"/>
      <c r="AD838" s="125"/>
      <c r="AE838" s="162"/>
      <c r="AF838" s="183"/>
      <c r="AG838" s="195"/>
      <c r="AH838" s="195"/>
      <c r="AI838" s="195"/>
      <c r="AJ838" s="195"/>
      <c r="AK838" s="71"/>
      <c r="AL838" s="71"/>
      <c r="AM838" s="71"/>
      <c r="AN838" s="71"/>
      <c r="AO838" s="71"/>
    </row>
    <row r="839">
      <c r="A839" s="137"/>
      <c r="B839" s="138"/>
      <c r="C839" s="103"/>
      <c r="D839" s="71"/>
      <c r="E839" s="137"/>
      <c r="F839" s="138"/>
      <c r="G839" s="103"/>
      <c r="H839" s="71"/>
      <c r="I839" s="137"/>
      <c r="J839" s="138"/>
      <c r="K839" s="103"/>
      <c r="L839" s="71"/>
      <c r="M839" s="137"/>
      <c r="N839" s="125"/>
      <c r="O839" s="103"/>
      <c r="P839" s="71"/>
      <c r="Q839" s="189"/>
      <c r="R839" s="125"/>
      <c r="S839" s="103"/>
      <c r="T839" s="71"/>
      <c r="U839" s="189"/>
      <c r="V839" s="125"/>
      <c r="W839" s="103"/>
      <c r="X839" s="71"/>
      <c r="Y839" s="137"/>
      <c r="Z839" s="180"/>
      <c r="AA839" s="181"/>
      <c r="AB839" s="182"/>
      <c r="AC839" s="137"/>
      <c r="AD839" s="125"/>
      <c r="AE839" s="162"/>
      <c r="AF839" s="183"/>
      <c r="AG839" s="195"/>
      <c r="AH839" s="195"/>
      <c r="AI839" s="195"/>
      <c r="AJ839" s="195"/>
      <c r="AK839" s="71"/>
      <c r="AL839" s="71"/>
      <c r="AM839" s="71"/>
      <c r="AN839" s="71"/>
      <c r="AO839" s="71"/>
    </row>
    <row r="840">
      <c r="A840" s="137"/>
      <c r="B840" s="138"/>
      <c r="C840" s="103"/>
      <c r="D840" s="71"/>
      <c r="E840" s="137"/>
      <c r="F840" s="138"/>
      <c r="G840" s="103"/>
      <c r="H840" s="71"/>
      <c r="I840" s="137"/>
      <c r="J840" s="138"/>
      <c r="K840" s="103"/>
      <c r="L840" s="71"/>
      <c r="M840" s="137"/>
      <c r="N840" s="125"/>
      <c r="O840" s="103"/>
      <c r="P840" s="71"/>
      <c r="Q840" s="189"/>
      <c r="R840" s="125"/>
      <c r="S840" s="103"/>
      <c r="T840" s="71"/>
      <c r="U840" s="189"/>
      <c r="V840" s="125"/>
      <c r="W840" s="103"/>
      <c r="X840" s="71"/>
      <c r="Y840" s="137"/>
      <c r="Z840" s="180"/>
      <c r="AA840" s="181"/>
      <c r="AB840" s="182"/>
      <c r="AC840" s="137"/>
      <c r="AD840" s="125"/>
      <c r="AE840" s="162"/>
      <c r="AF840" s="183"/>
      <c r="AG840" s="195"/>
      <c r="AH840" s="195"/>
      <c r="AI840" s="195"/>
      <c r="AJ840" s="195"/>
      <c r="AK840" s="71"/>
      <c r="AL840" s="71"/>
      <c r="AM840" s="71"/>
      <c r="AN840" s="71"/>
      <c r="AO840" s="71"/>
    </row>
    <row r="841">
      <c r="A841" s="137"/>
      <c r="B841" s="138"/>
      <c r="C841" s="103"/>
      <c r="D841" s="71"/>
      <c r="E841" s="137"/>
      <c r="F841" s="138"/>
      <c r="G841" s="103"/>
      <c r="H841" s="71"/>
      <c r="I841" s="137"/>
      <c r="J841" s="138"/>
      <c r="K841" s="103"/>
      <c r="L841" s="71"/>
      <c r="M841" s="137"/>
      <c r="N841" s="125"/>
      <c r="O841" s="103"/>
      <c r="P841" s="71"/>
      <c r="Q841" s="189"/>
      <c r="R841" s="125"/>
      <c r="S841" s="103"/>
      <c r="T841" s="71"/>
      <c r="U841" s="189"/>
      <c r="V841" s="125"/>
      <c r="W841" s="103"/>
      <c r="X841" s="71"/>
      <c r="Y841" s="137"/>
      <c r="Z841" s="180"/>
      <c r="AA841" s="181"/>
      <c r="AB841" s="182"/>
      <c r="AC841" s="137"/>
      <c r="AD841" s="125"/>
      <c r="AE841" s="162"/>
      <c r="AF841" s="183"/>
      <c r="AG841" s="195"/>
      <c r="AH841" s="195"/>
      <c r="AI841" s="195"/>
      <c r="AJ841" s="195"/>
      <c r="AK841" s="71"/>
      <c r="AL841" s="71"/>
      <c r="AM841" s="71"/>
      <c r="AN841" s="71"/>
      <c r="AO841" s="71"/>
    </row>
    <row r="842">
      <c r="A842" s="137"/>
      <c r="B842" s="138"/>
      <c r="C842" s="103"/>
      <c r="D842" s="71"/>
      <c r="E842" s="137"/>
      <c r="F842" s="138"/>
      <c r="G842" s="103"/>
      <c r="H842" s="71"/>
      <c r="I842" s="137"/>
      <c r="J842" s="138"/>
      <c r="K842" s="103"/>
      <c r="L842" s="71"/>
      <c r="M842" s="137"/>
      <c r="N842" s="125"/>
      <c r="O842" s="103"/>
      <c r="P842" s="71"/>
      <c r="Q842" s="189"/>
      <c r="R842" s="125"/>
      <c r="S842" s="103"/>
      <c r="T842" s="71"/>
      <c r="U842" s="189"/>
      <c r="V842" s="125"/>
      <c r="W842" s="103"/>
      <c r="X842" s="71"/>
      <c r="Y842" s="137"/>
      <c r="Z842" s="180"/>
      <c r="AA842" s="181"/>
      <c r="AB842" s="182"/>
      <c r="AC842" s="137"/>
      <c r="AD842" s="125"/>
      <c r="AE842" s="162"/>
      <c r="AF842" s="183"/>
      <c r="AG842" s="195"/>
      <c r="AH842" s="195"/>
      <c r="AI842" s="195"/>
      <c r="AJ842" s="195"/>
      <c r="AK842" s="71"/>
      <c r="AL842" s="71"/>
      <c r="AM842" s="71"/>
      <c r="AN842" s="71"/>
      <c r="AO842" s="71"/>
    </row>
    <row r="843">
      <c r="A843" s="137"/>
      <c r="B843" s="138"/>
      <c r="C843" s="103"/>
      <c r="D843" s="71"/>
      <c r="E843" s="137"/>
      <c r="F843" s="138"/>
      <c r="G843" s="103"/>
      <c r="H843" s="71"/>
      <c r="I843" s="137"/>
      <c r="J843" s="138"/>
      <c r="K843" s="103"/>
      <c r="L843" s="71"/>
      <c r="M843" s="137"/>
      <c r="N843" s="125"/>
      <c r="O843" s="103"/>
      <c r="P843" s="71"/>
      <c r="Q843" s="189"/>
      <c r="R843" s="125"/>
      <c r="S843" s="103"/>
      <c r="T843" s="71"/>
      <c r="U843" s="189"/>
      <c r="V843" s="125"/>
      <c r="W843" s="103"/>
      <c r="X843" s="71"/>
      <c r="Y843" s="137"/>
      <c r="Z843" s="180"/>
      <c r="AA843" s="181"/>
      <c r="AB843" s="182"/>
      <c r="AC843" s="137"/>
      <c r="AD843" s="125"/>
      <c r="AE843" s="162"/>
      <c r="AF843" s="183"/>
      <c r="AG843" s="195"/>
      <c r="AH843" s="195"/>
      <c r="AI843" s="195"/>
      <c r="AJ843" s="195"/>
      <c r="AK843" s="71"/>
      <c r="AL843" s="71"/>
      <c r="AM843" s="71"/>
      <c r="AN843" s="71"/>
      <c r="AO843" s="71"/>
    </row>
    <row r="844">
      <c r="A844" s="137"/>
      <c r="B844" s="138"/>
      <c r="C844" s="103"/>
      <c r="D844" s="71"/>
      <c r="E844" s="137"/>
      <c r="F844" s="138"/>
      <c r="G844" s="103"/>
      <c r="H844" s="71"/>
      <c r="I844" s="137"/>
      <c r="J844" s="138"/>
      <c r="K844" s="103"/>
      <c r="L844" s="71"/>
      <c r="M844" s="137"/>
      <c r="N844" s="125"/>
      <c r="O844" s="103"/>
      <c r="P844" s="71"/>
      <c r="Q844" s="189"/>
      <c r="R844" s="125"/>
      <c r="S844" s="103"/>
      <c r="T844" s="71"/>
      <c r="U844" s="189"/>
      <c r="V844" s="125"/>
      <c r="W844" s="103"/>
      <c r="X844" s="71"/>
      <c r="Y844" s="137"/>
      <c r="Z844" s="180"/>
      <c r="AA844" s="181"/>
      <c r="AB844" s="182"/>
      <c r="AC844" s="137"/>
      <c r="AD844" s="125"/>
      <c r="AE844" s="162"/>
      <c r="AF844" s="183"/>
      <c r="AG844" s="195"/>
      <c r="AH844" s="195"/>
      <c r="AI844" s="195"/>
      <c r="AJ844" s="195"/>
      <c r="AK844" s="71"/>
      <c r="AL844" s="71"/>
      <c r="AM844" s="71"/>
      <c r="AN844" s="71"/>
      <c r="AO844" s="71"/>
    </row>
    <row r="845">
      <c r="A845" s="137"/>
      <c r="B845" s="138"/>
      <c r="C845" s="103"/>
      <c r="D845" s="71"/>
      <c r="E845" s="137"/>
      <c r="F845" s="138"/>
      <c r="G845" s="103"/>
      <c r="H845" s="71"/>
      <c r="I845" s="137"/>
      <c r="J845" s="138"/>
      <c r="K845" s="103"/>
      <c r="L845" s="71"/>
      <c r="M845" s="137"/>
      <c r="N845" s="125"/>
      <c r="O845" s="103"/>
      <c r="P845" s="71"/>
      <c r="Q845" s="189"/>
      <c r="R845" s="125"/>
      <c r="S845" s="103"/>
      <c r="T845" s="71"/>
      <c r="U845" s="189"/>
      <c r="V845" s="125"/>
      <c r="W845" s="103"/>
      <c r="X845" s="71"/>
      <c r="Y845" s="137"/>
      <c r="Z845" s="180"/>
      <c r="AA845" s="181"/>
      <c r="AB845" s="182"/>
      <c r="AC845" s="137"/>
      <c r="AD845" s="125"/>
      <c r="AE845" s="162"/>
      <c r="AF845" s="183"/>
      <c r="AG845" s="195"/>
      <c r="AH845" s="195"/>
      <c r="AI845" s="195"/>
      <c r="AJ845" s="195"/>
      <c r="AK845" s="71"/>
      <c r="AL845" s="71"/>
      <c r="AM845" s="71"/>
      <c r="AN845" s="71"/>
      <c r="AO845" s="71"/>
    </row>
    <row r="846">
      <c r="A846" s="137"/>
      <c r="B846" s="138"/>
      <c r="C846" s="103"/>
      <c r="D846" s="71"/>
      <c r="E846" s="137"/>
      <c r="F846" s="138"/>
      <c r="G846" s="103"/>
      <c r="H846" s="71"/>
      <c r="I846" s="137"/>
      <c r="J846" s="138"/>
      <c r="K846" s="103"/>
      <c r="L846" s="71"/>
      <c r="M846" s="137"/>
      <c r="N846" s="125"/>
      <c r="O846" s="103"/>
      <c r="P846" s="71"/>
      <c r="Q846" s="189"/>
      <c r="R846" s="125"/>
      <c r="S846" s="103"/>
      <c r="T846" s="71"/>
      <c r="U846" s="189"/>
      <c r="V846" s="125"/>
      <c r="W846" s="103"/>
      <c r="X846" s="71"/>
      <c r="Y846" s="137"/>
      <c r="Z846" s="180"/>
      <c r="AA846" s="181"/>
      <c r="AB846" s="182"/>
      <c r="AC846" s="137"/>
      <c r="AD846" s="125"/>
      <c r="AE846" s="162"/>
      <c r="AF846" s="183"/>
      <c r="AG846" s="195"/>
      <c r="AH846" s="195"/>
      <c r="AI846" s="195"/>
      <c r="AJ846" s="195"/>
      <c r="AK846" s="71"/>
      <c r="AL846" s="71"/>
      <c r="AM846" s="71"/>
      <c r="AN846" s="71"/>
      <c r="AO846" s="71"/>
    </row>
    <row r="847">
      <c r="A847" s="137"/>
      <c r="B847" s="138"/>
      <c r="C847" s="103"/>
      <c r="D847" s="71"/>
      <c r="E847" s="137"/>
      <c r="F847" s="138"/>
      <c r="G847" s="103"/>
      <c r="H847" s="71"/>
      <c r="I847" s="137"/>
      <c r="J847" s="138"/>
      <c r="K847" s="103"/>
      <c r="L847" s="71"/>
      <c r="M847" s="137"/>
      <c r="N847" s="125"/>
      <c r="O847" s="103"/>
      <c r="P847" s="71"/>
      <c r="Q847" s="189"/>
      <c r="R847" s="125"/>
      <c r="S847" s="103"/>
      <c r="T847" s="71"/>
      <c r="U847" s="189"/>
      <c r="V847" s="125"/>
      <c r="W847" s="103"/>
      <c r="X847" s="71"/>
      <c r="Y847" s="137"/>
      <c r="Z847" s="180"/>
      <c r="AA847" s="181"/>
      <c r="AB847" s="182"/>
      <c r="AC847" s="137"/>
      <c r="AD847" s="125"/>
      <c r="AE847" s="162"/>
      <c r="AF847" s="183"/>
      <c r="AG847" s="195"/>
      <c r="AH847" s="195"/>
      <c r="AI847" s="195"/>
      <c r="AJ847" s="195"/>
      <c r="AK847" s="71"/>
      <c r="AL847" s="71"/>
      <c r="AM847" s="71"/>
      <c r="AN847" s="71"/>
      <c r="AO847" s="71"/>
    </row>
    <row r="848">
      <c r="A848" s="137"/>
      <c r="B848" s="138"/>
      <c r="C848" s="103"/>
      <c r="D848" s="71"/>
      <c r="E848" s="137"/>
      <c r="F848" s="138"/>
      <c r="G848" s="103"/>
      <c r="H848" s="71"/>
      <c r="I848" s="137"/>
      <c r="J848" s="138"/>
      <c r="K848" s="103"/>
      <c r="L848" s="71"/>
      <c r="M848" s="137"/>
      <c r="N848" s="125"/>
      <c r="O848" s="103"/>
      <c r="P848" s="71"/>
      <c r="Q848" s="189"/>
      <c r="R848" s="125"/>
      <c r="S848" s="103"/>
      <c r="T848" s="71"/>
      <c r="U848" s="189"/>
      <c r="V848" s="125"/>
      <c r="W848" s="103"/>
      <c r="X848" s="71"/>
      <c r="Y848" s="137"/>
      <c r="Z848" s="180"/>
      <c r="AA848" s="181"/>
      <c r="AB848" s="182"/>
      <c r="AC848" s="137"/>
      <c r="AD848" s="125"/>
      <c r="AE848" s="162"/>
      <c r="AF848" s="183"/>
      <c r="AG848" s="195"/>
      <c r="AH848" s="195"/>
      <c r="AI848" s="195"/>
      <c r="AJ848" s="195"/>
      <c r="AK848" s="71"/>
      <c r="AL848" s="71"/>
      <c r="AM848" s="71"/>
      <c r="AN848" s="71"/>
      <c r="AO848" s="71"/>
    </row>
    <row r="849">
      <c r="A849" s="137"/>
      <c r="B849" s="138"/>
      <c r="C849" s="103"/>
      <c r="D849" s="71"/>
      <c r="E849" s="137"/>
      <c r="F849" s="138"/>
      <c r="G849" s="103"/>
      <c r="H849" s="71"/>
      <c r="I849" s="137"/>
      <c r="J849" s="138"/>
      <c r="K849" s="103"/>
      <c r="L849" s="71"/>
      <c r="M849" s="137"/>
      <c r="N849" s="125"/>
      <c r="O849" s="103"/>
      <c r="P849" s="71"/>
      <c r="Q849" s="189"/>
      <c r="R849" s="125"/>
      <c r="S849" s="103"/>
      <c r="T849" s="71"/>
      <c r="U849" s="189"/>
      <c r="V849" s="125"/>
      <c r="W849" s="103"/>
      <c r="X849" s="71"/>
      <c r="Y849" s="137"/>
      <c r="Z849" s="180"/>
      <c r="AA849" s="181"/>
      <c r="AB849" s="182"/>
      <c r="AC849" s="137"/>
      <c r="AD849" s="125"/>
      <c r="AE849" s="162"/>
      <c r="AF849" s="183"/>
      <c r="AG849" s="195"/>
      <c r="AH849" s="195"/>
      <c r="AI849" s="195"/>
      <c r="AJ849" s="195"/>
      <c r="AK849" s="71"/>
      <c r="AL849" s="71"/>
      <c r="AM849" s="71"/>
      <c r="AN849" s="71"/>
      <c r="AO849" s="71"/>
    </row>
    <row r="850">
      <c r="A850" s="137"/>
      <c r="B850" s="138"/>
      <c r="C850" s="103"/>
      <c r="D850" s="71"/>
      <c r="E850" s="137"/>
      <c r="F850" s="138"/>
      <c r="G850" s="103"/>
      <c r="H850" s="71"/>
      <c r="I850" s="137"/>
      <c r="J850" s="138"/>
      <c r="K850" s="103"/>
      <c r="L850" s="71"/>
      <c r="M850" s="137"/>
      <c r="N850" s="125"/>
      <c r="O850" s="103"/>
      <c r="P850" s="71"/>
      <c r="Q850" s="189"/>
      <c r="R850" s="125"/>
      <c r="S850" s="103"/>
      <c r="T850" s="71"/>
      <c r="U850" s="189"/>
      <c r="V850" s="125"/>
      <c r="W850" s="103"/>
      <c r="X850" s="71"/>
      <c r="Y850" s="137"/>
      <c r="Z850" s="180"/>
      <c r="AA850" s="181"/>
      <c r="AB850" s="182"/>
      <c r="AC850" s="137"/>
      <c r="AD850" s="125"/>
      <c r="AE850" s="162"/>
      <c r="AF850" s="183"/>
      <c r="AG850" s="195"/>
      <c r="AH850" s="195"/>
      <c r="AI850" s="195"/>
      <c r="AJ850" s="195"/>
      <c r="AK850" s="71"/>
      <c r="AL850" s="71"/>
      <c r="AM850" s="71"/>
      <c r="AN850" s="71"/>
      <c r="AO850" s="71"/>
    </row>
    <row r="851">
      <c r="A851" s="137"/>
      <c r="B851" s="138"/>
      <c r="C851" s="103"/>
      <c r="D851" s="71"/>
      <c r="E851" s="137"/>
      <c r="F851" s="138"/>
      <c r="G851" s="103"/>
      <c r="H851" s="71"/>
      <c r="I851" s="137"/>
      <c r="J851" s="138"/>
      <c r="K851" s="103"/>
      <c r="L851" s="71"/>
      <c r="M851" s="137"/>
      <c r="N851" s="125"/>
      <c r="O851" s="103"/>
      <c r="P851" s="71"/>
      <c r="Q851" s="189"/>
      <c r="R851" s="125"/>
      <c r="S851" s="103"/>
      <c r="T851" s="71"/>
      <c r="U851" s="189"/>
      <c r="V851" s="125"/>
      <c r="W851" s="103"/>
      <c r="X851" s="71"/>
      <c r="Y851" s="137"/>
      <c r="Z851" s="180"/>
      <c r="AA851" s="181"/>
      <c r="AB851" s="182"/>
      <c r="AC851" s="137"/>
      <c r="AD851" s="125"/>
      <c r="AE851" s="162"/>
      <c r="AF851" s="183"/>
      <c r="AG851" s="195"/>
      <c r="AH851" s="195"/>
      <c r="AI851" s="195"/>
      <c r="AJ851" s="195"/>
      <c r="AK851" s="71"/>
      <c r="AL851" s="71"/>
      <c r="AM851" s="71"/>
      <c r="AN851" s="71"/>
      <c r="AO851" s="71"/>
    </row>
    <row r="852">
      <c r="A852" s="137"/>
      <c r="B852" s="138"/>
      <c r="C852" s="103"/>
      <c r="D852" s="71"/>
      <c r="E852" s="137"/>
      <c r="F852" s="138"/>
      <c r="G852" s="103"/>
      <c r="H852" s="71"/>
      <c r="I852" s="137"/>
      <c r="J852" s="138"/>
      <c r="K852" s="103"/>
      <c r="L852" s="71"/>
      <c r="M852" s="137"/>
      <c r="N852" s="125"/>
      <c r="O852" s="103"/>
      <c r="P852" s="71"/>
      <c r="Q852" s="189"/>
      <c r="R852" s="125"/>
      <c r="S852" s="103"/>
      <c r="T852" s="71"/>
      <c r="U852" s="189"/>
      <c r="V852" s="125"/>
      <c r="W852" s="103"/>
      <c r="X852" s="71"/>
      <c r="Y852" s="137"/>
      <c r="Z852" s="180"/>
      <c r="AA852" s="181"/>
      <c r="AB852" s="182"/>
      <c r="AC852" s="137"/>
      <c r="AD852" s="125"/>
      <c r="AE852" s="162"/>
      <c r="AF852" s="183"/>
      <c r="AG852" s="195"/>
      <c r="AH852" s="195"/>
      <c r="AI852" s="195"/>
      <c r="AJ852" s="195"/>
      <c r="AK852" s="71"/>
      <c r="AL852" s="71"/>
      <c r="AM852" s="71"/>
      <c r="AN852" s="71"/>
      <c r="AO852" s="71"/>
    </row>
    <row r="853">
      <c r="A853" s="137"/>
      <c r="B853" s="138"/>
      <c r="C853" s="103"/>
      <c r="D853" s="71"/>
      <c r="E853" s="137"/>
      <c r="F853" s="138"/>
      <c r="G853" s="103"/>
      <c r="H853" s="71"/>
      <c r="I853" s="137"/>
      <c r="J853" s="138"/>
      <c r="K853" s="103"/>
      <c r="L853" s="71"/>
      <c r="M853" s="137"/>
      <c r="N853" s="125"/>
      <c r="O853" s="103"/>
      <c r="P853" s="71"/>
      <c r="Q853" s="189"/>
      <c r="R853" s="125"/>
      <c r="S853" s="103"/>
      <c r="T853" s="71"/>
      <c r="U853" s="189"/>
      <c r="V853" s="125"/>
      <c r="W853" s="103"/>
      <c r="X853" s="71"/>
      <c r="Y853" s="137"/>
      <c r="Z853" s="180"/>
      <c r="AA853" s="181"/>
      <c r="AB853" s="182"/>
      <c r="AC853" s="137"/>
      <c r="AD853" s="125"/>
      <c r="AE853" s="162"/>
      <c r="AF853" s="183"/>
      <c r="AG853" s="195"/>
      <c r="AH853" s="195"/>
      <c r="AI853" s="195"/>
      <c r="AJ853" s="195"/>
      <c r="AK853" s="71"/>
      <c r="AL853" s="71"/>
      <c r="AM853" s="71"/>
      <c r="AN853" s="71"/>
      <c r="AO853" s="71"/>
    </row>
    <row r="854">
      <c r="A854" s="137"/>
      <c r="B854" s="138"/>
      <c r="C854" s="103"/>
      <c r="D854" s="71"/>
      <c r="E854" s="137"/>
      <c r="F854" s="138"/>
      <c r="G854" s="103"/>
      <c r="H854" s="71"/>
      <c r="I854" s="137"/>
      <c r="J854" s="138"/>
      <c r="K854" s="103"/>
      <c r="L854" s="71"/>
      <c r="M854" s="137"/>
      <c r="N854" s="125"/>
      <c r="O854" s="103"/>
      <c r="P854" s="71"/>
      <c r="Q854" s="189"/>
      <c r="R854" s="125"/>
      <c r="S854" s="103"/>
      <c r="T854" s="71"/>
      <c r="U854" s="189"/>
      <c r="V854" s="125"/>
      <c r="W854" s="103"/>
      <c r="X854" s="71"/>
      <c r="Y854" s="137"/>
      <c r="Z854" s="180"/>
      <c r="AA854" s="181"/>
      <c r="AB854" s="182"/>
      <c r="AC854" s="137"/>
      <c r="AD854" s="125"/>
      <c r="AE854" s="162"/>
      <c r="AF854" s="183"/>
      <c r="AG854" s="195"/>
      <c r="AH854" s="195"/>
      <c r="AI854" s="195"/>
      <c r="AJ854" s="195"/>
      <c r="AK854" s="71"/>
      <c r="AL854" s="71"/>
      <c r="AM854" s="71"/>
      <c r="AN854" s="71"/>
      <c r="AO854" s="71"/>
    </row>
    <row r="855">
      <c r="A855" s="137"/>
      <c r="B855" s="138"/>
      <c r="C855" s="103"/>
      <c r="D855" s="71"/>
      <c r="E855" s="137"/>
      <c r="F855" s="138"/>
      <c r="G855" s="103"/>
      <c r="H855" s="71"/>
      <c r="I855" s="137"/>
      <c r="J855" s="138"/>
      <c r="K855" s="103"/>
      <c r="L855" s="71"/>
      <c r="M855" s="137"/>
      <c r="N855" s="125"/>
      <c r="O855" s="103"/>
      <c r="P855" s="71"/>
      <c r="Q855" s="189"/>
      <c r="R855" s="125"/>
      <c r="S855" s="103"/>
      <c r="T855" s="71"/>
      <c r="U855" s="189"/>
      <c r="V855" s="125"/>
      <c r="W855" s="103"/>
      <c r="X855" s="71"/>
      <c r="Y855" s="137"/>
      <c r="Z855" s="180"/>
      <c r="AA855" s="181"/>
      <c r="AB855" s="182"/>
      <c r="AC855" s="137"/>
      <c r="AD855" s="125"/>
      <c r="AE855" s="162"/>
      <c r="AF855" s="183"/>
      <c r="AG855" s="195"/>
      <c r="AH855" s="195"/>
      <c r="AI855" s="195"/>
      <c r="AJ855" s="195"/>
      <c r="AK855" s="71"/>
      <c r="AL855" s="71"/>
      <c r="AM855" s="71"/>
      <c r="AN855" s="71"/>
      <c r="AO855" s="71"/>
    </row>
    <row r="856">
      <c r="A856" s="137"/>
      <c r="B856" s="138"/>
      <c r="C856" s="103"/>
      <c r="D856" s="71"/>
      <c r="E856" s="137"/>
      <c r="F856" s="138"/>
      <c r="G856" s="103"/>
      <c r="H856" s="71"/>
      <c r="I856" s="137"/>
      <c r="J856" s="138"/>
      <c r="K856" s="103"/>
      <c r="L856" s="71"/>
      <c r="M856" s="137"/>
      <c r="N856" s="125"/>
      <c r="O856" s="103"/>
      <c r="P856" s="71"/>
      <c r="Q856" s="189"/>
      <c r="R856" s="125"/>
      <c r="S856" s="103"/>
      <c r="T856" s="71"/>
      <c r="U856" s="189"/>
      <c r="V856" s="125"/>
      <c r="W856" s="103"/>
      <c r="X856" s="71"/>
      <c r="Y856" s="137"/>
      <c r="Z856" s="180"/>
      <c r="AA856" s="181"/>
      <c r="AB856" s="182"/>
      <c r="AC856" s="137"/>
      <c r="AD856" s="125"/>
      <c r="AE856" s="162"/>
      <c r="AF856" s="183"/>
      <c r="AG856" s="195"/>
      <c r="AH856" s="195"/>
      <c r="AI856" s="195"/>
      <c r="AJ856" s="195"/>
      <c r="AK856" s="71"/>
      <c r="AL856" s="71"/>
      <c r="AM856" s="71"/>
      <c r="AN856" s="71"/>
      <c r="AO856" s="71"/>
    </row>
    <row r="857">
      <c r="A857" s="137"/>
      <c r="B857" s="138"/>
      <c r="C857" s="103"/>
      <c r="D857" s="71"/>
      <c r="E857" s="137"/>
      <c r="F857" s="138"/>
      <c r="G857" s="103"/>
      <c r="H857" s="71"/>
      <c r="I857" s="137"/>
      <c r="J857" s="138"/>
      <c r="K857" s="103"/>
      <c r="L857" s="71"/>
      <c r="M857" s="137"/>
      <c r="N857" s="125"/>
      <c r="O857" s="103"/>
      <c r="P857" s="71"/>
      <c r="Q857" s="189"/>
      <c r="R857" s="125"/>
      <c r="S857" s="103"/>
      <c r="T857" s="71"/>
      <c r="U857" s="189"/>
      <c r="V857" s="125"/>
      <c r="W857" s="103"/>
      <c r="X857" s="71"/>
      <c r="Y857" s="137"/>
      <c r="Z857" s="180"/>
      <c r="AA857" s="181"/>
      <c r="AB857" s="182"/>
      <c r="AC857" s="137"/>
      <c r="AD857" s="125"/>
      <c r="AE857" s="162"/>
      <c r="AF857" s="183"/>
      <c r="AG857" s="195"/>
      <c r="AH857" s="195"/>
      <c r="AI857" s="195"/>
      <c r="AJ857" s="195"/>
      <c r="AK857" s="71"/>
      <c r="AL857" s="71"/>
      <c r="AM857" s="71"/>
      <c r="AN857" s="71"/>
      <c r="AO857" s="71"/>
    </row>
    <row r="858">
      <c r="A858" s="137"/>
      <c r="B858" s="138"/>
      <c r="C858" s="103"/>
      <c r="D858" s="71"/>
      <c r="E858" s="137"/>
      <c r="F858" s="138"/>
      <c r="G858" s="103"/>
      <c r="H858" s="71"/>
      <c r="I858" s="137"/>
      <c r="J858" s="138"/>
      <c r="K858" s="103"/>
      <c r="L858" s="71"/>
      <c r="M858" s="137"/>
      <c r="N858" s="125"/>
      <c r="O858" s="103"/>
      <c r="P858" s="71"/>
      <c r="Q858" s="189"/>
      <c r="R858" s="125"/>
      <c r="S858" s="103"/>
      <c r="T858" s="71"/>
      <c r="U858" s="189"/>
      <c r="V858" s="125"/>
      <c r="W858" s="103"/>
      <c r="X858" s="71"/>
      <c r="Y858" s="137"/>
      <c r="Z858" s="180"/>
      <c r="AA858" s="181"/>
      <c r="AB858" s="182"/>
      <c r="AC858" s="137"/>
      <c r="AD858" s="125"/>
      <c r="AE858" s="162"/>
      <c r="AF858" s="183"/>
      <c r="AG858" s="195"/>
      <c r="AH858" s="195"/>
      <c r="AI858" s="195"/>
      <c r="AJ858" s="195"/>
      <c r="AK858" s="71"/>
      <c r="AL858" s="71"/>
      <c r="AM858" s="71"/>
      <c r="AN858" s="71"/>
      <c r="AO858" s="71"/>
    </row>
    <row r="859">
      <c r="A859" s="137"/>
      <c r="B859" s="138"/>
      <c r="C859" s="103"/>
      <c r="D859" s="71"/>
      <c r="E859" s="137"/>
      <c r="F859" s="138"/>
      <c r="G859" s="103"/>
      <c r="H859" s="71"/>
      <c r="I859" s="137"/>
      <c r="J859" s="138"/>
      <c r="K859" s="103"/>
      <c r="L859" s="71"/>
      <c r="M859" s="137"/>
      <c r="N859" s="125"/>
      <c r="O859" s="103"/>
      <c r="P859" s="71"/>
      <c r="Q859" s="189"/>
      <c r="R859" s="125"/>
      <c r="S859" s="103"/>
      <c r="T859" s="71"/>
      <c r="U859" s="189"/>
      <c r="V859" s="125"/>
      <c r="W859" s="103"/>
      <c r="X859" s="71"/>
      <c r="Y859" s="137"/>
      <c r="Z859" s="180"/>
      <c r="AA859" s="181"/>
      <c r="AB859" s="182"/>
      <c r="AC859" s="137"/>
      <c r="AD859" s="125"/>
      <c r="AE859" s="162"/>
      <c r="AF859" s="183"/>
      <c r="AG859" s="195"/>
      <c r="AH859" s="195"/>
      <c r="AI859" s="195"/>
      <c r="AJ859" s="195"/>
      <c r="AK859" s="71"/>
      <c r="AL859" s="71"/>
      <c r="AM859" s="71"/>
      <c r="AN859" s="71"/>
      <c r="AO859" s="71"/>
    </row>
    <row r="860">
      <c r="A860" s="137"/>
      <c r="B860" s="138"/>
      <c r="C860" s="103"/>
      <c r="D860" s="71"/>
      <c r="E860" s="137"/>
      <c r="F860" s="138"/>
      <c r="G860" s="103"/>
      <c r="H860" s="71"/>
      <c r="I860" s="137"/>
      <c r="J860" s="138"/>
      <c r="K860" s="103"/>
      <c r="L860" s="71"/>
      <c r="M860" s="137"/>
      <c r="N860" s="125"/>
      <c r="O860" s="103"/>
      <c r="P860" s="71"/>
      <c r="Q860" s="189"/>
      <c r="R860" s="125"/>
      <c r="S860" s="103"/>
      <c r="T860" s="71"/>
      <c r="U860" s="189"/>
      <c r="V860" s="125"/>
      <c r="W860" s="103"/>
      <c r="X860" s="71"/>
      <c r="Y860" s="137"/>
      <c r="Z860" s="180"/>
      <c r="AA860" s="181"/>
      <c r="AB860" s="182"/>
      <c r="AC860" s="137"/>
      <c r="AD860" s="125"/>
      <c r="AE860" s="162"/>
      <c r="AF860" s="183"/>
      <c r="AG860" s="195"/>
      <c r="AH860" s="195"/>
      <c r="AI860" s="195"/>
      <c r="AJ860" s="195"/>
      <c r="AK860" s="71"/>
      <c r="AL860" s="71"/>
      <c r="AM860" s="71"/>
      <c r="AN860" s="71"/>
      <c r="AO860" s="71"/>
    </row>
    <row r="861">
      <c r="A861" s="137"/>
      <c r="B861" s="138"/>
      <c r="C861" s="103"/>
      <c r="D861" s="71"/>
      <c r="E861" s="137"/>
      <c r="F861" s="138"/>
      <c r="G861" s="103"/>
      <c r="H861" s="71"/>
      <c r="I861" s="137"/>
      <c r="J861" s="138"/>
      <c r="K861" s="103"/>
      <c r="L861" s="71"/>
      <c r="M861" s="137"/>
      <c r="N861" s="125"/>
      <c r="O861" s="103"/>
      <c r="P861" s="71"/>
      <c r="Q861" s="189"/>
      <c r="R861" s="125"/>
      <c r="S861" s="103"/>
      <c r="T861" s="71"/>
      <c r="U861" s="189"/>
      <c r="V861" s="125"/>
      <c r="W861" s="103"/>
      <c r="X861" s="71"/>
      <c r="Y861" s="137"/>
      <c r="Z861" s="180"/>
      <c r="AA861" s="181"/>
      <c r="AB861" s="182"/>
      <c r="AC861" s="137"/>
      <c r="AD861" s="125"/>
      <c r="AE861" s="162"/>
      <c r="AF861" s="183"/>
      <c r="AG861" s="195"/>
      <c r="AH861" s="195"/>
      <c r="AI861" s="195"/>
      <c r="AJ861" s="195"/>
      <c r="AK861" s="71"/>
      <c r="AL861" s="71"/>
      <c r="AM861" s="71"/>
      <c r="AN861" s="71"/>
      <c r="AO861" s="71"/>
    </row>
    <row r="862">
      <c r="A862" s="137"/>
      <c r="B862" s="138"/>
      <c r="C862" s="103"/>
      <c r="D862" s="71"/>
      <c r="E862" s="137"/>
      <c r="F862" s="138"/>
      <c r="G862" s="103"/>
      <c r="H862" s="71"/>
      <c r="I862" s="137"/>
      <c r="J862" s="138"/>
      <c r="K862" s="103"/>
      <c r="L862" s="71"/>
      <c r="M862" s="137"/>
      <c r="N862" s="125"/>
      <c r="O862" s="103"/>
      <c r="P862" s="71"/>
      <c r="Q862" s="189"/>
      <c r="R862" s="125"/>
      <c r="S862" s="103"/>
      <c r="T862" s="71"/>
      <c r="U862" s="189"/>
      <c r="V862" s="125"/>
      <c r="W862" s="103"/>
      <c r="X862" s="71"/>
      <c r="Y862" s="137"/>
      <c r="Z862" s="180"/>
      <c r="AA862" s="181"/>
      <c r="AB862" s="182"/>
      <c r="AC862" s="137"/>
      <c r="AD862" s="125"/>
      <c r="AE862" s="162"/>
      <c r="AF862" s="183"/>
      <c r="AG862" s="195"/>
      <c r="AH862" s="195"/>
      <c r="AI862" s="195"/>
      <c r="AJ862" s="195"/>
      <c r="AK862" s="71"/>
      <c r="AL862" s="71"/>
      <c r="AM862" s="71"/>
      <c r="AN862" s="71"/>
      <c r="AO862" s="71"/>
    </row>
    <row r="863">
      <c r="A863" s="137"/>
      <c r="B863" s="138"/>
      <c r="C863" s="103"/>
      <c r="D863" s="71"/>
      <c r="E863" s="137"/>
      <c r="F863" s="138"/>
      <c r="G863" s="103"/>
      <c r="H863" s="71"/>
      <c r="I863" s="137"/>
      <c r="J863" s="138"/>
      <c r="K863" s="103"/>
      <c r="L863" s="71"/>
      <c r="M863" s="137"/>
      <c r="N863" s="125"/>
      <c r="O863" s="103"/>
      <c r="P863" s="71"/>
      <c r="Q863" s="189"/>
      <c r="R863" s="125"/>
      <c r="S863" s="103"/>
      <c r="T863" s="71"/>
      <c r="U863" s="189"/>
      <c r="V863" s="125"/>
      <c r="W863" s="103"/>
      <c r="X863" s="71"/>
      <c r="Y863" s="137"/>
      <c r="Z863" s="180"/>
      <c r="AA863" s="181"/>
      <c r="AB863" s="182"/>
      <c r="AC863" s="137"/>
      <c r="AD863" s="125"/>
      <c r="AE863" s="162"/>
      <c r="AF863" s="183"/>
      <c r="AG863" s="195"/>
      <c r="AH863" s="195"/>
      <c r="AI863" s="195"/>
      <c r="AJ863" s="195"/>
      <c r="AK863" s="71"/>
      <c r="AL863" s="71"/>
      <c r="AM863" s="71"/>
      <c r="AN863" s="71"/>
      <c r="AO863" s="71"/>
    </row>
    <row r="864">
      <c r="A864" s="137"/>
      <c r="B864" s="138"/>
      <c r="C864" s="103"/>
      <c r="D864" s="71"/>
      <c r="E864" s="137"/>
      <c r="F864" s="138"/>
      <c r="G864" s="103"/>
      <c r="H864" s="71"/>
      <c r="I864" s="137"/>
      <c r="J864" s="138"/>
      <c r="K864" s="103"/>
      <c r="L864" s="71"/>
      <c r="M864" s="137"/>
      <c r="N864" s="125"/>
      <c r="O864" s="103"/>
      <c r="P864" s="71"/>
      <c r="Q864" s="189"/>
      <c r="R864" s="125"/>
      <c r="S864" s="103"/>
      <c r="T864" s="71"/>
      <c r="U864" s="189"/>
      <c r="V864" s="125"/>
      <c r="W864" s="103"/>
      <c r="X864" s="71"/>
      <c r="Y864" s="137"/>
      <c r="Z864" s="180"/>
      <c r="AA864" s="181"/>
      <c r="AB864" s="182"/>
      <c r="AC864" s="137"/>
      <c r="AD864" s="125"/>
      <c r="AE864" s="162"/>
      <c r="AF864" s="183"/>
      <c r="AG864" s="195"/>
      <c r="AH864" s="195"/>
      <c r="AI864" s="195"/>
      <c r="AJ864" s="195"/>
      <c r="AK864" s="71"/>
      <c r="AL864" s="71"/>
      <c r="AM864" s="71"/>
      <c r="AN864" s="71"/>
      <c r="AO864" s="71"/>
    </row>
    <row r="865">
      <c r="A865" s="137"/>
      <c r="B865" s="138"/>
      <c r="C865" s="103"/>
      <c r="D865" s="71"/>
      <c r="E865" s="137"/>
      <c r="F865" s="138"/>
      <c r="G865" s="103"/>
      <c r="H865" s="71"/>
      <c r="I865" s="137"/>
      <c r="J865" s="138"/>
      <c r="K865" s="103"/>
      <c r="L865" s="71"/>
      <c r="M865" s="137"/>
      <c r="N865" s="125"/>
      <c r="O865" s="103"/>
      <c r="P865" s="71"/>
      <c r="Q865" s="189"/>
      <c r="R865" s="125"/>
      <c r="S865" s="103"/>
      <c r="T865" s="71"/>
      <c r="U865" s="189"/>
      <c r="V865" s="125"/>
      <c r="W865" s="103"/>
      <c r="X865" s="71"/>
      <c r="Y865" s="137"/>
      <c r="Z865" s="180"/>
      <c r="AA865" s="181"/>
      <c r="AB865" s="182"/>
      <c r="AC865" s="137"/>
      <c r="AD865" s="125"/>
      <c r="AE865" s="162"/>
      <c r="AF865" s="183"/>
      <c r="AG865" s="195"/>
      <c r="AH865" s="195"/>
      <c r="AI865" s="195"/>
      <c r="AJ865" s="195"/>
      <c r="AK865" s="71"/>
      <c r="AL865" s="71"/>
      <c r="AM865" s="71"/>
      <c r="AN865" s="71"/>
      <c r="AO865" s="71"/>
    </row>
    <row r="866">
      <c r="A866" s="137"/>
      <c r="B866" s="138"/>
      <c r="C866" s="103"/>
      <c r="D866" s="71"/>
      <c r="E866" s="137"/>
      <c r="F866" s="138"/>
      <c r="G866" s="103"/>
      <c r="H866" s="71"/>
      <c r="I866" s="137"/>
      <c r="J866" s="138"/>
      <c r="K866" s="103"/>
      <c r="L866" s="71"/>
      <c r="M866" s="137"/>
      <c r="N866" s="125"/>
      <c r="O866" s="103"/>
      <c r="P866" s="71"/>
      <c r="Q866" s="189"/>
      <c r="R866" s="125"/>
      <c r="S866" s="103"/>
      <c r="T866" s="71"/>
      <c r="U866" s="189"/>
      <c r="V866" s="125"/>
      <c r="W866" s="103"/>
      <c r="X866" s="71"/>
      <c r="Y866" s="137"/>
      <c r="Z866" s="180"/>
      <c r="AA866" s="181"/>
      <c r="AB866" s="182"/>
      <c r="AC866" s="137"/>
      <c r="AD866" s="125"/>
      <c r="AE866" s="162"/>
      <c r="AF866" s="183"/>
      <c r="AG866" s="195"/>
      <c r="AH866" s="195"/>
      <c r="AI866" s="195"/>
      <c r="AJ866" s="195"/>
      <c r="AK866" s="71"/>
      <c r="AL866" s="71"/>
      <c r="AM866" s="71"/>
      <c r="AN866" s="71"/>
      <c r="AO866" s="71"/>
    </row>
    <row r="867">
      <c r="A867" s="137"/>
      <c r="B867" s="138"/>
      <c r="C867" s="103"/>
      <c r="D867" s="71"/>
      <c r="E867" s="137"/>
      <c r="F867" s="138"/>
      <c r="G867" s="103"/>
      <c r="H867" s="71"/>
      <c r="I867" s="137"/>
      <c r="J867" s="138"/>
      <c r="K867" s="103"/>
      <c r="L867" s="71"/>
      <c r="M867" s="137"/>
      <c r="N867" s="125"/>
      <c r="O867" s="103"/>
      <c r="P867" s="71"/>
      <c r="Q867" s="189"/>
      <c r="R867" s="125"/>
      <c r="S867" s="103"/>
      <c r="T867" s="71"/>
      <c r="U867" s="189"/>
      <c r="V867" s="125"/>
      <c r="W867" s="103"/>
      <c r="X867" s="71"/>
      <c r="Y867" s="137"/>
      <c r="Z867" s="180"/>
      <c r="AA867" s="181"/>
      <c r="AB867" s="182"/>
      <c r="AC867" s="137"/>
      <c r="AD867" s="125"/>
      <c r="AE867" s="162"/>
      <c r="AF867" s="183"/>
      <c r="AG867" s="195"/>
      <c r="AH867" s="195"/>
      <c r="AI867" s="195"/>
      <c r="AJ867" s="195"/>
      <c r="AK867" s="71"/>
      <c r="AL867" s="71"/>
      <c r="AM867" s="71"/>
      <c r="AN867" s="71"/>
      <c r="AO867" s="71"/>
    </row>
    <row r="868">
      <c r="A868" s="137"/>
      <c r="B868" s="138"/>
      <c r="C868" s="103"/>
      <c r="D868" s="71"/>
      <c r="E868" s="137"/>
      <c r="F868" s="138"/>
      <c r="G868" s="103"/>
      <c r="H868" s="71"/>
      <c r="I868" s="137"/>
      <c r="J868" s="138"/>
      <c r="K868" s="103"/>
      <c r="L868" s="71"/>
      <c r="M868" s="137"/>
      <c r="N868" s="125"/>
      <c r="O868" s="103"/>
      <c r="P868" s="71"/>
      <c r="Q868" s="189"/>
      <c r="R868" s="125"/>
      <c r="S868" s="103"/>
      <c r="T868" s="71"/>
      <c r="U868" s="189"/>
      <c r="V868" s="125"/>
      <c r="W868" s="103"/>
      <c r="X868" s="71"/>
      <c r="Y868" s="137"/>
      <c r="Z868" s="180"/>
      <c r="AA868" s="181"/>
      <c r="AB868" s="182"/>
      <c r="AC868" s="137"/>
      <c r="AD868" s="125"/>
      <c r="AE868" s="162"/>
      <c r="AF868" s="183"/>
      <c r="AG868" s="195"/>
      <c r="AH868" s="195"/>
      <c r="AI868" s="195"/>
      <c r="AJ868" s="195"/>
      <c r="AK868" s="71"/>
      <c r="AL868" s="71"/>
      <c r="AM868" s="71"/>
      <c r="AN868" s="71"/>
      <c r="AO868" s="71"/>
    </row>
    <row r="869">
      <c r="A869" s="137"/>
      <c r="B869" s="138"/>
      <c r="C869" s="103"/>
      <c r="D869" s="71"/>
      <c r="E869" s="137"/>
      <c r="F869" s="138"/>
      <c r="G869" s="103"/>
      <c r="H869" s="71"/>
      <c r="I869" s="137"/>
      <c r="J869" s="138"/>
      <c r="K869" s="103"/>
      <c r="L869" s="71"/>
      <c r="M869" s="137"/>
      <c r="N869" s="125"/>
      <c r="O869" s="103"/>
      <c r="P869" s="71"/>
      <c r="Q869" s="189"/>
      <c r="R869" s="125"/>
      <c r="S869" s="103"/>
      <c r="T869" s="71"/>
      <c r="U869" s="189"/>
      <c r="V869" s="125"/>
      <c r="W869" s="103"/>
      <c r="X869" s="71"/>
      <c r="Y869" s="137"/>
      <c r="Z869" s="180"/>
      <c r="AA869" s="181"/>
      <c r="AB869" s="182"/>
      <c r="AC869" s="137"/>
      <c r="AD869" s="125"/>
      <c r="AE869" s="162"/>
      <c r="AF869" s="183"/>
      <c r="AG869" s="195"/>
      <c r="AH869" s="195"/>
      <c r="AI869" s="195"/>
      <c r="AJ869" s="195"/>
      <c r="AK869" s="71"/>
      <c r="AL869" s="71"/>
      <c r="AM869" s="71"/>
      <c r="AN869" s="71"/>
      <c r="AO869" s="71"/>
    </row>
    <row r="870">
      <c r="A870" s="137"/>
      <c r="B870" s="138"/>
      <c r="C870" s="103"/>
      <c r="D870" s="71"/>
      <c r="E870" s="137"/>
      <c r="F870" s="138"/>
      <c r="G870" s="103"/>
      <c r="H870" s="71"/>
      <c r="I870" s="137"/>
      <c r="J870" s="138"/>
      <c r="K870" s="103"/>
      <c r="L870" s="71"/>
      <c r="M870" s="137"/>
      <c r="N870" s="125"/>
      <c r="O870" s="103"/>
      <c r="P870" s="71"/>
      <c r="Q870" s="189"/>
      <c r="R870" s="125"/>
      <c r="S870" s="103"/>
      <c r="T870" s="71"/>
      <c r="U870" s="189"/>
      <c r="V870" s="125"/>
      <c r="W870" s="103"/>
      <c r="X870" s="71"/>
      <c r="Y870" s="137"/>
      <c r="Z870" s="180"/>
      <c r="AA870" s="181"/>
      <c r="AB870" s="182"/>
      <c r="AC870" s="137"/>
      <c r="AD870" s="125"/>
      <c r="AE870" s="162"/>
      <c r="AF870" s="183"/>
      <c r="AG870" s="195"/>
      <c r="AH870" s="195"/>
      <c r="AI870" s="195"/>
      <c r="AJ870" s="195"/>
      <c r="AK870" s="71"/>
      <c r="AL870" s="71"/>
      <c r="AM870" s="71"/>
      <c r="AN870" s="71"/>
      <c r="AO870" s="71"/>
    </row>
    <row r="871">
      <c r="A871" s="137"/>
      <c r="B871" s="138"/>
      <c r="C871" s="103"/>
      <c r="D871" s="71"/>
      <c r="E871" s="137"/>
      <c r="F871" s="138"/>
      <c r="G871" s="103"/>
      <c r="H871" s="71"/>
      <c r="I871" s="137"/>
      <c r="J871" s="138"/>
      <c r="K871" s="103"/>
      <c r="L871" s="71"/>
      <c r="M871" s="137"/>
      <c r="N871" s="125"/>
      <c r="O871" s="103"/>
      <c r="P871" s="71"/>
      <c r="Q871" s="189"/>
      <c r="R871" s="125"/>
      <c r="S871" s="103"/>
      <c r="T871" s="71"/>
      <c r="U871" s="189"/>
      <c r="V871" s="125"/>
      <c r="W871" s="103"/>
      <c r="X871" s="71"/>
      <c r="Y871" s="137"/>
      <c r="Z871" s="180"/>
      <c r="AA871" s="181"/>
      <c r="AB871" s="182"/>
      <c r="AC871" s="137"/>
      <c r="AD871" s="125"/>
      <c r="AE871" s="162"/>
      <c r="AF871" s="183"/>
      <c r="AG871" s="195"/>
      <c r="AH871" s="195"/>
      <c r="AI871" s="195"/>
      <c r="AJ871" s="195"/>
      <c r="AK871" s="71"/>
      <c r="AL871" s="71"/>
      <c r="AM871" s="71"/>
      <c r="AN871" s="71"/>
      <c r="AO871" s="71"/>
    </row>
    <row r="872">
      <c r="A872" s="137"/>
      <c r="B872" s="138"/>
      <c r="C872" s="103"/>
      <c r="D872" s="71"/>
      <c r="E872" s="137"/>
      <c r="F872" s="138"/>
      <c r="G872" s="103"/>
      <c r="H872" s="71"/>
      <c r="I872" s="137"/>
      <c r="J872" s="138"/>
      <c r="K872" s="103"/>
      <c r="L872" s="71"/>
      <c r="M872" s="137"/>
      <c r="N872" s="125"/>
      <c r="O872" s="103"/>
      <c r="P872" s="71"/>
      <c r="Q872" s="189"/>
      <c r="R872" s="125"/>
      <c r="S872" s="103"/>
      <c r="T872" s="71"/>
      <c r="U872" s="189"/>
      <c r="V872" s="125"/>
      <c r="W872" s="103"/>
      <c r="X872" s="71"/>
      <c r="Y872" s="137"/>
      <c r="Z872" s="180"/>
      <c r="AA872" s="181"/>
      <c r="AB872" s="182"/>
      <c r="AC872" s="137"/>
      <c r="AD872" s="125"/>
      <c r="AE872" s="162"/>
      <c r="AF872" s="183"/>
      <c r="AG872" s="195"/>
      <c r="AH872" s="195"/>
      <c r="AI872" s="195"/>
      <c r="AJ872" s="195"/>
      <c r="AK872" s="71"/>
      <c r="AL872" s="71"/>
      <c r="AM872" s="71"/>
      <c r="AN872" s="71"/>
      <c r="AO872" s="71"/>
    </row>
    <row r="873">
      <c r="A873" s="137"/>
      <c r="B873" s="138"/>
      <c r="C873" s="103"/>
      <c r="D873" s="71"/>
      <c r="E873" s="137"/>
      <c r="F873" s="138"/>
      <c r="G873" s="103"/>
      <c r="H873" s="71"/>
      <c r="I873" s="137"/>
      <c r="J873" s="138"/>
      <c r="K873" s="103"/>
      <c r="L873" s="71"/>
      <c r="M873" s="137"/>
      <c r="N873" s="125"/>
      <c r="O873" s="103"/>
      <c r="P873" s="71"/>
      <c r="Q873" s="189"/>
      <c r="R873" s="125"/>
      <c r="S873" s="103"/>
      <c r="T873" s="71"/>
      <c r="U873" s="189"/>
      <c r="V873" s="125"/>
      <c r="W873" s="103"/>
      <c r="X873" s="71"/>
      <c r="Y873" s="137"/>
      <c r="Z873" s="180"/>
      <c r="AA873" s="181"/>
      <c r="AB873" s="182"/>
      <c r="AC873" s="137"/>
      <c r="AD873" s="125"/>
      <c r="AE873" s="162"/>
      <c r="AF873" s="183"/>
      <c r="AG873" s="195"/>
      <c r="AH873" s="195"/>
      <c r="AI873" s="195"/>
      <c r="AJ873" s="195"/>
      <c r="AK873" s="71"/>
      <c r="AL873" s="71"/>
      <c r="AM873" s="71"/>
      <c r="AN873" s="71"/>
      <c r="AO873" s="71"/>
    </row>
    <row r="874">
      <c r="A874" s="137"/>
      <c r="B874" s="138"/>
      <c r="C874" s="103"/>
      <c r="D874" s="71"/>
      <c r="E874" s="137"/>
      <c r="F874" s="138"/>
      <c r="G874" s="103"/>
      <c r="H874" s="71"/>
      <c r="I874" s="137"/>
      <c r="J874" s="138"/>
      <c r="K874" s="103"/>
      <c r="L874" s="71"/>
      <c r="M874" s="137"/>
      <c r="N874" s="125"/>
      <c r="O874" s="103"/>
      <c r="P874" s="71"/>
      <c r="Q874" s="189"/>
      <c r="R874" s="125"/>
      <c r="S874" s="103"/>
      <c r="T874" s="71"/>
      <c r="U874" s="189"/>
      <c r="V874" s="125"/>
      <c r="W874" s="103"/>
      <c r="X874" s="71"/>
      <c r="Y874" s="137"/>
      <c r="Z874" s="180"/>
      <c r="AA874" s="181"/>
      <c r="AB874" s="182"/>
      <c r="AC874" s="137"/>
      <c r="AD874" s="125"/>
      <c r="AE874" s="162"/>
      <c r="AF874" s="183"/>
      <c r="AG874" s="195"/>
      <c r="AH874" s="195"/>
      <c r="AI874" s="195"/>
      <c r="AJ874" s="195"/>
      <c r="AK874" s="71"/>
      <c r="AL874" s="71"/>
      <c r="AM874" s="71"/>
      <c r="AN874" s="71"/>
      <c r="AO874" s="71"/>
    </row>
    <row r="875">
      <c r="A875" s="137"/>
      <c r="B875" s="138"/>
      <c r="C875" s="103"/>
      <c r="D875" s="71"/>
      <c r="E875" s="137"/>
      <c r="F875" s="138"/>
      <c r="G875" s="103"/>
      <c r="H875" s="71"/>
      <c r="I875" s="137"/>
      <c r="J875" s="138"/>
      <c r="K875" s="103"/>
      <c r="L875" s="71"/>
      <c r="M875" s="137"/>
      <c r="N875" s="125"/>
      <c r="O875" s="103"/>
      <c r="P875" s="71"/>
      <c r="Q875" s="189"/>
      <c r="R875" s="125"/>
      <c r="S875" s="103"/>
      <c r="T875" s="71"/>
      <c r="U875" s="189"/>
      <c r="V875" s="125"/>
      <c r="W875" s="103"/>
      <c r="X875" s="71"/>
      <c r="Y875" s="137"/>
      <c r="Z875" s="180"/>
      <c r="AA875" s="181"/>
      <c r="AB875" s="182"/>
      <c r="AC875" s="137"/>
      <c r="AD875" s="125"/>
      <c r="AE875" s="162"/>
      <c r="AF875" s="183"/>
      <c r="AG875" s="195"/>
      <c r="AH875" s="195"/>
      <c r="AI875" s="195"/>
      <c r="AJ875" s="195"/>
      <c r="AK875" s="71"/>
      <c r="AL875" s="71"/>
      <c r="AM875" s="71"/>
      <c r="AN875" s="71"/>
      <c r="AO875" s="71"/>
    </row>
    <row r="876">
      <c r="A876" s="137"/>
      <c r="B876" s="138"/>
      <c r="C876" s="103"/>
      <c r="D876" s="71"/>
      <c r="E876" s="137"/>
      <c r="F876" s="138"/>
      <c r="G876" s="103"/>
      <c r="H876" s="71"/>
      <c r="I876" s="137"/>
      <c r="J876" s="138"/>
      <c r="K876" s="103"/>
      <c r="L876" s="71"/>
      <c r="M876" s="137"/>
      <c r="N876" s="125"/>
      <c r="O876" s="103"/>
      <c r="P876" s="71"/>
      <c r="Q876" s="189"/>
      <c r="R876" s="125"/>
      <c r="S876" s="103"/>
      <c r="T876" s="71"/>
      <c r="U876" s="189"/>
      <c r="V876" s="125"/>
      <c r="W876" s="103"/>
      <c r="X876" s="71"/>
      <c r="Y876" s="137"/>
      <c r="Z876" s="180"/>
      <c r="AA876" s="181"/>
      <c r="AB876" s="182"/>
      <c r="AC876" s="137"/>
      <c r="AD876" s="125"/>
      <c r="AE876" s="162"/>
      <c r="AF876" s="183"/>
      <c r="AG876" s="195"/>
      <c r="AH876" s="195"/>
      <c r="AI876" s="195"/>
      <c r="AJ876" s="195"/>
      <c r="AK876" s="71"/>
      <c r="AL876" s="71"/>
      <c r="AM876" s="71"/>
      <c r="AN876" s="71"/>
      <c r="AO876" s="71"/>
    </row>
    <row r="877">
      <c r="A877" s="137"/>
      <c r="B877" s="138"/>
      <c r="C877" s="103"/>
      <c r="D877" s="71"/>
      <c r="E877" s="137"/>
      <c r="F877" s="138"/>
      <c r="G877" s="103"/>
      <c r="H877" s="71"/>
      <c r="I877" s="137"/>
      <c r="J877" s="138"/>
      <c r="K877" s="103"/>
      <c r="L877" s="71"/>
      <c r="M877" s="137"/>
      <c r="N877" s="125"/>
      <c r="O877" s="103"/>
      <c r="P877" s="71"/>
      <c r="Q877" s="189"/>
      <c r="R877" s="125"/>
      <c r="S877" s="103"/>
      <c r="T877" s="71"/>
      <c r="U877" s="189"/>
      <c r="V877" s="125"/>
      <c r="W877" s="103"/>
      <c r="X877" s="71"/>
      <c r="Y877" s="137"/>
      <c r="Z877" s="180"/>
      <c r="AA877" s="181"/>
      <c r="AB877" s="182"/>
      <c r="AC877" s="137"/>
      <c r="AD877" s="125"/>
      <c r="AE877" s="162"/>
      <c r="AF877" s="183"/>
      <c r="AG877" s="195"/>
      <c r="AH877" s="195"/>
      <c r="AI877" s="195"/>
      <c r="AJ877" s="195"/>
      <c r="AK877" s="71"/>
      <c r="AL877" s="71"/>
      <c r="AM877" s="71"/>
      <c r="AN877" s="71"/>
      <c r="AO877" s="71"/>
    </row>
    <row r="878">
      <c r="A878" s="137"/>
      <c r="B878" s="138"/>
      <c r="C878" s="103"/>
      <c r="D878" s="71"/>
      <c r="E878" s="137"/>
      <c r="F878" s="138"/>
      <c r="G878" s="103"/>
      <c r="H878" s="71"/>
      <c r="I878" s="137"/>
      <c r="J878" s="138"/>
      <c r="K878" s="103"/>
      <c r="L878" s="71"/>
      <c r="M878" s="137"/>
      <c r="N878" s="125"/>
      <c r="O878" s="103"/>
      <c r="P878" s="71"/>
      <c r="Q878" s="189"/>
      <c r="R878" s="125"/>
      <c r="S878" s="103"/>
      <c r="T878" s="71"/>
      <c r="U878" s="189"/>
      <c r="V878" s="125"/>
      <c r="W878" s="103"/>
      <c r="X878" s="71"/>
      <c r="Y878" s="137"/>
      <c r="Z878" s="180"/>
      <c r="AA878" s="181"/>
      <c r="AB878" s="182"/>
      <c r="AC878" s="137"/>
      <c r="AD878" s="125"/>
      <c r="AE878" s="162"/>
      <c r="AF878" s="183"/>
      <c r="AG878" s="195"/>
      <c r="AH878" s="195"/>
      <c r="AI878" s="195"/>
      <c r="AJ878" s="195"/>
      <c r="AK878" s="71"/>
      <c r="AL878" s="71"/>
      <c r="AM878" s="71"/>
      <c r="AN878" s="71"/>
      <c r="AO878" s="71"/>
    </row>
    <row r="879">
      <c r="A879" s="137"/>
      <c r="B879" s="138"/>
      <c r="C879" s="103"/>
      <c r="D879" s="71"/>
      <c r="E879" s="137"/>
      <c r="F879" s="138"/>
      <c r="G879" s="103"/>
      <c r="H879" s="71"/>
      <c r="I879" s="137"/>
      <c r="J879" s="138"/>
      <c r="K879" s="103"/>
      <c r="L879" s="71"/>
      <c r="M879" s="137"/>
      <c r="N879" s="125"/>
      <c r="O879" s="103"/>
      <c r="P879" s="71"/>
      <c r="Q879" s="189"/>
      <c r="R879" s="125"/>
      <c r="S879" s="103"/>
      <c r="T879" s="71"/>
      <c r="U879" s="189"/>
      <c r="V879" s="125"/>
      <c r="W879" s="103"/>
      <c r="X879" s="71"/>
      <c r="Y879" s="137"/>
      <c r="Z879" s="180"/>
      <c r="AA879" s="181"/>
      <c r="AB879" s="182"/>
      <c r="AC879" s="137"/>
      <c r="AD879" s="125"/>
      <c r="AE879" s="162"/>
      <c r="AF879" s="183"/>
      <c r="AG879" s="195"/>
      <c r="AH879" s="195"/>
      <c r="AI879" s="195"/>
      <c r="AJ879" s="195"/>
      <c r="AK879" s="71"/>
      <c r="AL879" s="71"/>
      <c r="AM879" s="71"/>
      <c r="AN879" s="71"/>
      <c r="AO879" s="71"/>
    </row>
    <row r="880">
      <c r="A880" s="137"/>
      <c r="B880" s="138"/>
      <c r="C880" s="103"/>
      <c r="D880" s="71"/>
      <c r="E880" s="137"/>
      <c r="F880" s="138"/>
      <c r="G880" s="103"/>
      <c r="H880" s="71"/>
      <c r="I880" s="137"/>
      <c r="J880" s="138"/>
      <c r="K880" s="103"/>
      <c r="L880" s="71"/>
      <c r="M880" s="137"/>
      <c r="N880" s="125"/>
      <c r="O880" s="103"/>
      <c r="P880" s="71"/>
      <c r="Q880" s="189"/>
      <c r="R880" s="125"/>
      <c r="S880" s="103"/>
      <c r="T880" s="71"/>
      <c r="U880" s="189"/>
      <c r="V880" s="125"/>
      <c r="W880" s="103"/>
      <c r="X880" s="71"/>
      <c r="Y880" s="137"/>
      <c r="Z880" s="180"/>
      <c r="AA880" s="181"/>
      <c r="AB880" s="182"/>
      <c r="AC880" s="137"/>
      <c r="AD880" s="125"/>
      <c r="AE880" s="162"/>
      <c r="AF880" s="183"/>
      <c r="AG880" s="195"/>
      <c r="AH880" s="195"/>
      <c r="AI880" s="195"/>
      <c r="AJ880" s="195"/>
      <c r="AK880" s="71"/>
      <c r="AL880" s="71"/>
      <c r="AM880" s="71"/>
      <c r="AN880" s="71"/>
      <c r="AO880" s="71"/>
    </row>
    <row r="881">
      <c r="A881" s="137"/>
      <c r="B881" s="138"/>
      <c r="C881" s="103"/>
      <c r="D881" s="71"/>
      <c r="E881" s="137"/>
      <c r="F881" s="138"/>
      <c r="G881" s="103"/>
      <c r="H881" s="71"/>
      <c r="I881" s="137"/>
      <c r="J881" s="138"/>
      <c r="K881" s="103"/>
      <c r="L881" s="71"/>
      <c r="M881" s="137"/>
      <c r="N881" s="125"/>
      <c r="O881" s="103"/>
      <c r="P881" s="71"/>
      <c r="Q881" s="189"/>
      <c r="R881" s="125"/>
      <c r="S881" s="103"/>
      <c r="T881" s="71"/>
      <c r="U881" s="189"/>
      <c r="V881" s="125"/>
      <c r="W881" s="103"/>
      <c r="X881" s="71"/>
      <c r="Y881" s="137"/>
      <c r="Z881" s="180"/>
      <c r="AA881" s="181"/>
      <c r="AB881" s="182"/>
      <c r="AC881" s="137"/>
      <c r="AD881" s="125"/>
      <c r="AE881" s="162"/>
      <c r="AF881" s="183"/>
      <c r="AG881" s="195"/>
      <c r="AH881" s="195"/>
      <c r="AI881" s="195"/>
      <c r="AJ881" s="195"/>
      <c r="AK881" s="71"/>
      <c r="AL881" s="71"/>
      <c r="AM881" s="71"/>
      <c r="AN881" s="71"/>
      <c r="AO881" s="71"/>
    </row>
    <row r="882">
      <c r="A882" s="137"/>
      <c r="B882" s="138"/>
      <c r="C882" s="103"/>
      <c r="D882" s="71"/>
      <c r="E882" s="137"/>
      <c r="F882" s="138"/>
      <c r="G882" s="103"/>
      <c r="H882" s="71"/>
      <c r="I882" s="137"/>
      <c r="J882" s="138"/>
      <c r="K882" s="103"/>
      <c r="L882" s="71"/>
      <c r="M882" s="137"/>
      <c r="N882" s="125"/>
      <c r="O882" s="103"/>
      <c r="P882" s="71"/>
      <c r="Q882" s="189"/>
      <c r="R882" s="125"/>
      <c r="S882" s="103"/>
      <c r="T882" s="71"/>
      <c r="U882" s="189"/>
      <c r="V882" s="125"/>
      <c r="W882" s="103"/>
      <c r="X882" s="71"/>
      <c r="Y882" s="137"/>
      <c r="Z882" s="180"/>
      <c r="AA882" s="181"/>
      <c r="AB882" s="182"/>
      <c r="AC882" s="137"/>
      <c r="AD882" s="125"/>
      <c r="AE882" s="162"/>
      <c r="AF882" s="183"/>
      <c r="AG882" s="195"/>
      <c r="AH882" s="195"/>
      <c r="AI882" s="195"/>
      <c r="AJ882" s="195"/>
      <c r="AK882" s="71"/>
      <c r="AL882" s="71"/>
      <c r="AM882" s="71"/>
      <c r="AN882" s="71"/>
      <c r="AO882" s="71"/>
    </row>
    <row r="883">
      <c r="A883" s="137"/>
      <c r="B883" s="138"/>
      <c r="C883" s="103"/>
      <c r="D883" s="71"/>
      <c r="E883" s="137"/>
      <c r="F883" s="138"/>
      <c r="G883" s="103"/>
      <c r="H883" s="71"/>
      <c r="I883" s="137"/>
      <c r="J883" s="138"/>
      <c r="K883" s="103"/>
      <c r="L883" s="71"/>
      <c r="M883" s="137"/>
      <c r="N883" s="125"/>
      <c r="O883" s="103"/>
      <c r="P883" s="71"/>
      <c r="Q883" s="189"/>
      <c r="R883" s="125"/>
      <c r="S883" s="103"/>
      <c r="T883" s="71"/>
      <c r="U883" s="189"/>
      <c r="V883" s="125"/>
      <c r="W883" s="103"/>
      <c r="X883" s="71"/>
      <c r="Y883" s="137"/>
      <c r="Z883" s="180"/>
      <c r="AA883" s="181"/>
      <c r="AB883" s="182"/>
      <c r="AC883" s="137"/>
      <c r="AD883" s="125"/>
      <c r="AE883" s="162"/>
      <c r="AF883" s="183"/>
      <c r="AG883" s="195"/>
      <c r="AH883" s="195"/>
      <c r="AI883" s="195"/>
      <c r="AJ883" s="195"/>
      <c r="AK883" s="71"/>
      <c r="AL883" s="71"/>
      <c r="AM883" s="71"/>
      <c r="AN883" s="71"/>
      <c r="AO883" s="71"/>
    </row>
    <row r="884">
      <c r="A884" s="137"/>
      <c r="B884" s="138"/>
      <c r="C884" s="103"/>
      <c r="D884" s="71"/>
      <c r="E884" s="137"/>
      <c r="F884" s="138"/>
      <c r="G884" s="103"/>
      <c r="H884" s="71"/>
      <c r="I884" s="137"/>
      <c r="J884" s="138"/>
      <c r="K884" s="103"/>
      <c r="L884" s="71"/>
      <c r="M884" s="137"/>
      <c r="N884" s="125"/>
      <c r="O884" s="103"/>
      <c r="P884" s="71"/>
      <c r="Q884" s="189"/>
      <c r="R884" s="125"/>
      <c r="S884" s="103"/>
      <c r="T884" s="71"/>
      <c r="U884" s="189"/>
      <c r="V884" s="125"/>
      <c r="W884" s="103"/>
      <c r="X884" s="71"/>
      <c r="Y884" s="137"/>
      <c r="Z884" s="180"/>
      <c r="AA884" s="181"/>
      <c r="AB884" s="182"/>
      <c r="AC884" s="137"/>
      <c r="AD884" s="125"/>
      <c r="AE884" s="162"/>
      <c r="AF884" s="183"/>
      <c r="AG884" s="195"/>
      <c r="AH884" s="195"/>
      <c r="AI884" s="195"/>
      <c r="AJ884" s="195"/>
      <c r="AK884" s="71"/>
      <c r="AL884" s="71"/>
      <c r="AM884" s="71"/>
      <c r="AN884" s="71"/>
      <c r="AO884" s="71"/>
    </row>
    <row r="885">
      <c r="A885" s="137"/>
      <c r="B885" s="138"/>
      <c r="C885" s="103"/>
      <c r="D885" s="71"/>
      <c r="E885" s="137"/>
      <c r="F885" s="138"/>
      <c r="G885" s="103"/>
      <c r="H885" s="71"/>
      <c r="I885" s="137"/>
      <c r="J885" s="138"/>
      <c r="K885" s="103"/>
      <c r="L885" s="71"/>
      <c r="M885" s="137"/>
      <c r="N885" s="125"/>
      <c r="O885" s="103"/>
      <c r="P885" s="71"/>
      <c r="Q885" s="189"/>
      <c r="R885" s="125"/>
      <c r="S885" s="103"/>
      <c r="T885" s="71"/>
      <c r="U885" s="189"/>
      <c r="V885" s="125"/>
      <c r="W885" s="103"/>
      <c r="X885" s="71"/>
      <c r="Y885" s="137"/>
      <c r="Z885" s="180"/>
      <c r="AA885" s="181"/>
      <c r="AB885" s="182"/>
      <c r="AC885" s="137"/>
      <c r="AD885" s="125"/>
      <c r="AE885" s="162"/>
      <c r="AF885" s="183"/>
      <c r="AG885" s="195"/>
      <c r="AH885" s="195"/>
      <c r="AI885" s="195"/>
      <c r="AJ885" s="195"/>
      <c r="AK885" s="71"/>
      <c r="AL885" s="71"/>
      <c r="AM885" s="71"/>
      <c r="AN885" s="71"/>
      <c r="AO885" s="71"/>
    </row>
    <row r="886">
      <c r="A886" s="137"/>
      <c r="B886" s="138"/>
      <c r="C886" s="103"/>
      <c r="D886" s="71"/>
      <c r="E886" s="137"/>
      <c r="F886" s="138"/>
      <c r="G886" s="103"/>
      <c r="H886" s="71"/>
      <c r="I886" s="137"/>
      <c r="J886" s="138"/>
      <c r="K886" s="103"/>
      <c r="L886" s="71"/>
      <c r="M886" s="137"/>
      <c r="N886" s="125"/>
      <c r="O886" s="103"/>
      <c r="P886" s="71"/>
      <c r="Q886" s="189"/>
      <c r="R886" s="125"/>
      <c r="S886" s="103"/>
      <c r="T886" s="71"/>
      <c r="U886" s="189"/>
      <c r="V886" s="125"/>
      <c r="W886" s="103"/>
      <c r="X886" s="71"/>
      <c r="Y886" s="137"/>
      <c r="Z886" s="180"/>
      <c r="AA886" s="181"/>
      <c r="AB886" s="182"/>
      <c r="AC886" s="137"/>
      <c r="AD886" s="125"/>
      <c r="AE886" s="162"/>
      <c r="AF886" s="183"/>
      <c r="AG886" s="195"/>
      <c r="AH886" s="195"/>
      <c r="AI886" s="195"/>
      <c r="AJ886" s="195"/>
      <c r="AK886" s="71"/>
      <c r="AL886" s="71"/>
      <c r="AM886" s="71"/>
      <c r="AN886" s="71"/>
      <c r="AO886" s="71"/>
    </row>
    <row r="887">
      <c r="A887" s="137"/>
      <c r="B887" s="138"/>
      <c r="C887" s="103"/>
      <c r="D887" s="71"/>
      <c r="E887" s="137"/>
      <c r="F887" s="138"/>
      <c r="G887" s="103"/>
      <c r="H887" s="71"/>
      <c r="I887" s="137"/>
      <c r="J887" s="138"/>
      <c r="K887" s="103"/>
      <c r="L887" s="71"/>
      <c r="M887" s="137"/>
      <c r="N887" s="125"/>
      <c r="O887" s="103"/>
      <c r="P887" s="71"/>
      <c r="Q887" s="189"/>
      <c r="R887" s="125"/>
      <c r="S887" s="103"/>
      <c r="T887" s="71"/>
      <c r="U887" s="189"/>
      <c r="V887" s="125"/>
      <c r="W887" s="103"/>
      <c r="X887" s="71"/>
      <c r="Y887" s="137"/>
      <c r="Z887" s="180"/>
      <c r="AA887" s="181"/>
      <c r="AB887" s="182"/>
      <c r="AC887" s="137"/>
      <c r="AD887" s="125"/>
      <c r="AE887" s="162"/>
      <c r="AF887" s="183"/>
      <c r="AG887" s="195"/>
      <c r="AH887" s="195"/>
      <c r="AI887" s="195"/>
      <c r="AJ887" s="195"/>
      <c r="AK887" s="71"/>
      <c r="AL887" s="71"/>
      <c r="AM887" s="71"/>
      <c r="AN887" s="71"/>
      <c r="AO887" s="71"/>
    </row>
    <row r="888">
      <c r="A888" s="137"/>
      <c r="B888" s="138"/>
      <c r="C888" s="103"/>
      <c r="D888" s="71"/>
      <c r="E888" s="137"/>
      <c r="F888" s="138"/>
      <c r="G888" s="103"/>
      <c r="H888" s="71"/>
      <c r="I888" s="137"/>
      <c r="J888" s="138"/>
      <c r="K888" s="103"/>
      <c r="L888" s="71"/>
      <c r="M888" s="137"/>
      <c r="N888" s="125"/>
      <c r="O888" s="103"/>
      <c r="P888" s="71"/>
      <c r="Q888" s="189"/>
      <c r="R888" s="125"/>
      <c r="S888" s="103"/>
      <c r="T888" s="71"/>
      <c r="U888" s="189"/>
      <c r="V888" s="125"/>
      <c r="W888" s="103"/>
      <c r="X888" s="71"/>
      <c r="Y888" s="137"/>
      <c r="Z888" s="180"/>
      <c r="AA888" s="181"/>
      <c r="AB888" s="182"/>
      <c r="AC888" s="137"/>
      <c r="AD888" s="125"/>
      <c r="AE888" s="162"/>
      <c r="AF888" s="183"/>
      <c r="AG888" s="195"/>
      <c r="AH888" s="195"/>
      <c r="AI888" s="195"/>
      <c r="AJ888" s="195"/>
      <c r="AK888" s="71"/>
      <c r="AL888" s="71"/>
      <c r="AM888" s="71"/>
      <c r="AN888" s="71"/>
      <c r="AO888" s="71"/>
    </row>
    <row r="889">
      <c r="A889" s="137"/>
      <c r="B889" s="138"/>
      <c r="C889" s="103"/>
      <c r="D889" s="71"/>
      <c r="E889" s="137"/>
      <c r="F889" s="138"/>
      <c r="G889" s="103"/>
      <c r="H889" s="71"/>
      <c r="I889" s="137"/>
      <c r="J889" s="138"/>
      <c r="K889" s="103"/>
      <c r="L889" s="71"/>
      <c r="M889" s="137"/>
      <c r="N889" s="125"/>
      <c r="O889" s="103"/>
      <c r="P889" s="71"/>
      <c r="Q889" s="189"/>
      <c r="R889" s="125"/>
      <c r="S889" s="103"/>
      <c r="T889" s="71"/>
      <c r="U889" s="189"/>
      <c r="V889" s="125"/>
      <c r="W889" s="103"/>
      <c r="X889" s="71"/>
      <c r="Y889" s="137"/>
      <c r="Z889" s="180"/>
      <c r="AA889" s="181"/>
      <c r="AB889" s="182"/>
      <c r="AC889" s="137"/>
      <c r="AD889" s="125"/>
      <c r="AE889" s="162"/>
      <c r="AF889" s="183"/>
      <c r="AG889" s="195"/>
      <c r="AH889" s="195"/>
      <c r="AI889" s="195"/>
      <c r="AJ889" s="195"/>
      <c r="AK889" s="71"/>
      <c r="AL889" s="71"/>
      <c r="AM889" s="71"/>
      <c r="AN889" s="71"/>
      <c r="AO889" s="71"/>
    </row>
    <row r="890">
      <c r="A890" s="137"/>
      <c r="B890" s="138"/>
      <c r="C890" s="103"/>
      <c r="D890" s="71"/>
      <c r="E890" s="137"/>
      <c r="F890" s="138"/>
      <c r="G890" s="103"/>
      <c r="H890" s="71"/>
      <c r="I890" s="137"/>
      <c r="J890" s="138"/>
      <c r="K890" s="103"/>
      <c r="L890" s="71"/>
      <c r="M890" s="137"/>
      <c r="N890" s="125"/>
      <c r="O890" s="103"/>
      <c r="P890" s="71"/>
      <c r="Q890" s="189"/>
      <c r="R890" s="125"/>
      <c r="S890" s="103"/>
      <c r="T890" s="71"/>
      <c r="U890" s="189"/>
      <c r="V890" s="125"/>
      <c r="W890" s="103"/>
      <c r="X890" s="71"/>
      <c r="Y890" s="137"/>
      <c r="Z890" s="180"/>
      <c r="AA890" s="181"/>
      <c r="AB890" s="182"/>
      <c r="AC890" s="137"/>
      <c r="AD890" s="125"/>
      <c r="AE890" s="162"/>
      <c r="AF890" s="183"/>
      <c r="AG890" s="195"/>
      <c r="AH890" s="195"/>
      <c r="AI890" s="195"/>
      <c r="AJ890" s="195"/>
      <c r="AK890" s="71"/>
      <c r="AL890" s="71"/>
      <c r="AM890" s="71"/>
      <c r="AN890" s="71"/>
      <c r="AO890" s="71"/>
    </row>
    <row r="891">
      <c r="A891" s="137"/>
      <c r="B891" s="138"/>
      <c r="C891" s="103"/>
      <c r="D891" s="71"/>
      <c r="E891" s="137"/>
      <c r="F891" s="138"/>
      <c r="G891" s="103"/>
      <c r="H891" s="71"/>
      <c r="I891" s="137"/>
      <c r="J891" s="138"/>
      <c r="K891" s="103"/>
      <c r="L891" s="71"/>
      <c r="M891" s="137"/>
      <c r="N891" s="125"/>
      <c r="O891" s="103"/>
      <c r="P891" s="71"/>
      <c r="Q891" s="189"/>
      <c r="R891" s="125"/>
      <c r="S891" s="103"/>
      <c r="T891" s="71"/>
      <c r="U891" s="189"/>
      <c r="V891" s="125"/>
      <c r="W891" s="103"/>
      <c r="X891" s="71"/>
      <c r="Y891" s="137"/>
      <c r="Z891" s="180"/>
      <c r="AA891" s="181"/>
      <c r="AB891" s="182"/>
      <c r="AC891" s="137"/>
      <c r="AD891" s="125"/>
      <c r="AE891" s="162"/>
      <c r="AF891" s="183"/>
      <c r="AG891" s="195"/>
      <c r="AH891" s="195"/>
      <c r="AI891" s="195"/>
      <c r="AJ891" s="195"/>
      <c r="AK891" s="71"/>
      <c r="AL891" s="71"/>
      <c r="AM891" s="71"/>
      <c r="AN891" s="71"/>
      <c r="AO891" s="71"/>
    </row>
    <row r="892">
      <c r="A892" s="137"/>
      <c r="B892" s="138"/>
      <c r="C892" s="103"/>
      <c r="D892" s="71"/>
      <c r="E892" s="137"/>
      <c r="F892" s="138"/>
      <c r="G892" s="103"/>
      <c r="H892" s="71"/>
      <c r="I892" s="137"/>
      <c r="J892" s="138"/>
      <c r="K892" s="103"/>
      <c r="L892" s="71"/>
      <c r="M892" s="137"/>
      <c r="N892" s="125"/>
      <c r="O892" s="103"/>
      <c r="P892" s="71"/>
      <c r="Q892" s="189"/>
      <c r="R892" s="125"/>
      <c r="S892" s="103"/>
      <c r="T892" s="71"/>
      <c r="U892" s="189"/>
      <c r="V892" s="125"/>
      <c r="W892" s="103"/>
      <c r="X892" s="71"/>
      <c r="Y892" s="137"/>
      <c r="Z892" s="180"/>
      <c r="AA892" s="181"/>
      <c r="AB892" s="182"/>
      <c r="AC892" s="137"/>
      <c r="AD892" s="125"/>
      <c r="AE892" s="162"/>
      <c r="AF892" s="183"/>
      <c r="AG892" s="195"/>
      <c r="AH892" s="195"/>
      <c r="AI892" s="195"/>
      <c r="AJ892" s="195"/>
      <c r="AK892" s="71"/>
      <c r="AL892" s="71"/>
      <c r="AM892" s="71"/>
      <c r="AN892" s="71"/>
      <c r="AO892" s="71"/>
    </row>
    <row r="893">
      <c r="A893" s="137"/>
      <c r="B893" s="138"/>
      <c r="C893" s="103"/>
      <c r="D893" s="71"/>
      <c r="E893" s="137"/>
      <c r="F893" s="138"/>
      <c r="G893" s="103"/>
      <c r="H893" s="71"/>
      <c r="I893" s="137"/>
      <c r="J893" s="138"/>
      <c r="K893" s="103"/>
      <c r="L893" s="71"/>
      <c r="M893" s="137"/>
      <c r="N893" s="125"/>
      <c r="O893" s="103"/>
      <c r="P893" s="71"/>
      <c r="Q893" s="189"/>
      <c r="R893" s="125"/>
      <c r="S893" s="103"/>
      <c r="T893" s="71"/>
      <c r="U893" s="189"/>
      <c r="V893" s="125"/>
      <c r="W893" s="103"/>
      <c r="X893" s="71"/>
      <c r="Y893" s="137"/>
      <c r="Z893" s="180"/>
      <c r="AA893" s="181"/>
      <c r="AB893" s="182"/>
      <c r="AC893" s="137"/>
      <c r="AD893" s="125"/>
      <c r="AE893" s="162"/>
      <c r="AF893" s="183"/>
      <c r="AG893" s="195"/>
      <c r="AH893" s="195"/>
      <c r="AI893" s="195"/>
      <c r="AJ893" s="195"/>
      <c r="AK893" s="71"/>
      <c r="AL893" s="71"/>
      <c r="AM893" s="71"/>
      <c r="AN893" s="71"/>
      <c r="AO893" s="71"/>
    </row>
    <row r="894">
      <c r="A894" s="137"/>
      <c r="B894" s="138"/>
      <c r="C894" s="103"/>
      <c r="D894" s="71"/>
      <c r="E894" s="137"/>
      <c r="F894" s="138"/>
      <c r="G894" s="103"/>
      <c r="H894" s="71"/>
      <c r="I894" s="137"/>
      <c r="J894" s="138"/>
      <c r="K894" s="103"/>
      <c r="L894" s="71"/>
      <c r="M894" s="137"/>
      <c r="N894" s="125"/>
      <c r="O894" s="103"/>
      <c r="P894" s="71"/>
      <c r="Q894" s="189"/>
      <c r="R894" s="125"/>
      <c r="S894" s="103"/>
      <c r="T894" s="71"/>
      <c r="U894" s="189"/>
      <c r="V894" s="125"/>
      <c r="W894" s="103"/>
      <c r="X894" s="71"/>
      <c r="Y894" s="137"/>
      <c r="Z894" s="180"/>
      <c r="AA894" s="181"/>
      <c r="AB894" s="182"/>
      <c r="AC894" s="137"/>
      <c r="AD894" s="125"/>
      <c r="AE894" s="162"/>
      <c r="AF894" s="183"/>
      <c r="AG894" s="195"/>
      <c r="AH894" s="195"/>
      <c r="AI894" s="195"/>
      <c r="AJ894" s="195"/>
      <c r="AK894" s="71"/>
      <c r="AL894" s="71"/>
      <c r="AM894" s="71"/>
      <c r="AN894" s="71"/>
      <c r="AO894" s="71"/>
    </row>
    <row r="895">
      <c r="A895" s="137"/>
      <c r="B895" s="138"/>
      <c r="C895" s="103"/>
      <c r="D895" s="71"/>
      <c r="E895" s="137"/>
      <c r="F895" s="138"/>
      <c r="G895" s="103"/>
      <c r="H895" s="71"/>
      <c r="I895" s="137"/>
      <c r="J895" s="138"/>
      <c r="K895" s="103"/>
      <c r="L895" s="71"/>
      <c r="M895" s="137"/>
      <c r="N895" s="125"/>
      <c r="O895" s="103"/>
      <c r="P895" s="71"/>
      <c r="Q895" s="189"/>
      <c r="R895" s="125"/>
      <c r="S895" s="103"/>
      <c r="T895" s="71"/>
      <c r="U895" s="189"/>
      <c r="V895" s="125"/>
      <c r="W895" s="103"/>
      <c r="X895" s="71"/>
      <c r="Y895" s="137"/>
      <c r="Z895" s="180"/>
      <c r="AA895" s="181"/>
      <c r="AB895" s="182"/>
      <c r="AC895" s="137"/>
      <c r="AD895" s="125"/>
      <c r="AE895" s="162"/>
      <c r="AF895" s="183"/>
      <c r="AG895" s="195"/>
      <c r="AH895" s="195"/>
      <c r="AI895" s="195"/>
      <c r="AJ895" s="195"/>
      <c r="AK895" s="71"/>
      <c r="AL895" s="71"/>
      <c r="AM895" s="71"/>
      <c r="AN895" s="71"/>
      <c r="AO895" s="71"/>
    </row>
    <row r="896">
      <c r="A896" s="137"/>
      <c r="B896" s="138"/>
      <c r="C896" s="103"/>
      <c r="D896" s="71"/>
      <c r="E896" s="137"/>
      <c r="F896" s="138"/>
      <c r="G896" s="103"/>
      <c r="H896" s="71"/>
      <c r="I896" s="137"/>
      <c r="J896" s="138"/>
      <c r="K896" s="103"/>
      <c r="L896" s="71"/>
      <c r="M896" s="137"/>
      <c r="N896" s="125"/>
      <c r="O896" s="103"/>
      <c r="P896" s="71"/>
      <c r="Q896" s="189"/>
      <c r="R896" s="125"/>
      <c r="S896" s="103"/>
      <c r="T896" s="71"/>
      <c r="U896" s="189"/>
      <c r="V896" s="125"/>
      <c r="W896" s="103"/>
      <c r="X896" s="71"/>
      <c r="Y896" s="137"/>
      <c r="Z896" s="180"/>
      <c r="AA896" s="181"/>
      <c r="AB896" s="182"/>
      <c r="AC896" s="137"/>
      <c r="AD896" s="125"/>
      <c r="AE896" s="162"/>
      <c r="AF896" s="183"/>
      <c r="AG896" s="195"/>
      <c r="AH896" s="195"/>
      <c r="AI896" s="195"/>
      <c r="AJ896" s="195"/>
      <c r="AK896" s="71"/>
      <c r="AL896" s="71"/>
      <c r="AM896" s="71"/>
      <c r="AN896" s="71"/>
      <c r="AO896" s="71"/>
    </row>
    <row r="897">
      <c r="A897" s="137"/>
      <c r="B897" s="138"/>
      <c r="C897" s="103"/>
      <c r="D897" s="71"/>
      <c r="E897" s="137"/>
      <c r="F897" s="138"/>
      <c r="G897" s="103"/>
      <c r="H897" s="71"/>
      <c r="I897" s="137"/>
      <c r="J897" s="138"/>
      <c r="K897" s="103"/>
      <c r="L897" s="71"/>
      <c r="M897" s="137"/>
      <c r="N897" s="125"/>
      <c r="O897" s="103"/>
      <c r="P897" s="71"/>
      <c r="Q897" s="189"/>
      <c r="R897" s="125"/>
      <c r="S897" s="103"/>
      <c r="T897" s="71"/>
      <c r="U897" s="189"/>
      <c r="V897" s="125"/>
      <c r="W897" s="103"/>
      <c r="X897" s="71"/>
      <c r="Y897" s="137"/>
      <c r="Z897" s="180"/>
      <c r="AA897" s="181"/>
      <c r="AB897" s="182"/>
      <c r="AC897" s="137"/>
      <c r="AD897" s="125"/>
      <c r="AE897" s="162"/>
      <c r="AF897" s="183"/>
      <c r="AG897" s="195"/>
      <c r="AH897" s="195"/>
      <c r="AI897" s="195"/>
      <c r="AJ897" s="195"/>
      <c r="AK897" s="71"/>
      <c r="AL897" s="71"/>
      <c r="AM897" s="71"/>
      <c r="AN897" s="71"/>
      <c r="AO897" s="71"/>
    </row>
    <row r="898">
      <c r="A898" s="137"/>
      <c r="B898" s="138"/>
      <c r="C898" s="103"/>
      <c r="D898" s="71"/>
      <c r="E898" s="137"/>
      <c r="F898" s="138"/>
      <c r="G898" s="103"/>
      <c r="H898" s="71"/>
      <c r="I898" s="137"/>
      <c r="J898" s="138"/>
      <c r="K898" s="103"/>
      <c r="L898" s="71"/>
      <c r="M898" s="137"/>
      <c r="N898" s="125"/>
      <c r="O898" s="103"/>
      <c r="P898" s="71"/>
      <c r="Q898" s="189"/>
      <c r="R898" s="125"/>
      <c r="S898" s="103"/>
      <c r="T898" s="71"/>
      <c r="U898" s="189"/>
      <c r="V898" s="125"/>
      <c r="W898" s="103"/>
      <c r="X898" s="71"/>
      <c r="Y898" s="137"/>
      <c r="Z898" s="180"/>
      <c r="AA898" s="181"/>
      <c r="AB898" s="182"/>
      <c r="AC898" s="137"/>
      <c r="AD898" s="125"/>
      <c r="AE898" s="162"/>
      <c r="AF898" s="183"/>
      <c r="AG898" s="195"/>
      <c r="AH898" s="195"/>
      <c r="AI898" s="195"/>
      <c r="AJ898" s="195"/>
      <c r="AK898" s="71"/>
      <c r="AL898" s="71"/>
      <c r="AM898" s="71"/>
      <c r="AN898" s="71"/>
      <c r="AO898" s="71"/>
    </row>
    <row r="899">
      <c r="A899" s="137"/>
      <c r="B899" s="138"/>
      <c r="C899" s="103"/>
      <c r="D899" s="71"/>
      <c r="E899" s="137"/>
      <c r="F899" s="138"/>
      <c r="G899" s="103"/>
      <c r="H899" s="71"/>
      <c r="I899" s="137"/>
      <c r="J899" s="138"/>
      <c r="K899" s="103"/>
      <c r="L899" s="71"/>
      <c r="M899" s="137"/>
      <c r="N899" s="125"/>
      <c r="O899" s="103"/>
      <c r="P899" s="71"/>
      <c r="Q899" s="189"/>
      <c r="R899" s="125"/>
      <c r="S899" s="103"/>
      <c r="T899" s="71"/>
      <c r="U899" s="189"/>
      <c r="V899" s="125"/>
      <c r="W899" s="103"/>
      <c r="X899" s="71"/>
      <c r="Y899" s="137"/>
      <c r="Z899" s="180"/>
      <c r="AA899" s="181"/>
      <c r="AB899" s="182"/>
      <c r="AC899" s="137"/>
      <c r="AD899" s="125"/>
      <c r="AE899" s="162"/>
      <c r="AF899" s="183"/>
      <c r="AG899" s="195"/>
      <c r="AH899" s="195"/>
      <c r="AI899" s="195"/>
      <c r="AJ899" s="195"/>
      <c r="AK899" s="71"/>
      <c r="AL899" s="71"/>
      <c r="AM899" s="71"/>
      <c r="AN899" s="71"/>
      <c r="AO899" s="71"/>
    </row>
    <row r="900">
      <c r="A900" s="137"/>
      <c r="B900" s="138"/>
      <c r="C900" s="103"/>
      <c r="D900" s="71"/>
      <c r="E900" s="137"/>
      <c r="F900" s="138"/>
      <c r="G900" s="103"/>
      <c r="H900" s="71"/>
      <c r="I900" s="137"/>
      <c r="J900" s="138"/>
      <c r="K900" s="103"/>
      <c r="L900" s="71"/>
      <c r="M900" s="137"/>
      <c r="N900" s="125"/>
      <c r="O900" s="103"/>
      <c r="P900" s="71"/>
      <c r="Q900" s="189"/>
      <c r="R900" s="125"/>
      <c r="S900" s="103"/>
      <c r="T900" s="71"/>
      <c r="U900" s="189"/>
      <c r="V900" s="125"/>
      <c r="W900" s="103"/>
      <c r="X900" s="71"/>
      <c r="Y900" s="137"/>
      <c r="Z900" s="180"/>
      <c r="AA900" s="181"/>
      <c r="AB900" s="182"/>
      <c r="AC900" s="137"/>
      <c r="AD900" s="125"/>
      <c r="AE900" s="162"/>
      <c r="AF900" s="183"/>
      <c r="AG900" s="195"/>
      <c r="AH900" s="195"/>
      <c r="AI900" s="195"/>
      <c r="AJ900" s="195"/>
      <c r="AK900" s="71"/>
      <c r="AL900" s="71"/>
      <c r="AM900" s="71"/>
      <c r="AN900" s="71"/>
      <c r="AO900" s="71"/>
    </row>
    <row r="901">
      <c r="A901" s="137"/>
      <c r="B901" s="138"/>
      <c r="C901" s="103"/>
      <c r="D901" s="71"/>
      <c r="E901" s="137"/>
      <c r="F901" s="138"/>
      <c r="G901" s="103"/>
      <c r="H901" s="71"/>
      <c r="I901" s="137"/>
      <c r="J901" s="138"/>
      <c r="K901" s="103"/>
      <c r="L901" s="71"/>
      <c r="M901" s="137"/>
      <c r="N901" s="125"/>
      <c r="O901" s="103"/>
      <c r="P901" s="71"/>
      <c r="Q901" s="189"/>
      <c r="R901" s="125"/>
      <c r="S901" s="103"/>
      <c r="T901" s="71"/>
      <c r="U901" s="189"/>
      <c r="V901" s="125"/>
      <c r="W901" s="103"/>
      <c r="X901" s="71"/>
      <c r="Y901" s="137"/>
      <c r="Z901" s="180"/>
      <c r="AA901" s="181"/>
      <c r="AB901" s="182"/>
      <c r="AC901" s="137"/>
      <c r="AD901" s="125"/>
      <c r="AE901" s="162"/>
      <c r="AF901" s="183"/>
      <c r="AG901" s="195"/>
      <c r="AH901" s="195"/>
      <c r="AI901" s="195"/>
      <c r="AJ901" s="195"/>
      <c r="AK901" s="71"/>
      <c r="AL901" s="71"/>
      <c r="AM901" s="71"/>
      <c r="AN901" s="71"/>
      <c r="AO901" s="71"/>
    </row>
    <row r="902">
      <c r="A902" s="137"/>
      <c r="B902" s="138"/>
      <c r="C902" s="103"/>
      <c r="D902" s="71"/>
      <c r="E902" s="137"/>
      <c r="F902" s="138"/>
      <c r="G902" s="103"/>
      <c r="H902" s="71"/>
      <c r="I902" s="137"/>
      <c r="J902" s="138"/>
      <c r="K902" s="103"/>
      <c r="L902" s="71"/>
      <c r="M902" s="137"/>
      <c r="N902" s="125"/>
      <c r="O902" s="103"/>
      <c r="P902" s="71"/>
      <c r="Q902" s="189"/>
      <c r="R902" s="125"/>
      <c r="S902" s="103"/>
      <c r="T902" s="71"/>
      <c r="U902" s="189"/>
      <c r="V902" s="125"/>
      <c r="W902" s="103"/>
      <c r="X902" s="71"/>
      <c r="Y902" s="137"/>
      <c r="Z902" s="180"/>
      <c r="AA902" s="181"/>
      <c r="AB902" s="182"/>
      <c r="AC902" s="137"/>
      <c r="AD902" s="125"/>
      <c r="AE902" s="162"/>
      <c r="AF902" s="183"/>
      <c r="AG902" s="195"/>
      <c r="AH902" s="195"/>
      <c r="AI902" s="195"/>
      <c r="AJ902" s="195"/>
      <c r="AK902" s="71"/>
      <c r="AL902" s="71"/>
      <c r="AM902" s="71"/>
      <c r="AN902" s="71"/>
      <c r="AO902" s="71"/>
    </row>
    <row r="903">
      <c r="A903" s="137"/>
      <c r="B903" s="138"/>
      <c r="C903" s="103"/>
      <c r="D903" s="71"/>
      <c r="E903" s="137"/>
      <c r="F903" s="138"/>
      <c r="G903" s="103"/>
      <c r="H903" s="71"/>
      <c r="I903" s="137"/>
      <c r="J903" s="138"/>
      <c r="K903" s="103"/>
      <c r="L903" s="71"/>
      <c r="M903" s="137"/>
      <c r="N903" s="125"/>
      <c r="O903" s="103"/>
      <c r="P903" s="71"/>
      <c r="Q903" s="189"/>
      <c r="R903" s="125"/>
      <c r="S903" s="103"/>
      <c r="T903" s="71"/>
      <c r="U903" s="189"/>
      <c r="V903" s="125"/>
      <c r="W903" s="103"/>
      <c r="X903" s="71"/>
      <c r="Y903" s="137"/>
      <c r="Z903" s="180"/>
      <c r="AA903" s="181"/>
      <c r="AB903" s="182"/>
      <c r="AC903" s="137"/>
      <c r="AD903" s="125"/>
      <c r="AE903" s="162"/>
      <c r="AF903" s="183"/>
      <c r="AG903" s="195"/>
      <c r="AH903" s="195"/>
      <c r="AI903" s="195"/>
      <c r="AJ903" s="195"/>
      <c r="AK903" s="71"/>
      <c r="AL903" s="71"/>
      <c r="AM903" s="71"/>
      <c r="AN903" s="71"/>
      <c r="AO903" s="71"/>
    </row>
    <row r="904">
      <c r="A904" s="137"/>
      <c r="B904" s="138"/>
      <c r="C904" s="103"/>
      <c r="D904" s="71"/>
      <c r="E904" s="137"/>
      <c r="F904" s="138"/>
      <c r="G904" s="103"/>
      <c r="H904" s="71"/>
      <c r="I904" s="137"/>
      <c r="J904" s="138"/>
      <c r="K904" s="103"/>
      <c r="L904" s="71"/>
      <c r="M904" s="137"/>
      <c r="N904" s="125"/>
      <c r="O904" s="103"/>
      <c r="P904" s="71"/>
      <c r="Q904" s="189"/>
      <c r="R904" s="125"/>
      <c r="S904" s="103"/>
      <c r="T904" s="71"/>
      <c r="U904" s="189"/>
      <c r="V904" s="125"/>
      <c r="W904" s="103"/>
      <c r="X904" s="71"/>
      <c r="Y904" s="137"/>
      <c r="Z904" s="180"/>
      <c r="AA904" s="181"/>
      <c r="AB904" s="182"/>
      <c r="AC904" s="137"/>
      <c r="AD904" s="125"/>
      <c r="AE904" s="162"/>
      <c r="AF904" s="183"/>
      <c r="AG904" s="195"/>
      <c r="AH904" s="195"/>
      <c r="AI904" s="195"/>
      <c r="AJ904" s="195"/>
      <c r="AK904" s="71"/>
      <c r="AL904" s="71"/>
      <c r="AM904" s="71"/>
      <c r="AN904" s="71"/>
      <c r="AO904" s="71"/>
    </row>
    <row r="905">
      <c r="A905" s="137"/>
      <c r="B905" s="138"/>
      <c r="C905" s="103"/>
      <c r="D905" s="71"/>
      <c r="E905" s="137"/>
      <c r="F905" s="138"/>
      <c r="G905" s="103"/>
      <c r="H905" s="71"/>
      <c r="I905" s="137"/>
      <c r="J905" s="138"/>
      <c r="K905" s="103"/>
      <c r="L905" s="71"/>
      <c r="M905" s="137"/>
      <c r="N905" s="125"/>
      <c r="O905" s="103"/>
      <c r="P905" s="71"/>
      <c r="Q905" s="189"/>
      <c r="R905" s="125"/>
      <c r="S905" s="103"/>
      <c r="T905" s="71"/>
      <c r="U905" s="189"/>
      <c r="V905" s="125"/>
      <c r="W905" s="103"/>
      <c r="X905" s="71"/>
      <c r="Y905" s="137"/>
      <c r="Z905" s="180"/>
      <c r="AA905" s="181"/>
      <c r="AB905" s="182"/>
      <c r="AC905" s="137"/>
      <c r="AD905" s="125"/>
      <c r="AE905" s="162"/>
      <c r="AF905" s="183"/>
      <c r="AG905" s="195"/>
      <c r="AH905" s="195"/>
      <c r="AI905" s="195"/>
      <c r="AJ905" s="195"/>
      <c r="AK905" s="71"/>
      <c r="AL905" s="71"/>
      <c r="AM905" s="71"/>
      <c r="AN905" s="71"/>
      <c r="AO905" s="71"/>
    </row>
    <row r="906">
      <c r="A906" s="137"/>
      <c r="B906" s="138"/>
      <c r="C906" s="103"/>
      <c r="D906" s="71"/>
      <c r="E906" s="137"/>
      <c r="F906" s="138"/>
      <c r="G906" s="103"/>
      <c r="H906" s="71"/>
      <c r="I906" s="137"/>
      <c r="J906" s="138"/>
      <c r="K906" s="103"/>
      <c r="L906" s="71"/>
      <c r="M906" s="137"/>
      <c r="N906" s="125"/>
      <c r="O906" s="103"/>
      <c r="P906" s="71"/>
      <c r="Q906" s="189"/>
      <c r="R906" s="125"/>
      <c r="S906" s="103"/>
      <c r="T906" s="71"/>
      <c r="U906" s="189"/>
      <c r="V906" s="125"/>
      <c r="W906" s="103"/>
      <c r="X906" s="71"/>
      <c r="Y906" s="137"/>
      <c r="Z906" s="180"/>
      <c r="AA906" s="181"/>
      <c r="AB906" s="182"/>
      <c r="AC906" s="137"/>
      <c r="AD906" s="125"/>
      <c r="AE906" s="162"/>
      <c r="AF906" s="183"/>
      <c r="AG906" s="195"/>
      <c r="AH906" s="195"/>
      <c r="AI906" s="195"/>
      <c r="AJ906" s="195"/>
      <c r="AK906" s="71"/>
      <c r="AL906" s="71"/>
      <c r="AM906" s="71"/>
      <c r="AN906" s="71"/>
      <c r="AO906" s="71"/>
    </row>
    <row r="907">
      <c r="A907" s="137"/>
      <c r="B907" s="138"/>
      <c r="C907" s="103"/>
      <c r="D907" s="71"/>
      <c r="E907" s="137"/>
      <c r="F907" s="138"/>
      <c r="G907" s="103"/>
      <c r="H907" s="71"/>
      <c r="I907" s="137"/>
      <c r="J907" s="138"/>
      <c r="K907" s="103"/>
      <c r="L907" s="71"/>
      <c r="M907" s="137"/>
      <c r="N907" s="125"/>
      <c r="O907" s="103"/>
      <c r="P907" s="71"/>
      <c r="Q907" s="189"/>
      <c r="R907" s="125"/>
      <c r="S907" s="103"/>
      <c r="T907" s="71"/>
      <c r="U907" s="189"/>
      <c r="V907" s="125"/>
      <c r="W907" s="103"/>
      <c r="X907" s="71"/>
      <c r="Y907" s="137"/>
      <c r="Z907" s="180"/>
      <c r="AA907" s="181"/>
      <c r="AB907" s="182"/>
      <c r="AC907" s="137"/>
      <c r="AD907" s="125"/>
      <c r="AE907" s="162"/>
      <c r="AF907" s="183"/>
      <c r="AG907" s="195"/>
      <c r="AH907" s="195"/>
      <c r="AI907" s="195"/>
      <c r="AJ907" s="195"/>
      <c r="AK907" s="71"/>
      <c r="AL907" s="71"/>
      <c r="AM907" s="71"/>
      <c r="AN907" s="71"/>
      <c r="AO907" s="71"/>
    </row>
    <row r="908">
      <c r="A908" s="137"/>
      <c r="B908" s="138"/>
      <c r="C908" s="103"/>
      <c r="D908" s="71"/>
      <c r="E908" s="137"/>
      <c r="F908" s="138"/>
      <c r="G908" s="103"/>
      <c r="H908" s="71"/>
      <c r="I908" s="137"/>
      <c r="J908" s="138"/>
      <c r="K908" s="103"/>
      <c r="L908" s="71"/>
      <c r="M908" s="137"/>
      <c r="N908" s="125"/>
      <c r="O908" s="103"/>
      <c r="P908" s="71"/>
      <c r="Q908" s="189"/>
      <c r="R908" s="125"/>
      <c r="S908" s="103"/>
      <c r="T908" s="71"/>
      <c r="U908" s="189"/>
      <c r="V908" s="125"/>
      <c r="W908" s="103"/>
      <c r="X908" s="71"/>
      <c r="Y908" s="137"/>
      <c r="Z908" s="180"/>
      <c r="AA908" s="181"/>
      <c r="AB908" s="182"/>
      <c r="AC908" s="137"/>
      <c r="AD908" s="125"/>
      <c r="AE908" s="162"/>
      <c r="AF908" s="183"/>
      <c r="AG908" s="195"/>
      <c r="AH908" s="195"/>
      <c r="AI908" s="195"/>
      <c r="AJ908" s="195"/>
      <c r="AK908" s="71"/>
      <c r="AL908" s="71"/>
      <c r="AM908" s="71"/>
      <c r="AN908" s="71"/>
      <c r="AO908" s="71"/>
    </row>
    <row r="909">
      <c r="A909" s="137"/>
      <c r="B909" s="138"/>
      <c r="C909" s="103"/>
      <c r="D909" s="71"/>
      <c r="E909" s="137"/>
      <c r="F909" s="138"/>
      <c r="G909" s="103"/>
      <c r="H909" s="71"/>
      <c r="I909" s="137"/>
      <c r="J909" s="138"/>
      <c r="K909" s="103"/>
      <c r="L909" s="71"/>
      <c r="M909" s="137"/>
      <c r="N909" s="125"/>
      <c r="O909" s="103"/>
      <c r="P909" s="71"/>
      <c r="Q909" s="189"/>
      <c r="R909" s="125"/>
      <c r="S909" s="103"/>
      <c r="T909" s="71"/>
      <c r="U909" s="189"/>
      <c r="V909" s="125"/>
      <c r="W909" s="103"/>
      <c r="X909" s="71"/>
      <c r="Y909" s="137"/>
      <c r="Z909" s="180"/>
      <c r="AA909" s="181"/>
      <c r="AB909" s="182"/>
      <c r="AC909" s="137"/>
      <c r="AD909" s="125"/>
      <c r="AE909" s="162"/>
      <c r="AF909" s="183"/>
      <c r="AG909" s="195"/>
      <c r="AH909" s="195"/>
      <c r="AI909" s="195"/>
      <c r="AJ909" s="195"/>
      <c r="AK909" s="71"/>
      <c r="AL909" s="71"/>
      <c r="AM909" s="71"/>
      <c r="AN909" s="71"/>
      <c r="AO909" s="71"/>
    </row>
    <row r="910">
      <c r="A910" s="137"/>
      <c r="B910" s="138"/>
      <c r="C910" s="103"/>
      <c r="D910" s="71"/>
      <c r="E910" s="137"/>
      <c r="F910" s="138"/>
      <c r="G910" s="103"/>
      <c r="H910" s="71"/>
      <c r="I910" s="137"/>
      <c r="J910" s="138"/>
      <c r="K910" s="103"/>
      <c r="L910" s="71"/>
      <c r="M910" s="137"/>
      <c r="N910" s="125"/>
      <c r="O910" s="103"/>
      <c r="P910" s="71"/>
      <c r="Q910" s="189"/>
      <c r="R910" s="125"/>
      <c r="S910" s="103"/>
      <c r="T910" s="71"/>
      <c r="U910" s="189"/>
      <c r="V910" s="125"/>
      <c r="W910" s="103"/>
      <c r="X910" s="71"/>
      <c r="Y910" s="137"/>
      <c r="Z910" s="180"/>
      <c r="AA910" s="181"/>
      <c r="AB910" s="182"/>
      <c r="AC910" s="137"/>
      <c r="AD910" s="125"/>
      <c r="AE910" s="162"/>
      <c r="AF910" s="183"/>
      <c r="AG910" s="195"/>
      <c r="AH910" s="195"/>
      <c r="AI910" s="195"/>
      <c r="AJ910" s="195"/>
      <c r="AK910" s="71"/>
      <c r="AL910" s="71"/>
      <c r="AM910" s="71"/>
      <c r="AN910" s="71"/>
      <c r="AO910" s="71"/>
    </row>
    <row r="911">
      <c r="A911" s="137"/>
      <c r="B911" s="138"/>
      <c r="C911" s="103"/>
      <c r="D911" s="71"/>
      <c r="E911" s="137"/>
      <c r="F911" s="138"/>
      <c r="G911" s="103"/>
      <c r="H911" s="71"/>
      <c r="I911" s="137"/>
      <c r="J911" s="138"/>
      <c r="K911" s="103"/>
      <c r="L911" s="71"/>
      <c r="M911" s="137"/>
      <c r="N911" s="125"/>
      <c r="O911" s="103"/>
      <c r="P911" s="71"/>
      <c r="Q911" s="189"/>
      <c r="R911" s="125"/>
      <c r="S911" s="103"/>
      <c r="T911" s="71"/>
      <c r="U911" s="189"/>
      <c r="V911" s="125"/>
      <c r="W911" s="103"/>
      <c r="X911" s="71"/>
      <c r="Y911" s="137"/>
      <c r="Z911" s="180"/>
      <c r="AA911" s="181"/>
      <c r="AB911" s="182"/>
      <c r="AC911" s="137"/>
      <c r="AD911" s="125"/>
      <c r="AE911" s="162"/>
      <c r="AF911" s="183"/>
      <c r="AG911" s="195"/>
      <c r="AH911" s="195"/>
      <c r="AI911" s="195"/>
      <c r="AJ911" s="195"/>
      <c r="AK911" s="71"/>
      <c r="AL911" s="71"/>
      <c r="AM911" s="71"/>
      <c r="AN911" s="71"/>
      <c r="AO911" s="71"/>
    </row>
    <row r="912">
      <c r="A912" s="137"/>
      <c r="B912" s="138"/>
      <c r="C912" s="103"/>
      <c r="D912" s="71"/>
      <c r="E912" s="137"/>
      <c r="F912" s="138"/>
      <c r="G912" s="103"/>
      <c r="H912" s="71"/>
      <c r="I912" s="137"/>
      <c r="J912" s="138"/>
      <c r="K912" s="103"/>
      <c r="L912" s="71"/>
      <c r="M912" s="137"/>
      <c r="N912" s="125"/>
      <c r="O912" s="103"/>
      <c r="P912" s="71"/>
      <c r="Q912" s="189"/>
      <c r="R912" s="125"/>
      <c r="S912" s="103"/>
      <c r="T912" s="71"/>
      <c r="U912" s="189"/>
      <c r="V912" s="125"/>
      <c r="W912" s="103"/>
      <c r="X912" s="71"/>
      <c r="Y912" s="137"/>
      <c r="Z912" s="180"/>
      <c r="AA912" s="181"/>
      <c r="AB912" s="182"/>
      <c r="AC912" s="137"/>
      <c r="AD912" s="125"/>
      <c r="AE912" s="162"/>
      <c r="AF912" s="183"/>
      <c r="AG912" s="195"/>
      <c r="AH912" s="195"/>
      <c r="AI912" s="195"/>
      <c r="AJ912" s="195"/>
      <c r="AK912" s="71"/>
      <c r="AL912" s="71"/>
      <c r="AM912" s="71"/>
      <c r="AN912" s="71"/>
      <c r="AO912" s="71"/>
    </row>
    <row r="913">
      <c r="A913" s="137"/>
      <c r="B913" s="138"/>
      <c r="C913" s="103"/>
      <c r="D913" s="71"/>
      <c r="E913" s="137"/>
      <c r="F913" s="138"/>
      <c r="G913" s="103"/>
      <c r="H913" s="71"/>
      <c r="I913" s="137"/>
      <c r="J913" s="138"/>
      <c r="K913" s="103"/>
      <c r="L913" s="71"/>
      <c r="M913" s="137"/>
      <c r="N913" s="125"/>
      <c r="O913" s="103"/>
      <c r="P913" s="71"/>
      <c r="Q913" s="189"/>
      <c r="R913" s="125"/>
      <c r="S913" s="103"/>
      <c r="T913" s="71"/>
      <c r="U913" s="189"/>
      <c r="V913" s="125"/>
      <c r="W913" s="103"/>
      <c r="X913" s="71"/>
      <c r="Y913" s="137"/>
      <c r="Z913" s="180"/>
      <c r="AA913" s="181"/>
      <c r="AB913" s="182"/>
      <c r="AC913" s="137"/>
      <c r="AD913" s="125"/>
      <c r="AE913" s="162"/>
      <c r="AF913" s="183"/>
      <c r="AG913" s="195"/>
      <c r="AH913" s="195"/>
      <c r="AI913" s="195"/>
      <c r="AJ913" s="195"/>
      <c r="AK913" s="71"/>
      <c r="AL913" s="71"/>
      <c r="AM913" s="71"/>
      <c r="AN913" s="71"/>
      <c r="AO913" s="71"/>
    </row>
    <row r="914">
      <c r="A914" s="137"/>
      <c r="B914" s="138"/>
      <c r="C914" s="103"/>
      <c r="D914" s="71"/>
      <c r="E914" s="137"/>
      <c r="F914" s="138"/>
      <c r="G914" s="103"/>
      <c r="H914" s="71"/>
      <c r="I914" s="137"/>
      <c r="J914" s="138"/>
      <c r="K914" s="103"/>
      <c r="L914" s="71"/>
      <c r="M914" s="137"/>
      <c r="N914" s="125"/>
      <c r="O914" s="103"/>
      <c r="P914" s="71"/>
      <c r="Q914" s="189"/>
      <c r="R914" s="125"/>
      <c r="S914" s="103"/>
      <c r="T914" s="71"/>
      <c r="U914" s="189"/>
      <c r="V914" s="125"/>
      <c r="W914" s="103"/>
      <c r="X914" s="71"/>
      <c r="Y914" s="137"/>
      <c r="Z914" s="180"/>
      <c r="AA914" s="181"/>
      <c r="AB914" s="182"/>
      <c r="AC914" s="137"/>
      <c r="AD914" s="125"/>
      <c r="AE914" s="162"/>
      <c r="AF914" s="183"/>
      <c r="AG914" s="195"/>
      <c r="AH914" s="195"/>
      <c r="AI914" s="195"/>
      <c r="AJ914" s="195"/>
      <c r="AK914" s="71"/>
      <c r="AL914" s="71"/>
      <c r="AM914" s="71"/>
      <c r="AN914" s="71"/>
      <c r="AO914" s="71"/>
    </row>
    <row r="915">
      <c r="A915" s="137"/>
      <c r="B915" s="138"/>
      <c r="C915" s="103"/>
      <c r="D915" s="71"/>
      <c r="E915" s="137"/>
      <c r="F915" s="138"/>
      <c r="G915" s="103"/>
      <c r="H915" s="71"/>
      <c r="I915" s="137"/>
      <c r="J915" s="138"/>
      <c r="K915" s="103"/>
      <c r="L915" s="71"/>
      <c r="M915" s="137"/>
      <c r="N915" s="125"/>
      <c r="O915" s="103"/>
      <c r="P915" s="71"/>
      <c r="Q915" s="189"/>
      <c r="R915" s="125"/>
      <c r="S915" s="103"/>
      <c r="T915" s="71"/>
      <c r="U915" s="189"/>
      <c r="V915" s="125"/>
      <c r="W915" s="103"/>
      <c r="X915" s="71"/>
      <c r="Y915" s="137"/>
      <c r="Z915" s="180"/>
      <c r="AA915" s="181"/>
      <c r="AB915" s="182"/>
      <c r="AC915" s="137"/>
      <c r="AD915" s="125"/>
      <c r="AE915" s="162"/>
      <c r="AF915" s="183"/>
      <c r="AG915" s="195"/>
      <c r="AH915" s="195"/>
      <c r="AI915" s="195"/>
      <c r="AJ915" s="195"/>
      <c r="AK915" s="71"/>
      <c r="AL915" s="71"/>
      <c r="AM915" s="71"/>
      <c r="AN915" s="71"/>
      <c r="AO915" s="71"/>
    </row>
    <row r="916">
      <c r="A916" s="137"/>
      <c r="B916" s="138"/>
      <c r="C916" s="103"/>
      <c r="D916" s="71"/>
      <c r="E916" s="137"/>
      <c r="F916" s="138"/>
      <c r="G916" s="103"/>
      <c r="H916" s="71"/>
      <c r="I916" s="137"/>
      <c r="J916" s="138"/>
      <c r="K916" s="103"/>
      <c r="L916" s="71"/>
      <c r="M916" s="137"/>
      <c r="N916" s="125"/>
      <c r="O916" s="103"/>
      <c r="P916" s="71"/>
      <c r="Q916" s="189"/>
      <c r="R916" s="125"/>
      <c r="S916" s="103"/>
      <c r="T916" s="71"/>
      <c r="U916" s="189"/>
      <c r="V916" s="125"/>
      <c r="W916" s="103"/>
      <c r="X916" s="71"/>
      <c r="Y916" s="137"/>
      <c r="Z916" s="180"/>
      <c r="AA916" s="181"/>
      <c r="AB916" s="182"/>
      <c r="AC916" s="137"/>
      <c r="AD916" s="125"/>
      <c r="AE916" s="162"/>
      <c r="AF916" s="183"/>
      <c r="AG916" s="195"/>
      <c r="AH916" s="195"/>
      <c r="AI916" s="195"/>
      <c r="AJ916" s="195"/>
      <c r="AK916" s="71"/>
      <c r="AL916" s="71"/>
      <c r="AM916" s="71"/>
      <c r="AN916" s="71"/>
      <c r="AO916" s="71"/>
    </row>
    <row r="917">
      <c r="A917" s="137"/>
      <c r="B917" s="138"/>
      <c r="C917" s="103"/>
      <c r="D917" s="71"/>
      <c r="E917" s="137"/>
      <c r="F917" s="138"/>
      <c r="G917" s="103"/>
      <c r="H917" s="71"/>
      <c r="I917" s="137"/>
      <c r="J917" s="138"/>
      <c r="K917" s="103"/>
      <c r="L917" s="71"/>
      <c r="M917" s="137"/>
      <c r="N917" s="125"/>
      <c r="O917" s="103"/>
      <c r="P917" s="71"/>
      <c r="Q917" s="189"/>
      <c r="R917" s="125"/>
      <c r="S917" s="103"/>
      <c r="T917" s="71"/>
      <c r="U917" s="189"/>
      <c r="V917" s="125"/>
      <c r="W917" s="103"/>
      <c r="X917" s="71"/>
      <c r="Y917" s="137"/>
      <c r="Z917" s="180"/>
      <c r="AA917" s="181"/>
      <c r="AB917" s="182"/>
      <c r="AC917" s="137"/>
      <c r="AD917" s="125"/>
      <c r="AE917" s="162"/>
      <c r="AF917" s="183"/>
      <c r="AG917" s="195"/>
      <c r="AH917" s="195"/>
      <c r="AI917" s="195"/>
      <c r="AJ917" s="195"/>
      <c r="AK917" s="71"/>
      <c r="AL917" s="71"/>
      <c r="AM917" s="71"/>
      <c r="AN917" s="71"/>
      <c r="AO917" s="71"/>
    </row>
    <row r="918">
      <c r="A918" s="137"/>
      <c r="B918" s="138"/>
      <c r="C918" s="103"/>
      <c r="D918" s="71"/>
      <c r="E918" s="137"/>
      <c r="F918" s="138"/>
      <c r="G918" s="103"/>
      <c r="H918" s="71"/>
      <c r="I918" s="137"/>
      <c r="J918" s="138"/>
      <c r="K918" s="103"/>
      <c r="L918" s="71"/>
      <c r="M918" s="137"/>
      <c r="N918" s="125"/>
      <c r="O918" s="103"/>
      <c r="P918" s="71"/>
      <c r="Q918" s="189"/>
      <c r="R918" s="125"/>
      <c r="S918" s="103"/>
      <c r="T918" s="71"/>
      <c r="U918" s="189"/>
      <c r="V918" s="125"/>
      <c r="W918" s="103"/>
      <c r="X918" s="71"/>
      <c r="Y918" s="137"/>
      <c r="Z918" s="180"/>
      <c r="AA918" s="181"/>
      <c r="AB918" s="182"/>
      <c r="AC918" s="137"/>
      <c r="AD918" s="125"/>
      <c r="AE918" s="162"/>
      <c r="AF918" s="183"/>
      <c r="AG918" s="195"/>
      <c r="AH918" s="195"/>
      <c r="AI918" s="195"/>
      <c r="AJ918" s="195"/>
      <c r="AK918" s="71"/>
      <c r="AL918" s="71"/>
      <c r="AM918" s="71"/>
      <c r="AN918" s="71"/>
      <c r="AO918" s="71"/>
    </row>
    <row r="919">
      <c r="A919" s="137"/>
      <c r="B919" s="138"/>
      <c r="C919" s="103"/>
      <c r="D919" s="71"/>
      <c r="E919" s="137"/>
      <c r="F919" s="138"/>
      <c r="G919" s="103"/>
      <c r="H919" s="71"/>
      <c r="I919" s="137"/>
      <c r="J919" s="138"/>
      <c r="K919" s="103"/>
      <c r="L919" s="71"/>
      <c r="M919" s="137"/>
      <c r="N919" s="125"/>
      <c r="O919" s="103"/>
      <c r="P919" s="71"/>
      <c r="Q919" s="189"/>
      <c r="R919" s="125"/>
      <c r="S919" s="103"/>
      <c r="T919" s="71"/>
      <c r="U919" s="189"/>
      <c r="V919" s="125"/>
      <c r="W919" s="103"/>
      <c r="X919" s="71"/>
      <c r="Y919" s="137"/>
      <c r="Z919" s="180"/>
      <c r="AA919" s="181"/>
      <c r="AB919" s="182"/>
      <c r="AC919" s="137"/>
      <c r="AD919" s="125"/>
      <c r="AE919" s="162"/>
      <c r="AF919" s="183"/>
      <c r="AG919" s="195"/>
      <c r="AH919" s="195"/>
      <c r="AI919" s="195"/>
      <c r="AJ919" s="195"/>
      <c r="AK919" s="71"/>
      <c r="AL919" s="71"/>
      <c r="AM919" s="71"/>
      <c r="AN919" s="71"/>
      <c r="AO919" s="71"/>
    </row>
    <row r="920">
      <c r="A920" s="137"/>
      <c r="B920" s="138"/>
      <c r="C920" s="103"/>
      <c r="D920" s="71"/>
      <c r="E920" s="137"/>
      <c r="F920" s="138"/>
      <c r="G920" s="103"/>
      <c r="H920" s="71"/>
      <c r="I920" s="137"/>
      <c r="J920" s="138"/>
      <c r="K920" s="103"/>
      <c r="L920" s="71"/>
      <c r="M920" s="137"/>
      <c r="N920" s="125"/>
      <c r="O920" s="103"/>
      <c r="P920" s="71"/>
      <c r="Q920" s="189"/>
      <c r="R920" s="125"/>
      <c r="S920" s="103"/>
      <c r="T920" s="71"/>
      <c r="U920" s="189"/>
      <c r="V920" s="125"/>
      <c r="W920" s="103"/>
      <c r="X920" s="71"/>
      <c r="Y920" s="137"/>
      <c r="Z920" s="180"/>
      <c r="AA920" s="181"/>
      <c r="AB920" s="182"/>
      <c r="AC920" s="137"/>
      <c r="AD920" s="125"/>
      <c r="AE920" s="162"/>
      <c r="AF920" s="183"/>
      <c r="AG920" s="195"/>
      <c r="AH920" s="195"/>
      <c r="AI920" s="195"/>
      <c r="AJ920" s="195"/>
      <c r="AK920" s="71"/>
      <c r="AL920" s="71"/>
      <c r="AM920" s="71"/>
      <c r="AN920" s="71"/>
      <c r="AO920" s="71"/>
    </row>
    <row r="921">
      <c r="A921" s="137"/>
      <c r="B921" s="138"/>
      <c r="C921" s="103"/>
      <c r="D921" s="71"/>
      <c r="E921" s="137"/>
      <c r="F921" s="138"/>
      <c r="G921" s="103"/>
      <c r="H921" s="71"/>
      <c r="I921" s="137"/>
      <c r="J921" s="138"/>
      <c r="K921" s="103"/>
      <c r="L921" s="71"/>
      <c r="M921" s="137"/>
      <c r="N921" s="125"/>
      <c r="O921" s="103"/>
      <c r="P921" s="71"/>
      <c r="Q921" s="189"/>
      <c r="R921" s="125"/>
      <c r="S921" s="103"/>
      <c r="T921" s="71"/>
      <c r="U921" s="189"/>
      <c r="V921" s="125"/>
      <c r="W921" s="103"/>
      <c r="X921" s="71"/>
      <c r="Y921" s="137"/>
      <c r="Z921" s="180"/>
      <c r="AA921" s="181"/>
      <c r="AB921" s="182"/>
      <c r="AC921" s="137"/>
      <c r="AD921" s="125"/>
      <c r="AE921" s="162"/>
      <c r="AF921" s="183"/>
      <c r="AG921" s="195"/>
      <c r="AH921" s="195"/>
      <c r="AI921" s="195"/>
      <c r="AJ921" s="195"/>
      <c r="AK921" s="71"/>
      <c r="AL921" s="71"/>
      <c r="AM921" s="71"/>
      <c r="AN921" s="71"/>
      <c r="AO921" s="71"/>
    </row>
    <row r="922">
      <c r="A922" s="137"/>
      <c r="B922" s="138"/>
      <c r="C922" s="103"/>
      <c r="D922" s="71"/>
      <c r="E922" s="137"/>
      <c r="F922" s="138"/>
      <c r="G922" s="103"/>
      <c r="H922" s="71"/>
      <c r="I922" s="137"/>
      <c r="J922" s="138"/>
      <c r="K922" s="103"/>
      <c r="L922" s="71"/>
      <c r="M922" s="137"/>
      <c r="N922" s="125"/>
      <c r="O922" s="103"/>
      <c r="P922" s="71"/>
      <c r="Q922" s="189"/>
      <c r="R922" s="125"/>
      <c r="S922" s="103"/>
      <c r="T922" s="71"/>
      <c r="U922" s="189"/>
      <c r="V922" s="125"/>
      <c r="W922" s="103"/>
      <c r="X922" s="71"/>
      <c r="Y922" s="137"/>
      <c r="Z922" s="180"/>
      <c r="AA922" s="181"/>
      <c r="AB922" s="182"/>
      <c r="AC922" s="137"/>
      <c r="AD922" s="125"/>
      <c r="AE922" s="162"/>
      <c r="AF922" s="183"/>
      <c r="AG922" s="195"/>
      <c r="AH922" s="195"/>
      <c r="AI922" s="195"/>
      <c r="AJ922" s="195"/>
      <c r="AK922" s="71"/>
      <c r="AL922" s="71"/>
      <c r="AM922" s="71"/>
      <c r="AN922" s="71"/>
      <c r="AO922" s="71"/>
    </row>
    <row r="923">
      <c r="A923" s="137"/>
      <c r="B923" s="138"/>
      <c r="C923" s="103"/>
      <c r="D923" s="71"/>
      <c r="E923" s="137"/>
      <c r="F923" s="138"/>
      <c r="G923" s="103"/>
      <c r="H923" s="71"/>
      <c r="I923" s="137"/>
      <c r="J923" s="138"/>
      <c r="K923" s="103"/>
      <c r="L923" s="71"/>
      <c r="M923" s="137"/>
      <c r="N923" s="125"/>
      <c r="O923" s="103"/>
      <c r="P923" s="71"/>
      <c r="Q923" s="189"/>
      <c r="R923" s="125"/>
      <c r="S923" s="103"/>
      <c r="T923" s="71"/>
      <c r="U923" s="189"/>
      <c r="V923" s="125"/>
      <c r="W923" s="103"/>
      <c r="X923" s="71"/>
      <c r="Y923" s="137"/>
      <c r="Z923" s="180"/>
      <c r="AA923" s="181"/>
      <c r="AB923" s="182"/>
      <c r="AC923" s="137"/>
      <c r="AD923" s="125"/>
      <c r="AE923" s="162"/>
      <c r="AF923" s="183"/>
      <c r="AG923" s="195"/>
      <c r="AH923" s="195"/>
      <c r="AI923" s="195"/>
      <c r="AJ923" s="195"/>
      <c r="AK923" s="71"/>
      <c r="AL923" s="71"/>
      <c r="AM923" s="71"/>
      <c r="AN923" s="71"/>
      <c r="AO923" s="71"/>
    </row>
    <row r="924">
      <c r="A924" s="137"/>
      <c r="B924" s="138"/>
      <c r="C924" s="103"/>
      <c r="D924" s="71"/>
      <c r="E924" s="137"/>
      <c r="F924" s="138"/>
      <c r="G924" s="103"/>
      <c r="H924" s="71"/>
      <c r="I924" s="137"/>
      <c r="J924" s="138"/>
      <c r="K924" s="103"/>
      <c r="L924" s="71"/>
      <c r="M924" s="137"/>
      <c r="N924" s="125"/>
      <c r="O924" s="103"/>
      <c r="P924" s="71"/>
      <c r="Q924" s="189"/>
      <c r="R924" s="125"/>
      <c r="S924" s="103"/>
      <c r="T924" s="71"/>
      <c r="U924" s="189"/>
      <c r="V924" s="125"/>
      <c r="W924" s="103"/>
      <c r="X924" s="71"/>
      <c r="Y924" s="137"/>
      <c r="Z924" s="180"/>
      <c r="AA924" s="181"/>
      <c r="AB924" s="182"/>
      <c r="AC924" s="137"/>
      <c r="AD924" s="125"/>
      <c r="AE924" s="162"/>
      <c r="AF924" s="183"/>
      <c r="AG924" s="195"/>
      <c r="AH924" s="195"/>
      <c r="AI924" s="195"/>
      <c r="AJ924" s="195"/>
      <c r="AK924" s="71"/>
      <c r="AL924" s="71"/>
      <c r="AM924" s="71"/>
      <c r="AN924" s="71"/>
      <c r="AO924" s="71"/>
    </row>
    <row r="925">
      <c r="A925" s="137"/>
      <c r="B925" s="138"/>
      <c r="C925" s="103"/>
      <c r="D925" s="71"/>
      <c r="E925" s="137"/>
      <c r="F925" s="138"/>
      <c r="G925" s="103"/>
      <c r="H925" s="71"/>
      <c r="I925" s="137"/>
      <c r="J925" s="138"/>
      <c r="K925" s="103"/>
      <c r="L925" s="71"/>
      <c r="M925" s="137"/>
      <c r="N925" s="125"/>
      <c r="O925" s="103"/>
      <c r="P925" s="71"/>
      <c r="Q925" s="189"/>
      <c r="R925" s="125"/>
      <c r="S925" s="103"/>
      <c r="T925" s="71"/>
      <c r="U925" s="189"/>
      <c r="V925" s="125"/>
      <c r="W925" s="103"/>
      <c r="X925" s="71"/>
      <c r="Y925" s="137"/>
      <c r="Z925" s="180"/>
      <c r="AA925" s="181"/>
      <c r="AB925" s="182"/>
      <c r="AC925" s="137"/>
      <c r="AD925" s="125"/>
      <c r="AE925" s="162"/>
      <c r="AF925" s="183"/>
      <c r="AG925" s="195"/>
      <c r="AH925" s="195"/>
      <c r="AI925" s="195"/>
      <c r="AJ925" s="195"/>
      <c r="AK925" s="71"/>
      <c r="AL925" s="71"/>
      <c r="AM925" s="71"/>
      <c r="AN925" s="71"/>
      <c r="AO925" s="71"/>
    </row>
    <row r="926">
      <c r="A926" s="137"/>
      <c r="B926" s="138"/>
      <c r="C926" s="103"/>
      <c r="D926" s="71"/>
      <c r="E926" s="137"/>
      <c r="F926" s="138"/>
      <c r="G926" s="103"/>
      <c r="H926" s="71"/>
      <c r="I926" s="137"/>
      <c r="J926" s="138"/>
      <c r="K926" s="103"/>
      <c r="L926" s="71"/>
      <c r="M926" s="137"/>
      <c r="N926" s="125"/>
      <c r="O926" s="103"/>
      <c r="P926" s="71"/>
      <c r="Q926" s="189"/>
      <c r="R926" s="125"/>
      <c r="S926" s="103"/>
      <c r="T926" s="71"/>
      <c r="U926" s="189"/>
      <c r="V926" s="125"/>
      <c r="W926" s="103"/>
      <c r="X926" s="71"/>
      <c r="Y926" s="137"/>
      <c r="Z926" s="180"/>
      <c r="AA926" s="181"/>
      <c r="AB926" s="182"/>
      <c r="AC926" s="137"/>
      <c r="AD926" s="125"/>
      <c r="AE926" s="162"/>
      <c r="AF926" s="183"/>
      <c r="AG926" s="195"/>
      <c r="AH926" s="195"/>
      <c r="AI926" s="195"/>
      <c r="AJ926" s="195"/>
      <c r="AK926" s="71"/>
      <c r="AL926" s="71"/>
      <c r="AM926" s="71"/>
      <c r="AN926" s="71"/>
      <c r="AO926" s="71"/>
    </row>
    <row r="927">
      <c r="A927" s="137"/>
      <c r="B927" s="138"/>
      <c r="C927" s="103"/>
      <c r="D927" s="71"/>
      <c r="E927" s="137"/>
      <c r="F927" s="138"/>
      <c r="G927" s="103"/>
      <c r="H927" s="71"/>
      <c r="I927" s="137"/>
      <c r="J927" s="138"/>
      <c r="K927" s="103"/>
      <c r="L927" s="71"/>
      <c r="M927" s="137"/>
      <c r="N927" s="125"/>
      <c r="O927" s="103"/>
      <c r="P927" s="71"/>
      <c r="Q927" s="189"/>
      <c r="R927" s="125"/>
      <c r="S927" s="103"/>
      <c r="T927" s="71"/>
      <c r="U927" s="189"/>
      <c r="V927" s="125"/>
      <c r="W927" s="103"/>
      <c r="X927" s="71"/>
      <c r="Y927" s="137"/>
      <c r="Z927" s="180"/>
      <c r="AA927" s="181"/>
      <c r="AB927" s="182"/>
      <c r="AC927" s="137"/>
      <c r="AD927" s="125"/>
      <c r="AE927" s="162"/>
      <c r="AF927" s="183"/>
      <c r="AG927" s="195"/>
      <c r="AH927" s="195"/>
      <c r="AI927" s="195"/>
      <c r="AJ927" s="195"/>
      <c r="AK927" s="71"/>
      <c r="AL927" s="71"/>
      <c r="AM927" s="71"/>
      <c r="AN927" s="71"/>
      <c r="AO927" s="71"/>
    </row>
    <row r="928">
      <c r="A928" s="137"/>
      <c r="B928" s="138"/>
      <c r="C928" s="103"/>
      <c r="D928" s="71"/>
      <c r="E928" s="137"/>
      <c r="F928" s="138"/>
      <c r="G928" s="103"/>
      <c r="H928" s="71"/>
      <c r="I928" s="137"/>
      <c r="J928" s="138"/>
      <c r="K928" s="103"/>
      <c r="L928" s="71"/>
      <c r="M928" s="137"/>
      <c r="N928" s="125"/>
      <c r="O928" s="103"/>
      <c r="P928" s="71"/>
      <c r="Q928" s="189"/>
      <c r="R928" s="125"/>
      <c r="S928" s="103"/>
      <c r="T928" s="71"/>
      <c r="U928" s="189"/>
      <c r="V928" s="125"/>
      <c r="W928" s="103"/>
      <c r="X928" s="71"/>
      <c r="Y928" s="137"/>
      <c r="Z928" s="180"/>
      <c r="AA928" s="181"/>
      <c r="AB928" s="182"/>
      <c r="AC928" s="137"/>
      <c r="AD928" s="125"/>
      <c r="AE928" s="162"/>
      <c r="AF928" s="183"/>
      <c r="AG928" s="195"/>
      <c r="AH928" s="195"/>
      <c r="AI928" s="195"/>
      <c r="AJ928" s="195"/>
      <c r="AK928" s="71"/>
      <c r="AL928" s="71"/>
      <c r="AM928" s="71"/>
      <c r="AN928" s="71"/>
      <c r="AO928" s="71"/>
    </row>
    <row r="929">
      <c r="A929" s="137"/>
      <c r="B929" s="138"/>
      <c r="C929" s="103"/>
      <c r="D929" s="71"/>
      <c r="E929" s="137"/>
      <c r="F929" s="138"/>
      <c r="G929" s="103"/>
      <c r="H929" s="71"/>
      <c r="I929" s="137"/>
      <c r="J929" s="138"/>
      <c r="K929" s="103"/>
      <c r="L929" s="71"/>
      <c r="M929" s="137"/>
      <c r="N929" s="125"/>
      <c r="O929" s="103"/>
      <c r="P929" s="71"/>
      <c r="Q929" s="189"/>
      <c r="R929" s="125"/>
      <c r="S929" s="103"/>
      <c r="T929" s="71"/>
      <c r="U929" s="189"/>
      <c r="V929" s="125"/>
      <c r="W929" s="103"/>
      <c r="X929" s="71"/>
      <c r="Y929" s="137"/>
      <c r="Z929" s="180"/>
      <c r="AA929" s="181"/>
      <c r="AB929" s="182"/>
      <c r="AC929" s="137"/>
      <c r="AD929" s="125"/>
      <c r="AE929" s="162"/>
      <c r="AF929" s="183"/>
      <c r="AG929" s="195"/>
      <c r="AH929" s="195"/>
      <c r="AI929" s="195"/>
      <c r="AJ929" s="195"/>
      <c r="AK929" s="71"/>
      <c r="AL929" s="71"/>
      <c r="AM929" s="71"/>
      <c r="AN929" s="71"/>
      <c r="AO929" s="71"/>
    </row>
    <row r="930">
      <c r="A930" s="137"/>
      <c r="B930" s="138"/>
      <c r="C930" s="103"/>
      <c r="D930" s="71"/>
      <c r="E930" s="137"/>
      <c r="F930" s="138"/>
      <c r="G930" s="103"/>
      <c r="H930" s="71"/>
      <c r="I930" s="137"/>
      <c r="J930" s="138"/>
      <c r="K930" s="103"/>
      <c r="L930" s="71"/>
      <c r="M930" s="137"/>
      <c r="N930" s="125"/>
      <c r="O930" s="103"/>
      <c r="P930" s="71"/>
      <c r="Q930" s="189"/>
      <c r="R930" s="125"/>
      <c r="S930" s="103"/>
      <c r="T930" s="71"/>
      <c r="U930" s="189"/>
      <c r="V930" s="125"/>
      <c r="W930" s="103"/>
      <c r="X930" s="71"/>
      <c r="Y930" s="137"/>
      <c r="Z930" s="180"/>
      <c r="AA930" s="181"/>
      <c r="AB930" s="182"/>
      <c r="AC930" s="137"/>
      <c r="AD930" s="125"/>
      <c r="AE930" s="162"/>
      <c r="AF930" s="183"/>
      <c r="AG930" s="195"/>
      <c r="AH930" s="195"/>
      <c r="AI930" s="195"/>
      <c r="AJ930" s="195"/>
      <c r="AK930" s="71"/>
      <c r="AL930" s="71"/>
      <c r="AM930" s="71"/>
      <c r="AN930" s="71"/>
      <c r="AO930" s="71"/>
    </row>
    <row r="931">
      <c r="A931" s="137"/>
      <c r="B931" s="138"/>
      <c r="C931" s="103"/>
      <c r="D931" s="71"/>
      <c r="E931" s="137"/>
      <c r="F931" s="138"/>
      <c r="G931" s="103"/>
      <c r="H931" s="71"/>
      <c r="I931" s="137"/>
      <c r="J931" s="138"/>
      <c r="K931" s="103"/>
      <c r="L931" s="71"/>
      <c r="M931" s="137"/>
      <c r="N931" s="125"/>
      <c r="O931" s="103"/>
      <c r="P931" s="71"/>
      <c r="Q931" s="189"/>
      <c r="R931" s="125"/>
      <c r="S931" s="103"/>
      <c r="T931" s="71"/>
      <c r="U931" s="189"/>
      <c r="V931" s="125"/>
      <c r="W931" s="103"/>
      <c r="X931" s="71"/>
      <c r="Y931" s="137"/>
      <c r="Z931" s="180"/>
      <c r="AA931" s="181"/>
      <c r="AB931" s="182"/>
      <c r="AC931" s="137"/>
      <c r="AD931" s="125"/>
      <c r="AE931" s="162"/>
      <c r="AF931" s="183"/>
      <c r="AG931" s="195"/>
      <c r="AH931" s="195"/>
      <c r="AI931" s="195"/>
      <c r="AJ931" s="195"/>
      <c r="AK931" s="71"/>
      <c r="AL931" s="71"/>
      <c r="AM931" s="71"/>
      <c r="AN931" s="71"/>
      <c r="AO931" s="71"/>
    </row>
    <row r="932">
      <c r="A932" s="137"/>
      <c r="B932" s="138"/>
      <c r="C932" s="103"/>
      <c r="D932" s="71"/>
      <c r="E932" s="137"/>
      <c r="F932" s="138"/>
      <c r="G932" s="103"/>
      <c r="H932" s="71"/>
      <c r="I932" s="137"/>
      <c r="J932" s="138"/>
      <c r="K932" s="103"/>
      <c r="L932" s="71"/>
      <c r="M932" s="137"/>
      <c r="N932" s="125"/>
      <c r="O932" s="103"/>
      <c r="P932" s="71"/>
      <c r="Q932" s="189"/>
      <c r="R932" s="125"/>
      <c r="S932" s="103"/>
      <c r="T932" s="71"/>
      <c r="U932" s="189"/>
      <c r="V932" s="125"/>
      <c r="W932" s="103"/>
      <c r="X932" s="71"/>
      <c r="Y932" s="137"/>
      <c r="Z932" s="180"/>
      <c r="AA932" s="181"/>
      <c r="AB932" s="182"/>
      <c r="AC932" s="137"/>
      <c r="AD932" s="125"/>
      <c r="AE932" s="162"/>
      <c r="AF932" s="183"/>
      <c r="AG932" s="195"/>
      <c r="AH932" s="195"/>
      <c r="AI932" s="195"/>
      <c r="AJ932" s="195"/>
      <c r="AK932" s="71"/>
      <c r="AL932" s="71"/>
      <c r="AM932" s="71"/>
      <c r="AN932" s="71"/>
      <c r="AO932" s="71"/>
    </row>
    <row r="933">
      <c r="A933" s="137"/>
      <c r="B933" s="138"/>
      <c r="C933" s="103"/>
      <c r="D933" s="71"/>
      <c r="E933" s="137"/>
      <c r="F933" s="138"/>
      <c r="G933" s="103"/>
      <c r="H933" s="71"/>
      <c r="I933" s="137"/>
      <c r="J933" s="138"/>
      <c r="K933" s="103"/>
      <c r="L933" s="71"/>
      <c r="M933" s="137"/>
      <c r="N933" s="125"/>
      <c r="O933" s="103"/>
      <c r="P933" s="71"/>
      <c r="Q933" s="189"/>
      <c r="R933" s="125"/>
      <c r="S933" s="103"/>
      <c r="T933" s="71"/>
      <c r="U933" s="189"/>
      <c r="V933" s="125"/>
      <c r="W933" s="103"/>
      <c r="X933" s="71"/>
      <c r="Y933" s="137"/>
      <c r="Z933" s="180"/>
      <c r="AA933" s="181"/>
      <c r="AB933" s="182"/>
      <c r="AC933" s="137"/>
      <c r="AD933" s="125"/>
      <c r="AE933" s="162"/>
      <c r="AF933" s="183"/>
      <c r="AG933" s="195"/>
      <c r="AH933" s="195"/>
      <c r="AI933" s="195"/>
      <c r="AJ933" s="195"/>
      <c r="AK933" s="71"/>
      <c r="AL933" s="71"/>
      <c r="AM933" s="71"/>
      <c r="AN933" s="71"/>
      <c r="AO933" s="71"/>
    </row>
    <row r="934">
      <c r="A934" s="137"/>
      <c r="B934" s="138"/>
      <c r="C934" s="103"/>
      <c r="D934" s="71"/>
      <c r="E934" s="137"/>
      <c r="F934" s="138"/>
      <c r="G934" s="103"/>
      <c r="H934" s="71"/>
      <c r="I934" s="137"/>
      <c r="J934" s="138"/>
      <c r="K934" s="103"/>
      <c r="L934" s="71"/>
      <c r="M934" s="137"/>
      <c r="N934" s="125"/>
      <c r="O934" s="103"/>
      <c r="P934" s="71"/>
      <c r="Q934" s="189"/>
      <c r="R934" s="125"/>
      <c r="S934" s="103"/>
      <c r="T934" s="71"/>
      <c r="U934" s="189"/>
      <c r="V934" s="125"/>
      <c r="W934" s="103"/>
      <c r="X934" s="71"/>
      <c r="Y934" s="137"/>
      <c r="Z934" s="180"/>
      <c r="AA934" s="181"/>
      <c r="AB934" s="182"/>
      <c r="AC934" s="137"/>
      <c r="AD934" s="125"/>
      <c r="AE934" s="162"/>
      <c r="AF934" s="183"/>
      <c r="AG934" s="195"/>
      <c r="AH934" s="195"/>
      <c r="AI934" s="195"/>
      <c r="AJ934" s="195"/>
      <c r="AK934" s="71"/>
      <c r="AL934" s="71"/>
      <c r="AM934" s="71"/>
      <c r="AN934" s="71"/>
      <c r="AO934" s="71"/>
    </row>
    <row r="935">
      <c r="A935" s="137"/>
      <c r="B935" s="138"/>
      <c r="C935" s="103"/>
      <c r="D935" s="71"/>
      <c r="E935" s="137"/>
      <c r="F935" s="138"/>
      <c r="G935" s="103"/>
      <c r="H935" s="71"/>
      <c r="I935" s="137"/>
      <c r="J935" s="138"/>
      <c r="K935" s="103"/>
      <c r="L935" s="71"/>
      <c r="M935" s="137"/>
      <c r="N935" s="125"/>
      <c r="O935" s="103"/>
      <c r="P935" s="71"/>
      <c r="Q935" s="189"/>
      <c r="R935" s="125"/>
      <c r="S935" s="103"/>
      <c r="T935" s="71"/>
      <c r="U935" s="189"/>
      <c r="V935" s="125"/>
      <c r="W935" s="103"/>
      <c r="X935" s="71"/>
      <c r="Y935" s="137"/>
      <c r="Z935" s="180"/>
      <c r="AA935" s="181"/>
      <c r="AB935" s="182"/>
      <c r="AC935" s="137"/>
      <c r="AD935" s="125"/>
      <c r="AE935" s="162"/>
      <c r="AF935" s="183"/>
      <c r="AG935" s="195"/>
      <c r="AH935" s="195"/>
      <c r="AI935" s="195"/>
      <c r="AJ935" s="195"/>
      <c r="AK935" s="71"/>
      <c r="AL935" s="71"/>
      <c r="AM935" s="71"/>
      <c r="AN935" s="71"/>
      <c r="AO935" s="71"/>
    </row>
    <row r="936">
      <c r="A936" s="137"/>
      <c r="B936" s="138"/>
      <c r="C936" s="103"/>
      <c r="D936" s="71"/>
      <c r="E936" s="137"/>
      <c r="F936" s="138"/>
      <c r="G936" s="103"/>
      <c r="H936" s="71"/>
      <c r="I936" s="137"/>
      <c r="J936" s="138"/>
      <c r="K936" s="103"/>
      <c r="L936" s="71"/>
      <c r="M936" s="137"/>
      <c r="N936" s="125"/>
      <c r="O936" s="103"/>
      <c r="P936" s="71"/>
      <c r="Q936" s="189"/>
      <c r="R936" s="125"/>
      <c r="S936" s="103"/>
      <c r="T936" s="71"/>
      <c r="U936" s="189"/>
      <c r="V936" s="125"/>
      <c r="W936" s="103"/>
      <c r="X936" s="71"/>
      <c r="Y936" s="137"/>
      <c r="Z936" s="180"/>
      <c r="AA936" s="181"/>
      <c r="AB936" s="182"/>
      <c r="AC936" s="137"/>
      <c r="AD936" s="125"/>
      <c r="AE936" s="162"/>
      <c r="AF936" s="183"/>
      <c r="AG936" s="195"/>
      <c r="AH936" s="195"/>
      <c r="AI936" s="195"/>
      <c r="AJ936" s="195"/>
      <c r="AK936" s="71"/>
      <c r="AL936" s="71"/>
      <c r="AM936" s="71"/>
      <c r="AN936" s="71"/>
      <c r="AO936" s="71"/>
    </row>
    <row r="937">
      <c r="A937" s="137"/>
      <c r="B937" s="138"/>
      <c r="C937" s="103"/>
      <c r="D937" s="71"/>
      <c r="E937" s="137"/>
      <c r="F937" s="138"/>
      <c r="G937" s="103"/>
      <c r="H937" s="71"/>
      <c r="I937" s="137"/>
      <c r="J937" s="138"/>
      <c r="K937" s="103"/>
      <c r="L937" s="71"/>
      <c r="M937" s="137"/>
      <c r="N937" s="125"/>
      <c r="O937" s="103"/>
      <c r="P937" s="71"/>
      <c r="Q937" s="189"/>
      <c r="R937" s="125"/>
      <c r="S937" s="103"/>
      <c r="T937" s="71"/>
      <c r="U937" s="189"/>
      <c r="V937" s="125"/>
      <c r="W937" s="103"/>
      <c r="X937" s="71"/>
      <c r="Y937" s="137"/>
      <c r="Z937" s="180"/>
      <c r="AA937" s="181"/>
      <c r="AB937" s="182"/>
      <c r="AC937" s="137"/>
      <c r="AD937" s="125"/>
      <c r="AE937" s="162"/>
      <c r="AF937" s="183"/>
      <c r="AG937" s="195"/>
      <c r="AH937" s="195"/>
      <c r="AI937" s="195"/>
      <c r="AJ937" s="195"/>
      <c r="AK937" s="71"/>
      <c r="AL937" s="71"/>
      <c r="AM937" s="71"/>
      <c r="AN937" s="71"/>
      <c r="AO937" s="71"/>
    </row>
    <row r="938">
      <c r="A938" s="137"/>
      <c r="B938" s="138"/>
      <c r="C938" s="103"/>
      <c r="D938" s="71"/>
      <c r="E938" s="137"/>
      <c r="F938" s="138"/>
      <c r="G938" s="103"/>
      <c r="H938" s="71"/>
      <c r="I938" s="137"/>
      <c r="J938" s="138"/>
      <c r="K938" s="103"/>
      <c r="L938" s="71"/>
      <c r="M938" s="137"/>
      <c r="N938" s="125"/>
      <c r="O938" s="103"/>
      <c r="P938" s="71"/>
      <c r="Q938" s="189"/>
      <c r="R938" s="125"/>
      <c r="S938" s="103"/>
      <c r="T938" s="71"/>
      <c r="U938" s="189"/>
      <c r="V938" s="125"/>
      <c r="W938" s="103"/>
      <c r="X938" s="71"/>
      <c r="Y938" s="137"/>
      <c r="Z938" s="180"/>
      <c r="AA938" s="181"/>
      <c r="AB938" s="182"/>
      <c r="AC938" s="137"/>
      <c r="AD938" s="125"/>
      <c r="AE938" s="162"/>
      <c r="AF938" s="183"/>
      <c r="AG938" s="195"/>
      <c r="AH938" s="195"/>
      <c r="AI938" s="195"/>
      <c r="AJ938" s="195"/>
      <c r="AK938" s="71"/>
      <c r="AL938" s="71"/>
      <c r="AM938" s="71"/>
      <c r="AN938" s="71"/>
      <c r="AO938" s="71"/>
    </row>
    <row r="939">
      <c r="A939" s="137"/>
      <c r="B939" s="138"/>
      <c r="C939" s="103"/>
      <c r="D939" s="71"/>
      <c r="E939" s="137"/>
      <c r="F939" s="138"/>
      <c r="G939" s="103"/>
      <c r="H939" s="71"/>
      <c r="I939" s="137"/>
      <c r="J939" s="138"/>
      <c r="K939" s="103"/>
      <c r="L939" s="71"/>
      <c r="M939" s="137"/>
      <c r="N939" s="125"/>
      <c r="O939" s="103"/>
      <c r="P939" s="71"/>
      <c r="Q939" s="189"/>
      <c r="R939" s="125"/>
      <c r="S939" s="103"/>
      <c r="T939" s="71"/>
      <c r="U939" s="189"/>
      <c r="V939" s="125"/>
      <c r="W939" s="103"/>
      <c r="X939" s="71"/>
      <c r="Y939" s="137"/>
      <c r="Z939" s="180"/>
      <c r="AA939" s="181"/>
      <c r="AB939" s="182"/>
      <c r="AC939" s="137"/>
      <c r="AD939" s="125"/>
      <c r="AE939" s="162"/>
      <c r="AF939" s="183"/>
      <c r="AG939" s="195"/>
      <c r="AH939" s="195"/>
      <c r="AI939" s="195"/>
      <c r="AJ939" s="195"/>
      <c r="AK939" s="71"/>
      <c r="AL939" s="71"/>
      <c r="AM939" s="71"/>
      <c r="AN939" s="71"/>
      <c r="AO939" s="71"/>
    </row>
    <row r="940">
      <c r="A940" s="137"/>
      <c r="B940" s="138"/>
      <c r="C940" s="103"/>
      <c r="D940" s="71"/>
      <c r="E940" s="137"/>
      <c r="F940" s="138"/>
      <c r="G940" s="103"/>
      <c r="H940" s="71"/>
      <c r="I940" s="137"/>
      <c r="J940" s="138"/>
      <c r="K940" s="103"/>
      <c r="L940" s="71"/>
      <c r="M940" s="137"/>
      <c r="N940" s="125"/>
      <c r="O940" s="103"/>
      <c r="P940" s="71"/>
      <c r="Q940" s="189"/>
      <c r="R940" s="125"/>
      <c r="S940" s="103"/>
      <c r="T940" s="71"/>
      <c r="U940" s="189"/>
      <c r="V940" s="125"/>
      <c r="W940" s="103"/>
      <c r="X940" s="71"/>
      <c r="Y940" s="137"/>
      <c r="Z940" s="180"/>
      <c r="AA940" s="181"/>
      <c r="AB940" s="182"/>
      <c r="AC940" s="137"/>
      <c r="AD940" s="125"/>
      <c r="AE940" s="162"/>
      <c r="AF940" s="183"/>
      <c r="AG940" s="195"/>
      <c r="AH940" s="195"/>
      <c r="AI940" s="195"/>
      <c r="AJ940" s="195"/>
      <c r="AK940" s="71"/>
      <c r="AL940" s="71"/>
      <c r="AM940" s="71"/>
      <c r="AN940" s="71"/>
      <c r="AO940" s="71"/>
    </row>
    <row r="941">
      <c r="A941" s="137"/>
      <c r="B941" s="138"/>
      <c r="C941" s="103"/>
      <c r="D941" s="71"/>
      <c r="E941" s="137"/>
      <c r="F941" s="138"/>
      <c r="G941" s="103"/>
      <c r="H941" s="71"/>
      <c r="I941" s="137"/>
      <c r="J941" s="138"/>
      <c r="K941" s="103"/>
      <c r="L941" s="71"/>
      <c r="M941" s="137"/>
      <c r="N941" s="125"/>
      <c r="O941" s="103"/>
      <c r="P941" s="71"/>
      <c r="Q941" s="189"/>
      <c r="R941" s="125"/>
      <c r="S941" s="103"/>
      <c r="T941" s="71"/>
      <c r="U941" s="189"/>
      <c r="V941" s="125"/>
      <c r="W941" s="103"/>
      <c r="X941" s="71"/>
      <c r="Y941" s="137"/>
      <c r="Z941" s="180"/>
      <c r="AA941" s="181"/>
      <c r="AB941" s="182"/>
      <c r="AC941" s="137"/>
      <c r="AD941" s="125"/>
      <c r="AE941" s="162"/>
      <c r="AF941" s="183"/>
      <c r="AG941" s="195"/>
      <c r="AH941" s="195"/>
      <c r="AI941" s="195"/>
      <c r="AJ941" s="195"/>
      <c r="AK941" s="71"/>
      <c r="AL941" s="71"/>
      <c r="AM941" s="71"/>
      <c r="AN941" s="71"/>
      <c r="AO941" s="71"/>
    </row>
    <row r="942">
      <c r="A942" s="137"/>
      <c r="B942" s="138"/>
      <c r="C942" s="103"/>
      <c r="D942" s="71"/>
      <c r="E942" s="137"/>
      <c r="F942" s="138"/>
      <c r="G942" s="103"/>
      <c r="H942" s="71"/>
      <c r="I942" s="137"/>
      <c r="J942" s="138"/>
      <c r="K942" s="103"/>
      <c r="L942" s="71"/>
      <c r="M942" s="137"/>
      <c r="N942" s="125"/>
      <c r="O942" s="103"/>
      <c r="P942" s="71"/>
      <c r="Q942" s="189"/>
      <c r="R942" s="125"/>
      <c r="S942" s="103"/>
      <c r="T942" s="71"/>
      <c r="U942" s="189"/>
      <c r="V942" s="125"/>
      <c r="W942" s="103"/>
      <c r="X942" s="71"/>
      <c r="Y942" s="137"/>
      <c r="Z942" s="180"/>
      <c r="AA942" s="181"/>
      <c r="AB942" s="182"/>
      <c r="AC942" s="137"/>
      <c r="AD942" s="125"/>
      <c r="AE942" s="162"/>
      <c r="AF942" s="183"/>
      <c r="AG942" s="195"/>
      <c r="AH942" s="195"/>
      <c r="AI942" s="195"/>
      <c r="AJ942" s="195"/>
      <c r="AK942" s="71"/>
      <c r="AL942" s="71"/>
      <c r="AM942" s="71"/>
      <c r="AN942" s="71"/>
      <c r="AO942" s="71"/>
    </row>
    <row r="943">
      <c r="A943" s="137"/>
      <c r="B943" s="138"/>
      <c r="C943" s="103"/>
      <c r="D943" s="71"/>
      <c r="E943" s="137"/>
      <c r="F943" s="138"/>
      <c r="G943" s="103"/>
      <c r="H943" s="71"/>
      <c r="I943" s="137"/>
      <c r="J943" s="138"/>
      <c r="K943" s="103"/>
      <c r="L943" s="71"/>
      <c r="M943" s="137"/>
      <c r="N943" s="125"/>
      <c r="O943" s="103"/>
      <c r="P943" s="71"/>
      <c r="Q943" s="189"/>
      <c r="R943" s="125"/>
      <c r="S943" s="103"/>
      <c r="T943" s="71"/>
      <c r="U943" s="189"/>
      <c r="V943" s="125"/>
      <c r="W943" s="103"/>
      <c r="X943" s="71"/>
      <c r="Y943" s="137"/>
      <c r="Z943" s="180"/>
      <c r="AA943" s="181"/>
      <c r="AB943" s="182"/>
      <c r="AC943" s="137"/>
      <c r="AD943" s="125"/>
      <c r="AE943" s="162"/>
      <c r="AF943" s="183"/>
      <c r="AG943" s="195"/>
      <c r="AH943" s="195"/>
      <c r="AI943" s="195"/>
      <c r="AJ943" s="195"/>
      <c r="AK943" s="71"/>
      <c r="AL943" s="71"/>
      <c r="AM943" s="71"/>
      <c r="AN943" s="71"/>
      <c r="AO943" s="71"/>
    </row>
    <row r="944">
      <c r="A944" s="137"/>
      <c r="B944" s="138"/>
      <c r="C944" s="103"/>
      <c r="D944" s="71"/>
      <c r="E944" s="137"/>
      <c r="F944" s="138"/>
      <c r="G944" s="103"/>
      <c r="H944" s="71"/>
      <c r="I944" s="137"/>
      <c r="J944" s="138"/>
      <c r="K944" s="103"/>
      <c r="L944" s="71"/>
      <c r="M944" s="137"/>
      <c r="N944" s="125"/>
      <c r="O944" s="103"/>
      <c r="P944" s="71"/>
      <c r="Q944" s="189"/>
      <c r="R944" s="125"/>
      <c r="S944" s="103"/>
      <c r="T944" s="71"/>
      <c r="U944" s="189"/>
      <c r="V944" s="125"/>
      <c r="W944" s="103"/>
      <c r="X944" s="71"/>
      <c r="Y944" s="137"/>
      <c r="Z944" s="180"/>
      <c r="AA944" s="181"/>
      <c r="AB944" s="182"/>
      <c r="AC944" s="137"/>
      <c r="AD944" s="125"/>
      <c r="AE944" s="162"/>
      <c r="AF944" s="183"/>
      <c r="AG944" s="195"/>
      <c r="AH944" s="195"/>
      <c r="AI944" s="195"/>
      <c r="AJ944" s="195"/>
      <c r="AK944" s="71"/>
      <c r="AL944" s="71"/>
      <c r="AM944" s="71"/>
      <c r="AN944" s="71"/>
      <c r="AO944" s="71"/>
    </row>
    <row r="945">
      <c r="A945" s="137"/>
      <c r="B945" s="138"/>
      <c r="C945" s="103"/>
      <c r="D945" s="71"/>
      <c r="E945" s="137"/>
      <c r="F945" s="138"/>
      <c r="G945" s="103"/>
      <c r="H945" s="71"/>
      <c r="I945" s="137"/>
      <c r="J945" s="138"/>
      <c r="K945" s="103"/>
      <c r="L945" s="71"/>
      <c r="M945" s="137"/>
      <c r="N945" s="125"/>
      <c r="O945" s="103"/>
      <c r="P945" s="71"/>
      <c r="Q945" s="189"/>
      <c r="R945" s="125"/>
      <c r="S945" s="103"/>
      <c r="T945" s="71"/>
      <c r="U945" s="189"/>
      <c r="V945" s="125"/>
      <c r="W945" s="103"/>
      <c r="X945" s="71"/>
      <c r="Y945" s="137"/>
      <c r="Z945" s="180"/>
      <c r="AA945" s="181"/>
      <c r="AB945" s="182"/>
      <c r="AC945" s="137"/>
      <c r="AD945" s="125"/>
      <c r="AE945" s="162"/>
      <c r="AF945" s="183"/>
      <c r="AG945" s="195"/>
      <c r="AH945" s="195"/>
      <c r="AI945" s="195"/>
      <c r="AJ945" s="195"/>
      <c r="AK945" s="71"/>
      <c r="AL945" s="71"/>
      <c r="AM945" s="71"/>
      <c r="AN945" s="71"/>
      <c r="AO945" s="71"/>
    </row>
    <row r="946">
      <c r="A946" s="137"/>
      <c r="B946" s="138"/>
      <c r="C946" s="103"/>
      <c r="D946" s="71"/>
      <c r="E946" s="137"/>
      <c r="F946" s="138"/>
      <c r="G946" s="103"/>
      <c r="H946" s="71"/>
      <c r="I946" s="137"/>
      <c r="J946" s="138"/>
      <c r="K946" s="103"/>
      <c r="L946" s="71"/>
      <c r="M946" s="137"/>
      <c r="N946" s="125"/>
      <c r="O946" s="103"/>
      <c r="P946" s="71"/>
      <c r="Q946" s="189"/>
      <c r="R946" s="125"/>
      <c r="S946" s="103"/>
      <c r="T946" s="71"/>
      <c r="U946" s="189"/>
      <c r="V946" s="125"/>
      <c r="W946" s="103"/>
      <c r="X946" s="71"/>
      <c r="Y946" s="137"/>
      <c r="Z946" s="180"/>
      <c r="AA946" s="181"/>
      <c r="AB946" s="182"/>
      <c r="AC946" s="137"/>
      <c r="AD946" s="125"/>
      <c r="AE946" s="162"/>
      <c r="AF946" s="183"/>
      <c r="AG946" s="195"/>
      <c r="AH946" s="195"/>
      <c r="AI946" s="195"/>
      <c r="AJ946" s="195"/>
      <c r="AK946" s="71"/>
      <c r="AL946" s="71"/>
      <c r="AM946" s="71"/>
      <c r="AN946" s="71"/>
      <c r="AO946" s="71"/>
    </row>
    <row r="947">
      <c r="A947" s="137"/>
      <c r="B947" s="138"/>
      <c r="C947" s="103"/>
      <c r="D947" s="71"/>
      <c r="E947" s="137"/>
      <c r="F947" s="138"/>
      <c r="G947" s="103"/>
      <c r="H947" s="71"/>
      <c r="I947" s="137"/>
      <c r="J947" s="138"/>
      <c r="K947" s="103"/>
      <c r="L947" s="71"/>
      <c r="M947" s="137"/>
      <c r="N947" s="125"/>
      <c r="O947" s="103"/>
      <c r="P947" s="71"/>
      <c r="Q947" s="189"/>
      <c r="R947" s="125"/>
      <c r="S947" s="103"/>
      <c r="T947" s="71"/>
      <c r="U947" s="189"/>
      <c r="V947" s="125"/>
      <c r="W947" s="103"/>
      <c r="X947" s="71"/>
      <c r="Y947" s="137"/>
      <c r="Z947" s="180"/>
      <c r="AA947" s="181"/>
      <c r="AB947" s="182"/>
      <c r="AC947" s="137"/>
      <c r="AD947" s="125"/>
      <c r="AE947" s="162"/>
      <c r="AF947" s="183"/>
      <c r="AG947" s="195"/>
      <c r="AH947" s="195"/>
      <c r="AI947" s="195"/>
      <c r="AJ947" s="195"/>
      <c r="AK947" s="71"/>
      <c r="AL947" s="71"/>
      <c r="AM947" s="71"/>
      <c r="AN947" s="71"/>
      <c r="AO947" s="71"/>
    </row>
    <row r="948">
      <c r="A948" s="137"/>
      <c r="B948" s="138"/>
      <c r="C948" s="103"/>
      <c r="D948" s="71"/>
      <c r="E948" s="137"/>
      <c r="F948" s="138"/>
      <c r="G948" s="103"/>
      <c r="H948" s="71"/>
      <c r="I948" s="137"/>
      <c r="J948" s="138"/>
      <c r="K948" s="103"/>
      <c r="L948" s="71"/>
      <c r="M948" s="137"/>
      <c r="N948" s="125"/>
      <c r="O948" s="103"/>
      <c r="P948" s="71"/>
      <c r="Q948" s="189"/>
      <c r="R948" s="125"/>
      <c r="S948" s="103"/>
      <c r="T948" s="71"/>
      <c r="U948" s="189"/>
      <c r="V948" s="125"/>
      <c r="W948" s="103"/>
      <c r="X948" s="71"/>
      <c r="Y948" s="137"/>
      <c r="Z948" s="180"/>
      <c r="AA948" s="181"/>
      <c r="AB948" s="182"/>
      <c r="AC948" s="137"/>
      <c r="AD948" s="125"/>
      <c r="AE948" s="162"/>
      <c r="AF948" s="183"/>
      <c r="AG948" s="195"/>
      <c r="AH948" s="195"/>
      <c r="AI948" s="195"/>
      <c r="AJ948" s="195"/>
      <c r="AK948" s="71"/>
      <c r="AL948" s="71"/>
      <c r="AM948" s="71"/>
      <c r="AN948" s="71"/>
      <c r="AO948" s="71"/>
    </row>
    <row r="949">
      <c r="A949" s="137"/>
      <c r="B949" s="138"/>
      <c r="C949" s="103"/>
      <c r="D949" s="71"/>
      <c r="E949" s="137"/>
      <c r="F949" s="138"/>
      <c r="G949" s="103"/>
      <c r="H949" s="71"/>
      <c r="I949" s="137"/>
      <c r="J949" s="138"/>
      <c r="K949" s="103"/>
      <c r="L949" s="71"/>
      <c r="M949" s="137"/>
      <c r="N949" s="125"/>
      <c r="O949" s="103"/>
      <c r="P949" s="71"/>
      <c r="Q949" s="189"/>
      <c r="R949" s="125"/>
      <c r="S949" s="103"/>
      <c r="T949" s="71"/>
      <c r="U949" s="189"/>
      <c r="V949" s="125"/>
      <c r="W949" s="103"/>
      <c r="X949" s="71"/>
      <c r="Y949" s="137"/>
      <c r="Z949" s="180"/>
      <c r="AA949" s="181"/>
      <c r="AB949" s="182"/>
      <c r="AC949" s="137"/>
      <c r="AD949" s="125"/>
      <c r="AE949" s="162"/>
      <c r="AF949" s="183"/>
      <c r="AG949" s="195"/>
      <c r="AH949" s="195"/>
      <c r="AI949" s="195"/>
      <c r="AJ949" s="195"/>
      <c r="AK949" s="71"/>
      <c r="AL949" s="71"/>
      <c r="AM949" s="71"/>
      <c r="AN949" s="71"/>
      <c r="AO949" s="71"/>
    </row>
    <row r="950">
      <c r="A950" s="137"/>
      <c r="B950" s="138"/>
      <c r="C950" s="103"/>
      <c r="D950" s="71"/>
      <c r="E950" s="137"/>
      <c r="F950" s="138"/>
      <c r="G950" s="103"/>
      <c r="H950" s="71"/>
      <c r="I950" s="137"/>
      <c r="J950" s="138"/>
      <c r="K950" s="103"/>
      <c r="L950" s="71"/>
      <c r="M950" s="137"/>
      <c r="N950" s="125"/>
      <c r="O950" s="103"/>
      <c r="P950" s="71"/>
      <c r="Q950" s="189"/>
      <c r="R950" s="125"/>
      <c r="S950" s="103"/>
      <c r="T950" s="71"/>
      <c r="U950" s="189"/>
      <c r="V950" s="125"/>
      <c r="W950" s="103"/>
      <c r="X950" s="71"/>
      <c r="Y950" s="137"/>
      <c r="Z950" s="180"/>
      <c r="AA950" s="181"/>
      <c r="AB950" s="182"/>
      <c r="AC950" s="137"/>
      <c r="AD950" s="125"/>
      <c r="AE950" s="162"/>
      <c r="AF950" s="183"/>
      <c r="AG950" s="195"/>
      <c r="AH950" s="195"/>
      <c r="AI950" s="195"/>
      <c r="AJ950" s="195"/>
      <c r="AK950" s="71"/>
      <c r="AL950" s="71"/>
      <c r="AM950" s="71"/>
      <c r="AN950" s="71"/>
      <c r="AO950" s="71"/>
    </row>
    <row r="951">
      <c r="A951" s="137"/>
      <c r="B951" s="138"/>
      <c r="C951" s="103"/>
      <c r="D951" s="71"/>
      <c r="E951" s="137"/>
      <c r="F951" s="138"/>
      <c r="G951" s="103"/>
      <c r="H951" s="71"/>
      <c r="I951" s="137"/>
      <c r="J951" s="138"/>
      <c r="K951" s="103"/>
      <c r="L951" s="71"/>
      <c r="M951" s="137"/>
      <c r="N951" s="125"/>
      <c r="O951" s="103"/>
      <c r="P951" s="71"/>
      <c r="Q951" s="189"/>
      <c r="R951" s="125"/>
      <c r="S951" s="103"/>
      <c r="T951" s="71"/>
      <c r="U951" s="189"/>
      <c r="V951" s="125"/>
      <c r="W951" s="103"/>
      <c r="X951" s="71"/>
      <c r="Y951" s="137"/>
      <c r="Z951" s="180"/>
      <c r="AA951" s="181"/>
      <c r="AB951" s="182"/>
      <c r="AC951" s="137"/>
      <c r="AD951" s="125"/>
      <c r="AE951" s="162"/>
      <c r="AF951" s="183"/>
      <c r="AG951" s="195"/>
      <c r="AH951" s="195"/>
      <c r="AI951" s="195"/>
      <c r="AJ951" s="195"/>
      <c r="AK951" s="71"/>
      <c r="AL951" s="71"/>
      <c r="AM951" s="71"/>
      <c r="AN951" s="71"/>
      <c r="AO951" s="71"/>
    </row>
    <row r="952">
      <c r="A952" s="137"/>
      <c r="B952" s="138"/>
      <c r="C952" s="103"/>
      <c r="D952" s="71"/>
      <c r="E952" s="137"/>
      <c r="F952" s="138"/>
      <c r="G952" s="103"/>
      <c r="H952" s="71"/>
      <c r="I952" s="137"/>
      <c r="J952" s="138"/>
      <c r="K952" s="103"/>
      <c r="L952" s="71"/>
      <c r="M952" s="137"/>
      <c r="N952" s="125"/>
      <c r="O952" s="103"/>
      <c r="P952" s="71"/>
      <c r="Q952" s="189"/>
      <c r="R952" s="125"/>
      <c r="S952" s="103"/>
      <c r="T952" s="71"/>
      <c r="U952" s="189"/>
      <c r="V952" s="125"/>
      <c r="W952" s="103"/>
      <c r="X952" s="71"/>
      <c r="Y952" s="137"/>
      <c r="Z952" s="180"/>
      <c r="AA952" s="181"/>
      <c r="AB952" s="182"/>
      <c r="AC952" s="137"/>
      <c r="AD952" s="125"/>
      <c r="AE952" s="162"/>
      <c r="AF952" s="183"/>
      <c r="AG952" s="195"/>
      <c r="AH952" s="195"/>
      <c r="AI952" s="195"/>
      <c r="AJ952" s="195"/>
      <c r="AK952" s="71"/>
      <c r="AL952" s="71"/>
      <c r="AM952" s="71"/>
      <c r="AN952" s="71"/>
      <c r="AO952" s="71"/>
    </row>
    <row r="953">
      <c r="A953" s="137"/>
      <c r="B953" s="138"/>
      <c r="C953" s="103"/>
      <c r="D953" s="71"/>
      <c r="E953" s="137"/>
      <c r="F953" s="138"/>
      <c r="G953" s="103"/>
      <c r="H953" s="71"/>
      <c r="I953" s="137"/>
      <c r="J953" s="138"/>
      <c r="K953" s="103"/>
      <c r="L953" s="71"/>
      <c r="M953" s="137"/>
      <c r="N953" s="125"/>
      <c r="O953" s="103"/>
      <c r="P953" s="71"/>
      <c r="Q953" s="189"/>
      <c r="R953" s="125"/>
      <c r="S953" s="103"/>
      <c r="T953" s="71"/>
      <c r="U953" s="189"/>
      <c r="V953" s="125"/>
      <c r="W953" s="103"/>
      <c r="X953" s="71"/>
      <c r="Y953" s="137"/>
      <c r="Z953" s="180"/>
      <c r="AA953" s="181"/>
      <c r="AB953" s="182"/>
      <c r="AC953" s="137"/>
      <c r="AD953" s="125"/>
      <c r="AE953" s="162"/>
      <c r="AF953" s="183"/>
      <c r="AG953" s="195"/>
      <c r="AH953" s="195"/>
      <c r="AI953" s="195"/>
      <c r="AJ953" s="195"/>
      <c r="AK953" s="71"/>
      <c r="AL953" s="71"/>
      <c r="AM953" s="71"/>
      <c r="AN953" s="71"/>
      <c r="AO953" s="71"/>
    </row>
    <row r="954">
      <c r="A954" s="137"/>
      <c r="B954" s="138"/>
      <c r="C954" s="103"/>
      <c r="D954" s="71"/>
      <c r="E954" s="137"/>
      <c r="F954" s="138"/>
      <c r="G954" s="103"/>
      <c r="H954" s="71"/>
      <c r="I954" s="137"/>
      <c r="J954" s="138"/>
      <c r="K954" s="103"/>
      <c r="L954" s="71"/>
      <c r="M954" s="137"/>
      <c r="N954" s="125"/>
      <c r="O954" s="103"/>
      <c r="P954" s="71"/>
      <c r="Q954" s="189"/>
      <c r="R954" s="125"/>
      <c r="S954" s="103"/>
      <c r="T954" s="71"/>
      <c r="U954" s="189"/>
      <c r="V954" s="125"/>
      <c r="W954" s="103"/>
      <c r="X954" s="71"/>
      <c r="Y954" s="137"/>
      <c r="Z954" s="180"/>
      <c r="AA954" s="181"/>
      <c r="AB954" s="182"/>
      <c r="AC954" s="137"/>
      <c r="AD954" s="125"/>
      <c r="AE954" s="162"/>
      <c r="AF954" s="183"/>
      <c r="AG954" s="195"/>
      <c r="AH954" s="195"/>
      <c r="AI954" s="195"/>
      <c r="AJ954" s="195"/>
      <c r="AK954" s="71"/>
      <c r="AL954" s="71"/>
      <c r="AM954" s="71"/>
      <c r="AN954" s="71"/>
      <c r="AO954" s="71"/>
    </row>
    <row r="955">
      <c r="A955" s="137"/>
      <c r="B955" s="138"/>
      <c r="C955" s="103"/>
      <c r="D955" s="71"/>
      <c r="E955" s="137"/>
      <c r="F955" s="138"/>
      <c r="G955" s="103"/>
      <c r="H955" s="71"/>
      <c r="I955" s="137"/>
      <c r="J955" s="138"/>
      <c r="K955" s="103"/>
      <c r="L955" s="71"/>
      <c r="M955" s="137"/>
      <c r="N955" s="125"/>
      <c r="O955" s="103"/>
      <c r="P955" s="71"/>
      <c r="Q955" s="189"/>
      <c r="R955" s="125"/>
      <c r="S955" s="103"/>
      <c r="T955" s="71"/>
      <c r="U955" s="189"/>
      <c r="V955" s="125"/>
      <c r="W955" s="103"/>
      <c r="X955" s="71"/>
      <c r="Y955" s="137"/>
      <c r="Z955" s="180"/>
      <c r="AA955" s="181"/>
      <c r="AB955" s="182"/>
      <c r="AC955" s="137"/>
      <c r="AD955" s="125"/>
      <c r="AE955" s="162"/>
      <c r="AF955" s="183"/>
      <c r="AG955" s="195"/>
      <c r="AH955" s="195"/>
      <c r="AI955" s="195"/>
      <c r="AJ955" s="195"/>
      <c r="AK955" s="71"/>
      <c r="AL955" s="71"/>
      <c r="AM955" s="71"/>
      <c r="AN955" s="71"/>
      <c r="AO955" s="71"/>
    </row>
    <row r="956">
      <c r="A956" s="137"/>
      <c r="B956" s="138"/>
      <c r="C956" s="103"/>
      <c r="D956" s="71"/>
      <c r="E956" s="137"/>
      <c r="F956" s="138"/>
      <c r="G956" s="103"/>
      <c r="H956" s="71"/>
      <c r="I956" s="137"/>
      <c r="J956" s="138"/>
      <c r="K956" s="103"/>
      <c r="L956" s="71"/>
      <c r="M956" s="137"/>
      <c r="N956" s="125"/>
      <c r="O956" s="103"/>
      <c r="P956" s="71"/>
      <c r="Q956" s="189"/>
      <c r="R956" s="125"/>
      <c r="S956" s="103"/>
      <c r="T956" s="71"/>
      <c r="U956" s="189"/>
      <c r="V956" s="125"/>
      <c r="W956" s="103"/>
      <c r="X956" s="71"/>
      <c r="Y956" s="137"/>
      <c r="Z956" s="180"/>
      <c r="AA956" s="181"/>
      <c r="AB956" s="182"/>
      <c r="AC956" s="137"/>
      <c r="AD956" s="125"/>
      <c r="AE956" s="162"/>
      <c r="AF956" s="183"/>
      <c r="AG956" s="195"/>
      <c r="AH956" s="195"/>
      <c r="AI956" s="195"/>
      <c r="AJ956" s="195"/>
      <c r="AK956" s="71"/>
      <c r="AL956" s="71"/>
      <c r="AM956" s="71"/>
      <c r="AN956" s="71"/>
      <c r="AO956" s="71"/>
    </row>
    <row r="957">
      <c r="A957" s="137"/>
      <c r="B957" s="138"/>
      <c r="C957" s="103"/>
      <c r="D957" s="71"/>
      <c r="E957" s="137"/>
      <c r="F957" s="138"/>
      <c r="G957" s="103"/>
      <c r="H957" s="71"/>
      <c r="I957" s="137"/>
      <c r="J957" s="138"/>
      <c r="K957" s="103"/>
      <c r="L957" s="71"/>
      <c r="M957" s="137"/>
      <c r="N957" s="125"/>
      <c r="O957" s="103"/>
      <c r="P957" s="71"/>
      <c r="Q957" s="189"/>
      <c r="R957" s="125"/>
      <c r="S957" s="103"/>
      <c r="T957" s="71"/>
      <c r="U957" s="189"/>
      <c r="V957" s="125"/>
      <c r="W957" s="103"/>
      <c r="X957" s="71"/>
      <c r="Y957" s="137"/>
      <c r="Z957" s="180"/>
      <c r="AA957" s="181"/>
      <c r="AB957" s="182"/>
      <c r="AC957" s="137"/>
      <c r="AD957" s="125"/>
      <c r="AE957" s="162"/>
      <c r="AF957" s="183"/>
      <c r="AG957" s="195"/>
      <c r="AH957" s="195"/>
      <c r="AI957" s="195"/>
      <c r="AJ957" s="195"/>
      <c r="AK957" s="71"/>
      <c r="AL957" s="71"/>
      <c r="AM957" s="71"/>
      <c r="AN957" s="71"/>
      <c r="AO957" s="71"/>
    </row>
    <row r="958">
      <c r="A958" s="137"/>
      <c r="B958" s="138"/>
      <c r="C958" s="103"/>
      <c r="D958" s="71"/>
      <c r="E958" s="137"/>
      <c r="F958" s="138"/>
      <c r="G958" s="103"/>
      <c r="H958" s="71"/>
      <c r="I958" s="137"/>
      <c r="J958" s="138"/>
      <c r="K958" s="103"/>
      <c r="L958" s="71"/>
      <c r="M958" s="137"/>
      <c r="N958" s="125"/>
      <c r="O958" s="103"/>
      <c r="P958" s="71"/>
      <c r="Q958" s="189"/>
      <c r="R958" s="125"/>
      <c r="S958" s="103"/>
      <c r="T958" s="71"/>
      <c r="U958" s="189"/>
      <c r="V958" s="125"/>
      <c r="W958" s="103"/>
      <c r="X958" s="71"/>
      <c r="Y958" s="137"/>
      <c r="Z958" s="180"/>
      <c r="AA958" s="181"/>
      <c r="AB958" s="182"/>
      <c r="AC958" s="137"/>
      <c r="AD958" s="125"/>
      <c r="AE958" s="162"/>
      <c r="AF958" s="183"/>
      <c r="AG958" s="195"/>
      <c r="AH958" s="195"/>
      <c r="AI958" s="195"/>
      <c r="AJ958" s="195"/>
      <c r="AK958" s="71"/>
      <c r="AL958" s="71"/>
      <c r="AM958" s="71"/>
      <c r="AN958" s="71"/>
      <c r="AO958" s="71"/>
    </row>
    <row r="959">
      <c r="A959" s="137"/>
      <c r="B959" s="138"/>
      <c r="C959" s="103"/>
      <c r="D959" s="71"/>
      <c r="E959" s="137"/>
      <c r="F959" s="138"/>
      <c r="G959" s="103"/>
      <c r="H959" s="71"/>
      <c r="I959" s="137"/>
      <c r="J959" s="138"/>
      <c r="K959" s="103"/>
      <c r="L959" s="71"/>
      <c r="M959" s="137"/>
      <c r="N959" s="125"/>
      <c r="O959" s="103"/>
      <c r="P959" s="71"/>
      <c r="Q959" s="189"/>
      <c r="R959" s="125"/>
      <c r="S959" s="103"/>
      <c r="T959" s="71"/>
      <c r="U959" s="189"/>
      <c r="V959" s="125"/>
      <c r="W959" s="103"/>
      <c r="X959" s="71"/>
      <c r="Y959" s="137"/>
      <c r="Z959" s="180"/>
      <c r="AA959" s="181"/>
      <c r="AB959" s="182"/>
      <c r="AC959" s="137"/>
      <c r="AD959" s="125"/>
      <c r="AE959" s="162"/>
      <c r="AF959" s="183"/>
      <c r="AG959" s="195"/>
      <c r="AH959" s="195"/>
      <c r="AI959" s="195"/>
      <c r="AJ959" s="195"/>
      <c r="AK959" s="71"/>
      <c r="AL959" s="71"/>
      <c r="AM959" s="71"/>
      <c r="AN959" s="71"/>
      <c r="AO959" s="71"/>
    </row>
    <row r="960">
      <c r="A960" s="137"/>
      <c r="B960" s="138"/>
      <c r="C960" s="103"/>
      <c r="D960" s="71"/>
      <c r="E960" s="137"/>
      <c r="F960" s="138"/>
      <c r="G960" s="103"/>
      <c r="H960" s="71"/>
      <c r="I960" s="137"/>
      <c r="J960" s="138"/>
      <c r="K960" s="103"/>
      <c r="L960" s="71"/>
      <c r="M960" s="137"/>
      <c r="N960" s="125"/>
      <c r="O960" s="103"/>
      <c r="P960" s="71"/>
      <c r="Q960" s="189"/>
      <c r="R960" s="125"/>
      <c r="S960" s="103"/>
      <c r="T960" s="71"/>
      <c r="U960" s="189"/>
      <c r="V960" s="125"/>
      <c r="W960" s="103"/>
      <c r="X960" s="71"/>
      <c r="Y960" s="137"/>
      <c r="Z960" s="196"/>
      <c r="AA960" s="197"/>
      <c r="AB960" s="198"/>
      <c r="AC960" s="137"/>
      <c r="AD960" s="30"/>
      <c r="AE960" s="152"/>
      <c r="AF960" s="152"/>
      <c r="AG960" s="195"/>
      <c r="AH960" s="195"/>
      <c r="AI960" s="195"/>
      <c r="AJ960" s="195"/>
      <c r="AK960" s="65"/>
      <c r="AL960" s="65"/>
      <c r="AM960" s="65"/>
      <c r="AN960" s="65"/>
      <c r="AO960" s="65"/>
    </row>
    <row r="961">
      <c r="A961" s="137"/>
      <c r="B961" s="138"/>
      <c r="C961" s="103"/>
      <c r="D961" s="71"/>
      <c r="E961" s="137"/>
      <c r="F961" s="138"/>
      <c r="G961" s="103"/>
      <c r="H961" s="71"/>
      <c r="I961" s="137"/>
      <c r="J961" s="138"/>
      <c r="K961" s="103"/>
      <c r="L961" s="71"/>
      <c r="M961" s="137"/>
      <c r="N961" s="125"/>
      <c r="O961" s="103"/>
      <c r="P961" s="71"/>
      <c r="Q961" s="189"/>
      <c r="R961" s="125"/>
      <c r="S961" s="103"/>
      <c r="T961" s="71"/>
      <c r="U961" s="189"/>
      <c r="V961" s="125"/>
      <c r="W961" s="103"/>
      <c r="X961" s="71"/>
      <c r="Y961" s="137"/>
      <c r="Z961" s="196"/>
      <c r="AA961" s="197"/>
      <c r="AB961" s="198"/>
      <c r="AC961" s="137"/>
      <c r="AD961" s="30"/>
      <c r="AE961" s="152"/>
      <c r="AF961" s="152"/>
      <c r="AG961" s="195"/>
      <c r="AH961" s="195"/>
      <c r="AI961" s="195"/>
      <c r="AJ961" s="195"/>
      <c r="AK961" s="65"/>
      <c r="AL961" s="65"/>
      <c r="AM961" s="65"/>
      <c r="AN961" s="65"/>
      <c r="AO961" s="65"/>
    </row>
    <row r="962">
      <c r="A962" s="137"/>
      <c r="B962" s="138"/>
      <c r="C962" s="103"/>
      <c r="D962" s="71"/>
      <c r="E962" s="137"/>
      <c r="F962" s="138"/>
      <c r="G962" s="103"/>
      <c r="H962" s="71"/>
      <c r="I962" s="137"/>
      <c r="J962" s="138"/>
      <c r="K962" s="103"/>
      <c r="L962" s="71"/>
      <c r="M962" s="137"/>
      <c r="N962" s="125"/>
      <c r="O962" s="103"/>
      <c r="P962" s="71"/>
      <c r="Q962" s="189"/>
      <c r="R962" s="125"/>
      <c r="S962" s="103"/>
      <c r="T962" s="71"/>
      <c r="U962" s="189"/>
      <c r="V962" s="125"/>
      <c r="W962" s="103"/>
      <c r="X962" s="71"/>
      <c r="Y962" s="137"/>
      <c r="Z962" s="196"/>
      <c r="AA962" s="197"/>
      <c r="AB962" s="198"/>
      <c r="AC962" s="137"/>
      <c r="AD962" s="30"/>
      <c r="AE962" s="152"/>
      <c r="AF962" s="152"/>
      <c r="AG962" s="195"/>
      <c r="AH962" s="195"/>
      <c r="AI962" s="195"/>
      <c r="AJ962" s="195"/>
      <c r="AK962" s="65"/>
      <c r="AL962" s="65"/>
      <c r="AM962" s="65"/>
      <c r="AN962" s="65"/>
      <c r="AO962" s="65"/>
    </row>
    <row r="963">
      <c r="A963" s="137"/>
      <c r="B963" s="138"/>
      <c r="C963" s="103"/>
      <c r="D963" s="71"/>
      <c r="E963" s="137"/>
      <c r="F963" s="138"/>
      <c r="G963" s="103"/>
      <c r="H963" s="71"/>
      <c r="I963" s="137"/>
      <c r="J963" s="138"/>
      <c r="K963" s="103"/>
      <c r="L963" s="71"/>
      <c r="M963" s="137"/>
      <c r="N963" s="125"/>
      <c r="O963" s="103"/>
      <c r="P963" s="71"/>
      <c r="Q963" s="189"/>
      <c r="R963" s="125"/>
      <c r="S963" s="103"/>
      <c r="T963" s="71"/>
      <c r="U963" s="189"/>
      <c r="V963" s="125"/>
      <c r="W963" s="103"/>
      <c r="X963" s="71"/>
      <c r="Y963" s="137"/>
      <c r="Z963" s="196"/>
      <c r="AA963" s="197"/>
      <c r="AB963" s="198"/>
      <c r="AC963" s="137"/>
      <c r="AD963" s="30"/>
      <c r="AE963" s="152"/>
      <c r="AF963" s="152"/>
      <c r="AG963" s="195"/>
      <c r="AH963" s="195"/>
      <c r="AI963" s="195"/>
      <c r="AJ963" s="195"/>
      <c r="AK963" s="65"/>
      <c r="AL963" s="65"/>
      <c r="AM963" s="65"/>
      <c r="AN963" s="65"/>
      <c r="AO963" s="65"/>
    </row>
    <row r="964">
      <c r="A964" s="137"/>
      <c r="B964" s="138"/>
      <c r="C964" s="103"/>
      <c r="D964" s="71"/>
      <c r="E964" s="137"/>
      <c r="F964" s="138"/>
      <c r="G964" s="103"/>
      <c r="H964" s="71"/>
      <c r="I964" s="137"/>
      <c r="J964" s="138"/>
      <c r="K964" s="103"/>
      <c r="L964" s="71"/>
      <c r="M964" s="137"/>
      <c r="N964" s="125"/>
      <c r="O964" s="103"/>
      <c r="P964" s="71"/>
      <c r="Q964" s="189"/>
      <c r="R964" s="125"/>
      <c r="S964" s="103"/>
      <c r="T964" s="71"/>
      <c r="U964" s="189"/>
      <c r="V964" s="125"/>
      <c r="W964" s="103"/>
      <c r="X964" s="71"/>
      <c r="Y964" s="30"/>
      <c r="Z964" s="30"/>
      <c r="AA964" s="152"/>
      <c r="AB964" s="199"/>
      <c r="AC964" s="30"/>
      <c r="AD964" s="30"/>
      <c r="AE964" s="152"/>
      <c r="AF964" s="200"/>
      <c r="AG964" s="195"/>
      <c r="AH964" s="195"/>
      <c r="AI964" s="195"/>
      <c r="AJ964" s="195"/>
      <c r="AK964" s="30"/>
      <c r="AL964" s="30"/>
      <c r="AM964" s="30"/>
      <c r="AN964" s="30"/>
      <c r="AO964" s="30"/>
    </row>
    <row r="965">
      <c r="A965" s="137"/>
      <c r="B965" s="138"/>
      <c r="C965" s="103"/>
      <c r="D965" s="71"/>
      <c r="E965" s="137"/>
      <c r="F965" s="138"/>
      <c r="G965" s="103"/>
      <c r="H965" s="71"/>
      <c r="I965" s="137"/>
      <c r="J965" s="138"/>
      <c r="K965" s="103"/>
      <c r="L965" s="71"/>
      <c r="M965" s="137"/>
      <c r="N965" s="125"/>
      <c r="O965" s="103"/>
      <c r="P965" s="71"/>
      <c r="Q965" s="189"/>
      <c r="R965" s="125"/>
      <c r="S965" s="103"/>
      <c r="T965" s="71"/>
      <c r="U965" s="189"/>
      <c r="V965" s="125"/>
      <c r="W965" s="103"/>
      <c r="X965" s="71"/>
      <c r="Y965" s="30"/>
      <c r="Z965" s="30"/>
      <c r="AA965" s="152"/>
      <c r="AB965" s="199"/>
      <c r="AC965" s="30"/>
      <c r="AD965" s="30"/>
      <c r="AE965" s="152"/>
      <c r="AF965" s="200"/>
      <c r="AG965" s="195"/>
      <c r="AH965" s="195"/>
      <c r="AI965" s="195"/>
      <c r="AJ965" s="195"/>
      <c r="AK965" s="30"/>
      <c r="AL965" s="30"/>
      <c r="AM965" s="30"/>
      <c r="AN965" s="30"/>
      <c r="AO965" s="30"/>
    </row>
    <row r="966">
      <c r="A966" s="137"/>
      <c r="B966" s="138"/>
      <c r="C966" s="103"/>
      <c r="D966" s="71"/>
      <c r="E966" s="137"/>
      <c r="F966" s="138"/>
      <c r="G966" s="103"/>
      <c r="H966" s="71"/>
      <c r="I966" s="137"/>
      <c r="J966" s="138"/>
      <c r="K966" s="103"/>
      <c r="L966" s="71"/>
      <c r="M966" s="137"/>
      <c r="N966" s="125"/>
      <c r="O966" s="103"/>
      <c r="P966" s="71"/>
      <c r="Q966" s="189"/>
      <c r="R966" s="125"/>
      <c r="S966" s="103"/>
      <c r="T966" s="71"/>
      <c r="U966" s="189"/>
      <c r="V966" s="125"/>
      <c r="W966" s="103"/>
      <c r="X966" s="71"/>
      <c r="Y966" s="30"/>
      <c r="Z966" s="30"/>
      <c r="AA966" s="152"/>
      <c r="AB966" s="199"/>
      <c r="AC966" s="30"/>
      <c r="AD966" s="30"/>
      <c r="AE966" s="152"/>
      <c r="AF966" s="200"/>
      <c r="AG966" s="195"/>
      <c r="AH966" s="195"/>
      <c r="AI966" s="195"/>
      <c r="AJ966" s="195"/>
      <c r="AK966" s="30"/>
      <c r="AL966" s="30"/>
      <c r="AM966" s="30"/>
      <c r="AN966" s="30"/>
      <c r="AO966" s="30"/>
    </row>
    <row r="967">
      <c r="A967" s="137"/>
      <c r="B967" s="138"/>
      <c r="C967" s="103"/>
      <c r="D967" s="71"/>
      <c r="E967" s="137"/>
      <c r="F967" s="138"/>
      <c r="G967" s="103"/>
      <c r="H967" s="71"/>
      <c r="I967" s="137"/>
      <c r="J967" s="138"/>
      <c r="K967" s="103"/>
      <c r="L967" s="71"/>
      <c r="M967" s="137"/>
      <c r="N967" s="125"/>
      <c r="O967" s="103"/>
      <c r="P967" s="71"/>
      <c r="Q967" s="189"/>
      <c r="R967" s="125"/>
      <c r="S967" s="103"/>
      <c r="T967" s="71"/>
      <c r="U967" s="189"/>
      <c r="V967" s="125"/>
      <c r="W967" s="103"/>
      <c r="X967" s="71"/>
      <c r="Y967" s="30"/>
      <c r="Z967" s="30"/>
      <c r="AA967" s="152"/>
      <c r="AB967" s="199"/>
      <c r="AC967" s="30"/>
      <c r="AD967" s="30"/>
      <c r="AE967" s="152"/>
      <c r="AF967" s="200"/>
      <c r="AG967" s="195"/>
      <c r="AH967" s="195"/>
      <c r="AI967" s="195"/>
      <c r="AJ967" s="195"/>
      <c r="AK967" s="30"/>
      <c r="AL967" s="30"/>
      <c r="AM967" s="30"/>
      <c r="AN967" s="30"/>
      <c r="AO967" s="30"/>
    </row>
    <row r="968">
      <c r="A968" s="137"/>
      <c r="B968" s="138"/>
      <c r="C968" s="103"/>
      <c r="D968" s="71"/>
      <c r="E968" s="137"/>
      <c r="F968" s="138"/>
      <c r="G968" s="103"/>
      <c r="H968" s="71"/>
      <c r="I968" s="137"/>
      <c r="J968" s="138"/>
      <c r="K968" s="103"/>
      <c r="L968" s="71"/>
      <c r="M968" s="137"/>
      <c r="N968" s="125"/>
      <c r="O968" s="103"/>
      <c r="P968" s="71"/>
      <c r="Q968" s="189"/>
      <c r="R968" s="125"/>
      <c r="S968" s="103"/>
      <c r="T968" s="71"/>
      <c r="U968" s="189"/>
      <c r="V968" s="125"/>
      <c r="W968" s="103"/>
      <c r="X968" s="71"/>
      <c r="Y968" s="30"/>
      <c r="Z968" s="30"/>
      <c r="AA968" s="152"/>
      <c r="AB968" s="199"/>
      <c r="AC968" s="30"/>
      <c r="AD968" s="30"/>
      <c r="AE968" s="152"/>
      <c r="AF968" s="200"/>
      <c r="AG968" s="195"/>
      <c r="AH968" s="195"/>
      <c r="AI968" s="195"/>
      <c r="AJ968" s="195"/>
      <c r="AK968" s="30"/>
      <c r="AL968" s="30"/>
      <c r="AM968" s="30"/>
      <c r="AN968" s="30"/>
      <c r="AO968" s="30"/>
    </row>
    <row r="969">
      <c r="A969" s="137"/>
      <c r="B969" s="138"/>
      <c r="C969" s="103"/>
      <c r="D969" s="71"/>
      <c r="E969" s="137"/>
      <c r="F969" s="138"/>
      <c r="G969" s="103"/>
      <c r="H969" s="71"/>
      <c r="I969" s="137"/>
      <c r="J969" s="138"/>
      <c r="K969" s="103"/>
      <c r="L969" s="71"/>
      <c r="M969" s="137"/>
      <c r="N969" s="125"/>
      <c r="O969" s="103"/>
      <c r="P969" s="71"/>
      <c r="Q969" s="189"/>
      <c r="R969" s="125"/>
      <c r="S969" s="103"/>
      <c r="T969" s="71"/>
      <c r="U969" s="189"/>
      <c r="V969" s="125"/>
      <c r="W969" s="103"/>
      <c r="X969" s="71"/>
      <c r="Y969" s="30"/>
      <c r="Z969" s="30"/>
      <c r="AA969" s="152"/>
      <c r="AB969" s="199"/>
      <c r="AC969" s="30"/>
      <c r="AD969" s="30"/>
      <c r="AE969" s="152"/>
      <c r="AF969" s="200"/>
      <c r="AG969" s="195"/>
      <c r="AH969" s="195"/>
      <c r="AI969" s="195"/>
      <c r="AJ969" s="195"/>
      <c r="AK969" s="30"/>
      <c r="AL969" s="30"/>
      <c r="AM969" s="30"/>
      <c r="AN969" s="30"/>
      <c r="AO969" s="30"/>
    </row>
    <row r="970">
      <c r="A970" s="137"/>
      <c r="B970" s="138"/>
      <c r="C970" s="103"/>
      <c r="D970" s="71"/>
      <c r="E970" s="137"/>
      <c r="F970" s="138"/>
      <c r="G970" s="103"/>
      <c r="H970" s="71"/>
      <c r="I970" s="137"/>
      <c r="J970" s="138"/>
      <c r="K970" s="103"/>
      <c r="L970" s="71"/>
      <c r="M970" s="137"/>
      <c r="N970" s="125"/>
      <c r="O970" s="103"/>
      <c r="P970" s="71"/>
      <c r="Q970" s="189"/>
      <c r="R970" s="125"/>
      <c r="S970" s="103"/>
      <c r="T970" s="71"/>
      <c r="U970" s="189"/>
      <c r="V970" s="125"/>
      <c r="W970" s="103"/>
      <c r="X970" s="71"/>
      <c r="Y970" s="30"/>
      <c r="Z970" s="30"/>
      <c r="AA970" s="152"/>
      <c r="AB970" s="199"/>
      <c r="AC970" s="30"/>
      <c r="AD970" s="30"/>
      <c r="AE970" s="152"/>
      <c r="AF970" s="200"/>
      <c r="AG970" s="195"/>
      <c r="AH970" s="195"/>
      <c r="AI970" s="195"/>
      <c r="AJ970" s="195"/>
      <c r="AK970" s="30"/>
      <c r="AL970" s="30"/>
      <c r="AM970" s="30"/>
      <c r="AN970" s="30"/>
      <c r="AO970" s="30"/>
    </row>
    <row r="971">
      <c r="A971" s="137"/>
      <c r="B971" s="138"/>
      <c r="C971" s="103"/>
      <c r="D971" s="71"/>
      <c r="E971" s="137"/>
      <c r="F971" s="138"/>
      <c r="G971" s="103"/>
      <c r="H971" s="71"/>
      <c r="I971" s="137"/>
      <c r="J971" s="138"/>
      <c r="K971" s="103"/>
      <c r="L971" s="71"/>
      <c r="M971" s="137"/>
      <c r="N971" s="125"/>
      <c r="O971" s="103"/>
      <c r="P971" s="71"/>
      <c r="Q971" s="189"/>
      <c r="R971" s="125"/>
      <c r="S971" s="103"/>
      <c r="T971" s="71"/>
      <c r="U971" s="189"/>
      <c r="V971" s="125"/>
      <c r="W971" s="103"/>
      <c r="X971" s="71"/>
      <c r="Y971" s="30"/>
      <c r="Z971" s="30"/>
      <c r="AA971" s="152"/>
      <c r="AB971" s="199"/>
      <c r="AC971" s="30"/>
      <c r="AD971" s="30"/>
      <c r="AE971" s="152"/>
      <c r="AF971" s="200"/>
      <c r="AG971" s="195"/>
      <c r="AH971" s="195"/>
      <c r="AI971" s="195"/>
      <c r="AJ971" s="195"/>
      <c r="AK971" s="30"/>
      <c r="AL971" s="30"/>
      <c r="AM971" s="30"/>
      <c r="AN971" s="30"/>
      <c r="AO971" s="30"/>
    </row>
    <row r="972">
      <c r="A972" s="137"/>
      <c r="B972" s="138"/>
      <c r="C972" s="103"/>
      <c r="D972" s="71"/>
      <c r="E972" s="137"/>
      <c r="F972" s="138"/>
      <c r="G972" s="103"/>
      <c r="H972" s="71"/>
      <c r="I972" s="137"/>
      <c r="J972" s="138"/>
      <c r="K972" s="103"/>
      <c r="L972" s="71"/>
      <c r="M972" s="137"/>
      <c r="N972" s="125"/>
      <c r="O972" s="103"/>
      <c r="P972" s="71"/>
      <c r="Q972" s="189"/>
      <c r="R972" s="125"/>
      <c r="S972" s="103"/>
      <c r="T972" s="71"/>
      <c r="U972" s="189"/>
      <c r="V972" s="125"/>
      <c r="W972" s="103"/>
      <c r="X972" s="71"/>
      <c r="Y972" s="30"/>
      <c r="Z972" s="30"/>
      <c r="AA972" s="152"/>
      <c r="AB972" s="199"/>
      <c r="AC972" s="30"/>
      <c r="AD972" s="30"/>
      <c r="AE972" s="152"/>
      <c r="AF972" s="200"/>
      <c r="AG972" s="195"/>
      <c r="AH972" s="195"/>
      <c r="AI972" s="195"/>
      <c r="AJ972" s="195"/>
      <c r="AK972" s="30"/>
      <c r="AL972" s="30"/>
      <c r="AM972" s="30"/>
      <c r="AN972" s="30"/>
      <c r="AO972" s="30"/>
    </row>
    <row r="973">
      <c r="A973" s="137"/>
      <c r="B973" s="138"/>
      <c r="C973" s="103"/>
      <c r="D973" s="71"/>
      <c r="E973" s="137"/>
      <c r="F973" s="138"/>
      <c r="G973" s="103"/>
      <c r="H973" s="71"/>
      <c r="I973" s="137"/>
      <c r="J973" s="138"/>
      <c r="K973" s="103"/>
      <c r="L973" s="71"/>
      <c r="M973" s="137"/>
      <c r="N973" s="125"/>
      <c r="O973" s="103"/>
      <c r="P973" s="71"/>
      <c r="Q973" s="189"/>
      <c r="R973" s="125"/>
      <c r="S973" s="103"/>
      <c r="T973" s="71"/>
      <c r="U973" s="189"/>
      <c r="V973" s="125"/>
      <c r="W973" s="103"/>
      <c r="X973" s="71"/>
      <c r="Y973" s="30"/>
      <c r="Z973" s="30"/>
      <c r="AA973" s="152"/>
      <c r="AB973" s="199"/>
      <c r="AC973" s="30"/>
      <c r="AD973" s="30"/>
      <c r="AE973" s="152"/>
      <c r="AF973" s="200"/>
      <c r="AG973" s="195"/>
      <c r="AH973" s="195"/>
      <c r="AI973" s="195"/>
      <c r="AJ973" s="195"/>
      <c r="AK973" s="30"/>
      <c r="AL973" s="30"/>
      <c r="AM973" s="30"/>
      <c r="AN973" s="30"/>
      <c r="AO973" s="30"/>
    </row>
    <row r="974">
      <c r="A974" s="137"/>
      <c r="B974" s="138"/>
      <c r="C974" s="103"/>
      <c r="D974" s="71"/>
      <c r="E974" s="137"/>
      <c r="F974" s="138"/>
      <c r="G974" s="103"/>
      <c r="H974" s="71"/>
      <c r="I974" s="137"/>
      <c r="J974" s="138"/>
      <c r="K974" s="103"/>
      <c r="L974" s="71"/>
      <c r="M974" s="137"/>
      <c r="N974" s="125"/>
      <c r="O974" s="103"/>
      <c r="P974" s="71"/>
      <c r="Q974" s="189"/>
      <c r="R974" s="125"/>
      <c r="S974" s="103"/>
      <c r="T974" s="71"/>
      <c r="U974" s="189"/>
      <c r="V974" s="125"/>
      <c r="W974" s="103"/>
      <c r="X974" s="71"/>
      <c r="Y974" s="30"/>
      <c r="Z974" s="30"/>
      <c r="AA974" s="152"/>
      <c r="AB974" s="199"/>
      <c r="AC974" s="30"/>
      <c r="AD974" s="30"/>
      <c r="AE974" s="152"/>
      <c r="AF974" s="200"/>
      <c r="AG974" s="195"/>
      <c r="AH974" s="195"/>
      <c r="AI974" s="195"/>
      <c r="AJ974" s="195"/>
      <c r="AK974" s="30"/>
      <c r="AL974" s="30"/>
      <c r="AM974" s="30"/>
      <c r="AN974" s="30"/>
      <c r="AO974" s="30"/>
    </row>
    <row r="975">
      <c r="A975" s="137"/>
      <c r="B975" s="138"/>
      <c r="C975" s="103"/>
      <c r="D975" s="71"/>
      <c r="E975" s="137"/>
      <c r="F975" s="138"/>
      <c r="G975" s="103"/>
      <c r="H975" s="71"/>
      <c r="I975" s="137"/>
      <c r="J975" s="138"/>
      <c r="K975" s="103"/>
      <c r="L975" s="71"/>
      <c r="M975" s="137"/>
      <c r="N975" s="125"/>
      <c r="O975" s="103"/>
      <c r="P975" s="71"/>
      <c r="Q975" s="189"/>
      <c r="R975" s="125"/>
      <c r="S975" s="103"/>
      <c r="T975" s="71"/>
      <c r="U975" s="189"/>
      <c r="V975" s="125"/>
      <c r="W975" s="103"/>
      <c r="X975" s="71"/>
      <c r="Y975" s="30"/>
      <c r="Z975" s="30"/>
      <c r="AA975" s="152"/>
      <c r="AB975" s="199"/>
      <c r="AC975" s="30"/>
      <c r="AD975" s="30"/>
      <c r="AE975" s="152"/>
      <c r="AF975" s="200"/>
      <c r="AG975" s="195"/>
      <c r="AH975" s="195"/>
      <c r="AI975" s="195"/>
      <c r="AJ975" s="195"/>
      <c r="AK975" s="30"/>
      <c r="AL975" s="30"/>
      <c r="AM975" s="30"/>
      <c r="AN975" s="30"/>
      <c r="AO975" s="30"/>
    </row>
    <row r="976">
      <c r="A976" s="137"/>
      <c r="B976" s="138"/>
      <c r="C976" s="103"/>
      <c r="D976" s="71"/>
      <c r="E976" s="137"/>
      <c r="F976" s="138"/>
      <c r="G976" s="103"/>
      <c r="H976" s="71"/>
      <c r="I976" s="137"/>
      <c r="J976" s="138"/>
      <c r="K976" s="103"/>
      <c r="L976" s="71"/>
      <c r="M976" s="137"/>
      <c r="N976" s="125"/>
      <c r="O976" s="103"/>
      <c r="P976" s="71"/>
      <c r="Q976" s="189"/>
      <c r="R976" s="125"/>
      <c r="S976" s="103"/>
      <c r="T976" s="71"/>
      <c r="U976" s="189"/>
      <c r="V976" s="125"/>
      <c r="W976" s="103"/>
      <c r="X976" s="71"/>
      <c r="Y976" s="30"/>
      <c r="Z976" s="30"/>
      <c r="AA976" s="152"/>
      <c r="AB976" s="199"/>
      <c r="AC976" s="30"/>
      <c r="AD976" s="30"/>
      <c r="AE976" s="152"/>
      <c r="AF976" s="200"/>
      <c r="AG976" s="195"/>
      <c r="AH976" s="195"/>
      <c r="AI976" s="195"/>
      <c r="AJ976" s="195"/>
      <c r="AK976" s="30"/>
      <c r="AL976" s="30"/>
      <c r="AM976" s="30"/>
      <c r="AN976" s="30"/>
      <c r="AO976" s="30"/>
    </row>
    <row r="977">
      <c r="A977" s="137"/>
      <c r="B977" s="138"/>
      <c r="C977" s="103"/>
      <c r="D977" s="71"/>
      <c r="E977" s="137"/>
      <c r="F977" s="138"/>
      <c r="G977" s="103"/>
      <c r="H977" s="71"/>
      <c r="I977" s="137"/>
      <c r="J977" s="138"/>
      <c r="K977" s="103"/>
      <c r="L977" s="71"/>
      <c r="M977" s="137"/>
      <c r="N977" s="125"/>
      <c r="O977" s="103"/>
      <c r="P977" s="71"/>
      <c r="Q977" s="189"/>
      <c r="R977" s="125"/>
      <c r="S977" s="103"/>
      <c r="T977" s="71"/>
      <c r="U977" s="189"/>
      <c r="V977" s="125"/>
      <c r="W977" s="103"/>
      <c r="X977" s="71"/>
      <c r="Y977" s="30"/>
      <c r="Z977" s="30"/>
      <c r="AA977" s="152"/>
      <c r="AB977" s="199"/>
      <c r="AC977" s="30"/>
      <c r="AD977" s="30"/>
      <c r="AE977" s="152"/>
      <c r="AF977" s="200"/>
      <c r="AG977" s="195"/>
      <c r="AH977" s="195"/>
      <c r="AI977" s="195"/>
      <c r="AJ977" s="195"/>
      <c r="AK977" s="30"/>
      <c r="AL977" s="30"/>
      <c r="AM977" s="30"/>
      <c r="AN977" s="30"/>
      <c r="AO977" s="30"/>
    </row>
    <row r="978">
      <c r="A978" s="137"/>
      <c r="B978" s="138"/>
      <c r="C978" s="103"/>
      <c r="D978" s="71"/>
      <c r="E978" s="137"/>
      <c r="F978" s="138"/>
      <c r="G978" s="103"/>
      <c r="H978" s="71"/>
      <c r="I978" s="137"/>
      <c r="J978" s="138"/>
      <c r="K978" s="103"/>
      <c r="L978" s="71"/>
      <c r="M978" s="137"/>
      <c r="N978" s="125"/>
      <c r="O978" s="103"/>
      <c r="P978" s="71"/>
      <c r="Q978" s="189"/>
      <c r="R978" s="125"/>
      <c r="S978" s="103"/>
      <c r="T978" s="71"/>
      <c r="U978" s="189"/>
      <c r="V978" s="125"/>
      <c r="W978" s="103"/>
      <c r="X978" s="71"/>
      <c r="Y978" s="30"/>
      <c r="Z978" s="30"/>
      <c r="AA978" s="152"/>
      <c r="AB978" s="199"/>
      <c r="AC978" s="30"/>
      <c r="AD978" s="30"/>
      <c r="AE978" s="152"/>
      <c r="AF978" s="200"/>
      <c r="AG978" s="195"/>
      <c r="AH978" s="195"/>
      <c r="AI978" s="195"/>
      <c r="AJ978" s="195"/>
      <c r="AK978" s="30"/>
      <c r="AL978" s="30"/>
      <c r="AM978" s="30"/>
      <c r="AN978" s="30"/>
      <c r="AO978" s="30"/>
    </row>
    <row r="979">
      <c r="A979" s="137"/>
      <c r="B979" s="138"/>
      <c r="C979" s="103"/>
      <c r="D979" s="71"/>
      <c r="E979" s="137"/>
      <c r="F979" s="138"/>
      <c r="G979" s="103"/>
      <c r="H979" s="71"/>
      <c r="I979" s="137"/>
      <c r="J979" s="138"/>
      <c r="K979" s="103"/>
      <c r="L979" s="71"/>
      <c r="M979" s="137"/>
      <c r="N979" s="125"/>
      <c r="O979" s="103"/>
      <c r="P979" s="71"/>
      <c r="Q979" s="189"/>
      <c r="R979" s="125"/>
      <c r="S979" s="103"/>
      <c r="T979" s="71"/>
      <c r="U979" s="189"/>
      <c r="V979" s="125"/>
      <c r="W979" s="103"/>
      <c r="X979" s="71"/>
      <c r="Y979" s="30"/>
      <c r="Z979" s="30"/>
      <c r="AA979" s="152"/>
      <c r="AB979" s="199"/>
      <c r="AC979" s="30"/>
      <c r="AD979" s="30"/>
      <c r="AE979" s="152"/>
      <c r="AF979" s="200"/>
      <c r="AG979" s="195"/>
      <c r="AH979" s="195"/>
      <c r="AI979" s="195"/>
      <c r="AJ979" s="195"/>
      <c r="AK979" s="30"/>
      <c r="AL979" s="30"/>
      <c r="AM979" s="30"/>
      <c r="AN979" s="30"/>
      <c r="AO979" s="30"/>
    </row>
    <row r="980">
      <c r="A980" s="137"/>
      <c r="B980" s="138"/>
      <c r="C980" s="103"/>
      <c r="D980" s="71"/>
      <c r="E980" s="137"/>
      <c r="F980" s="138"/>
      <c r="G980" s="103"/>
      <c r="H980" s="71"/>
      <c r="I980" s="137"/>
      <c r="J980" s="138"/>
      <c r="K980" s="103"/>
      <c r="L980" s="71"/>
      <c r="M980" s="137"/>
      <c r="N980" s="125"/>
      <c r="O980" s="103"/>
      <c r="P980" s="71"/>
      <c r="Q980" s="189"/>
      <c r="R980" s="125"/>
      <c r="S980" s="103"/>
      <c r="T980" s="71"/>
      <c r="U980" s="189"/>
      <c r="V980" s="125"/>
      <c r="W980" s="103"/>
      <c r="X980" s="71"/>
      <c r="Y980" s="30"/>
      <c r="Z980" s="30"/>
      <c r="AA980" s="152"/>
      <c r="AB980" s="199"/>
      <c r="AC980" s="30"/>
      <c r="AD980" s="30"/>
      <c r="AE980" s="152"/>
      <c r="AF980" s="200"/>
      <c r="AG980" s="195"/>
      <c r="AH980" s="195"/>
      <c r="AI980" s="195"/>
      <c r="AJ980" s="195"/>
      <c r="AK980" s="30"/>
      <c r="AL980" s="30"/>
      <c r="AM980" s="30"/>
      <c r="AN980" s="30"/>
      <c r="AO980" s="30"/>
    </row>
    <row r="981">
      <c r="A981" s="137"/>
      <c r="B981" s="138"/>
      <c r="C981" s="103"/>
      <c r="D981" s="71"/>
      <c r="E981" s="137"/>
      <c r="F981" s="138"/>
      <c r="G981" s="103"/>
      <c r="H981" s="71"/>
      <c r="I981" s="137"/>
      <c r="J981" s="138"/>
      <c r="K981" s="103"/>
      <c r="L981" s="71"/>
      <c r="M981" s="137"/>
      <c r="N981" s="125"/>
      <c r="O981" s="103"/>
      <c r="P981" s="71"/>
      <c r="Q981" s="189"/>
      <c r="R981" s="125"/>
      <c r="S981" s="103"/>
      <c r="T981" s="71"/>
      <c r="U981" s="189"/>
      <c r="V981" s="125"/>
      <c r="W981" s="103"/>
      <c r="X981" s="71"/>
      <c r="Y981" s="30"/>
      <c r="Z981" s="30"/>
      <c r="AA981" s="152"/>
      <c r="AB981" s="199"/>
      <c r="AC981" s="30"/>
      <c r="AD981" s="30"/>
      <c r="AE981" s="152"/>
      <c r="AF981" s="200"/>
      <c r="AG981" s="195"/>
      <c r="AH981" s="195"/>
      <c r="AI981" s="195"/>
      <c r="AJ981" s="195"/>
      <c r="AK981" s="30"/>
      <c r="AL981" s="30"/>
      <c r="AM981" s="30"/>
      <c r="AN981" s="30"/>
      <c r="AO981" s="30"/>
    </row>
    <row r="982">
      <c r="A982" s="137"/>
      <c r="B982" s="138"/>
      <c r="C982" s="103"/>
      <c r="D982" s="71"/>
      <c r="E982" s="137"/>
      <c r="F982" s="138"/>
      <c r="G982" s="103"/>
      <c r="H982" s="71"/>
      <c r="I982" s="137"/>
      <c r="J982" s="138"/>
      <c r="K982" s="103"/>
      <c r="L982" s="71"/>
      <c r="M982" s="137"/>
      <c r="N982" s="125"/>
      <c r="O982" s="103"/>
      <c r="P982" s="71"/>
      <c r="Q982" s="189"/>
      <c r="R982" s="125"/>
      <c r="S982" s="103"/>
      <c r="T982" s="71"/>
      <c r="U982" s="189"/>
      <c r="V982" s="125"/>
      <c r="W982" s="103"/>
      <c r="X982" s="71"/>
      <c r="Y982" s="30"/>
      <c r="Z982" s="30"/>
      <c r="AA982" s="152"/>
      <c r="AB982" s="199"/>
      <c r="AC982" s="30"/>
      <c r="AD982" s="30"/>
      <c r="AE982" s="152"/>
      <c r="AF982" s="200"/>
      <c r="AG982" s="195"/>
      <c r="AH982" s="195"/>
      <c r="AI982" s="195"/>
      <c r="AJ982" s="195"/>
      <c r="AK982" s="30"/>
      <c r="AL982" s="30"/>
      <c r="AM982" s="30"/>
      <c r="AN982" s="30"/>
      <c r="AO982" s="30"/>
    </row>
    <row r="983">
      <c r="A983" s="137"/>
      <c r="B983" s="138"/>
      <c r="C983" s="103"/>
      <c r="D983" s="71"/>
      <c r="E983" s="137"/>
      <c r="F983" s="138"/>
      <c r="G983" s="103"/>
      <c r="H983" s="71"/>
      <c r="I983" s="137"/>
      <c r="J983" s="138"/>
      <c r="K983" s="103"/>
      <c r="L983" s="71"/>
      <c r="M983" s="137"/>
      <c r="N983" s="125"/>
      <c r="O983" s="103"/>
      <c r="P983" s="71"/>
      <c r="Q983" s="189"/>
      <c r="R983" s="125"/>
      <c r="S983" s="103"/>
      <c r="T983" s="71"/>
      <c r="U983" s="189"/>
      <c r="V983" s="125"/>
      <c r="W983" s="103"/>
      <c r="X983" s="71"/>
      <c r="Y983" s="30"/>
      <c r="Z983" s="30"/>
      <c r="AA983" s="152"/>
      <c r="AB983" s="199"/>
      <c r="AC983" s="30"/>
      <c r="AD983" s="30"/>
      <c r="AE983" s="152"/>
      <c r="AF983" s="200"/>
      <c r="AG983" s="195"/>
      <c r="AH983" s="195"/>
      <c r="AI983" s="195"/>
      <c r="AJ983" s="195"/>
      <c r="AK983" s="30"/>
      <c r="AL983" s="30"/>
      <c r="AM983" s="30"/>
      <c r="AN983" s="30"/>
      <c r="AO983" s="30"/>
    </row>
    <row r="984">
      <c r="A984" s="137"/>
      <c r="B984" s="138"/>
      <c r="C984" s="103"/>
      <c r="D984" s="71"/>
      <c r="E984" s="137"/>
      <c r="F984" s="138"/>
      <c r="G984" s="103"/>
      <c r="H984" s="71"/>
      <c r="I984" s="137"/>
      <c r="J984" s="138"/>
      <c r="K984" s="103"/>
      <c r="L984" s="71"/>
      <c r="M984" s="137"/>
      <c r="N984" s="125"/>
      <c r="O984" s="103"/>
      <c r="P984" s="71"/>
      <c r="Q984" s="189"/>
      <c r="R984" s="125"/>
      <c r="S984" s="103"/>
      <c r="T984" s="71"/>
      <c r="U984" s="189"/>
      <c r="V984" s="125"/>
      <c r="W984" s="103"/>
      <c r="X984" s="71"/>
      <c r="Y984" s="30"/>
      <c r="Z984" s="30"/>
      <c r="AA984" s="152"/>
      <c r="AB984" s="199"/>
      <c r="AC984" s="30"/>
      <c r="AD984" s="30"/>
      <c r="AE984" s="152"/>
      <c r="AF984" s="200"/>
      <c r="AG984" s="195"/>
      <c r="AH984" s="195"/>
      <c r="AI984" s="195"/>
      <c r="AJ984" s="195"/>
      <c r="AK984" s="30"/>
      <c r="AL984" s="30"/>
      <c r="AM984" s="30"/>
      <c r="AN984" s="30"/>
      <c r="AO984" s="30"/>
    </row>
    <row r="985">
      <c r="A985" s="137"/>
      <c r="B985" s="138"/>
      <c r="C985" s="103"/>
      <c r="D985" s="71"/>
      <c r="E985" s="137"/>
      <c r="F985" s="138"/>
      <c r="G985" s="103"/>
      <c r="H985" s="71"/>
      <c r="I985" s="137"/>
      <c r="J985" s="138"/>
      <c r="K985" s="103"/>
      <c r="L985" s="71"/>
      <c r="M985" s="137"/>
      <c r="N985" s="125"/>
      <c r="O985" s="103"/>
      <c r="P985" s="71"/>
      <c r="Q985" s="189"/>
      <c r="R985" s="125"/>
      <c r="S985" s="103"/>
      <c r="T985" s="71"/>
      <c r="U985" s="189"/>
      <c r="V985" s="125"/>
      <c r="W985" s="103"/>
      <c r="X985" s="71"/>
      <c r="Y985" s="30"/>
      <c r="Z985" s="30"/>
      <c r="AA985" s="152"/>
      <c r="AB985" s="199"/>
      <c r="AC985" s="30"/>
      <c r="AD985" s="30"/>
      <c r="AE985" s="152"/>
      <c r="AF985" s="200"/>
      <c r="AG985" s="195"/>
      <c r="AH985" s="195"/>
      <c r="AI985" s="195"/>
      <c r="AJ985" s="195"/>
      <c r="AK985" s="30"/>
      <c r="AL985" s="30"/>
      <c r="AM985" s="30"/>
      <c r="AN985" s="30"/>
      <c r="AO985" s="30"/>
    </row>
    <row r="986">
      <c r="A986" s="137"/>
      <c r="B986" s="138"/>
      <c r="C986" s="103"/>
      <c r="D986" s="71"/>
      <c r="E986" s="137"/>
      <c r="F986" s="138"/>
      <c r="G986" s="103"/>
      <c r="H986" s="71"/>
      <c r="I986" s="137"/>
      <c r="J986" s="138"/>
      <c r="K986" s="103"/>
      <c r="L986" s="71"/>
      <c r="M986" s="137"/>
      <c r="N986" s="125"/>
      <c r="O986" s="103"/>
      <c r="P986" s="71"/>
      <c r="Q986" s="189"/>
      <c r="R986" s="125"/>
      <c r="S986" s="103"/>
      <c r="T986" s="71"/>
      <c r="U986" s="189"/>
      <c r="V986" s="125"/>
      <c r="W986" s="103"/>
      <c r="X986" s="71"/>
      <c r="Y986" s="30"/>
      <c r="Z986" s="30"/>
      <c r="AA986" s="152"/>
      <c r="AB986" s="199"/>
      <c r="AC986" s="30"/>
      <c r="AD986" s="30"/>
      <c r="AE986" s="152"/>
      <c r="AF986" s="200"/>
      <c r="AG986" s="195"/>
      <c r="AH986" s="195"/>
      <c r="AI986" s="195"/>
      <c r="AJ986" s="195"/>
      <c r="AK986" s="30"/>
      <c r="AL986" s="30"/>
      <c r="AM986" s="30"/>
      <c r="AN986" s="30"/>
      <c r="AO986" s="30"/>
    </row>
    <row r="987">
      <c r="A987" s="137"/>
      <c r="B987" s="138"/>
      <c r="C987" s="103"/>
      <c r="D987" s="71"/>
      <c r="E987" s="137"/>
      <c r="F987" s="138"/>
      <c r="G987" s="103"/>
      <c r="H987" s="71"/>
      <c r="I987" s="137"/>
      <c r="J987" s="138"/>
      <c r="K987" s="103"/>
      <c r="L987" s="71"/>
      <c r="M987" s="137"/>
      <c r="N987" s="125"/>
      <c r="O987" s="103"/>
      <c r="P987" s="71"/>
      <c r="Q987" s="189"/>
      <c r="R987" s="125"/>
      <c r="S987" s="103"/>
      <c r="T987" s="71"/>
      <c r="U987" s="189"/>
      <c r="V987" s="125"/>
      <c r="W987" s="103"/>
      <c r="X987" s="71"/>
      <c r="Y987" s="30"/>
      <c r="Z987" s="30"/>
      <c r="AA987" s="152"/>
      <c r="AB987" s="199"/>
      <c r="AC987" s="30"/>
      <c r="AD987" s="30"/>
      <c r="AE987" s="152"/>
      <c r="AF987" s="200"/>
      <c r="AG987" s="195"/>
      <c r="AH987" s="195"/>
      <c r="AI987" s="195"/>
      <c r="AJ987" s="195"/>
      <c r="AK987" s="30"/>
      <c r="AL987" s="30"/>
      <c r="AM987" s="30"/>
      <c r="AN987" s="30"/>
      <c r="AO987" s="30"/>
    </row>
    <row r="988">
      <c r="A988" s="137"/>
      <c r="B988" s="138"/>
      <c r="C988" s="103"/>
      <c r="D988" s="71"/>
      <c r="E988" s="137"/>
      <c r="F988" s="138"/>
      <c r="G988" s="103"/>
      <c r="H988" s="71"/>
      <c r="I988" s="137"/>
      <c r="J988" s="138"/>
      <c r="K988" s="103"/>
      <c r="L988" s="71"/>
      <c r="M988" s="137"/>
      <c r="N988" s="125"/>
      <c r="O988" s="103"/>
      <c r="P988" s="71"/>
      <c r="Q988" s="189"/>
      <c r="R988" s="125"/>
      <c r="S988" s="103"/>
      <c r="T988" s="71"/>
      <c r="U988" s="189"/>
      <c r="V988" s="125"/>
      <c r="W988" s="103"/>
      <c r="X988" s="71"/>
      <c r="Y988" s="30"/>
      <c r="Z988" s="30"/>
      <c r="AA988" s="152"/>
      <c r="AB988" s="199"/>
      <c r="AC988" s="30"/>
      <c r="AD988" s="30"/>
      <c r="AE988" s="152"/>
      <c r="AF988" s="200"/>
      <c r="AG988" s="195"/>
      <c r="AH988" s="195"/>
      <c r="AI988" s="195"/>
      <c r="AJ988" s="195"/>
      <c r="AK988" s="30"/>
      <c r="AL988" s="30"/>
      <c r="AM988" s="30"/>
      <c r="AN988" s="30"/>
      <c r="AO988" s="30"/>
    </row>
    <row r="989">
      <c r="A989" s="137"/>
      <c r="B989" s="138"/>
      <c r="C989" s="103"/>
      <c r="D989" s="71"/>
      <c r="E989" s="137"/>
      <c r="F989" s="138"/>
      <c r="G989" s="103"/>
      <c r="H989" s="71"/>
      <c r="I989" s="137"/>
      <c r="J989" s="138"/>
      <c r="K989" s="103"/>
      <c r="L989" s="71"/>
      <c r="M989" s="137"/>
      <c r="N989" s="125"/>
      <c r="O989" s="103"/>
      <c r="P989" s="71"/>
      <c r="Q989" s="189"/>
      <c r="R989" s="125"/>
      <c r="S989" s="103"/>
      <c r="T989" s="71"/>
      <c r="U989" s="189"/>
      <c r="V989" s="125"/>
      <c r="W989" s="103"/>
      <c r="X989" s="71"/>
      <c r="Y989" s="30"/>
      <c r="Z989" s="30"/>
      <c r="AA989" s="152"/>
      <c r="AB989" s="199"/>
      <c r="AC989" s="30"/>
      <c r="AD989" s="30"/>
      <c r="AE989" s="152"/>
      <c r="AF989" s="200"/>
      <c r="AG989" s="195"/>
      <c r="AH989" s="195"/>
      <c r="AI989" s="195"/>
      <c r="AJ989" s="195"/>
      <c r="AK989" s="30"/>
      <c r="AL989" s="30"/>
      <c r="AM989" s="30"/>
      <c r="AN989" s="30"/>
      <c r="AO989" s="30"/>
    </row>
    <row r="990">
      <c r="A990" s="137"/>
      <c r="B990" s="138"/>
      <c r="C990" s="103"/>
      <c r="D990" s="71"/>
      <c r="E990" s="137"/>
      <c r="F990" s="138"/>
      <c r="G990" s="103"/>
      <c r="H990" s="71"/>
      <c r="I990" s="137"/>
      <c r="J990" s="138"/>
      <c r="K990" s="103"/>
      <c r="L990" s="71"/>
      <c r="M990" s="137"/>
      <c r="N990" s="125"/>
      <c r="O990" s="103"/>
      <c r="P990" s="71"/>
      <c r="Q990" s="189"/>
      <c r="R990" s="125"/>
      <c r="S990" s="103"/>
      <c r="T990" s="71"/>
      <c r="U990" s="189"/>
      <c r="V990" s="125"/>
      <c r="W990" s="103"/>
      <c r="X990" s="71"/>
      <c r="Y990" s="30"/>
      <c r="Z990" s="30"/>
      <c r="AA990" s="152"/>
      <c r="AB990" s="199"/>
      <c r="AC990" s="30"/>
      <c r="AD990" s="30"/>
      <c r="AE990" s="152"/>
      <c r="AF990" s="200"/>
      <c r="AG990" s="195"/>
      <c r="AH990" s="195"/>
      <c r="AI990" s="195"/>
      <c r="AJ990" s="195"/>
      <c r="AK990" s="30"/>
      <c r="AL990" s="30"/>
      <c r="AM990" s="30"/>
      <c r="AN990" s="30"/>
      <c r="AO990" s="30"/>
    </row>
    <row r="991">
      <c r="A991" s="137"/>
      <c r="B991" s="138"/>
      <c r="C991" s="103"/>
      <c r="D991" s="71"/>
      <c r="E991" s="137"/>
      <c r="F991" s="138"/>
      <c r="G991" s="103"/>
      <c r="H991" s="71"/>
      <c r="I991" s="137"/>
      <c r="J991" s="138"/>
      <c r="K991" s="103"/>
      <c r="L991" s="71"/>
      <c r="M991" s="137"/>
      <c r="N991" s="125"/>
      <c r="O991" s="103"/>
      <c r="P991" s="71"/>
      <c r="Q991" s="189"/>
      <c r="R991" s="125"/>
      <c r="S991" s="103"/>
      <c r="T991" s="71"/>
      <c r="U991" s="189"/>
      <c r="V991" s="125"/>
      <c r="W991" s="103"/>
      <c r="X991" s="71"/>
      <c r="Y991" s="30"/>
      <c r="Z991" s="30"/>
      <c r="AA991" s="152"/>
      <c r="AB991" s="199"/>
      <c r="AC991" s="30"/>
      <c r="AD991" s="30"/>
      <c r="AE991" s="152"/>
      <c r="AF991" s="200"/>
      <c r="AG991" s="195"/>
      <c r="AH991" s="195"/>
      <c r="AI991" s="195"/>
      <c r="AJ991" s="195"/>
      <c r="AK991" s="30"/>
      <c r="AL991" s="30"/>
      <c r="AM991" s="30"/>
      <c r="AN991" s="30"/>
      <c r="AO991" s="30"/>
    </row>
    <row r="992">
      <c r="A992" s="137"/>
      <c r="B992" s="138"/>
      <c r="C992" s="103"/>
      <c r="D992" s="71"/>
      <c r="E992" s="137"/>
      <c r="F992" s="138"/>
      <c r="G992" s="103"/>
      <c r="H992" s="71"/>
      <c r="I992" s="137"/>
      <c r="J992" s="138"/>
      <c r="K992" s="103"/>
      <c r="L992" s="71"/>
      <c r="M992" s="137"/>
      <c r="N992" s="125"/>
      <c r="O992" s="103"/>
      <c r="P992" s="71"/>
      <c r="Q992" s="189"/>
      <c r="R992" s="125"/>
      <c r="S992" s="103"/>
      <c r="T992" s="71"/>
      <c r="U992" s="189"/>
      <c r="V992" s="125"/>
      <c r="W992" s="103"/>
      <c r="X992" s="71"/>
      <c r="Y992" s="30"/>
      <c r="Z992" s="30"/>
      <c r="AA992" s="152"/>
      <c r="AB992" s="199"/>
      <c r="AC992" s="30"/>
      <c r="AD992" s="30"/>
      <c r="AE992" s="152"/>
      <c r="AF992" s="200"/>
      <c r="AG992" s="195"/>
      <c r="AH992" s="195"/>
      <c r="AI992" s="195"/>
      <c r="AJ992" s="195"/>
      <c r="AK992" s="30"/>
      <c r="AL992" s="30"/>
      <c r="AM992" s="30"/>
      <c r="AN992" s="30"/>
      <c r="AO992" s="30"/>
    </row>
    <row r="993">
      <c r="A993" s="137"/>
      <c r="B993" s="138"/>
      <c r="C993" s="103"/>
      <c r="D993" s="71"/>
      <c r="E993" s="137"/>
      <c r="F993" s="138"/>
      <c r="G993" s="103"/>
      <c r="H993" s="71"/>
      <c r="I993" s="137"/>
      <c r="J993" s="138"/>
      <c r="K993" s="103"/>
      <c r="L993" s="71"/>
      <c r="M993" s="137"/>
      <c r="N993" s="125"/>
      <c r="O993" s="103"/>
      <c r="P993" s="71"/>
      <c r="Q993" s="189"/>
      <c r="R993" s="125"/>
      <c r="S993" s="103"/>
      <c r="T993" s="71"/>
      <c r="U993" s="189"/>
      <c r="V993" s="125"/>
      <c r="W993" s="103"/>
      <c r="X993" s="71"/>
      <c r="Y993" s="30"/>
      <c r="Z993" s="30"/>
      <c r="AA993" s="152"/>
      <c r="AB993" s="199"/>
      <c r="AC993" s="30"/>
      <c r="AD993" s="30"/>
      <c r="AE993" s="152"/>
      <c r="AF993" s="200"/>
      <c r="AG993" s="195"/>
      <c r="AH993" s="195"/>
      <c r="AI993" s="195"/>
      <c r="AJ993" s="195"/>
      <c r="AK993" s="30"/>
      <c r="AL993" s="30"/>
      <c r="AM993" s="30"/>
      <c r="AN993" s="30"/>
      <c r="AO993" s="30"/>
    </row>
    <row r="994">
      <c r="A994" s="137"/>
      <c r="B994" s="138"/>
      <c r="C994" s="103"/>
      <c r="D994" s="71"/>
      <c r="E994" s="137"/>
      <c r="F994" s="138"/>
      <c r="G994" s="103"/>
      <c r="H994" s="71"/>
      <c r="I994" s="137"/>
      <c r="J994" s="138"/>
      <c r="K994" s="103"/>
      <c r="L994" s="71"/>
      <c r="M994" s="137"/>
      <c r="N994" s="125"/>
      <c r="O994" s="103"/>
      <c r="P994" s="71"/>
      <c r="Q994" s="189"/>
      <c r="R994" s="125"/>
      <c r="S994" s="103"/>
      <c r="T994" s="71"/>
      <c r="U994" s="189"/>
      <c r="V994" s="125"/>
      <c r="W994" s="103"/>
      <c r="X994" s="71"/>
      <c r="Y994" s="30"/>
      <c r="Z994" s="30"/>
      <c r="AA994" s="152"/>
      <c r="AB994" s="199"/>
      <c r="AC994" s="30"/>
      <c r="AD994" s="30"/>
      <c r="AE994" s="152"/>
      <c r="AF994" s="200"/>
      <c r="AG994" s="195"/>
      <c r="AH994" s="195"/>
      <c r="AI994" s="195"/>
      <c r="AJ994" s="195"/>
      <c r="AK994" s="30"/>
      <c r="AL994" s="30"/>
      <c r="AM994" s="30"/>
      <c r="AN994" s="30"/>
      <c r="AO994" s="30"/>
    </row>
    <row r="995">
      <c r="A995" s="137"/>
      <c r="B995" s="138"/>
      <c r="C995" s="103"/>
      <c r="D995" s="71"/>
      <c r="E995" s="137"/>
      <c r="F995" s="138"/>
      <c r="G995" s="103"/>
      <c r="H995" s="71"/>
      <c r="I995" s="137"/>
      <c r="J995" s="138"/>
      <c r="K995" s="103"/>
      <c r="L995" s="71"/>
      <c r="M995" s="137"/>
      <c r="N995" s="125"/>
      <c r="O995" s="103"/>
      <c r="P995" s="71"/>
      <c r="Q995" s="189"/>
      <c r="R995" s="125"/>
      <c r="S995" s="103"/>
      <c r="T995" s="71"/>
      <c r="U995" s="189"/>
      <c r="V995" s="125"/>
      <c r="W995" s="103"/>
      <c r="X995" s="71"/>
      <c r="Y995" s="30"/>
      <c r="Z995" s="30"/>
      <c r="AA995" s="152"/>
      <c r="AB995" s="199"/>
      <c r="AC995" s="30"/>
      <c r="AD995" s="30"/>
      <c r="AE995" s="152"/>
      <c r="AF995" s="200"/>
      <c r="AG995" s="195"/>
      <c r="AH995" s="195"/>
      <c r="AI995" s="195"/>
      <c r="AJ995" s="195"/>
      <c r="AK995" s="30"/>
      <c r="AL995" s="30"/>
      <c r="AM995" s="30"/>
      <c r="AN995" s="30"/>
      <c r="AO995" s="30"/>
    </row>
    <row r="996">
      <c r="A996" s="137"/>
      <c r="B996" s="138"/>
      <c r="C996" s="103"/>
      <c r="D996" s="71"/>
      <c r="E996" s="137"/>
      <c r="F996" s="138"/>
      <c r="G996" s="103"/>
      <c r="H996" s="71"/>
      <c r="I996" s="137"/>
      <c r="J996" s="138"/>
      <c r="K996" s="103"/>
      <c r="L996" s="71"/>
      <c r="M996" s="137"/>
      <c r="N996" s="125"/>
      <c r="O996" s="103"/>
      <c r="P996" s="71"/>
      <c r="Q996" s="189"/>
      <c r="R996" s="125"/>
      <c r="S996" s="103"/>
      <c r="T996" s="71"/>
      <c r="U996" s="189"/>
      <c r="V996" s="125"/>
      <c r="W996" s="103"/>
      <c r="X996" s="71"/>
      <c r="Y996" s="30"/>
      <c r="Z996" s="30"/>
      <c r="AA996" s="152"/>
      <c r="AB996" s="199"/>
      <c r="AC996" s="30"/>
      <c r="AD996" s="30"/>
      <c r="AE996" s="152"/>
      <c r="AF996" s="200"/>
      <c r="AG996" s="195"/>
      <c r="AH996" s="195"/>
      <c r="AI996" s="195"/>
      <c r="AJ996" s="195"/>
      <c r="AK996" s="30"/>
      <c r="AL996" s="30"/>
      <c r="AM996" s="30"/>
      <c r="AN996" s="30"/>
      <c r="AO996" s="30"/>
    </row>
    <row r="997">
      <c r="A997" s="137"/>
      <c r="B997" s="138"/>
      <c r="C997" s="103"/>
      <c r="D997" s="71"/>
      <c r="E997" s="137"/>
      <c r="F997" s="138"/>
      <c r="G997" s="103"/>
      <c r="H997" s="71"/>
      <c r="I997" s="137"/>
      <c r="J997" s="138"/>
      <c r="K997" s="103"/>
      <c r="L997" s="71"/>
      <c r="M997" s="137"/>
      <c r="N997" s="125"/>
      <c r="O997" s="103"/>
      <c r="P997" s="71"/>
      <c r="Q997" s="30"/>
      <c r="R997" s="30"/>
      <c r="S997" s="65"/>
      <c r="T997" s="65"/>
      <c r="U997" s="30"/>
      <c r="V997" s="30"/>
      <c r="W997" s="65"/>
      <c r="X997" s="65"/>
      <c r="Y997" s="30"/>
      <c r="Z997" s="30"/>
      <c r="AA997" s="152"/>
      <c r="AB997" s="199"/>
      <c r="AC997" s="30"/>
      <c r="AD997" s="30"/>
      <c r="AE997" s="152"/>
      <c r="AF997" s="200"/>
      <c r="AG997" s="195"/>
      <c r="AH997" s="195"/>
      <c r="AI997" s="195"/>
      <c r="AJ997" s="195"/>
      <c r="AK997" s="30"/>
      <c r="AL997" s="30"/>
      <c r="AM997" s="30"/>
      <c r="AN997" s="30"/>
      <c r="AO997" s="30"/>
    </row>
    <row r="998">
      <c r="A998" s="137"/>
      <c r="B998" s="138"/>
      <c r="C998" s="103"/>
      <c r="D998" s="71"/>
      <c r="E998" s="137"/>
      <c r="F998" s="138"/>
      <c r="G998" s="103"/>
      <c r="H998" s="71"/>
      <c r="I998" s="137"/>
      <c r="J998" s="138"/>
      <c r="K998" s="103"/>
      <c r="L998" s="71"/>
      <c r="M998" s="137"/>
      <c r="N998" s="125"/>
      <c r="O998" s="103"/>
      <c r="P998" s="71"/>
      <c r="Q998" s="30"/>
      <c r="R998" s="30"/>
      <c r="S998" s="65"/>
      <c r="T998" s="65"/>
      <c r="U998" s="30"/>
      <c r="V998" s="30"/>
      <c r="W998" s="65"/>
      <c r="X998" s="65"/>
      <c r="Y998" s="30"/>
      <c r="Z998" s="30"/>
      <c r="AA998" s="152"/>
      <c r="AB998" s="199"/>
      <c r="AC998" s="30"/>
      <c r="AD998" s="30"/>
      <c r="AE998" s="152"/>
      <c r="AF998" s="200"/>
      <c r="AG998" s="195"/>
      <c r="AH998" s="195"/>
      <c r="AI998" s="195"/>
      <c r="AJ998" s="195"/>
      <c r="AK998" s="30"/>
      <c r="AL998" s="30"/>
      <c r="AM998" s="30"/>
      <c r="AN998" s="30"/>
      <c r="AO998" s="30"/>
    </row>
    <row r="999">
      <c r="A999" s="137"/>
      <c r="B999" s="138"/>
      <c r="C999" s="103"/>
      <c r="D999" s="71"/>
      <c r="E999" s="137"/>
      <c r="F999" s="138"/>
      <c r="G999" s="103"/>
      <c r="H999" s="71"/>
      <c r="I999" s="137"/>
      <c r="J999" s="138"/>
      <c r="K999" s="103"/>
      <c r="L999" s="71"/>
      <c r="M999" s="137"/>
      <c r="N999" s="125"/>
      <c r="O999" s="103"/>
      <c r="P999" s="71"/>
      <c r="Q999" s="30"/>
      <c r="R999" s="30"/>
      <c r="S999" s="65"/>
      <c r="T999" s="65"/>
      <c r="U999" s="30"/>
      <c r="V999" s="30"/>
      <c r="W999" s="65"/>
      <c r="X999" s="65"/>
      <c r="Y999" s="30"/>
      <c r="Z999" s="30"/>
      <c r="AA999" s="152"/>
      <c r="AB999" s="199"/>
      <c r="AC999" s="30"/>
      <c r="AD999" s="30"/>
      <c r="AE999" s="152"/>
      <c r="AF999" s="200"/>
      <c r="AG999" s="195"/>
      <c r="AH999" s="195"/>
      <c r="AI999" s="195"/>
      <c r="AJ999" s="195"/>
      <c r="AK999" s="30"/>
      <c r="AL999" s="30"/>
      <c r="AM999" s="30"/>
      <c r="AN999" s="30"/>
      <c r="AO999" s="30"/>
    </row>
    <row r="1000">
      <c r="A1000" s="137"/>
      <c r="B1000" s="138"/>
      <c r="C1000" s="103"/>
      <c r="D1000" s="71"/>
      <c r="E1000" s="137"/>
      <c r="F1000" s="138"/>
      <c r="G1000" s="103"/>
      <c r="H1000" s="71"/>
      <c r="I1000" s="137"/>
      <c r="J1000" s="138"/>
      <c r="K1000" s="103"/>
      <c r="L1000" s="71"/>
      <c r="M1000" s="137"/>
      <c r="N1000" s="125"/>
      <c r="O1000" s="103"/>
      <c r="P1000" s="71"/>
      <c r="Q1000" s="30"/>
      <c r="R1000" s="30"/>
      <c r="S1000" s="65"/>
      <c r="T1000" s="65"/>
      <c r="U1000" s="30"/>
      <c r="V1000" s="30"/>
      <c r="W1000" s="65"/>
      <c r="X1000" s="65"/>
      <c r="Y1000" s="30"/>
      <c r="Z1000" s="30"/>
      <c r="AA1000" s="152"/>
      <c r="AB1000" s="199"/>
      <c r="AC1000" s="30"/>
      <c r="AD1000" s="30"/>
      <c r="AE1000" s="152"/>
      <c r="AF1000" s="200"/>
      <c r="AG1000" s="137"/>
      <c r="AH1000" s="138"/>
      <c r="AI1000" s="103"/>
      <c r="AJ1000" s="71"/>
      <c r="AK1000" s="30"/>
      <c r="AL1000" s="30"/>
      <c r="AM1000" s="30"/>
      <c r="AN1000" s="30"/>
      <c r="AO1000" s="30"/>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0" width="38.13"/>
  </cols>
  <sheetData>
    <row r="1" ht="67.5" customHeight="1">
      <c r="A1" s="201" t="s">
        <v>4037</v>
      </c>
      <c r="B1" s="20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v>
      </c>
      <c r="C1" s="203" t="s">
        <v>4038</v>
      </c>
      <c r="D1" s="202" t="str">
        <f>IFERROR(__xludf.DUMMYFUNCTION("GOOGLETRANSLATE(A1,""zh-tw"",""zh"")"),"请支持正版游戏：逆流茶会-存在感薄い妹との简単生活
攻略汇整：官方Discord-RORO ，协助者-MIO、南山、落染，翻译者-눈_눈、Ruika、zNagato、Libeti、Gabriel B、maltesey、AndyJango、IntenseLag、Nian Sprout
如未经过许可，请勿私自转载")</f>
        <v>请支持正版游戏：逆流茶会-存在感薄い妹との简単生活
攻略汇整：官方Discord-RORO ，协助者-MIO、南山、落染，翻译者-눈_눈、Ruika、zNagato、Libeti、Gabriel B、maltesey、AndyJango、IntenseLag、Nian Sprout
如未经过许可，请勿私自转载</v>
      </c>
      <c r="E1" s="204"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Prohibida la reproducción no autorizada.</v>
      </c>
      <c r="F1" s="205"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v>
      </c>
      <c r="G1" s="204"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Несанкционированное копирование запрещено.</v>
      </c>
      <c r="H1" s="205" t="str">
        <f>IFERROR(__xludf.DUMMYFUNCTION("GOOGLETRANSLATE(A1,""zh-tw"",""de"")"),"Bitte unterstützt das offizielle Spiel: Reverse Tea Party – Ein einfaches Leben mit einem Mädchen, dessen Präsenz dünn ist.
Strategie-Guide-Zusammenstellung: Offizieller Discord – RORO, Assistenz – MIO, Nanshan, Luoran, Übersetzung – 눈_눈, Ruika, zNagato, "&amp;"Libeti, Gabriel B, Maltesey, AndyJango, IntenseLag, Nian Sprout
Unerlaubte Vervielfältigung ist untersagt.")</f>
        <v>Bitte unterstützt das offizielle Spiel: Reverse Tea Party – Ein einfaches Leben mit einem Mädchen, dessen Präsenz dünn ist.
Strategie-Guide-Zusammenstellung: Offizieller Discord – RORO, Assistenz – MIO, Nanshan, Luoran, Übersetzung – 눈_눈, Ruika, zNagato, Libeti, Gabriel B, Maltesey, AndyJango, IntenseLag, Nian Sprout
Unerlaubte Vervielfältigung ist untersagt.</v>
      </c>
      <c r="I1" s="136" t="s">
        <v>4039</v>
      </c>
      <c r="J1" s="206" t="s">
        <v>237</v>
      </c>
      <c r="K1" s="207"/>
      <c r="L1" s="207"/>
      <c r="M1" s="207"/>
      <c r="N1" s="207"/>
      <c r="O1" s="207"/>
      <c r="P1" s="207"/>
      <c r="Q1" s="207"/>
      <c r="R1" s="207"/>
      <c r="S1" s="207"/>
      <c r="T1" s="207"/>
      <c r="U1" s="207"/>
      <c r="V1" s="207"/>
      <c r="W1" s="207"/>
    </row>
    <row r="2" ht="67.5" customHeight="1">
      <c r="K2" s="207"/>
      <c r="L2" s="207"/>
      <c r="M2" s="207"/>
      <c r="N2" s="207"/>
      <c r="O2" s="207"/>
      <c r="P2" s="207"/>
      <c r="Q2" s="207"/>
      <c r="R2" s="207"/>
      <c r="S2" s="207"/>
      <c r="T2" s="207"/>
      <c r="U2" s="207"/>
      <c r="V2" s="207"/>
      <c r="W2" s="207"/>
    </row>
    <row r="3">
      <c r="A3" s="69" t="s">
        <v>4040</v>
      </c>
      <c r="B3" s="208" t="str">
        <f>IFERROR(__xludf.DUMMYFUNCTION("GOOGLETRANSLATE(A3,""zh-tw"",""ja"")"),"異なるバージョン間でゲームを保存するには、ファイルを www-&gt;save から新しいバージョンの同じ場所に移動するだけです。")</f>
        <v>異なるバージョン間でゲームを保存するには、ファイルを www-&gt;save から新しいバージョンの同じ場所に移動するだけです。</v>
      </c>
      <c r="C3" s="69" t="s">
        <v>4041</v>
      </c>
      <c r="D3" s="208" t="s">
        <v>4042</v>
      </c>
      <c r="E3" s="71" t="str">
        <f>IFERROR(__xludf.DUMMYFUNCTION("GOOGLETRANSLATE(A3,""zh-tw"",""es-MX"")"),"Para guardar tu juego en diferentes versiones, simplemente mueve los archivos desde www-&gt;save a la misma ubicación en la nueva versión.")</f>
        <v>Para guardar tu juego en diferentes versiones, simplemente mueve los archivos desde www-&gt;save a la misma ubicación en la nueva versión.</v>
      </c>
      <c r="F3" s="209" t="str">
        <f>IFERROR(__xludf.DUMMYFUNCTION("GOOGLETRANSLATE(A3,""zh-tw"",""KO"")"),"여러 버전으로 게임을 저장하려면 www-&gt;save에서 새 버전의 동일한 위치로 파일을 옮기기만 하면 됩니다.")</f>
        <v>여러 버전으로 게임을 저장하려면 www-&gt;save에서 새 버전의 동일한 위치로 파일을 옮기기만 하면 됩니다.</v>
      </c>
      <c r="G3" s="71" t="str">
        <f>IFERROR(__xludf.DUMMYFUNCTION("GOOGLETRANSLATE(A3,""zh-tw"",""ru"")"),"Чтобы сохранить игру в разных версиях, просто переместите файлы из www-&gt;save в то же место в новой версии.")</f>
        <v>Чтобы сохранить игру в разных версиях, просто переместите файлы из www-&gt;save в то же место в новой версии.</v>
      </c>
      <c r="H3" s="208" t="s">
        <v>4043</v>
      </c>
      <c r="I3" s="124" t="s">
        <v>4044</v>
      </c>
      <c r="J3" s="124" t="s">
        <v>4045</v>
      </c>
      <c r="K3" s="65"/>
      <c r="L3" s="65"/>
      <c r="M3" s="65"/>
      <c r="N3" s="65"/>
      <c r="O3" s="65"/>
      <c r="P3" s="65"/>
      <c r="Q3" s="65"/>
      <c r="R3" s="65"/>
      <c r="S3" s="65"/>
      <c r="T3" s="65"/>
      <c r="U3" s="65"/>
      <c r="V3" s="65"/>
      <c r="W3" s="65"/>
    </row>
    <row r="4">
      <c r="A4" s="69" t="s">
        <v>4046</v>
      </c>
      <c r="B4" s="208" t="s">
        <v>4047</v>
      </c>
      <c r="C4" s="69" t="s">
        <v>4048</v>
      </c>
      <c r="D4" s="208" t="str">
        <f>IFERROR(__xludf.DUMMYFUNCTION("GOOGLETRANSLATE(A4,""zh-tw"",""zh"")"),"ALT可加速动画与音乐变奏的演绎")</f>
        <v>ALT可加速动画与音乐变奏的演绎</v>
      </c>
      <c r="E4" s="71" t="str">
        <f>IFERROR(__xludf.DUMMYFUNCTION("GOOGLETRANSLATE(A4,""zh-tw"",""es-MX"")"),"ALT puede acelerar el rendimiento de la animación y las variaciones musicales.")</f>
        <v>ALT puede acelerar el rendimiento de la animación y las variaciones musicales.</v>
      </c>
      <c r="F4" s="209" t="str">
        <f>IFERROR(__xludf.DUMMYFUNCTION("GOOGLETRANSLATE(A4,""zh-tw"",""KO"")"),"ALT는 애니메이션과 음악 변형의 성능을 가속화할 수 있습니다.")</f>
        <v>ALT는 애니메이션과 음악 변형의 성능을 가속화할 수 있습니다.</v>
      </c>
      <c r="G4" s="71" t="str">
        <f>IFERROR(__xludf.DUMMYFUNCTION("GOOGLETRANSLATE(A4,""zh-tw"",""ru"")"),"ALT может ускорить производительность анимации и музыкальных вариаций.")</f>
        <v>ALT может ускорить производительность анимации и музыкальных вариаций.</v>
      </c>
      <c r="H4" s="210" t="s">
        <v>4049</v>
      </c>
      <c r="I4" s="66" t="s">
        <v>4050</v>
      </c>
      <c r="J4" s="124" t="s">
        <v>4051</v>
      </c>
      <c r="K4" s="65"/>
      <c r="L4" s="65"/>
      <c r="M4" s="65"/>
      <c r="N4" s="65"/>
      <c r="O4" s="65"/>
      <c r="P4" s="65"/>
      <c r="Q4" s="65"/>
      <c r="R4" s="65"/>
      <c r="S4" s="65"/>
      <c r="T4" s="65"/>
      <c r="U4" s="65"/>
      <c r="V4" s="65"/>
      <c r="W4" s="65"/>
    </row>
    <row r="5">
      <c r="A5" s="69" t="s">
        <v>4052</v>
      </c>
      <c r="B5" s="208" t="str">
        <f>IFERROR(__xludf.DUMMYFUNCTION("GOOGLETRANSLATE(A5,""zh-tw"",""ja"")"),"CTRL キーを押すと会話が速くなります。")</f>
        <v>CTRL キーを押すと会話が速くなります。</v>
      </c>
      <c r="C5" s="69" t="s">
        <v>4053</v>
      </c>
      <c r="D5" s="208" t="str">
        <f>IFERROR(__xludf.DUMMYFUNCTION("GOOGLETRANSLATE(A5,""zh-tw"",""zh"")"),"CTRL可加速对话")</f>
        <v>CTRL可加速对话</v>
      </c>
      <c r="E5" s="71" t="str">
        <f>IFERROR(__xludf.DUMMYFUNCTION("GOOGLETRANSLATE(A5,""zh-tw"",""es-MX"")"),"CTRL puede acelerar las conversaciones.")</f>
        <v>CTRL puede acelerar las conversaciones.</v>
      </c>
      <c r="F5" s="209" t="str">
        <f>IFERROR(__xludf.DUMMYFUNCTION("GOOGLETRANSLATE(A5,""zh-tw"",""KO"")"),"CTRL을 사용하면 대화 속도를 높일 수 있습니다.")</f>
        <v>CTRL을 사용하면 대화 속도를 높일 수 있습니다.</v>
      </c>
      <c r="G5" s="71" t="str">
        <f>IFERROR(__xludf.DUMMYFUNCTION("GOOGLETRANSLATE(A5,""zh-tw"",""ru"")"),"CTRL может ускорить разговор.")</f>
        <v>CTRL может ускорить разговор.</v>
      </c>
      <c r="H5" s="208" t="s">
        <v>4054</v>
      </c>
      <c r="I5" s="124" t="s">
        <v>4055</v>
      </c>
      <c r="J5" s="124" t="s">
        <v>4056</v>
      </c>
      <c r="K5" s="65"/>
      <c r="L5" s="65"/>
      <c r="M5" s="65"/>
      <c r="N5" s="65"/>
      <c r="O5" s="65"/>
      <c r="P5" s="65"/>
      <c r="Q5" s="65"/>
      <c r="R5" s="65"/>
      <c r="S5" s="65"/>
      <c r="T5" s="65"/>
      <c r="U5" s="65"/>
      <c r="V5" s="65"/>
      <c r="W5" s="65"/>
    </row>
    <row r="6">
      <c r="A6" s="69" t="s">
        <v>4057</v>
      </c>
      <c r="B6" s="208" t="str">
        <f>IFERROR(__xludf.DUMMYFUNCTION("GOOGLETRANSLATE(A6,""zh-tw"",""ja"")"),"Z キーを押すと、会話が進みます。")</f>
        <v>Z キーを押すと、会話が進みます。</v>
      </c>
      <c r="C6" s="69" t="s">
        <v>4058</v>
      </c>
      <c r="D6" s="208" t="str">
        <f>IFERROR(__xludf.DUMMYFUNCTION("GOOGLETRANSLATE(A6,""zh-tw"",""zh"")"),"Z键可以推进对话")</f>
        <v>Z键可以推进对话</v>
      </c>
      <c r="E6" s="71" t="str">
        <f>IFERROR(__xludf.DUMMYFUNCTION("GOOGLETRANSLATE(A6,""zh-tw"",""es-MX"")"),"La tecla Z avanza el diálogo.")</f>
        <v>La tecla Z avanza el diálogo.</v>
      </c>
      <c r="F6" s="209" t="str">
        <f>IFERROR(__xludf.DUMMYFUNCTION("GOOGLETRANSLATE(A6,""zh-tw"",""KO"")"),"Z 키는 대화를 진행합니다.")</f>
        <v>Z 키는 대화를 진행합니다.</v>
      </c>
      <c r="G6" s="71" t="str">
        <f>IFERROR(__xludf.DUMMYFUNCTION("GOOGLETRANSLATE(A6,""zh-tw"",""ru"")"),"Клавиша Z перемещает диалог вперед.")</f>
        <v>Клавиша Z перемещает диалог вперед.</v>
      </c>
      <c r="H6" s="208" t="s">
        <v>4059</v>
      </c>
      <c r="I6" s="124" t="s">
        <v>4060</v>
      </c>
      <c r="J6" s="124" t="s">
        <v>4061</v>
      </c>
      <c r="K6" s="65"/>
      <c r="L6" s="65"/>
      <c r="M6" s="65"/>
      <c r="N6" s="65"/>
      <c r="O6" s="65"/>
      <c r="P6" s="65"/>
      <c r="Q6" s="65"/>
      <c r="R6" s="65"/>
      <c r="S6" s="65"/>
      <c r="T6" s="65"/>
      <c r="U6" s="65"/>
      <c r="V6" s="65"/>
      <c r="W6" s="65"/>
    </row>
    <row r="7">
      <c r="A7" s="69" t="s">
        <v>4062</v>
      </c>
      <c r="B7" s="208" t="str">
        <f>IFERROR(__xludf.DUMMYFUNCTION("GOOGLETRANSLATE(A7,""zh-tw"",""ja"")"),"カメラを入手したら、F7 ですぐにスクリーンショットを撮ることができます。")</f>
        <v>カメラを入手したら、F7 ですぐにスクリーンショットを撮ることができます。</v>
      </c>
      <c r="C7" s="69" t="s">
        <v>4063</v>
      </c>
      <c r="D7" s="208" t="str">
        <f>IFERROR(__xludf.DUMMYFUNCTION("GOOGLETRANSLATE(A7,""zh-tw"",""zh"")"),"在取得相机后，F7可快速截图")</f>
        <v>在取得相机后，F7可快速截图</v>
      </c>
      <c r="E7" s="71" t="str">
        <f>IFERROR(__xludf.DUMMYFUNCTION("GOOGLETRANSLATE(A7,""zh-tw"",""es-MX"")"),"Después de obtener la cámara, la F7 puede tomar una captura de pantalla rápidamente.")</f>
        <v>Después de obtener la cámara, la F7 puede tomar una captura de pantalla rápidamente.</v>
      </c>
      <c r="F7" s="209" t="str">
        <f>IFERROR(__xludf.DUMMYFUNCTION("GOOGLETRANSLATE(A7,""zh-tw"",""KO"")"),"F7은 카메라를 얻은 후 빠르게 스크린샷을 찍을 수 있습니다.")</f>
        <v>F7은 카메라를 얻은 후 빠르게 스크린샷을 찍을 수 있습니다.</v>
      </c>
      <c r="G7" s="71"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208" t="s">
        <v>4064</v>
      </c>
      <c r="I7" s="124" t="s">
        <v>4065</v>
      </c>
      <c r="J7" s="124" t="s">
        <v>4066</v>
      </c>
      <c r="K7" s="65"/>
      <c r="L7" s="65"/>
      <c r="M7" s="65"/>
      <c r="N7" s="65"/>
      <c r="O7" s="65"/>
      <c r="P7" s="65"/>
      <c r="Q7" s="65"/>
      <c r="R7" s="65"/>
      <c r="S7" s="65"/>
      <c r="T7" s="65"/>
      <c r="U7" s="65"/>
      <c r="V7" s="65"/>
      <c r="W7" s="65"/>
    </row>
    <row r="8">
      <c r="A8" s="69" t="s">
        <v>4067</v>
      </c>
      <c r="B8" s="208" t="str">
        <f>IFERROR(__xludf.DUMMYFUNCTION("GOOGLETRANSLATE(A8,""zh-tw"",""ja"")"),"F12 キーを押してコンソールを表示します。")</f>
        <v>F12 キーを押してコンソールを表示します。</v>
      </c>
      <c r="C8" s="69" t="s">
        <v>4068</v>
      </c>
      <c r="D8" s="208" t="str">
        <f>IFERROR(__xludf.DUMMYFUNCTION("GOOGLETRANSLATE(A8,""zh-tw"",""zh"")"),"F12可显示控制台")</f>
        <v>F12可显示控制台</v>
      </c>
      <c r="E8" s="71" t="str">
        <f>IFERROR(__xludf.DUMMYFUNCTION("GOOGLETRANSLATE(A8,""zh-tw"",""es-MX"")"),"Presione F12 para mostrar la consola.")</f>
        <v>Presione F12 para mostrar la consola.</v>
      </c>
      <c r="F8" s="209" t="str">
        <f>IFERROR(__xludf.DUMMYFUNCTION("GOOGLETRANSLATE(A8,""zh-tw"",""KO"")"),"F12를 눌러 콘솔을 표시합니다.")</f>
        <v>F12를 눌러 콘솔을 표시합니다.</v>
      </c>
      <c r="G8" s="71" t="str">
        <f>IFERROR(__xludf.DUMMYFUNCTION("GOOGLETRANSLATE(A8,""zh-tw"",""ru"")"),"Нажмите F12, чтобы отобразить консоль.")</f>
        <v>Нажмите F12, чтобы отобразить консоль.</v>
      </c>
      <c r="H8" s="208" t="s">
        <v>4069</v>
      </c>
      <c r="I8" s="124" t="s">
        <v>4070</v>
      </c>
      <c r="J8" s="124" t="s">
        <v>4071</v>
      </c>
      <c r="K8" s="65"/>
      <c r="L8" s="65"/>
      <c r="M8" s="65"/>
      <c r="N8" s="65"/>
      <c r="O8" s="65"/>
      <c r="P8" s="65"/>
      <c r="Q8" s="65"/>
      <c r="R8" s="65"/>
      <c r="S8" s="65"/>
      <c r="T8" s="65"/>
      <c r="U8" s="65"/>
      <c r="V8" s="65"/>
      <c r="W8" s="65"/>
    </row>
    <row r="9">
      <c r="A9" s="69" t="s">
        <v>4072</v>
      </c>
      <c r="B9" s="208"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69" t="s">
        <v>4073</v>
      </c>
      <c r="D9" s="208"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71"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9" s="209"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71"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208" t="s">
        <v>4074</v>
      </c>
      <c r="I9" s="124" t="s">
        <v>4075</v>
      </c>
      <c r="J9" s="124" t="s">
        <v>4076</v>
      </c>
      <c r="K9" s="65"/>
      <c r="L9" s="65"/>
      <c r="M9" s="65"/>
      <c r="N9" s="65"/>
      <c r="O9" s="65"/>
      <c r="P9" s="65"/>
      <c r="Q9" s="65"/>
      <c r="R9" s="65"/>
      <c r="S9" s="65"/>
      <c r="T9" s="65"/>
      <c r="U9" s="65"/>
      <c r="V9" s="65"/>
      <c r="W9" s="65"/>
    </row>
    <row r="10">
      <c r="A10" s="69" t="s">
        <v>4077</v>
      </c>
      <c r="B10" s="208"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69" t="s">
        <v>4078</v>
      </c>
      <c r="D10" s="208"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71" t="str">
        <f>IFERROR(__xludf.DUMMYFUNCTION("GOOGLETRANSLATE(A10,""zh-tw"",""es-MX"")"),"Las estadísticas para 7 estrellas de afinidad son: 100-200-300-400-500-600-700. En la versión 0.6, la experiencia de juego completa se completa con solo 4 estrellas; no es necesario alcanzar las 7 estrellas.")</f>
        <v>Las estadísticas para 7 estrellas de afinidad son: 100-200-300-400-500-600-700. En la versión 0.6, la experiencia de juego completa se completa con solo 4 estrellas; no es necesario alcanzar las 7 estrellas.</v>
      </c>
      <c r="F10" s="209" t="str">
        <f>IFERROR(__xludf.DUMMYFUNCTION("GOOGLETRANSLATE(A10,""zh-tw"",""KO"")"),"7개의 친밀도 별에 대한 능력치는 다음과 같습니다: 100-200-300-400-500-600-700. 0.6 버전에서는 4개의 별만으로도 전체 게임을 완료할 수 있으므로 7개의 별을 달성할 필요가 없습니다.")</f>
        <v>7개의 친밀도 별에 대한 능력치는 다음과 같습니다: 100-200-300-400-500-600-700. 0.6 버전에서는 4개의 별만으로도 전체 게임을 완료할 수 있으므로 7개의 별을 달성할 필요가 없습니다.</v>
      </c>
      <c r="G10" s="71" t="str">
        <f>IFERROR(__xludf.DUMMYFUNCTION("GOOGLETRANSLATE(A10,""zh-tw"",""ru"")"),"Характеристики для 7 звёзд сродства: 100-200-300-400-500-600-700. В версии 0.6 для полноценной игры достаточно всего 4 звёзд; достижение 7 звёзд необязательно.")</f>
        <v>Характеристики для 7 звёзд сродства: 100-200-300-400-500-600-700. В версии 0.6 для полноценной игры достаточно всего 4 звёзд; достижение 7 звёзд необязательно.</v>
      </c>
      <c r="H10" s="208" t="s">
        <v>4079</v>
      </c>
      <c r="I10" s="124" t="s">
        <v>4080</v>
      </c>
      <c r="J10" s="124" t="s">
        <v>4081</v>
      </c>
      <c r="K10" s="65"/>
      <c r="L10" s="65"/>
      <c r="M10" s="65"/>
      <c r="N10" s="65"/>
      <c r="O10" s="65"/>
      <c r="P10" s="65"/>
      <c r="Q10" s="65"/>
      <c r="R10" s="65"/>
      <c r="S10" s="65"/>
      <c r="T10" s="65"/>
      <c r="U10" s="65"/>
      <c r="V10" s="65"/>
      <c r="W10" s="65"/>
    </row>
    <row r="11">
      <c r="A11" s="69" t="s">
        <v>4082</v>
      </c>
      <c r="B11" s="208" t="s">
        <v>4083</v>
      </c>
      <c r="C11" s="69" t="s">
        <v>4084</v>
      </c>
      <c r="D11" s="208" t="str">
        <f>IFERROR(__xludf.DUMMYFUNCTION("GOOGLETRANSLATE(A11,""zh-tw"",""zh"")"),"目前版本想要快速满红心和紫心的作法就是和妹妹玩游戏以及夜袭")</f>
        <v>目前版本想要快速满红心和紫心的作法就是和妹妹玩游戏以及夜袭</v>
      </c>
      <c r="E11" s="71" t="str">
        <f>IFERROR(__xludf.DUMMYFUNCTION("GOOGLETRANSLATE(A11,""zh-tw"",""es-MX"")"),"El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11" s="209"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71"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208" t="s">
        <v>4085</v>
      </c>
      <c r="I11" s="124" t="s">
        <v>4086</v>
      </c>
      <c r="J11" s="124" t="s">
        <v>4087</v>
      </c>
      <c r="K11" s="65"/>
      <c r="L11" s="65"/>
      <c r="M11" s="65"/>
      <c r="N11" s="65"/>
      <c r="O11" s="65"/>
      <c r="P11" s="65"/>
      <c r="Q11" s="65"/>
      <c r="R11" s="65"/>
      <c r="S11" s="65"/>
      <c r="T11" s="65"/>
      <c r="U11" s="65"/>
      <c r="V11" s="65"/>
      <c r="W11" s="65"/>
    </row>
    <row r="12">
      <c r="A12" s="69" t="s">
        <v>4088</v>
      </c>
      <c r="B12" s="208" t="s">
        <v>4089</v>
      </c>
      <c r="C12" s="69" t="s">
        <v>4090</v>
      </c>
      <c r="D12" s="208" t="str">
        <f>IFERROR(__xludf.DUMMYFUNCTION("GOOGLETRANSLATE(A12,""zh-tw"",""zh"")"),"想和妹妹共浴吗? 请先到达2爱心")</f>
        <v>想和妹妹共浴吗? 请先到达2爱心</v>
      </c>
      <c r="E12" s="71" t="str">
        <f>IFERROR(__xludf.DUMMYFUNCTION("GOOGLETRANSLATE(A12,""zh-tw"",""es-MX"")"),"¿Quieres bañarte con tu hermana? Consigue 2 corazones primero.")</f>
        <v>¿Quieres bañarte con tu hermana? Consigue 2 corazones primero.</v>
      </c>
      <c r="F12" s="209" t="str">
        <f>IFERROR(__xludf.DUMMYFUNCTION("GOOGLETRANSLATE(A12,""zh-tw"",""KO"")"),"언니랑 같이 목욕하고 싶으세요? 먼저 하트 2개를 달성하세요.")</f>
        <v>언니랑 같이 목욕하고 싶으세요? 먼저 하트 2개를 달성하세요.</v>
      </c>
      <c r="G12" s="71" t="str">
        <f>IFERROR(__xludf.DUMMYFUNCTION("GOOGLETRANSLATE(A12,""zh-tw"",""ru"")"),"Хотите искупаться с сестрой? Сначала наберите 2 сердечка.")</f>
        <v>Хотите искупаться с сестрой? Сначала наберите 2 сердечка.</v>
      </c>
      <c r="H12" s="208" t="s">
        <v>4091</v>
      </c>
      <c r="I12" s="124" t="s">
        <v>4092</v>
      </c>
      <c r="J12" s="124" t="s">
        <v>4093</v>
      </c>
      <c r="K12" s="65"/>
      <c r="L12" s="65"/>
      <c r="M12" s="65"/>
      <c r="N12" s="65"/>
      <c r="O12" s="65"/>
      <c r="P12" s="65"/>
      <c r="Q12" s="65"/>
      <c r="R12" s="65"/>
      <c r="S12" s="65"/>
      <c r="T12" s="65"/>
      <c r="U12" s="65"/>
      <c r="V12" s="65"/>
      <c r="W12" s="65"/>
    </row>
    <row r="13">
      <c r="A13" s="69" t="s">
        <v>4094</v>
      </c>
      <c r="B13" s="208" t="s">
        <v>4095</v>
      </c>
      <c r="C13" s="69" t="s">
        <v>4096</v>
      </c>
      <c r="D13" s="208" t="str">
        <f>IFERROR(__xludf.DUMMYFUNCTION("GOOGLETRANSLATE(A13,""zh-tw"",""zh"")"),"假如很不幸地遇到遇到卡点，可以发呆到下午5点自动回家")</f>
        <v>假如很不幸地遇到遇到卡点，可以发呆到下午5点自动回家</v>
      </c>
      <c r="E13" s="71" t="str">
        <f>IFERROR(__xludf.DUMMYFUNCTION("GOOGLETRANSLATE(A13,""zh-tw"",""es-MX"")"),"Si por desgracia te encuentras con un puesto de control, puedes esperar hasta las 17:00 y regresar a casa automáticamente.")</f>
        <v>Si por desgracia te encuentras con un puesto de control, puedes esperar hasta las 17:00 y regresar a casa automáticamente.</v>
      </c>
      <c r="F13" s="209" t="str">
        <f>IFERROR(__xludf.DUMMYFUNCTION("GOOGLETRANSLATE(A13,""zh-tw"",""KO"")"),"불행히도 검문소에 도착하면 오후 5시까지 기다리면 자동으로 집으로 돌아갈 수 있습니다.")</f>
        <v>불행히도 검문소에 도착하면 오후 5시까지 기다리면 자동으로 집으로 돌아갈 수 있습니다.</v>
      </c>
      <c r="G13" s="71"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208" t="s">
        <v>4097</v>
      </c>
      <c r="I13" s="124" t="s">
        <v>4098</v>
      </c>
      <c r="J13" s="124" t="s">
        <v>4099</v>
      </c>
      <c r="K13" s="65"/>
      <c r="L13" s="65"/>
      <c r="M13" s="65"/>
      <c r="N13" s="65"/>
      <c r="O13" s="65"/>
      <c r="P13" s="65"/>
      <c r="Q13" s="65"/>
      <c r="R13" s="65"/>
      <c r="S13" s="65"/>
      <c r="T13" s="65"/>
      <c r="U13" s="65"/>
      <c r="V13" s="65"/>
      <c r="W13" s="65"/>
    </row>
    <row r="14">
      <c r="A14" s="69" t="s">
        <v>4100</v>
      </c>
      <c r="B14" s="208" t="str">
        <f>IFERROR(__xludf.DUMMYFUNCTION("GOOGLETRANSLATE(A14,""zh-tw"",""ja"")"),"夜襲は兄の性欲が一定値を超えた時のみ発動します。")</f>
        <v>夜襲は兄の性欲が一定値を超えた時のみ発動します。</v>
      </c>
      <c r="C14" s="69" t="s">
        <v>4101</v>
      </c>
      <c r="D14" s="208" t="str">
        <f>IFERROR(__xludf.DUMMYFUNCTION("GOOGLETRANSLATE(A14,""zh-tw"",""zh"")"),"当哥哥性欲值高于一定数值才会触发夜袭")</f>
        <v>当哥哥性欲值高于一定数值才会触发夜袭</v>
      </c>
      <c r="E14" s="71" t="str">
        <f>IFERROR(__xludf.DUMMYFUNCTION("GOOGLETRANSLATE(A14,""zh-tw"",""es-MX"")"),"La incursión nocturna solo se activará cuando la libido del hermano mayor supere un cierto valor.")</f>
        <v>La incursión nocturna solo se activará cuando la libido del hermano mayor supere un cierto valor.</v>
      </c>
      <c r="F14" s="209" t="str">
        <f>IFERROR(__xludf.DUMMYFUNCTION("GOOGLETRANSLATE(A14,""zh-tw"",""KO"")"),"나이트 레이드는 형의 리비도가 일정 수치를 넘을 때만 발동됩니다.")</f>
        <v>나이트 레이드는 형의 리비도가 일정 수치를 넘을 때만 발동됩니다.</v>
      </c>
      <c r="G14" s="71" t="str">
        <f>IFERROR(__xludf.DUMMYFUNCTION("GOOGLETRANSLATE(A14,""zh-tw"",""ru"")"),"Ночной рейд произойдет только тогда, когда либидо старшего брата превысит определенное значение.")</f>
        <v>Ночной рейд произойдет только тогда, когда либидо старшего брата превысит определенное значение.</v>
      </c>
      <c r="H14" s="208" t="s">
        <v>4102</v>
      </c>
      <c r="I14" s="124" t="s">
        <v>4103</v>
      </c>
      <c r="J14" s="124" t="s">
        <v>4104</v>
      </c>
      <c r="K14" s="65"/>
      <c r="L14" s="65"/>
      <c r="M14" s="65"/>
      <c r="N14" s="65"/>
      <c r="O14" s="65"/>
      <c r="P14" s="65"/>
      <c r="Q14" s="65"/>
      <c r="R14" s="65"/>
      <c r="S14" s="65"/>
      <c r="T14" s="65"/>
      <c r="U14" s="65"/>
      <c r="V14" s="65"/>
      <c r="W14" s="65"/>
    </row>
    <row r="15">
      <c r="A15" s="69" t="s">
        <v>4105</v>
      </c>
      <c r="B15" s="208"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69" t="s">
        <v>4106</v>
      </c>
      <c r="D15" s="208" t="str">
        <f>IFERROR(__xludf.DUMMYFUNCTION("GOOGLETRANSLATE(A15,""zh-tw"",""zh"")"),"若打爆了扭蛋机别担心，使用塔罗牌能随时再召唤")</f>
        <v>若打爆了扭蛋机别担心，使用塔罗牌能随时再召唤</v>
      </c>
      <c r="E15" s="71" t="str">
        <f>IFERROR(__xludf.DUMMYFUNCTION("GOOGLETRANSLATE(A15,""zh-tw"",""es-MX"")"),"No te preocupes si rompes la máquina gashapon; puedes invocarla nuevamente en cualquier momento usando cartas del tarot.")</f>
        <v>No te preocupes si rompes la máquina gashapon; puedes invocarla nuevamente en cualquier momento usando cartas del tarot.</v>
      </c>
      <c r="F15" s="209"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71"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208" t="s">
        <v>4107</v>
      </c>
      <c r="I15" s="66" t="s">
        <v>4108</v>
      </c>
      <c r="J15" s="124" t="s">
        <v>4109</v>
      </c>
      <c r="K15" s="65"/>
      <c r="L15" s="65"/>
      <c r="M15" s="65"/>
      <c r="N15" s="65"/>
      <c r="O15" s="65"/>
      <c r="P15" s="65"/>
      <c r="Q15" s="65"/>
      <c r="R15" s="65"/>
      <c r="S15" s="65"/>
      <c r="T15" s="65"/>
      <c r="U15" s="65"/>
      <c r="V15" s="65"/>
      <c r="W15" s="65"/>
    </row>
    <row r="16">
      <c r="A16" s="69" t="s">
        <v>4110</v>
      </c>
      <c r="B16" s="208" t="str">
        <f>IFERROR(__xludf.DUMMYFUNCTION("GOOGLETRANSLATE(A16,""zh-tw"",""ja"")"),"ガシャポンマシンの後ろから近づくと飛び出します。")</f>
        <v>ガシャポンマシンの後ろから近づくと飛び出します。</v>
      </c>
      <c r="C16" s="69" t="s">
        <v>4111</v>
      </c>
      <c r="D16" s="208" t="str">
        <f>IFERROR(__xludf.DUMMYFUNCTION("GOOGLETRANSLATE(A16,""zh-tw"",""zh"")"),"从后方接近扭蛋机，扭蛋机会跳起")</f>
        <v>从后方接近扭蛋机，扭蛋机会跳起</v>
      </c>
      <c r="E16" s="71" t="str">
        <f>IFERROR(__xludf.DUMMYFUNCTION("GOOGLETRANSLATE(A16,""zh-tw"",""es-MX"")"),"Acércate a la máquina gashapon por detrás y aparecerá.")</f>
        <v>Acércate a la máquina gashapon por detrás y aparecerá.</v>
      </c>
      <c r="F16" s="209" t="str">
        <f>IFERROR(__xludf.DUMMYFUNCTION("GOOGLETRANSLATE(A16,""zh-tw"",""KO"")"),"가샤폰 기계 뒤에서 다가가면 기계가 튀어나옵니다.")</f>
        <v>가샤폰 기계 뒤에서 다가가면 기계가 튀어나옵니다.</v>
      </c>
      <c r="G16" s="71" t="str">
        <f>IFERROR(__xludf.DUMMYFUNCTION("GOOGLETRANSLATE(A16,""zh-tw"",""ru"")"),"Подойдите к автомату по производству гасяпонов сзади, и он появится.")</f>
        <v>Подойдите к автомату по производству гасяпонов сзади, и он появится.</v>
      </c>
      <c r="H16" s="208" t="s">
        <v>4112</v>
      </c>
      <c r="I16" s="124" t="s">
        <v>4113</v>
      </c>
      <c r="J16" s="124" t="s">
        <v>4114</v>
      </c>
      <c r="K16" s="65"/>
      <c r="L16" s="65"/>
      <c r="M16" s="65"/>
      <c r="N16" s="65"/>
      <c r="O16" s="65"/>
      <c r="P16" s="65"/>
      <c r="Q16" s="65"/>
      <c r="R16" s="65"/>
      <c r="S16" s="65"/>
      <c r="T16" s="65"/>
      <c r="U16" s="65"/>
      <c r="V16" s="65"/>
      <c r="W16" s="65"/>
    </row>
    <row r="17">
      <c r="A17" s="69" t="s">
        <v>4115</v>
      </c>
      <c r="B17" s="208" t="s">
        <v>4116</v>
      </c>
      <c r="C17" s="69" t="s">
        <v>4117</v>
      </c>
      <c r="D17" s="208" t="str">
        <f>IFERROR(__xludf.DUMMYFUNCTION("GOOGLETRANSLATE(A17,""zh-tw"",""zh"")"),"扭蛋奖品可以使用远距离武器攻击，快速开启")</f>
        <v>扭蛋奖品可以使用远距离武器攻击，快速开启</v>
      </c>
      <c r="E17" s="71" t="str">
        <f>IFERROR(__xludf.DUMMYFUNCTION("GOOGLETRANSLATE(A17,""zh-tw"",""es-MX"")"),"Los premios de Gacha se pueden usar para atacar con armas a distancia y se pueden abrir rápidamente.")</f>
        <v>Los premios de Gacha se pueden usar para atacar con armas a distancia y se pueden abrir rápidamente.</v>
      </c>
      <c r="F17" s="209"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71" t="str">
        <f>IFERROR(__xludf.DUMMYFUNCTION("GOOGLETRANSLATE(A17,""zh-tw"",""ru"")"),"Призы Гачи можно использовать для атаки оружием дальнего боя и открывать их можно быстро.")</f>
        <v>Призы Гачи можно использовать для атаки оружием дальнего боя и открывать их можно быстро.</v>
      </c>
      <c r="H17" s="208" t="s">
        <v>4118</v>
      </c>
      <c r="I17" s="124" t="s">
        <v>4119</v>
      </c>
      <c r="J17" s="124" t="s">
        <v>4120</v>
      </c>
      <c r="K17" s="65"/>
      <c r="L17" s="65"/>
      <c r="M17" s="65"/>
      <c r="N17" s="65"/>
      <c r="O17" s="65"/>
      <c r="P17" s="65"/>
      <c r="Q17" s="65"/>
      <c r="R17" s="65"/>
      <c r="S17" s="65"/>
      <c r="T17" s="65"/>
      <c r="U17" s="65"/>
      <c r="V17" s="65"/>
      <c r="W17" s="65"/>
    </row>
    <row r="18">
      <c r="A18" s="69" t="s">
        <v>4121</v>
      </c>
      <c r="B18" s="208" t="s">
        <v>4122</v>
      </c>
      <c r="C18" s="69" t="s">
        <v>4123</v>
      </c>
      <c r="D18" s="208" t="str">
        <f>IFERROR(__xludf.DUMMYFUNCTION("GOOGLETRANSLATE(A18,""zh-tw"",""zh"")"),"扭蛋机的金蛋只有2%概率出现")</f>
        <v>扭蛋机的金蛋只有2%概率出现</v>
      </c>
      <c r="E18" s="71" t="str">
        <f>IFERROR(__xludf.DUMMYFUNCTION("GOOGLETRANSLATE(A18,""zh-tw"",""es-MX"")"),"El huevo dorado en la máquina gashapon tiene solo un 2% de posibilidades de aparecer.")</f>
        <v>El huevo dorado en la máquina gashapon tiene solo un 2% de posibilidades de aparecer.</v>
      </c>
      <c r="F18" s="209" t="str">
        <f>IFERROR(__xludf.DUMMYFUNCTION("GOOGLETRANSLATE(A18,""zh-tw"",""KO"")"),"가샤폰 기계에서 황금알이 나올 확률은 2%에 불과합니다.")</f>
        <v>가샤폰 기계에서 황금알이 나올 확률은 2%에 불과합니다.</v>
      </c>
      <c r="G18" s="71"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208" t="s">
        <v>4124</v>
      </c>
      <c r="I18" s="124" t="s">
        <v>4125</v>
      </c>
      <c r="J18" s="124" t="s">
        <v>4126</v>
      </c>
      <c r="K18" s="65"/>
      <c r="L18" s="65"/>
      <c r="M18" s="65"/>
      <c r="N18" s="65"/>
      <c r="O18" s="65"/>
      <c r="P18" s="65"/>
      <c r="Q18" s="65"/>
      <c r="R18" s="65"/>
      <c r="S18" s="65"/>
      <c r="T18" s="65"/>
      <c r="U18" s="65"/>
      <c r="V18" s="65"/>
      <c r="W18" s="65"/>
    </row>
    <row r="19">
      <c r="A19" s="69" t="s">
        <v>4127</v>
      </c>
      <c r="B19" s="208" t="s">
        <v>4128</v>
      </c>
      <c r="C19" s="69" t="s">
        <v>4129</v>
      </c>
      <c r="D19" s="208" t="str">
        <f>IFERROR(__xludf.DUMMYFUNCTION("GOOGLETRANSLATE(A19,""zh-tw"",""zh"")"),"扭蛋机的爱好与妹妹差不多")</f>
        <v>扭蛋机的爱好与妹妹差不多</v>
      </c>
      <c r="E19" s="71" t="str">
        <f>IFERROR(__xludf.DUMMYFUNCTION("GOOGLETRANSLATE(A19,""zh-tw"",""es-MX"")"),"Mi amor por las máquinas gashapon es similar al de mi hermana.")</f>
        <v>Mi amor por las máquinas gashapon es similar al de mi hermana.</v>
      </c>
      <c r="F19" s="209" t="str">
        <f>IFERROR(__xludf.DUMMYFUNCTION("GOOGLETRANSLATE(A19,""zh-tw"",""KO"")"),"저는 언니와 마찬가지로 가샤폰 머신을 좋아합니다.")</f>
        <v>저는 언니와 마찬가지로 가샤폰 머신을 좋아합니다.</v>
      </c>
      <c r="G19" s="71"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208" t="s">
        <v>4130</v>
      </c>
      <c r="I19" s="124" t="s">
        <v>4131</v>
      </c>
      <c r="J19" s="124" t="s">
        <v>4132</v>
      </c>
      <c r="K19" s="65"/>
      <c r="L19" s="65"/>
      <c r="M19" s="65"/>
      <c r="N19" s="65"/>
      <c r="O19" s="65"/>
      <c r="P19" s="65"/>
      <c r="Q19" s="65"/>
      <c r="R19" s="65"/>
      <c r="S19" s="65"/>
      <c r="T19" s="65"/>
      <c r="U19" s="65"/>
      <c r="V19" s="65"/>
      <c r="W19" s="65"/>
    </row>
    <row r="20">
      <c r="A20" s="69" t="s">
        <v>4133</v>
      </c>
      <c r="B20" s="208" t="s">
        <v>4134</v>
      </c>
      <c r="C20" s="69" t="s">
        <v>4135</v>
      </c>
      <c r="D20" s="208" t="str">
        <f>IFERROR(__xludf.DUMMYFUNCTION("GOOGLETRANSLATE(A20,""zh-tw"",""zh"")"),"在投钱进入扭蛋机前，最好先保证机器完好无损，因为机器血量会影响扭蛋数量")</f>
        <v>在投钱进入扭蛋机前，最好先保证机器完好无损，因为机器血量会影响扭蛋数量</v>
      </c>
      <c r="E20" s="71" t="str">
        <f>IFERROR(__xludf.DUMMYFUNCTION("GOOGLETRANSLATE(A20,""zh-tw"",""es-MX"")"),"Antes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20" s="209"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71"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208" t="s">
        <v>4136</v>
      </c>
      <c r="I20" s="124" t="s">
        <v>4137</v>
      </c>
      <c r="J20" s="124" t="s">
        <v>4138</v>
      </c>
      <c r="K20" s="65"/>
      <c r="L20" s="65"/>
      <c r="M20" s="65"/>
      <c r="N20" s="65"/>
      <c r="O20" s="65"/>
      <c r="P20" s="65"/>
      <c r="Q20" s="65"/>
      <c r="R20" s="65"/>
      <c r="S20" s="65"/>
      <c r="T20" s="65"/>
      <c r="U20" s="65"/>
      <c r="V20" s="65"/>
      <c r="W20" s="65"/>
    </row>
    <row r="21">
      <c r="A21" s="69" t="s">
        <v>4139</v>
      </c>
      <c r="B21" s="208" t="s">
        <v>4140</v>
      </c>
      <c r="C21" s="69" t="s">
        <v>4141</v>
      </c>
      <c r="D21" s="208" t="str">
        <f>IFERROR(__xludf.DUMMYFUNCTION("GOOGLETRANSLATE(A21,""zh-tw"",""zh"")"),"召唤门若位置不好，可以破坏并重新召唤")</f>
        <v>召唤门若位置不好，可以破坏并重新召唤</v>
      </c>
      <c r="E21" s="71" t="str">
        <f>IFERROR(__xludf.DUMMYFUNCTION("GOOGLETRANSLATE(A21,""zh-tw"",""es-MX"")"),"Si el portal de invocación está mal posicionado, puede destruirse y volver a invocarse.")</f>
        <v>Si el portal de invocación está mal posicionado, puede destruirse y volver a invocarse.</v>
      </c>
      <c r="F21" s="209" t="str">
        <f>IFERROR(__xludf.DUMMYFUNCTION("GOOGLETRANSLATE(A21,""zh-tw"",""KO"")"),"소환 포털의 위치가 좋지 않으면 파괴되었다가 다시 소환될 수 있습니다.")</f>
        <v>소환 포털의 위치가 좋지 않으면 파괴되었다가 다시 소환될 수 있습니다.</v>
      </c>
      <c r="G21" s="71"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208" t="s">
        <v>4142</v>
      </c>
      <c r="I21" s="124" t="s">
        <v>4143</v>
      </c>
      <c r="J21" s="124" t="s">
        <v>4144</v>
      </c>
      <c r="K21" s="65"/>
      <c r="L21" s="65"/>
      <c r="M21" s="65"/>
      <c r="N21" s="65"/>
      <c r="O21" s="65"/>
      <c r="P21" s="65"/>
      <c r="Q21" s="65"/>
      <c r="R21" s="65"/>
      <c r="S21" s="65"/>
      <c r="T21" s="65"/>
      <c r="U21" s="65"/>
      <c r="V21" s="65"/>
      <c r="W21" s="65"/>
    </row>
    <row r="22">
      <c r="A22" s="69" t="s">
        <v>4145</v>
      </c>
      <c r="B22" s="208" t="s">
        <v>4146</v>
      </c>
      <c r="C22" s="69" t="s">
        <v>4147</v>
      </c>
      <c r="D22" s="208" t="str">
        <f>IFERROR(__xludf.DUMMYFUNCTION("GOOGLETRANSLATE(A22,""zh-tw"",""zh"")"),"在洗面所的偷窥，会因为开门的多寡而影响被妹妹发现的机率")</f>
        <v>在洗面所的偷窥，会因为开门的多寡而影响被妹妹发现的机率</v>
      </c>
      <c r="E22" s="71" t="str">
        <f>IFERROR(__xludf.DUMMYFUNCTION("GOOGLETRANSLATE(A22,""zh-tw"",""es-MX"")"),"Las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2" s="209"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71"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208" t="s">
        <v>4148</v>
      </c>
      <c r="I22" s="66" t="s">
        <v>4149</v>
      </c>
      <c r="J22" s="124" t="s">
        <v>4150</v>
      </c>
      <c r="K22" s="65"/>
      <c r="L22" s="65"/>
      <c r="M22" s="65"/>
      <c r="N22" s="65"/>
      <c r="O22" s="65"/>
      <c r="P22" s="65"/>
      <c r="Q22" s="65"/>
      <c r="R22" s="65"/>
      <c r="S22" s="65"/>
      <c r="T22" s="65"/>
      <c r="U22" s="65"/>
      <c r="V22" s="65"/>
      <c r="W22" s="65"/>
    </row>
    <row r="23">
      <c r="A23" s="69" t="s">
        <v>4151</v>
      </c>
      <c r="B23" s="208" t="str">
        <f>IFERROR(__xludf.DUMMYFUNCTION("GOOGLETRANSLATE(A23,""zh-tw"",""ja"")"),"メカが消えるとマップ名が変わります。")</f>
        <v>メカが消えるとマップ名が変わります。</v>
      </c>
      <c r="C23" s="69" t="s">
        <v>4152</v>
      </c>
      <c r="D23" s="208" t="str">
        <f>IFERROR(__xludf.DUMMYFUNCTION("GOOGLETRANSLATE(A23,""zh-tw"",""zh"")"),"机甲消失后，该地图名称会改变")</f>
        <v>机甲消失后，该地图名称会改变</v>
      </c>
      <c r="E23" s="71" t="str">
        <f>IFERROR(__xludf.DUMMYFUNCTION("GOOGLETRANSLATE(A23,""zh-tw"",""es-MX"")"),"El nombre del mapa cambiará después de que el mech desaparezca.")</f>
        <v>El nombre del mapa cambiará después de que el mech desaparezca.</v>
      </c>
      <c r="F23" s="209" t="str">
        <f>IFERROR(__xludf.DUMMYFUNCTION("GOOGLETRANSLATE(A23,""zh-tw"",""KO"")"),"메카가 사라지면 맵 이름이 변경됩니다.")</f>
        <v>메카가 사라지면 맵 이름이 변경됩니다.</v>
      </c>
      <c r="G23" s="71" t="str">
        <f>IFERROR(__xludf.DUMMYFUNCTION("GOOGLETRANSLATE(A23,""zh-tw"",""ru"")"),"Название карты изменится после исчезновения меха.")</f>
        <v>Название карты изменится после исчезновения меха.</v>
      </c>
      <c r="H23" s="208" t="s">
        <v>4153</v>
      </c>
      <c r="I23" s="66" t="s">
        <v>4154</v>
      </c>
      <c r="J23" s="124" t="s">
        <v>4155</v>
      </c>
      <c r="K23" s="65"/>
      <c r="L23" s="65"/>
      <c r="M23" s="65"/>
      <c r="N23" s="65"/>
      <c r="O23" s="65"/>
      <c r="P23" s="65"/>
      <c r="Q23" s="65"/>
      <c r="R23" s="65"/>
      <c r="S23" s="65"/>
      <c r="T23" s="65"/>
      <c r="U23" s="65"/>
      <c r="V23" s="65"/>
      <c r="W23" s="65"/>
    </row>
    <row r="24">
      <c r="A24" s="69" t="s">
        <v>4156</v>
      </c>
      <c r="B24" s="208" t="s">
        <v>4157</v>
      </c>
      <c r="C24" s="69" t="s">
        <v>4158</v>
      </c>
      <c r="D24" s="208" t="str">
        <f>IFERROR(__xludf.DUMMYFUNCTION("GOOGLETRANSLATE(A24,""zh-tw"",""zh"")"),"矿车行进中，可使用远距离武器攻击方向舵")</f>
        <v>矿车行进中，可使用远距离武器攻击方向舵</v>
      </c>
      <c r="E24" s="71" t="str">
        <f>IFERROR(__xludf.DUMMYFUNCTION("GOOGLETRANSLATE(A24,""zh-tw"",""es-MX"")"),"Mientras el carro minero esté en movimiento, el timón puede ser atacado con armas de largo alcance.")</f>
        <v>Mientras el carro minero esté en movimiento, el timón puede ser atacado con armas de largo alcance.</v>
      </c>
      <c r="F24" s="209" t="str">
        <f>IFERROR(__xludf.DUMMYFUNCTION("GOOGLETRANSLATE(A24,""zh-tw"",""KO"")"),"미니카트가 움직이는 동안 방향타는 장거리 무기로 공격받을 수 있습니다.")</f>
        <v>미니카트가 움직이는 동안 방향타는 장거리 무기로 공격받을 수 있습니다.</v>
      </c>
      <c r="G24" s="71" t="str">
        <f>IFERROR(__xludf.DUMMYFUNCTION("GOOGLETRANSLATE(A24,""zh-tw"",""ru"")"),"Во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4" s="208" t="s">
        <v>4159</v>
      </c>
      <c r="I24" s="124" t="s">
        <v>4160</v>
      </c>
      <c r="J24" s="67" t="s">
        <v>4161</v>
      </c>
      <c r="K24" s="65"/>
      <c r="L24" s="65"/>
      <c r="M24" s="65"/>
      <c r="N24" s="65"/>
      <c r="O24" s="65"/>
      <c r="P24" s="65"/>
      <c r="Q24" s="65"/>
      <c r="R24" s="65"/>
      <c r="S24" s="65"/>
      <c r="T24" s="65"/>
      <c r="U24" s="65"/>
      <c r="V24" s="65"/>
      <c r="W24" s="65"/>
    </row>
    <row r="25">
      <c r="A25" s="69" t="s">
        <v>4162</v>
      </c>
      <c r="B25" s="208" t="s">
        <v>4163</v>
      </c>
      <c r="C25" s="69" t="s">
        <v>4164</v>
      </c>
      <c r="D25" s="208" t="str">
        <f>IFERROR(__xludf.DUMMYFUNCTION("GOOGLETRANSLATE(A25,""zh-tw"",""zh"")"),"电击类武器碰到水...你懂的~ 包含下雨天")</f>
        <v>电击类武器碰到水...你懂的~ 包含下雨天</v>
      </c>
      <c r="E25" s="71" t="str">
        <f>IFERROR(__xludf.DUMMYFUNCTION("GOOGLETRANSLATE(A25,""zh-tw"",""es-MX"")"),"Armas de descarga eléctrica que entran en contacto con el agua... ya sabes lo que eso significa, incluidos los días lluviosos.")</f>
        <v>Armas de descarga eléctrica que entran en contacto con el agua... ya sabes lo que eso significa, incluidos los días lluviosos.</v>
      </c>
      <c r="F25" s="209" t="str">
        <f>IFERROR(__xludf.DUMMYFUNCTION("GOOGLETRANSLATE(A25,""zh-tw"",""KO"")"),"전기 충격 무기가 물에 닿으면... 무슨 뜻인지 아시죠~ 비오는 날도 포함해서요.")</f>
        <v>전기 충격 무기가 물에 닿으면... 무슨 뜻인지 아시죠~ 비오는 날도 포함해서요.</v>
      </c>
      <c r="G25" s="71" t="str">
        <f>IFERROR(__xludf.DUMMYFUNCTION("GOOGLETRANSLATE(A25,""zh-tw"",""ru"")"),"Электрошоковое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5" s="208" t="s">
        <v>4165</v>
      </c>
      <c r="I25" s="124" t="s">
        <v>4166</v>
      </c>
      <c r="J25" s="124" t="s">
        <v>4167</v>
      </c>
      <c r="K25" s="65"/>
      <c r="L25" s="65"/>
      <c r="M25" s="65"/>
      <c r="N25" s="65"/>
      <c r="O25" s="65"/>
      <c r="P25" s="65"/>
      <c r="Q25" s="65"/>
      <c r="R25" s="65"/>
      <c r="S25" s="65"/>
      <c r="T25" s="65"/>
      <c r="U25" s="65"/>
      <c r="V25" s="65"/>
      <c r="W25" s="65"/>
    </row>
    <row r="26">
      <c r="A26" s="69" t="s">
        <v>4168</v>
      </c>
      <c r="B26" s="208" t="s">
        <v>4169</v>
      </c>
      <c r="C26" s="69" t="s">
        <v>4170</v>
      </c>
      <c r="D26" s="208" t="str">
        <f>IFERROR(__xludf.DUMMYFUNCTION("GOOGLETRANSLATE(A26,""zh-tw"",""zh"")"),"炸弹除了无视防御炸岩石、炸水面，还可以炸自己")</f>
        <v>炸弹除了无视防御炸岩石、炸水面，还可以炸自己</v>
      </c>
      <c r="E26" s="71" t="str">
        <f>IFERROR(__xludf.DUMMYFUNCTION("GOOGLETRANSLATE(A26,""zh-tw"",""es-MX"")"),"Además de ignorar las defensas y hacer estallar rocas y agua, las bombas también pueden explotar por sí solas.")</f>
        <v>Además de ignorar las defensas y hacer estallar rocas y agua, las bombas también pueden explotar por sí solas.</v>
      </c>
      <c r="F26" s="209" t="str">
        <f>IFERROR(__xludf.DUMMYFUNCTION("GOOGLETRANSLATE(A26,""zh-tw"",""KO"")"),"방어 시설을 무시하고 바위와 물을 폭파하는 것 외에도 폭탄은 스스로 폭발할 수도 있습니다.")</f>
        <v>방어 시설을 무시하고 바위와 물을 폭파하는 것 외에도 폭탄은 스스로 폭발할 수도 있습니다.</v>
      </c>
      <c r="G26" s="71" t="str">
        <f>IFERROR(__xludf.DUMMYFUNCTION("GOOGLETRANSLATE(A26,""zh-tw"",""ru"")"),"Помимо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6" s="208" t="s">
        <v>4171</v>
      </c>
      <c r="I26" s="124" t="s">
        <v>4172</v>
      </c>
      <c r="J26" s="124" t="s">
        <v>4173</v>
      </c>
      <c r="K26" s="65"/>
      <c r="L26" s="65"/>
      <c r="M26" s="65"/>
      <c r="N26" s="65"/>
      <c r="O26" s="65"/>
      <c r="P26" s="65"/>
      <c r="Q26" s="65"/>
      <c r="R26" s="65"/>
      <c r="S26" s="65"/>
      <c r="T26" s="65"/>
      <c r="U26" s="65"/>
      <c r="V26" s="65"/>
      <c r="W26" s="65"/>
    </row>
    <row r="27">
      <c r="A27" s="69" t="s">
        <v>4174</v>
      </c>
      <c r="B27" s="208" t="str">
        <f>IFERROR(__xludf.DUMMYFUNCTION("GOOGLETRANSLATE(A27,""zh-tw"",""ja"")"),"ナイトはいい匂いがするらしいので、今後に期待してもいいかもしれません。")</f>
        <v>ナイトはいい匂いがするらしいので、今後に期待してもいいかもしれません。</v>
      </c>
      <c r="C27" s="69" t="s">
        <v>4175</v>
      </c>
      <c r="D27" s="208" t="s">
        <v>4176</v>
      </c>
      <c r="E27" s="71" t="str">
        <f>IFERROR(__xludf.DUMMYFUNCTION("GOOGLETRANSLATE(A27,""zh-tw"",""es-MX"")"),"Escuché... el Caballero huele muy bien, tal vez podamos mirar hacia el futuro.")</f>
        <v>Escuché... el Caballero huele muy bien, tal vez podamos mirar hacia el futuro.</v>
      </c>
      <c r="F27" s="209" t="str">
        <f>IFERROR(__xludf.DUMMYFUNCTION("GOOGLETRANSLATE(A27,""zh-tw"",""KO"")"),"들었어요... 기사의 냄새가 정말 좋다는군요. 앞으로의 미래를 기대할 수 있을 것 같아요.")</f>
        <v>들었어요... 기사의 냄새가 정말 좋다는군요. 앞으로의 미래를 기대할 수 있을 것 같아요.</v>
      </c>
      <c r="G27" s="71" t="str">
        <f>IFERROR(__xludf.DUMMYFUNCTION("GOOGLETRANSLATE(A27,""zh-tw"",""ru"")"),"Я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7" s="208" t="s">
        <v>4177</v>
      </c>
      <c r="I27" s="124" t="s">
        <v>4178</v>
      </c>
      <c r="J27" s="124" t="s">
        <v>4179</v>
      </c>
      <c r="K27" s="65"/>
      <c r="L27" s="65"/>
      <c r="M27" s="65"/>
      <c r="N27" s="65"/>
      <c r="O27" s="65"/>
      <c r="P27" s="65"/>
      <c r="Q27" s="65"/>
      <c r="R27" s="65"/>
      <c r="S27" s="65"/>
      <c r="T27" s="65"/>
      <c r="U27" s="65"/>
      <c r="V27" s="65"/>
      <c r="W27" s="65"/>
    </row>
    <row r="28">
      <c r="A28" s="211" t="s">
        <v>4180</v>
      </c>
      <c r="B28" s="208" t="s">
        <v>4181</v>
      </c>
      <c r="C28" s="69" t="s">
        <v>4182</v>
      </c>
      <c r="D28" s="208" t="s">
        <v>4183</v>
      </c>
      <c r="E28" s="71" t="str">
        <f>IFERROR(__xludf.DUMMYFUNCTION("GOOGLETRANSLATE(A28,""zh-tw"",""es-MX"")"),"¿Cuál es la talla de sujetador de mi hermana? He oído que es G~H.")</f>
        <v>¿Cuál es la talla de sujetador de mi hermana? He oído que es G~H.</v>
      </c>
      <c r="F28" s="209" t="str">
        <f>IFERROR(__xludf.DUMMYFUNCTION("GOOGLETRANSLATE(A28,""zh-tw"",""KO"")"),"제 여동생 브라 사이즈가 몇이야? G~H라고 들었어요.")</f>
        <v>제 여동생 브라 사이즈가 몇이야? G~H라고 들었어요.</v>
      </c>
      <c r="G28" s="71" t="str">
        <f>IFERROR(__xludf.DUMMYFUNCTION("GOOGLETRANSLATE(A28,""zh-tw"",""ru"")"),"Какой размер бюстгальтера у моей сестры? Я слышал, что G~H.")</f>
        <v>Какой размер бюстгальтера у моей сестры? Я слышал, что G~H.</v>
      </c>
      <c r="H28" s="208" t="s">
        <v>4184</v>
      </c>
      <c r="I28" s="124" t="s">
        <v>4185</v>
      </c>
      <c r="J28" s="124" t="s">
        <v>4186</v>
      </c>
      <c r="K28" s="65"/>
      <c r="L28" s="65"/>
      <c r="M28" s="65"/>
      <c r="N28" s="65"/>
      <c r="O28" s="65"/>
      <c r="P28" s="65"/>
      <c r="Q28" s="65"/>
      <c r="R28" s="65"/>
      <c r="S28" s="65"/>
      <c r="T28" s="65"/>
      <c r="U28" s="65"/>
      <c r="V28" s="65"/>
      <c r="W28" s="65"/>
    </row>
    <row r="29">
      <c r="A29" s="69" t="s">
        <v>4187</v>
      </c>
      <c r="B29" s="208" t="s">
        <v>4188</v>
      </c>
      <c r="C29" s="69" t="s">
        <v>4189</v>
      </c>
      <c r="D29" s="208" t="str">
        <f>IFERROR(__xludf.DUMMYFUNCTION("GOOGLETRANSLATE(A29,""zh-tw"",""zh"")"),"当成为贤者的哥哥在胡思乱想时...")</f>
        <v>当成为贤者的哥哥在胡思乱想时...</v>
      </c>
      <c r="E29" s="71" t="str">
        <f>IFERROR(__xludf.DUMMYFUNCTION("GOOGLETRANSLATE(A29,""zh-tw"",""es-MX"")"),"Mientras el hermano mayor, ahora un sabio, estaba perdido en sus pensamientos...")</f>
        <v>Mientras el hermano mayor, ahora un sabio, estaba perdido en sus pensamientos...</v>
      </c>
      <c r="F29" s="209" t="str">
        <f>IFERROR(__xludf.DUMMYFUNCTION("GOOGLETRANSLATE(A29,""zh-tw"",""KO"")"),"형은 현자가 되어 생각에 잠겨 있었는데...")</f>
        <v>형은 현자가 되어 생각에 잠겨 있었는데...</v>
      </c>
      <c r="G29" s="71" t="str">
        <f>IFERROR(__xludf.DUMMYFUNCTION("GOOGLETRANSLATE(A29,""zh-tw"",""ru"")"),"Пока старший брат, теперь уже мудрец, погрузился в раздумья...")</f>
        <v>Пока старший брат, теперь уже мудрец, погрузился в раздумья...</v>
      </c>
      <c r="H29" s="208" t="s">
        <v>4190</v>
      </c>
      <c r="I29" s="124" t="s">
        <v>4191</v>
      </c>
      <c r="J29" s="124" t="s">
        <v>4192</v>
      </c>
      <c r="K29" s="65"/>
      <c r="L29" s="65"/>
      <c r="M29" s="65"/>
      <c r="N29" s="65"/>
      <c r="O29" s="65"/>
      <c r="P29" s="65"/>
      <c r="Q29" s="65"/>
      <c r="R29" s="65"/>
      <c r="S29" s="65"/>
      <c r="T29" s="65"/>
      <c r="U29" s="65"/>
      <c r="V29" s="65"/>
      <c r="W29" s="65"/>
    </row>
    <row r="30">
      <c r="A30" s="69" t="s">
        <v>4193</v>
      </c>
      <c r="B30" s="208" t="s">
        <v>4194</v>
      </c>
      <c r="C30" s="71" t="str">
        <f>IFERROR(__xludf.DUMMYFUNCTION("GOOGLETRANSLATE(A30,""zh-tw"",""en"")"),"When equipped with ""Girl's Smile"", the side effects of the Sage state will be ignored.")</f>
        <v>When equipped with "Girl's Smile", the side effects of the Sage state will be ignored.</v>
      </c>
      <c r="D30" s="208" t="str">
        <f>IFERROR(__xludf.DUMMYFUNCTION("GOOGLETRANSLATE(A30,""zh-tw"",""zh"")"),"当装备""少女的笑容""时，会无视贤者状态副作用")</f>
        <v>当装备"少女的笑容"时，会无视贤者状态副作用</v>
      </c>
      <c r="E30" s="71" t="str">
        <f>IFERROR(__xludf.DUMMYFUNCTION("GOOGLETRANSLATE(A30,""zh-tw"",""es-MX"")"),"Cuando esté equipado con ""Sonrisa de niña"", se ignorarán los efectos secundarios del estado Sabio.")</f>
        <v>Cuando esté equipado con "Sonrisa de niña", se ignorarán los efectos secundarios del estado Sabio.</v>
      </c>
      <c r="F30" s="209" t="str">
        <f>IFERROR(__xludf.DUMMYFUNCTION("GOOGLETRANSLATE(A30,""zh-tw"",""KO"")"),"""소녀의 미소""를 장착하면, 선인 상태의 부작용이 무시됩니다.")</f>
        <v>"소녀의 미소"를 장착하면, 선인 상태의 부작용이 무시됩니다.</v>
      </c>
      <c r="G30" s="71" t="str">
        <f>IFERROR(__xludf.DUMMYFUNCTION("GOOGLETRANSLATE(A30,""zh-tw"",""ru"")"),"При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0" s="208" t="s">
        <v>4195</v>
      </c>
      <c r="I30" s="124" t="s">
        <v>4196</v>
      </c>
      <c r="J30" s="124" t="s">
        <v>4197</v>
      </c>
      <c r="K30" s="65"/>
      <c r="L30" s="65"/>
      <c r="M30" s="65"/>
      <c r="N30" s="65"/>
      <c r="O30" s="65"/>
      <c r="P30" s="65"/>
      <c r="Q30" s="65"/>
      <c r="R30" s="65"/>
      <c r="S30" s="65"/>
      <c r="T30" s="65"/>
      <c r="U30" s="65"/>
      <c r="V30" s="65"/>
      <c r="W30" s="65"/>
    </row>
    <row r="31">
      <c r="A31" s="69" t="s">
        <v>4198</v>
      </c>
      <c r="B31" s="208" t="str">
        <f>IFERROR(__xludf.DUMMYFUNCTION("GOOGLETRANSLATE(A31,""zh-tw"",""ja"")"),"トイレにいる、言葉では言い表せない生き物は、言語バージョンによって名前が異なります。")</f>
        <v>トイレにいる、言葉では言い表せない生き物は、言語バージョンによって名前が異なります。</v>
      </c>
      <c r="C31" s="69" t="s">
        <v>4199</v>
      </c>
      <c r="D31" s="208" t="str">
        <f>IFERROR(__xludf.DUMMYFUNCTION("GOOGLETRANSLATE(A31,""zh-tw"",""zh"")"),"在厕所的不可名状生物，在各语系版本中有不同的称呼")</f>
        <v>在厕所的不可名状生物，在各语系版本中有不同的称呼</v>
      </c>
      <c r="E31" s="71" t="str">
        <f>IFERROR(__xludf.DUMMYFUNCTION("GOOGLETRANSLATE(A31,""zh-tw"",""es-MX"")"),"La criatura indescriptible en el inodoro tiene diferentes nombres en diferentes versiones de idioma.")</f>
        <v>La criatura indescriptible en el inodoro tiene diferentes nombres en diferentes versiones de idioma.</v>
      </c>
      <c r="F31" s="209" t="str">
        <f>IFERROR(__xludf.DUMMYFUNCTION("GOOGLETRANSLATE(A31,""zh-tw"",""KO"")"),"변기에 있는 형언할 수 없는 생물은 언어마다 이름이 다릅니다.")</f>
        <v>변기에 있는 형언할 수 없는 생물은 언어마다 이름이 다릅니다.</v>
      </c>
      <c r="G31" s="71" t="str">
        <f>IFERROR(__xludf.DUMMYFUNCTION("GOOGLETRANSLATE(A31,""zh-tw"",""ru"")"),"Неописуемое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1" s="208" t="s">
        <v>4200</v>
      </c>
      <c r="I31" s="124" t="s">
        <v>4201</v>
      </c>
      <c r="J31" s="124" t="s">
        <v>4202</v>
      </c>
      <c r="K31" s="65"/>
      <c r="L31" s="65"/>
      <c r="M31" s="65"/>
      <c r="N31" s="65"/>
      <c r="O31" s="65"/>
      <c r="P31" s="65"/>
      <c r="Q31" s="65"/>
      <c r="R31" s="65"/>
      <c r="S31" s="65"/>
      <c r="T31" s="65"/>
      <c r="U31" s="65"/>
      <c r="V31" s="65"/>
      <c r="W31" s="65"/>
    </row>
    <row r="32">
      <c r="A32" s="69" t="s">
        <v>4203</v>
      </c>
      <c r="B32" s="208" t="str">
        <f>IFERROR(__xludf.DUMMYFUNCTION("GOOGLETRANSLATE(A32,""zh-tw"",""ja"")"),"トイレにいたあのなんとも言えない生き物は、実は私の兄が奈落の底から連れ戻した物だった。")</f>
        <v>トイレにいたあのなんとも言えない生き物は、実は私の兄が奈落の底から連れ戻した物だった。</v>
      </c>
      <c r="C32" s="69" t="s">
        <v>4204</v>
      </c>
      <c r="D32" s="208" t="str">
        <f>IFERROR(__xludf.DUMMYFUNCTION("GOOGLETRANSLATE(A32,""zh-tw"",""zh"")"),"在厕所的不可名状生物，其实是哥哥从深渊带回来的")</f>
        <v>在厕所的不可名状生物，其实是哥哥从深渊带回来的</v>
      </c>
      <c r="E32" s="71" t="str">
        <f>IFERROR(__xludf.DUMMYFUNCTION("GOOGLETRANSLATE(A32,""zh-tw"",""es-MX"")"),"La indescriptible criatura en el baño fue rescatada del abismo por mi hermano.")</f>
        <v>La indescriptible criatura en el baño fue rescatada del abismo por mi hermano.</v>
      </c>
      <c r="F32" s="209" t="str">
        <f>IFERROR(__xludf.DUMMYFUNCTION("GOOGLETRANSLATE(A32,""zh-tw"",""KO"")"),"변기에 있던 형언할 수 없는 생물은 사실 내 동생이 심연에서 가져온 것입니다.")</f>
        <v>변기에 있던 형언할 수 없는 생물은 사실 내 동생이 심연에서 가져온 것입니다.</v>
      </c>
      <c r="G32" s="71" t="str">
        <f>IFERROR(__xludf.DUMMYFUNCTION("GOOGLETRANSLATE(A32,""zh-tw"",""ru"")"),"Неописуемое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2" s="208" t="s">
        <v>4205</v>
      </c>
      <c r="I32" s="124" t="s">
        <v>4206</v>
      </c>
      <c r="J32" s="124" t="s">
        <v>4207</v>
      </c>
      <c r="K32" s="65"/>
      <c r="L32" s="65"/>
      <c r="M32" s="65"/>
      <c r="N32" s="65"/>
      <c r="O32" s="65"/>
      <c r="P32" s="65"/>
      <c r="Q32" s="65"/>
      <c r="R32" s="65"/>
      <c r="S32" s="65"/>
      <c r="T32" s="65"/>
      <c r="U32" s="65"/>
      <c r="V32" s="65"/>
      <c r="W32" s="65"/>
    </row>
    <row r="33">
      <c r="A33" s="69" t="s">
        <v>4208</v>
      </c>
      <c r="B33" s="208" t="s">
        <v>4209</v>
      </c>
      <c r="C33" s="69" t="s">
        <v>4210</v>
      </c>
      <c r="D33" s="208" t="str">
        <f>IFERROR(__xludf.DUMMYFUNCTION("GOOGLETRANSLATE(A33,""zh-tw"",""zh"")"),"在雨天修理饮料贩卖机的人是谁呢?目前仍是个谜")</f>
        <v>在雨天修理饮料贩卖机的人是谁呢?目前仍是个谜</v>
      </c>
      <c r="E33" s="71" t="str">
        <f>IFERROR(__xludf.DUMMYFUNCTION("GOOGLETRANSLATE(A33,""zh-tw"",""es-MX"")"),"¿Quién reparó la máquina expendedora bajo la lluvia? Eso sigue siendo un misterio.")</f>
        <v>¿Quién reparó la máquina expendedora bajo la lluvia? Eso sigue siendo un misterio.</v>
      </c>
      <c r="F33" s="209" t="str">
        <f>IFERROR(__xludf.DUMMYFUNCTION("GOOGLETRANSLATE(A33,""zh-tw"",""KO"")"),"비 오는 날 자판기를 누가 수리했을까? 아직도 미스터리로 남아 있다.")</f>
        <v>비 오는 날 자판기를 누가 수리했을까? 아직도 미스터리로 남아 있다.</v>
      </c>
      <c r="G33" s="71" t="str">
        <f>IFERROR(__xludf.DUMMYFUNCTION("GOOGLETRANSLATE(A33,""zh-tw"",""ru"")"),"Кто чинил торговый автомат под дождём? Это остаётся загадкой.")</f>
        <v>Кто чинил торговый автомат под дождём? Это остаётся загадкой.</v>
      </c>
      <c r="H33" s="208" t="s">
        <v>4211</v>
      </c>
      <c r="I33" s="124" t="s">
        <v>4212</v>
      </c>
      <c r="J33" s="124" t="s">
        <v>4213</v>
      </c>
      <c r="K33" s="65"/>
      <c r="L33" s="65"/>
      <c r="M33" s="65"/>
      <c r="N33" s="65"/>
      <c r="O33" s="65"/>
      <c r="P33" s="65"/>
      <c r="Q33" s="65"/>
      <c r="R33" s="65"/>
      <c r="S33" s="65"/>
      <c r="T33" s="65"/>
      <c r="U33" s="65"/>
      <c r="V33" s="65"/>
      <c r="W33" s="65"/>
    </row>
    <row r="34">
      <c r="A34" s="69" t="s">
        <v>4214</v>
      </c>
      <c r="B34" s="208" t="s">
        <v>4215</v>
      </c>
      <c r="C34" s="69" t="s">
        <v>4216</v>
      </c>
      <c r="D34" s="208" t="str">
        <f>IFERROR(__xludf.DUMMYFUNCTION("GOOGLETRANSLATE(A34,""zh-tw"",""zh"")"),"早上可透过窗外状况，得知外出时的天气")</f>
        <v>早上可透过窗外状况，得知外出时的天气</v>
      </c>
      <c r="E34" s="71" t="str">
        <f>IFERROR(__xludf.DUMMYFUNCTION("GOOGLETRANSLATE(A34,""zh-tw"",""es-MX"")"),"Por la mañana, puedes mirar el tiempo fuera de la ventana para saber qué tiempo hará cuando salgas.")</f>
        <v>Por la mañana, puedes mirar el tiempo fuera de la ventana para saber qué tiempo hará cuando salgas.</v>
      </c>
      <c r="F34" s="209" t="str">
        <f>IFERROR(__xludf.DUMMYFUNCTION("GOOGLETRANSLATE(A34,""zh-tw"",""KO"")"),"아침에 창밖 날씨를 확인하면 외출할 때 날씨가 어떨지 알 수 있습니다.")</f>
        <v>아침에 창밖 날씨를 확인하면 외출할 때 날씨가 어떨지 알 수 있습니다.</v>
      </c>
      <c r="G34" s="71" t="str">
        <f>IFERROR(__xludf.DUMMYFUNCTION("GOOGLETRANSLATE(A34,""zh-tw"",""ru"")"),"Утром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4" s="208" t="s">
        <v>4217</v>
      </c>
      <c r="I34" s="124" t="s">
        <v>4218</v>
      </c>
      <c r="J34" s="124" t="s">
        <v>4219</v>
      </c>
      <c r="K34" s="65"/>
      <c r="L34" s="65"/>
      <c r="M34" s="65"/>
      <c r="N34" s="65"/>
      <c r="O34" s="65"/>
      <c r="P34" s="65"/>
      <c r="Q34" s="65"/>
      <c r="R34" s="65"/>
      <c r="S34" s="65"/>
      <c r="T34" s="65"/>
      <c r="U34" s="65"/>
      <c r="V34" s="65"/>
      <c r="W34" s="65"/>
    </row>
    <row r="35">
      <c r="A35" s="69" t="s">
        <v>4220</v>
      </c>
      <c r="B35" s="208" t="str">
        <f>IFERROR(__xludf.DUMMYFUNCTION("GOOGLETRANSLATE(A35,""zh-tw"",""ja"")"),"生き物が可愛ければ可愛いほど、攻撃力も高くなります。")</f>
        <v>生き物が可愛ければ可愛いほど、攻撃力も高くなります。</v>
      </c>
      <c r="C35" s="69" t="s">
        <v>4221</v>
      </c>
      <c r="D35" s="208" t="s">
        <v>4222</v>
      </c>
      <c r="E35" s="71" t="str">
        <f>IFERROR(__xludf.DUMMYFUNCTION("GOOGLETRANSLATE(A35,""zh-tw"",""es-MX"")"),"Cuanto más linda sea la criatura, mayor suele ser su poder de ataque.")</f>
        <v>Cuanto más linda sea la criatura, mayor suele ser su poder de ataque.</v>
      </c>
      <c r="F35" s="209" t="str">
        <f>IFERROR(__xludf.DUMMYFUNCTION("GOOGLETRANSLATE(A35,""zh-tw"",""KO"")"),"생물이 귀여울수록 공격력이 일반적으로 더 높습니다.")</f>
        <v>생물이 귀여울수록 공격력이 일반적으로 더 높습니다.</v>
      </c>
      <c r="G35" s="71" t="str">
        <f>IFERROR(__xludf.DUMMYFUNCTION("GOOGLETRANSLATE(A35,""zh-tw"",""ru"")"),"Чем симпатичнее существо, тем обычно выше его сила атаки.")</f>
        <v>Чем симпатичнее существо, тем обычно выше его сила атаки.</v>
      </c>
      <c r="H35" s="208" t="s">
        <v>4223</v>
      </c>
      <c r="I35" s="124" t="s">
        <v>4224</v>
      </c>
      <c r="J35" s="124" t="s">
        <v>4225</v>
      </c>
      <c r="K35" s="65"/>
      <c r="L35" s="65"/>
      <c r="M35" s="65"/>
      <c r="N35" s="65"/>
      <c r="O35" s="65"/>
      <c r="P35" s="65"/>
      <c r="Q35" s="65"/>
      <c r="R35" s="65"/>
      <c r="S35" s="65"/>
      <c r="T35" s="65"/>
      <c r="U35" s="65"/>
      <c r="V35" s="65"/>
      <c r="W35" s="65"/>
    </row>
    <row r="36">
      <c r="A36" s="69" t="s">
        <v>4226</v>
      </c>
      <c r="B36" s="208" t="str">
        <f>IFERROR(__xludf.DUMMYFUNCTION("GOOGLETRANSLATE(A36,""zh-tw"",""ja"")"),"&lt;42&gt;、トイレでの考えは、ダグラス・アダムスの小説『銀河ヒッチハイク・ガイド』に出てくる「人生、宇宙、そして万物に対する究極の答え」という問いに対する答えです。")</f>
        <v>&lt;42&gt;、トイレでの考えは、ダグラス・アダムスの小説『銀河ヒッチハイク・ガイド』に出てくる「人生、宇宙、そして万物に対する究極の答え」という問いに対する答えです。</v>
      </c>
      <c r="C36" s="69" t="s">
        <v>4227</v>
      </c>
      <c r="D36" s="208" t="str">
        <f>IFERROR(__xludf.DUMMYFUNCTION("GOOGLETRANSLATE(A36,""zh-tw"",""zh"")"),"厕所沉思中的&lt;42&gt;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6" s="71" t="str">
        <f>IFERROR(__xludf.DUMMYFUNCTION("GOOGLETRANSLATE(A36,""zh-tw"",""es-MX"")"),"&lt;42&gt;, un pensamiento en el baño, es la respuesta a la pregunta ""la respuesta definitiva a la vida, el universo y todo"" de la novela de Douglas Adams *La guía del autoestopista galáctico*.")</f>
        <v>&lt;42&gt;, un pensamiento en el baño, es la respuesta a la pregunta "la respuesta definitiva a la vida, el universo y todo" de la novela de Douglas Adams *La guía del autoestopista galáctico*.</v>
      </c>
      <c r="F36" s="209" t="str">
        <f>IFERROR(__xludf.DUMMYFUNCTION("GOOGLETRANSLATE(A36,""zh-tw"",""KO"")"),"&lt;42&gt;는 변기 속 생각으로, 더글러스 애덤스의 소설 *은하수를 여행하는 히치하이커를 위한 안내서*에 나오는 ""삶과 우주, 그리고 모든 것에 대한 궁극적인 답""이라는 질문에 대한 답입니다.")</f>
        <v>&lt;42&gt;는 변기 속 생각으로, 더글러스 애덤스의 소설 *은하수를 여행하는 히치하이커를 위한 안내서*에 나오는 "삶과 우주, 그리고 모든 것에 대한 궁극적인 답"이라는 질문에 대한 답입니다.</v>
      </c>
      <c r="G36" s="71" t="str">
        <f>IFERROR(__xludf.DUMMYFUNCTION("GOOGLETRANSLATE(A36,""zh-tw"",""ru"")"),"&lt;42&gt;, мысль в туалете, — это ответ на вопрос «окончательный ответ на жизнь, вселенную и всё такое» из романа Дугласа Адамса «Автостопом по Галактике».")</f>
        <v>&lt;42&gt;, мысль в туалете, — это ответ на вопрос «окончательный ответ на жизнь, вселенную и всё такое» из романа Дугласа Адамса «Автостопом по Галактике».</v>
      </c>
      <c r="H36" s="208" t="s">
        <v>4228</v>
      </c>
      <c r="I36" s="66" t="s">
        <v>4229</v>
      </c>
      <c r="J36" s="124" t="s">
        <v>4230</v>
      </c>
      <c r="K36" s="65"/>
      <c r="L36" s="65"/>
      <c r="M36" s="65"/>
      <c r="N36" s="65"/>
      <c r="O36" s="65"/>
      <c r="P36" s="65"/>
      <c r="Q36" s="65"/>
      <c r="R36" s="65"/>
      <c r="S36" s="65"/>
      <c r="T36" s="65"/>
      <c r="U36" s="65"/>
      <c r="V36" s="65"/>
      <c r="W36" s="65"/>
    </row>
    <row r="37">
      <c r="A37" s="69" t="s">
        <v>4231</v>
      </c>
      <c r="B37" s="208" t="str">
        <f>IFERROR(__xludf.DUMMYFUNCTION("GOOGLETRANSLATE(A37,""zh-tw"",""ja"")"),"ウォーターモンスタースライム 1 個は、スライムスライム 2 個とほぼ同等です。")</f>
        <v>ウォーターモンスタースライム 1 個は、スライムスライム 2 個とほぼ同等です。</v>
      </c>
      <c r="C37" s="69" t="s">
        <v>4232</v>
      </c>
      <c r="D37" s="208" t="str">
        <f>IFERROR(__xludf.DUMMYFUNCTION("GOOGLETRANSLATE(A37,""zh-tw"",""zh"")"),"一个水怪黏液大约等于两个史莱姆黏液")</f>
        <v>一个水怪黏液大约等于两个史莱姆黏液</v>
      </c>
      <c r="E37" s="71" t="str">
        <f>IFERROR(__xludf.DUMMYFUNCTION("GOOGLETRANSLATE(A37,""zh-tw"",""es-MX"")"),"Un slime de monstruo acuático equivale aproximadamente a dos slimes.")</f>
        <v>Un slime de monstruo acuático equivale aproximadamente a dos slimes.</v>
      </c>
      <c r="F37" s="209" t="str">
        <f>IFERROR(__xludf.DUMMYFUNCTION("GOOGLETRANSLATE(A37,""zh-tw"",""KO"")"),"물 괴물 슬라임 한 마리는 슬라임 슬라임 두 마리와 거의 같습니다.")</f>
        <v>물 괴물 슬라임 한 마리는 슬라임 슬라임 두 마리와 거의 같습니다.</v>
      </c>
      <c r="G37" s="71" t="str">
        <f>IFERROR(__xludf.DUMMYFUNCTION("GOOGLETRANSLATE(A37,""zh-tw"",""ru"")"),"Один водный монстр-слайз примерно эквивалентен двум слаймам-слайзам.")</f>
        <v>Один водный монстр-слайз примерно эквивалентен двум слаймам-слайзам.</v>
      </c>
      <c r="H37" s="208" t="s">
        <v>4233</v>
      </c>
      <c r="I37" s="124" t="s">
        <v>4234</v>
      </c>
      <c r="J37" s="124" t="s">
        <v>4235</v>
      </c>
      <c r="K37" s="65"/>
      <c r="L37" s="65"/>
      <c r="M37" s="65"/>
      <c r="N37" s="65"/>
      <c r="O37" s="65"/>
      <c r="P37" s="65"/>
      <c r="Q37" s="65"/>
      <c r="R37" s="65"/>
      <c r="S37" s="65"/>
      <c r="T37" s="65"/>
      <c r="U37" s="65"/>
      <c r="V37" s="65"/>
      <c r="W37" s="65"/>
    </row>
    <row r="38">
      <c r="A38" s="69" t="s">
        <v>4236</v>
      </c>
      <c r="B38" s="208" t="s">
        <v>4237</v>
      </c>
      <c r="C38" s="69" t="s">
        <v>4238</v>
      </c>
      <c r="D38" s="208" t="str">
        <f>IFERROR(__xludf.DUMMYFUNCTION("GOOGLETRANSLATE(A38,""zh-tw"",""zh"")"),"遗迹BOSS每七天会重生，而且每次重生会更强，也可以使用""世界""塔罗牌")</f>
        <v>遗迹BOSS每七天会重生，而且每次重生会更强，也可以使用"世界"塔罗牌</v>
      </c>
      <c r="E38" s="71" t="str">
        <f>IFERROR(__xludf.DUMMYFUNCTION("GOOGLETRANSLATE(A38,""zh-tw"",""es-MX"")"),"El Jefe de las Ruinas reaparece cada siete días y se vuelve más fuerte con cada reaparición. También se puede usar la carta del Tarot ""Mundo"".")</f>
        <v>El Jefe de las Ruinas reaparece cada siete días y se vuelve más fuerte con cada reaparición. También se puede usar la carta del Tarot "Mundo".</v>
      </c>
      <c r="F38" s="209" t="str">
        <f>IFERROR(__xludf.DUMMYFUNCTION("GOOGLETRANSLATE(A38,""zh-tw"",""KO"")"),"유적 보스는 7일마다 부활하며, 부활할 때마다 더욱 강력해집니다. ""세계"" 타로 카드도 사용할 수 있습니다.")</f>
        <v>유적 보스는 7일마다 부활하며, 부활할 때마다 더욱 강력해집니다. "세계" 타로 카드도 사용할 수 있습니다.</v>
      </c>
      <c r="G38" s="71" t="str">
        <f>IFERROR(__xludf.DUMMYFUNCTION("GOOGLETRANSLATE(A38,""zh-tw"",""ru"")"),"Босс Руин возрождается каждые семь дней, становясь сильнее с каждым возрождением. Также можно использовать карту Таро «Мир».")</f>
        <v>Босс Руин возрождается каждые семь дней, становясь сильнее с каждым возрождением. Также можно использовать карту Таро «Мир».</v>
      </c>
      <c r="H38" s="208" t="s">
        <v>4239</v>
      </c>
      <c r="I38" s="124" t="s">
        <v>4240</v>
      </c>
      <c r="J38" s="124" t="s">
        <v>4241</v>
      </c>
      <c r="K38" s="65"/>
      <c r="L38" s="65"/>
      <c r="M38" s="65"/>
      <c r="N38" s="65"/>
      <c r="O38" s="65"/>
      <c r="P38" s="65"/>
      <c r="Q38" s="65"/>
      <c r="R38" s="65"/>
      <c r="S38" s="65"/>
      <c r="T38" s="65"/>
      <c r="U38" s="65"/>
      <c r="V38" s="65"/>
      <c r="W38" s="65"/>
    </row>
    <row r="39">
      <c r="A39" s="69" t="s">
        <v>4242</v>
      </c>
      <c r="B39" s="208" t="s">
        <v>4243</v>
      </c>
      <c r="C39" s="69" t="s">
        <v>4244</v>
      </c>
      <c r="D39" s="208" t="s">
        <v>4245</v>
      </c>
      <c r="E39" s="71" t="str">
        <f>IFERROR(__xludf.DUMMYFUNCTION("GOOGLETRANSLATE(A39,""zh-tw"",""es-MX"")"),"¿Es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9" s="209" t="str">
        <f>IFERROR(__xludf.DUMMYFUNCTION("GOOGLETRANSLATE(A39,""zh-tw"",""KO"")"),"폐허 보스를 물리치기가 너무 어렵나요? 절벽 끝에 서서 비열한 이방인처럼 행동해 보세요.")</f>
        <v>폐허 보스를 물리치기가 너무 어렵나요? 절벽 끝에 서서 비열한 이방인처럼 행동해 보세요.</v>
      </c>
      <c r="G39" s="71" t="str">
        <f>IFERROR(__xludf.DUMMYFUNCTION("GOOGLETRANSLATE(A39,""zh-tw"",""ru"")"),"Босса Руин слишком сложно победить? Попробуйте встать на край обрыва и вести себя как подлый чужак.")</f>
        <v>Босса Руин слишком сложно победить? Попробуйте встать на край обрыва и вести себя как подлый чужак.</v>
      </c>
      <c r="H39" s="208" t="s">
        <v>4246</v>
      </c>
      <c r="I39" s="124" t="s">
        <v>4247</v>
      </c>
      <c r="J39" s="124" t="s">
        <v>4248</v>
      </c>
      <c r="K39" s="65"/>
      <c r="L39" s="65"/>
      <c r="M39" s="65"/>
      <c r="N39" s="65"/>
      <c r="O39" s="65"/>
      <c r="P39" s="65"/>
      <c r="Q39" s="65"/>
      <c r="R39" s="65"/>
      <c r="S39" s="65"/>
      <c r="T39" s="65"/>
      <c r="U39" s="65"/>
      <c r="V39" s="65"/>
      <c r="W39" s="65"/>
    </row>
    <row r="40">
      <c r="A40" s="69" t="s">
        <v>4249</v>
      </c>
      <c r="B40" s="208" t="s">
        <v>4250</v>
      </c>
      <c r="C40" s="69" t="s">
        <v>4251</v>
      </c>
      <c r="D40" s="208" t="str">
        <f>IFERROR(__xludf.DUMMYFUNCTION("GOOGLETRANSLATE(A40,""zh-tw"",""zh"")"),"增加攻速的效果(例如:猫爪手套)，也会使魔法效果增强")</f>
        <v>增加攻速的效果(例如:猫爪手套)，也会使魔法效果增强</v>
      </c>
      <c r="E40" s="71" t="str">
        <f>IFERROR(__xludf.DUMMYFUNCTION("GOOGLETRANSLATE(A40,""zh-tw"",""es-MX"")"),"Los efectos que aumentan la velocidad de ataque (por ejemplo, Guantes de pata de gato) también mejorarán los efectos mágicos.")</f>
        <v>Los efectos que aumentan la velocidad de ataque (por ejemplo, Guantes de pata de gato) también mejorarán los efectos mágicos.</v>
      </c>
      <c r="F40" s="209" t="str">
        <f>IFERROR(__xludf.DUMMYFUNCTION("GOOGLETRANSLATE(A40,""zh-tw"",""KO"")"),"공격 속도를 증가시키는 효과(예: 고양이 발 장갑)는 마법 효과도 향상시킵니다.")</f>
        <v>공격 속도를 증가시키는 효과(예: 고양이 발 장갑)는 마법 효과도 향상시킵니다.</v>
      </c>
      <c r="G40" s="71" t="str">
        <f>IFERROR(__xludf.DUMMYFUNCTION("GOOGLETRANSLATE(A40,""zh-tw"",""ru"")"),"Эффекты,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0" s="209" t="str">
        <f>IFERROR(__xludf.DUMMYFUNCTION("GOOGLETRANSLATE(A40,""zh-tw"",""de"")"),"Effekte, die die Angriffsgeschwindigkeit erhöhen (z. B. Katzenpfotenhandschuhe), verstärken auch magische Effekte.")</f>
        <v>Effekte, die die Angriffsgeschwindigkeit erhöhen (z. B. Katzenpfotenhandschuhe), verstärken auch magische Effekte.</v>
      </c>
      <c r="I40" s="124" t="s">
        <v>4252</v>
      </c>
      <c r="J40" s="124" t="s">
        <v>4253</v>
      </c>
      <c r="K40" s="65"/>
      <c r="L40" s="65"/>
      <c r="M40" s="65"/>
      <c r="N40" s="65"/>
      <c r="O40" s="65"/>
      <c r="P40" s="65"/>
      <c r="Q40" s="65"/>
      <c r="R40" s="65"/>
      <c r="S40" s="65"/>
      <c r="T40" s="65"/>
      <c r="U40" s="65"/>
      <c r="V40" s="65"/>
      <c r="W40" s="65"/>
    </row>
    <row r="41">
      <c r="A41" s="69" t="s">
        <v>4254</v>
      </c>
      <c r="B41" s="208" t="str">
        <f>IFERROR(__xludf.DUMMYFUNCTION("GOOGLETRANSLATE(A41,""zh-tw"",""ja"")"),"命中率を高めるアイテム（例：Fallen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1" s="69" t="s">
        <v>4255</v>
      </c>
      <c r="D41" s="208" t="str">
        <f>IFERROR(__xludf.DUMMYFUNCTION("GOOGLETRANSLATE(A41,""zh-tw"",""zh"")"),"加强命中的效果(例如:堕落法师的手套)，以后也会使魔法获得效果，多穿几件还会增加更多")</f>
        <v>加强命中的效果(例如:堕落法师的手套)，以后也会使魔法获得效果，多穿几件还会增加更多</v>
      </c>
      <c r="E41" s="71" t="str">
        <f>IFERROR(__xludf.DUMMYFUNCTION("GOOGLETRANSLATE(A41,""zh-tw"",""es-MX"")"),"Mejorar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41" s="209" t="str">
        <f>IFERROR(__xludf.DUMMYFUNCTION("GOOGLETRANSLATE(A41,""zh-tw"",""KO"")"),"명중률을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1" s="71" t="str">
        <f>IFERROR(__xludf.DUMMYFUNCTION("GOOGLETRANSLATE(A41,""zh-tw"",""ru"")"),"Повышение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1" s="209" t="str">
        <f>IFERROR(__xludf.DUMMYFUNCTION("GOOGLETRANSLATE(A41,""zh-tw"",""de"")"),"Eine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1" s="124" t="s">
        <v>4256</v>
      </c>
      <c r="J41" s="124" t="s">
        <v>4257</v>
      </c>
      <c r="K41" s="65"/>
      <c r="L41" s="65"/>
      <c r="M41" s="65"/>
      <c r="N41" s="65"/>
      <c r="O41" s="65"/>
      <c r="P41" s="65"/>
      <c r="Q41" s="65"/>
      <c r="R41" s="65"/>
      <c r="S41" s="65"/>
      <c r="T41" s="65"/>
      <c r="U41" s="65"/>
      <c r="V41" s="65"/>
      <c r="W41" s="65"/>
    </row>
    <row r="42">
      <c r="A42" s="69" t="s">
        <v>4258</v>
      </c>
      <c r="B42" s="208" t="s">
        <v>4259</v>
      </c>
      <c r="C42" s="69" t="s">
        <v>4260</v>
      </c>
      <c r="D42" s="208" t="str">
        <f>IFERROR(__xludf.DUMMYFUNCTION("GOOGLETRANSLATE(A42,""zh-tw"",""zh"")"),"遗迹BOSS房间，底下悬崖有个秘密地点，想办法过去吧!
提示:移动型道具 / 加速型道具+技能")</f>
        <v>遗迹BOSS房间，底下悬崖有个秘密地点，想办法过去吧!
提示:移动型道具 / 加速型道具+技能</v>
      </c>
      <c r="E42" s="71" t="str">
        <f>IFERROR(__xludf.DUMMYFUNCTION("GOOGLETRANSLATE(A42,""zh-tw"",""es-MX"")"),"En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2" s="209" t="str">
        <f>IFERROR(__xludf.DUMMYFUNCTION("GOOGLETRANSLATE(A42,""zh-tw"",""KO"")"),"유적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2" s="71" t="str">
        <f>IFERROR(__xludf.DUMMYFUNCTION("GOOGLETRANSLATE(A42,""zh-tw"",""ru"")"),"В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2" s="209" t="str">
        <f>IFERROR(__xludf.DUMMYFUNCTION("GOOGLETRANSLATE(A42,""zh-tw"",""de"")"),"Im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2" s="124" t="s">
        <v>4261</v>
      </c>
      <c r="J42" s="124" t="s">
        <v>4262</v>
      </c>
      <c r="K42" s="65"/>
      <c r="L42" s="65"/>
      <c r="M42" s="65"/>
      <c r="N42" s="65"/>
      <c r="O42" s="65"/>
      <c r="P42" s="65"/>
      <c r="Q42" s="65"/>
      <c r="R42" s="65"/>
      <c r="S42" s="65"/>
      <c r="T42" s="65"/>
      <c r="U42" s="65"/>
      <c r="V42" s="65"/>
      <c r="W42" s="65"/>
    </row>
    <row r="43">
      <c r="A43" s="69" t="s">
        <v>4263</v>
      </c>
      <c r="B43" s="208" t="s">
        <v>4264</v>
      </c>
      <c r="C43" s="69" t="s">
        <v>4265</v>
      </c>
      <c r="D43" s="208" t="str">
        <f>IFERROR(__xludf.DUMMYFUNCTION("GOOGLETRANSLATE(A43,""zh-tw"",""zh"")"),"利用道具，不只能和怪物，也能使NPC交换位置")</f>
        <v>利用道具，不只能和怪物，也能使NPC交换位置</v>
      </c>
      <c r="E43" s="71" t="str">
        <f>IFERROR(__xludf.DUMMYFUNCTION("GOOGLETRANSLATE(A43,""zh-tw"",""es-MX"")"),"Usando objetos, no sólo puedes intercambiar posiciones con monstruos, sino también con NPC.")</f>
        <v>Usando objetos, no sólo puedes intercambiar posiciones con monstruos, sino también con NPC.</v>
      </c>
      <c r="F43" s="209" t="str">
        <f>IFERROR(__xludf.DUMMYFUNCTION("GOOGLETRANSLATE(A43,""zh-tw"",""KO"")"),"아이템을 사용하면 몬스터와 위치를 바꿀 수 있을 뿐만 아니라 NPC와도 위치를 바꿀 수 있습니다.")</f>
        <v>아이템을 사용하면 몬스터와 위치를 바꿀 수 있을 뿐만 아니라 NPC와도 위치를 바꿀 수 있습니다.</v>
      </c>
      <c r="G43" s="71" t="str">
        <f>IFERROR(__xludf.DUMMYFUNCTION("GOOGLETRANSLATE(A43,""zh-tw"",""ru"")"),"Используя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3" s="209" t="str">
        <f>IFERROR(__xludf.DUMMYFUNCTION("GOOGLETRANSLATE(A43,""zh-tw"",""de"")"),"Mithilfe von Gegenständen kann man nicht nur mit Monstern, sondern auch mit NPCs die Position tauschen.")</f>
        <v>Mithilfe von Gegenständen kann man nicht nur mit Monstern, sondern auch mit NPCs die Position tauschen.</v>
      </c>
      <c r="I43" s="124" t="s">
        <v>4266</v>
      </c>
      <c r="J43" s="124" t="s">
        <v>4267</v>
      </c>
      <c r="K43" s="65"/>
      <c r="L43" s="65"/>
      <c r="M43" s="65"/>
      <c r="N43" s="65"/>
      <c r="O43" s="65"/>
      <c r="P43" s="65"/>
      <c r="Q43" s="65"/>
      <c r="R43" s="65"/>
      <c r="S43" s="65"/>
      <c r="T43" s="65"/>
      <c r="U43" s="65"/>
      <c r="V43" s="65"/>
      <c r="W43" s="65"/>
    </row>
    <row r="44">
      <c r="A44" s="69" t="s">
        <v>4268</v>
      </c>
      <c r="B44" s="208" t="s">
        <v>4269</v>
      </c>
      <c r="C44" s="69" t="s">
        <v>4270</v>
      </c>
      <c r="D44" s="208" t="str">
        <f>IFERROR(__xludf.DUMMYFUNCTION("GOOGLETRANSLATE(A44,""zh-tw"",""zh"")"),"怪物也有嗅觉，而有些怪物也会惧怕臭味而逃离")</f>
        <v>怪物也有嗅觉，而有些怪物也会惧怕臭味而逃离</v>
      </c>
      <c r="E44" s="71" t="str">
        <f>IFERROR(__xludf.DUMMYFUNCTION("GOOGLETRANSLATE(A44,""zh-tw"",""es-MX"")"),"Los monstruos también tienen sentido del olfato, y algunos huirán ante un mal olor.")</f>
        <v>Los monstruos también tienen sentido del olfato, y algunos huirán ante un mal olor.</v>
      </c>
      <c r="F44" s="209" t="str">
        <f>IFERROR(__xludf.DUMMYFUNCTION("GOOGLETRANSLATE(A44,""zh-tw"",""KO"")"),"괴물은 또한 후각을 가지고 있으며, 어떤 괴물은 악취를 맡으면 도망칩니다.")</f>
        <v>괴물은 또한 후각을 가지고 있으며, 어떤 괴물은 악취를 맡으면 도망칩니다.</v>
      </c>
      <c r="G44" s="71" t="str">
        <f>IFERROR(__xludf.DUMMYFUNCTION("GOOGLETRANSLATE(A44,""zh-tw"",""ru"")"),"У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4" s="209" t="str">
        <f>IFERROR(__xludf.DUMMYFUNCTION("GOOGLETRANSLATE(A44,""zh-tw"",""de"")"),"Auch Monster besitzen einen Geruchssinn, und manche Monster fliehen vor einem üblen Geruch.")</f>
        <v>Auch Monster besitzen einen Geruchssinn, und manche Monster fliehen vor einem üblen Geruch.</v>
      </c>
      <c r="I44" s="124" t="s">
        <v>4271</v>
      </c>
      <c r="J44" s="124" t="s">
        <v>4272</v>
      </c>
      <c r="K44" s="65"/>
      <c r="L44" s="65"/>
      <c r="M44" s="65"/>
      <c r="N44" s="65"/>
      <c r="O44" s="65"/>
      <c r="P44" s="65"/>
      <c r="Q44" s="65"/>
      <c r="R44" s="65"/>
      <c r="S44" s="65"/>
      <c r="T44" s="65"/>
      <c r="U44" s="65"/>
      <c r="V44" s="65"/>
      <c r="W44" s="65"/>
    </row>
    <row r="45">
      <c r="A45" s="69" t="s">
        <v>4273</v>
      </c>
      <c r="B45" s="208" t="s">
        <v>4274</v>
      </c>
      <c r="C45" s="69" t="s">
        <v>4275</v>
      </c>
      <c r="D45" s="208" t="str">
        <f>IFERROR(__xludf.DUMMYFUNCTION("GOOGLETRANSLATE(A45,""zh-tw"",""zh"")"),"当妹妹玩游戏时，可以对妹妹恶作剧。
若要触发特殊的开腿选项，需要先完成DCL的任务")</f>
        <v>当妹妹玩游戏时，可以对妹妹恶作剧。
若要触发特殊的开腿选项，需要先完成DCL的任务</v>
      </c>
      <c r="E45" s="71" t="str">
        <f>IFERROR(__xludf.DUMMYFUNCTION("GOOGLETRANSLATE(A45,""zh-tw"",""es-MX"")"),"Puedes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5" s="209" t="str">
        <f>IFERROR(__xludf.DUMMYFUNCTION("GOOGLETRANSLATE(A45,""zh-tw"",""KO"")"),"여동생이 게임을 하는 동안 장난을 칠 수 있습니다.
특별한 다리 벌리기 옵션을 발동하려면 먼저 DCL 미션을 완료해야 합니다.")</f>
        <v>여동생이 게임을 하는 동안 장난을 칠 수 있습니다.
특별한 다리 벌리기 옵션을 발동하려면 먼저 DCL 미션을 완료해야 합니다.</v>
      </c>
      <c r="G45" s="71" t="str">
        <f>IFERROR(__xludf.DUMMYFUNCTION("GOOGLETRANSLATE(A45,""zh-tw"",""ru"")"),"Вы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v>
      </c>
      <c r="H45" s="209" t="str">
        <f>IFERROR(__xludf.DUMMYFUNCTION("GOOGLETRANSLATE(A45,""zh-tw"",""de"")"),"Du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5" s="124" t="s">
        <v>4276</v>
      </c>
      <c r="J45" s="124" t="s">
        <v>4277</v>
      </c>
      <c r="K45" s="65"/>
      <c r="L45" s="65"/>
      <c r="M45" s="65"/>
      <c r="N45" s="65"/>
      <c r="O45" s="65"/>
      <c r="P45" s="65"/>
      <c r="Q45" s="65"/>
      <c r="R45" s="65"/>
      <c r="S45" s="65"/>
      <c r="T45" s="65"/>
      <c r="U45" s="65"/>
      <c r="V45" s="65"/>
      <c r="W45" s="65"/>
    </row>
    <row r="46">
      <c r="A46" s="69" t="s">
        <v>4278</v>
      </c>
      <c r="B46" s="208" t="s">
        <v>4279</v>
      </c>
      <c r="C46" s="69" t="s">
        <v>4280</v>
      </c>
      <c r="D46" s="208" t="str">
        <f>IFERROR(__xludf.DUMMYFUNCTION("GOOGLETRANSLATE(A46,""zh-tw"",""zh"")"),"妹妹治愈后，除了早上起得来，睡眠时间也会变晚")</f>
        <v>妹妹治愈后，除了早上起得来，睡眠时间也会变晚</v>
      </c>
      <c r="E46" s="71" t="str">
        <f>IFERROR(__xludf.DUMMYFUNCTION("GOOGLETRANSLATE(A46,""zh-tw"",""es-MX"")"),"Después de que mi hermana se recuperó, pudo despertarse por la mañana y su hora de acostarse también se hizo más tarde.")</f>
        <v>Después de que mi hermana se recuperó, pudo despertarse por la mañana y su hora de acostarse también se hizo más tarde.</v>
      </c>
      <c r="F46" s="209" t="str">
        <f>IFERROR(__xludf.DUMMYFUNCTION("GOOGLETRANSLATE(A46,""zh-tw"",""KO"")"),"언니가 회복한 후, 아침에 일어날 수 있게 되었고, 잠자리에 드는 시간도 늦어졌습니다.")</f>
        <v>언니가 회복한 후, 아침에 일어날 수 있게 되었고, 잠자리에 드는 시간도 늦어졌습니다.</v>
      </c>
      <c r="G46" s="71" t="str">
        <f>IFERROR(__xludf.DUMMYFUNCTION("GOOGLETRANSLATE(A46,""zh-tw"",""ru"")"),"После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6" s="209" t="str">
        <f>IFERROR(__xludf.DUMMYFUNCTION("GOOGLETRANSLATE(A46,""zh-tw"",""de"")"),"Nach der Genesung meiner Schwester konnte sie morgens wieder aufwachen und auch ihre Schlafenszeit verschob sich nach hinten.")</f>
        <v>Nach der Genesung meiner Schwester konnte sie morgens wieder aufwachen und auch ihre Schlafenszeit verschob sich nach hinten.</v>
      </c>
      <c r="I46" s="124" t="s">
        <v>4281</v>
      </c>
      <c r="J46" s="124" t="s">
        <v>4282</v>
      </c>
      <c r="K46" s="65"/>
      <c r="L46" s="65"/>
      <c r="M46" s="65"/>
      <c r="N46" s="65"/>
      <c r="O46" s="65"/>
      <c r="P46" s="65"/>
      <c r="Q46" s="65"/>
      <c r="R46" s="65"/>
      <c r="S46" s="65"/>
      <c r="T46" s="65"/>
      <c r="U46" s="65"/>
      <c r="V46" s="65"/>
      <c r="W46" s="65"/>
    </row>
    <row r="47">
      <c r="A47" s="69" t="s">
        <v>4283</v>
      </c>
      <c r="B47" s="208" t="s">
        <v>4284</v>
      </c>
      <c r="C47" s="69" t="s">
        <v>4285</v>
      </c>
      <c r="D47" s="208" t="str">
        <f>IFERROR(__xludf.DUMMYFUNCTION("GOOGLETRANSLATE(A47,""zh-tw"",""zh"")"),"幸运值可以用来影响扭蛋、物品掉落(实装)
和妹妹相关的机率事件也会受到幸运值的影响(未实装)")</f>
        <v>幸运值可以用来影响扭蛋、物品掉落(实装)
和妹妹相关的机率事件也会受到幸运值的影响(未实装)</v>
      </c>
      <c r="E47" s="71" t="str">
        <f>IFERROR(__xludf.DUMMYFUNCTION("GOOGLETRANSLATE(A47,""zh-tw"",""es-MX"")"),"Las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7" s="209" t="str">
        <f>IFERROR(__xludf.DUMMYFUNCTION("GOOGLETRANSLATE(A47,""zh-tw"",""KO"")"),"행운 능력치는 가챠 뽑기 및 아이템 드랍에 영향을 미치는 데 사용될 수 있습니다(구현됨). 행운 능력치는 자매와 관련된 확률 기반 이벤트에도 영향을 미칩니다(아직 구현되지 않음).")</f>
        <v>행운 능력치는 가챠 뽑기 및 아이템 드랍에 영향을 미치는 데 사용될 수 있습니다(구현됨). 행운 능력치는 자매와 관련된 확률 기반 이벤트에도 영향을 미칩니다(아직 구현되지 않음).</v>
      </c>
      <c r="G47" s="71" t="str">
        <f>IFERROR(__xludf.DUMMYFUNCTION("GOOGLETRANSLATE(A47,""zh-tw"",""ru"")"),"Статистика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7" s="209" t="str">
        <f>IFERROR(__xludf.DUMMYFUNCTION("GOOGLETRANSLATE(A47,""zh-tw"",""de"")"),"Glückswerte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7" s="124" t="s">
        <v>4286</v>
      </c>
      <c r="J47" s="124" t="s">
        <v>4287</v>
      </c>
      <c r="K47" s="65"/>
      <c r="L47" s="65"/>
      <c r="M47" s="65"/>
      <c r="N47" s="65"/>
      <c r="O47" s="65"/>
      <c r="P47" s="65"/>
      <c r="Q47" s="65"/>
      <c r="R47" s="65"/>
      <c r="S47" s="65"/>
      <c r="T47" s="65"/>
      <c r="U47" s="65"/>
      <c r="V47" s="65"/>
      <c r="W47" s="65"/>
    </row>
    <row r="48">
      <c r="A48" s="69" t="s">
        <v>4288</v>
      </c>
      <c r="B48" s="208" t="s">
        <v>4289</v>
      </c>
      <c r="C48" s="69" t="s">
        <v>4290</v>
      </c>
      <c r="D48" s="208" t="str">
        <f>IFERROR(__xludf.DUMMYFUNCTION("GOOGLETRANSLATE(A48,""zh-tw"",""zh"")"),"商店老板娘叫做aki，另外妹妹的声优也是aki")</f>
        <v>商店老板娘叫做aki，另外妹妹的声优也是aki</v>
      </c>
      <c r="E48" s="71" t="str">
        <f>IFERROR(__xludf.DUMMYFUNCTION("GOOGLETRANSLATE(A48,""zh-tw"",""es-MX"")"),"El nombre del dueño de la tienda es Aki, y la actriz de voz de la hermana menor también es Aki.")</f>
        <v>El nombre del dueño de la tienda es Aki, y la actriz de voz de la hermana menor también es Aki.</v>
      </c>
      <c r="F48" s="209" t="str">
        <f>IFERROR(__xludf.DUMMYFUNCTION("GOOGLETRANSLATE(A48,""zh-tw"",""KO"")"),"가게 주인의 이름은 아키이고, 여동생의 성우도 아키입니다.")</f>
        <v>가게 주인의 이름은 아키이고, 여동생의 성우도 아키입니다.</v>
      </c>
      <c r="G48" s="71" t="str">
        <f>IFERROR(__xludf.DUMMYFUNCTION("GOOGLETRANSLATE(A48,""zh-tw"",""ru"")"),"Владелицу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8" s="209" t="str">
        <f>IFERROR(__xludf.DUMMYFUNCTION("GOOGLETRANSLATE(A48,""zh-tw"",""de"")"),"Der Name der Ladenbesitzerin ist Aki, und die Synchronsprecherin der jüngeren Schwester heißt ebenfalls Aki.")</f>
        <v>Der Name der Ladenbesitzerin ist Aki, und die Synchronsprecherin der jüngeren Schwester heißt ebenfalls Aki.</v>
      </c>
      <c r="I48" s="124" t="s">
        <v>4291</v>
      </c>
      <c r="J48" s="124" t="s">
        <v>4292</v>
      </c>
      <c r="K48" s="65"/>
      <c r="L48" s="65"/>
      <c r="M48" s="65"/>
      <c r="N48" s="65"/>
      <c r="O48" s="65"/>
      <c r="P48" s="65"/>
      <c r="Q48" s="65"/>
      <c r="R48" s="65"/>
      <c r="S48" s="65"/>
      <c r="T48" s="65"/>
      <c r="U48" s="65"/>
      <c r="V48" s="65"/>
      <c r="W48" s="65"/>
    </row>
    <row r="49">
      <c r="A49" s="69" t="s">
        <v>4293</v>
      </c>
      <c r="B49" s="208" t="s">
        <v>4294</v>
      </c>
      <c r="C49" s="71" t="s">
        <v>4295</v>
      </c>
      <c r="D49" s="208" t="str">
        <f>IFERROR(__xludf.DUMMYFUNCTION("GOOGLETRANSLATE(A49,""zh-tw"",""zh"")"),"Ehwaz符文会在扔出去后和触碰到的敌人交换位置")</f>
        <v>Ehwaz符文会在扔出去后和触碰到的敌人交换位置</v>
      </c>
      <c r="E49" s="71" t="str">
        <f>IFERROR(__xludf.DUMMYFUNCTION("GOOGLETRANSLATE(A49,""zh-tw"",""es-MX"")"),"La runa Ehwaz intercambiará posiciones con cualquier enemigo que toque después de ser lanzada.")</f>
        <v>La runa Ehwaz intercambiará posiciones con cualquier enemigo que toque después de ser lanzada.</v>
      </c>
      <c r="F49" s="209" t="str">
        <f>IFERROR(__xludf.DUMMYFUNCTION("GOOGLETRANSLATE(A49,""zh-tw"",""KO"")"),"에바즈 룬은 던져진 후 닿는 모든 적과 위치를 바꿉니다.")</f>
        <v>에바즈 룬은 던져진 후 닿는 모든 적과 위치를 바꿉니다.</v>
      </c>
      <c r="G49" s="71" t="str">
        <f>IFERROR(__xludf.DUMMYFUNCTION("GOOGLETRANSLATE(A49,""zh-tw"",""ru"")"),"Руна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49" s="209" t="str">
        <f>IFERROR(__xludf.DUMMYFUNCTION("GOOGLETRANSLATE(A49,""zh-tw"",""de"")"),"Die Ehwaz-Rune tauscht nach dem Werfen die Position mit jedem Gegner, den sie berührt.")</f>
        <v>Die Ehwaz-Rune tauscht nach dem Werfen die Position mit jedem Gegner, den sie berührt.</v>
      </c>
      <c r="I49" s="124" t="s">
        <v>4296</v>
      </c>
      <c r="J49" s="124" t="s">
        <v>4297</v>
      </c>
      <c r="K49" s="65"/>
      <c r="L49" s="65"/>
      <c r="M49" s="65"/>
      <c r="N49" s="65"/>
      <c r="O49" s="65"/>
      <c r="P49" s="65"/>
      <c r="Q49" s="65"/>
      <c r="R49" s="65"/>
      <c r="S49" s="65"/>
      <c r="T49" s="65"/>
      <c r="U49" s="65"/>
      <c r="V49" s="65"/>
      <c r="W49" s="65"/>
    </row>
    <row r="50">
      <c r="A50" s="69" t="s">
        <v>4298</v>
      </c>
      <c r="B50" s="208" t="s">
        <v>4299</v>
      </c>
      <c r="C50" s="69" t="s">
        <v>4300</v>
      </c>
      <c r="D50" s="208" t="s">
        <v>4301</v>
      </c>
      <c r="E50" s="71" t="str">
        <f>IFERROR(__xludf.DUMMYFUNCTION("GOOGLETRANSLATE(A50,""zh-tw"",""es-MX"")"),"Las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50" s="209" t="str">
        <f>IFERROR(__xludf.DUMMYFUNCTION("GOOGLETRANSLATE(A50,""zh-tw"",""KO"")"),"라이도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0" s="71" t="str">
        <f>IFERROR(__xludf.DUMMYFUNCTION("GOOGLETRANSLATE(A50,""zh-tw"",""ru"")"),"Руны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0" s="209" t="str">
        <f>IFERROR(__xludf.DUMMYFUNCTION("GOOGLETRANSLATE(A50,""zh-tw"",""de"")"),"Raido-Runen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0" s="124" t="s">
        <v>4302</v>
      </c>
      <c r="J50" s="124" t="s">
        <v>4303</v>
      </c>
      <c r="K50" s="65"/>
      <c r="L50" s="65"/>
      <c r="M50" s="65"/>
      <c r="N50" s="65"/>
      <c r="O50" s="65"/>
      <c r="P50" s="65"/>
      <c r="Q50" s="65"/>
      <c r="R50" s="65"/>
      <c r="S50" s="65"/>
      <c r="T50" s="65"/>
      <c r="U50" s="65"/>
      <c r="V50" s="65"/>
      <c r="W50" s="65"/>
    </row>
    <row r="51">
      <c r="A51" s="69" t="s">
        <v>4304</v>
      </c>
      <c r="B51" s="208" t="str">
        <f>IFERROR(__xludf.DUMMYFUNCTION("GOOGLETRANSLATE(A51,""zh-tw"",""ja"")"),"Jera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51" s="69" t="s">
        <v>4305</v>
      </c>
      <c r="D51" s="208" t="str">
        <f>IFERROR(__xludf.DUMMYFUNCTION("GOOGLETRANSLATE(A51,""zh-tw"",""zh"")"),"Jera符文，丢出去可以变换接触到的敌人或掉落物，也就是复制的作用(未实装)")</f>
        <v>Jera符文，丢出去可以变换接触到的敌人或掉落物，也就是复制的作用(未实装)</v>
      </c>
      <c r="E51" s="71" t="str">
        <f>IFERROR(__xludf.DUMMYFUNCTION("GOOGLETRANSLATE(A51,""zh-tw"",""es-MX"")"),"La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51" s="209" t="str">
        <f>IFERROR(__xludf.DUMMYFUNCTION("GOOGLETRANSLATE(A51,""zh-tw"",""KO"")"),"제라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1" s="71" t="str">
        <f>IFERROR(__xludf.DUMMYFUNCTION("GOOGLETRANSLATE(A51,""zh-tw"",""ru"")"),"Руна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1" s="209" t="str">
        <f>IFERROR(__xludf.DUMMYFUNCTION("GOOGLETRANSLATE(A51,""zh-tw"",""de"")"),"Die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1" s="124" t="s">
        <v>4306</v>
      </c>
      <c r="J51" s="124" t="s">
        <v>4307</v>
      </c>
      <c r="K51" s="65"/>
      <c r="L51" s="65"/>
      <c r="M51" s="65"/>
      <c r="N51" s="65"/>
      <c r="O51" s="65"/>
      <c r="P51" s="65"/>
      <c r="Q51" s="65"/>
      <c r="R51" s="65"/>
      <c r="S51" s="65"/>
      <c r="T51" s="65"/>
      <c r="U51" s="65"/>
      <c r="V51" s="65"/>
      <c r="W51" s="65"/>
    </row>
    <row r="52">
      <c r="A52" s="69" t="s">
        <v>4308</v>
      </c>
      <c r="B52" s="208" t="str">
        <f>IFERROR(__xludf.DUMMYFUNCTION("GOOGLETRANSLATE(A52,""zh-tw"",""ja"")"),"パース ルーンは、投げられると範囲攻撃を作成し、そのエリア内の敵またはドロップされたアイテムをランダムに置き換えます (まだ実装されていません)。")</f>
        <v>パース ルーンは、投げられると範囲攻撃を作成し、そのエリア内の敵またはドロップされたアイテムをランダムに置き換えます (まだ実装されていません)。</v>
      </c>
      <c r="C52" s="69" t="s">
        <v>4309</v>
      </c>
      <c r="D52" s="208" t="str">
        <f>IFERROR(__xludf.DUMMYFUNCTION("GOOGLETRANSLATE(A52,""zh-tw"",""zh"")"),"Perth符文，丢出去会造成范围影响，范围内的敌人或掉落物会被随机替换(未实装)")</f>
        <v>Perth符文，丢出去会造成范围影响，范围内的敌人或掉落物会被随机替换(未实装)</v>
      </c>
      <c r="E52" s="71" t="str">
        <f>IFERROR(__xludf.DUMMYFUNCTION("GOOGLETRANSLATE(A52,""zh-tw"",""es-MX"")"),"La runa de Perth, al ser lanzada, crea un ataque de área de efecto, reemplazando aleatoriamente a los enemigos o los objetos caídos dentro de esa área (aún no implementado).")</f>
        <v>La runa de Perth, al ser lanzada, crea un ataque de área de efecto, reemplazando aleatoriamente a los enemigos o los objetos caídos dentro de esa área (aún no implementado).</v>
      </c>
      <c r="F52" s="209" t="str">
        <f>IFERROR(__xludf.DUMMYFUNCTION("GOOGLETRANSLATE(A52,""zh-tw"",""KO"")"),"퍼스 룬을 던지면 광역 공격이 발생하여 해당 영역 내에 있는 적이나 떨어진 아이템을 무작위로 교체합니다(아직 구현되지 않음).")</f>
        <v>퍼스 룬을 던지면 광역 공격이 발생하여 해당 영역 내에 있는 적이나 떨어진 아이템을 무작위로 교체합니다(아직 구현되지 않음).</v>
      </c>
      <c r="G52" s="71" t="str">
        <f>IFERROR(__xludf.DUMMYFUNCTION("GOOGLETRANSLATE(A52,""zh-tw"",""ru"")"),"При броске руна Перта создает атаку по области, случайным образом заменяя врагов или выпавшие предметы в этой области (пока не реализовано).")</f>
        <v>При броске руна Перта создает атаку по области, случайным образом заменяя врагов или выпавшие предметы в этой области (пока не реализовано).</v>
      </c>
      <c r="H52" s="209" t="str">
        <f>IFERROR(__xludf.DUMMYFUNCTION("GOOGLETRANSLATE(A52,""zh-tw"",""de"")"),"Die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2" s="124" t="s">
        <v>4310</v>
      </c>
      <c r="J52" s="124" t="s">
        <v>4311</v>
      </c>
      <c r="K52" s="65"/>
      <c r="L52" s="65"/>
      <c r="M52" s="65"/>
      <c r="N52" s="65"/>
      <c r="O52" s="65"/>
      <c r="P52" s="65"/>
      <c r="Q52" s="65"/>
      <c r="R52" s="65"/>
      <c r="S52" s="65"/>
      <c r="T52" s="65"/>
      <c r="U52" s="65"/>
      <c r="V52" s="65"/>
      <c r="W52" s="65"/>
    </row>
    <row r="53">
      <c r="A53" s="69" t="s">
        <v>4312</v>
      </c>
      <c r="B53" s="208" t="s">
        <v>4313</v>
      </c>
      <c r="C53" s="69" t="s">
        <v>4314</v>
      </c>
      <c r="D53" s="208" t="str">
        <f>IFERROR(__xludf.DUMMYFUNCTION("GOOGLETRANSLATE(A53,""zh-tw"",""zh"")"),"甜筒大剑的效果是喂食怪物，每次攻击有一定机率累积数值，当到达一定数量时怪物会吃太饱而死亡。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3" s="71" t="str">
        <f>IFERROR(__xludf.DUMMYFUNCTION("GOOGLETRANSLATE(A53,""zh-tw"",""es-MX"")"),"El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3" s="209" t="str">
        <f>IFERROR(__xludf.DUMMYFUNCTION("GOOGLETRANSLATE(A53,""zh-tw"",""KO"")"),"아이스크림 콘 대검은 몬스터에게 먹이를 제공합니다. 각 공격 시 일정량의 식량이 축적될 확률이 있습니다. 일정량에 도달하면 몬스터는 너무 배불러 죽습니다. (보스에게는 테스트하지 않았습니다)")</f>
        <v>아이스크림 콘 대검은 몬스터에게 먹이를 제공합니다. 각 공격 시 일정량의 식량이 축적될 확률이 있습니다. 일정량에 도달하면 몬스터는 너무 배불러 죽습니다. (보스에게는 테스트하지 않았습니다)</v>
      </c>
      <c r="G53" s="71" t="str">
        <f>IFERROR(__xludf.DUMMYFUNCTION("GOOGLETRANSLATE(A53,""zh-tw"",""ru"")"),"Большой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f>
        <v>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v>
      </c>
      <c r="H53" s="209" t="str">
        <f>IFERROR(__xludf.DUMMYFUNCTION("GOOGLETRANSLATE(A53,""zh-tw"",""de"")"),"Das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3" s="124" t="s">
        <v>4315</v>
      </c>
      <c r="J53" s="124" t="s">
        <v>4316</v>
      </c>
      <c r="K53" s="65"/>
      <c r="L53" s="65"/>
      <c r="M53" s="65"/>
      <c r="N53" s="65"/>
      <c r="O53" s="65"/>
      <c r="P53" s="65"/>
      <c r="Q53" s="65"/>
      <c r="R53" s="65"/>
      <c r="S53" s="65"/>
      <c r="T53" s="65"/>
      <c r="U53" s="65"/>
      <c r="V53" s="65"/>
      <c r="W53" s="65"/>
    </row>
    <row r="54">
      <c r="A54" s="69" t="s">
        <v>4317</v>
      </c>
      <c r="B54" s="208" t="str">
        <f>IFERROR(__xludf.DUMMYFUNCTION("GOOGLETRANSLATE(A54,""zh-tw"",""ja"")"),"ガシャポンが騎士の足元に落ちた場合は、騎士が拾ってくれます。")</f>
        <v>ガシャポンが騎士の足元に落ちた場合は、騎士が拾ってくれます。</v>
      </c>
      <c r="C54" s="69" t="s">
        <v>4318</v>
      </c>
      <c r="D54" s="208" t="str">
        <f>IFERROR(__xludf.DUMMYFUNCTION("GOOGLETRANSLATE(A54,""zh-tw"",""zh"")"),"如果扭蛋掉到骑士的脚边，他会帮你捡起")</f>
        <v>如果扭蛋掉到骑士的脚边，他会帮你捡起</v>
      </c>
      <c r="E54" s="71" t="str">
        <f>IFERROR(__xludf.DUMMYFUNCTION("GOOGLETRANSLATE(A54,""zh-tw"",""es-MX"")"),"Si el gashapon cae cerca de los pies del caballero, él lo recogerá para ti.")</f>
        <v>Si el gashapon cae cerca de los pies del caballero, él lo recogerá para ti.</v>
      </c>
      <c r="F54" s="209" t="str">
        <f>IFERROR(__xludf.DUMMYFUNCTION("GOOGLETRANSLATE(A54,""zh-tw"",""KO"")"),"가샤폰이 기사의 발 근처에 떨어지면 기사가 당신을 위해 그것을 주워줄 것입니다.")</f>
        <v>가샤폰이 기사의 발 근처에 떨어지면 기사가 당신을 위해 그것을 주워줄 것입니다.</v>
      </c>
      <c r="G54" s="71" t="str">
        <f>IFERROR(__xludf.DUMMYFUNCTION("GOOGLETRANSLATE(A54,""zh-tw"",""ru"")"),"Если гасяпон упадет возле ног рыцаря, он поднимет его для вас.")</f>
        <v>Если гасяпон упадет возле ног рыцаря, он поднимет его для вас.</v>
      </c>
      <c r="H54" s="209" t="str">
        <f>IFERROR(__xludf.DUMMYFUNCTION("GOOGLETRANSLATE(A54,""zh-tw"",""de"")"),"Wenn der Gashapon in die Nähe der Füße des Ritters fällt, wird er ihn für dich aufheben.")</f>
        <v>Wenn der Gashapon in die Nähe der Füße des Ritters fällt, wird er ihn für dich aufheben.</v>
      </c>
      <c r="I54" s="124" t="s">
        <v>4319</v>
      </c>
      <c r="J54" s="124" t="s">
        <v>4320</v>
      </c>
      <c r="K54" s="65"/>
      <c r="L54" s="65"/>
      <c r="M54" s="65"/>
      <c r="N54" s="65"/>
      <c r="O54" s="65"/>
      <c r="P54" s="65"/>
      <c r="Q54" s="65"/>
      <c r="R54" s="65"/>
      <c r="S54" s="65"/>
      <c r="T54" s="65"/>
      <c r="U54" s="65"/>
      <c r="V54" s="65"/>
      <c r="W54" s="65"/>
    </row>
    <row r="55">
      <c r="A55" s="69" t="s">
        <v>4321</v>
      </c>
      <c r="B55" s="208" t="s">
        <v>4322</v>
      </c>
      <c r="C55" s="69" t="s">
        <v>4323</v>
      </c>
      <c r="D55" s="208" t="s">
        <v>4324</v>
      </c>
      <c r="E55" s="71" t="str">
        <f>IFERROR(__xludf.DUMMYFUNCTION("GOOGLETRANSLATE(A55,""zh-tw"",""es-MX"")"),"La durabilidad máxima predeterminada para todas las armas es 114514, derivada de &lt;El sueño de una noche de verano&gt;.")</f>
        <v>La durabilidad máxima predeterminada para todas las armas es 114514, derivada de &lt;El sueño de una noche de verano&gt;.</v>
      </c>
      <c r="F55" s="209" t="str">
        <f>IFERROR(__xludf.DUMMYFUNCTION("GOOGLETRANSLATE(A55,""zh-tw"",""KO"")"),"모든 무기의 기본 최대 내구도는 114514이며, 이는 &lt;한여름 밤의 꿈&gt;에서 따온 것입니다.")</f>
        <v>모든 무기의 기본 최대 내구도는 114514이며, 이는 &lt;한여름 밤의 꿈&gt;에서 따온 것입니다.</v>
      </c>
      <c r="G55" s="71" t="str">
        <f>IFERROR(__xludf.DUMMYFUNCTION("GOOGLETRANSLATE(A55,""zh-tw"",""ru"")"),"Максимальная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5" s="209" t="str">
        <f>IFERROR(__xludf.DUMMYFUNCTION("GOOGLETRANSLATE(A55,""zh-tw"",""de"")"),"Die standardmäßige maximale Haltbarkeit aller Waffen beträgt 114514 und ist dem Roman „Ein Sommernachtstraum“ entlehnt.")</f>
        <v>Die standardmäßige maximale Haltbarkeit aller Waffen beträgt 114514 und ist dem Roman „Ein Sommernachtstraum“ entlehnt.</v>
      </c>
      <c r="I55" s="124" t="s">
        <v>4325</v>
      </c>
      <c r="J55" s="124" t="s">
        <v>4326</v>
      </c>
      <c r="K55" s="65"/>
      <c r="L55" s="65"/>
      <c r="M55" s="65"/>
      <c r="N55" s="65"/>
      <c r="O55" s="65"/>
      <c r="P55" s="65"/>
      <c r="Q55" s="65"/>
      <c r="R55" s="65"/>
      <c r="S55" s="65"/>
      <c r="T55" s="65"/>
      <c r="U55" s="65"/>
      <c r="V55" s="65"/>
      <c r="W55" s="65"/>
    </row>
    <row r="56">
      <c r="A56" s="69" t="s">
        <v>4327</v>
      </c>
      <c r="B56" s="208" t="s">
        <v>4328</v>
      </c>
      <c r="C56" s="69" t="s">
        <v>4329</v>
      </c>
      <c r="D56" s="208" t="str">
        <f>IFERROR(__xludf.DUMMYFUNCTION("GOOGLETRANSLATE(A56,""zh-tw"",""zh"")"),"猫娘商店车会有以下的商品：
1.固定物品 2.猫娘们收集到的食材 3.随机的常规道具，品质随机分布。")</f>
        <v>猫娘商店车会有以下的商品：
1.固定物品 2.猫娘们收集到的食材 3.随机的常规道具，品质随机分布。</v>
      </c>
      <c r="E56" s="71" t="str">
        <f>IFERROR(__xludf.DUMMYFUNCTION("GOOGLETRANSLATE(A56,""zh-tw"",""es-MX"")"),"El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6" s="209" t="str">
        <f>IFERROR(__xludf.DUMMYFUNCTION("GOOGLETRANSLATE(A56,""zh-tw"",""KO"")"),"캣걸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6" s="71" t="str">
        <f>IFERROR(__xludf.DUMMYFUNCTION("GOOGLETRANSLATE(A56,""zh-tw"",""ru"")"),"В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6" s="209" t="str">
        <f>IFERROR(__xludf.DUMMYFUNCTION("GOOGLETRANSLATE(A56,""zh-tw"",""de"")"),"Der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6" s="124" t="s">
        <v>4330</v>
      </c>
      <c r="J56" s="124" t="s">
        <v>4331</v>
      </c>
      <c r="K56" s="65"/>
      <c r="L56" s="65"/>
      <c r="M56" s="65"/>
      <c r="N56" s="65"/>
      <c r="O56" s="65"/>
      <c r="P56" s="65"/>
      <c r="Q56" s="65"/>
      <c r="R56" s="65"/>
      <c r="S56" s="65"/>
      <c r="T56" s="65"/>
      <c r="U56" s="65"/>
      <c r="V56" s="65"/>
      <c r="W56" s="65"/>
    </row>
    <row r="57">
      <c r="A57" s="69" t="s">
        <v>4332</v>
      </c>
      <c r="B57" s="208" t="s">
        <v>4333</v>
      </c>
      <c r="C57" s="69" t="s">
        <v>4334</v>
      </c>
      <c r="D57" s="208" t="s">
        <v>4335</v>
      </c>
      <c r="E57" s="71" t="str">
        <f>IFERROR(__xludf.DUMMYFUNCTION("GOOGLETRANSLATE(A57,""zh-tw"",""es-MX"")"),"La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7" s="209" t="str">
        <f>IFERROR(__xludf.DUMMYFUNCTION("GOOGLETRANSLATE(A57,""zh-tw"",""KO"")"),"고양이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7" s="71" t="str">
        <f>IFERROR(__xludf.DUMMYFUNCTION("GOOGLETRANSLATE(A57,""zh-tw"",""ru"")"),"Кошкодевочка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7" s="209" t="str">
        <f>IFERROR(__xludf.DUMMYFUNCTION("GOOGLETRANSLATE(A57,""zh-tw"",""de"")"),"Das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7" s="124" t="s">
        <v>4336</v>
      </c>
      <c r="J57" s="124" t="s">
        <v>4337</v>
      </c>
      <c r="K57" s="65"/>
      <c r="L57" s="65"/>
      <c r="M57" s="65"/>
      <c r="N57" s="65"/>
      <c r="O57" s="65"/>
      <c r="P57" s="65"/>
      <c r="Q57" s="65"/>
      <c r="R57" s="65"/>
      <c r="S57" s="65"/>
      <c r="T57" s="65"/>
      <c r="U57" s="65"/>
      <c r="V57" s="65"/>
      <c r="W57" s="65"/>
    </row>
    <row r="58">
      <c r="A58" s="69" t="s">
        <v>4338</v>
      </c>
      <c r="B58" s="208" t="s">
        <v>4339</v>
      </c>
      <c r="C58" s="69" t="s">
        <v>4340</v>
      </c>
      <c r="D58" s="208" t="str">
        <f>IFERROR(__xludf.DUMMYFUNCTION("GOOGLETRANSLATE(A58,""zh-tw"",""zh"")"),"可以对猫娘商店车使用时间暂停器，是个优秀的攻击方式
(P.S.对AKI商店无效)")</f>
        <v>可以对猫娘商店车使用时间暂停器，是个优秀的攻击方式
(P.S.对AKI商店无效)</v>
      </c>
      <c r="E58" s="71" t="str">
        <f>IFERROR(__xludf.DUMMYFUNCTION("GOOGLETRANSLATE(A58,""zh-tw"",""es-MX"")"),"El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8" s="209" t="str">
        <f>IFERROR(__xludf.DUMMYFUNCTION("GOOGLETRANSLATE(A58,""zh-tw"",""KO"")"),"시간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58" s="71" t="str">
        <f>IFERROR(__xludf.DUMMYFUNCTION("GOOGLETRANSLATE(A58,""zh-tw"",""ru"")"),"Остановка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58" s="209" t="str">
        <f>IFERROR(__xludf.DUMMYFUNCTION("GOOGLETRANSLATE(A58,""zh-tw"",""de"")"),"Die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8" s="124" t="s">
        <v>4341</v>
      </c>
      <c r="J58" s="124" t="s">
        <v>4342</v>
      </c>
      <c r="K58" s="65"/>
      <c r="L58" s="65"/>
      <c r="M58" s="65"/>
      <c r="N58" s="65"/>
      <c r="O58" s="65"/>
      <c r="P58" s="65"/>
      <c r="Q58" s="65"/>
      <c r="R58" s="65"/>
      <c r="S58" s="65"/>
      <c r="T58" s="65"/>
      <c r="U58" s="65"/>
      <c r="V58" s="65"/>
      <c r="W58" s="65"/>
    </row>
    <row r="59">
      <c r="A59" s="69" t="s">
        <v>4343</v>
      </c>
      <c r="B59" s="208" t="s">
        <v>4344</v>
      </c>
      <c r="C59" s="69" t="s">
        <v>4345</v>
      </c>
      <c r="D59" s="208" t="s">
        <v>4346</v>
      </c>
      <c r="E59" s="71" t="str">
        <f>IFERROR(__xludf.DUMMYFUNCTION("GOOGLETRANSLATE(A59,""zh-tw"",""es-MX"")"),"Ya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9" s="209" t="str">
        <f>IFERROR(__xludf.DUMMYFUNCTION("GOOGLETRANSLATE(A59,""zh-tw"",""KO"")"),"움직이는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59" s="71" t="str">
        <f>IFERROR(__xludf.DUMMYFUNCTION("GOOGLETRANSLATE(A59,""zh-tw"",""ru"")"),"Будь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59" s="209" t="str">
        <f>IFERROR(__xludf.DUMMYFUNCTION("GOOGLETRANSLATE(A59,""zh-tw"",""de"")"),"Ob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9" s="124" t="s">
        <v>4347</v>
      </c>
      <c r="J59" s="124" t="s">
        <v>4348</v>
      </c>
      <c r="K59" s="65"/>
      <c r="L59" s="65"/>
      <c r="M59" s="65"/>
      <c r="N59" s="65"/>
      <c r="O59" s="65"/>
      <c r="P59" s="65"/>
      <c r="Q59" s="65"/>
      <c r="R59" s="65"/>
      <c r="S59" s="65"/>
      <c r="T59" s="65"/>
      <c r="U59" s="65"/>
      <c r="V59" s="65"/>
      <c r="W59" s="65"/>
    </row>
    <row r="60">
      <c r="A60" s="69" t="s">
        <v>4349</v>
      </c>
      <c r="B60" s="208" t="s">
        <v>4350</v>
      </c>
      <c r="C60" s="69" t="s">
        <v>4351</v>
      </c>
      <c r="D60" s="208" t="str">
        <f>IFERROR(__xludf.DUMMYFUNCTION("GOOGLETRANSLATE(A60,""zh-tw"",""zh"")"),"机率100%不代表必定触发，因为还有敌人的抗性。有些装备还会依据溢出的机率来增强效果。")</f>
        <v>机率100%不代表必定触发，因为还有敌人的抗性。有些装备还会依据溢出的机率来增强效果。</v>
      </c>
      <c r="E60" s="71" t="str">
        <f>IFERROR(__xludf.DUMMYFUNCTION("GOOGLETRANSLATE(A60,""zh-tw"",""es-MX"")"),"Una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60" s="209" t="str">
        <f>IFERROR(__xludf.DUMMYFUNCTION("GOOGLETRANSLATE(A60,""zh-tw"",""KO"")"),"100% 확률이 발동을 보장하는 것은 아니며, 적의 저항력도 영향을 미칩니다. 일부 장비는 초과 확률에 따라 효과를 강화하기도 합니다.")</f>
        <v>100% 확률이 발동을 보장하는 것은 아니며, 적의 저항력도 영향을 미칩니다. 일부 장비는 초과 확률에 따라 효과를 강화하기도 합니다.</v>
      </c>
      <c r="G60" s="71" t="str">
        <f>IFERROR(__xludf.DUMMYFUNCTION("GOOGLETRANSLATE(A60,""zh-tw"",""ru"")"),"100%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0" s="209" t="str">
        <f>IFERROR(__xludf.DUMMYFUNCTION("GOOGLETRANSLATE(A60,""zh-tw"",""de"")"),"Eine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0" s="124" t="s">
        <v>4352</v>
      </c>
      <c r="J60" s="124" t="s">
        <v>4353</v>
      </c>
      <c r="K60" s="65"/>
      <c r="L60" s="65"/>
      <c r="M60" s="65"/>
      <c r="N60" s="65"/>
      <c r="O60" s="65"/>
      <c r="P60" s="65"/>
      <c r="Q60" s="65"/>
      <c r="R60" s="65"/>
      <c r="S60" s="65"/>
      <c r="T60" s="65"/>
      <c r="U60" s="65"/>
      <c r="V60" s="65"/>
      <c r="W60" s="65"/>
    </row>
    <row r="61">
      <c r="A61" s="69" t="s">
        <v>4354</v>
      </c>
      <c r="B61" s="208" t="s">
        <v>4355</v>
      </c>
      <c r="C61" s="69" t="s">
        <v>4356</v>
      </c>
      <c r="D61" s="208" t="str">
        <f>IFERROR(__xludf.DUMMYFUNCTION("GOOGLETRANSLATE(A61,""zh-tw"",""zh"")"),"不同天气时，妹妹会涂不同颜色的指甲油。")</f>
        <v>不同天气时，妹妹会涂不同颜色的指甲油。</v>
      </c>
      <c r="E61" s="71" t="str">
        <f>IFERROR(__xludf.DUMMYFUNCTION("GOOGLETRANSLATE(A61,""zh-tw"",""es-MX"")"),"Mi hermana se pinta las uñas de diferentes colores dependiendo del clima.")</f>
        <v>Mi hermana se pinta las uñas de diferentes colores dependiendo del clima.</v>
      </c>
      <c r="F61" s="209" t="str">
        <f>IFERROR(__xludf.DUMMYFUNCTION("GOOGLETRANSLATE(A61,""zh-tw"",""KO"")"),"제 여동생은 날씨에 따라 손톱을 다른 색으로 칠해요.")</f>
        <v>제 여동생은 날씨에 따라 손톱을 다른 색으로 칠해요.</v>
      </c>
      <c r="G61" s="71" t="str">
        <f>IFERROR(__xludf.DUMMYFUNCTION("GOOGLETRANSLATE(A61,""zh-tw"",""ru"")"),"Моя сестра красит ногти в разные цвета в зависимости от погоды.")</f>
        <v>Моя сестра красит ногти в разные цвета в зависимости от погоды.</v>
      </c>
      <c r="H61" s="209" t="str">
        <f>IFERROR(__xludf.DUMMYFUNCTION("GOOGLETRANSLATE(A61,""zh-tw"",""de"")"),"Meine Schwester lackiert ihre Nägel je nach Wetterlage in verschiedenen Farben.")</f>
        <v>Meine Schwester lackiert ihre Nägel je nach Wetterlage in verschiedenen Farben.</v>
      </c>
      <c r="I61" s="124" t="s">
        <v>4357</v>
      </c>
      <c r="J61" s="124" t="s">
        <v>4358</v>
      </c>
      <c r="K61" s="65"/>
      <c r="L61" s="65"/>
      <c r="M61" s="65"/>
      <c r="N61" s="65"/>
      <c r="O61" s="65"/>
      <c r="P61" s="65"/>
      <c r="Q61" s="65"/>
      <c r="R61" s="65"/>
      <c r="S61" s="65"/>
      <c r="T61" s="65"/>
      <c r="U61" s="65"/>
      <c r="V61" s="65"/>
      <c r="W61" s="65"/>
    </row>
    <row r="62">
      <c r="A62" s="69" t="s">
        <v>4359</v>
      </c>
      <c r="B62" s="208" t="s">
        <v>4360</v>
      </c>
      <c r="C62" s="69" t="s">
        <v>4361</v>
      </c>
      <c r="D62" s="208" t="str">
        <f>IFERROR(__xludf.DUMMYFUNCTION("GOOGLETRANSLATE(A62,""zh-tw"",""zh"")"),"星之门地图，丢弃在星之门中的物品不会遗失，可以当作临时仓库。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2" s="71" t="str">
        <f>IFERROR(__xludf.DUMMYFUNCTION("GOOGLETRANSLATE(A62,""zh-tw"",""es-MX"")"),"En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2" s="209" t="str">
        <f>IFERROR(__xludf.DUMMYFUNCTION("GOOGLETRANSLATE(A62,""zh-tw"",""KO"")"),"스타게이트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2" s="71" t="str">
        <f>IFERROR(__xludf.DUMMYFUNCTION("GOOGLETRANSLATE(A62,""zh-tw"",""ru"")"),"На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2" s="209" t="str">
        <f>IFERROR(__xludf.DUMMYFUNCTION("GOOGLETRANSLATE(A62,""zh-tw"",""de"")"),"Auf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2" s="124" t="s">
        <v>4362</v>
      </c>
      <c r="J62" s="124" t="s">
        <v>4363</v>
      </c>
      <c r="K62" s="65"/>
      <c r="L62" s="65"/>
      <c r="M62" s="65"/>
      <c r="N62" s="65"/>
      <c r="O62" s="65"/>
      <c r="P62" s="65"/>
      <c r="Q62" s="65"/>
      <c r="R62" s="65"/>
      <c r="S62" s="65"/>
      <c r="T62" s="65"/>
      <c r="U62" s="65"/>
      <c r="V62" s="65"/>
      <c r="W62" s="65"/>
    </row>
    <row r="63">
      <c r="A63" s="69" t="s">
        <v>4364</v>
      </c>
      <c r="B63" s="208" t="s">
        <v>4365</v>
      </c>
      <c r="C63" s="69" t="s">
        <v>4366</v>
      </c>
      <c r="D63" s="208" t="str">
        <f>IFERROR(__xludf.DUMMYFUNCTION("GOOGLETRANSLATE(A63,""zh-tw"",""zh"")"),"心情数值(0~100)是隐藏的，可以从妹妹平时的态度感受出来")</f>
        <v>心情数值(0~100)是隐藏的，可以从妹妹平时的态度感受出来</v>
      </c>
      <c r="E63" s="71" t="str">
        <f>IFERROR(__xludf.DUMMYFUNCTION("GOOGLETRANSLATE(A63,""zh-tw"",""es-MX"")"),"La puntuación del estado de ánimo (0~100) está oculta, pero se puede percibir por la actitud habitual de la hermana menor.")</f>
        <v>La puntuación del estado de ánimo (0~100) está oculta, pero se puede percibir por la actitud habitual de la hermana menor.</v>
      </c>
      <c r="F63" s="209" t="str">
        <f>IFERROR(__xludf.DUMMYFUNCTION("GOOGLETRANSLATE(A63,""zh-tw"",""KO"")"),"기분 점수(0~100)는 숨겨져 있지만, 여동생의 평소 태도에서 느낄 수 있다.")</f>
        <v>기분 점수(0~100)는 숨겨져 있지만, 여동생의 평소 태도에서 느낄 수 있다.</v>
      </c>
      <c r="G63" s="71" t="str">
        <f>IFERROR(__xludf.DUMMYFUNCTION("GOOGLETRANSLATE(A63,""zh-tw"",""ru"")"),"Оценка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3" s="209" t="str">
        <f>IFERROR(__xludf.DUMMYFUNCTION("GOOGLETRANSLATE(A63,""zh-tw"",""de"")"),"Die Stimmungsbewertung (0~100) ist nicht sichtbar, lässt sich aber an der üblichen Haltung der jüngeren Schwester ablesen.")</f>
        <v>Die Stimmungsbewertung (0~100) ist nicht sichtbar, lässt sich aber an der üblichen Haltung der jüngeren Schwester ablesen.</v>
      </c>
      <c r="I63" s="124" t="s">
        <v>4367</v>
      </c>
      <c r="J63" s="124" t="s">
        <v>4368</v>
      </c>
      <c r="K63" s="65"/>
      <c r="L63" s="65"/>
      <c r="M63" s="65"/>
      <c r="N63" s="65"/>
      <c r="O63" s="65"/>
      <c r="P63" s="65"/>
      <c r="Q63" s="65"/>
      <c r="R63" s="65"/>
      <c r="S63" s="65"/>
      <c r="T63" s="65"/>
      <c r="U63" s="65"/>
      <c r="V63" s="65"/>
      <c r="W63" s="65"/>
    </row>
    <row r="64">
      <c r="A64" s="69" t="s">
        <v>4369</v>
      </c>
      <c r="B64" s="208" t="s">
        <v>4370</v>
      </c>
      <c r="C64" s="69" t="s">
        <v>4371</v>
      </c>
      <c r="D64" s="208" t="str">
        <f>IFERROR(__xludf.DUMMYFUNCTION("GOOGLETRANSLATE(A64,""zh-tw"",""zh"")"),"0.75版本后，使用新存档的玩家，能从一块墓碑上听到很细微的，发出奇怪的咕噜声")</f>
        <v>0.75版本后，使用新存档的玩家，能从一块墓碑上听到很细微的，发出奇怪的咕噜声</v>
      </c>
      <c r="E64" s="71" t="str">
        <f>IFERROR(__xludf.DUMMYFUNCTION("GOOGLETRANSLATE(A64,""zh-tw"",""es-MX"")"),"Después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4" s="209" t="str">
        <f>IFERROR(__xludf.DUMMYFUNCTION("GOOGLETRANSLATE(A64,""zh-tw"",""KO"")"),"0.75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4" s="71" t="str">
        <f>IFERROR(__xludf.DUMMYFUNCTION("GOOGLETRANSLATE(A64,""zh-tw"",""ru"")"),"После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4" s="209" t="str">
        <f>IFERROR(__xludf.DUMMYFUNCTION("GOOGLETRANSLATE(A64,""zh-tw"",""de"")"),"Ab Version 0.75 können Spieler, die neue Speicherstände verwenden, ein sehr leises, seltsames Glucksen aus einem Grabstein hören.")</f>
        <v>Ab Version 0.75 können Spieler, die neue Speicherstände verwenden, ein sehr leises, seltsames Glucksen aus einem Grabstein hören.</v>
      </c>
      <c r="I64" s="124" t="s">
        <v>4372</v>
      </c>
      <c r="J64" s="124" t="s">
        <v>4373</v>
      </c>
      <c r="K64" s="65"/>
      <c r="L64" s="65"/>
      <c r="M64" s="65"/>
      <c r="N64" s="65"/>
      <c r="O64" s="65"/>
      <c r="P64" s="65"/>
      <c r="Q64" s="65"/>
      <c r="R64" s="65"/>
      <c r="S64" s="65"/>
      <c r="T64" s="65"/>
      <c r="U64" s="65"/>
      <c r="V64" s="65"/>
      <c r="W64" s="65"/>
    </row>
    <row r="65">
      <c r="A65" s="69" t="s">
        <v>4374</v>
      </c>
      <c r="B65" s="208" t="s">
        <v>4375</v>
      </c>
      <c r="C65" s="69" t="s">
        <v>4376</v>
      </c>
      <c r="D65" s="208" t="str">
        <f>IFERROR(__xludf.DUMMYFUNCTION("GOOGLETRANSLATE(A65,""zh-tw"",""zh"")"),"妹妹免疫毒素，因此有毒的食物不会使她中毒，但哥哥无法免疫。")</f>
        <v>妹妹免疫毒素，因此有毒的食物不会使她中毒，但哥哥无法免疫。</v>
      </c>
      <c r="E65" s="71" t="str">
        <f>IFERROR(__xludf.DUMMYFUNCTION("GOOGLETRANSLATE(A65,""zh-tw"",""es-MX"")"),"La hermana menor es inmune a las toxinas, por lo que la comida venenosa no la envenena, pero el hermano mayor no es inmune.")</f>
        <v>La hermana menor es inmune a las toxinas, por lo que la comida venenosa no la envenena, pero el hermano mayor no es inmune.</v>
      </c>
      <c r="F65" s="209" t="str">
        <f>IFERROR(__xludf.DUMMYFUNCTION("GOOGLETRANSLATE(A65,""zh-tw"",""KO"")"),"여동생은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5" s="71" t="str">
        <f>IFERROR(__xludf.DUMMYFUNCTION("GOOGLETRANSLATE(A65,""zh-tw"",""ru"")"),"Младшая сестра невосприимчива к токсинам, поэтому ядовитая пища не отравит ее, но у старшего брата иммунитета нет.")</f>
        <v>Младшая сестра невосприимчива к токсинам, поэтому ядовитая пища не отравит ее, но у старшего брата иммунитета нет.</v>
      </c>
      <c r="H65" s="209" t="str">
        <f>IFERROR(__xludf.DUMMYFUNCTION("GOOGLETRANSLATE(A65,""zh-tw"",""de"")"),"Die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5" s="66" t="s">
        <v>4377</v>
      </c>
      <c r="J65" s="124" t="s">
        <v>4378</v>
      </c>
      <c r="K65" s="65"/>
      <c r="L65" s="65"/>
      <c r="M65" s="65"/>
      <c r="N65" s="65"/>
      <c r="O65" s="65"/>
      <c r="P65" s="65"/>
      <c r="Q65" s="65"/>
      <c r="R65" s="65"/>
      <c r="S65" s="65"/>
      <c r="T65" s="65"/>
      <c r="U65" s="65"/>
      <c r="V65" s="65"/>
      <c r="W65" s="65"/>
    </row>
    <row r="66">
      <c r="A66" s="69" t="s">
        <v>4379</v>
      </c>
      <c r="B66" s="208" t="str">
        <f>IFERROR(__xludf.DUMMYFUNCTION("GOOGLETRANSLATE(A66,""zh-tw"",""ja"")"),"Shift キーを押すと、歩行姿勢と走行姿勢を切り替えることができます。")</f>
        <v>Shift キーを押すと、歩行姿勢と走行姿勢を切り替えることができます。</v>
      </c>
      <c r="C66" s="69" t="s">
        <v>4380</v>
      </c>
      <c r="D66" s="208" t="str">
        <f>IFERROR(__xludf.DUMMYFUNCTION("GOOGLETRANSLATE(A66,""zh-tw"",""zh"")"),"shift键可以切换走路/奔跑姿态")</f>
        <v>shift键可以切换走路/奔跑姿态</v>
      </c>
      <c r="E66" s="71" t="str">
        <f>IFERROR(__xludf.DUMMYFUNCTION("GOOGLETRANSLATE(A66,""zh-tw"",""es-MX"")"),"La tecla Shift puede cambiar entre las posturas de caminar y correr.")</f>
        <v>La tecla Shift puede cambiar entre las posturas de caminar y correr.</v>
      </c>
      <c r="F66" s="209" t="str">
        <f>IFERROR(__xludf.DUMMYFUNCTION("GOOGLETRANSLATE(A66,""zh-tw"",""KO"")"),"Shift 키를 사용하면 걷기 자세와 달리기 자세를 전환할 수 있습니다.")</f>
        <v>Shift 키를 사용하면 걷기 자세와 달리기 자세를 전환할 수 있습니다.</v>
      </c>
      <c r="G66" s="71" t="str">
        <f>IFERROR(__xludf.DUMMYFUNCTION("GOOGLETRANSLATE(A66,""zh-tw"",""ru"")"),"Клавиша Shift позволяет переключаться между положениями ходьбы и бега.")</f>
        <v>Клавиша Shift позволяет переключаться между положениями ходьбы и бега.</v>
      </c>
      <c r="H66" s="209" t="str">
        <f>IFERROR(__xludf.DUMMYFUNCTION("GOOGLETRANSLATE(A66,""zh-tw"",""de"")"),"Mit der Shift-Taste kann zwischen Geh- und Laufhaltung umgeschaltet werden.")</f>
        <v>Mit der Shift-Taste kann zwischen Geh- und Laufhaltung umgeschaltet werden.</v>
      </c>
      <c r="I66" s="124" t="s">
        <v>4381</v>
      </c>
      <c r="J66" s="124" t="s">
        <v>4382</v>
      </c>
      <c r="K66" s="65"/>
      <c r="L66" s="65"/>
      <c r="M66" s="65"/>
      <c r="N66" s="65"/>
      <c r="O66" s="65"/>
      <c r="P66" s="65"/>
      <c r="Q66" s="65"/>
      <c r="R66" s="65"/>
      <c r="S66" s="65"/>
      <c r="T66" s="65"/>
      <c r="U66" s="65"/>
      <c r="V66" s="65"/>
      <c r="W66" s="65"/>
    </row>
    <row r="67">
      <c r="A67" s="69" t="s">
        <v>4383</v>
      </c>
      <c r="B67" s="208" t="s">
        <v>4384</v>
      </c>
      <c r="C67" s="69" t="s">
        <v>4385</v>
      </c>
      <c r="D67" s="208" t="str">
        <f>IFERROR(__xludf.DUMMYFUNCTION("GOOGLETRANSLATE(A67,""zh-tw"",""zh"")"),"部分武器会因为习得忍者相关技能后而产生变化，例如匕首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7" s="71" t="str">
        <f>IFERROR(__xludf.DUMMYFUNCTION("GOOGLETRANSLATE(A67,""zh-tw"",""es-MX"")"),"Algunas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7" s="209" t="str">
        <f>IFERROR(__xludf.DUMMYFUNCTION("GOOGLETRANSLATE(A67,""zh-tw"",""KO"")"),"단검과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7" s="71" t="str">
        <f>IFERROR(__xludf.DUMMYFUNCTION("GOOGLETRANSLATE(A67,""zh-tw"",""ru"")"),"Некоторые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7" s="209" t="str">
        <f>IFERROR(__xludf.DUMMYFUNCTION("GOOGLETRANSLATE(A67,""zh-tw"",""de"")"),"Einige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7" s="124" t="s">
        <v>4386</v>
      </c>
      <c r="J67" s="124" t="s">
        <v>4387</v>
      </c>
      <c r="K67" s="65"/>
      <c r="L67" s="65"/>
      <c r="M67" s="65"/>
      <c r="N67" s="65"/>
      <c r="O67" s="65"/>
      <c r="P67" s="65"/>
      <c r="Q67" s="65"/>
      <c r="R67" s="65"/>
      <c r="S67" s="65"/>
      <c r="T67" s="65"/>
      <c r="U67" s="65"/>
      <c r="V67" s="65"/>
      <c r="W67" s="65"/>
    </row>
    <row r="68">
      <c r="A68" s="69" t="s">
        <v>4388</v>
      </c>
      <c r="B68" s="208" t="s">
        <v>4389</v>
      </c>
      <c r="C68" s="69" t="s">
        <v>4390</v>
      </c>
      <c r="D68" s="208" t="str">
        <f>IFERROR(__xludf.DUMMYFUNCTION("GOOGLETRANSLATE(A68,""zh-tw"",""zh"")"),"「做坏事」会累积罪恶值，例如：对妹妹性骚扰、背刺敌人、破坏公物、使用炸弹到河里
(罪恶值目前未实装)")</f>
        <v>「做坏事」会累积罪恶值，例如：对妹妹性骚扰、背刺敌人、破坏公物、使用炸弹到河里
(罪恶值目前未实装)</v>
      </c>
      <c r="E68" s="71" t="str">
        <f>IFERROR(__xludf.DUMMYFUNCTION("GOOGLETRANSLATE(A68,""zh-tw"",""es-MX"")"),"Hacer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8" s="209" t="str">
        <f>IFERROR(__xludf.DUMMYFUNCTION("GOOGLETRANSLATE(A68,""zh-tw"",""KO"")"),"나쁜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68" s="71" t="str">
        <f>IFERROR(__xludf.DUMMYFUNCTION("GOOGLETRANSLATE(A68,""zh-tw"",""ru"")"),"Совершение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68" s="209" t="str">
        <f>IFERROR(__xludf.DUMMYFUNCTION("GOOGLETRANSLATE(A68,""zh-tw"",""de"")"),"Schlechte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8" s="66" t="s">
        <v>4391</v>
      </c>
      <c r="J68" s="124" t="s">
        <v>4392</v>
      </c>
      <c r="K68" s="65"/>
      <c r="L68" s="65"/>
      <c r="M68" s="65"/>
      <c r="N68" s="65"/>
      <c r="O68" s="65"/>
      <c r="P68" s="65"/>
      <c r="Q68" s="65"/>
      <c r="R68" s="65"/>
      <c r="S68" s="65"/>
      <c r="T68" s="65"/>
      <c r="U68" s="65"/>
      <c r="V68" s="65"/>
      <c r="W68" s="65"/>
    </row>
    <row r="69">
      <c r="A69" s="69" t="s">
        <v>4393</v>
      </c>
      <c r="B69" s="208" t="s">
        <v>4394</v>
      </c>
      <c r="C69" s="69" t="s">
        <v>4395</v>
      </c>
      <c r="D69" s="208" t="str">
        <f>IFERROR(__xludf.DUMMYFUNCTION("GOOGLETRANSLATE(A69,""zh-tw"",""zh"")"),"背后刺杀的各阶段熟练度需求:
5.27.60.120.256.530.960.1587.2452.3600")</f>
        <v>背后刺杀的各阶段熟练度需求:
5.27.60.120.256.530.960.1587.2452.3600</v>
      </c>
      <c r="E69" s="71" t="str">
        <f>IFERROR(__xludf.DUMMYFUNCTION("GOOGLETRANSLATE(A69,""zh-tw"",""es-MX"")"),"Requisitos de competencia para cada etapa del asesinato por la espalda: 5.27.60.120.256.530.960.1587.2452.3600")</f>
        <v>Requisitos de competencia para cada etapa del asesinato por la espalda: 5.27.60.120.256.530.960.1587.2452.3600</v>
      </c>
      <c r="F69" s="209" t="str">
        <f>IFERROR(__xludf.DUMMYFUNCTION("GOOGLETRANSLATE(A69,""zh-tw"",""KO"")"),"각 단계의 암살에 대한 숙련도 요구 사항: 5.27.60.120.256.530.960.1587.2452.3600")</f>
        <v>각 단계의 암살에 대한 숙련도 요구 사항: 5.27.60.120.256.530.960.1587.2452.3600</v>
      </c>
      <c r="G69" s="71" t="str">
        <f>IFERROR(__xludf.DUMMYFUNCTION("GOOGLETRANSLATE(A69,""zh-tw"",""ru"")"),"Требования к навыкам для каждого этапа убийства сзади: 5.27.60.120.256.530.960.1587.2452.3600")</f>
        <v>Требования к навыкам для каждого этапа убийства сзади: 5.27.60.120.256.530.960.1587.2452.3600</v>
      </c>
      <c r="H69" s="209" t="str">
        <f>IFERROR(__xludf.DUMMYFUNCTION("GOOGLETRANSLATE(A69,""zh-tw"",""de"")"),"Fertigkeitsanforderungen für jede Phase eines Attentats von hinten: 5.27.60.120.256.530.960.1587.2452.3600")</f>
        <v>Fertigkeitsanforderungen für jede Phase eines Attentats von hinten: 5.27.60.120.256.530.960.1587.2452.3600</v>
      </c>
      <c r="I69" s="124" t="s">
        <v>4396</v>
      </c>
      <c r="J69" s="124" t="s">
        <v>4397</v>
      </c>
      <c r="K69" s="65"/>
      <c r="L69" s="65"/>
      <c r="M69" s="65"/>
      <c r="N69" s="65"/>
      <c r="O69" s="65"/>
      <c r="P69" s="65"/>
      <c r="Q69" s="65"/>
      <c r="R69" s="65"/>
      <c r="S69" s="65"/>
      <c r="T69" s="65"/>
      <c r="U69" s="65"/>
      <c r="V69" s="65"/>
      <c r="W69" s="65"/>
    </row>
    <row r="70">
      <c r="A70" s="69" t="s">
        <v>4398</v>
      </c>
      <c r="B70" s="208" t="s">
        <v>4399</v>
      </c>
      <c r="C70" s="69" t="s">
        <v>4400</v>
      </c>
      <c r="D70" s="208" t="str">
        <f>IFERROR(__xludf.DUMMYFUNCTION("GOOGLETRANSLATE(A70,""zh-tw"",""zh"")"),"背后刺杀，也可以对场景物件(例如树木、罐子)生效，可以轻松的提升熟练度。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0" s="71" t="str">
        <f>IFERROR(__xludf.DUMMYFUNCTION("GOOGLETRANSLATE(A70,""zh-tw"",""es-MX"")"),"También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70" s="209" t="str">
        <f>IFERROR(__xludf.DUMMYFUNCTION("GOOGLETRANSLATE(A70,""zh-tw"",""KO"")"),"배후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0" s="71" t="str">
        <f>IFERROR(__xludf.DUMMYFUNCTION("GOOGLETRANSLATE(A70,""zh-tw"",""ru"")"),"Удары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0" s="209" t="str">
        <f>IFERROR(__xludf.DUMMYFUNCTION("GOOGLETRANSLATE(A70,""zh-tw"",""de"")"),"Hinterhältige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0" s="124" t="s">
        <v>4401</v>
      </c>
      <c r="J70" s="124" t="s">
        <v>4402</v>
      </c>
      <c r="K70" s="65"/>
      <c r="L70" s="65"/>
      <c r="M70" s="65"/>
      <c r="N70" s="65"/>
      <c r="O70" s="65"/>
      <c r="P70" s="65"/>
      <c r="Q70" s="65"/>
      <c r="R70" s="65"/>
      <c r="S70" s="65"/>
      <c r="T70" s="65"/>
      <c r="U70" s="65"/>
      <c r="V70" s="65"/>
      <c r="W70" s="65"/>
    </row>
    <row r="71">
      <c r="A71" s="69" t="s">
        <v>4403</v>
      </c>
      <c r="B71" s="208" t="s">
        <v>4404</v>
      </c>
      <c r="C71" s="69" t="s">
        <v>4405</v>
      </c>
      <c r="D71" s="208" t="str">
        <f>IFERROR(__xludf.DUMMYFUNCTION("GOOGLETRANSLATE(A71,""zh-tw"",""zh"")"),"技能""气息消除""
在敌人背后潜行和在洗面所跳舞都可以累积熟练度，熟练度看不到，请直接查看技能等级")</f>
        <v>技能"气息消除"
在敌人背后潜行和在洗面所跳舞都可以累积熟练度，熟练度看不到，请直接查看技能等级</v>
      </c>
      <c r="E71" s="71" t="str">
        <f>IFERROR(__xludf.DUMMYFUNCTION("GOOGLETRANSLATE(A71,""zh-tw"",""es-MX"")"),"La habilidad ""Aura Eliminadora"" se puede dominar escabulléndote tras los enemigos o bailando en el baño. El nivel de maestría no se muestra; consulta el nivel de la habilidad directamente.")</f>
        <v>La habilidad "Aura Eliminadora" se puede dominar escabulléndote tras los enemigos o bailando en el baño. El nivel de maestría no se muestra; consulta el nivel de la habilidad directamente.</v>
      </c>
      <c r="F71" s="209" t="str">
        <f>IFERROR(__xludf.DUMMYFUNCTION("GOOGLETRANSLATE(A71,""zh-tw"",""KO"")"),"""오라 제거"" 스킬은 적의 뒤로 숨어들거나 화장실에서 춤을 추면 습득할 수 있습니다. 숙련도는 표시되지 않으니, 스킬 레벨을 직접 확인해 주세요.")</f>
        <v>"오라 제거" 스킬은 적의 뒤로 숨어들거나 화장실에서 춤을 추면 습득할 수 있습니다. 숙련도는 표시되지 않으니, 스킬 레벨을 직접 확인해 주세요.</v>
      </c>
      <c r="G71" s="71" t="str">
        <f>IFERROR(__xludf.DUMMYFUNCTION("GOOGLETRANSLATE(A71,""zh-tw"",""ru"")"),"Навык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f>
        <v>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v>
      </c>
      <c r="H71" s="208" t="s">
        <v>4406</v>
      </c>
      <c r="I71" s="124" t="s">
        <v>4407</v>
      </c>
      <c r="J71" s="124" t="s">
        <v>4408</v>
      </c>
      <c r="K71" s="65"/>
      <c r="L71" s="65"/>
      <c r="M71" s="65"/>
      <c r="N71" s="65"/>
      <c r="O71" s="65"/>
      <c r="P71" s="65"/>
      <c r="Q71" s="65"/>
      <c r="R71" s="65"/>
      <c r="S71" s="65"/>
      <c r="T71" s="65"/>
      <c r="U71" s="65"/>
      <c r="V71" s="65"/>
      <c r="W71" s="65"/>
    </row>
    <row r="72">
      <c r="A72" s="69" t="s">
        <v>4409</v>
      </c>
      <c r="B72" s="208" t="s">
        <v>4410</v>
      </c>
      <c r="C72" s="69" t="s">
        <v>4411</v>
      </c>
      <c r="D72" s="208" t="str">
        <f>IFERROR(__xludf.DUMMYFUNCTION("GOOGLETRANSLATE(A72,""zh-tw"",""zh"")"),"精英野怪：当一种怪物被击杀的数量达到某个程度后，就可能诞生被强化的野怪，拥有更强大的属性。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2" s="71" t="str">
        <f>IFERROR(__xludf.DUMMYFUNCTION("GOOGLETRANSLATE(A72,""zh-tw"",""es-MX"")"),"Monstruos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2" s="209" t="str">
        <f>IFERROR(__xludf.DUMMYFUNCTION("GOOGLETRANSLATE(A72,""zh-tw"",""KO"")"),"엘리트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2" s="71" t="str">
        <f>IFERROR(__xludf.DUMMYFUNCTION("GOOGLETRANSLATE(A72,""zh-tw"",""ru"")"),"Элитные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2" s="208" t="s">
        <v>4412</v>
      </c>
      <c r="I72" s="124" t="s">
        <v>4413</v>
      </c>
      <c r="J72" s="124" t="s">
        <v>4414</v>
      </c>
      <c r="K72" s="65"/>
      <c r="L72" s="65"/>
      <c r="M72" s="65"/>
      <c r="N72" s="65"/>
      <c r="O72" s="65"/>
      <c r="P72" s="65"/>
      <c r="Q72" s="65"/>
      <c r="R72" s="65"/>
      <c r="S72" s="65"/>
      <c r="T72" s="65"/>
      <c r="U72" s="65"/>
      <c r="V72" s="65"/>
      <c r="W72" s="65"/>
    </row>
    <row r="73">
      <c r="A73" s="69" t="s">
        <v>4415</v>
      </c>
      <c r="B73" s="208" t="s">
        <v>4416</v>
      </c>
      <c r="C73" s="69" t="s">
        <v>4417</v>
      </c>
      <c r="D73" s="208" t="str">
        <f>IFERROR(__xludf.DUMMYFUNCTION("GOOGLETRANSLATE(A73,""zh-tw"",""zh"")"),"同上，饮料贩卖机也有可能出现菁英饮料贩卖机")</f>
        <v>同上，饮料贩卖机也有可能出现菁英饮料贩卖机</v>
      </c>
      <c r="E73" s="71" t="str">
        <f>IFERROR(__xludf.DUMMYFUNCTION("GOOGLETRANSLATE(A73,""zh-tw"",""es-MX"")"),"Del mismo modo, también podrían aparecer máquinas expendedoras de bebidas de élite.")</f>
        <v>Del mismo modo, también podrían aparecer máquinas expendedoras de bebidas de élite.</v>
      </c>
      <c r="F73" s="209" t="str">
        <f>IFERROR(__xludf.DUMMYFUNCTION("GOOGLETRANSLATE(A73,""zh-tw"",""KO"")"),"마찬가지로, 엘리트 음료 자동판매기도 등장할 가능성이 있습니다.")</f>
        <v>마찬가지로, 엘리트 음료 자동판매기도 등장할 가능성이 있습니다.</v>
      </c>
      <c r="G73" s="71" t="str">
        <f>IFERROR(__xludf.DUMMYFUNCTION("GOOGLETRANSLATE(A73,""zh-tw"",""ru"")"),"Аналогично могут появиться и автоматы по продаже элитных напитков.")</f>
        <v>Аналогично могут появиться и автоматы по продаже элитных напитков.</v>
      </c>
      <c r="H73" s="208" t="s">
        <v>4418</v>
      </c>
      <c r="I73" s="124" t="s">
        <v>4419</v>
      </c>
      <c r="J73" s="124" t="s">
        <v>4420</v>
      </c>
      <c r="K73" s="65"/>
      <c r="L73" s="65"/>
      <c r="M73" s="65"/>
      <c r="N73" s="65"/>
      <c r="O73" s="65"/>
      <c r="P73" s="65"/>
      <c r="Q73" s="65"/>
      <c r="R73" s="65"/>
      <c r="S73" s="65"/>
      <c r="T73" s="65"/>
      <c r="U73" s="65"/>
      <c r="V73" s="65"/>
      <c r="W73" s="65"/>
    </row>
    <row r="74">
      <c r="A74" s="69" t="s">
        <v>4421</v>
      </c>
      <c r="B74" s="208" t="s">
        <v>4422</v>
      </c>
      <c r="C74" s="69" t="s">
        <v>4423</v>
      </c>
      <c r="D74" s="208" t="str">
        <f>IFERROR(__xludf.DUMMYFUNCTION("GOOGLETRANSLATE(A74,""zh-tw"",""zh"")"),"史莱姆猫咪其实不是喜欢哥哥，而是喜欢他身上沾到的妹妹香味。")</f>
        <v>史莱姆猫咪其实不是喜欢哥哥，而是喜欢他身上沾到的妹妹香味。</v>
      </c>
      <c r="E74" s="71" t="str">
        <f>IFERROR(__xludf.DUMMYFUNCTION("GOOGLETRANSLATE(A74,""zh-tw"",""es-MX"")"),"En realidad, al gato slime no le gusta su hermano; sólo le gusta el olor de su hermana que se adhiere a él.")</f>
        <v>En realidad, al gato slime no le gusta su hermano; sólo le gusta el olor de su hermana que se adhiere a él.</v>
      </c>
      <c r="F74" s="209" t="str">
        <f>IFERROR(__xludf.DUMMYFUNCTION("GOOGLETRANSLATE(A74,""zh-tw"",""KO"")"),"슬라임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4" s="71" t="str">
        <f>IFERROR(__xludf.DUMMYFUNCTION("GOOGLETRANSLATE(A74,""zh-tw"",""ru"")"),"На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4" s="208" t="s">
        <v>4424</v>
      </c>
      <c r="I74" s="124" t="s">
        <v>4425</v>
      </c>
      <c r="J74" s="124" t="s">
        <v>4426</v>
      </c>
      <c r="K74" s="65"/>
      <c r="L74" s="65"/>
      <c r="M74" s="65"/>
      <c r="N74" s="65"/>
      <c r="O74" s="65"/>
      <c r="P74" s="65"/>
      <c r="Q74" s="65"/>
      <c r="R74" s="65"/>
      <c r="S74" s="65"/>
      <c r="T74" s="65"/>
      <c r="U74" s="65"/>
      <c r="V74" s="65"/>
      <c r="W74" s="65"/>
    </row>
    <row r="75">
      <c r="A75" s="69" t="s">
        <v>4427</v>
      </c>
      <c r="B75" s="208" t="str">
        <f>IFERROR(__xludf.DUMMYFUNCTION("GOOGLETRANSLATE(A75,""zh-tw"",""ja"")"),"開いた「スターゲート」は物体や弾丸を吸収できるが、防げるダメージには限界がある（アサバの攻撃を受けると約2秒後に爆発する）。")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5" s="69" t="s">
        <v>4428</v>
      </c>
      <c r="D75" s="208" t="str">
        <f>IFERROR(__xludf.DUMMYFUNCTION("GOOGLETRANSLATE(A75,""zh-tw"",""zh"")"),"打开的""星之门""可以吸收物体和子弹，阻挡的伤害有上限(被浅羽攻击大约2秒就爆了)")</f>
        <v>打开的"星之门"可以吸收物体和子弹，阻挡的伤害有上限(被浅羽攻击大约2秒就爆了)</v>
      </c>
      <c r="E75" s="71" t="str">
        <f>IFERROR(__xludf.DUMMYFUNCTION("GOOGLETRANSLATE(A75,""zh-tw"",""es-MX"")"),"La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5" s="209" t="str">
        <f>IFERROR(__xludf.DUMMYFUNCTION("GOOGLETRANSLATE(A75,""zh-tw"",""KO"")"),"열린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5" s="71" t="str">
        <f>IFERROR(__xludf.DUMMYFUNCTION("GOOGLETRANSLATE(A75,""zh-tw"",""ru"")"),"Открытые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5" s="208" t="s">
        <v>4429</v>
      </c>
      <c r="I75" s="124" t="s">
        <v>4430</v>
      </c>
      <c r="J75" s="124" t="s">
        <v>4431</v>
      </c>
      <c r="K75" s="65"/>
      <c r="L75" s="65"/>
      <c r="M75" s="65"/>
      <c r="N75" s="65"/>
      <c r="O75" s="65"/>
      <c r="P75" s="65"/>
      <c r="Q75" s="65"/>
      <c r="R75" s="65"/>
      <c r="S75" s="65"/>
      <c r="T75" s="65"/>
      <c r="U75" s="65"/>
      <c r="V75" s="65"/>
      <c r="W75" s="65"/>
    </row>
    <row r="76">
      <c r="A76" s="69" t="s">
        <v>4432</v>
      </c>
      <c r="B76" s="208" t="str">
        <f>IFERROR(__xludf.DUMMYFUNCTION("GOOGLETRANSLATE(A76,""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6" s="69" t="s">
        <v>4433</v>
      </c>
      <c r="D76" s="208" t="str">
        <f>IFERROR(__xludf.DUMMYFUNCTION("GOOGLETRANSLATE(A76,""zh-tw"",""zh"")"),"亲密接触(洗澡后、各服装、各心情、各甜品状态，皆有可能有不同演出)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6" s="71" t="str">
        <f>IFERROR(__xludf.DUMMYFUNCTION("GOOGLETRANSLATE(A76,""zh-tw"",""es-MX"")"),"Contacto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6" s="209" t="str">
        <f>IFERROR(__xludf.DUMMYFUNCTION("GOOGLETRANSLATE(A76,""zh-tw"",""KO"")"),"친밀한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6" s="71" t="str">
        <f>IFERROR(__xludf.DUMMYFUNCTION("GOOGLETRANSLATE(A76,""zh-tw"",""ru"")"),"Интимный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перетаскивания: ахоге, грудь и соски.</v>
      </c>
      <c r="H76" s="208" t="s">
        <v>4434</v>
      </c>
      <c r="I76" s="124" t="s">
        <v>4435</v>
      </c>
      <c r="J76" s="124" t="s">
        <v>4436</v>
      </c>
      <c r="K76" s="65"/>
      <c r="L76" s="65"/>
      <c r="M76" s="65"/>
      <c r="N76" s="65"/>
      <c r="O76" s="65"/>
      <c r="P76" s="65"/>
      <c r="Q76" s="65"/>
      <c r="R76" s="65"/>
      <c r="S76" s="65"/>
      <c r="T76" s="65"/>
      <c r="U76" s="65"/>
      <c r="V76" s="65"/>
      <c r="W76" s="65"/>
    </row>
    <row r="77">
      <c r="A77" s="69" t="s">
        <v>4437</v>
      </c>
      <c r="B77" s="208" t="str">
        <f>IFERROR(__xludf.DUMMYFUNCTION("GOOGLETRANSLATE(A77,""zh-tw"",""ja"")"),"素手で背後からの攻撃をすると、隠しスキル「千年死」が発動し、対象の敵を空中に吹き飛ばします。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7" s="69" t="s">
        <v>4438</v>
      </c>
      <c r="D77" s="208" t="str">
        <f>IFERROR(__xludf.DUMMYFUNCTION("GOOGLETRANSLATE(A77,""zh-tw"",""zh"")"),"空手且背刺的情况下，可以使用隐藏的千年杀技能，可以击飞目标敌人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7" s="71" t="str">
        <f>IFERROR(__xludf.DUMMYFUNCTION("GOOGLETRANSLATE(A77,""zh-tw"",""es-MX"")"),"Al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7" s="209" t="str">
        <f>IFERROR(__xludf.DUMMYFUNCTION("GOOGLETRANSLATE(A77,""zh-tw"",""KO"")"),"비무장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v>
      </c>
      <c r="G77" s="71" t="str">
        <f>IFERROR(__xludf.DUMMYFUNCTION("GOOGLETRANSLATE(A77,""zh-tw"",""ru"")"),"Безоружный,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удара в спину, но не навыки фехтования.
※ Нельзя использовать против монстров, невосприимчивых к о"&amp;"тбрасыванию;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удара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7" s="209" t="str">
        <f>IFERROR(__xludf.DUMMYFUNCTION("GOOGLETRANSLATE(A77,""zh-tw"",""de"")"),"Im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7" s="124" t="s">
        <v>4439</v>
      </c>
      <c r="J77" s="124" t="s">
        <v>4440</v>
      </c>
      <c r="K77" s="65"/>
      <c r="L77" s="65"/>
      <c r="M77" s="65"/>
      <c r="N77" s="65"/>
      <c r="O77" s="65"/>
      <c r="P77" s="65"/>
      <c r="Q77" s="65"/>
      <c r="R77" s="65"/>
      <c r="S77" s="65"/>
      <c r="T77" s="65"/>
      <c r="U77" s="65"/>
      <c r="V77" s="65"/>
      <c r="W77" s="65"/>
    </row>
    <row r="78">
      <c r="A78" s="71" t="s">
        <v>4441</v>
      </c>
      <c r="B78" s="209" t="s">
        <v>4442</v>
      </c>
      <c r="C78" s="71" t="s">
        <v>4443</v>
      </c>
      <c r="D78" s="208" t="str">
        <f>IFERROR(__xludf.DUMMYFUNCTION("GOOGLETRANSLATE(A78,""zh-tw"",""zh"")"),"牛奶是最好的解辣饮品，能大幅缩短解除辣哭了的持续时间")</f>
        <v>牛奶是最好的解辣饮品，能大幅缩短解除辣哭了的持续时间</v>
      </c>
      <c r="E78" s="69" t="s">
        <v>4444</v>
      </c>
      <c r="F78" s="209" t="str">
        <f>IFERROR(__xludf.DUMMYFUNCTION("GOOGLETRANSLATE(A78,""zh-tw"",""KO"")"),"우유는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78" s="71" t="str">
        <f>IFERROR(__xludf.DUMMYFUNCTION("GOOGLETRANSLATE(A78,""zh-tw"",""ru"")"),"Лучшим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78" s="209" t="s">
        <v>4445</v>
      </c>
      <c r="I78" s="124" t="s">
        <v>4446</v>
      </c>
      <c r="J78" s="124" t="s">
        <v>4447</v>
      </c>
      <c r="K78" s="65"/>
      <c r="L78" s="65"/>
      <c r="M78" s="65"/>
      <c r="N78" s="65"/>
      <c r="O78" s="65"/>
      <c r="P78" s="65"/>
      <c r="Q78" s="65"/>
      <c r="R78" s="65"/>
      <c r="S78" s="65"/>
      <c r="T78" s="65"/>
      <c r="U78" s="65"/>
      <c r="V78" s="65"/>
      <c r="W78" s="65"/>
    </row>
    <row r="79">
      <c r="A79" s="71" t="s">
        <v>4448</v>
      </c>
      <c r="B79" s="209" t="s">
        <v>4449</v>
      </c>
      <c r="C79" s="71" t="s">
        <v>4450</v>
      </c>
      <c r="D79" s="208" t="str">
        <f>IFERROR(__xludf.DUMMYFUNCTION("GOOGLETRANSLATE(A79,""zh-tw"",""zh"")"),"客厅的电视，目前无实际用途，未来预计会依照不同的天数，每天做出不同的画面(例如：新闻、动画、食谱、黑暗料理、彩蛋等)")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9" s="69" t="s">
        <v>4451</v>
      </c>
      <c r="F79" s="209" t="str">
        <f>IFERROR(__xludf.DUMMYFUNCTION("GOOGLETRANSLATE(A79,""zh-tw"",""KO"")"),"거실의 TV는 현재 사용하지 않지만, 요일에 따라 매일 다른 콘텐츠(예: 뉴스, 애니메이션, 요리법, 기이한 요리, 부활절 달걀 등)를 표시할 계획입니다.")</f>
        <v>거실의 TV는 현재 사용하지 않지만, 요일에 따라 매일 다른 콘텐츠(예: 뉴스, 애니메이션, 요리법, 기이한 요리, 부활절 달걀 등)를 표시할 계획입니다.</v>
      </c>
      <c r="G79" s="71" t="str">
        <f>IFERROR(__xludf.DUMMYFUNCTION("GOOGLETRANSLATE(A79,""zh-tw"",""ru"")"),"Телевизор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v>
      </c>
      <c r="H79" s="209" t="s">
        <v>4452</v>
      </c>
      <c r="I79" s="124" t="s">
        <v>4453</v>
      </c>
      <c r="J79" s="124" t="s">
        <v>4454</v>
      </c>
      <c r="K79" s="65"/>
      <c r="L79" s="65"/>
      <c r="M79" s="65"/>
      <c r="N79" s="65"/>
      <c r="O79" s="65"/>
      <c r="P79" s="65"/>
      <c r="Q79" s="65"/>
      <c r="R79" s="65"/>
      <c r="S79" s="65"/>
      <c r="T79" s="65"/>
      <c r="U79" s="65"/>
      <c r="V79" s="65"/>
      <c r="W79" s="65"/>
    </row>
    <row r="80">
      <c r="A80" s="71" t="s">
        <v>4455</v>
      </c>
      <c r="B80" s="209" t="s">
        <v>4456</v>
      </c>
      <c r="C80" s="71" t="s">
        <v>4457</v>
      </c>
      <c r="D80" s="208" t="str">
        <f>IFERROR(__xludf.DUMMYFUNCTION("GOOGLETRANSLATE(A80,""zh-tw"",""zh"")"),"ASABA通常会出现在路边的草莓丛中")</f>
        <v>ASABA通常会出现在路边的草莓丛中</v>
      </c>
      <c r="E80" s="69" t="s">
        <v>4458</v>
      </c>
      <c r="F80" s="209" t="str">
        <f>IFERROR(__xludf.DUMMYFUNCTION("GOOGLETRANSLATE(A80,""zh-tw"",""KO"")"),"ASABA는 일반적으로 길가의 딸기 덤불에서 발견됩니다.")</f>
        <v>ASABA는 일반적으로 길가의 딸기 덤불에서 발견됩니다.</v>
      </c>
      <c r="G80" s="71" t="str">
        <f>IFERROR(__xludf.DUMMYFUNCTION("GOOGLETRANSLATE(A80,""zh-tw"",""ru"")"),"ASABA обычно можно найти в кустах клубники вдоль дорог.")</f>
        <v>ASABA обычно можно найти в кустах клубники вдоль дорог.</v>
      </c>
      <c r="H80" s="209" t="s">
        <v>4459</v>
      </c>
      <c r="I80" s="124" t="s">
        <v>4460</v>
      </c>
      <c r="J80" s="124" t="s">
        <v>4461</v>
      </c>
      <c r="K80" s="65"/>
      <c r="L80" s="65"/>
      <c r="M80" s="65"/>
      <c r="N80" s="65"/>
      <c r="O80" s="65"/>
      <c r="P80" s="65"/>
      <c r="Q80" s="65"/>
      <c r="R80" s="65"/>
      <c r="S80" s="65"/>
      <c r="T80" s="65"/>
      <c r="U80" s="65"/>
      <c r="V80" s="65"/>
      <c r="W80" s="65"/>
    </row>
    <row r="81">
      <c r="A81" s="71" t="s">
        <v>4462</v>
      </c>
      <c r="B81" s="209" t="s">
        <v>4463</v>
      </c>
      <c r="C81" s="71" t="s">
        <v>4464</v>
      </c>
      <c r="D81" s="208" t="str">
        <f>IFERROR(__xludf.DUMMYFUNCTION("GOOGLETRANSLATE(A81,""zh-tw"",""zh"")"),"""草莓""食材，目前无实际用途，等待未来更新")</f>
        <v>"草莓"食材，目前无实际用途，等待未来更新</v>
      </c>
      <c r="E81" s="69" t="s">
        <v>4465</v>
      </c>
      <c r="F81" s="209" t="str">
        <f>IFERROR(__xludf.DUMMYFUNCTION("GOOGLETRANSLATE(A81,""zh-tw"",""KO"")"),"현재 ""딸기""라는 성분은 실질적으로 사용되지 않습니다. 자세한 내용은 추후 업데이트될 예정입니다.")</f>
        <v>현재 "딸기"라는 성분은 실질적으로 사용되지 않습니다. 자세한 내용은 추후 업데이트될 예정입니다.</v>
      </c>
      <c r="G81" s="71" t="str">
        <f>IFERROR(__xludf.DUMMYFUNCTION("GOOGLETRANSLATE(A81,""zh-tw"",""ru"")"),"Ингредиент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1" s="209" t="s">
        <v>4466</v>
      </c>
      <c r="I81" s="124" t="s">
        <v>4467</v>
      </c>
      <c r="J81" s="124" t="s">
        <v>4468</v>
      </c>
      <c r="K81" s="65"/>
      <c r="L81" s="65"/>
      <c r="M81" s="65"/>
      <c r="N81" s="65"/>
      <c r="O81" s="65"/>
      <c r="P81" s="65"/>
      <c r="Q81" s="65"/>
      <c r="R81" s="65"/>
      <c r="S81" s="65"/>
      <c r="T81" s="65"/>
      <c r="U81" s="65"/>
      <c r="V81" s="65"/>
      <c r="W81" s="65"/>
    </row>
    <row r="82">
      <c r="A82" s="69" t="s">
        <v>4469</v>
      </c>
      <c r="B82" s="208" t="s">
        <v>4470</v>
      </c>
      <c r="C82" s="69" t="s">
        <v>4471</v>
      </c>
      <c r="D82" s="208" t="str">
        <f>IFERROR(__xludf.DUMMYFUNCTION("GOOGLETRANSLATE(A82,""zh-tw"",""zh"")"),"关于稻草人，目前版本开发出来的击杀方式有：死神塔罗牌与复活术、破颜拳套+猫爪手套、毒刀不断的累积伤害")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2" s="69" t="s">
        <v>4472</v>
      </c>
      <c r="F82" s="209" t="str">
        <f>IFERROR(__xludf.DUMMYFUNCTION("GOOGLETRANSLATE(A82,""zh-tw"",""KO"")"),"허수아비를 물리치기 위해 현재 개발된 방법으로는 죽음의 타로 카드와 부활 주문을 사용하고, 얼굴을 부수는 건틀릿과 고양이 발톱 장갑을 사용하고, 독칼로 지속적으로 데미지를 누적하는 방법이 있습니다.")</f>
        <v>허수아비를 물리치기 위해 현재 개발된 방법으로는 죽음의 타로 카드와 부활 주문을 사용하고, 얼굴을 부수는 건틀릿과 고양이 발톱 장갑을 사용하고, 독칼로 지속적으로 데미지를 누적하는 방법이 있습니다.</v>
      </c>
      <c r="G82" s="71" t="str">
        <f>IFERROR(__xludf.DUMMYFUNCTION("GOOGLETRANSLATE(A82,""zh-tw"",""ru"")"),"Что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Н"&amp;"ожа.")</f>
        <v>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Ножа.</v>
      </c>
      <c r="H82" s="209" t="s">
        <v>4473</v>
      </c>
      <c r="I82" s="66" t="s">
        <v>4474</v>
      </c>
      <c r="J82" s="124" t="s">
        <v>4475</v>
      </c>
      <c r="K82" s="65"/>
      <c r="L82" s="65"/>
      <c r="M82" s="65"/>
      <c r="N82" s="65"/>
      <c r="O82" s="65"/>
      <c r="P82" s="65"/>
      <c r="Q82" s="65"/>
      <c r="R82" s="65"/>
      <c r="S82" s="65"/>
      <c r="T82" s="65"/>
      <c r="U82" s="65"/>
      <c r="V82" s="65"/>
      <c r="W82" s="65"/>
    </row>
    <row r="83">
      <c r="A83" s="69" t="s">
        <v>4476</v>
      </c>
      <c r="B83" s="208" t="str">
        <f>IFERROR(__xludf.DUMMYFUNCTION("GOOGLETRANSLATE(A83,""zh-tw"",""ja"")"),"「冒険の道：石碑」マップでは、石碑に今までに倒された回数が表示されます。")</f>
        <v>「冒険の道：石碑」マップでは、石碑に今までに倒された回数が表示されます。</v>
      </c>
      <c r="C83" s="69" t="s">
        <v>4477</v>
      </c>
      <c r="D83" s="208" t="str">
        <f>IFERROR(__xludf.DUMMYFUNCTION("GOOGLETRANSLATE(A83,""zh-tw"",""zh"")"),"在""冒险者小道:纪念碑""地图中，石碑可以查看到战败的次数了")</f>
        <v>在"冒险者小道:纪念碑"地图中，石碑可以查看到战败的次数了</v>
      </c>
      <c r="E83" s="71" t="str">
        <f>IFERROR(__xludf.DUMMYFUNCTION("GOOGLETRANSLATE(A83,""zh-tw"",""es-MX"")"),"En el mapa ""Sendero del Aventurero: Monumento"", el monumento de piedra muestra el número de veces que te han derrotado.")</f>
        <v>En el mapa "Sendero del Aventurero: Monumento", el monumento de piedra muestra el número de veces que te han derrotado.</v>
      </c>
      <c r="F83" s="209" t="str">
        <f>IFERROR(__xludf.DUMMYFUNCTION("GOOGLETRANSLATE(A83,""zh-tw"",""KO"")"),"""모험가의 길: 기념물"" 지도에서 돌 기념물은 당신이 패배한 횟수를 표시합니다.")</f>
        <v>"모험가의 길: 기념물" 지도에서 돌 기념물은 당신이 패배한 횟수를 표시합니다.</v>
      </c>
      <c r="G83" s="71" t="str">
        <f>IFERROR(__xludf.DUMMYFUNCTION("GOOGLETRANSLATE(A83,""zh-tw"",""ru"")"),"На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3" s="212" t="s">
        <v>4478</v>
      </c>
      <c r="I83" s="124" t="s">
        <v>4479</v>
      </c>
      <c r="J83" s="124" t="s">
        <v>4480</v>
      </c>
      <c r="K83" s="65"/>
      <c r="L83" s="65"/>
      <c r="M83" s="65"/>
      <c r="N83" s="65"/>
      <c r="O83" s="65"/>
      <c r="P83" s="65"/>
      <c r="Q83" s="65"/>
      <c r="R83" s="65"/>
      <c r="S83" s="65"/>
      <c r="T83" s="65"/>
      <c r="U83" s="65"/>
      <c r="V83" s="65"/>
      <c r="W83" s="65"/>
    </row>
    <row r="84">
      <c r="A84" s="69" t="s">
        <v>4481</v>
      </c>
      <c r="B84" s="208" t="str">
        <f>IFERROR(__xludf.DUMMYFUNCTION("GOOGLETRANSLATE(A84,""zh-tw"",""ja"")"),"命名に関する追加情報：妹にちなんだ名前を選択した場合、ゲームタイトルおよびロゴの「彼女」が「妹」に変更されます。")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4" s="69" t="s">
        <v>4482</v>
      </c>
      <c r="D84" s="208" t="str">
        <f>IFERROR(__xludf.DUMMYFUNCTION("GOOGLETRANSLATE(A84,""zh-tw"",""zh"")"),"取名补充：
取妹妹相关的名子时，游戏标题和游戏LOGO中的""彼女""将会变更为""妹""")</f>
        <v>取名补充：
取妹妹相关的名子时，游戏标题和游戏LOGO中的"彼女"将会变更为"妹"</v>
      </c>
      <c r="E84" s="71" t="str">
        <f>IFERROR(__xludf.DUMMYFUNCTION("GOOGLETRANSLATE(A84,""zh-tw"",""es-MX"")"),"Información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4" s="209" t="str">
        <f>IFERROR(__xludf.DUMMYFUNCTION("GOOGLETRANSLATE(A84,""zh-tw"",""KO"")"),"이름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4" s="71" t="str">
        <f>IFERROR(__xludf.DUMMYFUNCTION("GOOGLETRANSLATE(A84,""zh-tw"",""ru"")"),"Дополнительная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4" s="208" t="s">
        <v>4483</v>
      </c>
      <c r="I84" s="124" t="s">
        <v>4484</v>
      </c>
      <c r="J84" s="124" t="s">
        <v>4485</v>
      </c>
      <c r="K84" s="65"/>
      <c r="L84" s="65"/>
      <c r="M84" s="65"/>
      <c r="N84" s="65"/>
      <c r="O84" s="65"/>
      <c r="P84" s="65"/>
      <c r="Q84" s="65"/>
      <c r="R84" s="65"/>
      <c r="S84" s="65"/>
      <c r="T84" s="65"/>
      <c r="U84" s="65"/>
      <c r="V84" s="65"/>
      <c r="W84" s="65"/>
    </row>
    <row r="85">
      <c r="A85" s="71" t="s">
        <v>4486</v>
      </c>
      <c r="B85" s="208" t="str">
        <f>IFERROR(__xludf.DUMMYFUNCTION("GOOGLETRANSLATE(A85,""zh-tw"",""ja"")"),"Android版ではRPGモード時にアバター枠をクリックすることでFPSが表示され、PC版ではF2キーを押すことで表示されます。")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5" s="71" t="s">
        <v>4487</v>
      </c>
      <c r="D85" s="208" t="str">
        <f>IFERROR(__xludf.DUMMYFUNCTION("GOOGLETRANSLATE(A85,""zh-tw"",""zh"")"),"安卓版在RPG模式下，透过点击头像框，可以显示FPS；PC版本是F2按键。")</f>
        <v>安卓版在RPG模式下，透过点击头像框，可以显示FPS；PC版本是F2按键。</v>
      </c>
      <c r="E85" s="71" t="str">
        <f>IFERROR(__xludf.DUMMYFUNCTION("GOOGLETRANSLATE(A85,""zh-tw"",""es-MX"")"),"En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5" s="209" t="str">
        <f>IFERROR(__xludf.DUMMYFUNCTION("GOOGLETRANSLATE(A85,""zh-tw"",""KO"")"),"안드로이드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5" s="71" t="str">
        <f>IFERROR(__xludf.DUMMYFUNCTION("GOOGLETRANSLATE(A85,""zh-tw"",""ru"")"),"В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5" s="209" t="s">
        <v>4488</v>
      </c>
      <c r="I85" s="124" t="s">
        <v>4489</v>
      </c>
      <c r="J85" s="124" t="s">
        <v>4490</v>
      </c>
      <c r="K85" s="65"/>
      <c r="L85" s="65"/>
      <c r="M85" s="65"/>
      <c r="N85" s="65"/>
      <c r="O85" s="65"/>
      <c r="P85" s="65"/>
      <c r="Q85" s="65"/>
      <c r="R85" s="65"/>
      <c r="S85" s="65"/>
      <c r="T85" s="65"/>
      <c r="U85" s="65"/>
      <c r="V85" s="65"/>
      <c r="W85" s="65"/>
    </row>
    <row r="86" ht="53.25" customHeight="1">
      <c r="A86" s="71" t="s">
        <v>4491</v>
      </c>
      <c r="B86" s="208" t="str">
        <f>IFERROR(__xludf.DUMMYFUNCTION("GOOGLETRANSLATE(A86,""zh-tw"",""ja"")"),"Android版では、RPGモードでアバター枠を長押しするとチートコード入力ボックスが表示されます。")</f>
        <v>Android版では、RPGモードでアバター枠を長押しするとチートコード入力ボックスが表示されます。</v>
      </c>
      <c r="C86" s="71" t="s">
        <v>4492</v>
      </c>
      <c r="D86" s="208" t="str">
        <f>IFERROR(__xludf.DUMMYFUNCTION("GOOGLETRANSLATE(A86,""zh-tw"",""zh"")"),"安卓版在RPG模式下，透过长按头像框，可以显示作弊码的输入框")</f>
        <v>安卓版在RPG模式下，透过长按头像框，可以显示作弊码的输入框</v>
      </c>
      <c r="E86" s="71" t="str">
        <f>IFERROR(__xludf.DUMMYFUNCTION("GOOGLETRANSLATE(A86,""zh-tw"",""es-MX"")"),"En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6" s="209" t="str">
        <f>IFERROR(__xludf.DUMMYFUNCTION("GOOGLETRANSLATE(A86,""zh-tw"",""KO"")"),"안드로이드 버전의 RPG 모드에서 아바타 프레임을 길게 누르면 치트 코드 입력 상자가 표시됩니다.")</f>
        <v>안드로이드 버전의 RPG 모드에서 아바타 프레임을 길게 누르면 치트 코드 입력 상자가 표시됩니다.</v>
      </c>
      <c r="G86" s="71" t="str">
        <f>IFERROR(__xludf.DUMMYFUNCTION("GOOGLETRANSLATE(A86,""zh-tw"",""ru"")"),"В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6" s="209" t="s">
        <v>4493</v>
      </c>
      <c r="I86" s="124" t="s">
        <v>4494</v>
      </c>
      <c r="J86" s="124" t="s">
        <v>4495</v>
      </c>
      <c r="K86" s="65"/>
      <c r="L86" s="65"/>
      <c r="M86" s="65"/>
      <c r="N86" s="65"/>
      <c r="O86" s="65"/>
      <c r="P86" s="65"/>
      <c r="Q86" s="65"/>
      <c r="R86" s="65"/>
      <c r="S86" s="65"/>
      <c r="T86" s="65"/>
      <c r="U86" s="65"/>
      <c r="V86" s="65"/>
      <c r="W86" s="65"/>
    </row>
    <row r="87">
      <c r="A87" s="69" t="s">
        <v>4496</v>
      </c>
      <c r="B87" s="208" t="s">
        <v>4497</v>
      </c>
      <c r="C87" s="69" t="s">
        <v>4498</v>
      </c>
      <c r="D87" s="208" t="str">
        <f>IFERROR(__xludf.DUMMYFUNCTION("GOOGLETRANSLATE(A87,""zh-tw"",""zh"")"),"使用『6a1n60ld』密技，可以立即获得""10万金币""、""Ruika的万宝槌""(增加掉落率)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7" s="69" t="s">
        <v>4499</v>
      </c>
      <c r="F87" s="209" t="str">
        <f>IFERROR(__xludf.DUMMYFUNCTION("GOOGLETRANSLATE(A87,""zh-tw"",""KO"")"),"치트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때마"&amp;"다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"&amp;"영구적으로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7" s="71" t="str">
        <f>IFERROR(__xludf.DUMMYFUNCTION("GOOGLETRANSLATE(A87,""zh-tw"",""ru"")"),"Использование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Использован"&amp;"ие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мгн"&amp;"овенно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запу"&amp;"скает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тит"&amp;"ула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вручну"&amp;"ю, не копируя и не вставляя.")</f>
        <v>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7" s="208" t="s">
        <v>4500</v>
      </c>
      <c r="I87" s="66" t="s">
        <v>4501</v>
      </c>
      <c r="J87" s="124" t="s">
        <v>4502</v>
      </c>
      <c r="K87" s="65"/>
      <c r="L87" s="65"/>
      <c r="M87" s="65"/>
      <c r="N87" s="65"/>
      <c r="O87" s="65"/>
      <c r="P87" s="65"/>
      <c r="Q87" s="65"/>
      <c r="R87" s="65"/>
      <c r="S87" s="65"/>
      <c r="T87" s="65"/>
      <c r="U87" s="65"/>
      <c r="V87" s="65"/>
      <c r="W87" s="65"/>
    </row>
    <row r="88">
      <c r="A88" s="71" t="s">
        <v>4503</v>
      </c>
      <c r="B88" s="209" t="s">
        <v>4504</v>
      </c>
      <c r="C88" s="71" t="s">
        <v>4505</v>
      </c>
      <c r="D88" s="208" t="str">
        <f>IFERROR(__xludf.DUMMYFUNCTION("GOOGLETRANSLATE(A88,""zh-tw"",""zh"")"),"关于贿络系统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8" s="69" t="s">
        <v>4506</v>
      </c>
      <c r="F88" s="209" t="str">
        <f>IFERROR(__xludf.DUMMYFUNCTION("GOOGLETRANSLATE(A88,""zh-tw"",""KO"")"),"뇌물 시스템에 관하여: 이벤트 조건을 충족할 만큼 빨간 하트나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하트나 보라색 하트가 충분하지 않을 경우, 딸기 우유, 동전, 또는 쿠폰 등을 사용하여 해당 조건을 무시하고 해당 소녀에게 뇌물을 줄 수 있습니다. 발정기와 같은 특수 상황은 별도로 판단됩니다.</v>
      </c>
      <c r="G88" s="71" t="str">
        <f>IFERROR(__xludf.DUMMYFUNCTION("GOOGLETRANSLATE(A88,""zh-tw"",""ru"")"),"Что касается системы подкупа: если у вас недостаточно красных или фиолетовых сердечек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условия."&amp;" Особые условия, например, течка, будут оцениваться отдельно.")</f>
        <v>Что касается системы подкупа: если у вас недостаточно красных или фиолетовых сердечек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8" s="209" t="s">
        <v>4507</v>
      </c>
      <c r="I88" s="124" t="s">
        <v>4508</v>
      </c>
      <c r="J88" s="124" t="s">
        <v>4509</v>
      </c>
      <c r="K88" s="65"/>
      <c r="L88" s="65"/>
      <c r="M88" s="65"/>
      <c r="N88" s="65"/>
      <c r="O88" s="65"/>
      <c r="P88" s="65"/>
      <c r="Q88" s="65"/>
      <c r="R88" s="65"/>
      <c r="S88" s="65"/>
      <c r="T88" s="65"/>
      <c r="U88" s="65"/>
      <c r="V88" s="65"/>
      <c r="W88" s="65"/>
    </row>
    <row r="89">
      <c r="A89" s="71" t="s">
        <v>4510</v>
      </c>
      <c r="B89" s="209" t="s">
        <v>4511</v>
      </c>
      <c r="C89" s="71" t="s">
        <v>4512</v>
      </c>
      <c r="D89" s="208" t="str">
        <f>IFERROR(__xludf.DUMMYFUNCTION("GOOGLETRANSLATE(A89,""zh-tw"",""zh"")"),"传说，在某个地区的下方藏着天上之石碎片，而导致胡萝卜巨大化；而在这里就有个想要保护胡萝卜的BOSS")</f>
        <v>传说，在某个地区的下方藏着天上之石碎片，而导致胡萝卜巨大化；而在这里就有个想要保护胡萝卜的BOSS</v>
      </c>
      <c r="E89" s="71" t="str">
        <f>IFERROR(__xludf.DUMMYFUNCTION("GOOGLETRANSLATE(A89,""zh-tw"",""es-MX"")"),"Cuenta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9" s="209" t="str">
        <f>IFERROR(__xludf.DUMMYFUNCTION("GOOGLETRANSLATE(A89,""zh-tw"",""KO"")"),"전설에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89" s="71" t="str">
        <f>IFERROR(__xludf.DUMMYFUNCTION("GOOGLETRANSLATE(A89,""zh-tw"",""ru"")"),"Легенда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89" s="209" t="s">
        <v>4513</v>
      </c>
      <c r="I89" s="124" t="s">
        <v>4514</v>
      </c>
      <c r="J89" s="124" t="s">
        <v>4515</v>
      </c>
      <c r="K89" s="65"/>
      <c r="L89" s="65"/>
      <c r="M89" s="65"/>
      <c r="N89" s="65"/>
      <c r="O89" s="65"/>
      <c r="P89" s="65"/>
      <c r="Q89" s="65"/>
      <c r="R89" s="65"/>
      <c r="S89" s="65"/>
      <c r="T89" s="65"/>
      <c r="U89" s="65"/>
      <c r="V89" s="65"/>
      <c r="W89" s="65"/>
    </row>
    <row r="90">
      <c r="A90" s="71" t="s">
        <v>4516</v>
      </c>
      <c r="B90" s="209" t="s">
        <v>4517</v>
      </c>
      <c r="C90" s="71" t="s">
        <v>4518</v>
      </c>
      <c r="D90" s="208" t="str">
        <f>IFERROR(__xludf.DUMMYFUNCTION("GOOGLETRANSLATE(A90,""zh-tw"",""zh"")"),"卢恩符文Kenaz，只要是能攻击的对象，都可以发生效果(地图物件、怪物、BOSS、兔子洞...等)")</f>
        <v>卢恩符文Kenaz，只要是能攻击的对象，都可以发生效果(地图物件、怪物、BOSS、兔子洞...等)</v>
      </c>
      <c r="E90" s="71" t="str">
        <f>IFERROR(__xludf.DUMMYFUNCTION("GOOGLETRANSLATE(A90,""zh-tw"",""es-MX"")"),"La runa Kenaz puede afectar a cualquier objetivo que pueda ser atacado (objetos del mapa, monstruos, jefes, madrigueras de conejo, etc.).")</f>
        <v>La runa Kenaz puede afectar a cualquier objetivo que pueda ser atacado (objetos del mapa, monstruos, jefes, madrigueras de conejo, etc.).</v>
      </c>
      <c r="F90" s="209" t="str">
        <f>IFERROR(__xludf.DUMMYFUNCTION("GOOGLETRANSLATE(A90,""zh-tw"",""KO"")"),"케나즈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0" s="71" t="str">
        <f>IFERROR(__xludf.DUMMYFUNCTION("GOOGLETRANSLATE(A90,""zh-tw"",""ru"")"),"Руна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0" s="209" t="s">
        <v>4519</v>
      </c>
      <c r="I90" s="124" t="s">
        <v>4520</v>
      </c>
      <c r="J90" s="124" t="s">
        <v>4521</v>
      </c>
      <c r="K90" s="65"/>
      <c r="L90" s="65"/>
      <c r="M90" s="65"/>
      <c r="N90" s="65"/>
      <c r="O90" s="65"/>
      <c r="P90" s="65"/>
      <c r="Q90" s="65"/>
      <c r="R90" s="65"/>
      <c r="S90" s="65"/>
      <c r="T90" s="65"/>
      <c r="U90" s="65"/>
      <c r="V90" s="65"/>
      <c r="W90" s="65"/>
    </row>
    <row r="91">
      <c r="A91" s="69" t="s">
        <v>4522</v>
      </c>
      <c r="B91" s="208" t="s">
        <v>4523</v>
      </c>
      <c r="C91" s="69" t="s">
        <v>4524</v>
      </c>
      <c r="D91" s="208" t="str">
        <f>IFERROR(__xludf.DUMMYFUNCTION("GOOGLETRANSLATE(A91,""zh-tw"",""zh"")"),"不论是哥哥或妹妹，当食材全吃光后...将会触发在仓库中发现泡面的隐藏剧情")</f>
        <v>不论是哥哥或妹妹，当食材全吃光后...将会触发在仓库中发现泡面的隐藏剧情</v>
      </c>
      <c r="E91" s="71" t="str">
        <f>IFERROR(__xludf.DUMMYFUNCTION("GOOGLETRANSLATE(A91,""zh-tw"",""es-MX"")"),"Ya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91" s="209" t="str">
        <f>IFERROR(__xludf.DUMMYFUNCTION("GOOGLETRANSLATE(A91,""zh-tw"",""KO"")"),"오빠든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1" s="71" t="str">
        <f>IFERROR(__xludf.DUMMYFUNCTION("GOOGLETRANSLATE(A91,""zh-tw"",""ru"")"),"Независимо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v>
      </c>
      <c r="H91" s="209" t="str">
        <f>IFERROR(__xludf.DUMMYFUNCTION("GOOGLETRANSLATE(A91,""zh-tw"",""de"")"),"Egal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1" s="124" t="s">
        <v>4525</v>
      </c>
      <c r="J91" s="124" t="s">
        <v>4526</v>
      </c>
      <c r="K91" s="65"/>
      <c r="L91" s="65"/>
      <c r="M91" s="65"/>
      <c r="N91" s="65"/>
      <c r="O91" s="65"/>
      <c r="P91" s="65"/>
      <c r="Q91" s="65"/>
      <c r="R91" s="65"/>
      <c r="S91" s="65"/>
      <c r="T91" s="65"/>
      <c r="U91" s="65"/>
      <c r="V91" s="65"/>
      <c r="W91" s="65"/>
    </row>
    <row r="92">
      <c r="A92" s="71" t="s">
        <v>4527</v>
      </c>
      <c r="B92" s="209" t="s">
        <v>4528</v>
      </c>
      <c r="C92" s="71" t="s">
        <v>4529</v>
      </c>
      <c r="D92" s="208" t="str">
        <f>IFERROR(__xludf.DUMMYFUNCTION("GOOGLETRANSLATE(A92,""zh-tw"",""zh"")"),"矿车移动期间，可以提前跳车(部分效果演绎也会因此发生变化)")</f>
        <v>矿车移动期间，可以提前跳车(部分效果演绎也会因此发生变化)</v>
      </c>
      <c r="E92" s="71" t="str">
        <f>IFERROR(__xludf.DUMMYFUNCTION("GOOGLETRANSLATE(A92,""zh-tw"",""es-MX"")"),"Puedes saltar del carro minero antes de que comience a moverse (esto cambiará algunos de los efectos visuales).")</f>
        <v>Puedes saltar del carro minero antes de que comience a moverse (esto cambiará algunos de los efectos visuales).</v>
      </c>
      <c r="F92" s="209" t="str">
        <f>IFERROR(__xludf.DUMMYFUNCTION("GOOGLETRANSLATE(A92,""zh-tw"",""KO"")"),"미니카트가 움직이기 전에 뛰어내릴 수 있습니다(이렇게 하면 일부 시각적 효과가 변경됩니다).")</f>
        <v>미니카트가 움직이기 전에 뛰어내릴 수 있습니다(이렇게 하면 일부 시각적 효과가 변경됩니다).</v>
      </c>
      <c r="G92" s="71" t="str">
        <f>IFERROR(__xludf.DUMMYFUNCTION("GOOGLETRANSLATE(A92,""zh-tw"",""ru"")"),"Вы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2" s="209" t="s">
        <v>4530</v>
      </c>
      <c r="I92" s="124" t="s">
        <v>4531</v>
      </c>
      <c r="J92" s="124" t="s">
        <v>4532</v>
      </c>
      <c r="K92" s="65"/>
      <c r="L92" s="65"/>
      <c r="M92" s="65"/>
      <c r="N92" s="65"/>
      <c r="O92" s="65"/>
      <c r="P92" s="65"/>
      <c r="Q92" s="65"/>
      <c r="R92" s="65"/>
      <c r="S92" s="65"/>
      <c r="T92" s="65"/>
      <c r="U92" s="65"/>
      <c r="V92" s="65"/>
      <c r="W92" s="65"/>
    </row>
    <row r="93">
      <c r="A93" s="69" t="s">
        <v>4533</v>
      </c>
      <c r="B93" s="208" t="s">
        <v>4534</v>
      </c>
      <c r="C93" s="69" t="s">
        <v>4535</v>
      </c>
      <c r="D93" s="208" t="str">
        <f>IFERROR(__xludf.DUMMYFUNCTION("GOOGLETRANSLATE(A93,""zh-tw"",""zh"")"),"关于水面的气泡，气泡位置于水域场景随机产生，使用炸弹时，会比平常更容易出现食材。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3" s="71" t="str">
        <f>IFERROR(__xludf.DUMMYFUNCTION("GOOGLETRANSLATE(A93,""zh-tw"",""es-MX"")"),"En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3" s="209" t="str">
        <f>IFERROR(__xludf.DUMMYFUNCTION("GOOGLETRANSLATE(A93,""zh-tw"",""KO"")"),"수면의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3" s="71" t="str">
        <f>IFERROR(__xludf.DUMMYFUNCTION("GOOGLETRANSLATE(A93,""zh-tw"",""ru"")"),"Что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v>
      </c>
      <c r="H93" s="208" t="s">
        <v>4536</v>
      </c>
      <c r="I93" s="124" t="s">
        <v>4537</v>
      </c>
      <c r="J93" s="124" t="s">
        <v>4538</v>
      </c>
      <c r="K93" s="65"/>
      <c r="L93" s="65"/>
      <c r="M93" s="65"/>
      <c r="N93" s="65"/>
      <c r="O93" s="65"/>
      <c r="P93" s="65"/>
      <c r="Q93" s="65"/>
      <c r="R93" s="65"/>
      <c r="S93" s="65"/>
      <c r="T93" s="65"/>
      <c r="U93" s="65"/>
      <c r="V93" s="65"/>
      <c r="W93" s="65"/>
    </row>
    <row r="94">
      <c r="A94" s="71" t="s">
        <v>4539</v>
      </c>
      <c r="B94" s="208" t="s">
        <v>4540</v>
      </c>
      <c r="C94" s="71" t="s">
        <v>4541</v>
      </c>
      <c r="D94" s="208" t="str">
        <f>IFERROR(__xludf.DUMMYFUNCTION("GOOGLETRANSLATE(A94,""zh-tw"",""zh"")"),"箱庭的白兔-在兔子洞全部破坏后，会被迫弹到地面")</f>
        <v>箱庭的白兔-在兔子洞全部破坏后，会被迫弹到地面</v>
      </c>
      <c r="E94" s="71" t="str">
        <f>IFERROR(__xludf.DUMMYFUNCTION("GOOGLETRANSLATE(A94,""zh-tw"",""es-MX"")"),"El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4" s="209" t="str">
        <f>IFERROR(__xludf.DUMMYFUNCTION("GOOGLETRANSLATE(A94,""zh-tw"",""KO"")"),"작은 정원의 흰 토끼 - 토끼 굴이 완전히 파괴되면 땅으로 튀어 오르게 됩니다.")</f>
        <v>작은 정원의 흰 토끼 - 토끼 굴이 완전히 파괴되면 땅으로 튀어 오르게 됩니다.</v>
      </c>
      <c r="G94" s="71" t="str">
        <f>IFERROR(__xludf.DUMMYFUNCTION("GOOGLETRANSLATE(A94,""zh-tw"",""ru"")"),"Белый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4" s="209" t="s">
        <v>4542</v>
      </c>
      <c r="I94" s="124" t="s">
        <v>4543</v>
      </c>
      <c r="J94" s="124" t="s">
        <v>4544</v>
      </c>
      <c r="K94" s="65"/>
      <c r="L94" s="65"/>
      <c r="M94" s="65"/>
      <c r="N94" s="65"/>
      <c r="O94" s="65"/>
      <c r="P94" s="65"/>
      <c r="Q94" s="65"/>
      <c r="R94" s="65"/>
      <c r="S94" s="65"/>
      <c r="T94" s="65"/>
      <c r="U94" s="65"/>
      <c r="V94" s="65"/>
      <c r="W94" s="65"/>
    </row>
    <row r="95">
      <c r="A95" s="71" t="s">
        <v>4545</v>
      </c>
      <c r="B95" s="209" t="s">
        <v>4546</v>
      </c>
      <c r="C95" s="71" t="s">
        <v>4547</v>
      </c>
      <c r="D95" s="208" t="str">
        <f>IFERROR(__xludf.DUMMYFUNCTION("GOOGLETRANSLATE(A95,""zh-tw"",""zh"")"),"箱庭的白兔-会强制玩家无法逃离(星之门也会被吞噬)，但是塔罗牌不受影响。")</f>
        <v>箱庭的白兔-会强制玩家无法逃离(星之门也会被吞噬)，但是塔罗牌不受影响。</v>
      </c>
      <c r="E95" s="71" t="str">
        <f>IFERROR(__xludf.DUMMYFUNCTION("GOOGLETRANSLATE(A95,""zh-tw"",""es-MX"")"),"El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5" s="209" t="str">
        <f>IFERROR(__xludf.DUMMYFUNCTION("GOOGLETRANSLATE(A95,""zh-tw"",""KO"")"),"작은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5" s="71" t="str">
        <f>IFERROR(__xludf.DUMMYFUNCTION("GOOGLETRANSLATE(A95,""zh-tw"",""ru"")"),"Белый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5" s="209" t="s">
        <v>4548</v>
      </c>
      <c r="I95" s="124" t="s">
        <v>4549</v>
      </c>
      <c r="J95" s="124" t="s">
        <v>4550</v>
      </c>
      <c r="K95" s="65"/>
      <c r="L95" s="65"/>
      <c r="M95" s="65"/>
      <c r="N95" s="65"/>
      <c r="O95" s="65"/>
      <c r="P95" s="65"/>
      <c r="Q95" s="65"/>
      <c r="R95" s="65"/>
      <c r="S95" s="65"/>
      <c r="T95" s="65"/>
      <c r="U95" s="65"/>
      <c r="V95" s="65"/>
      <c r="W95" s="65"/>
    </row>
    <row r="96">
      <c r="A96" s="71" t="s">
        <v>4551</v>
      </c>
      <c r="B96" s="209" t="s">
        <v>4552</v>
      </c>
      <c r="C96" s="71" t="s">
        <v>4553</v>
      </c>
      <c r="D96" s="208" t="str">
        <f>IFERROR(__xludf.DUMMYFUNCTION("GOOGLETRANSLATE(A96,""zh-tw"",""zh"")"),"箱庭的白兔-如果玩家战斗落败，身上的胡萝卜会被没收")</f>
        <v>箱庭的白兔-如果玩家战斗落败，身上的胡萝卜会被没收</v>
      </c>
      <c r="E96" s="71" t="str">
        <f>IFERROR(__xludf.DUMMYFUNCTION("GOOGLETRANSLATE(A96,""zh-tw"",""es-MX"")"),"El conejo blanco en el jardín en miniatura: si el jugador pierde la batalla, las zanahorias que lleve consigo serán confiscadas.")</f>
        <v>El conejo blanco en el jardín en miniatura: si el jugador pierde la batalla, las zanahorias que lleve consigo serán confiscadas.</v>
      </c>
      <c r="F96" s="209" t="str">
        <f>IFERROR(__xludf.DUMMYFUNCTION("GOOGLETRANSLATE(A96,""zh-tw"",""KO"")"),"미니어처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6" s="71" t="str">
        <f>IFERROR(__xludf.DUMMYFUNCTION("GOOGLETRANSLATE(A96,""zh-tw"",""ru"")"),"Белый кролик в миниатюрном саду. Если игрок проиграет битву, вся морковь, находящаяся у него, будет конфискована.")</f>
        <v>Белый кролик в миниатюрном саду. Если игрок проиграет битву, вся морковь, находящаяся у него, будет конфискована.</v>
      </c>
      <c r="H96" s="209" t="s">
        <v>4554</v>
      </c>
      <c r="I96" s="124" t="s">
        <v>4555</v>
      </c>
      <c r="J96" s="124" t="s">
        <v>4556</v>
      </c>
      <c r="K96" s="65"/>
      <c r="L96" s="65"/>
      <c r="M96" s="65"/>
      <c r="N96" s="65"/>
      <c r="O96" s="65"/>
      <c r="P96" s="65"/>
      <c r="Q96" s="65"/>
      <c r="R96" s="65"/>
      <c r="S96" s="65"/>
      <c r="T96" s="65"/>
      <c r="U96" s="65"/>
      <c r="V96" s="65"/>
      <c r="W96" s="65"/>
    </row>
    <row r="97">
      <c r="A97" s="69" t="s">
        <v>4557</v>
      </c>
      <c r="B97" s="209" t="s">
        <v>4558</v>
      </c>
      <c r="C97" s="71" t="s">
        <v>4559</v>
      </c>
      <c r="D97" s="208" t="str">
        <f>IFERROR(__xludf.DUMMYFUNCTION("GOOGLETRANSLATE(A97,""zh-tw"",""zh"")"),"胡萝卜大剑-放在篝火上烤可以召唤女仆兔为你打开传送去其他篝火存取点的兔子洞(未实装)")</f>
        <v>胡萝卜大剑-放在篝火上烤可以召唤女仆兔为你打开传送去其他篝火存取点的兔子洞(未实装)</v>
      </c>
      <c r="E97" s="71" t="str">
        <f>IFERROR(__xludf.DUMMYFUNCTION("GOOGLETRANSLATE(A97,""zh-tw"",""es-MX"")"),"Espada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7" s="209" t="str">
        <f>IFERROR(__xludf.DUMMYFUNCTION("GOOGLETRANSLATE(A97,""zh-tw"",""KO"")"),"당근 대검 - 모닥불 위에 구워 먹으면 하녀 토끼가 소환되어 토끼굴을 열고 모닥불의 다른 저장 지점으로 순간이동합니다(아직 구현되지 않음).")</f>
        <v>당근 대검 - 모닥불 위에 구워 먹으면 하녀 토끼가 소환되어 토끼굴을 열고 모닥불의 다른 저장 지점으로 순간이동합니다(아직 구현되지 않음).</v>
      </c>
      <c r="G97" s="71" t="str">
        <f>IFERROR(__xludf.DUMMYFUNCTION("GOOGLETRANSLATE(A97,""zh-tw"",""ru"")"),"Морковный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v>
      </c>
      <c r="H97" s="209" t="s">
        <v>4560</v>
      </c>
      <c r="I97" s="124" t="s">
        <v>4561</v>
      </c>
      <c r="J97" s="124" t="s">
        <v>4562</v>
      </c>
      <c r="K97" s="65"/>
      <c r="L97" s="65"/>
      <c r="M97" s="65"/>
      <c r="N97" s="65"/>
      <c r="O97" s="65"/>
      <c r="P97" s="65"/>
      <c r="Q97" s="65"/>
      <c r="R97" s="65"/>
      <c r="S97" s="65"/>
      <c r="T97" s="65"/>
      <c r="U97" s="65"/>
      <c r="V97" s="65"/>
      <c r="W97" s="65"/>
    </row>
    <row r="98">
      <c r="A98" s="69" t="s">
        <v>4563</v>
      </c>
      <c r="B98" s="209" t="s">
        <v>4564</v>
      </c>
      <c r="C98" s="71" t="s">
        <v>4565</v>
      </c>
      <c r="D98" s="208" t="str">
        <f>IFERROR(__xludf.DUMMYFUNCTION("GOOGLETRANSLATE(A98,""zh-tw"",""zh"")"),"ASABA的草莓/胡萝卜，目前对于妹妹与哥哥的饮食方面无特殊影响效果")</f>
        <v>ASABA的草莓/胡萝卜，目前对于妹妹与哥哥的饮食方面无特殊影响效果</v>
      </c>
      <c r="E98" s="71" t="str">
        <f>IFERROR(__xludf.DUMMYFUNCTION("GOOGLETRANSLATE(A98,""zh-tw"",""es-MX"")"),"Las fresas y zanahorias de ASABA aún no han tenido ningún efecto especial en la dieta de la hermana menor y el hermano mayor.")</f>
        <v>Las fresas y zanahorias de ASABA aún no han tenido ningún efecto especial en la dieta de la hermana menor y el hermano mayor.</v>
      </c>
      <c r="F98" s="209" t="str">
        <f>IFERROR(__xludf.DUMMYFUNCTION("GOOGLETRANSLATE(A98,""zh-tw"",""KO"")"),"아사바의 딸기/당근은 아직 여동생과 오빠의 식단에 특별한 효과를 보이지 않았습니다.")</f>
        <v>아사바의 딸기/당근은 아직 여동생과 오빠의 식단에 특별한 효과를 보이지 않았습니다.</v>
      </c>
      <c r="G98" s="71" t="str">
        <f>IFERROR(__xludf.DUMMYFUNCTION("GOOGLETRANSLATE(A98,""zh-tw"",""ru"")"),"Клубника/морковь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98" s="209" t="s">
        <v>4566</v>
      </c>
      <c r="I98" s="124" t="s">
        <v>4567</v>
      </c>
      <c r="J98" s="124" t="s">
        <v>4568</v>
      </c>
      <c r="K98" s="65"/>
      <c r="L98" s="65"/>
      <c r="M98" s="65"/>
      <c r="N98" s="65"/>
      <c r="O98" s="65"/>
      <c r="P98" s="65"/>
      <c r="Q98" s="65"/>
      <c r="R98" s="65"/>
      <c r="S98" s="65"/>
      <c r="T98" s="65"/>
      <c r="U98" s="65"/>
      <c r="V98" s="65"/>
      <c r="W98" s="65"/>
    </row>
    <row r="99">
      <c r="A99" s="69" t="s">
        <v>4569</v>
      </c>
      <c r="B99" s="209" t="s">
        <v>4570</v>
      </c>
      <c r="C99" s="71" t="s">
        <v>4571</v>
      </c>
      <c r="D99" s="208" t="str">
        <f>IFERROR(__xludf.DUMMYFUNCTION("GOOGLETRANSLATE(A99,""zh-tw"",""zh"")"),"""ASABA的草莓""比普通草莓更好吃，如果拿这个食材喂ASABA，会激怒它，并触发BOSS战斗")</f>
        <v>"ASABA的草莓"比普通草莓更好吃，如果拿这个食材喂ASABA，会激怒它，并触发BOSS战斗</v>
      </c>
      <c r="E99" s="71" t="str">
        <f>IFERROR(__xludf.DUMMYFUNCTION("GOOGLETRANSLATE(A99,""zh-tw"",""es-MX"")"),"Las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9" s="209" t="str">
        <f>IFERROR(__xludf.DUMMYFUNCTION("GOOGLETRANSLATE(A99,""zh-tw"",""KO"")"),"""아사바의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99" s="71" t="str">
        <f>IFERROR(__xludf.DUMMYFUNCTION("GOOGLETRANSLATE(A99,""zh-tw"",""ru"")"),"«Клубника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99" s="209" t="s">
        <v>4572</v>
      </c>
      <c r="I99" s="124" t="s">
        <v>4573</v>
      </c>
      <c r="J99" s="124" t="s">
        <v>4574</v>
      </c>
      <c r="K99" s="65"/>
      <c r="L99" s="65"/>
      <c r="M99" s="65"/>
      <c r="N99" s="65"/>
      <c r="O99" s="65"/>
      <c r="P99" s="65"/>
      <c r="Q99" s="65"/>
      <c r="R99" s="65"/>
      <c r="S99" s="65"/>
      <c r="T99" s="65"/>
      <c r="U99" s="65"/>
      <c r="V99" s="65"/>
      <c r="W99" s="65"/>
    </row>
    <row r="100">
      <c r="A100" s="69" t="s">
        <v>4575</v>
      </c>
      <c r="B100" s="208" t="s">
        <v>4576</v>
      </c>
      <c r="C100" s="69" t="s">
        <v>4577</v>
      </c>
      <c r="D100" s="208" t="str">
        <f>IFERROR(__xludf.DUMMYFUNCTION("GOOGLETRANSLATE(A100,""zh-tw"",""zh"")"),"关于""狂暴ASABA""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0" s="71" t="str">
        <f>IFERROR(__xludf.DUMMYFUNCTION("GOOGLETRANSLATE(A100,""zh-tw"",""es-MX"")"),"Respecto a ""ASABA Devastador"": Al saltar a la izquierda y a la derecha, esquiva todos los ataques. Al girar, desvía la mayoría de los proyectiles. Busca la oportunidad para lanzarse y desatar un ataque devastador que mata al jugador al instante. Al ser "&amp;"mordido por ASABA, consume tus reservas de alimento para recuperar su salud; si ingiere comida venenosa, se envenena.")</f>
        <v>Respecto a "ASABA Devastador": Al saltar a la izquierda y a la derecha, esquiva todos los ataques. Al girar, desvía la mayoría de los proyectiles. Busca la oportunidad para lanzarse y desatar un ataque devastador que mata al jugador al instante. Al ser mordido por ASABA, consume tus reservas de alimento para recuperar su salud; si ingiere comida venenosa, se envenena.</v>
      </c>
      <c r="F100" s="209" t="str">
        <f>IFERROR(__xludf.DUMMYFUNCTION("GOOGLETRANSLATE(A100,""zh-tw"",""KO"")"),"""난동하는 아사바""에 대해: 좌우로 점프하는 동안 모든 공격을 회피합니다. 회전하는 동안에는 대부분의 투사체를 튕겨냅니다. 돌진할 기회를 노리고 파괴적인 공격을 퍼부어 플레이어를 즉사시킵니다. 아사바에게 물리면 아사바는 플레이어의 식량을 소모하여 체력을 회복합니다. 독이 있는 음식을 먹으면 중독됩니다.")</f>
        <v>"난동하는 아사바"에 대해: 좌우로 점프하는 동안 모든 공격을 회피합니다. 회전하는 동안에는 대부분의 투사체를 튕겨냅니다. 돌진할 기회를 노리고 파괴적인 공격을 퍼부어 플레이어를 즉사시킵니다. 아사바에게 물리면 아사바는 플레이어의 식량을 소모하여 체력을 회복합니다. 독이 있는 음식을 먹으면 중독됩니다.</v>
      </c>
      <c r="G100" s="71" t="str">
        <f>IFERROR(__xludf.DUMMYFUNCTION("GOOGLETRANSLATE(A100,""zh-tw"",""ru"")"),"О «Буйном Асабе»: прыгая влево и вправо, он уклоняется от всех атак. Вращаясь, он парирует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восстан"&amp;"овить здоровье; если он съест ядовитую пищу, он будет отравлен.")</f>
        <v>О «Буйном Асабе»: прыгая влево и вправо, он уклоняется от всех атак. Вращаясь, он парирует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0" s="208" t="s">
        <v>4578</v>
      </c>
      <c r="I100" s="66" t="s">
        <v>4579</v>
      </c>
      <c r="J100" s="124" t="s">
        <v>4580</v>
      </c>
      <c r="K100" s="65"/>
      <c r="L100" s="65"/>
      <c r="M100" s="65"/>
      <c r="N100" s="65"/>
      <c r="O100" s="65"/>
      <c r="P100" s="65"/>
      <c r="Q100" s="65"/>
      <c r="R100" s="65"/>
      <c r="S100" s="65"/>
      <c r="T100" s="65"/>
      <c r="U100" s="65"/>
      <c r="V100" s="65"/>
      <c r="W100" s="65"/>
    </row>
    <row r="101">
      <c r="A101" s="69" t="s">
        <v>4581</v>
      </c>
      <c r="B101" s="208" t="s">
        <v>4582</v>
      </c>
      <c r="C101" s="69" t="s">
        <v>4583</v>
      </c>
      <c r="D101" s="208" t="str">
        <f>IFERROR(__xludf.DUMMYFUNCTION("GOOGLETRANSLATE(A101,""zh-tw"",""zh"")"),"关于""铁砧""的说明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1" s="71" t="str">
        <f>IFERROR(__xludf.DUMMYFUNCTION("GOOGLETRANSLATE(A101,""zh-tw"",""es-MX"")"),"Explicación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tras la muerte del protagonista; "&amp;"es necesario regresar al mapa original después de cambiar de mapa; no se recuperará inmediatamente tras la resurrección.
9. Actualmente, no hay diseño para múltiples Gólems de Hierro.
10. Tras alcanzar una temperatura alta, recuperarla y reforjarla inme"&amp;"diatamente ignora el tiempo de recuperación de la temperatura roja.
11. El martillo de forja se puede usar junto con bonificaciones de armas como Garra de Gato y Amplificación de Armas para mejorar el efecto de la forja.
12. Cuanto mayor sea el poder de"&amp;" ataque del personaje, mayor será el efecto de la forja.
13. El Gólem de Hierro no se puede invocar cuando el personaje está desarmado.
14. En el futuro, será posible pulir armas para mejorar sus efectos o añadir otros objetos que no sean armas. ¡Mantén"&amp;"ganse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tras la muerte del protagonista; es necesario regresar al mapa original después de cambiar de mapa; no se recuperará inmediatamente tras la resurrección.
9. Actualmente, no hay diseño para múltiples Gólems de Hierro.
10. Tras alcanzar una temperatura alta, recuperarla y reforjarla inmediatamente ignora el tiempo de recuperación de la temperatura roja.
11. El martillo de forja se puede usar junto con bonificaciones de armas como Garra de Gato y Amplificación de Armas para mejorar el efecto de la forja.
12. Cuanto mayor sea el poder de ataque del personaje, mayor será el efecto de la forja.
13. El Gólem de Hierro no se puede invocar cuando el personaje está desarmado.
14. En el futuro, será posible pulir armas para mejorar sus efectos o añadir otros objetos que no sean armas. ¡Manténganse al tanto!</v>
      </c>
      <c r="F101" s="209" t="str">
        <f>IFERROR(__xludf.DUMMYFUNCTION("GOOGLETRANSLATE(A101,""zh-tw"",""KO"")"),"""앤빌""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앤빌"&amp;"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여"&amp;"러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향상시키거"&amp;"나 무기가 아닌 다른 아이템을 추가할 수 있게 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향상시키거나 무기가 아닌 다른 아이템을 추가할 수 있게 될 예정입니다. 기대해 주세요!</v>
      </c>
      <c r="G101" s="71" t="str">
        <f>IFERROR(__xludf.DUMMYFUNCTION("GOOGLETRANSLATE(A101,""zh-tw"",""ru"")"),"Объяснение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прочность,"&amp;"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у"&amp;"дар.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"&amp;"превысит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"&amp;"не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"&amp;"красной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"&amp;"призвать,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f>
        <v>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v>
      </c>
      <c r="H101" s="209" t="str">
        <f>IFERROR(__xludf.DUMMYFUNCTION("GOOGLETRANSLATE(A101,""zh-tw"",""de"")"),"Erklärung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Beschwörung mehrerer Eisengolems nicht vo"&amp;"rgesehen.
10. Sobald eine Waffe eine hohe Temperatur erreicht hat, wird die Abklingzeit der roten Temperatur ignoriert, wenn sie geborgen und sofort neu geschmiedet wird.
11. Der Schmiedehammer kann in Kombination mit Waffenboni wie Katzenklaue und Waff"&amp;"enverstärkung verwendet werden, um den Schmiedeeffekt zu erhöhen.
12. Je höher die Angriffskraft des Charakters, desto höher der Schmiedeeffekt.
13. Der Eisengolem kann nicht beschworen werden, wenn der Charakter unbewaffnet ist.
14. Zukünftig wird es "&amp;"möglich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1" s="66" t="s">
        <v>4584</v>
      </c>
      <c r="J101" s="124" t="s">
        <v>4585</v>
      </c>
      <c r="K101" s="65"/>
      <c r="L101" s="65"/>
      <c r="M101" s="65"/>
      <c r="N101" s="65"/>
      <c r="O101" s="65"/>
      <c r="P101" s="65"/>
      <c r="Q101" s="65"/>
      <c r="R101" s="65"/>
      <c r="S101" s="65"/>
      <c r="T101" s="65"/>
      <c r="U101" s="65"/>
      <c r="V101" s="65"/>
      <c r="W101" s="65"/>
    </row>
    <row r="102">
      <c r="A102" s="69" t="s">
        <v>4586</v>
      </c>
      <c r="B102" s="208" t="str">
        <f>IFERROR(__xludf.DUMMYFUNCTION("GOOGLETRANSLATE(A102,""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2" s="69" t="s">
        <v>4587</v>
      </c>
      <c r="D102" s="208" t="str">
        <f>IFERROR(__xludf.DUMMYFUNCTION("GOOGLETRANSLATE(A102,""zh-tw"",""zh"")"),"怪鸟的羽毛、法杖的悬空等等，都属于漂浮状态，可以抵达特殊地区
羽毛不能接触水面或冰面")</f>
        <v>怪鸟的羽毛、法杖的悬空等等，都属于漂浮状态，可以抵达特殊地区
羽毛不能接触水面或冰面</v>
      </c>
      <c r="E102" s="71" t="str">
        <f>IFERROR(__xludf.DUMMYFUNCTION("GOOGLETRANSLATE(A102,""zh-tw"",""es-MX"")"),"Las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2" s="209" t="str">
        <f>IFERROR(__xludf.DUMMYFUNCTION("GOOGLETRANSLATE(A102,""zh-tw"",""KO"")"),"이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2" s="71" t="str">
        <f>IFERROR(__xludf.DUMMYFUNCTION("GOOGLETRANSLATE(A102,""zh-tw"",""ru"")"),"Перья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2" s="209" t="str">
        <f>IFERROR(__xludf.DUMMYFUNCTION("GOOGLETRANSLATE(A102,""zh-tw"",""de"")"),"Die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2" s="124" t="s">
        <v>4588</v>
      </c>
      <c r="J102" s="124" t="s">
        <v>4589</v>
      </c>
      <c r="K102" s="65"/>
      <c r="L102" s="65"/>
      <c r="M102" s="65"/>
      <c r="N102" s="65"/>
      <c r="O102" s="65"/>
      <c r="P102" s="65"/>
      <c r="Q102" s="65"/>
      <c r="R102" s="65"/>
      <c r="S102" s="65"/>
      <c r="T102" s="65"/>
      <c r="U102" s="65"/>
      <c r="V102" s="65"/>
      <c r="W102" s="65"/>
    </row>
    <row r="103">
      <c r="A103" s="69" t="s">
        <v>4590</v>
      </c>
      <c r="B103" s="208" t="s">
        <v>4591</v>
      </c>
      <c r="C103" s="69" t="s">
        <v>4592</v>
      </c>
      <c r="D103" s="208" t="str">
        <f>IFERROR(__xludf.DUMMYFUNCTION("GOOGLETRANSLATE(A103,""zh-tw"",""zh"")"),"兔子洞只能使用爆炸属性的伤害进行攻击，其他攻击或者从者攻击，皆无效果。")</f>
        <v>兔子洞只能使用爆炸属性的伤害进行攻击，其他攻击或者从者攻击，皆无效果。</v>
      </c>
      <c r="E103" s="71" t="str">
        <f>IFERROR(__xludf.DUMMYFUNCTION("GOOGLETRANSLATE(A103,""zh-tw"",""es-MX"")"),"Rabbit Hole solo puede ser atacado con daño explosivo; otros ataques o ataques de sirvientes no tienen efecto.")</f>
        <v>Rabbit Hole solo puede ser atacado con daño explosivo; otros ataques o ataques de sirvientes no tienen efecto.</v>
      </c>
      <c r="F103" s="209" t="str">
        <f>IFERROR(__xludf.DUMMYFUNCTION("GOOGLETRANSLATE(A103,""zh-tw"",""KO"")"),"토끼굴은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3" s="71" t="str">
        <f>IFERROR(__xludf.DUMMYFUNCTION("GOOGLETRANSLATE(A103,""zh-tw"",""ru"")"),"Кроличью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3" s="208" t="s">
        <v>4593</v>
      </c>
      <c r="I103" s="124" t="s">
        <v>4594</v>
      </c>
      <c r="J103" s="124" t="s">
        <v>4595</v>
      </c>
      <c r="K103" s="65"/>
      <c r="L103" s="65"/>
      <c r="M103" s="65"/>
      <c r="N103" s="65"/>
      <c r="O103" s="65"/>
      <c r="P103" s="65"/>
      <c r="Q103" s="65"/>
      <c r="R103" s="65"/>
      <c r="S103" s="65"/>
      <c r="T103" s="65"/>
      <c r="U103" s="65"/>
      <c r="V103" s="65"/>
      <c r="W103" s="65"/>
    </row>
    <row r="104">
      <c r="A104" s="69" t="s">
        <v>4596</v>
      </c>
      <c r="B104" s="208" t="s">
        <v>4597</v>
      </c>
      <c r="C104" s="69" t="s">
        <v>4598</v>
      </c>
      <c r="D104" s="208" t="str">
        <f>IFERROR(__xludf.DUMMYFUNCTION("GOOGLETRANSLATE(A104,""zh-tw"",""zh"")"),"可以同时进行多重BOSS战斗，例如河之主与狂暴ASABA，或者浅羽与红兽等等。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4" s="71" t="str">
        <f>IFERROR(__xludf.DUMMYFUNCTION("GOOGLETRANSLATE(A104,""zh-tw"",""es-MX"")"),"Se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4" s="209" t="str">
        <f>IFERROR(__xludf.DUMMYFUNCTION("GOOGLETRANSLATE(A104,""zh-tw"",""KO"")"),"강의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4" s="71" t="str">
        <f>IFERROR(__xludf.DUMMYFUNCTION("GOOGLETRANSLATE(A104,""zh-tw"",""ru"")"),"Можно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f>
        <v>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v>
      </c>
      <c r="H104" s="208" t="s">
        <v>4599</v>
      </c>
      <c r="I104" s="124" t="s">
        <v>4600</v>
      </c>
      <c r="J104" s="124" t="s">
        <v>4601</v>
      </c>
      <c r="K104" s="65"/>
      <c r="L104" s="65"/>
      <c r="M104" s="65"/>
      <c r="N104" s="65"/>
      <c r="O104" s="65"/>
      <c r="P104" s="65"/>
      <c r="Q104" s="65"/>
      <c r="R104" s="65"/>
      <c r="S104" s="65"/>
      <c r="T104" s="65"/>
      <c r="U104" s="65"/>
      <c r="V104" s="65"/>
      <c r="W104" s="65"/>
    </row>
    <row r="105">
      <c r="A105" s="69" t="s">
        <v>4602</v>
      </c>
      <c r="B105" s="208" t="s">
        <v>4603</v>
      </c>
      <c r="C105" s="69" t="s">
        <v>4604</v>
      </c>
      <c r="D105" s="208" t="str">
        <f>IFERROR(__xludf.DUMMYFUNCTION("GOOGLETRANSLATE(A105,""zh-tw"",""zh"")"),"初号核心可以使用二号机至七号机进行消耗，每一种皆可提升初号核心一个等级，最高可以升级至LV7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5" s="71" t="str">
        <f>IFERROR(__xludf.DUMMYFUNCTION("GOOGLETRANSLATE(A105,""zh-tw"",""es-MX"")"),"El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5" s="209" t="str">
        <f>IFERROR(__xludf.DUMMYFUNCTION("GOOGLETRANSLATE(A105,""zh-tw"",""KO"")"),"에반게리온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5" s="71" t="str">
        <f>IFERROR(__xludf.DUMMYFUNCTION("GOOGLETRANSLATE(A105,""zh-tw"",""ru"")"),"Ядро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5" s="208" t="s">
        <v>4605</v>
      </c>
      <c r="I105" s="124" t="s">
        <v>4606</v>
      </c>
      <c r="J105" s="124" t="s">
        <v>4607</v>
      </c>
      <c r="K105" s="65"/>
      <c r="L105" s="65"/>
      <c r="M105" s="65"/>
      <c r="N105" s="65"/>
      <c r="O105" s="65"/>
      <c r="P105" s="65"/>
      <c r="Q105" s="65"/>
      <c r="R105" s="65"/>
      <c r="S105" s="65"/>
      <c r="T105" s="65"/>
      <c r="U105" s="65"/>
      <c r="V105" s="65"/>
      <c r="W105" s="65"/>
    </row>
    <row r="106">
      <c r="A106" s="69" t="s">
        <v>4608</v>
      </c>
      <c r="B106" s="208" t="s">
        <v>4609</v>
      </c>
      <c r="C106" s="69" t="s">
        <v>4610</v>
      </c>
      <c r="D106" s="208" t="str">
        <f>IFERROR(__xludf.DUMMYFUNCTION("GOOGLETRANSLATE(A106,""zh-tw"",""zh"")"),"关于水面炸鱼的详细说明(所有的项目，下雨皆会重置)：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6" s="71" t="str">
        <f>IFERROR(__xludf.DUMMYFUNCTION("GOOGLETRANSLATE(A106,""zh-tw"",""es-MX"")"),"Explicación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6" s="209" t="str">
        <f>IFERROR(__xludf.DUMMYFUNCTION("GOOGLETRANSLATE(A106,""zh-tw"",""KO"")"),"물낚시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강"&amp;"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표면을"&amp;"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특별"&amp;"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6" s="71" t="str">
        <f>IFERROR(__xludf.DUMMYFUNCTION("GOOGLETRANSLATE(A106,""zh-tw"",""ru"")"),"Подробное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в"&amp;"ышеперечисленные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неко"&amp;"торые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идеаль"&amp;"ные условия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6" s="208" t="s">
        <v>4611</v>
      </c>
      <c r="I106" s="66" t="s">
        <v>4612</v>
      </c>
      <c r="J106" s="124" t="s">
        <v>4613</v>
      </c>
      <c r="K106" s="65"/>
      <c r="L106" s="65"/>
      <c r="M106" s="65"/>
      <c r="N106" s="65"/>
      <c r="O106" s="65"/>
      <c r="P106" s="65"/>
      <c r="Q106" s="65"/>
      <c r="R106" s="65"/>
      <c r="S106" s="65"/>
      <c r="T106" s="65"/>
      <c r="U106" s="65"/>
      <c r="V106" s="65"/>
      <c r="W106" s="65"/>
    </row>
    <row r="107">
      <c r="A107" s="69" t="s">
        <v>4614</v>
      </c>
      <c r="B107" s="208" t="s">
        <v>4615</v>
      </c>
      <c r="C107" s="69" t="s">
        <v>4616</v>
      </c>
      <c r="D107" s="208" t="str">
        <f>IFERROR(__xludf.DUMMYFUNCTION("GOOGLETRANSLATE(A107,""zh-tw"",""zh"")"),"萨卡班甲鱼王血量低于90%时，有机率睡眠回复血量，受到攻击会醒来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7" s="71" t="str">
        <f>IFERROR(__xludf.DUMMYFUNCTION("GOOGLETRANSLATE(A107,""zh-tw"",""es-MX"")"),"Cuando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7" s="209" t="str">
        <f>IFERROR(__xludf.DUMMYFUNCTION("GOOGLETRANSLATE(A107,""zh-tw"",""KO"")"),"사카반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7" s="71" t="str">
        <f>IFERROR(__xludf.DUMMYFUNCTION("GOOGLETRANSLATE(A107,""zh-tw"",""ru"")"),"Когда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ш"&amp;"анс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Че"&amp;"репах Сакабан превратится в обычную Черепаху Сакабан, став дропом Слуги (◉▽◉(розовый)). Во время этого процесса всё ещё есть шанс выпасть Королевский указ.")</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дропом Слуги (◉▽◉(розовый)). Во время этого процесса всё ещё есть шанс выпасть Королевский указ.</v>
      </c>
      <c r="H107" s="208" t="s">
        <v>4617</v>
      </c>
      <c r="I107" s="124" t="s">
        <v>4618</v>
      </c>
      <c r="J107" s="124" t="s">
        <v>4619</v>
      </c>
      <c r="K107" s="65"/>
      <c r="L107" s="65"/>
      <c r="M107" s="65"/>
      <c r="N107" s="65"/>
      <c r="O107" s="65"/>
      <c r="P107" s="65"/>
      <c r="Q107" s="65"/>
      <c r="R107" s="65"/>
      <c r="S107" s="65"/>
      <c r="T107" s="65"/>
      <c r="U107" s="65"/>
      <c r="V107" s="65"/>
      <c r="W107" s="65"/>
    </row>
    <row r="108">
      <c r="A108" s="69" t="s">
        <v>4620</v>
      </c>
      <c r="B108" s="208" t="s">
        <v>4621</v>
      </c>
      <c r="C108" s="69" t="s">
        <v>4622</v>
      </c>
      <c r="D108" s="208" t="str">
        <f>IFERROR(__xludf.DUMMYFUNCTION("GOOGLETRANSLATE(A108,""zh-tw"",""zh"")"),"毒雾遇上火属性攻击时，可以产生粉尘爆炸")</f>
        <v>毒雾遇上火属性攻击时，可以产生粉尘爆炸</v>
      </c>
      <c r="E108" s="71" t="str">
        <f>IFERROR(__xludf.DUMMYFUNCTION("GOOGLETRANSLATE(A108,""zh-tw"",""es-MX"")"),"Cuando la niebla venenosa se encuentra con un ataque de atributo fuego, puede producir una explosión de polvo.")</f>
        <v>Cuando la niebla venenosa se encuentra con un ataque de atributo fuego, puede producir una explosión de polvo.</v>
      </c>
      <c r="F108" s="209" t="str">
        <f>IFERROR(__xludf.DUMMYFUNCTION("GOOGLETRANSLATE(A108,""zh-tw"",""KO"")"),"독성 안개가 화염 속성의 공격을 받으면 먼지 폭발을 일으킬 수 있습니다.")</f>
        <v>독성 안개가 화염 속성의 공격을 받으면 먼지 폭발을 일으킬 수 있습니다.</v>
      </c>
      <c r="G108" s="71" t="str">
        <f>IFERROR(__xludf.DUMMYFUNCTION("GOOGLETRANSLATE(A108,""zh-tw"",""ru"")"),"Когда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08" s="208" t="s">
        <v>4623</v>
      </c>
      <c r="I108" s="124" t="s">
        <v>4624</v>
      </c>
      <c r="J108" s="124" t="s">
        <v>4625</v>
      </c>
      <c r="K108" s="65"/>
      <c r="L108" s="65"/>
      <c r="M108" s="65"/>
      <c r="N108" s="65"/>
      <c r="O108" s="65"/>
      <c r="P108" s="65"/>
      <c r="Q108" s="65"/>
      <c r="R108" s="65"/>
      <c r="S108" s="65"/>
      <c r="T108" s="65"/>
      <c r="U108" s="65"/>
      <c r="V108" s="65"/>
      <c r="W108" s="65"/>
    </row>
    <row r="109">
      <c r="A109" s="69" t="s">
        <v>4626</v>
      </c>
      <c r="B109" s="208" t="s">
        <v>4627</v>
      </c>
      <c r="C109" s="69" t="s">
        <v>4628</v>
      </c>
      <c r="D109" s="208" t="str">
        <f>IFERROR(__xludf.DUMMYFUNCTION("GOOGLETRANSLATE(A109,""zh-tw"",""zh"")"),"一些贪吃属性的怪物，容易受到美食武器的诱惑，例如：ASABA、兽人等等。更容易被强制击杀。")</f>
        <v>一些贪吃属性的怪物，容易受到美食武器的诱惑，例如：ASABA、兽人等等。更容易被强制击杀。</v>
      </c>
      <c r="E109" s="71" t="str">
        <f>IFERROR(__xludf.DUMMYFUNCTION("GOOGLETRANSLATE(A109,""zh-tw"",""es-MX"")"),"Algunos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9" s="209" t="str">
        <f>IFERROR(__xludf.DUMMYFUNCTION("GOOGLETRANSLATE(A109,""zh-tw"",""KO"")"),"일부 탐식성 몬스터는 아사바나 오크처럼 음식을 소재로 한 무기에 쉽게 유혹당합니다. 강제로 죽일 가능성이 더 높습니다.")</f>
        <v>일부 탐식성 몬스터는 아사바나 오크처럼 음식을 소재로 한 무기에 쉽게 유혹당합니다. 강제로 죽일 가능성이 더 높습니다.</v>
      </c>
      <c r="G109" s="71" t="str">
        <f>IFERROR(__xludf.DUMMYFUNCTION("GOOGLETRANSLATE(A109,""zh-tw"",""ru"")"),"Некоторые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09" s="208" t="s">
        <v>4629</v>
      </c>
      <c r="I109" s="124" t="s">
        <v>4630</v>
      </c>
      <c r="J109" s="124" t="s">
        <v>4631</v>
      </c>
      <c r="K109" s="65"/>
      <c r="L109" s="65"/>
      <c r="M109" s="65"/>
      <c r="N109" s="65"/>
      <c r="O109" s="65"/>
      <c r="P109" s="65"/>
      <c r="Q109" s="65"/>
      <c r="R109" s="65"/>
      <c r="S109" s="65"/>
      <c r="T109" s="65"/>
      <c r="U109" s="65"/>
      <c r="V109" s="65"/>
      <c r="W109" s="65"/>
    </row>
    <row r="110">
      <c r="A110" s="69" t="s">
        <v>4632</v>
      </c>
      <c r="B110" s="208" t="s">
        <v>4633</v>
      </c>
      <c r="C110" s="69" t="s">
        <v>4634</v>
      </c>
      <c r="D110" s="208" t="str">
        <f>IFERROR(__xludf.DUMMYFUNCTION("GOOGLETRANSLATE(A110,""zh-tw"",""zh"")"),"下雨的天气提供30~50%钓鱼机率的加成，但仅限画面有雨水显示的时候(例如室内/地城等就无加成)；阴天提供15~25%的加成，但是可以全地图生效。")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0" s="71" t="str">
        <f>IFERROR(__xludf.DUMMYFUNCTION("GOOGLETRANSLATE(A110,""zh-tw"",""es-MX"")"),"El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10" s="209" t="str">
        <f>IFERROR(__xludf.DUMMYFUNCTION("GOOGLETRANSLATE(A110,""zh-tw"",""KO"")"),"비가 오는 날씨는 낚시 확률에 30~50%의 보너스를 주지만, 화면에 비가 보일 때만 해당됩니다(실내/던전에서는 보너스가 없습니다). 흐린 날씨는 15~25%의 보너스를 주지만, 전체 맵에 적용됩니다.")</f>
        <v>비가 오는 날씨는 낚시 확률에 30~50%의 보너스를 주지만, 화면에 비가 보일 때만 해당됩니다(실내/던전에서는 보너스가 없습니다). 흐린 날씨는 15~25%의 보너스를 주지만, 전체 맵에 적용됩니다.</v>
      </c>
      <c r="G110" s="71" t="str">
        <f>IFERROR(__xludf.DUMMYFUNCTION("GOOGLETRANSLATE(A110,""zh-tw"",""ru"")"),"Дождливая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0" s="208" t="s">
        <v>4635</v>
      </c>
      <c r="I110" s="124" t="s">
        <v>4636</v>
      </c>
      <c r="J110" s="124" t="s">
        <v>4637</v>
      </c>
      <c r="K110" s="65"/>
      <c r="L110" s="65"/>
      <c r="M110" s="65"/>
      <c r="N110" s="65"/>
      <c r="O110" s="65"/>
      <c r="P110" s="65"/>
      <c r="Q110" s="65"/>
      <c r="R110" s="65"/>
      <c r="S110" s="65"/>
      <c r="T110" s="65"/>
      <c r="U110" s="65"/>
      <c r="V110" s="65"/>
      <c r="W110" s="65"/>
    </row>
    <row r="111">
      <c r="A111" s="69" t="s">
        <v>4638</v>
      </c>
      <c r="B111" s="208" t="s">
        <v>4639</v>
      </c>
      <c r="C111" s="69" t="s">
        <v>4640</v>
      </c>
      <c r="D111" s="208" t="str">
        <f>IFERROR(__xludf.DUMMYFUNCTION("GOOGLETRANSLATE(A111,""zh-tw"",""zh"")"),"地图上每株草莓树有10%机率刷新出ASABA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1" s="71" t="str">
        <f>IFERROR(__xludf.DUMMYFUNCTION("GOOGLETRANSLATE(A111,""zh-tw"",""es-MX"")"),"Cada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11" s="209" t="str">
        <f>IFERROR(__xludf.DUMMYFUNCTION("GOOGLETRANSLATE(A111,""zh-tw"",""KO"")"),"지도에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f>
        <v>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v>
      </c>
      <c r="G111" s="71" t="str">
        <f>IFERROR(__xludf.DUMMYFUNCTION("GOOGLETRANSLATE(A111,""zh-tw"",""ru"")"),"Каждое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увеличива"&amp;"ет вероятность на 50%).")</f>
        <v>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увеличивает вероятность на 50%).</v>
      </c>
      <c r="H111" s="209" t="str">
        <f>IFERROR(__xludf.DUMMYFUNCTION("GOOGLETRANSLATE(A111,""zh-tw"",""de"")"),"Jeder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11" s="69" t="s">
        <v>4641</v>
      </c>
      <c r="J111" s="124" t="s">
        <v>4642</v>
      </c>
      <c r="K111" s="65"/>
      <c r="L111" s="65"/>
      <c r="M111" s="65"/>
      <c r="N111" s="65"/>
      <c r="O111" s="65"/>
      <c r="P111" s="65"/>
      <c r="Q111" s="65"/>
      <c r="R111" s="65"/>
      <c r="S111" s="65"/>
      <c r="T111" s="65"/>
      <c r="U111" s="65"/>
      <c r="V111" s="65"/>
      <c r="W111" s="65"/>
    </row>
    <row r="112">
      <c r="A112" s="69" t="s">
        <v>4643</v>
      </c>
      <c r="B112" s="213" t="s">
        <v>4644</v>
      </c>
      <c r="C112" s="136" t="s">
        <v>4645</v>
      </c>
      <c r="D112" s="208" t="s">
        <v>4646</v>
      </c>
      <c r="E112" s="71" t="str">
        <f>IFERROR(__xludf.DUMMYFUNCTION("GOOGLETRANSLATE(A112,""zh-tw"",""es-MX"")"),"Puedes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2" s="209" t="str">
        <f>IFERROR(__xludf.DUMMYFUNCTION("GOOGLETRANSLATE(A112,""zh-tw"",""KO"")"),"평소에는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f>
        <v>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v>
      </c>
      <c r="G112" s="71" t="str">
        <f>IFERROR(__xludf.DUMMYFUNCTION("GOOGLETRANSLATE(A112,""zh-tw"",""ru"")"),"В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21:00–22:0"&amp;"0: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f>
        <v>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v>
      </c>
      <c r="H112" s="214" t="s">
        <v>4647</v>
      </c>
      <c r="I112" s="186" t="s">
        <v>4648</v>
      </c>
      <c r="J112" s="142" t="s">
        <v>4649</v>
      </c>
      <c r="K112" s="65"/>
      <c r="L112" s="65"/>
      <c r="M112" s="65"/>
      <c r="N112" s="65"/>
      <c r="O112" s="65"/>
      <c r="P112" s="65"/>
      <c r="Q112" s="65"/>
      <c r="R112" s="65"/>
      <c r="S112" s="65"/>
      <c r="T112" s="65"/>
      <c r="U112" s="65"/>
      <c r="V112" s="65"/>
      <c r="W112" s="65"/>
    </row>
    <row r="113">
      <c r="A113" s="69" t="s">
        <v>4650</v>
      </c>
      <c r="B113" s="209"/>
      <c r="C113" s="69" t="s">
        <v>4651</v>
      </c>
      <c r="D113" s="208" t="s">
        <v>4652</v>
      </c>
      <c r="E113" s="69" t="s">
        <v>4653</v>
      </c>
      <c r="F113" s="209" t="str">
        <f>IFERROR(__xludf.DUMMYFUNCTION("GOOGLETRANSLATE(A113,""zh-tw"",""KO"")"),"❤️빨간 하트: 언니의 호감도
💜보라색 하트: 언니의 성적 욕망 (향후 소모 예정)
💛노란색 하트: 언니에게 지급되는 돈의 양은 매일 초기화됩니다. 현재는 실질적인 용도가 없습니다. 노란색 하트 1개는 빨간색 하트 1개와 같습니다. (이미 빨간색 또는 보라색 하트가 있는 경우 금색 테두리로 표시됩니다.)
🤍흰색 하트: 언니의 몸에 저장된 돈의 양은 현재 효과가 없습니다.
🖤검은색 하트: 기분이 좋지 않음을 나타냅니다. 언니를 화나게 하거나"&amp;" 언니와의 약속을 지키지 않을 경우 발생합니다. 현재 구현되지 않았습니다.")</f>
        <v>❤️빨간 하트: 언니의 호감도
💜보라색 하트: 언니의 성적 욕망 (향후 소모 예정)
💛노란색 하트: 언니에게 지급되는 돈의 양은 매일 초기화됩니다. 현재는 실질적인 용도가 없습니다. 노란색 하트 1개는 빨간색 하트 1개와 같습니다. (이미 빨간색 또는 보라색 하트가 있는 경우 금색 테두리로 표시됩니다.)
🤍흰색 하트: 언니의 몸에 저장된 돈의 양은 현재 효과가 없습니다.
🖤검은색 하트: 기분이 좋지 않음을 나타냅니다. 언니를 화나게 하거나 언니와의 약속을 지키지 않을 경우 발생합니다. 현재 구현되지 않았습니다.</v>
      </c>
      <c r="G113" s="71" t="str">
        <f>IFERROR(__xludf.DUMMYFUNCTION("GOOGLETRANSLATE(A113,""zh-tw"",""ru"")"),"❤️Красное сердце: Уровень привязанности сестры
💜Фиолетовое сердце: Сексуальное желание сестры (будет расходоваться в будущем)
💛Жёлтое сердце: Количество денег, отданных сестре, сбрасывается ежедневно. В настоящее время не имеет практического применени"&amp;"я; одно жёлтое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никакого эффекта.
🖤"&amp;"Чёрное сердце: Символизирует плохое настроение. Это произойдёт, если вы разозлите сестру или не сдержите данные ей обещания. В настоящее время не реализовано.")</f>
        <v>❤️Красное сердце: Уровень привязанности сестры
💜Фиолетовое сердце: Сексуальное желание сестры (будет расходоваться в будущем)
💛Жёлтое сердце: Количество денег, отданных сестре, сбрасывается ежедневно. В настоящее время не имеет практического применения; одно жёлтое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никакого эффекта.
🖤Чёрное сердце: Символизирует плохое настроение. Это произойдёт, если вы разозлите сестру или не сдержите данные ей обещания. В настоящее время не реализовано.</v>
      </c>
      <c r="H113" s="209"/>
      <c r="I113" s="186" t="s">
        <v>4654</v>
      </c>
      <c r="J113" s="213" t="s">
        <v>4655</v>
      </c>
      <c r="K113" s="215"/>
      <c r="L113" s="65"/>
      <c r="M113" s="65"/>
      <c r="N113" s="65"/>
      <c r="O113" s="65"/>
      <c r="P113" s="65"/>
      <c r="Q113" s="65"/>
      <c r="R113" s="65"/>
      <c r="S113" s="65"/>
      <c r="T113" s="65"/>
      <c r="U113" s="65"/>
      <c r="V113" s="65"/>
      <c r="W113" s="65"/>
    </row>
    <row r="114">
      <c r="A114" s="71"/>
      <c r="B114" s="209"/>
      <c r="C114" s="71"/>
      <c r="D114" s="209"/>
      <c r="E114" s="71"/>
      <c r="F114" s="209"/>
      <c r="G114" s="71"/>
      <c r="H114" s="209"/>
      <c r="I114" s="28"/>
      <c r="J114" s="209"/>
      <c r="K114" s="65"/>
      <c r="L114" s="65"/>
      <c r="M114" s="65"/>
      <c r="N114" s="65"/>
      <c r="O114" s="65"/>
      <c r="P114" s="65"/>
      <c r="Q114" s="65"/>
      <c r="R114" s="65"/>
      <c r="S114" s="65"/>
      <c r="T114" s="65"/>
      <c r="U114" s="65"/>
      <c r="V114" s="65"/>
      <c r="W114" s="65"/>
    </row>
    <row r="115">
      <c r="A115" s="71"/>
      <c r="B115" s="209"/>
      <c r="C115" s="71"/>
      <c r="D115" s="209"/>
      <c r="E115" s="71"/>
      <c r="F115" s="209"/>
      <c r="G115" s="71"/>
      <c r="H115" s="209"/>
      <c r="I115" s="28"/>
      <c r="J115" s="209"/>
      <c r="K115" s="65"/>
      <c r="L115" s="65"/>
      <c r="M115" s="65"/>
      <c r="N115" s="65"/>
      <c r="O115" s="65"/>
      <c r="P115" s="65"/>
      <c r="Q115" s="65"/>
      <c r="R115" s="65"/>
      <c r="S115" s="65"/>
      <c r="T115" s="65"/>
      <c r="U115" s="65"/>
      <c r="V115" s="65"/>
      <c r="W115" s="65"/>
    </row>
    <row r="116">
      <c r="A116" s="71"/>
      <c r="B116" s="209"/>
      <c r="C116" s="71"/>
      <c r="D116" s="209"/>
      <c r="E116" s="71"/>
      <c r="F116" s="209"/>
      <c r="G116" s="71"/>
      <c r="H116" s="209"/>
      <c r="I116" s="28"/>
      <c r="J116" s="209"/>
      <c r="K116" s="65"/>
      <c r="L116" s="65"/>
      <c r="M116" s="65"/>
      <c r="N116" s="65"/>
      <c r="O116" s="65"/>
      <c r="P116" s="65"/>
      <c r="Q116" s="65"/>
      <c r="R116" s="65"/>
      <c r="S116" s="65"/>
      <c r="T116" s="65"/>
      <c r="U116" s="65"/>
      <c r="V116" s="65"/>
      <c r="W116" s="65"/>
    </row>
    <row r="117">
      <c r="A117" s="71"/>
      <c r="B117" s="209"/>
      <c r="C117" s="71"/>
      <c r="D117" s="209"/>
      <c r="E117" s="71"/>
      <c r="F117" s="209"/>
      <c r="G117" s="71"/>
      <c r="H117" s="209"/>
      <c r="I117" s="28"/>
      <c r="J117" s="209"/>
      <c r="K117" s="65"/>
      <c r="L117" s="65"/>
      <c r="M117" s="65"/>
      <c r="N117" s="65"/>
      <c r="O117" s="65"/>
      <c r="P117" s="65"/>
      <c r="Q117" s="65"/>
      <c r="R117" s="65"/>
      <c r="S117" s="65"/>
      <c r="T117" s="65"/>
      <c r="U117" s="65"/>
      <c r="V117" s="65"/>
      <c r="W117" s="65"/>
    </row>
    <row r="118">
      <c r="A118" s="71"/>
      <c r="B118" s="209"/>
      <c r="C118" s="71"/>
      <c r="D118" s="209"/>
      <c r="E118" s="71"/>
      <c r="F118" s="209"/>
      <c r="G118" s="71"/>
      <c r="H118" s="209"/>
      <c r="I118" s="28"/>
      <c r="J118" s="209"/>
      <c r="K118" s="65"/>
      <c r="L118" s="65"/>
      <c r="M118" s="65"/>
      <c r="N118" s="65"/>
      <c r="O118" s="65"/>
      <c r="P118" s="65"/>
      <c r="Q118" s="65"/>
      <c r="R118" s="65"/>
      <c r="S118" s="65"/>
      <c r="T118" s="65"/>
      <c r="U118" s="65"/>
      <c r="V118" s="65"/>
      <c r="W118" s="65"/>
    </row>
    <row r="119">
      <c r="A119" s="71"/>
      <c r="B119" s="209"/>
      <c r="C119" s="71"/>
      <c r="D119" s="209"/>
      <c r="E119" s="71"/>
      <c r="F119" s="209"/>
      <c r="G119" s="71"/>
      <c r="H119" s="209"/>
      <c r="I119" s="28"/>
      <c r="J119" s="209"/>
      <c r="K119" s="65"/>
      <c r="L119" s="65"/>
      <c r="M119" s="65"/>
      <c r="N119" s="65"/>
      <c r="O119" s="65"/>
      <c r="P119" s="65"/>
      <c r="Q119" s="65"/>
      <c r="R119" s="65"/>
      <c r="S119" s="65"/>
      <c r="T119" s="65"/>
      <c r="U119" s="65"/>
      <c r="V119" s="65"/>
      <c r="W119" s="65"/>
    </row>
    <row r="120">
      <c r="A120" s="71"/>
      <c r="B120" s="209"/>
      <c r="C120" s="71"/>
      <c r="D120" s="209"/>
      <c r="E120" s="71"/>
      <c r="F120" s="209"/>
      <c r="G120" s="71"/>
      <c r="H120" s="209"/>
      <c r="I120" s="28"/>
      <c r="J120" s="209"/>
      <c r="K120" s="65"/>
      <c r="L120" s="65"/>
      <c r="M120" s="65"/>
      <c r="N120" s="65"/>
      <c r="O120" s="65"/>
      <c r="P120" s="65"/>
      <c r="Q120" s="65"/>
      <c r="R120" s="65"/>
      <c r="S120" s="65"/>
      <c r="T120" s="65"/>
      <c r="U120" s="65"/>
      <c r="V120" s="65"/>
      <c r="W120" s="65"/>
    </row>
    <row r="121">
      <c r="A121" s="71"/>
      <c r="B121" s="209"/>
      <c r="C121" s="71"/>
      <c r="D121" s="209"/>
      <c r="E121" s="71"/>
      <c r="F121" s="209"/>
      <c r="G121" s="71"/>
      <c r="H121" s="209"/>
      <c r="I121" s="28"/>
      <c r="J121" s="209"/>
      <c r="K121" s="65"/>
      <c r="L121" s="65"/>
      <c r="M121" s="65"/>
      <c r="N121" s="65"/>
      <c r="O121" s="65"/>
      <c r="P121" s="65"/>
      <c r="Q121" s="65"/>
      <c r="R121" s="65"/>
      <c r="S121" s="65"/>
      <c r="T121" s="65"/>
      <c r="U121" s="65"/>
      <c r="V121" s="65"/>
      <c r="W121" s="65"/>
    </row>
    <row r="122">
      <c r="A122" s="71"/>
      <c r="B122" s="209"/>
      <c r="C122" s="71"/>
      <c r="D122" s="209"/>
      <c r="E122" s="71"/>
      <c r="F122" s="209"/>
      <c r="G122" s="71"/>
      <c r="H122" s="209"/>
      <c r="I122" s="28"/>
      <c r="J122" s="209"/>
      <c r="K122" s="65"/>
      <c r="L122" s="65"/>
      <c r="M122" s="65"/>
      <c r="N122" s="65"/>
      <c r="O122" s="65"/>
      <c r="P122" s="65"/>
      <c r="Q122" s="65"/>
      <c r="R122" s="65"/>
      <c r="S122" s="65"/>
      <c r="T122" s="65"/>
      <c r="U122" s="65"/>
      <c r="V122" s="65"/>
      <c r="W122" s="65"/>
    </row>
    <row r="123">
      <c r="A123" s="71"/>
      <c r="B123" s="209"/>
      <c r="C123" s="71"/>
      <c r="D123" s="209"/>
      <c r="E123" s="71"/>
      <c r="F123" s="209"/>
      <c r="G123" s="71"/>
      <c r="H123" s="209"/>
      <c r="I123" s="28"/>
      <c r="J123" s="209"/>
      <c r="K123" s="65"/>
      <c r="L123" s="65"/>
      <c r="M123" s="65"/>
      <c r="N123" s="65"/>
      <c r="O123" s="65"/>
      <c r="P123" s="65"/>
      <c r="Q123" s="65"/>
      <c r="R123" s="65"/>
      <c r="S123" s="65"/>
      <c r="T123" s="65"/>
      <c r="U123" s="65"/>
      <c r="V123" s="65"/>
      <c r="W123" s="65"/>
    </row>
    <row r="124">
      <c r="A124" s="71"/>
      <c r="B124" s="209"/>
      <c r="C124" s="71"/>
      <c r="D124" s="209"/>
      <c r="E124" s="71"/>
      <c r="F124" s="209"/>
      <c r="G124" s="71"/>
      <c r="H124" s="209"/>
      <c r="I124" s="28"/>
      <c r="J124" s="209"/>
      <c r="K124" s="65"/>
      <c r="L124" s="65"/>
      <c r="M124" s="65"/>
      <c r="N124" s="65"/>
      <c r="O124" s="65"/>
      <c r="P124" s="65"/>
      <c r="Q124" s="65"/>
      <c r="R124" s="65"/>
      <c r="S124" s="65"/>
      <c r="T124" s="65"/>
      <c r="U124" s="65"/>
      <c r="V124" s="65"/>
      <c r="W124" s="65"/>
    </row>
    <row r="125">
      <c r="A125" s="71"/>
      <c r="B125" s="209"/>
      <c r="C125" s="71"/>
      <c r="D125" s="209"/>
      <c r="E125" s="71"/>
      <c r="F125" s="209"/>
      <c r="G125" s="71"/>
      <c r="H125" s="209"/>
      <c r="I125" s="28"/>
      <c r="J125" s="209"/>
      <c r="K125" s="65"/>
      <c r="L125" s="65"/>
      <c r="M125" s="65"/>
      <c r="N125" s="65"/>
      <c r="O125" s="65"/>
      <c r="P125" s="65"/>
      <c r="Q125" s="65"/>
      <c r="R125" s="65"/>
      <c r="S125" s="65"/>
      <c r="T125" s="65"/>
      <c r="U125" s="65"/>
      <c r="V125" s="65"/>
      <c r="W125" s="65"/>
    </row>
    <row r="126">
      <c r="A126" s="71"/>
      <c r="B126" s="209"/>
      <c r="C126" s="71"/>
      <c r="D126" s="209"/>
      <c r="E126" s="71"/>
      <c r="F126" s="209"/>
      <c r="G126" s="71"/>
      <c r="H126" s="209"/>
      <c r="I126" s="28"/>
      <c r="J126" s="209"/>
      <c r="K126" s="65"/>
      <c r="L126" s="65"/>
      <c r="M126" s="65"/>
      <c r="N126" s="65"/>
      <c r="O126" s="65"/>
      <c r="P126" s="65"/>
      <c r="Q126" s="65"/>
      <c r="R126" s="65"/>
      <c r="S126" s="65"/>
      <c r="T126" s="65"/>
      <c r="U126" s="65"/>
      <c r="V126" s="65"/>
      <c r="W126" s="65"/>
    </row>
    <row r="127">
      <c r="A127" s="71"/>
      <c r="B127" s="209"/>
      <c r="C127" s="71"/>
      <c r="D127" s="209"/>
      <c r="E127" s="71"/>
      <c r="F127" s="209"/>
      <c r="G127" s="71"/>
      <c r="H127" s="209"/>
      <c r="I127" s="28"/>
      <c r="J127" s="209"/>
      <c r="K127" s="65"/>
      <c r="L127" s="65"/>
      <c r="M127" s="65"/>
      <c r="N127" s="65"/>
      <c r="O127" s="65"/>
      <c r="P127" s="65"/>
      <c r="Q127" s="65"/>
      <c r="R127" s="65"/>
      <c r="S127" s="65"/>
      <c r="T127" s="65"/>
      <c r="U127" s="65"/>
      <c r="V127" s="65"/>
      <c r="W127" s="65"/>
    </row>
    <row r="128">
      <c r="A128" s="71"/>
      <c r="B128" s="209"/>
      <c r="C128" s="71"/>
      <c r="D128" s="209"/>
      <c r="E128" s="71"/>
      <c r="F128" s="209"/>
      <c r="G128" s="71"/>
      <c r="H128" s="209"/>
      <c r="I128" s="28"/>
      <c r="J128" s="209"/>
      <c r="K128" s="65"/>
      <c r="L128" s="65"/>
      <c r="M128" s="65"/>
      <c r="N128" s="65"/>
      <c r="O128" s="65"/>
      <c r="P128" s="65"/>
      <c r="Q128" s="65"/>
      <c r="R128" s="65"/>
      <c r="S128" s="65"/>
      <c r="T128" s="65"/>
      <c r="U128" s="65"/>
      <c r="V128" s="65"/>
      <c r="W128" s="65"/>
    </row>
    <row r="129">
      <c r="A129" s="71"/>
      <c r="B129" s="209"/>
      <c r="C129" s="71"/>
      <c r="D129" s="209"/>
      <c r="E129" s="71"/>
      <c r="F129" s="209"/>
      <c r="G129" s="71"/>
      <c r="H129" s="209"/>
      <c r="I129" s="28"/>
      <c r="J129" s="209"/>
      <c r="K129" s="65"/>
      <c r="L129" s="65"/>
      <c r="M129" s="65"/>
      <c r="N129" s="65"/>
      <c r="O129" s="65"/>
      <c r="P129" s="65"/>
      <c r="Q129" s="65"/>
      <c r="R129" s="65"/>
      <c r="S129" s="65"/>
      <c r="T129" s="65"/>
      <c r="U129" s="65"/>
      <c r="V129" s="65"/>
      <c r="W129" s="65"/>
    </row>
    <row r="130">
      <c r="A130" s="71"/>
      <c r="B130" s="209"/>
      <c r="C130" s="71"/>
      <c r="D130" s="209"/>
      <c r="E130" s="71"/>
      <c r="F130" s="209"/>
      <c r="G130" s="71"/>
      <c r="H130" s="209"/>
      <c r="I130" s="28"/>
      <c r="J130" s="209"/>
      <c r="K130" s="65"/>
      <c r="L130" s="65"/>
      <c r="M130" s="65"/>
      <c r="N130" s="65"/>
      <c r="O130" s="65"/>
      <c r="P130" s="65"/>
      <c r="Q130" s="65"/>
      <c r="R130" s="65"/>
      <c r="S130" s="65"/>
      <c r="T130" s="65"/>
      <c r="U130" s="65"/>
      <c r="V130" s="65"/>
      <c r="W130" s="65"/>
    </row>
    <row r="131">
      <c r="A131" s="71"/>
      <c r="B131" s="209"/>
      <c r="C131" s="71"/>
      <c r="D131" s="209"/>
      <c r="E131" s="71"/>
      <c r="F131" s="209"/>
      <c r="G131" s="71"/>
      <c r="H131" s="209"/>
      <c r="I131" s="28"/>
      <c r="J131" s="209"/>
      <c r="K131" s="65"/>
      <c r="L131" s="65"/>
      <c r="M131" s="65"/>
      <c r="N131" s="65"/>
      <c r="O131" s="65"/>
      <c r="P131" s="65"/>
      <c r="Q131" s="65"/>
      <c r="R131" s="65"/>
      <c r="S131" s="65"/>
      <c r="T131" s="65"/>
      <c r="U131" s="65"/>
      <c r="V131" s="65"/>
      <c r="W131" s="65"/>
    </row>
    <row r="132">
      <c r="A132" s="71"/>
      <c r="B132" s="209"/>
      <c r="C132" s="71"/>
      <c r="D132" s="209"/>
      <c r="E132" s="71"/>
      <c r="F132" s="209"/>
      <c r="G132" s="71"/>
      <c r="H132" s="209"/>
      <c r="I132" s="28"/>
      <c r="J132" s="209"/>
      <c r="K132" s="65"/>
      <c r="L132" s="65"/>
      <c r="M132" s="65"/>
      <c r="N132" s="65"/>
      <c r="O132" s="65"/>
      <c r="P132" s="65"/>
      <c r="Q132" s="65"/>
      <c r="R132" s="65"/>
      <c r="S132" s="65"/>
      <c r="T132" s="65"/>
      <c r="U132" s="65"/>
      <c r="V132" s="65"/>
      <c r="W132" s="65"/>
    </row>
    <row r="133">
      <c r="A133" s="71"/>
      <c r="B133" s="209"/>
      <c r="C133" s="71"/>
      <c r="D133" s="209"/>
      <c r="E133" s="71"/>
      <c r="F133" s="209"/>
      <c r="G133" s="71"/>
      <c r="H133" s="209"/>
      <c r="I133" s="28"/>
      <c r="J133" s="209"/>
      <c r="K133" s="65"/>
      <c r="L133" s="65"/>
      <c r="M133" s="65"/>
      <c r="N133" s="65"/>
      <c r="O133" s="65"/>
      <c r="P133" s="65"/>
      <c r="Q133" s="65"/>
      <c r="R133" s="65"/>
      <c r="S133" s="65"/>
      <c r="T133" s="65"/>
      <c r="U133" s="65"/>
      <c r="V133" s="65"/>
      <c r="W133" s="65"/>
    </row>
    <row r="134">
      <c r="A134" s="71"/>
      <c r="B134" s="209"/>
      <c r="C134" s="71"/>
      <c r="D134" s="209"/>
      <c r="E134" s="71"/>
      <c r="F134" s="209"/>
      <c r="G134" s="71"/>
      <c r="H134" s="209"/>
      <c r="I134" s="28"/>
      <c r="J134" s="209"/>
      <c r="K134" s="65"/>
      <c r="L134" s="65"/>
      <c r="M134" s="65"/>
      <c r="N134" s="65"/>
      <c r="O134" s="65"/>
      <c r="P134" s="65"/>
      <c r="Q134" s="65"/>
      <c r="R134" s="65"/>
      <c r="S134" s="65"/>
      <c r="T134" s="65"/>
      <c r="U134" s="65"/>
      <c r="V134" s="65"/>
      <c r="W134" s="65"/>
    </row>
    <row r="135">
      <c r="A135" s="71"/>
      <c r="B135" s="209"/>
      <c r="C135" s="71"/>
      <c r="D135" s="209"/>
      <c r="E135" s="71"/>
      <c r="F135" s="209"/>
      <c r="G135" s="71"/>
      <c r="H135" s="209"/>
      <c r="I135" s="28"/>
      <c r="J135" s="209"/>
      <c r="K135" s="65"/>
      <c r="L135" s="65"/>
      <c r="M135" s="65"/>
      <c r="N135" s="65"/>
      <c r="O135" s="65"/>
      <c r="P135" s="65"/>
      <c r="Q135" s="65"/>
      <c r="R135" s="65"/>
      <c r="S135" s="65"/>
      <c r="T135" s="65"/>
      <c r="U135" s="65"/>
      <c r="V135" s="65"/>
      <c r="W135" s="65"/>
    </row>
    <row r="136">
      <c r="A136" s="71"/>
      <c r="B136" s="209"/>
      <c r="C136" s="71"/>
      <c r="D136" s="209"/>
      <c r="E136" s="71"/>
      <c r="F136" s="209"/>
      <c r="G136" s="71"/>
      <c r="H136" s="209"/>
      <c r="I136" s="28"/>
      <c r="J136" s="209"/>
      <c r="K136" s="65"/>
      <c r="L136" s="65"/>
      <c r="M136" s="65"/>
      <c r="N136" s="65"/>
      <c r="O136" s="65"/>
      <c r="P136" s="65"/>
      <c r="Q136" s="65"/>
      <c r="R136" s="65"/>
      <c r="S136" s="65"/>
      <c r="T136" s="65"/>
      <c r="U136" s="65"/>
      <c r="V136" s="65"/>
      <c r="W136" s="65"/>
    </row>
    <row r="137">
      <c r="A137" s="71"/>
      <c r="B137" s="209"/>
      <c r="C137" s="71"/>
      <c r="D137" s="209"/>
      <c r="E137" s="71"/>
      <c r="F137" s="209"/>
      <c r="G137" s="71"/>
      <c r="H137" s="209"/>
      <c r="I137" s="28"/>
      <c r="J137" s="209"/>
      <c r="K137" s="65"/>
      <c r="L137" s="65"/>
      <c r="M137" s="65"/>
      <c r="N137" s="65"/>
      <c r="O137" s="65"/>
      <c r="P137" s="65"/>
      <c r="Q137" s="65"/>
      <c r="R137" s="65"/>
      <c r="S137" s="65"/>
      <c r="T137" s="65"/>
      <c r="U137" s="65"/>
      <c r="V137" s="65"/>
      <c r="W137" s="65"/>
    </row>
    <row r="138">
      <c r="A138" s="71"/>
      <c r="B138" s="209"/>
      <c r="C138" s="71"/>
      <c r="D138" s="209"/>
      <c r="E138" s="71"/>
      <c r="F138" s="209"/>
      <c r="G138" s="71"/>
      <c r="H138" s="209"/>
      <c r="I138" s="28"/>
      <c r="J138" s="209"/>
      <c r="K138" s="65"/>
      <c r="L138" s="65"/>
      <c r="M138" s="65"/>
      <c r="N138" s="65"/>
      <c r="O138" s="65"/>
      <c r="P138" s="65"/>
      <c r="Q138" s="65"/>
      <c r="R138" s="65"/>
      <c r="S138" s="65"/>
      <c r="T138" s="65"/>
      <c r="U138" s="65"/>
      <c r="V138" s="65"/>
      <c r="W138" s="65"/>
    </row>
    <row r="139">
      <c r="A139" s="71"/>
      <c r="B139" s="209"/>
      <c r="C139" s="71"/>
      <c r="D139" s="209"/>
      <c r="E139" s="71"/>
      <c r="F139" s="209"/>
      <c r="G139" s="71"/>
      <c r="H139" s="209"/>
      <c r="I139" s="28"/>
      <c r="J139" s="209"/>
      <c r="K139" s="65"/>
      <c r="L139" s="65"/>
      <c r="M139" s="65"/>
      <c r="N139" s="65"/>
      <c r="O139" s="65"/>
      <c r="P139" s="65"/>
      <c r="Q139" s="65"/>
      <c r="R139" s="65"/>
      <c r="S139" s="65"/>
      <c r="T139" s="65"/>
      <c r="U139" s="65"/>
      <c r="V139" s="65"/>
      <c r="W139" s="65"/>
    </row>
    <row r="140">
      <c r="A140" s="71"/>
      <c r="B140" s="209"/>
      <c r="C140" s="71"/>
      <c r="D140" s="209"/>
      <c r="E140" s="71"/>
      <c r="F140" s="209"/>
      <c r="G140" s="71"/>
      <c r="H140" s="209"/>
      <c r="I140" s="28"/>
      <c r="J140" s="209"/>
      <c r="K140" s="65"/>
      <c r="L140" s="65"/>
      <c r="M140" s="65"/>
      <c r="N140" s="65"/>
      <c r="O140" s="65"/>
      <c r="P140" s="65"/>
      <c r="Q140" s="65"/>
      <c r="R140" s="65"/>
      <c r="S140" s="65"/>
      <c r="T140" s="65"/>
      <c r="U140" s="65"/>
      <c r="V140" s="65"/>
      <c r="W140" s="65"/>
    </row>
    <row r="141">
      <c r="A141" s="71"/>
      <c r="B141" s="209"/>
      <c r="C141" s="71"/>
      <c r="D141" s="209"/>
      <c r="E141" s="71"/>
      <c r="F141" s="209"/>
      <c r="G141" s="71"/>
      <c r="H141" s="209"/>
      <c r="I141" s="28"/>
      <c r="J141" s="209"/>
      <c r="K141" s="65"/>
      <c r="L141" s="65"/>
      <c r="M141" s="65"/>
      <c r="N141" s="65"/>
      <c r="O141" s="65"/>
      <c r="P141" s="65"/>
      <c r="Q141" s="65"/>
      <c r="R141" s="65"/>
      <c r="S141" s="65"/>
      <c r="T141" s="65"/>
      <c r="U141" s="65"/>
      <c r="V141" s="65"/>
      <c r="W141" s="65"/>
    </row>
    <row r="142">
      <c r="A142" s="71"/>
      <c r="B142" s="209"/>
      <c r="C142" s="71"/>
      <c r="D142" s="209"/>
      <c r="E142" s="71"/>
      <c r="F142" s="209"/>
      <c r="G142" s="71"/>
      <c r="H142" s="209"/>
      <c r="I142" s="28"/>
      <c r="J142" s="209"/>
      <c r="K142" s="65"/>
      <c r="L142" s="65"/>
      <c r="M142" s="65"/>
      <c r="N142" s="65"/>
      <c r="O142" s="65"/>
      <c r="P142" s="65"/>
      <c r="Q142" s="65"/>
      <c r="R142" s="65"/>
      <c r="S142" s="65"/>
      <c r="T142" s="65"/>
      <c r="U142" s="65"/>
      <c r="V142" s="65"/>
      <c r="W142" s="65"/>
    </row>
    <row r="143">
      <c r="A143" s="71"/>
      <c r="B143" s="209"/>
      <c r="C143" s="71"/>
      <c r="D143" s="209"/>
      <c r="E143" s="71"/>
      <c r="F143" s="209"/>
      <c r="G143" s="71"/>
      <c r="H143" s="209"/>
      <c r="I143" s="28"/>
      <c r="J143" s="209"/>
      <c r="K143" s="65"/>
      <c r="L143" s="65"/>
      <c r="M143" s="65"/>
      <c r="N143" s="65"/>
      <c r="O143" s="65"/>
      <c r="P143" s="65"/>
      <c r="Q143" s="65"/>
      <c r="R143" s="65"/>
      <c r="S143" s="65"/>
      <c r="T143" s="65"/>
      <c r="U143" s="65"/>
      <c r="V143" s="65"/>
      <c r="W143" s="65"/>
    </row>
    <row r="144">
      <c r="A144" s="71"/>
      <c r="B144" s="209"/>
      <c r="C144" s="71"/>
      <c r="D144" s="209"/>
      <c r="E144" s="71"/>
      <c r="F144" s="209"/>
      <c r="G144" s="71"/>
      <c r="H144" s="209"/>
      <c r="I144" s="28"/>
      <c r="J144" s="209"/>
      <c r="K144" s="65"/>
      <c r="L144" s="65"/>
      <c r="M144" s="65"/>
      <c r="N144" s="65"/>
      <c r="O144" s="65"/>
      <c r="P144" s="65"/>
      <c r="Q144" s="65"/>
      <c r="R144" s="65"/>
      <c r="S144" s="65"/>
      <c r="T144" s="65"/>
      <c r="U144" s="65"/>
      <c r="V144" s="65"/>
      <c r="W144" s="65"/>
    </row>
    <row r="145">
      <c r="A145" s="71"/>
      <c r="B145" s="209"/>
      <c r="C145" s="71"/>
      <c r="D145" s="209"/>
      <c r="E145" s="71"/>
      <c r="F145" s="209"/>
      <c r="G145" s="71"/>
      <c r="H145" s="209"/>
      <c r="I145" s="28"/>
      <c r="J145" s="209"/>
      <c r="K145" s="65"/>
      <c r="L145" s="65"/>
      <c r="M145" s="65"/>
      <c r="N145" s="65"/>
      <c r="O145" s="65"/>
      <c r="P145" s="65"/>
      <c r="Q145" s="65"/>
      <c r="R145" s="65"/>
      <c r="S145" s="65"/>
      <c r="T145" s="65"/>
      <c r="U145" s="65"/>
      <c r="V145" s="65"/>
      <c r="W145" s="65"/>
    </row>
    <row r="146">
      <c r="A146" s="71"/>
      <c r="B146" s="209"/>
      <c r="C146" s="71"/>
      <c r="D146" s="209"/>
      <c r="E146" s="71"/>
      <c r="F146" s="209"/>
      <c r="G146" s="71"/>
      <c r="H146" s="209"/>
      <c r="I146" s="28"/>
      <c r="J146" s="209"/>
      <c r="K146" s="65"/>
      <c r="L146" s="65"/>
      <c r="M146" s="65"/>
      <c r="N146" s="65"/>
      <c r="O146" s="65"/>
      <c r="P146" s="65"/>
      <c r="Q146" s="65"/>
      <c r="R146" s="65"/>
      <c r="S146" s="65"/>
      <c r="T146" s="65"/>
      <c r="U146" s="65"/>
      <c r="V146" s="65"/>
      <c r="W146" s="65"/>
    </row>
    <row r="147">
      <c r="A147" s="71"/>
      <c r="B147" s="209"/>
      <c r="C147" s="71"/>
      <c r="D147" s="209"/>
      <c r="E147" s="71"/>
      <c r="F147" s="209"/>
      <c r="G147" s="71"/>
      <c r="H147" s="209"/>
      <c r="I147" s="28"/>
      <c r="J147" s="209"/>
      <c r="K147" s="65"/>
      <c r="L147" s="65"/>
      <c r="M147" s="65"/>
      <c r="N147" s="65"/>
      <c r="O147" s="65"/>
      <c r="P147" s="65"/>
      <c r="Q147" s="65"/>
      <c r="R147" s="65"/>
      <c r="S147" s="65"/>
      <c r="T147" s="65"/>
      <c r="U147" s="65"/>
      <c r="V147" s="65"/>
      <c r="W147" s="65"/>
    </row>
    <row r="148">
      <c r="A148" s="71"/>
      <c r="B148" s="209"/>
      <c r="C148" s="71"/>
      <c r="D148" s="209"/>
      <c r="E148" s="71"/>
      <c r="F148" s="209"/>
      <c r="G148" s="71"/>
      <c r="H148" s="209"/>
      <c r="I148" s="28"/>
      <c r="J148" s="209"/>
      <c r="K148" s="65"/>
      <c r="L148" s="65"/>
      <c r="M148" s="65"/>
      <c r="N148" s="65"/>
      <c r="O148" s="65"/>
      <c r="P148" s="65"/>
      <c r="Q148" s="65"/>
      <c r="R148" s="65"/>
      <c r="S148" s="65"/>
      <c r="T148" s="65"/>
      <c r="U148" s="65"/>
      <c r="V148" s="65"/>
      <c r="W148" s="65"/>
    </row>
    <row r="149">
      <c r="A149" s="71"/>
      <c r="B149" s="209"/>
      <c r="C149" s="71"/>
      <c r="D149" s="209"/>
      <c r="E149" s="71"/>
      <c r="F149" s="209"/>
      <c r="G149" s="71"/>
      <c r="H149" s="209"/>
      <c r="I149" s="28"/>
      <c r="J149" s="209"/>
      <c r="K149" s="65"/>
      <c r="L149" s="65"/>
      <c r="M149" s="65"/>
      <c r="N149" s="65"/>
      <c r="O149" s="65"/>
      <c r="P149" s="65"/>
      <c r="Q149" s="65"/>
      <c r="R149" s="65"/>
      <c r="S149" s="65"/>
      <c r="T149" s="65"/>
      <c r="U149" s="65"/>
      <c r="V149" s="65"/>
      <c r="W149" s="65"/>
    </row>
    <row r="150">
      <c r="A150" s="71"/>
      <c r="B150" s="209"/>
      <c r="C150" s="71"/>
      <c r="D150" s="209"/>
      <c r="E150" s="71"/>
      <c r="F150" s="209"/>
      <c r="G150" s="71"/>
      <c r="H150" s="209"/>
      <c r="I150" s="28"/>
      <c r="J150" s="209"/>
      <c r="K150" s="65"/>
      <c r="L150" s="65"/>
      <c r="M150" s="65"/>
      <c r="N150" s="65"/>
      <c r="O150" s="65"/>
      <c r="P150" s="65"/>
      <c r="Q150" s="65"/>
      <c r="R150" s="65"/>
      <c r="S150" s="65"/>
      <c r="T150" s="65"/>
      <c r="U150" s="65"/>
      <c r="V150" s="65"/>
      <c r="W150" s="65"/>
    </row>
    <row r="151">
      <c r="A151" s="71"/>
      <c r="B151" s="209"/>
      <c r="C151" s="71"/>
      <c r="D151" s="209"/>
      <c r="E151" s="71"/>
      <c r="F151" s="209"/>
      <c r="G151" s="71"/>
      <c r="H151" s="209"/>
      <c r="I151" s="28"/>
      <c r="J151" s="209"/>
      <c r="K151" s="65"/>
      <c r="L151" s="65"/>
      <c r="M151" s="65"/>
      <c r="N151" s="65"/>
      <c r="O151" s="65"/>
      <c r="P151" s="65"/>
      <c r="Q151" s="65"/>
      <c r="R151" s="65"/>
      <c r="S151" s="65"/>
      <c r="T151" s="65"/>
      <c r="U151" s="65"/>
      <c r="V151" s="65"/>
      <c r="W151" s="65"/>
    </row>
    <row r="152">
      <c r="A152" s="71"/>
      <c r="B152" s="209"/>
      <c r="C152" s="71"/>
      <c r="D152" s="209"/>
      <c r="E152" s="71"/>
      <c r="F152" s="209"/>
      <c r="G152" s="71"/>
      <c r="H152" s="209"/>
      <c r="I152" s="28"/>
      <c r="J152" s="209"/>
      <c r="K152" s="65"/>
      <c r="L152" s="65"/>
      <c r="M152" s="65"/>
      <c r="N152" s="65"/>
      <c r="O152" s="65"/>
      <c r="P152" s="65"/>
      <c r="Q152" s="65"/>
      <c r="R152" s="65"/>
      <c r="S152" s="65"/>
      <c r="T152" s="65"/>
      <c r="U152" s="65"/>
      <c r="V152" s="65"/>
      <c r="W152" s="65"/>
    </row>
    <row r="153">
      <c r="A153" s="71"/>
      <c r="B153" s="209"/>
      <c r="C153" s="71"/>
      <c r="D153" s="209"/>
      <c r="E153" s="71"/>
      <c r="F153" s="209"/>
      <c r="G153" s="71"/>
      <c r="H153" s="209"/>
      <c r="I153" s="28"/>
      <c r="J153" s="209"/>
      <c r="K153" s="65"/>
      <c r="L153" s="65"/>
      <c r="M153" s="65"/>
      <c r="N153" s="65"/>
      <c r="O153" s="65"/>
      <c r="P153" s="65"/>
      <c r="Q153" s="65"/>
      <c r="R153" s="65"/>
      <c r="S153" s="65"/>
      <c r="T153" s="65"/>
      <c r="U153" s="65"/>
      <c r="V153" s="65"/>
      <c r="W153" s="65"/>
    </row>
    <row r="154">
      <c r="A154" s="71"/>
      <c r="B154" s="209"/>
      <c r="C154" s="71"/>
      <c r="D154" s="209"/>
      <c r="E154" s="71"/>
      <c r="F154" s="209"/>
      <c r="G154" s="71"/>
      <c r="H154" s="209"/>
      <c r="I154" s="28"/>
      <c r="J154" s="209"/>
      <c r="K154" s="65"/>
      <c r="L154" s="65"/>
      <c r="M154" s="65"/>
      <c r="N154" s="65"/>
      <c r="O154" s="65"/>
      <c r="P154" s="65"/>
      <c r="Q154" s="65"/>
      <c r="R154" s="65"/>
      <c r="S154" s="65"/>
      <c r="T154" s="65"/>
      <c r="U154" s="65"/>
      <c r="V154" s="65"/>
      <c r="W154" s="65"/>
    </row>
    <row r="155">
      <c r="A155" s="71"/>
      <c r="B155" s="209"/>
      <c r="C155" s="71"/>
      <c r="D155" s="209"/>
      <c r="E155" s="71"/>
      <c r="F155" s="209"/>
      <c r="G155" s="71"/>
      <c r="H155" s="209"/>
      <c r="I155" s="28"/>
      <c r="J155" s="209"/>
      <c r="K155" s="65"/>
      <c r="L155" s="65"/>
      <c r="M155" s="65"/>
      <c r="N155" s="65"/>
      <c r="O155" s="65"/>
      <c r="P155" s="65"/>
      <c r="Q155" s="65"/>
      <c r="R155" s="65"/>
      <c r="S155" s="65"/>
      <c r="T155" s="65"/>
      <c r="U155" s="65"/>
      <c r="V155" s="65"/>
      <c r="W155" s="65"/>
    </row>
    <row r="156">
      <c r="A156" s="71"/>
      <c r="B156" s="209"/>
      <c r="C156" s="71"/>
      <c r="D156" s="209"/>
      <c r="E156" s="71"/>
      <c r="F156" s="209"/>
      <c r="G156" s="71"/>
      <c r="H156" s="209"/>
      <c r="I156" s="28"/>
      <c r="J156" s="209"/>
      <c r="K156" s="65"/>
      <c r="L156" s="65"/>
      <c r="M156" s="65"/>
      <c r="N156" s="65"/>
      <c r="O156" s="65"/>
      <c r="P156" s="65"/>
      <c r="Q156" s="65"/>
      <c r="R156" s="65"/>
      <c r="S156" s="65"/>
      <c r="T156" s="65"/>
      <c r="U156" s="65"/>
      <c r="V156" s="65"/>
      <c r="W156" s="65"/>
    </row>
    <row r="157">
      <c r="A157" s="71"/>
      <c r="B157" s="209"/>
      <c r="C157" s="71"/>
      <c r="D157" s="209"/>
      <c r="E157" s="71"/>
      <c r="F157" s="209"/>
      <c r="G157" s="71"/>
      <c r="H157" s="209"/>
      <c r="I157" s="28"/>
      <c r="J157" s="209"/>
      <c r="K157" s="65"/>
      <c r="L157" s="65"/>
      <c r="M157" s="65"/>
      <c r="N157" s="65"/>
      <c r="O157" s="65"/>
      <c r="P157" s="65"/>
      <c r="Q157" s="65"/>
      <c r="R157" s="65"/>
      <c r="S157" s="65"/>
      <c r="T157" s="65"/>
      <c r="U157" s="65"/>
      <c r="V157" s="65"/>
      <c r="W157" s="65"/>
    </row>
    <row r="158">
      <c r="A158" s="71"/>
      <c r="B158" s="209"/>
      <c r="C158" s="71"/>
      <c r="D158" s="209"/>
      <c r="E158" s="71"/>
      <c r="F158" s="209"/>
      <c r="G158" s="71"/>
      <c r="H158" s="209"/>
      <c r="I158" s="28"/>
      <c r="J158" s="209"/>
      <c r="K158" s="65"/>
      <c r="L158" s="65"/>
      <c r="M158" s="65"/>
      <c r="N158" s="65"/>
      <c r="O158" s="65"/>
      <c r="P158" s="65"/>
      <c r="Q158" s="65"/>
      <c r="R158" s="65"/>
      <c r="S158" s="65"/>
      <c r="T158" s="65"/>
      <c r="U158" s="65"/>
      <c r="V158" s="65"/>
      <c r="W158" s="65"/>
    </row>
    <row r="159">
      <c r="A159" s="71"/>
      <c r="B159" s="209"/>
      <c r="C159" s="71"/>
      <c r="D159" s="209"/>
      <c r="E159" s="71"/>
      <c r="F159" s="209"/>
      <c r="G159" s="71"/>
      <c r="H159" s="209"/>
      <c r="I159" s="28"/>
      <c r="J159" s="209"/>
      <c r="K159" s="65"/>
      <c r="L159" s="65"/>
      <c r="M159" s="65"/>
      <c r="N159" s="65"/>
      <c r="O159" s="65"/>
      <c r="P159" s="65"/>
      <c r="Q159" s="65"/>
      <c r="R159" s="65"/>
      <c r="S159" s="65"/>
      <c r="T159" s="65"/>
      <c r="U159" s="65"/>
      <c r="V159" s="65"/>
      <c r="W159" s="65"/>
    </row>
    <row r="160">
      <c r="A160" s="71"/>
      <c r="B160" s="209"/>
      <c r="C160" s="71"/>
      <c r="D160" s="209"/>
      <c r="E160" s="71"/>
      <c r="F160" s="209"/>
      <c r="G160" s="71"/>
      <c r="H160" s="209"/>
      <c r="I160" s="28"/>
      <c r="J160" s="209"/>
      <c r="K160" s="65"/>
      <c r="L160" s="65"/>
      <c r="M160" s="65"/>
      <c r="N160" s="65"/>
      <c r="O160" s="65"/>
      <c r="P160" s="65"/>
      <c r="Q160" s="65"/>
      <c r="R160" s="65"/>
      <c r="S160" s="65"/>
      <c r="T160" s="65"/>
      <c r="U160" s="65"/>
      <c r="V160" s="65"/>
      <c r="W160" s="65"/>
    </row>
    <row r="161">
      <c r="A161" s="71"/>
      <c r="B161" s="209"/>
      <c r="C161" s="71"/>
      <c r="D161" s="209"/>
      <c r="E161" s="71"/>
      <c r="F161" s="209"/>
      <c r="G161" s="71"/>
      <c r="H161" s="209"/>
      <c r="I161" s="28"/>
      <c r="J161" s="209"/>
      <c r="K161" s="65"/>
      <c r="L161" s="65"/>
      <c r="M161" s="65"/>
      <c r="N161" s="65"/>
      <c r="O161" s="65"/>
      <c r="P161" s="65"/>
      <c r="Q161" s="65"/>
      <c r="R161" s="65"/>
      <c r="S161" s="65"/>
      <c r="T161" s="65"/>
      <c r="U161" s="65"/>
      <c r="V161" s="65"/>
      <c r="W161" s="65"/>
    </row>
    <row r="162">
      <c r="A162" s="71"/>
      <c r="B162" s="209"/>
      <c r="C162" s="71"/>
      <c r="D162" s="209"/>
      <c r="E162" s="71"/>
      <c r="F162" s="209"/>
      <c r="G162" s="71"/>
      <c r="H162" s="209"/>
      <c r="I162" s="28"/>
      <c r="J162" s="209"/>
      <c r="K162" s="65"/>
      <c r="L162" s="65"/>
      <c r="M162" s="65"/>
      <c r="N162" s="65"/>
      <c r="O162" s="65"/>
      <c r="P162" s="65"/>
      <c r="Q162" s="65"/>
      <c r="R162" s="65"/>
      <c r="S162" s="65"/>
      <c r="T162" s="65"/>
      <c r="U162" s="65"/>
      <c r="V162" s="65"/>
      <c r="W162" s="65"/>
    </row>
    <row r="163">
      <c r="A163" s="71"/>
      <c r="B163" s="209"/>
      <c r="C163" s="71"/>
      <c r="D163" s="209"/>
      <c r="E163" s="71"/>
      <c r="F163" s="209"/>
      <c r="G163" s="71"/>
      <c r="H163" s="209"/>
      <c r="I163" s="28"/>
      <c r="J163" s="209"/>
      <c r="K163" s="65"/>
      <c r="L163" s="65"/>
      <c r="M163" s="65"/>
      <c r="N163" s="65"/>
      <c r="O163" s="65"/>
      <c r="P163" s="65"/>
      <c r="Q163" s="65"/>
      <c r="R163" s="65"/>
      <c r="S163" s="65"/>
      <c r="T163" s="65"/>
      <c r="U163" s="65"/>
      <c r="V163" s="65"/>
      <c r="W163" s="65"/>
    </row>
    <row r="164">
      <c r="A164" s="71"/>
      <c r="B164" s="209"/>
      <c r="C164" s="71"/>
      <c r="D164" s="209"/>
      <c r="E164" s="71"/>
      <c r="F164" s="209"/>
      <c r="G164" s="71"/>
      <c r="H164" s="209"/>
      <c r="I164" s="28"/>
      <c r="J164" s="209"/>
      <c r="K164" s="65"/>
      <c r="L164" s="65"/>
      <c r="M164" s="65"/>
      <c r="N164" s="65"/>
      <c r="O164" s="65"/>
      <c r="P164" s="65"/>
      <c r="Q164" s="65"/>
      <c r="R164" s="65"/>
      <c r="S164" s="65"/>
      <c r="T164" s="65"/>
      <c r="U164" s="65"/>
      <c r="V164" s="65"/>
      <c r="W164" s="65"/>
    </row>
    <row r="165">
      <c r="A165" s="71"/>
      <c r="B165" s="209"/>
      <c r="C165" s="71"/>
      <c r="D165" s="209"/>
      <c r="E165" s="71"/>
      <c r="F165" s="209"/>
      <c r="G165" s="71"/>
      <c r="H165" s="209"/>
      <c r="I165" s="28"/>
      <c r="J165" s="209"/>
      <c r="K165" s="65"/>
      <c r="L165" s="65"/>
      <c r="M165" s="65"/>
      <c r="N165" s="65"/>
      <c r="O165" s="65"/>
      <c r="P165" s="65"/>
      <c r="Q165" s="65"/>
      <c r="R165" s="65"/>
      <c r="S165" s="65"/>
      <c r="T165" s="65"/>
      <c r="U165" s="65"/>
      <c r="V165" s="65"/>
      <c r="W165" s="65"/>
    </row>
    <row r="166">
      <c r="A166" s="71"/>
      <c r="B166" s="209"/>
      <c r="C166" s="71"/>
      <c r="D166" s="209"/>
      <c r="E166" s="71"/>
      <c r="F166" s="209"/>
      <c r="G166" s="71"/>
      <c r="H166" s="209"/>
      <c r="I166" s="28"/>
      <c r="J166" s="209"/>
      <c r="K166" s="65"/>
      <c r="L166" s="65"/>
      <c r="M166" s="65"/>
      <c r="N166" s="65"/>
      <c r="O166" s="65"/>
      <c r="P166" s="65"/>
      <c r="Q166" s="65"/>
      <c r="R166" s="65"/>
      <c r="S166" s="65"/>
      <c r="T166" s="65"/>
      <c r="U166" s="65"/>
      <c r="V166" s="65"/>
      <c r="W166" s="65"/>
    </row>
    <row r="167">
      <c r="A167" s="71"/>
      <c r="B167" s="209"/>
      <c r="C167" s="71"/>
      <c r="D167" s="209"/>
      <c r="E167" s="71"/>
      <c r="F167" s="209"/>
      <c r="G167" s="71"/>
      <c r="H167" s="209"/>
      <c r="I167" s="28"/>
      <c r="J167" s="209"/>
      <c r="K167" s="65"/>
      <c r="L167" s="65"/>
      <c r="M167" s="65"/>
      <c r="N167" s="65"/>
      <c r="O167" s="65"/>
      <c r="P167" s="65"/>
      <c r="Q167" s="65"/>
      <c r="R167" s="65"/>
      <c r="S167" s="65"/>
      <c r="T167" s="65"/>
      <c r="U167" s="65"/>
      <c r="V167" s="65"/>
      <c r="W167" s="65"/>
    </row>
    <row r="168">
      <c r="A168" s="71"/>
      <c r="B168" s="209"/>
      <c r="C168" s="71"/>
      <c r="D168" s="209"/>
      <c r="E168" s="71"/>
      <c r="F168" s="209"/>
      <c r="G168" s="71"/>
      <c r="H168" s="209"/>
      <c r="I168" s="28"/>
      <c r="J168" s="209"/>
      <c r="K168" s="65"/>
      <c r="L168" s="65"/>
      <c r="M168" s="65"/>
      <c r="N168" s="65"/>
      <c r="O168" s="65"/>
      <c r="P168" s="65"/>
      <c r="Q168" s="65"/>
      <c r="R168" s="65"/>
      <c r="S168" s="65"/>
      <c r="T168" s="65"/>
      <c r="U168" s="65"/>
      <c r="V168" s="65"/>
      <c r="W168" s="65"/>
    </row>
    <row r="169">
      <c r="A169" s="71"/>
      <c r="B169" s="209"/>
      <c r="C169" s="71"/>
      <c r="D169" s="209"/>
      <c r="E169" s="71"/>
      <c r="F169" s="209"/>
      <c r="G169" s="71"/>
      <c r="H169" s="209"/>
      <c r="I169" s="28"/>
      <c r="J169" s="209"/>
      <c r="K169" s="65"/>
      <c r="L169" s="65"/>
      <c r="M169" s="65"/>
      <c r="N169" s="65"/>
      <c r="O169" s="65"/>
      <c r="P169" s="65"/>
      <c r="Q169" s="65"/>
      <c r="R169" s="65"/>
      <c r="S169" s="65"/>
      <c r="T169" s="65"/>
      <c r="U169" s="65"/>
      <c r="V169" s="65"/>
      <c r="W169" s="65"/>
    </row>
    <row r="170">
      <c r="A170" s="71"/>
      <c r="B170" s="209"/>
      <c r="C170" s="71"/>
      <c r="D170" s="209"/>
      <c r="E170" s="71"/>
      <c r="F170" s="209"/>
      <c r="G170" s="71"/>
      <c r="H170" s="209"/>
      <c r="I170" s="28"/>
      <c r="J170" s="209"/>
      <c r="K170" s="65"/>
      <c r="L170" s="65"/>
      <c r="M170" s="65"/>
      <c r="N170" s="65"/>
      <c r="O170" s="65"/>
      <c r="P170" s="65"/>
      <c r="Q170" s="65"/>
      <c r="R170" s="65"/>
      <c r="S170" s="65"/>
      <c r="T170" s="65"/>
      <c r="U170" s="65"/>
      <c r="V170" s="65"/>
      <c r="W170" s="65"/>
    </row>
    <row r="171">
      <c r="A171" s="71"/>
      <c r="B171" s="209"/>
      <c r="C171" s="71"/>
      <c r="D171" s="209"/>
      <c r="E171" s="71"/>
      <c r="F171" s="209"/>
      <c r="G171" s="71"/>
      <c r="H171" s="209"/>
      <c r="I171" s="28"/>
      <c r="J171" s="209"/>
      <c r="K171" s="65"/>
      <c r="L171" s="65"/>
      <c r="M171" s="65"/>
      <c r="N171" s="65"/>
      <c r="O171" s="65"/>
      <c r="P171" s="65"/>
      <c r="Q171" s="65"/>
      <c r="R171" s="65"/>
      <c r="S171" s="65"/>
      <c r="T171" s="65"/>
      <c r="U171" s="65"/>
      <c r="V171" s="65"/>
      <c r="W171" s="65"/>
    </row>
    <row r="172">
      <c r="A172" s="71"/>
      <c r="B172" s="209"/>
      <c r="C172" s="71"/>
      <c r="D172" s="209"/>
      <c r="E172" s="71"/>
      <c r="F172" s="209"/>
      <c r="G172" s="71"/>
      <c r="H172" s="209"/>
      <c r="I172" s="28"/>
      <c r="J172" s="209"/>
      <c r="K172" s="65"/>
      <c r="L172" s="65"/>
      <c r="M172" s="65"/>
      <c r="N172" s="65"/>
      <c r="O172" s="65"/>
      <c r="P172" s="65"/>
      <c r="Q172" s="65"/>
      <c r="R172" s="65"/>
      <c r="S172" s="65"/>
      <c r="T172" s="65"/>
      <c r="U172" s="65"/>
      <c r="V172" s="65"/>
      <c r="W172" s="65"/>
    </row>
    <row r="173">
      <c r="A173" s="71"/>
      <c r="B173" s="209"/>
      <c r="C173" s="71"/>
      <c r="D173" s="209"/>
      <c r="E173" s="71"/>
      <c r="F173" s="209"/>
      <c r="G173" s="71"/>
      <c r="H173" s="209"/>
      <c r="I173" s="28"/>
      <c r="J173" s="209"/>
      <c r="K173" s="65"/>
      <c r="L173" s="65"/>
      <c r="M173" s="65"/>
      <c r="N173" s="65"/>
      <c r="O173" s="65"/>
      <c r="P173" s="65"/>
      <c r="Q173" s="65"/>
      <c r="R173" s="65"/>
      <c r="S173" s="65"/>
      <c r="T173" s="65"/>
      <c r="U173" s="65"/>
      <c r="V173" s="65"/>
      <c r="W173" s="65"/>
    </row>
    <row r="174">
      <c r="A174" s="71"/>
      <c r="B174" s="209"/>
      <c r="C174" s="71"/>
      <c r="D174" s="209"/>
      <c r="E174" s="71"/>
      <c r="F174" s="209"/>
      <c r="G174" s="71"/>
      <c r="H174" s="209"/>
      <c r="I174" s="28"/>
      <c r="J174" s="209"/>
      <c r="K174" s="65"/>
      <c r="L174" s="65"/>
      <c r="M174" s="65"/>
      <c r="N174" s="65"/>
      <c r="O174" s="65"/>
      <c r="P174" s="65"/>
      <c r="Q174" s="65"/>
      <c r="R174" s="65"/>
      <c r="S174" s="65"/>
      <c r="T174" s="65"/>
      <c r="U174" s="65"/>
      <c r="V174" s="65"/>
      <c r="W174" s="65"/>
    </row>
    <row r="175">
      <c r="A175" s="71"/>
      <c r="B175" s="209"/>
      <c r="C175" s="71"/>
      <c r="D175" s="209"/>
      <c r="E175" s="71"/>
      <c r="F175" s="209"/>
      <c r="G175" s="71"/>
      <c r="H175" s="209"/>
      <c r="I175" s="28"/>
      <c r="J175" s="209"/>
      <c r="K175" s="65"/>
      <c r="L175" s="65"/>
      <c r="M175" s="65"/>
      <c r="N175" s="65"/>
      <c r="O175" s="65"/>
      <c r="P175" s="65"/>
      <c r="Q175" s="65"/>
      <c r="R175" s="65"/>
      <c r="S175" s="65"/>
      <c r="T175" s="65"/>
      <c r="U175" s="65"/>
      <c r="V175" s="65"/>
      <c r="W175" s="65"/>
    </row>
    <row r="176">
      <c r="A176" s="71"/>
      <c r="B176" s="209"/>
      <c r="C176" s="71"/>
      <c r="D176" s="209"/>
      <c r="E176" s="71"/>
      <c r="F176" s="209"/>
      <c r="G176" s="71"/>
      <c r="H176" s="209"/>
      <c r="I176" s="28"/>
      <c r="J176" s="209"/>
      <c r="K176" s="65"/>
      <c r="L176" s="65"/>
      <c r="M176" s="65"/>
      <c r="N176" s="65"/>
      <c r="O176" s="65"/>
      <c r="P176" s="65"/>
      <c r="Q176" s="65"/>
      <c r="R176" s="65"/>
      <c r="S176" s="65"/>
      <c r="T176" s="65"/>
      <c r="U176" s="65"/>
      <c r="V176" s="65"/>
      <c r="W176" s="65"/>
    </row>
    <row r="177">
      <c r="A177" s="71"/>
      <c r="B177" s="209"/>
      <c r="C177" s="71"/>
      <c r="D177" s="209"/>
      <c r="E177" s="71"/>
      <c r="F177" s="209"/>
      <c r="G177" s="71"/>
      <c r="H177" s="209"/>
      <c r="I177" s="28"/>
      <c r="J177" s="209"/>
      <c r="K177" s="65"/>
      <c r="L177" s="65"/>
      <c r="M177" s="65"/>
      <c r="N177" s="65"/>
      <c r="O177" s="65"/>
      <c r="P177" s="65"/>
      <c r="Q177" s="65"/>
      <c r="R177" s="65"/>
      <c r="S177" s="65"/>
      <c r="T177" s="65"/>
      <c r="U177" s="65"/>
      <c r="V177" s="65"/>
      <c r="W177" s="65"/>
    </row>
    <row r="178">
      <c r="A178" s="71"/>
      <c r="B178" s="209"/>
      <c r="C178" s="71"/>
      <c r="D178" s="209"/>
      <c r="E178" s="71"/>
      <c r="F178" s="209"/>
      <c r="G178" s="71"/>
      <c r="H178" s="209"/>
      <c r="I178" s="28"/>
      <c r="J178" s="209"/>
      <c r="K178" s="65"/>
      <c r="L178" s="65"/>
      <c r="M178" s="65"/>
      <c r="N178" s="65"/>
      <c r="O178" s="65"/>
      <c r="P178" s="65"/>
      <c r="Q178" s="65"/>
      <c r="R178" s="65"/>
      <c r="S178" s="65"/>
      <c r="T178" s="65"/>
      <c r="U178" s="65"/>
      <c r="V178" s="65"/>
      <c r="W178" s="65"/>
    </row>
    <row r="179">
      <c r="A179" s="71"/>
      <c r="B179" s="209"/>
      <c r="C179" s="71"/>
      <c r="D179" s="209"/>
      <c r="E179" s="71"/>
      <c r="F179" s="209"/>
      <c r="G179" s="71"/>
      <c r="H179" s="209"/>
      <c r="I179" s="28"/>
      <c r="J179" s="209"/>
      <c r="K179" s="65"/>
      <c r="L179" s="65"/>
      <c r="M179" s="65"/>
      <c r="N179" s="65"/>
      <c r="O179" s="65"/>
      <c r="P179" s="65"/>
      <c r="Q179" s="65"/>
      <c r="R179" s="65"/>
      <c r="S179" s="65"/>
      <c r="T179" s="65"/>
      <c r="U179" s="65"/>
      <c r="V179" s="65"/>
      <c r="W179" s="65"/>
    </row>
    <row r="180">
      <c r="A180" s="71"/>
      <c r="B180" s="209"/>
      <c r="C180" s="71"/>
      <c r="D180" s="209"/>
      <c r="E180" s="71"/>
      <c r="F180" s="209"/>
      <c r="G180" s="71"/>
      <c r="H180" s="209"/>
      <c r="I180" s="28"/>
      <c r="J180" s="209"/>
      <c r="K180" s="65"/>
      <c r="L180" s="65"/>
      <c r="M180" s="65"/>
      <c r="N180" s="65"/>
      <c r="O180" s="65"/>
      <c r="P180" s="65"/>
      <c r="Q180" s="65"/>
      <c r="R180" s="65"/>
      <c r="S180" s="65"/>
      <c r="T180" s="65"/>
      <c r="U180" s="65"/>
      <c r="V180" s="65"/>
      <c r="W180" s="65"/>
    </row>
    <row r="181">
      <c r="A181" s="71"/>
      <c r="B181" s="209"/>
      <c r="C181" s="71"/>
      <c r="D181" s="209"/>
      <c r="E181" s="71"/>
      <c r="F181" s="209"/>
      <c r="G181" s="71"/>
      <c r="H181" s="209"/>
      <c r="I181" s="28"/>
      <c r="J181" s="209"/>
      <c r="K181" s="65"/>
      <c r="L181" s="65"/>
      <c r="M181" s="65"/>
      <c r="N181" s="65"/>
      <c r="O181" s="65"/>
      <c r="P181" s="65"/>
      <c r="Q181" s="65"/>
      <c r="R181" s="65"/>
      <c r="S181" s="65"/>
      <c r="T181" s="65"/>
      <c r="U181" s="65"/>
      <c r="V181" s="65"/>
      <c r="W181" s="65"/>
    </row>
    <row r="182">
      <c r="A182" s="71"/>
      <c r="B182" s="209"/>
      <c r="C182" s="71"/>
      <c r="D182" s="209"/>
      <c r="E182" s="71"/>
      <c r="F182" s="209"/>
      <c r="G182" s="71"/>
      <c r="H182" s="209"/>
      <c r="I182" s="28"/>
      <c r="J182" s="209"/>
      <c r="K182" s="65"/>
      <c r="L182" s="65"/>
      <c r="M182" s="65"/>
      <c r="N182" s="65"/>
      <c r="O182" s="65"/>
      <c r="P182" s="65"/>
      <c r="Q182" s="65"/>
      <c r="R182" s="65"/>
      <c r="S182" s="65"/>
      <c r="T182" s="65"/>
      <c r="U182" s="65"/>
      <c r="V182" s="65"/>
      <c r="W182" s="65"/>
    </row>
    <row r="183">
      <c r="A183" s="71"/>
      <c r="B183" s="209"/>
      <c r="C183" s="71"/>
      <c r="D183" s="209"/>
      <c r="E183" s="71"/>
      <c r="F183" s="209"/>
      <c r="G183" s="71"/>
      <c r="H183" s="209"/>
      <c r="I183" s="28"/>
      <c r="J183" s="209"/>
      <c r="K183" s="65"/>
      <c r="L183" s="65"/>
      <c r="M183" s="65"/>
      <c r="N183" s="65"/>
      <c r="O183" s="65"/>
      <c r="P183" s="65"/>
      <c r="Q183" s="65"/>
      <c r="R183" s="65"/>
      <c r="S183" s="65"/>
      <c r="T183" s="65"/>
      <c r="U183" s="65"/>
      <c r="V183" s="65"/>
      <c r="W183" s="65"/>
    </row>
    <row r="184">
      <c r="A184" s="71"/>
      <c r="B184" s="209"/>
      <c r="C184" s="71"/>
      <c r="D184" s="209"/>
      <c r="E184" s="71"/>
      <c r="F184" s="209"/>
      <c r="G184" s="71"/>
      <c r="H184" s="209"/>
      <c r="I184" s="28"/>
      <c r="J184" s="209"/>
      <c r="K184" s="65"/>
      <c r="L184" s="65"/>
      <c r="M184" s="65"/>
      <c r="N184" s="65"/>
      <c r="O184" s="65"/>
      <c r="P184" s="65"/>
      <c r="Q184" s="65"/>
      <c r="R184" s="65"/>
      <c r="S184" s="65"/>
      <c r="T184" s="65"/>
      <c r="U184" s="65"/>
      <c r="V184" s="65"/>
      <c r="W184" s="65"/>
    </row>
    <row r="185">
      <c r="A185" s="71"/>
      <c r="B185" s="209"/>
      <c r="C185" s="71"/>
      <c r="D185" s="209"/>
      <c r="E185" s="71"/>
      <c r="F185" s="209"/>
      <c r="G185" s="71"/>
      <c r="H185" s="209"/>
      <c r="I185" s="28"/>
      <c r="J185" s="209"/>
      <c r="K185" s="65"/>
      <c r="L185" s="65"/>
      <c r="M185" s="65"/>
      <c r="N185" s="65"/>
      <c r="O185" s="65"/>
      <c r="P185" s="65"/>
      <c r="Q185" s="65"/>
      <c r="R185" s="65"/>
      <c r="S185" s="65"/>
      <c r="T185" s="65"/>
      <c r="U185" s="65"/>
      <c r="V185" s="65"/>
      <c r="W185" s="65"/>
    </row>
    <row r="186">
      <c r="A186" s="71"/>
      <c r="B186" s="209"/>
      <c r="C186" s="71"/>
      <c r="D186" s="209"/>
      <c r="E186" s="71"/>
      <c r="F186" s="209"/>
      <c r="G186" s="71"/>
      <c r="H186" s="209"/>
      <c r="I186" s="28"/>
      <c r="J186" s="209"/>
      <c r="K186" s="65"/>
      <c r="L186" s="65"/>
      <c r="M186" s="65"/>
      <c r="N186" s="65"/>
      <c r="O186" s="65"/>
      <c r="P186" s="65"/>
      <c r="Q186" s="65"/>
      <c r="R186" s="65"/>
      <c r="S186" s="65"/>
      <c r="T186" s="65"/>
      <c r="U186" s="65"/>
      <c r="V186" s="65"/>
      <c r="W186" s="65"/>
    </row>
    <row r="187">
      <c r="A187" s="71"/>
      <c r="B187" s="209"/>
      <c r="C187" s="71"/>
      <c r="D187" s="209"/>
      <c r="E187" s="71"/>
      <c r="F187" s="209"/>
      <c r="G187" s="71"/>
      <c r="H187" s="209"/>
      <c r="I187" s="28"/>
      <c r="J187" s="209"/>
      <c r="K187" s="65"/>
      <c r="L187" s="65"/>
      <c r="M187" s="65"/>
      <c r="N187" s="65"/>
      <c r="O187" s="65"/>
      <c r="P187" s="65"/>
      <c r="Q187" s="65"/>
      <c r="R187" s="65"/>
      <c r="S187" s="65"/>
      <c r="T187" s="65"/>
      <c r="U187" s="65"/>
      <c r="V187" s="65"/>
      <c r="W187" s="65"/>
    </row>
    <row r="188">
      <c r="A188" s="71"/>
      <c r="B188" s="209"/>
      <c r="C188" s="71"/>
      <c r="D188" s="209"/>
      <c r="E188" s="71"/>
      <c r="F188" s="209"/>
      <c r="G188" s="71"/>
      <c r="H188" s="209"/>
      <c r="I188" s="28"/>
      <c r="J188" s="209"/>
      <c r="K188" s="65"/>
      <c r="L188" s="65"/>
      <c r="M188" s="65"/>
      <c r="N188" s="65"/>
      <c r="O188" s="65"/>
      <c r="P188" s="65"/>
      <c r="Q188" s="65"/>
      <c r="R188" s="65"/>
      <c r="S188" s="65"/>
      <c r="T188" s="65"/>
      <c r="U188" s="65"/>
      <c r="V188" s="65"/>
      <c r="W188" s="65"/>
    </row>
    <row r="189">
      <c r="A189" s="71"/>
      <c r="B189" s="209"/>
      <c r="C189" s="71"/>
      <c r="D189" s="209"/>
      <c r="E189" s="71"/>
      <c r="F189" s="209"/>
      <c r="G189" s="71"/>
      <c r="H189" s="209"/>
      <c r="I189" s="28"/>
      <c r="J189" s="209"/>
      <c r="K189" s="65"/>
      <c r="L189" s="65"/>
      <c r="M189" s="65"/>
      <c r="N189" s="65"/>
      <c r="O189" s="65"/>
      <c r="P189" s="65"/>
      <c r="Q189" s="65"/>
      <c r="R189" s="65"/>
      <c r="S189" s="65"/>
      <c r="T189" s="65"/>
      <c r="U189" s="65"/>
      <c r="V189" s="65"/>
      <c r="W189" s="65"/>
    </row>
    <row r="190">
      <c r="A190" s="71"/>
      <c r="B190" s="209"/>
      <c r="C190" s="71"/>
      <c r="D190" s="209"/>
      <c r="E190" s="71"/>
      <c r="F190" s="209"/>
      <c r="G190" s="71"/>
      <c r="H190" s="209"/>
      <c r="I190" s="28"/>
      <c r="J190" s="209"/>
      <c r="K190" s="65"/>
      <c r="L190" s="65"/>
      <c r="M190" s="65"/>
      <c r="N190" s="65"/>
      <c r="O190" s="65"/>
      <c r="P190" s="65"/>
      <c r="Q190" s="65"/>
      <c r="R190" s="65"/>
      <c r="S190" s="65"/>
      <c r="T190" s="65"/>
      <c r="U190" s="65"/>
      <c r="V190" s="65"/>
      <c r="W190" s="65"/>
    </row>
    <row r="191">
      <c r="A191" s="71"/>
      <c r="B191" s="209"/>
      <c r="C191" s="71"/>
      <c r="D191" s="209"/>
      <c r="E191" s="71"/>
      <c r="F191" s="209"/>
      <c r="G191" s="71"/>
      <c r="H191" s="209"/>
      <c r="I191" s="28"/>
      <c r="J191" s="209"/>
      <c r="K191" s="65"/>
      <c r="L191" s="65"/>
      <c r="M191" s="65"/>
      <c r="N191" s="65"/>
      <c r="O191" s="65"/>
      <c r="P191" s="65"/>
      <c r="Q191" s="65"/>
      <c r="R191" s="65"/>
      <c r="S191" s="65"/>
      <c r="T191" s="65"/>
      <c r="U191" s="65"/>
      <c r="V191" s="65"/>
      <c r="W191" s="65"/>
    </row>
    <row r="192">
      <c r="A192" s="71"/>
      <c r="B192" s="209"/>
      <c r="C192" s="71"/>
      <c r="D192" s="209"/>
      <c r="E192" s="71"/>
      <c r="F192" s="209"/>
      <c r="G192" s="71"/>
      <c r="H192" s="209"/>
      <c r="I192" s="28"/>
      <c r="J192" s="209"/>
      <c r="K192" s="65"/>
      <c r="L192" s="65"/>
      <c r="M192" s="65"/>
      <c r="N192" s="65"/>
      <c r="O192" s="65"/>
      <c r="P192" s="65"/>
      <c r="Q192" s="65"/>
      <c r="R192" s="65"/>
      <c r="S192" s="65"/>
      <c r="T192" s="65"/>
      <c r="U192" s="65"/>
      <c r="V192" s="65"/>
      <c r="W192" s="65"/>
    </row>
    <row r="193">
      <c r="A193" s="71"/>
      <c r="B193" s="209"/>
      <c r="C193" s="71"/>
      <c r="D193" s="209"/>
      <c r="E193" s="71"/>
      <c r="F193" s="209"/>
      <c r="G193" s="71"/>
      <c r="H193" s="209"/>
      <c r="I193" s="28"/>
      <c r="J193" s="209"/>
      <c r="K193" s="65"/>
      <c r="L193" s="65"/>
      <c r="M193" s="65"/>
      <c r="N193" s="65"/>
      <c r="O193" s="65"/>
      <c r="P193" s="65"/>
      <c r="Q193" s="65"/>
      <c r="R193" s="65"/>
      <c r="S193" s="65"/>
      <c r="T193" s="65"/>
      <c r="U193" s="65"/>
      <c r="V193" s="65"/>
      <c r="W193" s="65"/>
    </row>
    <row r="194">
      <c r="A194" s="71"/>
      <c r="B194" s="209"/>
      <c r="C194" s="71"/>
      <c r="D194" s="209"/>
      <c r="E194" s="71"/>
      <c r="F194" s="209"/>
      <c r="G194" s="71"/>
      <c r="H194" s="209"/>
      <c r="I194" s="28"/>
      <c r="J194" s="209"/>
      <c r="K194" s="65"/>
      <c r="L194" s="65"/>
      <c r="M194" s="65"/>
      <c r="N194" s="65"/>
      <c r="O194" s="65"/>
      <c r="P194" s="65"/>
      <c r="Q194" s="65"/>
      <c r="R194" s="65"/>
      <c r="S194" s="65"/>
      <c r="T194" s="65"/>
      <c r="U194" s="65"/>
      <c r="V194" s="65"/>
      <c r="W194" s="65"/>
    </row>
    <row r="195">
      <c r="A195" s="71"/>
      <c r="B195" s="209"/>
      <c r="C195" s="71"/>
      <c r="D195" s="209"/>
      <c r="E195" s="71"/>
      <c r="F195" s="209"/>
      <c r="G195" s="71"/>
      <c r="H195" s="209"/>
      <c r="I195" s="28"/>
      <c r="J195" s="209"/>
      <c r="K195" s="65"/>
      <c r="L195" s="65"/>
      <c r="M195" s="65"/>
      <c r="N195" s="65"/>
      <c r="O195" s="65"/>
      <c r="P195" s="65"/>
      <c r="Q195" s="65"/>
      <c r="R195" s="65"/>
      <c r="S195" s="65"/>
      <c r="T195" s="65"/>
      <c r="U195" s="65"/>
      <c r="V195" s="65"/>
      <c r="W195" s="65"/>
    </row>
    <row r="196">
      <c r="A196" s="71"/>
      <c r="B196" s="209"/>
      <c r="C196" s="71"/>
      <c r="D196" s="209"/>
      <c r="E196" s="71"/>
      <c r="F196" s="209"/>
      <c r="G196" s="71"/>
      <c r="H196" s="209"/>
      <c r="I196" s="28"/>
      <c r="J196" s="209"/>
      <c r="K196" s="65"/>
      <c r="L196" s="65"/>
      <c r="M196" s="65"/>
      <c r="N196" s="65"/>
      <c r="O196" s="65"/>
      <c r="P196" s="65"/>
      <c r="Q196" s="65"/>
      <c r="R196" s="65"/>
      <c r="S196" s="65"/>
      <c r="T196" s="65"/>
      <c r="U196" s="65"/>
      <c r="V196" s="65"/>
      <c r="W196" s="65"/>
    </row>
    <row r="197">
      <c r="A197" s="71"/>
      <c r="B197" s="209"/>
      <c r="C197" s="71"/>
      <c r="D197" s="209"/>
      <c r="E197" s="71"/>
      <c r="F197" s="209"/>
      <c r="G197" s="71"/>
      <c r="H197" s="209"/>
      <c r="I197" s="28"/>
      <c r="J197" s="209"/>
      <c r="K197" s="65"/>
      <c r="L197" s="65"/>
      <c r="M197" s="65"/>
      <c r="N197" s="65"/>
      <c r="O197" s="65"/>
      <c r="P197" s="65"/>
      <c r="Q197" s="65"/>
      <c r="R197" s="65"/>
      <c r="S197" s="65"/>
      <c r="T197" s="65"/>
      <c r="U197" s="65"/>
      <c r="V197" s="65"/>
      <c r="W197" s="65"/>
    </row>
    <row r="198">
      <c r="A198" s="71"/>
      <c r="B198" s="209"/>
      <c r="C198" s="71"/>
      <c r="D198" s="209"/>
      <c r="E198" s="71"/>
      <c r="F198" s="209"/>
      <c r="G198" s="71"/>
      <c r="H198" s="209"/>
      <c r="I198" s="28"/>
      <c r="J198" s="209"/>
      <c r="K198" s="65"/>
      <c r="L198" s="65"/>
      <c r="M198" s="65"/>
      <c r="N198" s="65"/>
      <c r="O198" s="65"/>
      <c r="P198" s="65"/>
      <c r="Q198" s="65"/>
      <c r="R198" s="65"/>
      <c r="S198" s="65"/>
      <c r="T198" s="65"/>
      <c r="U198" s="65"/>
      <c r="V198" s="65"/>
      <c r="W198" s="65"/>
    </row>
    <row r="199">
      <c r="A199" s="71"/>
      <c r="B199" s="209"/>
      <c r="C199" s="71"/>
      <c r="D199" s="209"/>
      <c r="E199" s="71"/>
      <c r="F199" s="209"/>
      <c r="G199" s="71"/>
      <c r="H199" s="209"/>
      <c r="I199" s="28"/>
      <c r="J199" s="209"/>
      <c r="K199" s="65"/>
      <c r="L199" s="65"/>
      <c r="M199" s="65"/>
      <c r="N199" s="65"/>
      <c r="O199" s="65"/>
      <c r="P199" s="65"/>
      <c r="Q199" s="65"/>
      <c r="R199" s="65"/>
      <c r="S199" s="65"/>
      <c r="T199" s="65"/>
      <c r="U199" s="65"/>
      <c r="V199" s="65"/>
      <c r="W199" s="65"/>
    </row>
    <row r="200">
      <c r="A200" s="71"/>
      <c r="B200" s="209"/>
      <c r="C200" s="71"/>
      <c r="D200" s="209"/>
      <c r="E200" s="71"/>
      <c r="F200" s="209"/>
      <c r="G200" s="71"/>
      <c r="H200" s="209"/>
      <c r="I200" s="28"/>
      <c r="J200" s="209"/>
      <c r="K200" s="65"/>
      <c r="L200" s="65"/>
      <c r="M200" s="65"/>
      <c r="N200" s="65"/>
      <c r="O200" s="65"/>
      <c r="P200" s="65"/>
      <c r="Q200" s="65"/>
      <c r="R200" s="65"/>
      <c r="S200" s="65"/>
      <c r="T200" s="65"/>
      <c r="U200" s="65"/>
      <c r="V200" s="65"/>
      <c r="W200" s="65"/>
    </row>
    <row r="201">
      <c r="A201" s="71"/>
      <c r="B201" s="209"/>
      <c r="C201" s="71"/>
      <c r="D201" s="209"/>
      <c r="E201" s="71"/>
      <c r="F201" s="209"/>
      <c r="G201" s="71"/>
      <c r="H201" s="209"/>
      <c r="I201" s="28"/>
      <c r="J201" s="209"/>
      <c r="K201" s="65"/>
      <c r="L201" s="65"/>
      <c r="M201" s="65"/>
      <c r="N201" s="65"/>
      <c r="O201" s="65"/>
      <c r="P201" s="65"/>
      <c r="Q201" s="65"/>
      <c r="R201" s="65"/>
      <c r="S201" s="65"/>
      <c r="T201" s="65"/>
      <c r="U201" s="65"/>
      <c r="V201" s="65"/>
      <c r="W201" s="65"/>
    </row>
    <row r="202">
      <c r="A202" s="71"/>
      <c r="B202" s="209"/>
      <c r="C202" s="71"/>
      <c r="D202" s="209"/>
      <c r="E202" s="71"/>
      <c r="F202" s="209"/>
      <c r="G202" s="71"/>
      <c r="H202" s="209"/>
      <c r="I202" s="28"/>
      <c r="J202" s="209"/>
      <c r="K202" s="65"/>
      <c r="L202" s="65"/>
      <c r="M202" s="65"/>
      <c r="N202" s="65"/>
      <c r="O202" s="65"/>
      <c r="P202" s="65"/>
      <c r="Q202" s="65"/>
      <c r="R202" s="65"/>
      <c r="S202" s="65"/>
      <c r="T202" s="65"/>
      <c r="U202" s="65"/>
      <c r="V202" s="65"/>
      <c r="W202" s="65"/>
    </row>
    <row r="203">
      <c r="A203" s="71"/>
      <c r="B203" s="209"/>
      <c r="C203" s="71"/>
      <c r="D203" s="209"/>
      <c r="E203" s="71"/>
      <c r="F203" s="209"/>
      <c r="G203" s="71"/>
      <c r="H203" s="209"/>
      <c r="I203" s="28"/>
      <c r="J203" s="209"/>
      <c r="K203" s="65"/>
      <c r="L203" s="65"/>
      <c r="M203" s="65"/>
      <c r="N203" s="65"/>
      <c r="O203" s="65"/>
      <c r="P203" s="65"/>
      <c r="Q203" s="65"/>
      <c r="R203" s="65"/>
      <c r="S203" s="65"/>
      <c r="T203" s="65"/>
      <c r="U203" s="65"/>
      <c r="V203" s="65"/>
      <c r="W203" s="65"/>
    </row>
    <row r="204">
      <c r="A204" s="71"/>
      <c r="B204" s="209"/>
      <c r="C204" s="71"/>
      <c r="D204" s="209"/>
      <c r="E204" s="71"/>
      <c r="F204" s="209"/>
      <c r="G204" s="71"/>
      <c r="H204" s="209"/>
      <c r="I204" s="28"/>
      <c r="J204" s="209"/>
      <c r="K204" s="65"/>
      <c r="L204" s="65"/>
      <c r="M204" s="65"/>
      <c r="N204" s="65"/>
      <c r="O204" s="65"/>
      <c r="P204" s="65"/>
      <c r="Q204" s="65"/>
      <c r="R204" s="65"/>
      <c r="S204" s="65"/>
      <c r="T204" s="65"/>
      <c r="U204" s="65"/>
      <c r="V204" s="65"/>
      <c r="W204" s="65"/>
    </row>
    <row r="205">
      <c r="A205" s="71"/>
      <c r="B205" s="209"/>
      <c r="C205" s="71"/>
      <c r="D205" s="209"/>
      <c r="E205" s="71"/>
      <c r="F205" s="209"/>
      <c r="G205" s="71"/>
      <c r="H205" s="209"/>
      <c r="I205" s="28"/>
      <c r="J205" s="209"/>
      <c r="K205" s="65"/>
      <c r="L205" s="65"/>
      <c r="M205" s="65"/>
      <c r="N205" s="65"/>
      <c r="O205" s="65"/>
      <c r="P205" s="65"/>
      <c r="Q205" s="65"/>
      <c r="R205" s="65"/>
      <c r="S205" s="65"/>
      <c r="T205" s="65"/>
      <c r="U205" s="65"/>
      <c r="V205" s="65"/>
      <c r="W205" s="65"/>
    </row>
    <row r="206">
      <c r="A206" s="71"/>
      <c r="B206" s="209"/>
      <c r="C206" s="71"/>
      <c r="D206" s="209"/>
      <c r="E206" s="71"/>
      <c r="F206" s="209"/>
      <c r="G206" s="71"/>
      <c r="H206" s="209"/>
      <c r="I206" s="28"/>
      <c r="J206" s="209"/>
      <c r="K206" s="65"/>
      <c r="L206" s="65"/>
      <c r="M206" s="65"/>
      <c r="N206" s="65"/>
      <c r="O206" s="65"/>
      <c r="P206" s="65"/>
      <c r="Q206" s="65"/>
      <c r="R206" s="65"/>
      <c r="S206" s="65"/>
      <c r="T206" s="65"/>
      <c r="U206" s="65"/>
      <c r="V206" s="65"/>
      <c r="W206" s="65"/>
    </row>
    <row r="207">
      <c r="A207" s="71"/>
      <c r="B207" s="209"/>
      <c r="C207" s="71"/>
      <c r="D207" s="209"/>
      <c r="E207" s="71"/>
      <c r="F207" s="209"/>
      <c r="G207" s="71"/>
      <c r="H207" s="209"/>
      <c r="I207" s="28"/>
      <c r="J207" s="209"/>
      <c r="K207" s="65"/>
      <c r="L207" s="65"/>
      <c r="M207" s="65"/>
      <c r="N207" s="65"/>
      <c r="O207" s="65"/>
      <c r="P207" s="65"/>
      <c r="Q207" s="65"/>
      <c r="R207" s="65"/>
      <c r="S207" s="65"/>
      <c r="T207" s="65"/>
      <c r="U207" s="65"/>
      <c r="V207" s="65"/>
      <c r="W207" s="65"/>
    </row>
    <row r="208">
      <c r="A208" s="71"/>
      <c r="B208" s="209"/>
      <c r="C208" s="71"/>
      <c r="D208" s="209"/>
      <c r="E208" s="71"/>
      <c r="F208" s="209"/>
      <c r="G208" s="71"/>
      <c r="H208" s="209"/>
      <c r="I208" s="28"/>
      <c r="J208" s="209"/>
      <c r="K208" s="65"/>
      <c r="L208" s="65"/>
      <c r="M208" s="65"/>
      <c r="N208" s="65"/>
      <c r="O208" s="65"/>
      <c r="P208" s="65"/>
      <c r="Q208" s="65"/>
      <c r="R208" s="65"/>
      <c r="S208" s="65"/>
      <c r="T208" s="65"/>
      <c r="U208" s="65"/>
      <c r="V208" s="65"/>
      <c r="W208" s="65"/>
    </row>
    <row r="209">
      <c r="A209" s="71"/>
      <c r="B209" s="209"/>
      <c r="C209" s="71"/>
      <c r="D209" s="209"/>
      <c r="E209" s="71"/>
      <c r="F209" s="209"/>
      <c r="G209" s="71"/>
      <c r="H209" s="209"/>
      <c r="I209" s="28"/>
      <c r="J209" s="209"/>
      <c r="K209" s="65"/>
      <c r="L209" s="65"/>
      <c r="M209" s="65"/>
      <c r="N209" s="65"/>
      <c r="O209" s="65"/>
      <c r="P209" s="65"/>
      <c r="Q209" s="65"/>
      <c r="R209" s="65"/>
      <c r="S209" s="65"/>
      <c r="T209" s="65"/>
      <c r="U209" s="65"/>
      <c r="V209" s="65"/>
      <c r="W209" s="65"/>
    </row>
    <row r="210">
      <c r="A210" s="71"/>
      <c r="B210" s="209"/>
      <c r="C210" s="71"/>
      <c r="D210" s="209"/>
      <c r="E210" s="71"/>
      <c r="F210" s="209"/>
      <c r="G210" s="71"/>
      <c r="H210" s="209"/>
      <c r="I210" s="28"/>
      <c r="J210" s="209"/>
      <c r="K210" s="65"/>
      <c r="L210" s="65"/>
      <c r="M210" s="65"/>
      <c r="N210" s="65"/>
      <c r="O210" s="65"/>
      <c r="P210" s="65"/>
      <c r="Q210" s="65"/>
      <c r="R210" s="65"/>
      <c r="S210" s="65"/>
      <c r="T210" s="65"/>
      <c r="U210" s="65"/>
      <c r="V210" s="65"/>
      <c r="W210" s="65"/>
    </row>
    <row r="211">
      <c r="A211" s="71"/>
      <c r="B211" s="209"/>
      <c r="C211" s="71"/>
      <c r="D211" s="209"/>
      <c r="E211" s="71"/>
      <c r="F211" s="209"/>
      <c r="G211" s="71"/>
      <c r="H211" s="209"/>
      <c r="I211" s="28"/>
      <c r="J211" s="209"/>
      <c r="K211" s="65"/>
      <c r="L211" s="65"/>
      <c r="M211" s="65"/>
      <c r="N211" s="65"/>
      <c r="O211" s="65"/>
      <c r="P211" s="65"/>
      <c r="Q211" s="65"/>
      <c r="R211" s="65"/>
      <c r="S211" s="65"/>
      <c r="T211" s="65"/>
      <c r="U211" s="65"/>
      <c r="V211" s="65"/>
      <c r="W211" s="65"/>
    </row>
    <row r="212">
      <c r="A212" s="71"/>
      <c r="B212" s="209"/>
      <c r="C212" s="71"/>
      <c r="D212" s="209"/>
      <c r="E212" s="71"/>
      <c r="F212" s="209"/>
      <c r="G212" s="71"/>
      <c r="H212" s="209"/>
      <c r="I212" s="28"/>
      <c r="J212" s="209"/>
      <c r="K212" s="65"/>
      <c r="L212" s="65"/>
      <c r="M212" s="65"/>
      <c r="N212" s="65"/>
      <c r="O212" s="65"/>
      <c r="P212" s="65"/>
      <c r="Q212" s="65"/>
      <c r="R212" s="65"/>
      <c r="S212" s="65"/>
      <c r="T212" s="65"/>
      <c r="U212" s="65"/>
      <c r="V212" s="65"/>
      <c r="W212" s="65"/>
    </row>
    <row r="213">
      <c r="A213" s="71"/>
      <c r="B213" s="209"/>
      <c r="C213" s="71"/>
      <c r="D213" s="209"/>
      <c r="E213" s="71"/>
      <c r="F213" s="209"/>
      <c r="G213" s="71"/>
      <c r="H213" s="209"/>
      <c r="I213" s="28"/>
      <c r="J213" s="209"/>
      <c r="K213" s="65"/>
      <c r="L213" s="65"/>
      <c r="M213" s="65"/>
      <c r="N213" s="65"/>
      <c r="O213" s="65"/>
      <c r="P213" s="65"/>
      <c r="Q213" s="65"/>
      <c r="R213" s="65"/>
      <c r="S213" s="65"/>
      <c r="T213" s="65"/>
      <c r="U213" s="65"/>
      <c r="V213" s="65"/>
      <c r="W213" s="65"/>
    </row>
    <row r="214">
      <c r="A214" s="71"/>
      <c r="B214" s="209"/>
      <c r="C214" s="71"/>
      <c r="D214" s="209"/>
      <c r="E214" s="71"/>
      <c r="F214" s="209"/>
      <c r="G214" s="71"/>
      <c r="H214" s="209"/>
      <c r="I214" s="28"/>
      <c r="J214" s="209"/>
      <c r="K214" s="65"/>
      <c r="L214" s="65"/>
      <c r="M214" s="65"/>
      <c r="N214" s="65"/>
      <c r="O214" s="65"/>
      <c r="P214" s="65"/>
      <c r="Q214" s="65"/>
      <c r="R214" s="65"/>
      <c r="S214" s="65"/>
      <c r="T214" s="65"/>
      <c r="U214" s="65"/>
      <c r="V214" s="65"/>
      <c r="W214" s="65"/>
    </row>
    <row r="215">
      <c r="A215" s="71"/>
      <c r="B215" s="209"/>
      <c r="C215" s="71"/>
      <c r="D215" s="209"/>
      <c r="E215" s="71"/>
      <c r="F215" s="209"/>
      <c r="G215" s="71"/>
      <c r="H215" s="209"/>
      <c r="I215" s="28"/>
      <c r="J215" s="209"/>
      <c r="K215" s="65"/>
      <c r="L215" s="65"/>
      <c r="M215" s="65"/>
      <c r="N215" s="65"/>
      <c r="O215" s="65"/>
      <c r="P215" s="65"/>
      <c r="Q215" s="65"/>
      <c r="R215" s="65"/>
      <c r="S215" s="65"/>
      <c r="T215" s="65"/>
      <c r="U215" s="65"/>
      <c r="V215" s="65"/>
      <c r="W215" s="65"/>
    </row>
    <row r="216">
      <c r="A216" s="71"/>
      <c r="B216" s="209"/>
      <c r="C216" s="71"/>
      <c r="D216" s="209"/>
      <c r="E216" s="71"/>
      <c r="F216" s="209"/>
      <c r="G216" s="71"/>
      <c r="H216" s="209"/>
      <c r="I216" s="28"/>
      <c r="J216" s="209"/>
      <c r="K216" s="65"/>
      <c r="L216" s="65"/>
      <c r="M216" s="65"/>
      <c r="N216" s="65"/>
      <c r="O216" s="65"/>
      <c r="P216" s="65"/>
      <c r="Q216" s="65"/>
      <c r="R216" s="65"/>
      <c r="S216" s="65"/>
      <c r="T216" s="65"/>
      <c r="U216" s="65"/>
      <c r="V216" s="65"/>
      <c r="W216" s="65"/>
    </row>
    <row r="217">
      <c r="A217" s="71"/>
      <c r="B217" s="209"/>
      <c r="C217" s="71"/>
      <c r="D217" s="209"/>
      <c r="E217" s="71"/>
      <c r="F217" s="209"/>
      <c r="G217" s="71"/>
      <c r="H217" s="209"/>
      <c r="I217" s="28"/>
      <c r="J217" s="209"/>
      <c r="K217" s="65"/>
      <c r="L217" s="65"/>
      <c r="M217" s="65"/>
      <c r="N217" s="65"/>
      <c r="O217" s="65"/>
      <c r="P217" s="65"/>
      <c r="Q217" s="65"/>
      <c r="R217" s="65"/>
      <c r="S217" s="65"/>
      <c r="T217" s="65"/>
      <c r="U217" s="65"/>
      <c r="V217" s="65"/>
      <c r="W217" s="65"/>
    </row>
    <row r="218">
      <c r="A218" s="71"/>
      <c r="B218" s="209"/>
      <c r="C218" s="71"/>
      <c r="D218" s="209"/>
      <c r="E218" s="71"/>
      <c r="F218" s="209"/>
      <c r="G218" s="71"/>
      <c r="H218" s="209"/>
      <c r="I218" s="28"/>
      <c r="J218" s="209"/>
      <c r="K218" s="65"/>
      <c r="L218" s="65"/>
      <c r="M218" s="65"/>
      <c r="N218" s="65"/>
      <c r="O218" s="65"/>
      <c r="P218" s="65"/>
      <c r="Q218" s="65"/>
      <c r="R218" s="65"/>
      <c r="S218" s="65"/>
      <c r="T218" s="65"/>
      <c r="U218" s="65"/>
      <c r="V218" s="65"/>
      <c r="W218" s="65"/>
    </row>
    <row r="219">
      <c r="A219" s="71"/>
      <c r="B219" s="209"/>
      <c r="C219" s="71"/>
      <c r="D219" s="209"/>
      <c r="E219" s="71"/>
      <c r="F219" s="209"/>
      <c r="G219" s="71"/>
      <c r="H219" s="209"/>
      <c r="I219" s="28"/>
      <c r="J219" s="209"/>
      <c r="K219" s="65"/>
      <c r="L219" s="65"/>
      <c r="M219" s="65"/>
      <c r="N219" s="65"/>
      <c r="O219" s="65"/>
      <c r="P219" s="65"/>
      <c r="Q219" s="65"/>
      <c r="R219" s="65"/>
      <c r="S219" s="65"/>
      <c r="T219" s="65"/>
      <c r="U219" s="65"/>
      <c r="V219" s="65"/>
      <c r="W219" s="65"/>
    </row>
    <row r="220">
      <c r="A220" s="71"/>
      <c r="B220" s="209"/>
      <c r="C220" s="71"/>
      <c r="D220" s="209"/>
      <c r="E220" s="71"/>
      <c r="F220" s="209"/>
      <c r="G220" s="71"/>
      <c r="H220" s="209"/>
      <c r="I220" s="28"/>
      <c r="J220" s="209"/>
      <c r="K220" s="65"/>
      <c r="L220" s="65"/>
      <c r="M220" s="65"/>
      <c r="N220" s="65"/>
      <c r="O220" s="65"/>
      <c r="P220" s="65"/>
      <c r="Q220" s="65"/>
      <c r="R220" s="65"/>
      <c r="S220" s="65"/>
      <c r="T220" s="65"/>
      <c r="U220" s="65"/>
      <c r="V220" s="65"/>
      <c r="W220" s="65"/>
    </row>
    <row r="221">
      <c r="A221" s="71"/>
      <c r="B221" s="209"/>
      <c r="C221" s="71"/>
      <c r="D221" s="209"/>
      <c r="E221" s="71"/>
      <c r="F221" s="209"/>
      <c r="G221" s="71"/>
      <c r="H221" s="209"/>
      <c r="I221" s="28"/>
      <c r="J221" s="209"/>
      <c r="K221" s="65"/>
      <c r="L221" s="65"/>
      <c r="M221" s="65"/>
      <c r="N221" s="65"/>
      <c r="O221" s="65"/>
      <c r="P221" s="65"/>
      <c r="Q221" s="65"/>
      <c r="R221" s="65"/>
      <c r="S221" s="65"/>
      <c r="T221" s="65"/>
      <c r="U221" s="65"/>
      <c r="V221" s="65"/>
      <c r="W221" s="65"/>
    </row>
    <row r="222">
      <c r="A222" s="71"/>
      <c r="B222" s="209"/>
      <c r="C222" s="71"/>
      <c r="D222" s="209"/>
      <c r="E222" s="71"/>
      <c r="F222" s="209"/>
      <c r="G222" s="71"/>
      <c r="H222" s="209"/>
      <c r="I222" s="28"/>
      <c r="J222" s="209"/>
      <c r="K222" s="65"/>
      <c r="L222" s="65"/>
      <c r="M222" s="65"/>
      <c r="N222" s="65"/>
      <c r="O222" s="65"/>
      <c r="P222" s="65"/>
      <c r="Q222" s="65"/>
      <c r="R222" s="65"/>
      <c r="S222" s="65"/>
      <c r="T222" s="65"/>
      <c r="U222" s="65"/>
      <c r="V222" s="65"/>
      <c r="W222" s="65"/>
    </row>
    <row r="223">
      <c r="A223" s="71"/>
      <c r="B223" s="209"/>
      <c r="C223" s="71"/>
      <c r="D223" s="209"/>
      <c r="E223" s="71"/>
      <c r="F223" s="209"/>
      <c r="G223" s="71"/>
      <c r="H223" s="209"/>
      <c r="I223" s="28"/>
      <c r="J223" s="209"/>
      <c r="K223" s="65"/>
      <c r="L223" s="65"/>
      <c r="M223" s="65"/>
      <c r="N223" s="65"/>
      <c r="O223" s="65"/>
      <c r="P223" s="65"/>
      <c r="Q223" s="65"/>
      <c r="R223" s="65"/>
      <c r="S223" s="65"/>
      <c r="T223" s="65"/>
      <c r="U223" s="65"/>
      <c r="V223" s="65"/>
      <c r="W223" s="65"/>
    </row>
    <row r="224">
      <c r="A224" s="71"/>
      <c r="B224" s="209"/>
      <c r="C224" s="71"/>
      <c r="D224" s="209"/>
      <c r="E224" s="71"/>
      <c r="F224" s="209"/>
      <c r="G224" s="71"/>
      <c r="H224" s="209"/>
      <c r="I224" s="28"/>
      <c r="J224" s="209"/>
      <c r="K224" s="65"/>
      <c r="L224" s="65"/>
      <c r="M224" s="65"/>
      <c r="N224" s="65"/>
      <c r="O224" s="65"/>
      <c r="P224" s="65"/>
      <c r="Q224" s="65"/>
      <c r="R224" s="65"/>
      <c r="S224" s="65"/>
      <c r="T224" s="65"/>
      <c r="U224" s="65"/>
      <c r="V224" s="65"/>
      <c r="W224" s="65"/>
    </row>
    <row r="225">
      <c r="A225" s="71"/>
      <c r="B225" s="209"/>
      <c r="C225" s="71"/>
      <c r="D225" s="209"/>
      <c r="E225" s="71"/>
      <c r="F225" s="209"/>
      <c r="G225" s="71"/>
      <c r="H225" s="209"/>
      <c r="I225" s="28"/>
      <c r="J225" s="209"/>
      <c r="K225" s="65"/>
      <c r="L225" s="65"/>
      <c r="M225" s="65"/>
      <c r="N225" s="65"/>
      <c r="O225" s="65"/>
      <c r="P225" s="65"/>
      <c r="Q225" s="65"/>
      <c r="R225" s="65"/>
      <c r="S225" s="65"/>
      <c r="T225" s="65"/>
      <c r="U225" s="65"/>
      <c r="V225" s="65"/>
      <c r="W225" s="65"/>
    </row>
    <row r="226">
      <c r="A226" s="71"/>
      <c r="B226" s="209"/>
      <c r="C226" s="71"/>
      <c r="D226" s="209"/>
      <c r="E226" s="71"/>
      <c r="F226" s="209"/>
      <c r="G226" s="71"/>
      <c r="H226" s="209"/>
      <c r="I226" s="28"/>
      <c r="J226" s="209"/>
      <c r="K226" s="65"/>
      <c r="L226" s="65"/>
      <c r="M226" s="65"/>
      <c r="N226" s="65"/>
      <c r="O226" s="65"/>
      <c r="P226" s="65"/>
      <c r="Q226" s="65"/>
      <c r="R226" s="65"/>
      <c r="S226" s="65"/>
      <c r="T226" s="65"/>
      <c r="U226" s="65"/>
      <c r="V226" s="65"/>
      <c r="W226" s="65"/>
    </row>
    <row r="227">
      <c r="A227" s="71"/>
      <c r="B227" s="209"/>
      <c r="C227" s="71"/>
      <c r="D227" s="209"/>
      <c r="E227" s="71"/>
      <c r="F227" s="209"/>
      <c r="G227" s="71"/>
      <c r="H227" s="209"/>
      <c r="I227" s="28"/>
      <c r="J227" s="209"/>
      <c r="K227" s="65"/>
      <c r="L227" s="65"/>
      <c r="M227" s="65"/>
      <c r="N227" s="65"/>
      <c r="O227" s="65"/>
      <c r="P227" s="65"/>
      <c r="Q227" s="65"/>
      <c r="R227" s="65"/>
      <c r="S227" s="65"/>
      <c r="T227" s="65"/>
      <c r="U227" s="65"/>
      <c r="V227" s="65"/>
      <c r="W227" s="65"/>
    </row>
    <row r="228">
      <c r="A228" s="71"/>
      <c r="B228" s="209"/>
      <c r="C228" s="71"/>
      <c r="D228" s="209"/>
      <c r="E228" s="71"/>
      <c r="F228" s="209"/>
      <c r="G228" s="71"/>
      <c r="H228" s="209"/>
      <c r="I228" s="28"/>
      <c r="J228" s="209"/>
      <c r="K228" s="65"/>
      <c r="L228" s="65"/>
      <c r="M228" s="65"/>
      <c r="N228" s="65"/>
      <c r="O228" s="65"/>
      <c r="P228" s="65"/>
      <c r="Q228" s="65"/>
      <c r="R228" s="65"/>
      <c r="S228" s="65"/>
      <c r="T228" s="65"/>
      <c r="U228" s="65"/>
      <c r="V228" s="65"/>
      <c r="W228" s="65"/>
    </row>
    <row r="229">
      <c r="A229" s="71"/>
      <c r="B229" s="209"/>
      <c r="C229" s="71"/>
      <c r="D229" s="209"/>
      <c r="E229" s="71"/>
      <c r="F229" s="209"/>
      <c r="G229" s="71"/>
      <c r="H229" s="209"/>
      <c r="I229" s="28"/>
      <c r="J229" s="209"/>
      <c r="K229" s="65"/>
      <c r="L229" s="65"/>
      <c r="M229" s="65"/>
      <c r="N229" s="65"/>
      <c r="O229" s="65"/>
      <c r="P229" s="65"/>
      <c r="Q229" s="65"/>
      <c r="R229" s="65"/>
      <c r="S229" s="65"/>
      <c r="T229" s="65"/>
      <c r="U229" s="65"/>
      <c r="V229" s="65"/>
      <c r="W229" s="65"/>
    </row>
    <row r="230">
      <c r="A230" s="71"/>
      <c r="B230" s="209"/>
      <c r="C230" s="71"/>
      <c r="D230" s="209"/>
      <c r="E230" s="71"/>
      <c r="F230" s="209"/>
      <c r="G230" s="71"/>
      <c r="H230" s="209"/>
      <c r="I230" s="28"/>
      <c r="J230" s="209"/>
      <c r="K230" s="65"/>
      <c r="L230" s="65"/>
      <c r="M230" s="65"/>
      <c r="N230" s="65"/>
      <c r="O230" s="65"/>
      <c r="P230" s="65"/>
      <c r="Q230" s="65"/>
      <c r="R230" s="65"/>
      <c r="S230" s="65"/>
      <c r="T230" s="65"/>
      <c r="U230" s="65"/>
      <c r="V230" s="65"/>
      <c r="W230" s="65"/>
    </row>
    <row r="231">
      <c r="A231" s="71"/>
      <c r="B231" s="209"/>
      <c r="C231" s="71"/>
      <c r="D231" s="209"/>
      <c r="E231" s="71"/>
      <c r="F231" s="209"/>
      <c r="G231" s="71"/>
      <c r="H231" s="209"/>
      <c r="I231" s="28"/>
      <c r="J231" s="209"/>
      <c r="K231" s="65"/>
      <c r="L231" s="65"/>
      <c r="M231" s="65"/>
      <c r="N231" s="65"/>
      <c r="O231" s="65"/>
      <c r="P231" s="65"/>
      <c r="Q231" s="65"/>
      <c r="R231" s="65"/>
      <c r="S231" s="65"/>
      <c r="T231" s="65"/>
      <c r="U231" s="65"/>
      <c r="V231" s="65"/>
      <c r="W231" s="65"/>
    </row>
    <row r="232">
      <c r="A232" s="71"/>
      <c r="B232" s="209"/>
      <c r="C232" s="71"/>
      <c r="D232" s="209"/>
      <c r="E232" s="71"/>
      <c r="F232" s="209"/>
      <c r="G232" s="71"/>
      <c r="H232" s="209"/>
      <c r="I232" s="28"/>
      <c r="J232" s="209"/>
      <c r="K232" s="65"/>
      <c r="L232" s="65"/>
      <c r="M232" s="65"/>
      <c r="N232" s="65"/>
      <c r="O232" s="65"/>
      <c r="P232" s="65"/>
      <c r="Q232" s="65"/>
      <c r="R232" s="65"/>
      <c r="S232" s="65"/>
      <c r="T232" s="65"/>
      <c r="U232" s="65"/>
      <c r="V232" s="65"/>
      <c r="W232" s="65"/>
    </row>
    <row r="233">
      <c r="A233" s="71"/>
      <c r="B233" s="209"/>
      <c r="C233" s="71"/>
      <c r="D233" s="209"/>
      <c r="E233" s="71"/>
      <c r="F233" s="209"/>
      <c r="G233" s="71"/>
      <c r="H233" s="209"/>
      <c r="I233" s="28"/>
      <c r="J233" s="209"/>
      <c r="K233" s="65"/>
      <c r="L233" s="65"/>
      <c r="M233" s="65"/>
      <c r="N233" s="65"/>
      <c r="O233" s="65"/>
      <c r="P233" s="65"/>
      <c r="Q233" s="65"/>
      <c r="R233" s="65"/>
      <c r="S233" s="65"/>
      <c r="T233" s="65"/>
      <c r="U233" s="65"/>
      <c r="V233" s="65"/>
      <c r="W233" s="65"/>
    </row>
    <row r="234">
      <c r="A234" s="71"/>
      <c r="B234" s="209"/>
      <c r="C234" s="71"/>
      <c r="D234" s="209"/>
      <c r="E234" s="71"/>
      <c r="F234" s="209"/>
      <c r="G234" s="71"/>
      <c r="H234" s="209"/>
      <c r="I234" s="28"/>
      <c r="J234" s="209"/>
      <c r="K234" s="65"/>
      <c r="L234" s="65"/>
      <c r="M234" s="65"/>
      <c r="N234" s="65"/>
      <c r="O234" s="65"/>
      <c r="P234" s="65"/>
      <c r="Q234" s="65"/>
      <c r="R234" s="65"/>
      <c r="S234" s="65"/>
      <c r="T234" s="65"/>
      <c r="U234" s="65"/>
      <c r="V234" s="65"/>
      <c r="W234" s="65"/>
    </row>
    <row r="235">
      <c r="A235" s="71"/>
      <c r="B235" s="209"/>
      <c r="C235" s="71"/>
      <c r="D235" s="209"/>
      <c r="E235" s="71"/>
      <c r="F235" s="209"/>
      <c r="G235" s="71"/>
      <c r="H235" s="209"/>
      <c r="I235" s="28"/>
      <c r="J235" s="209"/>
      <c r="K235" s="65"/>
      <c r="L235" s="65"/>
      <c r="M235" s="65"/>
      <c r="N235" s="65"/>
      <c r="O235" s="65"/>
      <c r="P235" s="65"/>
      <c r="Q235" s="65"/>
      <c r="R235" s="65"/>
      <c r="S235" s="65"/>
      <c r="T235" s="65"/>
      <c r="U235" s="65"/>
      <c r="V235" s="65"/>
      <c r="W235" s="65"/>
    </row>
    <row r="236">
      <c r="A236" s="71"/>
      <c r="B236" s="209"/>
      <c r="C236" s="71"/>
      <c r="D236" s="209"/>
      <c r="E236" s="71"/>
      <c r="F236" s="209"/>
      <c r="G236" s="71"/>
      <c r="H236" s="209"/>
      <c r="I236" s="28"/>
      <c r="J236" s="209"/>
      <c r="K236" s="65"/>
      <c r="L236" s="65"/>
      <c r="M236" s="65"/>
      <c r="N236" s="65"/>
      <c r="O236" s="65"/>
      <c r="P236" s="65"/>
      <c r="Q236" s="65"/>
      <c r="R236" s="65"/>
      <c r="S236" s="65"/>
      <c r="T236" s="65"/>
      <c r="U236" s="65"/>
      <c r="V236" s="65"/>
      <c r="W236" s="65"/>
    </row>
    <row r="237">
      <c r="A237" s="71"/>
      <c r="B237" s="209"/>
      <c r="C237" s="71"/>
      <c r="D237" s="209"/>
      <c r="E237" s="71"/>
      <c r="F237" s="209"/>
      <c r="G237" s="71"/>
      <c r="H237" s="209"/>
      <c r="I237" s="28"/>
      <c r="J237" s="209"/>
      <c r="K237" s="65"/>
      <c r="L237" s="65"/>
      <c r="M237" s="65"/>
      <c r="N237" s="65"/>
      <c r="O237" s="65"/>
      <c r="P237" s="65"/>
      <c r="Q237" s="65"/>
      <c r="R237" s="65"/>
      <c r="S237" s="65"/>
      <c r="T237" s="65"/>
      <c r="U237" s="65"/>
      <c r="V237" s="65"/>
      <c r="W237" s="65"/>
    </row>
    <row r="238">
      <c r="A238" s="71"/>
      <c r="B238" s="209"/>
      <c r="C238" s="71"/>
      <c r="D238" s="209"/>
      <c r="E238" s="71"/>
      <c r="F238" s="209"/>
      <c r="G238" s="71"/>
      <c r="H238" s="209"/>
      <c r="I238" s="28"/>
      <c r="J238" s="209"/>
      <c r="K238" s="65"/>
      <c r="L238" s="65"/>
      <c r="M238" s="65"/>
      <c r="N238" s="65"/>
      <c r="O238" s="65"/>
      <c r="P238" s="65"/>
      <c r="Q238" s="65"/>
      <c r="R238" s="65"/>
      <c r="S238" s="65"/>
      <c r="T238" s="65"/>
      <c r="U238" s="65"/>
      <c r="V238" s="65"/>
      <c r="W238" s="65"/>
    </row>
    <row r="239">
      <c r="A239" s="71"/>
      <c r="B239" s="209"/>
      <c r="C239" s="71"/>
      <c r="D239" s="209"/>
      <c r="E239" s="71"/>
      <c r="F239" s="209"/>
      <c r="G239" s="71"/>
      <c r="H239" s="209"/>
      <c r="I239" s="28"/>
      <c r="J239" s="209"/>
      <c r="K239" s="65"/>
      <c r="L239" s="65"/>
      <c r="M239" s="65"/>
      <c r="N239" s="65"/>
      <c r="O239" s="65"/>
      <c r="P239" s="65"/>
      <c r="Q239" s="65"/>
      <c r="R239" s="65"/>
      <c r="S239" s="65"/>
      <c r="T239" s="65"/>
      <c r="U239" s="65"/>
      <c r="V239" s="65"/>
      <c r="W239" s="65"/>
    </row>
    <row r="240">
      <c r="A240" s="71"/>
      <c r="B240" s="209"/>
      <c r="C240" s="71"/>
      <c r="D240" s="209"/>
      <c r="E240" s="71"/>
      <c r="F240" s="209"/>
      <c r="G240" s="71"/>
      <c r="H240" s="209"/>
      <c r="I240" s="28"/>
      <c r="J240" s="209"/>
      <c r="K240" s="65"/>
      <c r="L240" s="65"/>
      <c r="M240" s="65"/>
      <c r="N240" s="65"/>
      <c r="O240" s="65"/>
      <c r="P240" s="65"/>
      <c r="Q240" s="65"/>
      <c r="R240" s="65"/>
      <c r="S240" s="65"/>
      <c r="T240" s="65"/>
      <c r="U240" s="65"/>
      <c r="V240" s="65"/>
      <c r="W240" s="65"/>
    </row>
    <row r="241">
      <c r="A241" s="71"/>
      <c r="B241" s="209"/>
      <c r="C241" s="71"/>
      <c r="D241" s="209"/>
      <c r="E241" s="71"/>
      <c r="F241" s="209"/>
      <c r="G241" s="71"/>
      <c r="H241" s="209"/>
      <c r="I241" s="28"/>
      <c r="J241" s="209"/>
      <c r="K241" s="65"/>
      <c r="L241" s="65"/>
      <c r="M241" s="65"/>
      <c r="N241" s="65"/>
      <c r="O241" s="65"/>
      <c r="P241" s="65"/>
      <c r="Q241" s="65"/>
      <c r="R241" s="65"/>
      <c r="S241" s="65"/>
      <c r="T241" s="65"/>
      <c r="U241" s="65"/>
      <c r="V241" s="65"/>
      <c r="W241" s="65"/>
    </row>
    <row r="242">
      <c r="A242" s="71"/>
      <c r="B242" s="209"/>
      <c r="C242" s="71"/>
      <c r="D242" s="209"/>
      <c r="E242" s="71"/>
      <c r="F242" s="209"/>
      <c r="G242" s="71"/>
      <c r="H242" s="209"/>
      <c r="I242" s="28"/>
      <c r="J242" s="209"/>
      <c r="K242" s="65"/>
      <c r="L242" s="65"/>
      <c r="M242" s="65"/>
      <c r="N242" s="65"/>
      <c r="O242" s="65"/>
      <c r="P242" s="65"/>
      <c r="Q242" s="65"/>
      <c r="R242" s="65"/>
      <c r="S242" s="65"/>
      <c r="T242" s="65"/>
      <c r="U242" s="65"/>
      <c r="V242" s="65"/>
      <c r="W242" s="65"/>
    </row>
    <row r="243">
      <c r="A243" s="71"/>
      <c r="B243" s="209"/>
      <c r="C243" s="71"/>
      <c r="D243" s="209"/>
      <c r="E243" s="71"/>
      <c r="F243" s="209"/>
      <c r="G243" s="71"/>
      <c r="H243" s="209"/>
      <c r="I243" s="28"/>
      <c r="J243" s="209"/>
      <c r="K243" s="65"/>
      <c r="L243" s="65"/>
      <c r="M243" s="65"/>
      <c r="N243" s="65"/>
      <c r="O243" s="65"/>
      <c r="P243" s="65"/>
      <c r="Q243" s="65"/>
      <c r="R243" s="65"/>
      <c r="S243" s="65"/>
      <c r="T243" s="65"/>
      <c r="U243" s="65"/>
      <c r="V243" s="65"/>
      <c r="W243" s="65"/>
    </row>
    <row r="244">
      <c r="A244" s="71"/>
      <c r="B244" s="209"/>
      <c r="C244" s="71"/>
      <c r="D244" s="209"/>
      <c r="E244" s="71"/>
      <c r="F244" s="209"/>
      <c r="G244" s="71"/>
      <c r="H244" s="209"/>
      <c r="I244" s="28"/>
      <c r="J244" s="209"/>
      <c r="K244" s="65"/>
      <c r="L244" s="65"/>
      <c r="M244" s="65"/>
      <c r="N244" s="65"/>
      <c r="O244" s="65"/>
      <c r="P244" s="65"/>
      <c r="Q244" s="65"/>
      <c r="R244" s="65"/>
      <c r="S244" s="65"/>
      <c r="T244" s="65"/>
      <c r="U244" s="65"/>
      <c r="V244" s="65"/>
      <c r="W244" s="65"/>
    </row>
    <row r="245">
      <c r="A245" s="71"/>
      <c r="B245" s="209"/>
      <c r="C245" s="71"/>
      <c r="D245" s="209"/>
      <c r="E245" s="71"/>
      <c r="F245" s="209"/>
      <c r="G245" s="71"/>
      <c r="H245" s="209"/>
      <c r="I245" s="28"/>
      <c r="J245" s="209"/>
      <c r="K245" s="65"/>
      <c r="L245" s="65"/>
      <c r="M245" s="65"/>
      <c r="N245" s="65"/>
      <c r="O245" s="65"/>
      <c r="P245" s="65"/>
      <c r="Q245" s="65"/>
      <c r="R245" s="65"/>
      <c r="S245" s="65"/>
      <c r="T245" s="65"/>
      <c r="U245" s="65"/>
      <c r="V245" s="65"/>
      <c r="W245" s="65"/>
    </row>
    <row r="246">
      <c r="A246" s="71"/>
      <c r="B246" s="209"/>
      <c r="C246" s="71"/>
      <c r="D246" s="209"/>
      <c r="E246" s="71"/>
      <c r="F246" s="209"/>
      <c r="G246" s="71"/>
      <c r="H246" s="209"/>
      <c r="I246" s="28"/>
      <c r="J246" s="209"/>
      <c r="K246" s="65"/>
      <c r="L246" s="65"/>
      <c r="M246" s="65"/>
      <c r="N246" s="65"/>
      <c r="O246" s="65"/>
      <c r="P246" s="65"/>
      <c r="Q246" s="65"/>
      <c r="R246" s="65"/>
      <c r="S246" s="65"/>
      <c r="T246" s="65"/>
      <c r="U246" s="65"/>
      <c r="V246" s="65"/>
      <c r="W246" s="65"/>
    </row>
    <row r="247">
      <c r="A247" s="71"/>
      <c r="B247" s="209"/>
      <c r="C247" s="71"/>
      <c r="D247" s="209"/>
      <c r="E247" s="71"/>
      <c r="F247" s="209"/>
      <c r="G247" s="71"/>
      <c r="H247" s="209"/>
      <c r="I247" s="28"/>
      <c r="J247" s="209"/>
      <c r="K247" s="65"/>
      <c r="L247" s="65"/>
      <c r="M247" s="65"/>
      <c r="N247" s="65"/>
      <c r="O247" s="65"/>
      <c r="P247" s="65"/>
      <c r="Q247" s="65"/>
      <c r="R247" s="65"/>
      <c r="S247" s="65"/>
      <c r="T247" s="65"/>
      <c r="U247" s="65"/>
      <c r="V247" s="65"/>
      <c r="W247" s="65"/>
    </row>
    <row r="248">
      <c r="A248" s="71"/>
      <c r="B248" s="209"/>
      <c r="C248" s="71"/>
      <c r="D248" s="209"/>
      <c r="E248" s="71"/>
      <c r="F248" s="209"/>
      <c r="G248" s="71"/>
      <c r="H248" s="209"/>
      <c r="I248" s="28"/>
      <c r="J248" s="209"/>
      <c r="K248" s="65"/>
      <c r="L248" s="65"/>
      <c r="M248" s="65"/>
      <c r="N248" s="65"/>
      <c r="O248" s="65"/>
      <c r="P248" s="65"/>
      <c r="Q248" s="65"/>
      <c r="R248" s="65"/>
      <c r="S248" s="65"/>
      <c r="T248" s="65"/>
      <c r="U248" s="65"/>
      <c r="V248" s="65"/>
      <c r="W248" s="65"/>
    </row>
    <row r="249">
      <c r="A249" s="71"/>
      <c r="B249" s="209"/>
      <c r="C249" s="71"/>
      <c r="D249" s="209"/>
      <c r="E249" s="71"/>
      <c r="F249" s="209"/>
      <c r="G249" s="71"/>
      <c r="H249" s="209"/>
      <c r="I249" s="28"/>
      <c r="J249" s="209"/>
      <c r="K249" s="65"/>
      <c r="L249" s="65"/>
      <c r="M249" s="65"/>
      <c r="N249" s="65"/>
      <c r="O249" s="65"/>
      <c r="P249" s="65"/>
      <c r="Q249" s="65"/>
      <c r="R249" s="65"/>
      <c r="S249" s="65"/>
      <c r="T249" s="65"/>
      <c r="U249" s="65"/>
      <c r="V249" s="65"/>
      <c r="W249" s="65"/>
    </row>
    <row r="250">
      <c r="A250" s="71"/>
      <c r="B250" s="209"/>
      <c r="C250" s="71"/>
      <c r="D250" s="209"/>
      <c r="E250" s="71"/>
      <c r="F250" s="209"/>
      <c r="G250" s="71"/>
      <c r="H250" s="209"/>
      <c r="I250" s="28"/>
      <c r="J250" s="209"/>
      <c r="K250" s="65"/>
      <c r="L250" s="65"/>
      <c r="M250" s="65"/>
      <c r="N250" s="65"/>
      <c r="O250" s="65"/>
      <c r="P250" s="65"/>
      <c r="Q250" s="65"/>
      <c r="R250" s="65"/>
      <c r="S250" s="65"/>
      <c r="T250" s="65"/>
      <c r="U250" s="65"/>
      <c r="V250" s="65"/>
      <c r="W250" s="65"/>
    </row>
    <row r="251">
      <c r="A251" s="71"/>
      <c r="B251" s="209"/>
      <c r="C251" s="71"/>
      <c r="D251" s="209"/>
      <c r="E251" s="71"/>
      <c r="F251" s="209"/>
      <c r="G251" s="71"/>
      <c r="H251" s="209"/>
      <c r="I251" s="28"/>
      <c r="J251" s="209"/>
      <c r="K251" s="65"/>
      <c r="L251" s="65"/>
      <c r="M251" s="65"/>
      <c r="N251" s="65"/>
      <c r="O251" s="65"/>
      <c r="P251" s="65"/>
      <c r="Q251" s="65"/>
      <c r="R251" s="65"/>
      <c r="S251" s="65"/>
      <c r="T251" s="65"/>
      <c r="U251" s="65"/>
      <c r="V251" s="65"/>
      <c r="W251" s="65"/>
    </row>
    <row r="252">
      <c r="A252" s="71"/>
      <c r="B252" s="209"/>
      <c r="C252" s="71"/>
      <c r="D252" s="209"/>
      <c r="E252" s="71"/>
      <c r="F252" s="209"/>
      <c r="G252" s="71"/>
      <c r="H252" s="209"/>
      <c r="I252" s="28"/>
      <c r="J252" s="209"/>
      <c r="K252" s="65"/>
      <c r="L252" s="65"/>
      <c r="M252" s="65"/>
      <c r="N252" s="65"/>
      <c r="O252" s="65"/>
      <c r="P252" s="65"/>
      <c r="Q252" s="65"/>
      <c r="R252" s="65"/>
      <c r="S252" s="65"/>
      <c r="T252" s="65"/>
      <c r="U252" s="65"/>
      <c r="V252" s="65"/>
      <c r="W252" s="65"/>
    </row>
    <row r="253">
      <c r="A253" s="71"/>
      <c r="B253" s="209"/>
      <c r="C253" s="71"/>
      <c r="D253" s="209"/>
      <c r="E253" s="71"/>
      <c r="F253" s="209"/>
      <c r="G253" s="71"/>
      <c r="H253" s="209"/>
      <c r="I253" s="28"/>
      <c r="J253" s="209"/>
      <c r="K253" s="65"/>
      <c r="L253" s="65"/>
      <c r="M253" s="65"/>
      <c r="N253" s="65"/>
      <c r="O253" s="65"/>
      <c r="P253" s="65"/>
      <c r="Q253" s="65"/>
      <c r="R253" s="65"/>
      <c r="S253" s="65"/>
      <c r="T253" s="65"/>
      <c r="U253" s="65"/>
      <c r="V253" s="65"/>
      <c r="W253" s="65"/>
    </row>
    <row r="254">
      <c r="A254" s="71"/>
      <c r="B254" s="209"/>
      <c r="C254" s="71"/>
      <c r="D254" s="209"/>
      <c r="E254" s="71"/>
      <c r="F254" s="209"/>
      <c r="G254" s="71"/>
      <c r="H254" s="209"/>
      <c r="I254" s="28"/>
      <c r="J254" s="209"/>
      <c r="K254" s="65"/>
      <c r="L254" s="65"/>
      <c r="M254" s="65"/>
      <c r="N254" s="65"/>
      <c r="O254" s="65"/>
      <c r="P254" s="65"/>
      <c r="Q254" s="65"/>
      <c r="R254" s="65"/>
      <c r="S254" s="65"/>
      <c r="T254" s="65"/>
      <c r="U254" s="65"/>
      <c r="V254" s="65"/>
      <c r="W254" s="65"/>
    </row>
    <row r="255">
      <c r="A255" s="71"/>
      <c r="B255" s="209"/>
      <c r="C255" s="71"/>
      <c r="D255" s="209"/>
      <c r="E255" s="71"/>
      <c r="F255" s="209"/>
      <c r="G255" s="71"/>
      <c r="H255" s="209"/>
      <c r="I255" s="28"/>
      <c r="J255" s="209"/>
      <c r="K255" s="65"/>
      <c r="L255" s="65"/>
      <c r="M255" s="65"/>
      <c r="N255" s="65"/>
      <c r="O255" s="65"/>
      <c r="P255" s="65"/>
      <c r="Q255" s="65"/>
      <c r="R255" s="65"/>
      <c r="S255" s="65"/>
      <c r="T255" s="65"/>
      <c r="U255" s="65"/>
      <c r="V255" s="65"/>
      <c r="W255" s="65"/>
    </row>
    <row r="256">
      <c r="A256" s="71"/>
      <c r="B256" s="209"/>
      <c r="C256" s="71"/>
      <c r="D256" s="209"/>
      <c r="E256" s="71"/>
      <c r="F256" s="209"/>
      <c r="G256" s="71"/>
      <c r="H256" s="209"/>
      <c r="I256" s="28"/>
      <c r="J256" s="209"/>
      <c r="K256" s="65"/>
      <c r="L256" s="65"/>
      <c r="M256" s="65"/>
      <c r="N256" s="65"/>
      <c r="O256" s="65"/>
      <c r="P256" s="65"/>
      <c r="Q256" s="65"/>
      <c r="R256" s="65"/>
      <c r="S256" s="65"/>
      <c r="T256" s="65"/>
      <c r="U256" s="65"/>
      <c r="V256" s="65"/>
      <c r="W256" s="65"/>
    </row>
    <row r="257">
      <c r="A257" s="71"/>
      <c r="B257" s="209"/>
      <c r="C257" s="71"/>
      <c r="D257" s="209"/>
      <c r="E257" s="71"/>
      <c r="F257" s="209"/>
      <c r="G257" s="71"/>
      <c r="H257" s="209"/>
      <c r="I257" s="28"/>
      <c r="J257" s="209"/>
      <c r="K257" s="65"/>
      <c r="L257" s="65"/>
      <c r="M257" s="65"/>
      <c r="N257" s="65"/>
      <c r="O257" s="65"/>
      <c r="P257" s="65"/>
      <c r="Q257" s="65"/>
      <c r="R257" s="65"/>
      <c r="S257" s="65"/>
      <c r="T257" s="65"/>
      <c r="U257" s="65"/>
      <c r="V257" s="65"/>
      <c r="W257" s="65"/>
    </row>
    <row r="258">
      <c r="A258" s="71"/>
      <c r="B258" s="209"/>
      <c r="C258" s="71"/>
      <c r="D258" s="209"/>
      <c r="E258" s="71"/>
      <c r="F258" s="209"/>
      <c r="G258" s="71"/>
      <c r="H258" s="209"/>
      <c r="I258" s="28"/>
      <c r="J258" s="209"/>
      <c r="K258" s="65"/>
      <c r="L258" s="65"/>
      <c r="M258" s="65"/>
      <c r="N258" s="65"/>
      <c r="O258" s="65"/>
      <c r="P258" s="65"/>
      <c r="Q258" s="65"/>
      <c r="R258" s="65"/>
      <c r="S258" s="65"/>
      <c r="T258" s="65"/>
      <c r="U258" s="65"/>
      <c r="V258" s="65"/>
      <c r="W258" s="65"/>
    </row>
    <row r="259">
      <c r="A259" s="71"/>
      <c r="B259" s="209"/>
      <c r="C259" s="71"/>
      <c r="D259" s="209"/>
      <c r="E259" s="71"/>
      <c r="F259" s="209"/>
      <c r="G259" s="71"/>
      <c r="H259" s="209"/>
      <c r="I259" s="28"/>
      <c r="J259" s="209"/>
      <c r="K259" s="65"/>
      <c r="L259" s="65"/>
      <c r="M259" s="65"/>
      <c r="N259" s="65"/>
      <c r="O259" s="65"/>
      <c r="P259" s="65"/>
      <c r="Q259" s="65"/>
      <c r="R259" s="65"/>
      <c r="S259" s="65"/>
      <c r="T259" s="65"/>
      <c r="U259" s="65"/>
      <c r="V259" s="65"/>
      <c r="W259" s="65"/>
    </row>
    <row r="260">
      <c r="A260" s="71"/>
      <c r="B260" s="209"/>
      <c r="C260" s="71"/>
      <c r="D260" s="209"/>
      <c r="E260" s="71"/>
      <c r="F260" s="209"/>
      <c r="G260" s="71"/>
      <c r="H260" s="209"/>
      <c r="I260" s="28"/>
      <c r="J260" s="209"/>
      <c r="K260" s="65"/>
      <c r="L260" s="65"/>
      <c r="M260" s="65"/>
      <c r="N260" s="65"/>
      <c r="O260" s="65"/>
      <c r="P260" s="65"/>
      <c r="Q260" s="65"/>
      <c r="R260" s="65"/>
      <c r="S260" s="65"/>
      <c r="T260" s="65"/>
      <c r="U260" s="65"/>
      <c r="V260" s="65"/>
      <c r="W260" s="65"/>
    </row>
    <row r="261">
      <c r="A261" s="71"/>
      <c r="B261" s="209"/>
      <c r="C261" s="71"/>
      <c r="D261" s="209"/>
      <c r="E261" s="71"/>
      <c r="F261" s="209"/>
      <c r="G261" s="71"/>
      <c r="H261" s="209"/>
      <c r="I261" s="28"/>
      <c r="J261" s="209"/>
      <c r="K261" s="65"/>
      <c r="L261" s="65"/>
      <c r="M261" s="65"/>
      <c r="N261" s="65"/>
      <c r="O261" s="65"/>
      <c r="P261" s="65"/>
      <c r="Q261" s="65"/>
      <c r="R261" s="65"/>
      <c r="S261" s="65"/>
      <c r="T261" s="65"/>
      <c r="U261" s="65"/>
      <c r="V261" s="65"/>
      <c r="W261" s="65"/>
    </row>
    <row r="262">
      <c r="A262" s="71"/>
      <c r="B262" s="209"/>
      <c r="C262" s="71"/>
      <c r="D262" s="209"/>
      <c r="E262" s="71"/>
      <c r="F262" s="209"/>
      <c r="G262" s="71"/>
      <c r="H262" s="209"/>
      <c r="I262" s="28"/>
      <c r="J262" s="209"/>
      <c r="K262" s="65"/>
      <c r="L262" s="65"/>
      <c r="M262" s="65"/>
      <c r="N262" s="65"/>
      <c r="O262" s="65"/>
      <c r="P262" s="65"/>
      <c r="Q262" s="65"/>
      <c r="R262" s="65"/>
      <c r="S262" s="65"/>
      <c r="T262" s="65"/>
      <c r="U262" s="65"/>
      <c r="V262" s="65"/>
      <c r="W262" s="65"/>
    </row>
    <row r="263">
      <c r="A263" s="71"/>
      <c r="B263" s="209"/>
      <c r="C263" s="71"/>
      <c r="D263" s="209"/>
      <c r="E263" s="71"/>
      <c r="F263" s="209"/>
      <c r="G263" s="71"/>
      <c r="H263" s="209"/>
      <c r="I263" s="28"/>
      <c r="J263" s="209"/>
      <c r="K263" s="65"/>
      <c r="L263" s="65"/>
      <c r="M263" s="65"/>
      <c r="N263" s="65"/>
      <c r="O263" s="65"/>
      <c r="P263" s="65"/>
      <c r="Q263" s="65"/>
      <c r="R263" s="65"/>
      <c r="S263" s="65"/>
      <c r="T263" s="65"/>
      <c r="U263" s="65"/>
      <c r="V263" s="65"/>
      <c r="W263" s="65"/>
    </row>
    <row r="264">
      <c r="A264" s="71"/>
      <c r="B264" s="209"/>
      <c r="C264" s="71"/>
      <c r="D264" s="209"/>
      <c r="E264" s="71"/>
      <c r="F264" s="209"/>
      <c r="G264" s="71"/>
      <c r="H264" s="209"/>
      <c r="I264" s="28"/>
      <c r="J264" s="209"/>
      <c r="K264" s="65"/>
      <c r="L264" s="65"/>
      <c r="M264" s="65"/>
      <c r="N264" s="65"/>
      <c r="O264" s="65"/>
      <c r="P264" s="65"/>
      <c r="Q264" s="65"/>
      <c r="R264" s="65"/>
      <c r="S264" s="65"/>
      <c r="T264" s="65"/>
      <c r="U264" s="65"/>
      <c r="V264" s="65"/>
      <c r="W264" s="65"/>
    </row>
    <row r="265">
      <c r="A265" s="71"/>
      <c r="B265" s="209"/>
      <c r="C265" s="71"/>
      <c r="D265" s="209"/>
      <c r="E265" s="71"/>
      <c r="F265" s="209"/>
      <c r="G265" s="71"/>
      <c r="H265" s="209"/>
      <c r="I265" s="28"/>
      <c r="J265" s="209"/>
      <c r="K265" s="65"/>
      <c r="L265" s="65"/>
      <c r="M265" s="65"/>
      <c r="N265" s="65"/>
      <c r="O265" s="65"/>
      <c r="P265" s="65"/>
      <c r="Q265" s="65"/>
      <c r="R265" s="65"/>
      <c r="S265" s="65"/>
      <c r="T265" s="65"/>
      <c r="U265" s="65"/>
      <c r="V265" s="65"/>
      <c r="W265" s="65"/>
    </row>
    <row r="266">
      <c r="A266" s="71"/>
      <c r="B266" s="209"/>
      <c r="C266" s="71"/>
      <c r="D266" s="209"/>
      <c r="E266" s="71"/>
      <c r="F266" s="209"/>
      <c r="G266" s="71"/>
      <c r="H266" s="209"/>
      <c r="I266" s="28"/>
      <c r="J266" s="209"/>
      <c r="K266" s="65"/>
      <c r="L266" s="65"/>
      <c r="M266" s="65"/>
      <c r="N266" s="65"/>
      <c r="O266" s="65"/>
      <c r="P266" s="65"/>
      <c r="Q266" s="65"/>
      <c r="R266" s="65"/>
      <c r="S266" s="65"/>
      <c r="T266" s="65"/>
      <c r="U266" s="65"/>
      <c r="V266" s="65"/>
      <c r="W266" s="65"/>
    </row>
    <row r="267">
      <c r="A267" s="71"/>
      <c r="B267" s="209"/>
      <c r="C267" s="71"/>
      <c r="D267" s="209"/>
      <c r="E267" s="71"/>
      <c r="F267" s="209"/>
      <c r="G267" s="71"/>
      <c r="H267" s="209"/>
      <c r="I267" s="28"/>
      <c r="J267" s="209"/>
      <c r="K267" s="65"/>
      <c r="L267" s="65"/>
      <c r="M267" s="65"/>
      <c r="N267" s="65"/>
      <c r="O267" s="65"/>
      <c r="P267" s="65"/>
      <c r="Q267" s="65"/>
      <c r="R267" s="65"/>
      <c r="S267" s="65"/>
      <c r="T267" s="65"/>
      <c r="U267" s="65"/>
      <c r="V267" s="65"/>
      <c r="W267" s="65"/>
    </row>
    <row r="268">
      <c r="A268" s="71"/>
      <c r="B268" s="209"/>
      <c r="C268" s="71"/>
      <c r="D268" s="209"/>
      <c r="E268" s="71"/>
      <c r="F268" s="209"/>
      <c r="G268" s="71"/>
      <c r="H268" s="209"/>
      <c r="I268" s="28"/>
      <c r="J268" s="209"/>
      <c r="K268" s="65"/>
      <c r="L268" s="65"/>
      <c r="M268" s="65"/>
      <c r="N268" s="65"/>
      <c r="O268" s="65"/>
      <c r="P268" s="65"/>
      <c r="Q268" s="65"/>
      <c r="R268" s="65"/>
      <c r="S268" s="65"/>
      <c r="T268" s="65"/>
      <c r="U268" s="65"/>
      <c r="V268" s="65"/>
      <c r="W268" s="65"/>
    </row>
    <row r="269">
      <c r="A269" s="71"/>
      <c r="B269" s="209"/>
      <c r="C269" s="71"/>
      <c r="D269" s="209"/>
      <c r="E269" s="71"/>
      <c r="F269" s="209"/>
      <c r="G269" s="71"/>
      <c r="H269" s="209"/>
      <c r="I269" s="28"/>
      <c r="J269" s="209"/>
      <c r="K269" s="65"/>
      <c r="L269" s="65"/>
      <c r="M269" s="65"/>
      <c r="N269" s="65"/>
      <c r="O269" s="65"/>
      <c r="P269" s="65"/>
      <c r="Q269" s="65"/>
      <c r="R269" s="65"/>
      <c r="S269" s="65"/>
      <c r="T269" s="65"/>
      <c r="U269" s="65"/>
      <c r="V269" s="65"/>
      <c r="W269" s="65"/>
    </row>
    <row r="270">
      <c r="A270" s="71"/>
      <c r="B270" s="209"/>
      <c r="C270" s="71"/>
      <c r="D270" s="209"/>
      <c r="E270" s="71"/>
      <c r="F270" s="209"/>
      <c r="G270" s="71"/>
      <c r="H270" s="209"/>
      <c r="I270" s="28"/>
      <c r="J270" s="209"/>
      <c r="K270" s="65"/>
      <c r="L270" s="65"/>
      <c r="M270" s="65"/>
      <c r="N270" s="65"/>
      <c r="O270" s="65"/>
      <c r="P270" s="65"/>
      <c r="Q270" s="65"/>
      <c r="R270" s="65"/>
      <c r="S270" s="65"/>
      <c r="T270" s="65"/>
      <c r="U270" s="65"/>
      <c r="V270" s="65"/>
      <c r="W270" s="65"/>
    </row>
    <row r="271">
      <c r="A271" s="71"/>
      <c r="B271" s="209"/>
      <c r="C271" s="71"/>
      <c r="D271" s="209"/>
      <c r="E271" s="71"/>
      <c r="F271" s="209"/>
      <c r="G271" s="71"/>
      <c r="H271" s="209"/>
      <c r="I271" s="28"/>
      <c r="J271" s="209"/>
      <c r="K271" s="65"/>
      <c r="L271" s="65"/>
      <c r="M271" s="65"/>
      <c r="N271" s="65"/>
      <c r="O271" s="65"/>
      <c r="P271" s="65"/>
      <c r="Q271" s="65"/>
      <c r="R271" s="65"/>
      <c r="S271" s="65"/>
      <c r="T271" s="65"/>
      <c r="U271" s="65"/>
      <c r="V271" s="65"/>
      <c r="W271" s="65"/>
    </row>
    <row r="272">
      <c r="A272" s="71"/>
      <c r="B272" s="209"/>
      <c r="C272" s="71"/>
      <c r="D272" s="209"/>
      <c r="E272" s="71"/>
      <c r="F272" s="209"/>
      <c r="G272" s="71"/>
      <c r="H272" s="209"/>
      <c r="I272" s="28"/>
      <c r="J272" s="209"/>
      <c r="K272" s="65"/>
      <c r="L272" s="65"/>
      <c r="M272" s="65"/>
      <c r="N272" s="65"/>
      <c r="O272" s="65"/>
      <c r="P272" s="65"/>
      <c r="Q272" s="65"/>
      <c r="R272" s="65"/>
      <c r="S272" s="65"/>
      <c r="T272" s="65"/>
      <c r="U272" s="65"/>
      <c r="V272" s="65"/>
      <c r="W272" s="65"/>
    </row>
    <row r="273">
      <c r="A273" s="71"/>
      <c r="B273" s="209"/>
      <c r="C273" s="71"/>
      <c r="D273" s="209"/>
      <c r="E273" s="71"/>
      <c r="F273" s="209"/>
      <c r="G273" s="71"/>
      <c r="H273" s="209"/>
      <c r="I273" s="28"/>
      <c r="J273" s="209"/>
      <c r="K273" s="65"/>
      <c r="L273" s="65"/>
      <c r="M273" s="65"/>
      <c r="N273" s="65"/>
      <c r="O273" s="65"/>
      <c r="P273" s="65"/>
      <c r="Q273" s="65"/>
      <c r="R273" s="65"/>
      <c r="S273" s="65"/>
      <c r="T273" s="65"/>
      <c r="U273" s="65"/>
      <c r="V273" s="65"/>
      <c r="W273" s="65"/>
    </row>
    <row r="274">
      <c r="A274" s="71"/>
      <c r="B274" s="209"/>
      <c r="C274" s="71"/>
      <c r="D274" s="209"/>
      <c r="E274" s="71"/>
      <c r="F274" s="209"/>
      <c r="G274" s="71"/>
      <c r="H274" s="209"/>
      <c r="I274" s="28"/>
      <c r="J274" s="209"/>
      <c r="K274" s="65"/>
      <c r="L274" s="65"/>
      <c r="M274" s="65"/>
      <c r="N274" s="65"/>
      <c r="O274" s="65"/>
      <c r="P274" s="65"/>
      <c r="Q274" s="65"/>
      <c r="R274" s="65"/>
      <c r="S274" s="65"/>
      <c r="T274" s="65"/>
      <c r="U274" s="65"/>
      <c r="V274" s="65"/>
      <c r="W274" s="65"/>
    </row>
    <row r="275">
      <c r="A275" s="71"/>
      <c r="B275" s="209"/>
      <c r="C275" s="71"/>
      <c r="D275" s="209"/>
      <c r="E275" s="71"/>
      <c r="F275" s="209"/>
      <c r="G275" s="71"/>
      <c r="H275" s="209"/>
      <c r="I275" s="28"/>
      <c r="J275" s="209"/>
      <c r="K275" s="65"/>
      <c r="L275" s="65"/>
      <c r="M275" s="65"/>
      <c r="N275" s="65"/>
      <c r="O275" s="65"/>
      <c r="P275" s="65"/>
      <c r="Q275" s="65"/>
      <c r="R275" s="65"/>
      <c r="S275" s="65"/>
      <c r="T275" s="65"/>
      <c r="U275" s="65"/>
      <c r="V275" s="65"/>
      <c r="W275" s="65"/>
    </row>
    <row r="276">
      <c r="A276" s="71"/>
      <c r="B276" s="209"/>
      <c r="C276" s="71"/>
      <c r="D276" s="209"/>
      <c r="E276" s="71"/>
      <c r="F276" s="209"/>
      <c r="G276" s="71"/>
      <c r="H276" s="209"/>
      <c r="I276" s="28"/>
      <c r="J276" s="209"/>
      <c r="K276" s="65"/>
      <c r="L276" s="65"/>
      <c r="M276" s="65"/>
      <c r="N276" s="65"/>
      <c r="O276" s="65"/>
      <c r="P276" s="65"/>
      <c r="Q276" s="65"/>
      <c r="R276" s="65"/>
      <c r="S276" s="65"/>
      <c r="T276" s="65"/>
      <c r="U276" s="65"/>
      <c r="V276" s="65"/>
      <c r="W276" s="65"/>
    </row>
    <row r="277">
      <c r="A277" s="71"/>
      <c r="B277" s="209"/>
      <c r="C277" s="71"/>
      <c r="D277" s="209"/>
      <c r="E277" s="71"/>
      <c r="F277" s="209"/>
      <c r="G277" s="71"/>
      <c r="H277" s="209"/>
      <c r="I277" s="28"/>
      <c r="J277" s="209"/>
      <c r="K277" s="65"/>
      <c r="L277" s="65"/>
      <c r="M277" s="65"/>
      <c r="N277" s="65"/>
      <c r="O277" s="65"/>
      <c r="P277" s="65"/>
      <c r="Q277" s="65"/>
      <c r="R277" s="65"/>
      <c r="S277" s="65"/>
      <c r="T277" s="65"/>
      <c r="U277" s="65"/>
      <c r="V277" s="65"/>
      <c r="W277" s="65"/>
    </row>
    <row r="278">
      <c r="A278" s="71"/>
      <c r="B278" s="209"/>
      <c r="C278" s="71"/>
      <c r="D278" s="209"/>
      <c r="E278" s="71"/>
      <c r="F278" s="209"/>
      <c r="G278" s="71"/>
      <c r="H278" s="209"/>
      <c r="I278" s="28"/>
      <c r="J278" s="209"/>
      <c r="K278" s="65"/>
      <c r="L278" s="65"/>
      <c r="M278" s="65"/>
      <c r="N278" s="65"/>
      <c r="O278" s="65"/>
      <c r="P278" s="65"/>
      <c r="Q278" s="65"/>
      <c r="R278" s="65"/>
      <c r="S278" s="65"/>
      <c r="T278" s="65"/>
      <c r="U278" s="65"/>
      <c r="V278" s="65"/>
      <c r="W278" s="65"/>
    </row>
    <row r="279">
      <c r="A279" s="71"/>
      <c r="B279" s="209"/>
      <c r="C279" s="71"/>
      <c r="D279" s="209"/>
      <c r="E279" s="71"/>
      <c r="F279" s="209"/>
      <c r="G279" s="71"/>
      <c r="H279" s="209"/>
      <c r="I279" s="28"/>
      <c r="J279" s="209"/>
      <c r="K279" s="65"/>
      <c r="L279" s="65"/>
      <c r="M279" s="65"/>
      <c r="N279" s="65"/>
      <c r="O279" s="65"/>
      <c r="P279" s="65"/>
      <c r="Q279" s="65"/>
      <c r="R279" s="65"/>
      <c r="S279" s="65"/>
      <c r="T279" s="65"/>
      <c r="U279" s="65"/>
      <c r="V279" s="65"/>
      <c r="W279" s="65"/>
    </row>
    <row r="280">
      <c r="A280" s="71"/>
      <c r="B280" s="209"/>
      <c r="C280" s="71"/>
      <c r="D280" s="209"/>
      <c r="E280" s="71"/>
      <c r="F280" s="209"/>
      <c r="G280" s="71"/>
      <c r="H280" s="209"/>
      <c r="I280" s="28"/>
      <c r="J280" s="209"/>
      <c r="K280" s="65"/>
      <c r="L280" s="65"/>
      <c r="M280" s="65"/>
      <c r="N280" s="65"/>
      <c r="O280" s="65"/>
      <c r="P280" s="65"/>
      <c r="Q280" s="65"/>
      <c r="R280" s="65"/>
      <c r="S280" s="65"/>
      <c r="T280" s="65"/>
      <c r="U280" s="65"/>
      <c r="V280" s="65"/>
      <c r="W280" s="65"/>
    </row>
    <row r="281">
      <c r="A281" s="71"/>
      <c r="B281" s="209"/>
      <c r="C281" s="71"/>
      <c r="D281" s="209"/>
      <c r="E281" s="71"/>
      <c r="F281" s="209"/>
      <c r="G281" s="71"/>
      <c r="H281" s="209"/>
      <c r="I281" s="28"/>
      <c r="J281" s="209"/>
      <c r="K281" s="65"/>
      <c r="L281" s="65"/>
      <c r="M281" s="65"/>
      <c r="N281" s="65"/>
      <c r="O281" s="65"/>
      <c r="P281" s="65"/>
      <c r="Q281" s="65"/>
      <c r="R281" s="65"/>
      <c r="S281" s="65"/>
      <c r="T281" s="65"/>
      <c r="U281" s="65"/>
      <c r="V281" s="65"/>
      <c r="W281" s="65"/>
    </row>
    <row r="282">
      <c r="A282" s="71"/>
      <c r="B282" s="209"/>
      <c r="C282" s="71"/>
      <c r="D282" s="209"/>
      <c r="E282" s="71"/>
      <c r="F282" s="209"/>
      <c r="G282" s="71"/>
      <c r="H282" s="209"/>
      <c r="I282" s="28"/>
      <c r="J282" s="209"/>
      <c r="K282" s="65"/>
      <c r="L282" s="65"/>
      <c r="M282" s="65"/>
      <c r="N282" s="65"/>
      <c r="O282" s="65"/>
      <c r="P282" s="65"/>
      <c r="Q282" s="65"/>
      <c r="R282" s="65"/>
      <c r="S282" s="65"/>
      <c r="T282" s="65"/>
      <c r="U282" s="65"/>
      <c r="V282" s="65"/>
      <c r="W282" s="65"/>
    </row>
    <row r="283">
      <c r="A283" s="71"/>
      <c r="B283" s="209"/>
      <c r="C283" s="71"/>
      <c r="D283" s="209"/>
      <c r="E283" s="71"/>
      <c r="F283" s="209"/>
      <c r="G283" s="71"/>
      <c r="H283" s="209"/>
      <c r="I283" s="28"/>
      <c r="J283" s="209"/>
      <c r="K283" s="65"/>
      <c r="L283" s="65"/>
      <c r="M283" s="65"/>
      <c r="N283" s="65"/>
      <c r="O283" s="65"/>
      <c r="P283" s="65"/>
      <c r="Q283" s="65"/>
      <c r="R283" s="65"/>
      <c r="S283" s="65"/>
      <c r="T283" s="65"/>
      <c r="U283" s="65"/>
      <c r="V283" s="65"/>
      <c r="W283" s="65"/>
    </row>
    <row r="284">
      <c r="A284" s="71"/>
      <c r="B284" s="209"/>
      <c r="C284" s="71"/>
      <c r="D284" s="209"/>
      <c r="E284" s="71"/>
      <c r="F284" s="209"/>
      <c r="G284" s="71"/>
      <c r="H284" s="209"/>
      <c r="I284" s="28"/>
      <c r="J284" s="209"/>
      <c r="K284" s="65"/>
      <c r="L284" s="65"/>
      <c r="M284" s="65"/>
      <c r="N284" s="65"/>
      <c r="O284" s="65"/>
      <c r="P284" s="65"/>
      <c r="Q284" s="65"/>
      <c r="R284" s="65"/>
      <c r="S284" s="65"/>
      <c r="T284" s="65"/>
      <c r="U284" s="65"/>
      <c r="V284" s="65"/>
      <c r="W284" s="65"/>
    </row>
    <row r="285">
      <c r="A285" s="71"/>
      <c r="B285" s="209"/>
      <c r="C285" s="71"/>
      <c r="D285" s="209"/>
      <c r="E285" s="71"/>
      <c r="F285" s="209"/>
      <c r="G285" s="71"/>
      <c r="H285" s="209"/>
      <c r="I285" s="28"/>
      <c r="J285" s="209"/>
      <c r="K285" s="65"/>
      <c r="L285" s="65"/>
      <c r="M285" s="65"/>
      <c r="N285" s="65"/>
      <c r="O285" s="65"/>
      <c r="P285" s="65"/>
      <c r="Q285" s="65"/>
      <c r="R285" s="65"/>
      <c r="S285" s="65"/>
      <c r="T285" s="65"/>
      <c r="U285" s="65"/>
      <c r="V285" s="65"/>
      <c r="W285" s="65"/>
    </row>
    <row r="286">
      <c r="A286" s="71"/>
      <c r="B286" s="209"/>
      <c r="C286" s="71"/>
      <c r="D286" s="209"/>
      <c r="E286" s="71"/>
      <c r="F286" s="209"/>
      <c r="G286" s="71"/>
      <c r="H286" s="209"/>
      <c r="I286" s="28"/>
      <c r="J286" s="209"/>
      <c r="K286" s="65"/>
      <c r="L286" s="65"/>
      <c r="M286" s="65"/>
      <c r="N286" s="65"/>
      <c r="O286" s="65"/>
      <c r="P286" s="65"/>
      <c r="Q286" s="65"/>
      <c r="R286" s="65"/>
      <c r="S286" s="65"/>
      <c r="T286" s="65"/>
      <c r="U286" s="65"/>
      <c r="V286" s="65"/>
      <c r="W286" s="65"/>
    </row>
    <row r="287">
      <c r="A287" s="71"/>
      <c r="B287" s="209"/>
      <c r="C287" s="71"/>
      <c r="D287" s="209"/>
      <c r="E287" s="71"/>
      <c r="F287" s="209"/>
      <c r="G287" s="71"/>
      <c r="H287" s="209"/>
      <c r="I287" s="28"/>
      <c r="J287" s="209"/>
      <c r="K287" s="65"/>
      <c r="L287" s="65"/>
      <c r="M287" s="65"/>
      <c r="N287" s="65"/>
      <c r="O287" s="65"/>
      <c r="P287" s="65"/>
      <c r="Q287" s="65"/>
      <c r="R287" s="65"/>
      <c r="S287" s="65"/>
      <c r="T287" s="65"/>
      <c r="U287" s="65"/>
      <c r="V287" s="65"/>
      <c r="W287" s="65"/>
    </row>
    <row r="288">
      <c r="A288" s="71"/>
      <c r="B288" s="209"/>
      <c r="C288" s="71"/>
      <c r="D288" s="209"/>
      <c r="E288" s="71"/>
      <c r="F288" s="209"/>
      <c r="G288" s="71"/>
      <c r="H288" s="209"/>
      <c r="I288" s="28"/>
      <c r="J288" s="209"/>
      <c r="K288" s="65"/>
      <c r="L288" s="65"/>
      <c r="M288" s="65"/>
      <c r="N288" s="65"/>
      <c r="O288" s="65"/>
      <c r="P288" s="65"/>
      <c r="Q288" s="65"/>
      <c r="R288" s="65"/>
      <c r="S288" s="65"/>
      <c r="T288" s="65"/>
      <c r="U288" s="65"/>
      <c r="V288" s="65"/>
      <c r="W288" s="65"/>
    </row>
    <row r="289">
      <c r="A289" s="71"/>
      <c r="B289" s="209"/>
      <c r="C289" s="71"/>
      <c r="D289" s="209"/>
      <c r="E289" s="71"/>
      <c r="F289" s="209"/>
      <c r="G289" s="71"/>
      <c r="H289" s="209"/>
      <c r="I289" s="28"/>
      <c r="J289" s="209"/>
      <c r="K289" s="65"/>
      <c r="L289" s="65"/>
      <c r="M289" s="65"/>
      <c r="N289" s="65"/>
      <c r="O289" s="65"/>
      <c r="P289" s="65"/>
      <c r="Q289" s="65"/>
      <c r="R289" s="65"/>
      <c r="S289" s="65"/>
      <c r="T289" s="65"/>
      <c r="U289" s="65"/>
      <c r="V289" s="65"/>
      <c r="W289" s="65"/>
    </row>
    <row r="290">
      <c r="A290" s="71"/>
      <c r="B290" s="209"/>
      <c r="C290" s="71"/>
      <c r="D290" s="209"/>
      <c r="E290" s="71"/>
      <c r="F290" s="209"/>
      <c r="G290" s="71"/>
      <c r="H290" s="209"/>
      <c r="I290" s="28"/>
      <c r="J290" s="209"/>
      <c r="K290" s="65"/>
      <c r="L290" s="65"/>
      <c r="M290" s="65"/>
      <c r="N290" s="65"/>
      <c r="O290" s="65"/>
      <c r="P290" s="65"/>
      <c r="Q290" s="65"/>
      <c r="R290" s="65"/>
      <c r="S290" s="65"/>
      <c r="T290" s="65"/>
      <c r="U290" s="65"/>
      <c r="V290" s="65"/>
      <c r="W290" s="65"/>
    </row>
    <row r="291">
      <c r="A291" s="71"/>
      <c r="B291" s="209"/>
      <c r="C291" s="71"/>
      <c r="D291" s="209"/>
      <c r="E291" s="71"/>
      <c r="F291" s="209"/>
      <c r="G291" s="71"/>
      <c r="H291" s="209"/>
      <c r="I291" s="28"/>
      <c r="J291" s="209"/>
      <c r="K291" s="65"/>
      <c r="L291" s="65"/>
      <c r="M291" s="65"/>
      <c r="N291" s="65"/>
      <c r="O291" s="65"/>
      <c r="P291" s="65"/>
      <c r="Q291" s="65"/>
      <c r="R291" s="65"/>
      <c r="S291" s="65"/>
      <c r="T291" s="65"/>
      <c r="U291" s="65"/>
      <c r="V291" s="65"/>
      <c r="W291" s="65"/>
    </row>
    <row r="292">
      <c r="A292" s="71"/>
      <c r="B292" s="209"/>
      <c r="C292" s="71"/>
      <c r="D292" s="209"/>
      <c r="E292" s="71"/>
      <c r="F292" s="209"/>
      <c r="G292" s="71"/>
      <c r="H292" s="209"/>
      <c r="I292" s="28"/>
      <c r="J292" s="209"/>
      <c r="K292" s="65"/>
      <c r="L292" s="65"/>
      <c r="M292" s="65"/>
      <c r="N292" s="65"/>
      <c r="O292" s="65"/>
      <c r="P292" s="65"/>
      <c r="Q292" s="65"/>
      <c r="R292" s="65"/>
      <c r="S292" s="65"/>
      <c r="T292" s="65"/>
      <c r="U292" s="65"/>
      <c r="V292" s="65"/>
      <c r="W292" s="65"/>
    </row>
    <row r="293">
      <c r="A293" s="71"/>
      <c r="B293" s="209"/>
      <c r="C293" s="71"/>
      <c r="D293" s="209"/>
      <c r="E293" s="71"/>
      <c r="F293" s="209"/>
      <c r="G293" s="71"/>
      <c r="H293" s="209"/>
      <c r="I293" s="28"/>
      <c r="J293" s="209"/>
      <c r="K293" s="65"/>
      <c r="L293" s="65"/>
      <c r="M293" s="65"/>
      <c r="N293" s="65"/>
      <c r="O293" s="65"/>
      <c r="P293" s="65"/>
      <c r="Q293" s="65"/>
      <c r="R293" s="65"/>
      <c r="S293" s="65"/>
      <c r="T293" s="65"/>
      <c r="U293" s="65"/>
      <c r="V293" s="65"/>
      <c r="W293" s="65"/>
    </row>
    <row r="294">
      <c r="A294" s="71"/>
      <c r="B294" s="209"/>
      <c r="C294" s="71"/>
      <c r="D294" s="209"/>
      <c r="E294" s="71"/>
      <c r="F294" s="209"/>
      <c r="G294" s="71"/>
      <c r="H294" s="209"/>
      <c r="I294" s="28"/>
      <c r="J294" s="209"/>
      <c r="K294" s="65"/>
      <c r="L294" s="65"/>
      <c r="M294" s="65"/>
      <c r="N294" s="65"/>
      <c r="O294" s="65"/>
      <c r="P294" s="65"/>
      <c r="Q294" s="65"/>
      <c r="R294" s="65"/>
      <c r="S294" s="65"/>
      <c r="T294" s="65"/>
      <c r="U294" s="65"/>
      <c r="V294" s="65"/>
      <c r="W294" s="65"/>
    </row>
    <row r="295">
      <c r="A295" s="71"/>
      <c r="B295" s="209"/>
      <c r="C295" s="71"/>
      <c r="D295" s="209"/>
      <c r="E295" s="71"/>
      <c r="F295" s="209"/>
      <c r="G295" s="71"/>
      <c r="H295" s="209"/>
      <c r="I295" s="28"/>
      <c r="J295" s="209"/>
      <c r="K295" s="65"/>
      <c r="L295" s="65"/>
      <c r="M295" s="65"/>
      <c r="N295" s="65"/>
      <c r="O295" s="65"/>
      <c r="P295" s="65"/>
      <c r="Q295" s="65"/>
      <c r="R295" s="65"/>
      <c r="S295" s="65"/>
      <c r="T295" s="65"/>
      <c r="U295" s="65"/>
      <c r="V295" s="65"/>
      <c r="W295" s="65"/>
    </row>
    <row r="296">
      <c r="A296" s="71"/>
      <c r="B296" s="209"/>
      <c r="C296" s="71"/>
      <c r="D296" s="209"/>
      <c r="E296" s="71"/>
      <c r="F296" s="209"/>
      <c r="G296" s="71"/>
      <c r="H296" s="209"/>
      <c r="I296" s="28"/>
      <c r="J296" s="209"/>
      <c r="K296" s="65"/>
      <c r="L296" s="65"/>
      <c r="M296" s="65"/>
      <c r="N296" s="65"/>
      <c r="O296" s="65"/>
      <c r="P296" s="65"/>
      <c r="Q296" s="65"/>
      <c r="R296" s="65"/>
      <c r="S296" s="65"/>
      <c r="T296" s="65"/>
      <c r="U296" s="65"/>
      <c r="V296" s="65"/>
      <c r="W296" s="65"/>
    </row>
    <row r="297">
      <c r="A297" s="71"/>
      <c r="B297" s="209"/>
      <c r="C297" s="71"/>
      <c r="D297" s="209"/>
      <c r="E297" s="71"/>
      <c r="F297" s="209"/>
      <c r="G297" s="71"/>
      <c r="H297" s="209"/>
      <c r="I297" s="28"/>
      <c r="J297" s="209"/>
      <c r="K297" s="65"/>
      <c r="L297" s="65"/>
      <c r="M297" s="65"/>
      <c r="N297" s="65"/>
      <c r="O297" s="65"/>
      <c r="P297" s="65"/>
      <c r="Q297" s="65"/>
      <c r="R297" s="65"/>
      <c r="S297" s="65"/>
      <c r="T297" s="65"/>
      <c r="U297" s="65"/>
      <c r="V297" s="65"/>
      <c r="W297" s="65"/>
    </row>
    <row r="298">
      <c r="A298" s="71"/>
      <c r="B298" s="209"/>
      <c r="C298" s="71"/>
      <c r="D298" s="209"/>
      <c r="E298" s="71"/>
      <c r="F298" s="209"/>
      <c r="G298" s="71"/>
      <c r="H298" s="209"/>
      <c r="I298" s="28"/>
      <c r="J298" s="209"/>
      <c r="K298" s="65"/>
      <c r="L298" s="65"/>
      <c r="M298" s="65"/>
      <c r="N298" s="65"/>
      <c r="O298" s="65"/>
      <c r="P298" s="65"/>
      <c r="Q298" s="65"/>
      <c r="R298" s="65"/>
      <c r="S298" s="65"/>
      <c r="T298" s="65"/>
      <c r="U298" s="65"/>
      <c r="V298" s="65"/>
      <c r="W298" s="65"/>
    </row>
    <row r="299">
      <c r="A299" s="71"/>
      <c r="B299" s="209"/>
      <c r="C299" s="71"/>
      <c r="D299" s="209"/>
      <c r="E299" s="71"/>
      <c r="F299" s="209"/>
      <c r="G299" s="71"/>
      <c r="H299" s="209"/>
      <c r="I299" s="28"/>
      <c r="J299" s="209"/>
      <c r="K299" s="65"/>
      <c r="L299" s="65"/>
      <c r="M299" s="65"/>
      <c r="N299" s="65"/>
      <c r="O299" s="65"/>
      <c r="P299" s="65"/>
      <c r="Q299" s="65"/>
      <c r="R299" s="65"/>
      <c r="S299" s="65"/>
      <c r="T299" s="65"/>
      <c r="U299" s="65"/>
      <c r="V299" s="65"/>
      <c r="W299" s="65"/>
    </row>
    <row r="300">
      <c r="A300" s="71"/>
      <c r="B300" s="209"/>
      <c r="C300" s="71"/>
      <c r="D300" s="209"/>
      <c r="E300" s="71"/>
      <c r="F300" s="209"/>
      <c r="G300" s="71"/>
      <c r="H300" s="209"/>
      <c r="I300" s="28"/>
      <c r="J300" s="209"/>
      <c r="K300" s="65"/>
      <c r="L300" s="65"/>
      <c r="M300" s="65"/>
      <c r="N300" s="65"/>
      <c r="O300" s="65"/>
      <c r="P300" s="65"/>
      <c r="Q300" s="65"/>
      <c r="R300" s="65"/>
      <c r="S300" s="65"/>
      <c r="T300" s="65"/>
      <c r="U300" s="65"/>
      <c r="V300" s="65"/>
      <c r="W300" s="65"/>
    </row>
    <row r="301">
      <c r="A301" s="71"/>
      <c r="B301" s="209"/>
      <c r="C301" s="71"/>
      <c r="D301" s="209"/>
      <c r="E301" s="71"/>
      <c r="F301" s="209"/>
      <c r="G301" s="71"/>
      <c r="H301" s="209"/>
      <c r="I301" s="28"/>
      <c r="J301" s="209"/>
      <c r="K301" s="65"/>
      <c r="L301" s="65"/>
      <c r="M301" s="65"/>
      <c r="N301" s="65"/>
      <c r="O301" s="65"/>
      <c r="P301" s="65"/>
      <c r="Q301" s="65"/>
      <c r="R301" s="65"/>
      <c r="S301" s="65"/>
      <c r="T301" s="65"/>
      <c r="U301" s="65"/>
      <c r="V301" s="65"/>
      <c r="W301" s="65"/>
    </row>
    <row r="302">
      <c r="A302" s="71"/>
      <c r="B302" s="209"/>
      <c r="C302" s="71"/>
      <c r="D302" s="209"/>
      <c r="E302" s="71"/>
      <c r="F302" s="209"/>
      <c r="G302" s="71"/>
      <c r="H302" s="209"/>
      <c r="I302" s="28"/>
      <c r="J302" s="209"/>
      <c r="K302" s="65"/>
      <c r="L302" s="65"/>
      <c r="M302" s="65"/>
      <c r="N302" s="65"/>
      <c r="O302" s="65"/>
      <c r="P302" s="65"/>
      <c r="Q302" s="65"/>
      <c r="R302" s="65"/>
      <c r="S302" s="65"/>
      <c r="T302" s="65"/>
      <c r="U302" s="65"/>
      <c r="V302" s="65"/>
      <c r="W302" s="65"/>
    </row>
    <row r="303">
      <c r="A303" s="71"/>
      <c r="B303" s="209"/>
      <c r="C303" s="71"/>
      <c r="D303" s="209"/>
      <c r="E303" s="71"/>
      <c r="F303" s="209"/>
      <c r="G303" s="71"/>
      <c r="H303" s="209"/>
      <c r="I303" s="28"/>
      <c r="J303" s="209"/>
      <c r="K303" s="65"/>
      <c r="L303" s="65"/>
      <c r="M303" s="65"/>
      <c r="N303" s="65"/>
      <c r="O303" s="65"/>
      <c r="P303" s="65"/>
      <c r="Q303" s="65"/>
      <c r="R303" s="65"/>
      <c r="S303" s="65"/>
      <c r="T303" s="65"/>
      <c r="U303" s="65"/>
      <c r="V303" s="65"/>
      <c r="W303" s="65"/>
    </row>
    <row r="304">
      <c r="A304" s="71"/>
      <c r="B304" s="209"/>
      <c r="C304" s="71"/>
      <c r="D304" s="209"/>
      <c r="E304" s="71"/>
      <c r="F304" s="209"/>
      <c r="G304" s="71"/>
      <c r="H304" s="209"/>
      <c r="I304" s="28"/>
      <c r="J304" s="209"/>
      <c r="K304" s="65"/>
      <c r="L304" s="65"/>
      <c r="M304" s="65"/>
      <c r="N304" s="65"/>
      <c r="O304" s="65"/>
      <c r="P304" s="65"/>
      <c r="Q304" s="65"/>
      <c r="R304" s="65"/>
      <c r="S304" s="65"/>
      <c r="T304" s="65"/>
      <c r="U304" s="65"/>
      <c r="V304" s="65"/>
      <c r="W304" s="65"/>
    </row>
    <row r="305">
      <c r="A305" s="71"/>
      <c r="B305" s="209"/>
      <c r="C305" s="71"/>
      <c r="D305" s="209"/>
      <c r="E305" s="71"/>
      <c r="F305" s="209"/>
      <c r="G305" s="71"/>
      <c r="H305" s="209"/>
      <c r="I305" s="28"/>
      <c r="J305" s="209"/>
      <c r="K305" s="65"/>
      <c r="L305" s="65"/>
      <c r="M305" s="65"/>
      <c r="N305" s="65"/>
      <c r="O305" s="65"/>
      <c r="P305" s="65"/>
      <c r="Q305" s="65"/>
      <c r="R305" s="65"/>
      <c r="S305" s="65"/>
      <c r="T305" s="65"/>
      <c r="U305" s="65"/>
      <c r="V305" s="65"/>
      <c r="W305" s="65"/>
    </row>
    <row r="306">
      <c r="A306" s="71"/>
      <c r="B306" s="209"/>
      <c r="C306" s="71"/>
      <c r="D306" s="209"/>
      <c r="E306" s="71"/>
      <c r="F306" s="209"/>
      <c r="G306" s="71"/>
      <c r="H306" s="209"/>
      <c r="I306" s="28"/>
      <c r="J306" s="209"/>
      <c r="K306" s="65"/>
      <c r="L306" s="65"/>
      <c r="M306" s="65"/>
      <c r="N306" s="65"/>
      <c r="O306" s="65"/>
      <c r="P306" s="65"/>
      <c r="Q306" s="65"/>
      <c r="R306" s="65"/>
      <c r="S306" s="65"/>
      <c r="T306" s="65"/>
      <c r="U306" s="65"/>
      <c r="V306" s="65"/>
      <c r="W306" s="65"/>
    </row>
    <row r="307">
      <c r="A307" s="71"/>
      <c r="B307" s="209"/>
      <c r="C307" s="71"/>
      <c r="D307" s="209"/>
      <c r="E307" s="71"/>
      <c r="F307" s="209"/>
      <c r="G307" s="71"/>
      <c r="H307" s="209"/>
      <c r="I307" s="28"/>
      <c r="J307" s="209"/>
      <c r="K307" s="65"/>
      <c r="L307" s="65"/>
      <c r="M307" s="65"/>
      <c r="N307" s="65"/>
      <c r="O307" s="65"/>
      <c r="P307" s="65"/>
      <c r="Q307" s="65"/>
      <c r="R307" s="65"/>
      <c r="S307" s="65"/>
      <c r="T307" s="65"/>
      <c r="U307" s="65"/>
      <c r="V307" s="65"/>
      <c r="W307" s="65"/>
    </row>
    <row r="308">
      <c r="A308" s="71"/>
      <c r="B308" s="209"/>
      <c r="C308" s="71"/>
      <c r="D308" s="209"/>
      <c r="E308" s="71"/>
      <c r="F308" s="209"/>
      <c r="G308" s="71"/>
      <c r="H308" s="209"/>
      <c r="I308" s="28"/>
      <c r="J308" s="209"/>
      <c r="K308" s="65"/>
      <c r="L308" s="65"/>
      <c r="M308" s="65"/>
      <c r="N308" s="65"/>
      <c r="O308" s="65"/>
      <c r="P308" s="65"/>
      <c r="Q308" s="65"/>
      <c r="R308" s="65"/>
      <c r="S308" s="65"/>
      <c r="T308" s="65"/>
      <c r="U308" s="65"/>
      <c r="V308" s="65"/>
      <c r="W308" s="65"/>
    </row>
    <row r="309">
      <c r="A309" s="71"/>
      <c r="B309" s="209"/>
      <c r="C309" s="71"/>
      <c r="D309" s="209"/>
      <c r="E309" s="71"/>
      <c r="F309" s="209"/>
      <c r="G309" s="71"/>
      <c r="H309" s="209"/>
      <c r="I309" s="28"/>
      <c r="J309" s="209"/>
      <c r="K309" s="65"/>
      <c r="L309" s="65"/>
      <c r="M309" s="65"/>
      <c r="N309" s="65"/>
      <c r="O309" s="65"/>
      <c r="P309" s="65"/>
      <c r="Q309" s="65"/>
      <c r="R309" s="65"/>
      <c r="S309" s="65"/>
      <c r="T309" s="65"/>
      <c r="U309" s="65"/>
      <c r="V309" s="65"/>
      <c r="W309" s="65"/>
    </row>
    <row r="310">
      <c r="A310" s="71"/>
      <c r="B310" s="209"/>
      <c r="C310" s="71"/>
      <c r="D310" s="209"/>
      <c r="E310" s="71"/>
      <c r="F310" s="209"/>
      <c r="G310" s="71"/>
      <c r="H310" s="209"/>
      <c r="I310" s="28"/>
      <c r="J310" s="209"/>
      <c r="K310" s="65"/>
      <c r="L310" s="65"/>
      <c r="M310" s="65"/>
      <c r="N310" s="65"/>
      <c r="O310" s="65"/>
      <c r="P310" s="65"/>
      <c r="Q310" s="65"/>
      <c r="R310" s="65"/>
      <c r="S310" s="65"/>
      <c r="T310" s="65"/>
      <c r="U310" s="65"/>
      <c r="V310" s="65"/>
      <c r="W310" s="65"/>
    </row>
    <row r="311">
      <c r="A311" s="71"/>
      <c r="B311" s="209"/>
      <c r="C311" s="71"/>
      <c r="D311" s="209"/>
      <c r="E311" s="71"/>
      <c r="F311" s="209"/>
      <c r="G311" s="71"/>
      <c r="H311" s="209"/>
      <c r="I311" s="28"/>
      <c r="J311" s="209"/>
      <c r="K311" s="65"/>
      <c r="L311" s="65"/>
      <c r="M311" s="65"/>
      <c r="N311" s="65"/>
      <c r="O311" s="65"/>
      <c r="P311" s="65"/>
      <c r="Q311" s="65"/>
      <c r="R311" s="65"/>
      <c r="S311" s="65"/>
      <c r="T311" s="65"/>
      <c r="U311" s="65"/>
      <c r="V311" s="65"/>
      <c r="W311" s="65"/>
    </row>
    <row r="312">
      <c r="A312" s="71"/>
      <c r="B312" s="209"/>
      <c r="C312" s="71"/>
      <c r="D312" s="209"/>
      <c r="E312" s="71"/>
      <c r="F312" s="209"/>
      <c r="G312" s="71"/>
      <c r="H312" s="209"/>
      <c r="I312" s="28"/>
      <c r="J312" s="209"/>
      <c r="K312" s="65"/>
      <c r="L312" s="65"/>
      <c r="M312" s="65"/>
      <c r="N312" s="65"/>
      <c r="O312" s="65"/>
      <c r="P312" s="65"/>
      <c r="Q312" s="65"/>
      <c r="R312" s="65"/>
      <c r="S312" s="65"/>
      <c r="T312" s="65"/>
      <c r="U312" s="65"/>
      <c r="V312" s="65"/>
      <c r="W312" s="65"/>
    </row>
    <row r="313">
      <c r="A313" s="71"/>
      <c r="B313" s="209"/>
      <c r="C313" s="71"/>
      <c r="D313" s="209"/>
      <c r="E313" s="71"/>
      <c r="F313" s="209"/>
      <c r="G313" s="71"/>
      <c r="H313" s="209"/>
      <c r="I313" s="28"/>
      <c r="J313" s="209"/>
      <c r="K313" s="65"/>
      <c r="L313" s="65"/>
      <c r="M313" s="65"/>
      <c r="N313" s="65"/>
      <c r="O313" s="65"/>
      <c r="P313" s="65"/>
      <c r="Q313" s="65"/>
      <c r="R313" s="65"/>
      <c r="S313" s="65"/>
      <c r="T313" s="65"/>
      <c r="U313" s="65"/>
      <c r="V313" s="65"/>
      <c r="W313" s="65"/>
    </row>
    <row r="314">
      <c r="A314" s="71"/>
      <c r="B314" s="209"/>
      <c r="C314" s="71"/>
      <c r="D314" s="209"/>
      <c r="E314" s="71"/>
      <c r="F314" s="209"/>
      <c r="G314" s="71"/>
      <c r="H314" s="209"/>
      <c r="I314" s="28"/>
      <c r="J314" s="209"/>
      <c r="K314" s="65"/>
      <c r="L314" s="65"/>
      <c r="M314" s="65"/>
      <c r="N314" s="65"/>
      <c r="O314" s="65"/>
      <c r="P314" s="65"/>
      <c r="Q314" s="65"/>
      <c r="R314" s="65"/>
      <c r="S314" s="65"/>
      <c r="T314" s="65"/>
      <c r="U314" s="65"/>
      <c r="V314" s="65"/>
      <c r="W314" s="65"/>
    </row>
    <row r="315">
      <c r="A315" s="71"/>
      <c r="B315" s="209"/>
      <c r="C315" s="71"/>
      <c r="D315" s="209"/>
      <c r="E315" s="71"/>
      <c r="F315" s="209"/>
      <c r="G315" s="71"/>
      <c r="H315" s="209"/>
      <c r="I315" s="28"/>
      <c r="J315" s="209"/>
      <c r="K315" s="65"/>
      <c r="L315" s="65"/>
      <c r="M315" s="65"/>
      <c r="N315" s="65"/>
      <c r="O315" s="65"/>
      <c r="P315" s="65"/>
      <c r="Q315" s="65"/>
      <c r="R315" s="65"/>
      <c r="S315" s="65"/>
      <c r="T315" s="65"/>
      <c r="U315" s="65"/>
      <c r="V315" s="65"/>
      <c r="W315" s="65"/>
    </row>
    <row r="316">
      <c r="A316" s="71"/>
      <c r="B316" s="209"/>
      <c r="C316" s="71"/>
      <c r="D316" s="209"/>
      <c r="E316" s="71"/>
      <c r="F316" s="209"/>
      <c r="G316" s="71"/>
      <c r="H316" s="209"/>
      <c r="I316" s="28"/>
      <c r="J316" s="209"/>
      <c r="K316" s="65"/>
      <c r="L316" s="65"/>
      <c r="M316" s="65"/>
      <c r="N316" s="65"/>
      <c r="O316" s="65"/>
      <c r="P316" s="65"/>
      <c r="Q316" s="65"/>
      <c r="R316" s="65"/>
      <c r="S316" s="65"/>
      <c r="T316" s="65"/>
      <c r="U316" s="65"/>
      <c r="V316" s="65"/>
      <c r="W316" s="65"/>
    </row>
    <row r="317">
      <c r="A317" s="71"/>
      <c r="B317" s="209"/>
      <c r="C317" s="71"/>
      <c r="D317" s="209"/>
      <c r="E317" s="71"/>
      <c r="F317" s="209"/>
      <c r="G317" s="71"/>
      <c r="H317" s="209"/>
      <c r="I317" s="28"/>
      <c r="J317" s="209"/>
      <c r="K317" s="65"/>
      <c r="L317" s="65"/>
      <c r="M317" s="65"/>
      <c r="N317" s="65"/>
      <c r="O317" s="65"/>
      <c r="P317" s="65"/>
      <c r="Q317" s="65"/>
      <c r="R317" s="65"/>
      <c r="S317" s="65"/>
      <c r="T317" s="65"/>
      <c r="U317" s="65"/>
      <c r="V317" s="65"/>
      <c r="W317" s="65"/>
    </row>
    <row r="318">
      <c r="A318" s="71"/>
      <c r="B318" s="209"/>
      <c r="C318" s="71"/>
      <c r="D318" s="209"/>
      <c r="E318" s="71"/>
      <c r="F318" s="209"/>
      <c r="G318" s="71"/>
      <c r="H318" s="209"/>
      <c r="I318" s="28"/>
      <c r="J318" s="209"/>
      <c r="K318" s="65"/>
      <c r="L318" s="65"/>
      <c r="M318" s="65"/>
      <c r="N318" s="65"/>
      <c r="O318" s="65"/>
      <c r="P318" s="65"/>
      <c r="Q318" s="65"/>
      <c r="R318" s="65"/>
      <c r="S318" s="65"/>
      <c r="T318" s="65"/>
      <c r="U318" s="65"/>
      <c r="V318" s="65"/>
      <c r="W318" s="65"/>
    </row>
    <row r="319">
      <c r="A319" s="71"/>
      <c r="B319" s="209"/>
      <c r="C319" s="71"/>
      <c r="D319" s="209"/>
      <c r="E319" s="71"/>
      <c r="F319" s="209"/>
      <c r="G319" s="71"/>
      <c r="H319" s="209"/>
      <c r="I319" s="28"/>
      <c r="J319" s="209"/>
      <c r="K319" s="65"/>
      <c r="L319" s="65"/>
      <c r="M319" s="65"/>
      <c r="N319" s="65"/>
      <c r="O319" s="65"/>
      <c r="P319" s="65"/>
      <c r="Q319" s="65"/>
      <c r="R319" s="65"/>
      <c r="S319" s="65"/>
      <c r="T319" s="65"/>
      <c r="U319" s="65"/>
      <c r="V319" s="65"/>
      <c r="W319" s="65"/>
    </row>
    <row r="320">
      <c r="A320" s="71"/>
      <c r="B320" s="209"/>
      <c r="C320" s="71"/>
      <c r="D320" s="209"/>
      <c r="E320" s="71"/>
      <c r="F320" s="209"/>
      <c r="G320" s="71"/>
      <c r="H320" s="209"/>
      <c r="I320" s="28"/>
      <c r="J320" s="209"/>
      <c r="K320" s="65"/>
      <c r="L320" s="65"/>
      <c r="M320" s="65"/>
      <c r="N320" s="65"/>
      <c r="O320" s="65"/>
      <c r="P320" s="65"/>
      <c r="Q320" s="65"/>
      <c r="R320" s="65"/>
      <c r="S320" s="65"/>
      <c r="T320" s="65"/>
      <c r="U320" s="65"/>
      <c r="V320" s="65"/>
      <c r="W320" s="65"/>
    </row>
    <row r="321">
      <c r="A321" s="71"/>
      <c r="B321" s="209"/>
      <c r="C321" s="71"/>
      <c r="D321" s="209"/>
      <c r="E321" s="71"/>
      <c r="F321" s="209"/>
      <c r="G321" s="71"/>
      <c r="H321" s="209"/>
      <c r="I321" s="28"/>
      <c r="J321" s="209"/>
      <c r="K321" s="65"/>
      <c r="L321" s="65"/>
      <c r="M321" s="65"/>
      <c r="N321" s="65"/>
      <c r="O321" s="65"/>
      <c r="P321" s="65"/>
      <c r="Q321" s="65"/>
      <c r="R321" s="65"/>
      <c r="S321" s="65"/>
      <c r="T321" s="65"/>
      <c r="U321" s="65"/>
      <c r="V321" s="65"/>
      <c r="W321" s="65"/>
    </row>
    <row r="322">
      <c r="A322" s="71"/>
      <c r="B322" s="209"/>
      <c r="C322" s="71"/>
      <c r="D322" s="209"/>
      <c r="E322" s="71"/>
      <c r="F322" s="209"/>
      <c r="G322" s="71"/>
      <c r="H322" s="209"/>
      <c r="I322" s="28"/>
      <c r="J322" s="209"/>
      <c r="K322" s="65"/>
      <c r="L322" s="65"/>
      <c r="M322" s="65"/>
      <c r="N322" s="65"/>
      <c r="O322" s="65"/>
      <c r="P322" s="65"/>
      <c r="Q322" s="65"/>
      <c r="R322" s="65"/>
      <c r="S322" s="65"/>
      <c r="T322" s="65"/>
      <c r="U322" s="65"/>
      <c r="V322" s="65"/>
      <c r="W322" s="65"/>
    </row>
    <row r="323">
      <c r="A323" s="71"/>
      <c r="B323" s="209"/>
      <c r="C323" s="71"/>
      <c r="D323" s="209"/>
      <c r="E323" s="71"/>
      <c r="F323" s="209"/>
      <c r="G323" s="71"/>
      <c r="H323" s="209"/>
      <c r="I323" s="28"/>
      <c r="J323" s="209"/>
      <c r="K323" s="65"/>
      <c r="L323" s="65"/>
      <c r="M323" s="65"/>
      <c r="N323" s="65"/>
      <c r="O323" s="65"/>
      <c r="P323" s="65"/>
      <c r="Q323" s="65"/>
      <c r="R323" s="65"/>
      <c r="S323" s="65"/>
      <c r="T323" s="65"/>
      <c r="U323" s="65"/>
      <c r="V323" s="65"/>
      <c r="W323" s="65"/>
    </row>
    <row r="324">
      <c r="A324" s="71"/>
      <c r="B324" s="209"/>
      <c r="C324" s="71"/>
      <c r="D324" s="209"/>
      <c r="E324" s="71"/>
      <c r="F324" s="209"/>
      <c r="G324" s="71"/>
      <c r="H324" s="209"/>
      <c r="I324" s="28"/>
      <c r="J324" s="209"/>
      <c r="K324" s="65"/>
      <c r="L324" s="65"/>
      <c r="M324" s="65"/>
      <c r="N324" s="65"/>
      <c r="O324" s="65"/>
      <c r="P324" s="65"/>
      <c r="Q324" s="65"/>
      <c r="R324" s="65"/>
      <c r="S324" s="65"/>
      <c r="T324" s="65"/>
      <c r="U324" s="65"/>
      <c r="V324" s="65"/>
      <c r="W324" s="65"/>
    </row>
    <row r="325">
      <c r="A325" s="71"/>
      <c r="B325" s="209"/>
      <c r="C325" s="71"/>
      <c r="D325" s="209"/>
      <c r="E325" s="71"/>
      <c r="F325" s="209"/>
      <c r="G325" s="71"/>
      <c r="H325" s="209"/>
      <c r="I325" s="28"/>
      <c r="J325" s="209"/>
      <c r="K325" s="65"/>
      <c r="L325" s="65"/>
      <c r="M325" s="65"/>
      <c r="N325" s="65"/>
      <c r="O325" s="65"/>
      <c r="P325" s="65"/>
      <c r="Q325" s="65"/>
      <c r="R325" s="65"/>
      <c r="S325" s="65"/>
      <c r="T325" s="65"/>
      <c r="U325" s="65"/>
      <c r="V325" s="65"/>
      <c r="W325" s="65"/>
    </row>
    <row r="326">
      <c r="A326" s="71"/>
      <c r="B326" s="209"/>
      <c r="C326" s="71"/>
      <c r="D326" s="209"/>
      <c r="E326" s="71"/>
      <c r="F326" s="209"/>
      <c r="G326" s="71"/>
      <c r="H326" s="209"/>
      <c r="I326" s="28"/>
      <c r="J326" s="209"/>
      <c r="K326" s="65"/>
      <c r="L326" s="65"/>
      <c r="M326" s="65"/>
      <c r="N326" s="65"/>
      <c r="O326" s="65"/>
      <c r="P326" s="65"/>
      <c r="Q326" s="65"/>
      <c r="R326" s="65"/>
      <c r="S326" s="65"/>
      <c r="T326" s="65"/>
      <c r="U326" s="65"/>
      <c r="V326" s="65"/>
      <c r="W326" s="65"/>
    </row>
    <row r="327">
      <c r="A327" s="71"/>
      <c r="B327" s="209"/>
      <c r="C327" s="71"/>
      <c r="D327" s="209"/>
      <c r="E327" s="71"/>
      <c r="F327" s="209"/>
      <c r="G327" s="71"/>
      <c r="H327" s="209"/>
      <c r="I327" s="28"/>
      <c r="J327" s="209"/>
      <c r="K327" s="65"/>
      <c r="L327" s="65"/>
      <c r="M327" s="65"/>
      <c r="N327" s="65"/>
      <c r="O327" s="65"/>
      <c r="P327" s="65"/>
      <c r="Q327" s="65"/>
      <c r="R327" s="65"/>
      <c r="S327" s="65"/>
      <c r="T327" s="65"/>
      <c r="U327" s="65"/>
      <c r="V327" s="65"/>
      <c r="W327" s="65"/>
    </row>
    <row r="328">
      <c r="A328" s="71"/>
      <c r="B328" s="209"/>
      <c r="C328" s="71"/>
      <c r="D328" s="209"/>
      <c r="E328" s="71"/>
      <c r="F328" s="209"/>
      <c r="G328" s="71"/>
      <c r="H328" s="209"/>
      <c r="I328" s="28"/>
      <c r="J328" s="209"/>
      <c r="K328" s="65"/>
      <c r="L328" s="65"/>
      <c r="M328" s="65"/>
      <c r="N328" s="65"/>
      <c r="O328" s="65"/>
      <c r="P328" s="65"/>
      <c r="Q328" s="65"/>
      <c r="R328" s="65"/>
      <c r="S328" s="65"/>
      <c r="T328" s="65"/>
      <c r="U328" s="65"/>
      <c r="V328" s="65"/>
      <c r="W328" s="65"/>
    </row>
    <row r="329">
      <c r="A329" s="71"/>
      <c r="B329" s="209"/>
      <c r="C329" s="71"/>
      <c r="D329" s="209"/>
      <c r="E329" s="71"/>
      <c r="F329" s="209"/>
      <c r="G329" s="71"/>
      <c r="H329" s="209"/>
      <c r="I329" s="28"/>
      <c r="J329" s="209"/>
      <c r="K329" s="65"/>
      <c r="L329" s="65"/>
      <c r="M329" s="65"/>
      <c r="N329" s="65"/>
      <c r="O329" s="65"/>
      <c r="P329" s="65"/>
      <c r="Q329" s="65"/>
      <c r="R329" s="65"/>
      <c r="S329" s="65"/>
      <c r="T329" s="65"/>
      <c r="U329" s="65"/>
      <c r="V329" s="65"/>
      <c r="W329" s="65"/>
    </row>
    <row r="330">
      <c r="A330" s="71"/>
      <c r="B330" s="209"/>
      <c r="C330" s="71"/>
      <c r="D330" s="209"/>
      <c r="E330" s="71"/>
      <c r="F330" s="209"/>
      <c r="G330" s="71"/>
      <c r="H330" s="209"/>
      <c r="I330" s="28"/>
      <c r="J330" s="209"/>
      <c r="K330" s="65"/>
      <c r="L330" s="65"/>
      <c r="M330" s="65"/>
      <c r="N330" s="65"/>
      <c r="O330" s="65"/>
      <c r="P330" s="65"/>
      <c r="Q330" s="65"/>
      <c r="R330" s="65"/>
      <c r="S330" s="65"/>
      <c r="T330" s="65"/>
      <c r="U330" s="65"/>
      <c r="V330" s="65"/>
      <c r="W330" s="65"/>
    </row>
    <row r="331">
      <c r="A331" s="71"/>
      <c r="B331" s="209"/>
      <c r="C331" s="71"/>
      <c r="D331" s="209"/>
      <c r="E331" s="71"/>
      <c r="F331" s="209"/>
      <c r="G331" s="71"/>
      <c r="H331" s="209"/>
      <c r="I331" s="28"/>
      <c r="J331" s="209"/>
      <c r="K331" s="65"/>
      <c r="L331" s="65"/>
      <c r="M331" s="65"/>
      <c r="N331" s="65"/>
      <c r="O331" s="65"/>
      <c r="P331" s="65"/>
      <c r="Q331" s="65"/>
      <c r="R331" s="65"/>
      <c r="S331" s="65"/>
      <c r="T331" s="65"/>
      <c r="U331" s="65"/>
      <c r="V331" s="65"/>
      <c r="W331" s="65"/>
    </row>
    <row r="332">
      <c r="A332" s="71"/>
      <c r="B332" s="209"/>
      <c r="C332" s="71"/>
      <c r="D332" s="209"/>
      <c r="E332" s="71"/>
      <c r="F332" s="209"/>
      <c r="G332" s="71"/>
      <c r="H332" s="209"/>
      <c r="I332" s="28"/>
      <c r="J332" s="209"/>
      <c r="K332" s="65"/>
      <c r="L332" s="65"/>
      <c r="M332" s="65"/>
      <c r="N332" s="65"/>
      <c r="O332" s="65"/>
      <c r="P332" s="65"/>
      <c r="Q332" s="65"/>
      <c r="R332" s="65"/>
      <c r="S332" s="65"/>
      <c r="T332" s="65"/>
      <c r="U332" s="65"/>
      <c r="V332" s="65"/>
      <c r="W332" s="65"/>
    </row>
    <row r="333">
      <c r="A333" s="71"/>
      <c r="B333" s="209"/>
      <c r="C333" s="71"/>
      <c r="D333" s="209"/>
      <c r="E333" s="71"/>
      <c r="F333" s="209"/>
      <c r="G333" s="71"/>
      <c r="H333" s="209"/>
      <c r="I333" s="28"/>
      <c r="J333" s="209"/>
      <c r="K333" s="65"/>
      <c r="L333" s="65"/>
      <c r="M333" s="65"/>
      <c r="N333" s="65"/>
      <c r="O333" s="65"/>
      <c r="P333" s="65"/>
      <c r="Q333" s="65"/>
      <c r="R333" s="65"/>
      <c r="S333" s="65"/>
      <c r="T333" s="65"/>
      <c r="U333" s="65"/>
      <c r="V333" s="65"/>
      <c r="W333" s="65"/>
    </row>
    <row r="334">
      <c r="A334" s="71"/>
      <c r="B334" s="209"/>
      <c r="C334" s="71"/>
      <c r="D334" s="209"/>
      <c r="E334" s="71"/>
      <c r="F334" s="209"/>
      <c r="G334" s="71"/>
      <c r="H334" s="209"/>
      <c r="I334" s="28"/>
      <c r="J334" s="209"/>
      <c r="K334" s="65"/>
      <c r="L334" s="65"/>
      <c r="M334" s="65"/>
      <c r="N334" s="65"/>
      <c r="O334" s="65"/>
      <c r="P334" s="65"/>
      <c r="Q334" s="65"/>
      <c r="R334" s="65"/>
      <c r="S334" s="65"/>
      <c r="T334" s="65"/>
      <c r="U334" s="65"/>
      <c r="V334" s="65"/>
      <c r="W334" s="65"/>
    </row>
    <row r="335">
      <c r="A335" s="71"/>
      <c r="B335" s="209"/>
      <c r="C335" s="71"/>
      <c r="D335" s="209"/>
      <c r="E335" s="71"/>
      <c r="F335" s="209"/>
      <c r="G335" s="71"/>
      <c r="H335" s="209"/>
      <c r="I335" s="28"/>
      <c r="J335" s="209"/>
      <c r="K335" s="65"/>
      <c r="L335" s="65"/>
      <c r="M335" s="65"/>
      <c r="N335" s="65"/>
      <c r="O335" s="65"/>
      <c r="P335" s="65"/>
      <c r="Q335" s="65"/>
      <c r="R335" s="65"/>
      <c r="S335" s="65"/>
      <c r="T335" s="65"/>
      <c r="U335" s="65"/>
      <c r="V335" s="65"/>
      <c r="W335" s="65"/>
    </row>
    <row r="336">
      <c r="A336" s="71"/>
      <c r="B336" s="209"/>
      <c r="C336" s="71"/>
      <c r="D336" s="209"/>
      <c r="E336" s="71"/>
      <c r="F336" s="209"/>
      <c r="G336" s="71"/>
      <c r="H336" s="209"/>
      <c r="I336" s="28"/>
      <c r="J336" s="209"/>
      <c r="K336" s="65"/>
      <c r="L336" s="65"/>
      <c r="M336" s="65"/>
      <c r="N336" s="65"/>
      <c r="O336" s="65"/>
      <c r="P336" s="65"/>
      <c r="Q336" s="65"/>
      <c r="R336" s="65"/>
      <c r="S336" s="65"/>
      <c r="T336" s="65"/>
      <c r="U336" s="65"/>
      <c r="V336" s="65"/>
      <c r="W336" s="65"/>
    </row>
    <row r="337">
      <c r="A337" s="71"/>
      <c r="B337" s="209"/>
      <c r="C337" s="71"/>
      <c r="D337" s="209"/>
      <c r="E337" s="71"/>
      <c r="F337" s="209"/>
      <c r="G337" s="71"/>
      <c r="H337" s="209"/>
      <c r="I337" s="28"/>
      <c r="J337" s="209"/>
      <c r="K337" s="65"/>
      <c r="L337" s="65"/>
      <c r="M337" s="65"/>
      <c r="N337" s="65"/>
      <c r="O337" s="65"/>
      <c r="P337" s="65"/>
      <c r="Q337" s="65"/>
      <c r="R337" s="65"/>
      <c r="S337" s="65"/>
      <c r="T337" s="65"/>
      <c r="U337" s="65"/>
      <c r="V337" s="65"/>
      <c r="W337" s="65"/>
    </row>
    <row r="338">
      <c r="A338" s="71"/>
      <c r="B338" s="209"/>
      <c r="C338" s="71"/>
      <c r="D338" s="209"/>
      <c r="E338" s="71"/>
      <c r="F338" s="209"/>
      <c r="G338" s="71"/>
      <c r="H338" s="209"/>
      <c r="I338" s="28"/>
      <c r="J338" s="209"/>
      <c r="K338" s="65"/>
      <c r="L338" s="65"/>
      <c r="M338" s="65"/>
      <c r="N338" s="65"/>
      <c r="O338" s="65"/>
      <c r="P338" s="65"/>
      <c r="Q338" s="65"/>
      <c r="R338" s="65"/>
      <c r="S338" s="65"/>
      <c r="T338" s="65"/>
      <c r="U338" s="65"/>
      <c r="V338" s="65"/>
      <c r="W338" s="65"/>
    </row>
    <row r="339">
      <c r="A339" s="71"/>
      <c r="B339" s="209"/>
      <c r="C339" s="71"/>
      <c r="D339" s="209"/>
      <c r="E339" s="71"/>
      <c r="F339" s="209"/>
      <c r="G339" s="71"/>
      <c r="H339" s="209"/>
      <c r="I339" s="28"/>
      <c r="J339" s="209"/>
      <c r="K339" s="65"/>
      <c r="L339" s="65"/>
      <c r="M339" s="65"/>
      <c r="N339" s="65"/>
      <c r="O339" s="65"/>
      <c r="P339" s="65"/>
      <c r="Q339" s="65"/>
      <c r="R339" s="65"/>
      <c r="S339" s="65"/>
      <c r="T339" s="65"/>
      <c r="U339" s="65"/>
      <c r="V339" s="65"/>
      <c r="W339" s="65"/>
    </row>
    <row r="340">
      <c r="A340" s="71"/>
      <c r="B340" s="209"/>
      <c r="C340" s="71"/>
      <c r="D340" s="209"/>
      <c r="E340" s="71"/>
      <c r="F340" s="209"/>
      <c r="G340" s="71"/>
      <c r="H340" s="209"/>
      <c r="I340" s="28"/>
      <c r="J340" s="209"/>
      <c r="K340" s="65"/>
      <c r="L340" s="65"/>
      <c r="M340" s="65"/>
      <c r="N340" s="65"/>
      <c r="O340" s="65"/>
      <c r="P340" s="65"/>
      <c r="Q340" s="65"/>
      <c r="R340" s="65"/>
      <c r="S340" s="65"/>
      <c r="T340" s="65"/>
      <c r="U340" s="65"/>
      <c r="V340" s="65"/>
      <c r="W340" s="65"/>
    </row>
    <row r="341">
      <c r="A341" s="71"/>
      <c r="B341" s="209"/>
      <c r="C341" s="71"/>
      <c r="D341" s="209"/>
      <c r="E341" s="71"/>
      <c r="F341" s="209"/>
      <c r="G341" s="71"/>
      <c r="H341" s="209"/>
      <c r="I341" s="28"/>
      <c r="J341" s="209"/>
      <c r="K341" s="65"/>
      <c r="L341" s="65"/>
      <c r="M341" s="65"/>
      <c r="N341" s="65"/>
      <c r="O341" s="65"/>
      <c r="P341" s="65"/>
      <c r="Q341" s="65"/>
      <c r="R341" s="65"/>
      <c r="S341" s="65"/>
      <c r="T341" s="65"/>
      <c r="U341" s="65"/>
      <c r="V341" s="65"/>
      <c r="W341" s="65"/>
    </row>
    <row r="342">
      <c r="A342" s="71"/>
      <c r="B342" s="209"/>
      <c r="C342" s="71"/>
      <c r="D342" s="209"/>
      <c r="E342" s="71"/>
      <c r="F342" s="209"/>
      <c r="G342" s="71"/>
      <c r="H342" s="209"/>
      <c r="I342" s="28"/>
      <c r="J342" s="209"/>
      <c r="K342" s="65"/>
      <c r="L342" s="65"/>
      <c r="M342" s="65"/>
      <c r="N342" s="65"/>
      <c r="O342" s="65"/>
      <c r="P342" s="65"/>
      <c r="Q342" s="65"/>
      <c r="R342" s="65"/>
      <c r="S342" s="65"/>
      <c r="T342" s="65"/>
      <c r="U342" s="65"/>
      <c r="V342" s="65"/>
      <c r="W342" s="65"/>
    </row>
    <row r="343">
      <c r="A343" s="71"/>
      <c r="B343" s="209"/>
      <c r="C343" s="71"/>
      <c r="D343" s="209"/>
      <c r="E343" s="71"/>
      <c r="F343" s="209"/>
      <c r="G343" s="71"/>
      <c r="H343" s="209"/>
      <c r="I343" s="28"/>
      <c r="J343" s="209"/>
      <c r="K343" s="65"/>
      <c r="L343" s="65"/>
      <c r="M343" s="65"/>
      <c r="N343" s="65"/>
      <c r="O343" s="65"/>
      <c r="P343" s="65"/>
      <c r="Q343" s="65"/>
      <c r="R343" s="65"/>
      <c r="S343" s="65"/>
      <c r="T343" s="65"/>
      <c r="U343" s="65"/>
      <c r="V343" s="65"/>
      <c r="W343" s="65"/>
    </row>
    <row r="344">
      <c r="A344" s="71"/>
      <c r="B344" s="209"/>
      <c r="C344" s="71"/>
      <c r="D344" s="209"/>
      <c r="E344" s="71"/>
      <c r="F344" s="209"/>
      <c r="G344" s="71"/>
      <c r="H344" s="209"/>
      <c r="I344" s="28"/>
      <c r="J344" s="209"/>
      <c r="K344" s="65"/>
      <c r="L344" s="65"/>
      <c r="M344" s="65"/>
      <c r="N344" s="65"/>
      <c r="O344" s="65"/>
      <c r="P344" s="65"/>
      <c r="Q344" s="65"/>
      <c r="R344" s="65"/>
      <c r="S344" s="65"/>
      <c r="T344" s="65"/>
      <c r="U344" s="65"/>
      <c r="V344" s="65"/>
      <c r="W344" s="65"/>
    </row>
    <row r="345">
      <c r="A345" s="71"/>
      <c r="B345" s="209"/>
      <c r="C345" s="71"/>
      <c r="D345" s="209"/>
      <c r="E345" s="71"/>
      <c r="F345" s="209"/>
      <c r="G345" s="71"/>
      <c r="H345" s="209"/>
      <c r="I345" s="28"/>
      <c r="J345" s="209"/>
      <c r="K345" s="65"/>
      <c r="L345" s="65"/>
      <c r="M345" s="65"/>
      <c r="N345" s="65"/>
      <c r="O345" s="65"/>
      <c r="P345" s="65"/>
      <c r="Q345" s="65"/>
      <c r="R345" s="65"/>
      <c r="S345" s="65"/>
      <c r="T345" s="65"/>
      <c r="U345" s="65"/>
      <c r="V345" s="65"/>
      <c r="W345" s="65"/>
    </row>
    <row r="346">
      <c r="A346" s="71"/>
      <c r="B346" s="209"/>
      <c r="C346" s="71"/>
      <c r="D346" s="209"/>
      <c r="E346" s="71"/>
      <c r="F346" s="209"/>
      <c r="G346" s="71"/>
      <c r="H346" s="209"/>
      <c r="I346" s="28"/>
      <c r="J346" s="209"/>
      <c r="K346" s="65"/>
      <c r="L346" s="65"/>
      <c r="M346" s="65"/>
      <c r="N346" s="65"/>
      <c r="O346" s="65"/>
      <c r="P346" s="65"/>
      <c r="Q346" s="65"/>
      <c r="R346" s="65"/>
      <c r="S346" s="65"/>
      <c r="T346" s="65"/>
      <c r="U346" s="65"/>
      <c r="V346" s="65"/>
      <c r="W346" s="65"/>
    </row>
    <row r="347">
      <c r="A347" s="71"/>
      <c r="B347" s="209"/>
      <c r="C347" s="71"/>
      <c r="D347" s="209"/>
      <c r="E347" s="71"/>
      <c r="F347" s="209"/>
      <c r="G347" s="71"/>
      <c r="H347" s="209"/>
      <c r="I347" s="28"/>
      <c r="J347" s="209"/>
      <c r="K347" s="65"/>
      <c r="L347" s="65"/>
      <c r="M347" s="65"/>
      <c r="N347" s="65"/>
      <c r="O347" s="65"/>
      <c r="P347" s="65"/>
      <c r="Q347" s="65"/>
      <c r="R347" s="65"/>
      <c r="S347" s="65"/>
      <c r="T347" s="65"/>
      <c r="U347" s="65"/>
      <c r="V347" s="65"/>
      <c r="W347" s="65"/>
    </row>
    <row r="348">
      <c r="A348" s="71"/>
      <c r="B348" s="209"/>
      <c r="C348" s="71"/>
      <c r="D348" s="209"/>
      <c r="E348" s="71"/>
      <c r="F348" s="209"/>
      <c r="G348" s="71"/>
      <c r="H348" s="209"/>
      <c r="I348" s="28"/>
      <c r="J348" s="209"/>
      <c r="K348" s="65"/>
      <c r="L348" s="65"/>
      <c r="M348" s="65"/>
      <c r="N348" s="65"/>
      <c r="O348" s="65"/>
      <c r="P348" s="65"/>
      <c r="Q348" s="65"/>
      <c r="R348" s="65"/>
      <c r="S348" s="65"/>
      <c r="T348" s="65"/>
      <c r="U348" s="65"/>
      <c r="V348" s="65"/>
      <c r="W348" s="65"/>
    </row>
    <row r="349">
      <c r="A349" s="71"/>
      <c r="B349" s="209"/>
      <c r="C349" s="71"/>
      <c r="D349" s="209"/>
      <c r="E349" s="71"/>
      <c r="F349" s="209"/>
      <c r="G349" s="71"/>
      <c r="H349" s="209"/>
      <c r="I349" s="28"/>
      <c r="J349" s="209"/>
      <c r="K349" s="65"/>
      <c r="L349" s="65"/>
      <c r="M349" s="65"/>
      <c r="N349" s="65"/>
      <c r="O349" s="65"/>
      <c r="P349" s="65"/>
      <c r="Q349" s="65"/>
      <c r="R349" s="65"/>
      <c r="S349" s="65"/>
      <c r="T349" s="65"/>
      <c r="U349" s="65"/>
      <c r="V349" s="65"/>
      <c r="W349" s="65"/>
    </row>
    <row r="350">
      <c r="A350" s="71"/>
      <c r="B350" s="209"/>
      <c r="C350" s="71"/>
      <c r="D350" s="209"/>
      <c r="E350" s="71"/>
      <c r="F350" s="209"/>
      <c r="G350" s="71"/>
      <c r="H350" s="209"/>
      <c r="I350" s="28"/>
      <c r="J350" s="209"/>
      <c r="K350" s="65"/>
      <c r="L350" s="65"/>
      <c r="M350" s="65"/>
      <c r="N350" s="65"/>
      <c r="O350" s="65"/>
      <c r="P350" s="65"/>
      <c r="Q350" s="65"/>
      <c r="R350" s="65"/>
      <c r="S350" s="65"/>
      <c r="T350" s="65"/>
      <c r="U350" s="65"/>
      <c r="V350" s="65"/>
      <c r="W350" s="65"/>
    </row>
    <row r="351">
      <c r="A351" s="71"/>
      <c r="B351" s="209"/>
      <c r="C351" s="71"/>
      <c r="D351" s="209"/>
      <c r="E351" s="71"/>
      <c r="F351" s="209"/>
      <c r="G351" s="71"/>
      <c r="H351" s="209"/>
      <c r="I351" s="28"/>
      <c r="J351" s="209"/>
      <c r="K351" s="65"/>
      <c r="L351" s="65"/>
      <c r="M351" s="65"/>
      <c r="N351" s="65"/>
      <c r="O351" s="65"/>
      <c r="P351" s="65"/>
      <c r="Q351" s="65"/>
      <c r="R351" s="65"/>
      <c r="S351" s="65"/>
      <c r="T351" s="65"/>
      <c r="U351" s="65"/>
      <c r="V351" s="65"/>
      <c r="W351" s="65"/>
    </row>
    <row r="352">
      <c r="A352" s="71"/>
      <c r="B352" s="209"/>
      <c r="C352" s="71"/>
      <c r="D352" s="209"/>
      <c r="E352" s="71"/>
      <c r="F352" s="209"/>
      <c r="G352" s="71"/>
      <c r="H352" s="209"/>
      <c r="I352" s="28"/>
      <c r="J352" s="209"/>
      <c r="K352" s="65"/>
      <c r="L352" s="65"/>
      <c r="M352" s="65"/>
      <c r="N352" s="65"/>
      <c r="O352" s="65"/>
      <c r="P352" s="65"/>
      <c r="Q352" s="65"/>
      <c r="R352" s="65"/>
      <c r="S352" s="65"/>
      <c r="T352" s="65"/>
      <c r="U352" s="65"/>
      <c r="V352" s="65"/>
      <c r="W352" s="65"/>
    </row>
    <row r="353">
      <c r="A353" s="71"/>
      <c r="B353" s="209"/>
      <c r="C353" s="71"/>
      <c r="D353" s="209"/>
      <c r="E353" s="71"/>
      <c r="F353" s="209"/>
      <c r="G353" s="71"/>
      <c r="H353" s="209"/>
      <c r="I353" s="28"/>
      <c r="J353" s="209"/>
      <c r="K353" s="65"/>
      <c r="L353" s="65"/>
      <c r="M353" s="65"/>
      <c r="N353" s="65"/>
      <c r="O353" s="65"/>
      <c r="P353" s="65"/>
      <c r="Q353" s="65"/>
      <c r="R353" s="65"/>
      <c r="S353" s="65"/>
      <c r="T353" s="65"/>
      <c r="U353" s="65"/>
      <c r="V353" s="65"/>
      <c r="W353" s="65"/>
    </row>
    <row r="354">
      <c r="A354" s="71"/>
      <c r="B354" s="209"/>
      <c r="C354" s="71"/>
      <c r="D354" s="209"/>
      <c r="E354" s="71"/>
      <c r="F354" s="209"/>
      <c r="G354" s="71"/>
      <c r="H354" s="209"/>
      <c r="I354" s="28"/>
      <c r="J354" s="209"/>
      <c r="K354" s="65"/>
      <c r="L354" s="65"/>
      <c r="M354" s="65"/>
      <c r="N354" s="65"/>
      <c r="O354" s="65"/>
      <c r="P354" s="65"/>
      <c r="Q354" s="65"/>
      <c r="R354" s="65"/>
      <c r="S354" s="65"/>
      <c r="T354" s="65"/>
      <c r="U354" s="65"/>
      <c r="V354" s="65"/>
      <c r="W354" s="65"/>
    </row>
    <row r="355">
      <c r="A355" s="71"/>
      <c r="B355" s="209"/>
      <c r="C355" s="71"/>
      <c r="D355" s="209"/>
      <c r="E355" s="71"/>
      <c r="F355" s="209"/>
      <c r="G355" s="71"/>
      <c r="H355" s="209"/>
      <c r="I355" s="28"/>
      <c r="J355" s="209"/>
      <c r="K355" s="65"/>
      <c r="L355" s="65"/>
      <c r="M355" s="65"/>
      <c r="N355" s="65"/>
      <c r="O355" s="65"/>
      <c r="P355" s="65"/>
      <c r="Q355" s="65"/>
      <c r="R355" s="65"/>
      <c r="S355" s="65"/>
      <c r="T355" s="65"/>
      <c r="U355" s="65"/>
      <c r="V355" s="65"/>
      <c r="W355" s="65"/>
    </row>
    <row r="356">
      <c r="A356" s="71"/>
      <c r="B356" s="209"/>
      <c r="C356" s="71"/>
      <c r="D356" s="209"/>
      <c r="E356" s="71"/>
      <c r="F356" s="209"/>
      <c r="G356" s="71"/>
      <c r="H356" s="209"/>
      <c r="I356" s="28"/>
      <c r="J356" s="209"/>
      <c r="K356" s="65"/>
      <c r="L356" s="65"/>
      <c r="M356" s="65"/>
      <c r="N356" s="65"/>
      <c r="O356" s="65"/>
      <c r="P356" s="65"/>
      <c r="Q356" s="65"/>
      <c r="R356" s="65"/>
      <c r="S356" s="65"/>
      <c r="T356" s="65"/>
      <c r="U356" s="65"/>
      <c r="V356" s="65"/>
      <c r="W356" s="65"/>
    </row>
    <row r="357">
      <c r="A357" s="71"/>
      <c r="B357" s="209"/>
      <c r="C357" s="71"/>
      <c r="D357" s="209"/>
      <c r="E357" s="71"/>
      <c r="F357" s="209"/>
      <c r="G357" s="71"/>
      <c r="H357" s="209"/>
      <c r="I357" s="28"/>
      <c r="J357" s="209"/>
      <c r="K357" s="65"/>
      <c r="L357" s="65"/>
      <c r="M357" s="65"/>
      <c r="N357" s="65"/>
      <c r="O357" s="65"/>
      <c r="P357" s="65"/>
      <c r="Q357" s="65"/>
      <c r="R357" s="65"/>
      <c r="S357" s="65"/>
      <c r="T357" s="65"/>
      <c r="U357" s="65"/>
      <c r="V357" s="65"/>
      <c r="W357" s="65"/>
    </row>
    <row r="358">
      <c r="A358" s="71"/>
      <c r="B358" s="209"/>
      <c r="C358" s="71"/>
      <c r="D358" s="209"/>
      <c r="E358" s="71"/>
      <c r="F358" s="209"/>
      <c r="G358" s="71"/>
      <c r="H358" s="209"/>
      <c r="I358" s="28"/>
      <c r="J358" s="209"/>
      <c r="K358" s="65"/>
      <c r="L358" s="65"/>
      <c r="M358" s="65"/>
      <c r="N358" s="65"/>
      <c r="O358" s="65"/>
      <c r="P358" s="65"/>
      <c r="Q358" s="65"/>
      <c r="R358" s="65"/>
      <c r="S358" s="65"/>
      <c r="T358" s="65"/>
      <c r="U358" s="65"/>
      <c r="V358" s="65"/>
      <c r="W358" s="65"/>
    </row>
    <row r="359">
      <c r="A359" s="71"/>
      <c r="B359" s="209"/>
      <c r="C359" s="71"/>
      <c r="D359" s="209"/>
      <c r="E359" s="71"/>
      <c r="F359" s="209"/>
      <c r="G359" s="71"/>
      <c r="H359" s="209"/>
      <c r="I359" s="28"/>
      <c r="J359" s="209"/>
      <c r="K359" s="65"/>
      <c r="L359" s="65"/>
      <c r="M359" s="65"/>
      <c r="N359" s="65"/>
      <c r="O359" s="65"/>
      <c r="P359" s="65"/>
      <c r="Q359" s="65"/>
      <c r="R359" s="65"/>
      <c r="S359" s="65"/>
      <c r="T359" s="65"/>
      <c r="U359" s="65"/>
      <c r="V359" s="65"/>
      <c r="W359" s="65"/>
    </row>
    <row r="360">
      <c r="A360" s="71"/>
      <c r="B360" s="209"/>
      <c r="C360" s="71"/>
      <c r="D360" s="209"/>
      <c r="E360" s="71"/>
      <c r="F360" s="209"/>
      <c r="G360" s="71"/>
      <c r="H360" s="209"/>
      <c r="I360" s="28"/>
      <c r="J360" s="209"/>
      <c r="K360" s="65"/>
      <c r="L360" s="65"/>
      <c r="M360" s="65"/>
      <c r="N360" s="65"/>
      <c r="O360" s="65"/>
      <c r="P360" s="65"/>
      <c r="Q360" s="65"/>
      <c r="R360" s="65"/>
      <c r="S360" s="65"/>
      <c r="T360" s="65"/>
      <c r="U360" s="65"/>
      <c r="V360" s="65"/>
      <c r="W360" s="65"/>
    </row>
    <row r="361">
      <c r="A361" s="71"/>
      <c r="B361" s="209"/>
      <c r="C361" s="71"/>
      <c r="D361" s="209"/>
      <c r="E361" s="71"/>
      <c r="F361" s="209"/>
      <c r="G361" s="71"/>
      <c r="H361" s="209"/>
      <c r="I361" s="28"/>
      <c r="J361" s="209"/>
      <c r="K361" s="65"/>
      <c r="L361" s="65"/>
      <c r="M361" s="65"/>
      <c r="N361" s="65"/>
      <c r="O361" s="65"/>
      <c r="P361" s="65"/>
      <c r="Q361" s="65"/>
      <c r="R361" s="65"/>
      <c r="S361" s="65"/>
      <c r="T361" s="65"/>
      <c r="U361" s="65"/>
      <c r="V361" s="65"/>
      <c r="W361" s="65"/>
    </row>
    <row r="362">
      <c r="A362" s="71"/>
      <c r="B362" s="209"/>
      <c r="C362" s="71"/>
      <c r="D362" s="209"/>
      <c r="E362" s="71"/>
      <c r="F362" s="209"/>
      <c r="G362" s="71"/>
      <c r="H362" s="209"/>
      <c r="I362" s="28"/>
      <c r="J362" s="209"/>
      <c r="K362" s="65"/>
      <c r="L362" s="65"/>
      <c r="M362" s="65"/>
      <c r="N362" s="65"/>
      <c r="O362" s="65"/>
      <c r="P362" s="65"/>
      <c r="Q362" s="65"/>
      <c r="R362" s="65"/>
      <c r="S362" s="65"/>
      <c r="T362" s="65"/>
      <c r="U362" s="65"/>
      <c r="V362" s="65"/>
      <c r="W362" s="65"/>
    </row>
    <row r="363">
      <c r="A363" s="71"/>
      <c r="B363" s="209"/>
      <c r="C363" s="71"/>
      <c r="D363" s="209"/>
      <c r="E363" s="71"/>
      <c r="F363" s="209"/>
      <c r="G363" s="71"/>
      <c r="H363" s="209"/>
      <c r="I363" s="28"/>
      <c r="J363" s="209"/>
      <c r="K363" s="65"/>
      <c r="L363" s="65"/>
      <c r="M363" s="65"/>
      <c r="N363" s="65"/>
      <c r="O363" s="65"/>
      <c r="P363" s="65"/>
      <c r="Q363" s="65"/>
      <c r="R363" s="65"/>
      <c r="S363" s="65"/>
      <c r="T363" s="65"/>
      <c r="U363" s="65"/>
      <c r="V363" s="65"/>
      <c r="W363" s="65"/>
    </row>
    <row r="364">
      <c r="A364" s="71"/>
      <c r="B364" s="209"/>
      <c r="C364" s="71"/>
      <c r="D364" s="209"/>
      <c r="E364" s="71"/>
      <c r="F364" s="209"/>
      <c r="G364" s="71"/>
      <c r="H364" s="209"/>
      <c r="I364" s="28"/>
      <c r="J364" s="209"/>
      <c r="K364" s="65"/>
      <c r="L364" s="65"/>
      <c r="M364" s="65"/>
      <c r="N364" s="65"/>
      <c r="O364" s="65"/>
      <c r="P364" s="65"/>
      <c r="Q364" s="65"/>
      <c r="R364" s="65"/>
      <c r="S364" s="65"/>
      <c r="T364" s="65"/>
      <c r="U364" s="65"/>
      <c r="V364" s="65"/>
      <c r="W364" s="65"/>
    </row>
    <row r="365">
      <c r="A365" s="71"/>
      <c r="B365" s="209"/>
      <c r="C365" s="71"/>
      <c r="D365" s="209"/>
      <c r="E365" s="71"/>
      <c r="F365" s="209"/>
      <c r="G365" s="71"/>
      <c r="H365" s="209"/>
      <c r="I365" s="28"/>
      <c r="J365" s="209"/>
      <c r="K365" s="65"/>
      <c r="L365" s="65"/>
      <c r="M365" s="65"/>
      <c r="N365" s="65"/>
      <c r="O365" s="65"/>
      <c r="P365" s="65"/>
      <c r="Q365" s="65"/>
      <c r="R365" s="65"/>
      <c r="S365" s="65"/>
      <c r="T365" s="65"/>
      <c r="U365" s="65"/>
      <c r="V365" s="65"/>
      <c r="W365" s="65"/>
    </row>
    <row r="366">
      <c r="A366" s="71"/>
      <c r="B366" s="209"/>
      <c r="C366" s="71"/>
      <c r="D366" s="209"/>
      <c r="E366" s="71"/>
      <c r="F366" s="209"/>
      <c r="G366" s="71"/>
      <c r="H366" s="209"/>
      <c r="I366" s="28"/>
      <c r="J366" s="209"/>
      <c r="K366" s="65"/>
      <c r="L366" s="65"/>
      <c r="M366" s="65"/>
      <c r="N366" s="65"/>
      <c r="O366" s="65"/>
      <c r="P366" s="65"/>
      <c r="Q366" s="65"/>
      <c r="R366" s="65"/>
      <c r="S366" s="65"/>
      <c r="T366" s="65"/>
      <c r="U366" s="65"/>
      <c r="V366" s="65"/>
      <c r="W366" s="65"/>
    </row>
    <row r="367">
      <c r="A367" s="71"/>
      <c r="B367" s="209"/>
      <c r="C367" s="71"/>
      <c r="D367" s="209"/>
      <c r="E367" s="71"/>
      <c r="F367" s="209"/>
      <c r="G367" s="71"/>
      <c r="H367" s="209"/>
      <c r="I367" s="28"/>
      <c r="J367" s="209"/>
      <c r="K367" s="65"/>
      <c r="L367" s="65"/>
      <c r="M367" s="65"/>
      <c r="N367" s="65"/>
      <c r="O367" s="65"/>
      <c r="P367" s="65"/>
      <c r="Q367" s="65"/>
      <c r="R367" s="65"/>
      <c r="S367" s="65"/>
      <c r="T367" s="65"/>
      <c r="U367" s="65"/>
      <c r="V367" s="65"/>
      <c r="W367" s="65"/>
    </row>
    <row r="368">
      <c r="A368" s="71"/>
      <c r="B368" s="209"/>
      <c r="C368" s="71"/>
      <c r="D368" s="209"/>
      <c r="E368" s="71"/>
      <c r="F368" s="209"/>
      <c r="G368" s="71"/>
      <c r="H368" s="209"/>
      <c r="I368" s="28"/>
      <c r="J368" s="209"/>
      <c r="K368" s="65"/>
      <c r="L368" s="65"/>
      <c r="M368" s="65"/>
      <c r="N368" s="65"/>
      <c r="O368" s="65"/>
      <c r="P368" s="65"/>
      <c r="Q368" s="65"/>
      <c r="R368" s="65"/>
      <c r="S368" s="65"/>
      <c r="T368" s="65"/>
      <c r="U368" s="65"/>
      <c r="V368" s="65"/>
      <c r="W368" s="65"/>
    </row>
    <row r="369">
      <c r="A369" s="71"/>
      <c r="B369" s="209"/>
      <c r="C369" s="71"/>
      <c r="D369" s="209"/>
      <c r="E369" s="71"/>
      <c r="F369" s="209"/>
      <c r="G369" s="71"/>
      <c r="H369" s="209"/>
      <c r="I369" s="28"/>
      <c r="J369" s="209"/>
      <c r="K369" s="65"/>
      <c r="L369" s="65"/>
      <c r="M369" s="65"/>
      <c r="N369" s="65"/>
      <c r="O369" s="65"/>
      <c r="P369" s="65"/>
      <c r="Q369" s="65"/>
      <c r="R369" s="65"/>
      <c r="S369" s="65"/>
      <c r="T369" s="65"/>
      <c r="U369" s="65"/>
      <c r="V369" s="65"/>
      <c r="W369" s="65"/>
    </row>
    <row r="370">
      <c r="A370" s="71"/>
      <c r="B370" s="209"/>
      <c r="C370" s="71"/>
      <c r="D370" s="209"/>
      <c r="E370" s="71"/>
      <c r="F370" s="209"/>
      <c r="G370" s="71"/>
      <c r="H370" s="209"/>
      <c r="I370" s="28"/>
      <c r="J370" s="209"/>
      <c r="K370" s="65"/>
      <c r="L370" s="65"/>
      <c r="M370" s="65"/>
      <c r="N370" s="65"/>
      <c r="O370" s="65"/>
      <c r="P370" s="65"/>
      <c r="Q370" s="65"/>
      <c r="R370" s="65"/>
      <c r="S370" s="65"/>
      <c r="T370" s="65"/>
      <c r="U370" s="65"/>
      <c r="V370" s="65"/>
      <c r="W370" s="65"/>
    </row>
    <row r="371">
      <c r="A371" s="71"/>
      <c r="B371" s="209"/>
      <c r="C371" s="71"/>
      <c r="D371" s="209"/>
      <c r="E371" s="71"/>
      <c r="F371" s="209"/>
      <c r="G371" s="71"/>
      <c r="H371" s="209"/>
      <c r="I371" s="28"/>
      <c r="J371" s="209"/>
      <c r="K371" s="65"/>
      <c r="L371" s="65"/>
      <c r="M371" s="65"/>
      <c r="N371" s="65"/>
      <c r="O371" s="65"/>
      <c r="P371" s="65"/>
      <c r="Q371" s="65"/>
      <c r="R371" s="65"/>
      <c r="S371" s="65"/>
      <c r="T371" s="65"/>
      <c r="U371" s="65"/>
      <c r="V371" s="65"/>
      <c r="W371" s="65"/>
    </row>
    <row r="372">
      <c r="A372" s="71"/>
      <c r="B372" s="209"/>
      <c r="C372" s="71"/>
      <c r="D372" s="209"/>
      <c r="E372" s="71"/>
      <c r="F372" s="209"/>
      <c r="G372" s="71"/>
      <c r="H372" s="209"/>
      <c r="I372" s="28"/>
      <c r="J372" s="209"/>
      <c r="K372" s="65"/>
      <c r="L372" s="65"/>
      <c r="M372" s="65"/>
      <c r="N372" s="65"/>
      <c r="O372" s="65"/>
      <c r="P372" s="65"/>
      <c r="Q372" s="65"/>
      <c r="R372" s="65"/>
      <c r="S372" s="65"/>
      <c r="T372" s="65"/>
      <c r="U372" s="65"/>
      <c r="V372" s="65"/>
      <c r="W372" s="65"/>
    </row>
    <row r="373">
      <c r="A373" s="71"/>
      <c r="B373" s="209"/>
      <c r="C373" s="71"/>
      <c r="D373" s="209"/>
      <c r="E373" s="71"/>
      <c r="F373" s="209"/>
      <c r="G373" s="71"/>
      <c r="H373" s="209"/>
      <c r="I373" s="28"/>
      <c r="J373" s="209"/>
      <c r="K373" s="65"/>
      <c r="L373" s="65"/>
      <c r="M373" s="65"/>
      <c r="N373" s="65"/>
      <c r="O373" s="65"/>
      <c r="P373" s="65"/>
      <c r="Q373" s="65"/>
      <c r="R373" s="65"/>
      <c r="S373" s="65"/>
      <c r="T373" s="65"/>
      <c r="U373" s="65"/>
      <c r="V373" s="65"/>
      <c r="W373" s="65"/>
    </row>
    <row r="374">
      <c r="A374" s="71"/>
      <c r="B374" s="209"/>
      <c r="C374" s="71"/>
      <c r="D374" s="209"/>
      <c r="E374" s="71"/>
      <c r="F374" s="209"/>
      <c r="G374" s="71"/>
      <c r="H374" s="209"/>
      <c r="I374" s="28"/>
      <c r="J374" s="209"/>
      <c r="K374" s="65"/>
      <c r="L374" s="65"/>
      <c r="M374" s="65"/>
      <c r="N374" s="65"/>
      <c r="O374" s="65"/>
      <c r="P374" s="65"/>
      <c r="Q374" s="65"/>
      <c r="R374" s="65"/>
      <c r="S374" s="65"/>
      <c r="T374" s="65"/>
      <c r="U374" s="65"/>
      <c r="V374" s="65"/>
      <c r="W374" s="65"/>
    </row>
    <row r="375">
      <c r="A375" s="71"/>
      <c r="B375" s="209"/>
      <c r="C375" s="71"/>
      <c r="D375" s="209"/>
      <c r="E375" s="71"/>
      <c r="F375" s="209"/>
      <c r="G375" s="71"/>
      <c r="H375" s="209"/>
      <c r="I375" s="28"/>
      <c r="J375" s="209"/>
      <c r="K375" s="65"/>
      <c r="L375" s="65"/>
      <c r="M375" s="65"/>
      <c r="N375" s="65"/>
      <c r="O375" s="65"/>
      <c r="P375" s="65"/>
      <c r="Q375" s="65"/>
      <c r="R375" s="65"/>
      <c r="S375" s="65"/>
      <c r="T375" s="65"/>
      <c r="U375" s="65"/>
      <c r="V375" s="65"/>
      <c r="W375" s="65"/>
    </row>
    <row r="376">
      <c r="A376" s="71"/>
      <c r="B376" s="209"/>
      <c r="C376" s="71"/>
      <c r="D376" s="209"/>
      <c r="E376" s="71"/>
      <c r="F376" s="209"/>
      <c r="G376" s="71"/>
      <c r="H376" s="209"/>
      <c r="I376" s="28"/>
      <c r="J376" s="209"/>
      <c r="K376" s="65"/>
      <c r="L376" s="65"/>
      <c r="M376" s="65"/>
      <c r="N376" s="65"/>
      <c r="O376" s="65"/>
      <c r="P376" s="65"/>
      <c r="Q376" s="65"/>
      <c r="R376" s="65"/>
      <c r="S376" s="65"/>
      <c r="T376" s="65"/>
      <c r="U376" s="65"/>
      <c r="V376" s="65"/>
      <c r="W376" s="65"/>
    </row>
    <row r="377">
      <c r="A377" s="71"/>
      <c r="B377" s="209"/>
      <c r="C377" s="71"/>
      <c r="D377" s="209"/>
      <c r="E377" s="71"/>
      <c r="F377" s="209"/>
      <c r="G377" s="71"/>
      <c r="H377" s="209"/>
      <c r="I377" s="28"/>
      <c r="J377" s="209"/>
      <c r="K377" s="65"/>
      <c r="L377" s="65"/>
      <c r="M377" s="65"/>
      <c r="N377" s="65"/>
      <c r="O377" s="65"/>
      <c r="P377" s="65"/>
      <c r="Q377" s="65"/>
      <c r="R377" s="65"/>
      <c r="S377" s="65"/>
      <c r="T377" s="65"/>
      <c r="U377" s="65"/>
      <c r="V377" s="65"/>
      <c r="W377" s="65"/>
    </row>
    <row r="378">
      <c r="A378" s="71"/>
      <c r="B378" s="209"/>
      <c r="C378" s="71"/>
      <c r="D378" s="209"/>
      <c r="E378" s="71"/>
      <c r="F378" s="209"/>
      <c r="G378" s="71"/>
      <c r="H378" s="209"/>
      <c r="I378" s="28"/>
      <c r="J378" s="209"/>
      <c r="K378" s="65"/>
      <c r="L378" s="65"/>
      <c r="M378" s="65"/>
      <c r="N378" s="65"/>
      <c r="O378" s="65"/>
      <c r="P378" s="65"/>
      <c r="Q378" s="65"/>
      <c r="R378" s="65"/>
      <c r="S378" s="65"/>
      <c r="T378" s="65"/>
      <c r="U378" s="65"/>
      <c r="V378" s="65"/>
      <c r="W378" s="65"/>
    </row>
    <row r="379">
      <c r="A379" s="71"/>
      <c r="B379" s="209"/>
      <c r="C379" s="71"/>
      <c r="D379" s="209"/>
      <c r="E379" s="71"/>
      <c r="F379" s="209"/>
      <c r="G379" s="71"/>
      <c r="H379" s="209"/>
      <c r="I379" s="28"/>
      <c r="J379" s="209"/>
      <c r="K379" s="65"/>
      <c r="L379" s="65"/>
      <c r="M379" s="65"/>
      <c r="N379" s="65"/>
      <c r="O379" s="65"/>
      <c r="P379" s="65"/>
      <c r="Q379" s="65"/>
      <c r="R379" s="65"/>
      <c r="S379" s="65"/>
      <c r="T379" s="65"/>
      <c r="U379" s="65"/>
      <c r="V379" s="65"/>
      <c r="W379" s="65"/>
    </row>
    <row r="380">
      <c r="A380" s="71"/>
      <c r="B380" s="209"/>
      <c r="C380" s="71"/>
      <c r="D380" s="209"/>
      <c r="E380" s="71"/>
      <c r="F380" s="209"/>
      <c r="G380" s="71"/>
      <c r="H380" s="209"/>
      <c r="I380" s="28"/>
      <c r="J380" s="209"/>
      <c r="K380" s="65"/>
      <c r="L380" s="65"/>
      <c r="M380" s="65"/>
      <c r="N380" s="65"/>
      <c r="O380" s="65"/>
      <c r="P380" s="65"/>
      <c r="Q380" s="65"/>
      <c r="R380" s="65"/>
      <c r="S380" s="65"/>
      <c r="T380" s="65"/>
      <c r="U380" s="65"/>
      <c r="V380" s="65"/>
      <c r="W380" s="65"/>
    </row>
    <row r="381">
      <c r="A381" s="71"/>
      <c r="B381" s="209"/>
      <c r="C381" s="71"/>
      <c r="D381" s="209"/>
      <c r="E381" s="71"/>
      <c r="F381" s="209"/>
      <c r="G381" s="71"/>
      <c r="H381" s="209"/>
      <c r="I381" s="28"/>
      <c r="J381" s="209"/>
      <c r="K381" s="65"/>
      <c r="L381" s="65"/>
      <c r="M381" s="65"/>
      <c r="N381" s="65"/>
      <c r="O381" s="65"/>
      <c r="P381" s="65"/>
      <c r="Q381" s="65"/>
      <c r="R381" s="65"/>
      <c r="S381" s="65"/>
      <c r="T381" s="65"/>
      <c r="U381" s="65"/>
      <c r="V381" s="65"/>
      <c r="W381" s="65"/>
    </row>
    <row r="382">
      <c r="A382" s="71"/>
      <c r="B382" s="209"/>
      <c r="C382" s="71"/>
      <c r="D382" s="209"/>
      <c r="E382" s="71"/>
      <c r="F382" s="209"/>
      <c r="G382" s="71"/>
      <c r="H382" s="209"/>
      <c r="I382" s="28"/>
      <c r="J382" s="209"/>
      <c r="K382" s="65"/>
      <c r="L382" s="65"/>
      <c r="M382" s="65"/>
      <c r="N382" s="65"/>
      <c r="O382" s="65"/>
      <c r="P382" s="65"/>
      <c r="Q382" s="65"/>
      <c r="R382" s="65"/>
      <c r="S382" s="65"/>
      <c r="T382" s="65"/>
      <c r="U382" s="65"/>
      <c r="V382" s="65"/>
      <c r="W382" s="65"/>
    </row>
    <row r="383">
      <c r="A383" s="71"/>
      <c r="B383" s="209"/>
      <c r="C383" s="71"/>
      <c r="D383" s="209"/>
      <c r="E383" s="71"/>
      <c r="F383" s="209"/>
      <c r="G383" s="71"/>
      <c r="H383" s="209"/>
      <c r="I383" s="28"/>
      <c r="J383" s="209"/>
      <c r="K383" s="65"/>
      <c r="L383" s="65"/>
      <c r="M383" s="65"/>
      <c r="N383" s="65"/>
      <c r="O383" s="65"/>
      <c r="P383" s="65"/>
      <c r="Q383" s="65"/>
      <c r="R383" s="65"/>
      <c r="S383" s="65"/>
      <c r="T383" s="65"/>
      <c r="U383" s="65"/>
      <c r="V383" s="65"/>
      <c r="W383" s="65"/>
    </row>
    <row r="384">
      <c r="A384" s="71"/>
      <c r="B384" s="209"/>
      <c r="C384" s="71"/>
      <c r="D384" s="209"/>
      <c r="E384" s="71"/>
      <c r="F384" s="209"/>
      <c r="G384" s="71"/>
      <c r="H384" s="209"/>
      <c r="I384" s="28"/>
      <c r="J384" s="209"/>
      <c r="K384" s="65"/>
      <c r="L384" s="65"/>
      <c r="M384" s="65"/>
      <c r="N384" s="65"/>
      <c r="O384" s="65"/>
      <c r="P384" s="65"/>
      <c r="Q384" s="65"/>
      <c r="R384" s="65"/>
      <c r="S384" s="65"/>
      <c r="T384" s="65"/>
      <c r="U384" s="65"/>
      <c r="V384" s="65"/>
      <c r="W384" s="65"/>
    </row>
    <row r="385">
      <c r="A385" s="71"/>
      <c r="B385" s="209"/>
      <c r="C385" s="71"/>
      <c r="D385" s="209"/>
      <c r="E385" s="71"/>
      <c r="F385" s="209"/>
      <c r="G385" s="71"/>
      <c r="H385" s="209"/>
      <c r="I385" s="28"/>
      <c r="J385" s="209"/>
      <c r="K385" s="65"/>
      <c r="L385" s="65"/>
      <c r="M385" s="65"/>
      <c r="N385" s="65"/>
      <c r="O385" s="65"/>
      <c r="P385" s="65"/>
      <c r="Q385" s="65"/>
      <c r="R385" s="65"/>
      <c r="S385" s="65"/>
      <c r="T385" s="65"/>
      <c r="U385" s="65"/>
      <c r="V385" s="65"/>
      <c r="W385" s="65"/>
    </row>
    <row r="386">
      <c r="A386" s="71"/>
      <c r="B386" s="209"/>
      <c r="C386" s="71"/>
      <c r="D386" s="209"/>
      <c r="E386" s="71"/>
      <c r="F386" s="209"/>
      <c r="G386" s="71"/>
      <c r="H386" s="209"/>
      <c r="I386" s="28"/>
      <c r="J386" s="209"/>
      <c r="K386" s="65"/>
      <c r="L386" s="65"/>
      <c r="M386" s="65"/>
      <c r="N386" s="65"/>
      <c r="O386" s="65"/>
      <c r="P386" s="65"/>
      <c r="Q386" s="65"/>
      <c r="R386" s="65"/>
      <c r="S386" s="65"/>
      <c r="T386" s="65"/>
      <c r="U386" s="65"/>
      <c r="V386" s="65"/>
      <c r="W386" s="65"/>
    </row>
    <row r="387">
      <c r="A387" s="71"/>
      <c r="B387" s="209"/>
      <c r="C387" s="71"/>
      <c r="D387" s="209"/>
      <c r="E387" s="71"/>
      <c r="F387" s="209"/>
      <c r="G387" s="71"/>
      <c r="H387" s="209"/>
      <c r="I387" s="28"/>
      <c r="J387" s="209"/>
      <c r="K387" s="65"/>
      <c r="L387" s="65"/>
      <c r="M387" s="65"/>
      <c r="N387" s="65"/>
      <c r="O387" s="65"/>
      <c r="P387" s="65"/>
      <c r="Q387" s="65"/>
      <c r="R387" s="65"/>
      <c r="S387" s="65"/>
      <c r="T387" s="65"/>
      <c r="U387" s="65"/>
      <c r="V387" s="65"/>
      <c r="W387" s="65"/>
    </row>
    <row r="388">
      <c r="A388" s="71"/>
      <c r="B388" s="209"/>
      <c r="C388" s="71"/>
      <c r="D388" s="209"/>
      <c r="E388" s="71"/>
      <c r="F388" s="209"/>
      <c r="G388" s="71"/>
      <c r="H388" s="209"/>
      <c r="I388" s="28"/>
      <c r="J388" s="209"/>
      <c r="K388" s="65"/>
      <c r="L388" s="65"/>
      <c r="M388" s="65"/>
      <c r="N388" s="65"/>
      <c r="O388" s="65"/>
      <c r="P388" s="65"/>
      <c r="Q388" s="65"/>
      <c r="R388" s="65"/>
      <c r="S388" s="65"/>
      <c r="T388" s="65"/>
      <c r="U388" s="65"/>
      <c r="V388" s="65"/>
      <c r="W388" s="65"/>
    </row>
    <row r="389">
      <c r="A389" s="71"/>
      <c r="B389" s="209"/>
      <c r="C389" s="71"/>
      <c r="D389" s="209"/>
      <c r="E389" s="71"/>
      <c r="F389" s="209"/>
      <c r="G389" s="71"/>
      <c r="H389" s="209"/>
      <c r="I389" s="28"/>
      <c r="J389" s="209"/>
      <c r="K389" s="65"/>
      <c r="L389" s="65"/>
      <c r="M389" s="65"/>
      <c r="N389" s="65"/>
      <c r="O389" s="65"/>
      <c r="P389" s="65"/>
      <c r="Q389" s="65"/>
      <c r="R389" s="65"/>
      <c r="S389" s="65"/>
      <c r="T389" s="65"/>
      <c r="U389" s="65"/>
      <c r="V389" s="65"/>
      <c r="W389" s="65"/>
    </row>
    <row r="390">
      <c r="A390" s="71"/>
      <c r="B390" s="209"/>
      <c r="C390" s="71"/>
      <c r="D390" s="209"/>
      <c r="E390" s="71"/>
      <c r="F390" s="209"/>
      <c r="G390" s="71"/>
      <c r="H390" s="209"/>
      <c r="I390" s="28"/>
      <c r="J390" s="209"/>
      <c r="K390" s="65"/>
      <c r="L390" s="65"/>
      <c r="M390" s="65"/>
      <c r="N390" s="65"/>
      <c r="O390" s="65"/>
      <c r="P390" s="65"/>
      <c r="Q390" s="65"/>
      <c r="R390" s="65"/>
      <c r="S390" s="65"/>
      <c r="T390" s="65"/>
      <c r="U390" s="65"/>
      <c r="V390" s="65"/>
      <c r="W390" s="65"/>
    </row>
    <row r="391">
      <c r="A391" s="71"/>
      <c r="B391" s="209"/>
      <c r="C391" s="71"/>
      <c r="D391" s="209"/>
      <c r="E391" s="71"/>
      <c r="F391" s="209"/>
      <c r="G391" s="71"/>
      <c r="H391" s="209"/>
      <c r="I391" s="28"/>
      <c r="J391" s="209"/>
      <c r="K391" s="65"/>
      <c r="L391" s="65"/>
      <c r="M391" s="65"/>
      <c r="N391" s="65"/>
      <c r="O391" s="65"/>
      <c r="P391" s="65"/>
      <c r="Q391" s="65"/>
      <c r="R391" s="65"/>
      <c r="S391" s="65"/>
      <c r="T391" s="65"/>
      <c r="U391" s="65"/>
      <c r="V391" s="65"/>
      <c r="W391" s="65"/>
    </row>
    <row r="392">
      <c r="A392" s="71"/>
      <c r="B392" s="209"/>
      <c r="C392" s="71"/>
      <c r="D392" s="209"/>
      <c r="E392" s="71"/>
      <c r="F392" s="209"/>
      <c r="G392" s="71"/>
      <c r="H392" s="209"/>
      <c r="I392" s="28"/>
      <c r="J392" s="209"/>
      <c r="K392" s="65"/>
      <c r="L392" s="65"/>
      <c r="M392" s="65"/>
      <c r="N392" s="65"/>
      <c r="O392" s="65"/>
      <c r="P392" s="65"/>
      <c r="Q392" s="65"/>
      <c r="R392" s="65"/>
      <c r="S392" s="65"/>
      <c r="T392" s="65"/>
      <c r="U392" s="65"/>
      <c r="V392" s="65"/>
      <c r="W392" s="65"/>
    </row>
    <row r="393">
      <c r="A393" s="71"/>
      <c r="B393" s="209"/>
      <c r="C393" s="71"/>
      <c r="D393" s="209"/>
      <c r="E393" s="71"/>
      <c r="F393" s="209"/>
      <c r="G393" s="71"/>
      <c r="H393" s="209"/>
      <c r="I393" s="28"/>
      <c r="J393" s="209"/>
      <c r="K393" s="65"/>
      <c r="L393" s="65"/>
      <c r="M393" s="65"/>
      <c r="N393" s="65"/>
      <c r="O393" s="65"/>
      <c r="P393" s="65"/>
      <c r="Q393" s="65"/>
      <c r="R393" s="65"/>
      <c r="S393" s="65"/>
      <c r="T393" s="65"/>
      <c r="U393" s="65"/>
      <c r="V393" s="65"/>
      <c r="W393" s="65"/>
    </row>
    <row r="394">
      <c r="A394" s="71"/>
      <c r="B394" s="209"/>
      <c r="C394" s="71"/>
      <c r="D394" s="209"/>
      <c r="E394" s="71"/>
      <c r="F394" s="209"/>
      <c r="G394" s="71"/>
      <c r="H394" s="209"/>
      <c r="I394" s="28"/>
      <c r="J394" s="209"/>
      <c r="K394" s="65"/>
      <c r="L394" s="65"/>
      <c r="M394" s="65"/>
      <c r="N394" s="65"/>
      <c r="O394" s="65"/>
      <c r="P394" s="65"/>
      <c r="Q394" s="65"/>
      <c r="R394" s="65"/>
      <c r="S394" s="65"/>
      <c r="T394" s="65"/>
      <c r="U394" s="65"/>
      <c r="V394" s="65"/>
      <c r="W394" s="65"/>
    </row>
    <row r="395">
      <c r="A395" s="71"/>
      <c r="B395" s="209"/>
      <c r="C395" s="71"/>
      <c r="D395" s="209"/>
      <c r="E395" s="71"/>
      <c r="F395" s="209"/>
      <c r="G395" s="71"/>
      <c r="H395" s="209"/>
      <c r="I395" s="28"/>
      <c r="J395" s="209"/>
      <c r="K395" s="65"/>
      <c r="L395" s="65"/>
      <c r="M395" s="65"/>
      <c r="N395" s="65"/>
      <c r="O395" s="65"/>
      <c r="P395" s="65"/>
      <c r="Q395" s="65"/>
      <c r="R395" s="65"/>
      <c r="S395" s="65"/>
      <c r="T395" s="65"/>
      <c r="U395" s="65"/>
      <c r="V395" s="65"/>
      <c r="W395" s="65"/>
    </row>
    <row r="396">
      <c r="A396" s="71"/>
      <c r="B396" s="209"/>
      <c r="C396" s="71"/>
      <c r="D396" s="209"/>
      <c r="E396" s="71"/>
      <c r="F396" s="209"/>
      <c r="G396" s="71"/>
      <c r="H396" s="209"/>
      <c r="I396" s="28"/>
      <c r="J396" s="209"/>
      <c r="K396" s="65"/>
      <c r="L396" s="65"/>
      <c r="M396" s="65"/>
      <c r="N396" s="65"/>
      <c r="O396" s="65"/>
      <c r="P396" s="65"/>
      <c r="Q396" s="65"/>
      <c r="R396" s="65"/>
      <c r="S396" s="65"/>
      <c r="T396" s="65"/>
      <c r="U396" s="65"/>
      <c r="V396" s="65"/>
      <c r="W396" s="65"/>
    </row>
    <row r="397">
      <c r="A397" s="71"/>
      <c r="B397" s="209"/>
      <c r="C397" s="71"/>
      <c r="D397" s="209"/>
      <c r="E397" s="71"/>
      <c r="F397" s="209"/>
      <c r="G397" s="71"/>
      <c r="H397" s="209"/>
      <c r="I397" s="28"/>
      <c r="J397" s="209"/>
      <c r="K397" s="65"/>
      <c r="L397" s="65"/>
      <c r="M397" s="65"/>
      <c r="N397" s="65"/>
      <c r="O397" s="65"/>
      <c r="P397" s="65"/>
      <c r="Q397" s="65"/>
      <c r="R397" s="65"/>
      <c r="S397" s="65"/>
      <c r="T397" s="65"/>
      <c r="U397" s="65"/>
      <c r="V397" s="65"/>
      <c r="W397" s="65"/>
    </row>
    <row r="398">
      <c r="A398" s="71"/>
      <c r="B398" s="209"/>
      <c r="C398" s="71"/>
      <c r="D398" s="209"/>
      <c r="E398" s="71"/>
      <c r="F398" s="209"/>
      <c r="G398" s="71"/>
      <c r="H398" s="209"/>
      <c r="I398" s="28"/>
      <c r="J398" s="209"/>
      <c r="K398" s="65"/>
      <c r="L398" s="65"/>
      <c r="M398" s="65"/>
      <c r="N398" s="65"/>
      <c r="O398" s="65"/>
      <c r="P398" s="65"/>
      <c r="Q398" s="65"/>
      <c r="R398" s="65"/>
      <c r="S398" s="65"/>
      <c r="T398" s="65"/>
      <c r="U398" s="65"/>
      <c r="V398" s="65"/>
      <c r="W398" s="65"/>
    </row>
    <row r="399">
      <c r="A399" s="71"/>
      <c r="B399" s="209"/>
      <c r="C399" s="71"/>
      <c r="D399" s="209"/>
      <c r="E399" s="71"/>
      <c r="F399" s="209"/>
      <c r="G399" s="71"/>
      <c r="H399" s="209"/>
      <c r="I399" s="28"/>
      <c r="J399" s="209"/>
      <c r="K399" s="65"/>
      <c r="L399" s="65"/>
      <c r="M399" s="65"/>
      <c r="N399" s="65"/>
      <c r="O399" s="65"/>
      <c r="P399" s="65"/>
      <c r="Q399" s="65"/>
      <c r="R399" s="65"/>
      <c r="S399" s="65"/>
      <c r="T399" s="65"/>
      <c r="U399" s="65"/>
      <c r="V399" s="65"/>
      <c r="W399" s="65"/>
    </row>
    <row r="400">
      <c r="A400" s="71"/>
      <c r="B400" s="209"/>
      <c r="C400" s="71"/>
      <c r="D400" s="209"/>
      <c r="E400" s="71"/>
      <c r="F400" s="209"/>
      <c r="G400" s="71"/>
      <c r="H400" s="209"/>
      <c r="I400" s="28"/>
      <c r="J400" s="209"/>
      <c r="K400" s="65"/>
      <c r="L400" s="65"/>
      <c r="M400" s="65"/>
      <c r="N400" s="65"/>
      <c r="O400" s="65"/>
      <c r="P400" s="65"/>
      <c r="Q400" s="65"/>
      <c r="R400" s="65"/>
      <c r="S400" s="65"/>
      <c r="T400" s="65"/>
      <c r="U400" s="65"/>
      <c r="V400" s="65"/>
      <c r="W400" s="65"/>
    </row>
    <row r="401">
      <c r="A401" s="71"/>
      <c r="B401" s="209"/>
      <c r="C401" s="71"/>
      <c r="D401" s="209"/>
      <c r="E401" s="71"/>
      <c r="F401" s="209"/>
      <c r="G401" s="71"/>
      <c r="H401" s="209"/>
      <c r="I401" s="28"/>
      <c r="J401" s="209"/>
      <c r="K401" s="65"/>
      <c r="L401" s="65"/>
      <c r="M401" s="65"/>
      <c r="N401" s="65"/>
      <c r="O401" s="65"/>
      <c r="P401" s="65"/>
      <c r="Q401" s="65"/>
      <c r="R401" s="65"/>
      <c r="S401" s="65"/>
      <c r="T401" s="65"/>
      <c r="U401" s="65"/>
      <c r="V401" s="65"/>
      <c r="W401" s="65"/>
    </row>
    <row r="402">
      <c r="A402" s="71"/>
      <c r="B402" s="209"/>
      <c r="C402" s="71"/>
      <c r="D402" s="209"/>
      <c r="E402" s="71"/>
      <c r="F402" s="209"/>
      <c r="G402" s="71"/>
      <c r="H402" s="209"/>
      <c r="I402" s="28"/>
      <c r="J402" s="209"/>
      <c r="K402" s="65"/>
      <c r="L402" s="65"/>
      <c r="M402" s="65"/>
      <c r="N402" s="65"/>
      <c r="O402" s="65"/>
      <c r="P402" s="65"/>
      <c r="Q402" s="65"/>
      <c r="R402" s="65"/>
      <c r="S402" s="65"/>
      <c r="T402" s="65"/>
      <c r="U402" s="65"/>
      <c r="V402" s="65"/>
      <c r="W402" s="65"/>
    </row>
    <row r="403">
      <c r="A403" s="71"/>
      <c r="B403" s="209"/>
      <c r="C403" s="71"/>
      <c r="D403" s="209"/>
      <c r="E403" s="71"/>
      <c r="F403" s="209"/>
      <c r="G403" s="71"/>
      <c r="H403" s="209"/>
      <c r="I403" s="28"/>
      <c r="J403" s="209"/>
      <c r="K403" s="65"/>
      <c r="L403" s="65"/>
      <c r="M403" s="65"/>
      <c r="N403" s="65"/>
      <c r="O403" s="65"/>
      <c r="P403" s="65"/>
      <c r="Q403" s="65"/>
      <c r="R403" s="65"/>
      <c r="S403" s="65"/>
      <c r="T403" s="65"/>
      <c r="U403" s="65"/>
      <c r="V403" s="65"/>
      <c r="W403" s="65"/>
    </row>
    <row r="404">
      <c r="A404" s="71"/>
      <c r="B404" s="209"/>
      <c r="C404" s="71"/>
      <c r="D404" s="209"/>
      <c r="E404" s="71"/>
      <c r="F404" s="209"/>
      <c r="G404" s="71"/>
      <c r="H404" s="209"/>
      <c r="I404" s="28"/>
      <c r="J404" s="209"/>
      <c r="K404" s="65"/>
      <c r="L404" s="65"/>
      <c r="M404" s="65"/>
      <c r="N404" s="65"/>
      <c r="O404" s="65"/>
      <c r="P404" s="65"/>
      <c r="Q404" s="65"/>
      <c r="R404" s="65"/>
      <c r="S404" s="65"/>
      <c r="T404" s="65"/>
      <c r="U404" s="65"/>
      <c r="V404" s="65"/>
      <c r="W404" s="65"/>
    </row>
    <row r="405">
      <c r="A405" s="71"/>
      <c r="B405" s="209"/>
      <c r="C405" s="71"/>
      <c r="D405" s="209"/>
      <c r="E405" s="71"/>
      <c r="F405" s="209"/>
      <c r="G405" s="71"/>
      <c r="H405" s="209"/>
      <c r="I405" s="28"/>
      <c r="J405" s="209"/>
      <c r="K405" s="65"/>
      <c r="L405" s="65"/>
      <c r="M405" s="65"/>
      <c r="N405" s="65"/>
      <c r="O405" s="65"/>
      <c r="P405" s="65"/>
      <c r="Q405" s="65"/>
      <c r="R405" s="65"/>
      <c r="S405" s="65"/>
      <c r="T405" s="65"/>
      <c r="U405" s="65"/>
      <c r="V405" s="65"/>
      <c r="W405" s="65"/>
    </row>
    <row r="406">
      <c r="A406" s="71"/>
      <c r="B406" s="209"/>
      <c r="C406" s="71"/>
      <c r="D406" s="209"/>
      <c r="E406" s="71"/>
      <c r="F406" s="209"/>
      <c r="G406" s="71"/>
      <c r="H406" s="209"/>
      <c r="I406" s="28"/>
      <c r="J406" s="209"/>
      <c r="K406" s="65"/>
      <c r="L406" s="65"/>
      <c r="M406" s="65"/>
      <c r="N406" s="65"/>
      <c r="O406" s="65"/>
      <c r="P406" s="65"/>
      <c r="Q406" s="65"/>
      <c r="R406" s="65"/>
      <c r="S406" s="65"/>
      <c r="T406" s="65"/>
      <c r="U406" s="65"/>
      <c r="V406" s="65"/>
      <c r="W406" s="65"/>
    </row>
    <row r="407">
      <c r="A407" s="71"/>
      <c r="B407" s="209"/>
      <c r="C407" s="71"/>
      <c r="D407" s="209"/>
      <c r="E407" s="71"/>
      <c r="F407" s="209"/>
      <c r="G407" s="71"/>
      <c r="H407" s="209"/>
      <c r="I407" s="28"/>
      <c r="J407" s="209"/>
      <c r="K407" s="65"/>
      <c r="L407" s="65"/>
      <c r="M407" s="65"/>
      <c r="N407" s="65"/>
      <c r="O407" s="65"/>
      <c r="P407" s="65"/>
      <c r="Q407" s="65"/>
      <c r="R407" s="65"/>
      <c r="S407" s="65"/>
      <c r="T407" s="65"/>
      <c r="U407" s="65"/>
      <c r="V407" s="65"/>
      <c r="W407" s="65"/>
    </row>
    <row r="408">
      <c r="A408" s="71"/>
      <c r="B408" s="209"/>
      <c r="C408" s="71"/>
      <c r="D408" s="209"/>
      <c r="E408" s="71"/>
      <c r="F408" s="209"/>
      <c r="G408" s="71"/>
      <c r="H408" s="209"/>
      <c r="I408" s="28"/>
      <c r="J408" s="209"/>
      <c r="K408" s="65"/>
      <c r="L408" s="65"/>
      <c r="M408" s="65"/>
      <c r="N408" s="65"/>
      <c r="O408" s="65"/>
      <c r="P408" s="65"/>
      <c r="Q408" s="65"/>
      <c r="R408" s="65"/>
      <c r="S408" s="65"/>
      <c r="T408" s="65"/>
      <c r="U408" s="65"/>
      <c r="V408" s="65"/>
      <c r="W408" s="65"/>
    </row>
    <row r="409">
      <c r="A409" s="71"/>
      <c r="B409" s="209"/>
      <c r="C409" s="71"/>
      <c r="D409" s="209"/>
      <c r="E409" s="71"/>
      <c r="F409" s="209"/>
      <c r="G409" s="71"/>
      <c r="H409" s="209"/>
      <c r="I409" s="28"/>
      <c r="J409" s="209"/>
      <c r="K409" s="65"/>
      <c r="L409" s="65"/>
      <c r="M409" s="65"/>
      <c r="N409" s="65"/>
      <c r="O409" s="65"/>
      <c r="P409" s="65"/>
      <c r="Q409" s="65"/>
      <c r="R409" s="65"/>
      <c r="S409" s="65"/>
      <c r="T409" s="65"/>
      <c r="U409" s="65"/>
      <c r="V409" s="65"/>
      <c r="W409" s="65"/>
    </row>
    <row r="410">
      <c r="A410" s="71"/>
      <c r="B410" s="209"/>
      <c r="C410" s="71"/>
      <c r="D410" s="209"/>
      <c r="E410" s="71"/>
      <c r="F410" s="209"/>
      <c r="G410" s="71"/>
      <c r="H410" s="209"/>
      <c r="I410" s="28"/>
      <c r="J410" s="209"/>
      <c r="K410" s="65"/>
      <c r="L410" s="65"/>
      <c r="M410" s="65"/>
      <c r="N410" s="65"/>
      <c r="O410" s="65"/>
      <c r="P410" s="65"/>
      <c r="Q410" s="65"/>
      <c r="R410" s="65"/>
      <c r="S410" s="65"/>
      <c r="T410" s="65"/>
      <c r="U410" s="65"/>
      <c r="V410" s="65"/>
      <c r="W410" s="65"/>
    </row>
    <row r="411">
      <c r="A411" s="71"/>
      <c r="B411" s="209"/>
      <c r="C411" s="71"/>
      <c r="D411" s="209"/>
      <c r="E411" s="71"/>
      <c r="F411" s="209"/>
      <c r="G411" s="71"/>
      <c r="H411" s="209"/>
      <c r="I411" s="28"/>
      <c r="J411" s="209"/>
      <c r="K411" s="65"/>
      <c r="L411" s="65"/>
      <c r="M411" s="65"/>
      <c r="N411" s="65"/>
      <c r="O411" s="65"/>
      <c r="P411" s="65"/>
      <c r="Q411" s="65"/>
      <c r="R411" s="65"/>
      <c r="S411" s="65"/>
      <c r="T411" s="65"/>
      <c r="U411" s="65"/>
      <c r="V411" s="65"/>
      <c r="W411" s="65"/>
    </row>
    <row r="412">
      <c r="A412" s="71"/>
      <c r="B412" s="209"/>
      <c r="C412" s="71"/>
      <c r="D412" s="209"/>
      <c r="E412" s="71"/>
      <c r="F412" s="209"/>
      <c r="G412" s="71"/>
      <c r="H412" s="209"/>
      <c r="I412" s="28"/>
      <c r="J412" s="209"/>
      <c r="K412" s="65"/>
      <c r="L412" s="65"/>
      <c r="M412" s="65"/>
      <c r="N412" s="65"/>
      <c r="O412" s="65"/>
      <c r="P412" s="65"/>
      <c r="Q412" s="65"/>
      <c r="R412" s="65"/>
      <c r="S412" s="65"/>
      <c r="T412" s="65"/>
      <c r="U412" s="65"/>
      <c r="V412" s="65"/>
      <c r="W412" s="65"/>
    </row>
    <row r="413">
      <c r="A413" s="71"/>
      <c r="B413" s="209"/>
      <c r="C413" s="71"/>
      <c r="D413" s="209"/>
      <c r="E413" s="71"/>
      <c r="F413" s="209"/>
      <c r="G413" s="71"/>
      <c r="H413" s="209"/>
      <c r="I413" s="28"/>
      <c r="J413" s="209"/>
      <c r="K413" s="65"/>
      <c r="L413" s="65"/>
      <c r="M413" s="65"/>
      <c r="N413" s="65"/>
      <c r="O413" s="65"/>
      <c r="P413" s="65"/>
      <c r="Q413" s="65"/>
      <c r="R413" s="65"/>
      <c r="S413" s="65"/>
      <c r="T413" s="65"/>
      <c r="U413" s="65"/>
      <c r="V413" s="65"/>
      <c r="W413" s="65"/>
    </row>
    <row r="414">
      <c r="A414" s="71"/>
      <c r="B414" s="209"/>
      <c r="C414" s="71"/>
      <c r="D414" s="209"/>
      <c r="E414" s="71"/>
      <c r="F414" s="209"/>
      <c r="G414" s="71"/>
      <c r="H414" s="209"/>
      <c r="I414" s="28"/>
      <c r="J414" s="209"/>
      <c r="K414" s="65"/>
      <c r="L414" s="65"/>
      <c r="M414" s="65"/>
      <c r="N414" s="65"/>
      <c r="O414" s="65"/>
      <c r="P414" s="65"/>
      <c r="Q414" s="65"/>
      <c r="R414" s="65"/>
      <c r="S414" s="65"/>
      <c r="T414" s="65"/>
      <c r="U414" s="65"/>
      <c r="V414" s="65"/>
      <c r="W414" s="65"/>
    </row>
    <row r="415">
      <c r="A415" s="71"/>
      <c r="B415" s="209"/>
      <c r="C415" s="71"/>
      <c r="D415" s="209"/>
      <c r="E415" s="71"/>
      <c r="F415" s="209"/>
      <c r="G415" s="71"/>
      <c r="H415" s="209"/>
      <c r="I415" s="28"/>
      <c r="J415" s="209"/>
      <c r="K415" s="65"/>
      <c r="L415" s="65"/>
      <c r="M415" s="65"/>
      <c r="N415" s="65"/>
      <c r="O415" s="65"/>
      <c r="P415" s="65"/>
      <c r="Q415" s="65"/>
      <c r="R415" s="65"/>
      <c r="S415" s="65"/>
      <c r="T415" s="65"/>
      <c r="U415" s="65"/>
      <c r="V415" s="65"/>
      <c r="W415" s="65"/>
    </row>
    <row r="416">
      <c r="A416" s="71"/>
      <c r="B416" s="209"/>
      <c r="C416" s="71"/>
      <c r="D416" s="209"/>
      <c r="E416" s="71"/>
      <c r="F416" s="209"/>
      <c r="G416" s="71"/>
      <c r="H416" s="209"/>
      <c r="I416" s="28"/>
      <c r="J416" s="209"/>
      <c r="K416" s="65"/>
      <c r="L416" s="65"/>
      <c r="M416" s="65"/>
      <c r="N416" s="65"/>
      <c r="O416" s="65"/>
      <c r="P416" s="65"/>
      <c r="Q416" s="65"/>
      <c r="R416" s="65"/>
      <c r="S416" s="65"/>
      <c r="T416" s="65"/>
      <c r="U416" s="65"/>
      <c r="V416" s="65"/>
      <c r="W416" s="65"/>
    </row>
    <row r="417">
      <c r="A417" s="71"/>
      <c r="B417" s="209"/>
      <c r="C417" s="71"/>
      <c r="D417" s="209"/>
      <c r="E417" s="71"/>
      <c r="F417" s="209"/>
      <c r="G417" s="71"/>
      <c r="H417" s="209"/>
      <c r="I417" s="28"/>
      <c r="J417" s="209"/>
      <c r="K417" s="65"/>
      <c r="L417" s="65"/>
      <c r="M417" s="65"/>
      <c r="N417" s="65"/>
      <c r="O417" s="65"/>
      <c r="P417" s="65"/>
      <c r="Q417" s="65"/>
      <c r="R417" s="65"/>
      <c r="S417" s="65"/>
      <c r="T417" s="65"/>
      <c r="U417" s="65"/>
      <c r="V417" s="65"/>
      <c r="W417" s="65"/>
    </row>
    <row r="418">
      <c r="A418" s="71"/>
      <c r="B418" s="209"/>
      <c r="C418" s="71"/>
      <c r="D418" s="209"/>
      <c r="E418" s="71"/>
      <c r="F418" s="209"/>
      <c r="G418" s="71"/>
      <c r="H418" s="209"/>
      <c r="I418" s="28"/>
      <c r="J418" s="209"/>
      <c r="K418" s="65"/>
      <c r="L418" s="65"/>
      <c r="M418" s="65"/>
      <c r="N418" s="65"/>
      <c r="O418" s="65"/>
      <c r="P418" s="65"/>
      <c r="Q418" s="65"/>
      <c r="R418" s="65"/>
      <c r="S418" s="65"/>
      <c r="T418" s="65"/>
      <c r="U418" s="65"/>
      <c r="V418" s="65"/>
      <c r="W418" s="65"/>
    </row>
    <row r="419">
      <c r="A419" s="71"/>
      <c r="B419" s="209"/>
      <c r="C419" s="71"/>
      <c r="D419" s="209"/>
      <c r="E419" s="71"/>
      <c r="F419" s="209"/>
      <c r="G419" s="71"/>
      <c r="H419" s="209"/>
      <c r="I419" s="28"/>
      <c r="J419" s="209"/>
      <c r="K419" s="65"/>
      <c r="L419" s="65"/>
      <c r="M419" s="65"/>
      <c r="N419" s="65"/>
      <c r="O419" s="65"/>
      <c r="P419" s="65"/>
      <c r="Q419" s="65"/>
      <c r="R419" s="65"/>
      <c r="S419" s="65"/>
      <c r="T419" s="65"/>
      <c r="U419" s="65"/>
      <c r="V419" s="65"/>
      <c r="W419" s="65"/>
    </row>
    <row r="420">
      <c r="A420" s="71"/>
      <c r="B420" s="209"/>
      <c r="C420" s="71"/>
      <c r="D420" s="209"/>
      <c r="E420" s="71"/>
      <c r="F420" s="209"/>
      <c r="G420" s="71"/>
      <c r="H420" s="209"/>
      <c r="I420" s="28"/>
      <c r="J420" s="209"/>
      <c r="K420" s="65"/>
      <c r="L420" s="65"/>
      <c r="M420" s="65"/>
      <c r="N420" s="65"/>
      <c r="O420" s="65"/>
      <c r="P420" s="65"/>
      <c r="Q420" s="65"/>
      <c r="R420" s="65"/>
      <c r="S420" s="65"/>
      <c r="T420" s="65"/>
      <c r="U420" s="65"/>
      <c r="V420" s="65"/>
      <c r="W420" s="65"/>
    </row>
    <row r="421">
      <c r="A421" s="71"/>
      <c r="B421" s="209"/>
      <c r="C421" s="71"/>
      <c r="D421" s="209"/>
      <c r="E421" s="71"/>
      <c r="F421" s="209"/>
      <c r="G421" s="71"/>
      <c r="H421" s="209"/>
      <c r="I421" s="28"/>
      <c r="J421" s="209"/>
      <c r="K421" s="65"/>
      <c r="L421" s="65"/>
      <c r="M421" s="65"/>
      <c r="N421" s="65"/>
      <c r="O421" s="65"/>
      <c r="P421" s="65"/>
      <c r="Q421" s="65"/>
      <c r="R421" s="65"/>
      <c r="S421" s="65"/>
      <c r="T421" s="65"/>
      <c r="U421" s="65"/>
      <c r="V421" s="65"/>
      <c r="W421" s="65"/>
    </row>
    <row r="422">
      <c r="A422" s="71"/>
      <c r="B422" s="209"/>
      <c r="C422" s="71"/>
      <c r="D422" s="209"/>
      <c r="E422" s="71"/>
      <c r="F422" s="209"/>
      <c r="G422" s="71"/>
      <c r="H422" s="209"/>
      <c r="I422" s="28"/>
      <c r="J422" s="209"/>
      <c r="K422" s="65"/>
      <c r="L422" s="65"/>
      <c r="M422" s="65"/>
      <c r="N422" s="65"/>
      <c r="O422" s="65"/>
      <c r="P422" s="65"/>
      <c r="Q422" s="65"/>
      <c r="R422" s="65"/>
      <c r="S422" s="65"/>
      <c r="T422" s="65"/>
      <c r="U422" s="65"/>
      <c r="V422" s="65"/>
      <c r="W422" s="65"/>
    </row>
    <row r="423">
      <c r="A423" s="71"/>
      <c r="B423" s="209"/>
      <c r="C423" s="71"/>
      <c r="D423" s="209"/>
      <c r="E423" s="71"/>
      <c r="F423" s="209"/>
      <c r="G423" s="71"/>
      <c r="H423" s="209"/>
      <c r="I423" s="28"/>
      <c r="J423" s="209"/>
      <c r="K423" s="65"/>
      <c r="L423" s="65"/>
      <c r="M423" s="65"/>
      <c r="N423" s="65"/>
      <c r="O423" s="65"/>
      <c r="P423" s="65"/>
      <c r="Q423" s="65"/>
      <c r="R423" s="65"/>
      <c r="S423" s="65"/>
      <c r="T423" s="65"/>
      <c r="U423" s="65"/>
      <c r="V423" s="65"/>
      <c r="W423" s="65"/>
    </row>
    <row r="424">
      <c r="A424" s="71"/>
      <c r="B424" s="209"/>
      <c r="C424" s="71"/>
      <c r="D424" s="209"/>
      <c r="E424" s="71"/>
      <c r="F424" s="209"/>
      <c r="G424" s="71"/>
      <c r="H424" s="209"/>
      <c r="I424" s="28"/>
      <c r="J424" s="209"/>
      <c r="K424" s="65"/>
      <c r="L424" s="65"/>
      <c r="M424" s="65"/>
      <c r="N424" s="65"/>
      <c r="O424" s="65"/>
      <c r="P424" s="65"/>
      <c r="Q424" s="65"/>
      <c r="R424" s="65"/>
      <c r="S424" s="65"/>
      <c r="T424" s="65"/>
      <c r="U424" s="65"/>
      <c r="V424" s="65"/>
      <c r="W424" s="65"/>
    </row>
    <row r="425">
      <c r="A425" s="71"/>
      <c r="B425" s="209"/>
      <c r="C425" s="71"/>
      <c r="D425" s="209"/>
      <c r="E425" s="71"/>
      <c r="F425" s="209"/>
      <c r="G425" s="71"/>
      <c r="H425" s="209"/>
      <c r="I425" s="28"/>
      <c r="J425" s="209"/>
      <c r="K425" s="65"/>
      <c r="L425" s="65"/>
      <c r="M425" s="65"/>
      <c r="N425" s="65"/>
      <c r="O425" s="65"/>
      <c r="P425" s="65"/>
      <c r="Q425" s="65"/>
      <c r="R425" s="65"/>
      <c r="S425" s="65"/>
      <c r="T425" s="65"/>
      <c r="U425" s="65"/>
      <c r="V425" s="65"/>
      <c r="W425" s="65"/>
    </row>
    <row r="426">
      <c r="A426" s="71"/>
      <c r="B426" s="209"/>
      <c r="C426" s="71"/>
      <c r="D426" s="209"/>
      <c r="E426" s="71"/>
      <c r="F426" s="209"/>
      <c r="G426" s="71"/>
      <c r="H426" s="209"/>
      <c r="I426" s="28"/>
      <c r="J426" s="209"/>
      <c r="K426" s="65"/>
      <c r="L426" s="65"/>
      <c r="M426" s="65"/>
      <c r="N426" s="65"/>
      <c r="O426" s="65"/>
      <c r="P426" s="65"/>
      <c r="Q426" s="65"/>
      <c r="R426" s="65"/>
      <c r="S426" s="65"/>
      <c r="T426" s="65"/>
      <c r="U426" s="65"/>
      <c r="V426" s="65"/>
      <c r="W426" s="65"/>
    </row>
    <row r="427">
      <c r="A427" s="71"/>
      <c r="B427" s="209"/>
      <c r="C427" s="71"/>
      <c r="D427" s="209"/>
      <c r="E427" s="71"/>
      <c r="F427" s="209"/>
      <c r="G427" s="71"/>
      <c r="H427" s="209"/>
      <c r="I427" s="28"/>
      <c r="J427" s="209"/>
      <c r="K427" s="65"/>
      <c r="L427" s="65"/>
      <c r="M427" s="65"/>
      <c r="N427" s="65"/>
      <c r="O427" s="65"/>
      <c r="P427" s="65"/>
      <c r="Q427" s="65"/>
      <c r="R427" s="65"/>
      <c r="S427" s="65"/>
      <c r="T427" s="65"/>
      <c r="U427" s="65"/>
      <c r="V427" s="65"/>
      <c r="W427" s="65"/>
    </row>
    <row r="428">
      <c r="A428" s="71"/>
      <c r="B428" s="209"/>
      <c r="C428" s="71"/>
      <c r="D428" s="209"/>
      <c r="E428" s="71"/>
      <c r="F428" s="209"/>
      <c r="G428" s="71"/>
      <c r="H428" s="209"/>
      <c r="I428" s="28"/>
      <c r="J428" s="209"/>
      <c r="K428" s="65"/>
      <c r="L428" s="65"/>
      <c r="M428" s="65"/>
      <c r="N428" s="65"/>
      <c r="O428" s="65"/>
      <c r="P428" s="65"/>
      <c r="Q428" s="65"/>
      <c r="R428" s="65"/>
      <c r="S428" s="65"/>
      <c r="T428" s="65"/>
      <c r="U428" s="65"/>
      <c r="V428" s="65"/>
      <c r="W428" s="65"/>
    </row>
    <row r="429">
      <c r="A429" s="71"/>
      <c r="B429" s="209"/>
      <c r="C429" s="71"/>
      <c r="D429" s="209"/>
      <c r="E429" s="71"/>
      <c r="F429" s="209"/>
      <c r="G429" s="71"/>
      <c r="H429" s="209"/>
      <c r="I429" s="28"/>
      <c r="J429" s="209"/>
      <c r="K429" s="65"/>
      <c r="L429" s="65"/>
      <c r="M429" s="65"/>
      <c r="N429" s="65"/>
      <c r="O429" s="65"/>
      <c r="P429" s="65"/>
      <c r="Q429" s="65"/>
      <c r="R429" s="65"/>
      <c r="S429" s="65"/>
      <c r="T429" s="65"/>
      <c r="U429" s="65"/>
      <c r="V429" s="65"/>
      <c r="W429" s="65"/>
    </row>
    <row r="430">
      <c r="A430" s="71"/>
      <c r="B430" s="209"/>
      <c r="C430" s="71"/>
      <c r="D430" s="209"/>
      <c r="E430" s="71"/>
      <c r="F430" s="209"/>
      <c r="G430" s="71"/>
      <c r="H430" s="209"/>
      <c r="I430" s="28"/>
      <c r="J430" s="209"/>
      <c r="K430" s="65"/>
      <c r="L430" s="65"/>
      <c r="M430" s="65"/>
      <c r="N430" s="65"/>
      <c r="O430" s="65"/>
      <c r="P430" s="65"/>
      <c r="Q430" s="65"/>
      <c r="R430" s="65"/>
      <c r="S430" s="65"/>
      <c r="T430" s="65"/>
      <c r="U430" s="65"/>
      <c r="V430" s="65"/>
      <c r="W430" s="65"/>
    </row>
    <row r="431">
      <c r="A431" s="71"/>
      <c r="B431" s="209"/>
      <c r="C431" s="71"/>
      <c r="D431" s="209"/>
      <c r="E431" s="71"/>
      <c r="F431" s="209"/>
      <c r="G431" s="71"/>
      <c r="H431" s="209"/>
      <c r="I431" s="28"/>
      <c r="J431" s="209"/>
      <c r="K431" s="65"/>
      <c r="L431" s="65"/>
      <c r="M431" s="65"/>
      <c r="N431" s="65"/>
      <c r="O431" s="65"/>
      <c r="P431" s="65"/>
      <c r="Q431" s="65"/>
      <c r="R431" s="65"/>
      <c r="S431" s="65"/>
      <c r="T431" s="65"/>
      <c r="U431" s="65"/>
      <c r="V431" s="65"/>
      <c r="W431" s="65"/>
    </row>
    <row r="432">
      <c r="A432" s="71"/>
      <c r="B432" s="209"/>
      <c r="C432" s="71"/>
      <c r="D432" s="209"/>
      <c r="E432" s="71"/>
      <c r="F432" s="209"/>
      <c r="G432" s="71"/>
      <c r="H432" s="209"/>
      <c r="I432" s="28"/>
      <c r="J432" s="209"/>
      <c r="K432" s="65"/>
      <c r="L432" s="65"/>
      <c r="M432" s="65"/>
      <c r="N432" s="65"/>
      <c r="O432" s="65"/>
      <c r="P432" s="65"/>
      <c r="Q432" s="65"/>
      <c r="R432" s="65"/>
      <c r="S432" s="65"/>
      <c r="T432" s="65"/>
      <c r="U432" s="65"/>
      <c r="V432" s="65"/>
      <c r="W432" s="65"/>
    </row>
    <row r="433">
      <c r="A433" s="71"/>
      <c r="B433" s="209"/>
      <c r="C433" s="71"/>
      <c r="D433" s="209"/>
      <c r="E433" s="71"/>
      <c r="F433" s="209"/>
      <c r="G433" s="71"/>
      <c r="H433" s="209"/>
      <c r="I433" s="28"/>
      <c r="J433" s="209"/>
      <c r="K433" s="65"/>
      <c r="L433" s="65"/>
      <c r="M433" s="65"/>
      <c r="N433" s="65"/>
      <c r="O433" s="65"/>
      <c r="P433" s="65"/>
      <c r="Q433" s="65"/>
      <c r="R433" s="65"/>
      <c r="S433" s="65"/>
      <c r="T433" s="65"/>
      <c r="U433" s="65"/>
      <c r="V433" s="65"/>
      <c r="W433" s="65"/>
    </row>
    <row r="434">
      <c r="A434" s="71"/>
      <c r="B434" s="209"/>
      <c r="C434" s="71"/>
      <c r="D434" s="209"/>
      <c r="E434" s="71"/>
      <c r="F434" s="209"/>
      <c r="G434" s="71"/>
      <c r="H434" s="209"/>
      <c r="I434" s="28"/>
      <c r="J434" s="209"/>
      <c r="K434" s="65"/>
      <c r="L434" s="65"/>
      <c r="M434" s="65"/>
      <c r="N434" s="65"/>
      <c r="O434" s="65"/>
      <c r="P434" s="65"/>
      <c r="Q434" s="65"/>
      <c r="R434" s="65"/>
      <c r="S434" s="65"/>
      <c r="T434" s="65"/>
      <c r="U434" s="65"/>
      <c r="V434" s="65"/>
      <c r="W434" s="65"/>
    </row>
    <row r="435">
      <c r="A435" s="71"/>
      <c r="B435" s="209"/>
      <c r="C435" s="71"/>
      <c r="D435" s="209"/>
      <c r="E435" s="71"/>
      <c r="F435" s="209"/>
      <c r="G435" s="71"/>
      <c r="H435" s="209"/>
      <c r="I435" s="28"/>
      <c r="J435" s="209"/>
      <c r="K435" s="65"/>
      <c r="L435" s="65"/>
      <c r="M435" s="65"/>
      <c r="N435" s="65"/>
      <c r="O435" s="65"/>
      <c r="P435" s="65"/>
      <c r="Q435" s="65"/>
      <c r="R435" s="65"/>
      <c r="S435" s="65"/>
      <c r="T435" s="65"/>
      <c r="U435" s="65"/>
      <c r="V435" s="65"/>
      <c r="W435" s="65"/>
    </row>
    <row r="436">
      <c r="A436" s="71"/>
      <c r="B436" s="209"/>
      <c r="C436" s="71"/>
      <c r="D436" s="209"/>
      <c r="E436" s="71"/>
      <c r="F436" s="209"/>
      <c r="G436" s="71"/>
      <c r="H436" s="209"/>
      <c r="I436" s="28"/>
      <c r="J436" s="209"/>
      <c r="K436" s="65"/>
      <c r="L436" s="65"/>
      <c r="M436" s="65"/>
      <c r="N436" s="65"/>
      <c r="O436" s="65"/>
      <c r="P436" s="65"/>
      <c r="Q436" s="65"/>
      <c r="R436" s="65"/>
      <c r="S436" s="65"/>
      <c r="T436" s="65"/>
      <c r="U436" s="65"/>
      <c r="V436" s="65"/>
      <c r="W436" s="65"/>
    </row>
    <row r="437">
      <c r="A437" s="71"/>
      <c r="B437" s="209"/>
      <c r="C437" s="71"/>
      <c r="D437" s="209"/>
      <c r="E437" s="71"/>
      <c r="F437" s="209"/>
      <c r="G437" s="71"/>
      <c r="H437" s="209"/>
      <c r="I437" s="28"/>
      <c r="J437" s="209"/>
      <c r="K437" s="65"/>
      <c r="L437" s="65"/>
      <c r="M437" s="65"/>
      <c r="N437" s="65"/>
      <c r="O437" s="65"/>
      <c r="P437" s="65"/>
      <c r="Q437" s="65"/>
      <c r="R437" s="65"/>
      <c r="S437" s="65"/>
      <c r="T437" s="65"/>
      <c r="U437" s="65"/>
      <c r="V437" s="65"/>
      <c r="W437" s="65"/>
    </row>
    <row r="438">
      <c r="A438" s="71"/>
      <c r="B438" s="209"/>
      <c r="C438" s="71"/>
      <c r="D438" s="209"/>
      <c r="E438" s="71"/>
      <c r="F438" s="209"/>
      <c r="G438" s="71"/>
      <c r="H438" s="209"/>
      <c r="I438" s="28"/>
      <c r="J438" s="209"/>
      <c r="K438" s="65"/>
      <c r="L438" s="65"/>
      <c r="M438" s="65"/>
      <c r="N438" s="65"/>
      <c r="O438" s="65"/>
      <c r="P438" s="65"/>
      <c r="Q438" s="65"/>
      <c r="R438" s="65"/>
      <c r="S438" s="65"/>
      <c r="T438" s="65"/>
      <c r="U438" s="65"/>
      <c r="V438" s="65"/>
      <c r="W438" s="65"/>
    </row>
    <row r="439">
      <c r="A439" s="71"/>
      <c r="B439" s="209"/>
      <c r="C439" s="71"/>
      <c r="D439" s="209"/>
      <c r="E439" s="71"/>
      <c r="F439" s="209"/>
      <c r="G439" s="71"/>
      <c r="H439" s="209"/>
      <c r="I439" s="28"/>
      <c r="J439" s="209"/>
      <c r="K439" s="65"/>
      <c r="L439" s="65"/>
      <c r="M439" s="65"/>
      <c r="N439" s="65"/>
      <c r="O439" s="65"/>
      <c r="P439" s="65"/>
      <c r="Q439" s="65"/>
      <c r="R439" s="65"/>
      <c r="S439" s="65"/>
      <c r="T439" s="65"/>
      <c r="U439" s="65"/>
      <c r="V439" s="65"/>
      <c r="W439" s="65"/>
    </row>
    <row r="440">
      <c r="A440" s="71"/>
      <c r="B440" s="209"/>
      <c r="C440" s="71"/>
      <c r="D440" s="209"/>
      <c r="E440" s="71"/>
      <c r="F440" s="209"/>
      <c r="G440" s="71"/>
      <c r="H440" s="209"/>
      <c r="I440" s="28"/>
      <c r="J440" s="209"/>
      <c r="K440" s="65"/>
      <c r="L440" s="65"/>
      <c r="M440" s="65"/>
      <c r="N440" s="65"/>
      <c r="O440" s="65"/>
      <c r="P440" s="65"/>
      <c r="Q440" s="65"/>
      <c r="R440" s="65"/>
      <c r="S440" s="65"/>
      <c r="T440" s="65"/>
      <c r="U440" s="65"/>
      <c r="V440" s="65"/>
      <c r="W440" s="65"/>
    </row>
    <row r="441">
      <c r="A441" s="71"/>
      <c r="B441" s="209"/>
      <c r="C441" s="71"/>
      <c r="D441" s="209"/>
      <c r="E441" s="71"/>
      <c r="F441" s="209"/>
      <c r="G441" s="71"/>
      <c r="H441" s="209"/>
      <c r="I441" s="28"/>
      <c r="J441" s="209"/>
      <c r="K441" s="65"/>
      <c r="L441" s="65"/>
      <c r="M441" s="65"/>
      <c r="N441" s="65"/>
      <c r="O441" s="65"/>
      <c r="P441" s="65"/>
      <c r="Q441" s="65"/>
      <c r="R441" s="65"/>
      <c r="S441" s="65"/>
      <c r="T441" s="65"/>
      <c r="U441" s="65"/>
      <c r="V441" s="65"/>
      <c r="W441" s="65"/>
    </row>
    <row r="442">
      <c r="A442" s="71"/>
      <c r="B442" s="209"/>
      <c r="C442" s="71"/>
      <c r="D442" s="209"/>
      <c r="E442" s="71"/>
      <c r="F442" s="209"/>
      <c r="G442" s="71"/>
      <c r="H442" s="209"/>
      <c r="I442" s="28"/>
      <c r="J442" s="209"/>
      <c r="K442" s="65"/>
      <c r="L442" s="65"/>
      <c r="M442" s="65"/>
      <c r="N442" s="65"/>
      <c r="O442" s="65"/>
      <c r="P442" s="65"/>
      <c r="Q442" s="65"/>
      <c r="R442" s="65"/>
      <c r="S442" s="65"/>
      <c r="T442" s="65"/>
      <c r="U442" s="65"/>
      <c r="V442" s="65"/>
      <c r="W442" s="65"/>
    </row>
    <row r="443">
      <c r="A443" s="71"/>
      <c r="B443" s="209"/>
      <c r="C443" s="71"/>
      <c r="D443" s="209"/>
      <c r="E443" s="71"/>
      <c r="F443" s="209"/>
      <c r="G443" s="71"/>
      <c r="H443" s="209"/>
      <c r="I443" s="28"/>
      <c r="J443" s="209"/>
      <c r="K443" s="65"/>
      <c r="L443" s="65"/>
      <c r="M443" s="65"/>
      <c r="N443" s="65"/>
      <c r="O443" s="65"/>
      <c r="P443" s="65"/>
      <c r="Q443" s="65"/>
      <c r="R443" s="65"/>
      <c r="S443" s="65"/>
      <c r="T443" s="65"/>
      <c r="U443" s="65"/>
      <c r="V443" s="65"/>
      <c r="W443" s="65"/>
    </row>
    <row r="444">
      <c r="A444" s="71"/>
      <c r="B444" s="209"/>
      <c r="C444" s="71"/>
      <c r="D444" s="209"/>
      <c r="E444" s="71"/>
      <c r="F444" s="209"/>
      <c r="G444" s="71"/>
      <c r="H444" s="209"/>
      <c r="I444" s="28"/>
      <c r="J444" s="209"/>
      <c r="K444" s="65"/>
      <c r="L444" s="65"/>
      <c r="M444" s="65"/>
      <c r="N444" s="65"/>
      <c r="O444" s="65"/>
      <c r="P444" s="65"/>
      <c r="Q444" s="65"/>
      <c r="R444" s="65"/>
      <c r="S444" s="65"/>
      <c r="T444" s="65"/>
      <c r="U444" s="65"/>
      <c r="V444" s="65"/>
      <c r="W444" s="65"/>
    </row>
    <row r="445">
      <c r="A445" s="71"/>
      <c r="B445" s="209"/>
      <c r="C445" s="71"/>
      <c r="D445" s="209"/>
      <c r="E445" s="71"/>
      <c r="F445" s="209"/>
      <c r="G445" s="71"/>
      <c r="H445" s="209"/>
      <c r="I445" s="28"/>
      <c r="J445" s="209"/>
      <c r="K445" s="65"/>
      <c r="L445" s="65"/>
      <c r="M445" s="65"/>
      <c r="N445" s="65"/>
      <c r="O445" s="65"/>
      <c r="P445" s="65"/>
      <c r="Q445" s="65"/>
      <c r="R445" s="65"/>
      <c r="S445" s="65"/>
      <c r="T445" s="65"/>
      <c r="U445" s="65"/>
      <c r="V445" s="65"/>
      <c r="W445" s="65"/>
    </row>
    <row r="446">
      <c r="A446" s="71"/>
      <c r="B446" s="209"/>
      <c r="C446" s="71"/>
      <c r="D446" s="209"/>
      <c r="E446" s="71"/>
      <c r="F446" s="209"/>
      <c r="G446" s="71"/>
      <c r="H446" s="209"/>
      <c r="I446" s="28"/>
      <c r="J446" s="209"/>
      <c r="K446" s="65"/>
      <c r="L446" s="65"/>
      <c r="M446" s="65"/>
      <c r="N446" s="65"/>
      <c r="O446" s="65"/>
      <c r="P446" s="65"/>
      <c r="Q446" s="65"/>
      <c r="R446" s="65"/>
      <c r="S446" s="65"/>
      <c r="T446" s="65"/>
      <c r="U446" s="65"/>
      <c r="V446" s="65"/>
      <c r="W446" s="65"/>
    </row>
    <row r="447">
      <c r="A447" s="71"/>
      <c r="B447" s="209"/>
      <c r="C447" s="71"/>
      <c r="D447" s="209"/>
      <c r="E447" s="71"/>
      <c r="F447" s="209"/>
      <c r="G447" s="71"/>
      <c r="H447" s="209"/>
      <c r="I447" s="28"/>
      <c r="J447" s="209"/>
      <c r="K447" s="65"/>
      <c r="L447" s="65"/>
      <c r="M447" s="65"/>
      <c r="N447" s="65"/>
      <c r="O447" s="65"/>
      <c r="P447" s="65"/>
      <c r="Q447" s="65"/>
      <c r="R447" s="65"/>
      <c r="S447" s="65"/>
      <c r="T447" s="65"/>
      <c r="U447" s="65"/>
      <c r="V447" s="65"/>
      <c r="W447" s="65"/>
    </row>
    <row r="448">
      <c r="A448" s="71"/>
      <c r="B448" s="209"/>
      <c r="C448" s="71"/>
      <c r="D448" s="209"/>
      <c r="E448" s="71"/>
      <c r="F448" s="209"/>
      <c r="G448" s="71"/>
      <c r="H448" s="209"/>
      <c r="I448" s="28"/>
      <c r="J448" s="209"/>
      <c r="K448" s="65"/>
      <c r="L448" s="65"/>
      <c r="M448" s="65"/>
      <c r="N448" s="65"/>
      <c r="O448" s="65"/>
      <c r="P448" s="65"/>
      <c r="Q448" s="65"/>
      <c r="R448" s="65"/>
      <c r="S448" s="65"/>
      <c r="T448" s="65"/>
      <c r="U448" s="65"/>
      <c r="V448" s="65"/>
      <c r="W448" s="65"/>
    </row>
    <row r="449">
      <c r="A449" s="71"/>
      <c r="B449" s="209"/>
      <c r="C449" s="71"/>
      <c r="D449" s="209"/>
      <c r="E449" s="71"/>
      <c r="F449" s="209"/>
      <c r="G449" s="71"/>
      <c r="H449" s="209"/>
      <c r="I449" s="28"/>
      <c r="J449" s="209"/>
      <c r="K449" s="65"/>
      <c r="L449" s="65"/>
      <c r="M449" s="65"/>
      <c r="N449" s="65"/>
      <c r="O449" s="65"/>
      <c r="P449" s="65"/>
      <c r="Q449" s="65"/>
      <c r="R449" s="65"/>
      <c r="S449" s="65"/>
      <c r="T449" s="65"/>
      <c r="U449" s="65"/>
      <c r="V449" s="65"/>
      <c r="W449" s="65"/>
    </row>
    <row r="450">
      <c r="A450" s="71"/>
      <c r="B450" s="209"/>
      <c r="C450" s="71"/>
      <c r="D450" s="209"/>
      <c r="E450" s="71"/>
      <c r="F450" s="209"/>
      <c r="G450" s="71"/>
      <c r="H450" s="209"/>
      <c r="I450" s="28"/>
      <c r="J450" s="209"/>
      <c r="K450" s="65"/>
      <c r="L450" s="65"/>
      <c r="M450" s="65"/>
      <c r="N450" s="65"/>
      <c r="O450" s="65"/>
      <c r="P450" s="65"/>
      <c r="Q450" s="65"/>
      <c r="R450" s="65"/>
      <c r="S450" s="65"/>
      <c r="T450" s="65"/>
      <c r="U450" s="65"/>
      <c r="V450" s="65"/>
      <c r="W450" s="65"/>
    </row>
    <row r="451">
      <c r="A451" s="71"/>
      <c r="B451" s="209"/>
      <c r="C451" s="71"/>
      <c r="D451" s="209"/>
      <c r="E451" s="71"/>
      <c r="F451" s="209"/>
      <c r="G451" s="71"/>
      <c r="H451" s="209"/>
      <c r="I451" s="28"/>
      <c r="J451" s="209"/>
      <c r="K451" s="65"/>
      <c r="L451" s="65"/>
      <c r="M451" s="65"/>
      <c r="N451" s="65"/>
      <c r="O451" s="65"/>
      <c r="P451" s="65"/>
      <c r="Q451" s="65"/>
      <c r="R451" s="65"/>
      <c r="S451" s="65"/>
      <c r="T451" s="65"/>
      <c r="U451" s="65"/>
      <c r="V451" s="65"/>
      <c r="W451" s="65"/>
    </row>
    <row r="452">
      <c r="A452" s="71"/>
      <c r="B452" s="209"/>
      <c r="C452" s="71"/>
      <c r="D452" s="209"/>
      <c r="E452" s="71"/>
      <c r="F452" s="209"/>
      <c r="G452" s="71"/>
      <c r="H452" s="209"/>
      <c r="I452" s="28"/>
      <c r="J452" s="209"/>
      <c r="K452" s="65"/>
      <c r="L452" s="65"/>
      <c r="M452" s="65"/>
      <c r="N452" s="65"/>
      <c r="O452" s="65"/>
      <c r="P452" s="65"/>
      <c r="Q452" s="65"/>
      <c r="R452" s="65"/>
      <c r="S452" s="65"/>
      <c r="T452" s="65"/>
      <c r="U452" s="65"/>
      <c r="V452" s="65"/>
      <c r="W452" s="65"/>
    </row>
    <row r="453">
      <c r="A453" s="71"/>
      <c r="B453" s="209"/>
      <c r="C453" s="71"/>
      <c r="D453" s="209"/>
      <c r="E453" s="71"/>
      <c r="F453" s="209"/>
      <c r="G453" s="71"/>
      <c r="H453" s="209"/>
      <c r="I453" s="28"/>
      <c r="J453" s="209"/>
      <c r="K453" s="65"/>
      <c r="L453" s="65"/>
      <c r="M453" s="65"/>
      <c r="N453" s="65"/>
      <c r="O453" s="65"/>
      <c r="P453" s="65"/>
      <c r="Q453" s="65"/>
      <c r="R453" s="65"/>
      <c r="S453" s="65"/>
      <c r="T453" s="65"/>
      <c r="U453" s="65"/>
      <c r="V453" s="65"/>
      <c r="W453" s="65"/>
    </row>
    <row r="454">
      <c r="A454" s="71"/>
      <c r="B454" s="209"/>
      <c r="C454" s="71"/>
      <c r="D454" s="209"/>
      <c r="E454" s="71"/>
      <c r="F454" s="209"/>
      <c r="G454" s="71"/>
      <c r="H454" s="209"/>
      <c r="I454" s="28"/>
      <c r="J454" s="209"/>
      <c r="K454" s="65"/>
      <c r="L454" s="65"/>
      <c r="M454" s="65"/>
      <c r="N454" s="65"/>
      <c r="O454" s="65"/>
      <c r="P454" s="65"/>
      <c r="Q454" s="65"/>
      <c r="R454" s="65"/>
      <c r="S454" s="65"/>
      <c r="T454" s="65"/>
      <c r="U454" s="65"/>
      <c r="V454" s="65"/>
      <c r="W454" s="65"/>
    </row>
    <row r="455">
      <c r="A455" s="71"/>
      <c r="B455" s="209"/>
      <c r="C455" s="71"/>
      <c r="D455" s="209"/>
      <c r="E455" s="71"/>
      <c r="F455" s="209"/>
      <c r="G455" s="71"/>
      <c r="H455" s="209"/>
      <c r="I455" s="28"/>
      <c r="J455" s="209"/>
      <c r="K455" s="65"/>
      <c r="L455" s="65"/>
      <c r="M455" s="65"/>
      <c r="N455" s="65"/>
      <c r="O455" s="65"/>
      <c r="P455" s="65"/>
      <c r="Q455" s="65"/>
      <c r="R455" s="65"/>
      <c r="S455" s="65"/>
      <c r="T455" s="65"/>
      <c r="U455" s="65"/>
      <c r="V455" s="65"/>
      <c r="W455" s="65"/>
    </row>
    <row r="456">
      <c r="A456" s="71"/>
      <c r="B456" s="209"/>
      <c r="C456" s="71"/>
      <c r="D456" s="209"/>
      <c r="E456" s="71"/>
      <c r="F456" s="209"/>
      <c r="G456" s="71"/>
      <c r="H456" s="209"/>
      <c r="I456" s="28"/>
      <c r="J456" s="209"/>
      <c r="K456" s="65"/>
      <c r="L456" s="65"/>
      <c r="M456" s="65"/>
      <c r="N456" s="65"/>
      <c r="O456" s="65"/>
      <c r="P456" s="65"/>
      <c r="Q456" s="65"/>
      <c r="R456" s="65"/>
      <c r="S456" s="65"/>
      <c r="T456" s="65"/>
      <c r="U456" s="65"/>
      <c r="V456" s="65"/>
      <c r="W456" s="65"/>
    </row>
    <row r="457">
      <c r="A457" s="71"/>
      <c r="B457" s="209"/>
      <c r="C457" s="71"/>
      <c r="D457" s="209"/>
      <c r="E457" s="71"/>
      <c r="F457" s="209"/>
      <c r="G457" s="71"/>
      <c r="H457" s="209"/>
      <c r="I457" s="28"/>
      <c r="J457" s="209"/>
      <c r="K457" s="65"/>
      <c r="L457" s="65"/>
      <c r="M457" s="65"/>
      <c r="N457" s="65"/>
      <c r="O457" s="65"/>
      <c r="P457" s="65"/>
      <c r="Q457" s="65"/>
      <c r="R457" s="65"/>
      <c r="S457" s="65"/>
      <c r="T457" s="65"/>
      <c r="U457" s="65"/>
      <c r="V457" s="65"/>
      <c r="W457" s="65"/>
    </row>
    <row r="458">
      <c r="A458" s="71"/>
      <c r="B458" s="209"/>
      <c r="C458" s="71"/>
      <c r="D458" s="209"/>
      <c r="E458" s="71"/>
      <c r="F458" s="209"/>
      <c r="G458" s="71"/>
      <c r="H458" s="209"/>
      <c r="I458" s="28"/>
      <c r="J458" s="209"/>
      <c r="K458" s="65"/>
      <c r="L458" s="65"/>
      <c r="M458" s="65"/>
      <c r="N458" s="65"/>
      <c r="O458" s="65"/>
      <c r="P458" s="65"/>
      <c r="Q458" s="65"/>
      <c r="R458" s="65"/>
      <c r="S458" s="65"/>
      <c r="T458" s="65"/>
      <c r="U458" s="65"/>
      <c r="V458" s="65"/>
      <c r="W458" s="65"/>
    </row>
    <row r="459">
      <c r="A459" s="71"/>
      <c r="B459" s="209"/>
      <c r="C459" s="71"/>
      <c r="D459" s="209"/>
      <c r="E459" s="71"/>
      <c r="F459" s="209"/>
      <c r="G459" s="71"/>
      <c r="H459" s="209"/>
      <c r="I459" s="28"/>
      <c r="J459" s="209"/>
      <c r="K459" s="65"/>
      <c r="L459" s="65"/>
      <c r="M459" s="65"/>
      <c r="N459" s="65"/>
      <c r="O459" s="65"/>
      <c r="P459" s="65"/>
      <c r="Q459" s="65"/>
      <c r="R459" s="65"/>
      <c r="S459" s="65"/>
      <c r="T459" s="65"/>
      <c r="U459" s="65"/>
      <c r="V459" s="65"/>
      <c r="W459" s="65"/>
    </row>
    <row r="460">
      <c r="A460" s="71"/>
      <c r="B460" s="209"/>
      <c r="C460" s="71"/>
      <c r="D460" s="209"/>
      <c r="E460" s="71"/>
      <c r="F460" s="209"/>
      <c r="G460" s="71"/>
      <c r="H460" s="209"/>
      <c r="I460" s="28"/>
      <c r="J460" s="209"/>
      <c r="K460" s="65"/>
      <c r="L460" s="65"/>
      <c r="M460" s="65"/>
      <c r="N460" s="65"/>
      <c r="O460" s="65"/>
      <c r="P460" s="65"/>
      <c r="Q460" s="65"/>
      <c r="R460" s="65"/>
      <c r="S460" s="65"/>
      <c r="T460" s="65"/>
      <c r="U460" s="65"/>
      <c r="V460" s="65"/>
      <c r="W460" s="65"/>
    </row>
    <row r="461">
      <c r="A461" s="71"/>
      <c r="B461" s="209"/>
      <c r="C461" s="71"/>
      <c r="D461" s="209"/>
      <c r="E461" s="71"/>
      <c r="F461" s="209"/>
      <c r="G461" s="71"/>
      <c r="H461" s="209"/>
      <c r="I461" s="28"/>
      <c r="J461" s="209"/>
      <c r="K461" s="65"/>
      <c r="L461" s="65"/>
      <c r="M461" s="65"/>
      <c r="N461" s="65"/>
      <c r="O461" s="65"/>
      <c r="P461" s="65"/>
      <c r="Q461" s="65"/>
      <c r="R461" s="65"/>
      <c r="S461" s="65"/>
      <c r="T461" s="65"/>
      <c r="U461" s="65"/>
      <c r="V461" s="65"/>
      <c r="W461" s="65"/>
    </row>
    <row r="462">
      <c r="A462" s="71"/>
      <c r="B462" s="209"/>
      <c r="C462" s="71"/>
      <c r="D462" s="209"/>
      <c r="E462" s="71"/>
      <c r="F462" s="209"/>
      <c r="G462" s="71"/>
      <c r="H462" s="209"/>
      <c r="I462" s="28"/>
      <c r="J462" s="209"/>
      <c r="K462" s="65"/>
      <c r="L462" s="65"/>
      <c r="M462" s="65"/>
      <c r="N462" s="65"/>
      <c r="O462" s="65"/>
      <c r="P462" s="65"/>
      <c r="Q462" s="65"/>
      <c r="R462" s="65"/>
      <c r="S462" s="65"/>
      <c r="T462" s="65"/>
      <c r="U462" s="65"/>
      <c r="V462" s="65"/>
      <c r="W462" s="65"/>
    </row>
    <row r="463">
      <c r="A463" s="71"/>
      <c r="B463" s="209"/>
      <c r="C463" s="71"/>
      <c r="D463" s="209"/>
      <c r="E463" s="71"/>
      <c r="F463" s="209"/>
      <c r="G463" s="71"/>
      <c r="H463" s="209"/>
      <c r="I463" s="28"/>
      <c r="J463" s="209"/>
      <c r="K463" s="65"/>
      <c r="L463" s="65"/>
      <c r="M463" s="65"/>
      <c r="N463" s="65"/>
      <c r="O463" s="65"/>
      <c r="P463" s="65"/>
      <c r="Q463" s="65"/>
      <c r="R463" s="65"/>
      <c r="S463" s="65"/>
      <c r="T463" s="65"/>
      <c r="U463" s="65"/>
      <c r="V463" s="65"/>
      <c r="W463" s="65"/>
    </row>
    <row r="464">
      <c r="A464" s="71"/>
      <c r="B464" s="209"/>
      <c r="C464" s="71"/>
      <c r="D464" s="209"/>
      <c r="E464" s="71"/>
      <c r="F464" s="209"/>
      <c r="G464" s="71"/>
      <c r="H464" s="209"/>
      <c r="I464" s="28"/>
      <c r="J464" s="209"/>
      <c r="K464" s="65"/>
      <c r="L464" s="65"/>
      <c r="M464" s="65"/>
      <c r="N464" s="65"/>
      <c r="O464" s="65"/>
      <c r="P464" s="65"/>
      <c r="Q464" s="65"/>
      <c r="R464" s="65"/>
      <c r="S464" s="65"/>
      <c r="T464" s="65"/>
      <c r="U464" s="65"/>
      <c r="V464" s="65"/>
      <c r="W464" s="65"/>
    </row>
    <row r="465">
      <c r="A465" s="71"/>
      <c r="B465" s="209"/>
      <c r="C465" s="71"/>
      <c r="D465" s="209"/>
      <c r="E465" s="71"/>
      <c r="F465" s="209"/>
      <c r="G465" s="71"/>
      <c r="H465" s="209"/>
      <c r="I465" s="28"/>
      <c r="J465" s="209"/>
      <c r="K465" s="65"/>
      <c r="L465" s="65"/>
      <c r="M465" s="65"/>
      <c r="N465" s="65"/>
      <c r="O465" s="65"/>
      <c r="P465" s="65"/>
      <c r="Q465" s="65"/>
      <c r="R465" s="65"/>
      <c r="S465" s="65"/>
      <c r="T465" s="65"/>
      <c r="U465" s="65"/>
      <c r="V465" s="65"/>
      <c r="W465" s="65"/>
    </row>
    <row r="466">
      <c r="A466" s="71"/>
      <c r="B466" s="209"/>
      <c r="C466" s="71"/>
      <c r="D466" s="209"/>
      <c r="E466" s="71"/>
      <c r="F466" s="209"/>
      <c r="G466" s="71"/>
      <c r="H466" s="209"/>
      <c r="I466" s="28"/>
      <c r="J466" s="209"/>
      <c r="K466" s="65"/>
      <c r="L466" s="65"/>
      <c r="M466" s="65"/>
      <c r="N466" s="65"/>
      <c r="O466" s="65"/>
      <c r="P466" s="65"/>
      <c r="Q466" s="65"/>
      <c r="R466" s="65"/>
      <c r="S466" s="65"/>
      <c r="T466" s="65"/>
      <c r="U466" s="65"/>
      <c r="V466" s="65"/>
      <c r="W466" s="65"/>
    </row>
    <row r="467">
      <c r="A467" s="71"/>
      <c r="B467" s="209"/>
      <c r="C467" s="71"/>
      <c r="D467" s="209"/>
      <c r="E467" s="71"/>
      <c r="F467" s="209"/>
      <c r="G467" s="71"/>
      <c r="H467" s="209"/>
      <c r="I467" s="28"/>
      <c r="J467" s="209"/>
      <c r="K467" s="65"/>
      <c r="L467" s="65"/>
      <c r="M467" s="65"/>
      <c r="N467" s="65"/>
      <c r="O467" s="65"/>
      <c r="P467" s="65"/>
      <c r="Q467" s="65"/>
      <c r="R467" s="65"/>
      <c r="S467" s="65"/>
      <c r="T467" s="65"/>
      <c r="U467" s="65"/>
      <c r="V467" s="65"/>
      <c r="W467" s="65"/>
    </row>
    <row r="468">
      <c r="A468" s="71"/>
      <c r="B468" s="209"/>
      <c r="C468" s="71"/>
      <c r="D468" s="209"/>
      <c r="E468" s="71"/>
      <c r="F468" s="209"/>
      <c r="G468" s="71"/>
      <c r="H468" s="209"/>
      <c r="I468" s="28"/>
      <c r="J468" s="209"/>
      <c r="K468" s="65"/>
      <c r="L468" s="65"/>
      <c r="M468" s="65"/>
      <c r="N468" s="65"/>
      <c r="O468" s="65"/>
      <c r="P468" s="65"/>
      <c r="Q468" s="65"/>
      <c r="R468" s="65"/>
      <c r="S468" s="65"/>
      <c r="T468" s="65"/>
      <c r="U468" s="65"/>
      <c r="V468" s="65"/>
      <c r="W468" s="65"/>
    </row>
    <row r="469">
      <c r="A469" s="71"/>
      <c r="B469" s="209"/>
      <c r="C469" s="71"/>
      <c r="D469" s="209"/>
      <c r="E469" s="71"/>
      <c r="F469" s="209"/>
      <c r="G469" s="71"/>
      <c r="H469" s="209"/>
      <c r="I469" s="28"/>
      <c r="J469" s="209"/>
      <c r="K469" s="65"/>
      <c r="L469" s="65"/>
      <c r="M469" s="65"/>
      <c r="N469" s="65"/>
      <c r="O469" s="65"/>
      <c r="P469" s="65"/>
      <c r="Q469" s="65"/>
      <c r="R469" s="65"/>
      <c r="S469" s="65"/>
      <c r="T469" s="65"/>
      <c r="U469" s="65"/>
      <c r="V469" s="65"/>
      <c r="W469" s="65"/>
    </row>
    <row r="470">
      <c r="A470" s="71"/>
      <c r="B470" s="209"/>
      <c r="C470" s="71"/>
      <c r="D470" s="209"/>
      <c r="E470" s="71"/>
      <c r="F470" s="209"/>
      <c r="G470" s="71"/>
      <c r="H470" s="209"/>
      <c r="I470" s="28"/>
      <c r="J470" s="209"/>
      <c r="K470" s="65"/>
      <c r="L470" s="65"/>
      <c r="M470" s="65"/>
      <c r="N470" s="65"/>
      <c r="O470" s="65"/>
      <c r="P470" s="65"/>
      <c r="Q470" s="65"/>
      <c r="R470" s="65"/>
      <c r="S470" s="65"/>
      <c r="T470" s="65"/>
      <c r="U470" s="65"/>
      <c r="V470" s="65"/>
      <c r="W470" s="65"/>
    </row>
    <row r="471">
      <c r="A471" s="71"/>
      <c r="B471" s="209"/>
      <c r="C471" s="71"/>
      <c r="D471" s="209"/>
      <c r="E471" s="71"/>
      <c r="F471" s="209"/>
      <c r="G471" s="71"/>
      <c r="H471" s="209"/>
      <c r="I471" s="28"/>
      <c r="J471" s="209"/>
      <c r="K471" s="65"/>
      <c r="L471" s="65"/>
      <c r="M471" s="65"/>
      <c r="N471" s="65"/>
      <c r="O471" s="65"/>
      <c r="P471" s="65"/>
      <c r="Q471" s="65"/>
      <c r="R471" s="65"/>
      <c r="S471" s="65"/>
      <c r="T471" s="65"/>
      <c r="U471" s="65"/>
      <c r="V471" s="65"/>
      <c r="W471" s="65"/>
    </row>
    <row r="472">
      <c r="A472" s="71"/>
      <c r="B472" s="209"/>
      <c r="C472" s="71"/>
      <c r="D472" s="209"/>
      <c r="E472" s="71"/>
      <c r="F472" s="209"/>
      <c r="G472" s="71"/>
      <c r="H472" s="209"/>
      <c r="I472" s="28"/>
      <c r="J472" s="209"/>
      <c r="K472" s="65"/>
      <c r="L472" s="65"/>
      <c r="M472" s="65"/>
      <c r="N472" s="65"/>
      <c r="O472" s="65"/>
      <c r="P472" s="65"/>
      <c r="Q472" s="65"/>
      <c r="R472" s="65"/>
      <c r="S472" s="65"/>
      <c r="T472" s="65"/>
      <c r="U472" s="65"/>
      <c r="V472" s="65"/>
      <c r="W472" s="65"/>
    </row>
    <row r="473">
      <c r="A473" s="71"/>
      <c r="B473" s="209"/>
      <c r="C473" s="71"/>
      <c r="D473" s="209"/>
      <c r="E473" s="71"/>
      <c r="F473" s="209"/>
      <c r="G473" s="71"/>
      <c r="H473" s="209"/>
      <c r="I473" s="28"/>
      <c r="J473" s="209"/>
      <c r="K473" s="65"/>
      <c r="L473" s="65"/>
      <c r="M473" s="65"/>
      <c r="N473" s="65"/>
      <c r="O473" s="65"/>
      <c r="P473" s="65"/>
      <c r="Q473" s="65"/>
      <c r="R473" s="65"/>
      <c r="S473" s="65"/>
      <c r="T473" s="65"/>
      <c r="U473" s="65"/>
      <c r="V473" s="65"/>
      <c r="W473" s="65"/>
    </row>
    <row r="474">
      <c r="A474" s="71"/>
      <c r="B474" s="209"/>
      <c r="C474" s="71"/>
      <c r="D474" s="209"/>
      <c r="E474" s="71"/>
      <c r="F474" s="209"/>
      <c r="G474" s="71"/>
      <c r="H474" s="209"/>
      <c r="I474" s="28"/>
      <c r="J474" s="209"/>
      <c r="K474" s="65"/>
      <c r="L474" s="65"/>
      <c r="M474" s="65"/>
      <c r="N474" s="65"/>
      <c r="O474" s="65"/>
      <c r="P474" s="65"/>
      <c r="Q474" s="65"/>
      <c r="R474" s="65"/>
      <c r="S474" s="65"/>
      <c r="T474" s="65"/>
      <c r="U474" s="65"/>
      <c r="V474" s="65"/>
      <c r="W474" s="65"/>
    </row>
    <row r="475">
      <c r="A475" s="71"/>
      <c r="B475" s="209"/>
      <c r="C475" s="71"/>
      <c r="D475" s="209"/>
      <c r="E475" s="71"/>
      <c r="F475" s="209"/>
      <c r="G475" s="71"/>
      <c r="H475" s="209"/>
      <c r="I475" s="28"/>
      <c r="J475" s="209"/>
      <c r="K475" s="65"/>
      <c r="L475" s="65"/>
      <c r="M475" s="65"/>
      <c r="N475" s="65"/>
      <c r="O475" s="65"/>
      <c r="P475" s="65"/>
      <c r="Q475" s="65"/>
      <c r="R475" s="65"/>
      <c r="S475" s="65"/>
      <c r="T475" s="65"/>
      <c r="U475" s="65"/>
      <c r="V475" s="65"/>
      <c r="W475" s="65"/>
    </row>
    <row r="476">
      <c r="A476" s="71"/>
      <c r="B476" s="209"/>
      <c r="C476" s="71"/>
      <c r="D476" s="209"/>
      <c r="E476" s="71"/>
      <c r="F476" s="209"/>
      <c r="G476" s="71"/>
      <c r="H476" s="209"/>
      <c r="I476" s="28"/>
      <c r="J476" s="209"/>
      <c r="K476" s="65"/>
      <c r="L476" s="65"/>
      <c r="M476" s="65"/>
      <c r="N476" s="65"/>
      <c r="O476" s="65"/>
      <c r="P476" s="65"/>
      <c r="Q476" s="65"/>
      <c r="R476" s="65"/>
      <c r="S476" s="65"/>
      <c r="T476" s="65"/>
      <c r="U476" s="65"/>
      <c r="V476" s="65"/>
      <c r="W476" s="65"/>
    </row>
    <row r="477">
      <c r="A477" s="71"/>
      <c r="B477" s="209"/>
      <c r="C477" s="71"/>
      <c r="D477" s="209"/>
      <c r="E477" s="71"/>
      <c r="F477" s="209"/>
      <c r="G477" s="71"/>
      <c r="H477" s="209"/>
      <c r="I477" s="28"/>
      <c r="J477" s="209"/>
      <c r="K477" s="65"/>
      <c r="L477" s="65"/>
      <c r="M477" s="65"/>
      <c r="N477" s="65"/>
      <c r="O477" s="65"/>
      <c r="P477" s="65"/>
      <c r="Q477" s="65"/>
      <c r="R477" s="65"/>
      <c r="S477" s="65"/>
      <c r="T477" s="65"/>
      <c r="U477" s="65"/>
      <c r="V477" s="65"/>
      <c r="W477" s="65"/>
    </row>
    <row r="478">
      <c r="A478" s="71"/>
      <c r="B478" s="209"/>
      <c r="C478" s="71"/>
      <c r="D478" s="209"/>
      <c r="E478" s="71"/>
      <c r="F478" s="209"/>
      <c r="G478" s="71"/>
      <c r="H478" s="209"/>
      <c r="I478" s="28"/>
      <c r="J478" s="209"/>
      <c r="K478" s="65"/>
      <c r="L478" s="65"/>
      <c r="M478" s="65"/>
      <c r="N478" s="65"/>
      <c r="O478" s="65"/>
      <c r="P478" s="65"/>
      <c r="Q478" s="65"/>
      <c r="R478" s="65"/>
      <c r="S478" s="65"/>
      <c r="T478" s="65"/>
      <c r="U478" s="65"/>
      <c r="V478" s="65"/>
      <c r="W478" s="65"/>
    </row>
    <row r="479">
      <c r="A479" s="71"/>
      <c r="B479" s="209"/>
      <c r="C479" s="71"/>
      <c r="D479" s="209"/>
      <c r="E479" s="71"/>
      <c r="F479" s="209"/>
      <c r="G479" s="71"/>
      <c r="H479" s="209"/>
      <c r="I479" s="28"/>
      <c r="J479" s="209"/>
      <c r="K479" s="65"/>
      <c r="L479" s="65"/>
      <c r="M479" s="65"/>
      <c r="N479" s="65"/>
      <c r="O479" s="65"/>
      <c r="P479" s="65"/>
      <c r="Q479" s="65"/>
      <c r="R479" s="65"/>
      <c r="S479" s="65"/>
      <c r="T479" s="65"/>
      <c r="U479" s="65"/>
      <c r="V479" s="65"/>
      <c r="W479" s="65"/>
    </row>
    <row r="480">
      <c r="A480" s="71"/>
      <c r="B480" s="209"/>
      <c r="C480" s="71"/>
      <c r="D480" s="209"/>
      <c r="E480" s="71"/>
      <c r="F480" s="209"/>
      <c r="G480" s="71"/>
      <c r="H480" s="209"/>
      <c r="I480" s="28"/>
      <c r="J480" s="209"/>
      <c r="K480" s="65"/>
      <c r="L480" s="65"/>
      <c r="M480" s="65"/>
      <c r="N480" s="65"/>
      <c r="O480" s="65"/>
      <c r="P480" s="65"/>
      <c r="Q480" s="65"/>
      <c r="R480" s="65"/>
      <c r="S480" s="65"/>
      <c r="T480" s="65"/>
      <c r="U480" s="65"/>
      <c r="V480" s="65"/>
      <c r="W480" s="65"/>
    </row>
    <row r="481">
      <c r="A481" s="71"/>
      <c r="B481" s="209"/>
      <c r="C481" s="71"/>
      <c r="D481" s="209"/>
      <c r="E481" s="71"/>
      <c r="F481" s="209"/>
      <c r="G481" s="71"/>
      <c r="H481" s="209"/>
      <c r="I481" s="28"/>
      <c r="J481" s="209"/>
      <c r="K481" s="65"/>
      <c r="L481" s="65"/>
      <c r="M481" s="65"/>
      <c r="N481" s="65"/>
      <c r="O481" s="65"/>
      <c r="P481" s="65"/>
      <c r="Q481" s="65"/>
      <c r="R481" s="65"/>
      <c r="S481" s="65"/>
      <c r="T481" s="65"/>
      <c r="U481" s="65"/>
      <c r="V481" s="65"/>
      <c r="W481" s="65"/>
    </row>
    <row r="482">
      <c r="A482" s="71"/>
      <c r="B482" s="209"/>
      <c r="C482" s="71"/>
      <c r="D482" s="209"/>
      <c r="E482" s="71"/>
      <c r="F482" s="209"/>
      <c r="G482" s="71"/>
      <c r="H482" s="209"/>
      <c r="I482" s="28"/>
      <c r="J482" s="209"/>
      <c r="K482" s="65"/>
      <c r="L482" s="65"/>
      <c r="M482" s="65"/>
      <c r="N482" s="65"/>
      <c r="O482" s="65"/>
      <c r="P482" s="65"/>
      <c r="Q482" s="65"/>
      <c r="R482" s="65"/>
      <c r="S482" s="65"/>
      <c r="T482" s="65"/>
      <c r="U482" s="65"/>
      <c r="V482" s="65"/>
      <c r="W482" s="65"/>
    </row>
    <row r="483">
      <c r="A483" s="71"/>
      <c r="B483" s="209"/>
      <c r="C483" s="71"/>
      <c r="D483" s="209"/>
      <c r="E483" s="71"/>
      <c r="F483" s="209"/>
      <c r="G483" s="71"/>
      <c r="H483" s="209"/>
      <c r="I483" s="28"/>
      <c r="J483" s="209"/>
      <c r="K483" s="65"/>
      <c r="L483" s="65"/>
      <c r="M483" s="65"/>
      <c r="N483" s="65"/>
      <c r="O483" s="65"/>
      <c r="P483" s="65"/>
      <c r="Q483" s="65"/>
      <c r="R483" s="65"/>
      <c r="S483" s="65"/>
      <c r="T483" s="65"/>
      <c r="U483" s="65"/>
      <c r="V483" s="65"/>
      <c r="W483" s="65"/>
    </row>
    <row r="484">
      <c r="A484" s="71"/>
      <c r="B484" s="209"/>
      <c r="C484" s="71"/>
      <c r="D484" s="209"/>
      <c r="E484" s="71"/>
      <c r="F484" s="209"/>
      <c r="G484" s="71"/>
      <c r="H484" s="209"/>
      <c r="I484" s="28"/>
      <c r="J484" s="209"/>
      <c r="K484" s="65"/>
      <c r="L484" s="65"/>
      <c r="M484" s="65"/>
      <c r="N484" s="65"/>
      <c r="O484" s="65"/>
      <c r="P484" s="65"/>
      <c r="Q484" s="65"/>
      <c r="R484" s="65"/>
      <c r="S484" s="65"/>
      <c r="T484" s="65"/>
      <c r="U484" s="65"/>
      <c r="V484" s="65"/>
      <c r="W484" s="65"/>
    </row>
    <row r="485">
      <c r="A485" s="71"/>
      <c r="B485" s="209"/>
      <c r="C485" s="71"/>
      <c r="D485" s="209"/>
      <c r="E485" s="71"/>
      <c r="F485" s="209"/>
      <c r="G485" s="71"/>
      <c r="H485" s="209"/>
      <c r="I485" s="28"/>
      <c r="J485" s="209"/>
      <c r="K485" s="65"/>
      <c r="L485" s="65"/>
      <c r="M485" s="65"/>
      <c r="N485" s="65"/>
      <c r="O485" s="65"/>
      <c r="P485" s="65"/>
      <c r="Q485" s="65"/>
      <c r="R485" s="65"/>
      <c r="S485" s="65"/>
      <c r="T485" s="65"/>
      <c r="U485" s="65"/>
      <c r="V485" s="65"/>
      <c r="W485" s="65"/>
    </row>
    <row r="486">
      <c r="A486" s="71"/>
      <c r="B486" s="209"/>
      <c r="C486" s="71"/>
      <c r="D486" s="209"/>
      <c r="E486" s="71"/>
      <c r="F486" s="209"/>
      <c r="G486" s="71"/>
      <c r="H486" s="209"/>
      <c r="I486" s="28"/>
      <c r="J486" s="209"/>
      <c r="K486" s="65"/>
      <c r="L486" s="65"/>
      <c r="M486" s="65"/>
      <c r="N486" s="65"/>
      <c r="O486" s="65"/>
      <c r="P486" s="65"/>
      <c r="Q486" s="65"/>
      <c r="R486" s="65"/>
      <c r="S486" s="65"/>
      <c r="T486" s="65"/>
      <c r="U486" s="65"/>
      <c r="V486" s="65"/>
      <c r="W486" s="65"/>
    </row>
    <row r="487">
      <c r="A487" s="71"/>
      <c r="B487" s="209"/>
      <c r="C487" s="71"/>
      <c r="D487" s="209"/>
      <c r="E487" s="71"/>
      <c r="F487" s="209"/>
      <c r="G487" s="71"/>
      <c r="H487" s="209"/>
      <c r="I487" s="28"/>
      <c r="J487" s="209"/>
      <c r="K487" s="65"/>
      <c r="L487" s="65"/>
      <c r="M487" s="65"/>
      <c r="N487" s="65"/>
      <c r="O487" s="65"/>
      <c r="P487" s="65"/>
      <c r="Q487" s="65"/>
      <c r="R487" s="65"/>
      <c r="S487" s="65"/>
      <c r="T487" s="65"/>
      <c r="U487" s="65"/>
      <c r="V487" s="65"/>
      <c r="W487" s="65"/>
    </row>
    <row r="488">
      <c r="A488" s="71"/>
      <c r="B488" s="209"/>
      <c r="C488" s="71"/>
      <c r="D488" s="209"/>
      <c r="E488" s="71"/>
      <c r="F488" s="209"/>
      <c r="G488" s="71"/>
      <c r="H488" s="209"/>
      <c r="I488" s="28"/>
      <c r="J488" s="209"/>
      <c r="K488" s="65"/>
      <c r="L488" s="65"/>
      <c r="M488" s="65"/>
      <c r="N488" s="65"/>
      <c r="O488" s="65"/>
      <c r="P488" s="65"/>
      <c r="Q488" s="65"/>
      <c r="R488" s="65"/>
      <c r="S488" s="65"/>
      <c r="T488" s="65"/>
      <c r="U488" s="65"/>
      <c r="V488" s="65"/>
      <c r="W488" s="65"/>
    </row>
    <row r="489">
      <c r="A489" s="71"/>
      <c r="B489" s="209"/>
      <c r="C489" s="71"/>
      <c r="D489" s="209"/>
      <c r="E489" s="71"/>
      <c r="F489" s="209"/>
      <c r="G489" s="71"/>
      <c r="H489" s="209"/>
      <c r="I489" s="28"/>
      <c r="J489" s="209"/>
      <c r="K489" s="65"/>
      <c r="L489" s="65"/>
      <c r="M489" s="65"/>
      <c r="N489" s="65"/>
      <c r="O489" s="65"/>
      <c r="P489" s="65"/>
      <c r="Q489" s="65"/>
      <c r="R489" s="65"/>
      <c r="S489" s="65"/>
      <c r="T489" s="65"/>
      <c r="U489" s="65"/>
      <c r="V489" s="65"/>
      <c r="W489" s="65"/>
    </row>
    <row r="490">
      <c r="A490" s="71"/>
      <c r="B490" s="209"/>
      <c r="C490" s="71"/>
      <c r="D490" s="209"/>
      <c r="E490" s="71"/>
      <c r="F490" s="209"/>
      <c r="G490" s="71"/>
      <c r="H490" s="209"/>
      <c r="I490" s="28"/>
      <c r="J490" s="209"/>
      <c r="K490" s="65"/>
      <c r="L490" s="65"/>
      <c r="M490" s="65"/>
      <c r="N490" s="65"/>
      <c r="O490" s="65"/>
      <c r="P490" s="65"/>
      <c r="Q490" s="65"/>
      <c r="R490" s="65"/>
      <c r="S490" s="65"/>
      <c r="T490" s="65"/>
      <c r="U490" s="65"/>
      <c r="V490" s="65"/>
      <c r="W490" s="65"/>
    </row>
    <row r="491">
      <c r="A491" s="71"/>
      <c r="B491" s="209"/>
      <c r="C491" s="71"/>
      <c r="D491" s="209"/>
      <c r="E491" s="71"/>
      <c r="F491" s="209"/>
      <c r="G491" s="71"/>
      <c r="H491" s="209"/>
      <c r="I491" s="28"/>
      <c r="J491" s="209"/>
      <c r="K491" s="65"/>
      <c r="L491" s="65"/>
      <c r="M491" s="65"/>
      <c r="N491" s="65"/>
      <c r="O491" s="65"/>
      <c r="P491" s="65"/>
      <c r="Q491" s="65"/>
      <c r="R491" s="65"/>
      <c r="S491" s="65"/>
      <c r="T491" s="65"/>
      <c r="U491" s="65"/>
      <c r="V491" s="65"/>
      <c r="W491" s="65"/>
    </row>
    <row r="492">
      <c r="A492" s="71"/>
      <c r="B492" s="209"/>
      <c r="C492" s="71"/>
      <c r="D492" s="209"/>
      <c r="E492" s="71"/>
      <c r="F492" s="209"/>
      <c r="G492" s="71"/>
      <c r="H492" s="209"/>
      <c r="I492" s="28"/>
      <c r="J492" s="209"/>
      <c r="K492" s="65"/>
      <c r="L492" s="65"/>
      <c r="M492" s="65"/>
      <c r="N492" s="65"/>
      <c r="O492" s="65"/>
      <c r="P492" s="65"/>
      <c r="Q492" s="65"/>
      <c r="R492" s="65"/>
      <c r="S492" s="65"/>
      <c r="T492" s="65"/>
      <c r="U492" s="65"/>
      <c r="V492" s="65"/>
      <c r="W492" s="65"/>
    </row>
    <row r="493">
      <c r="A493" s="71"/>
      <c r="B493" s="209"/>
      <c r="C493" s="71"/>
      <c r="D493" s="209"/>
      <c r="E493" s="71"/>
      <c r="F493" s="209"/>
      <c r="G493" s="71"/>
      <c r="H493" s="209"/>
      <c r="I493" s="28"/>
      <c r="J493" s="209"/>
      <c r="K493" s="65"/>
      <c r="L493" s="65"/>
      <c r="M493" s="65"/>
      <c r="N493" s="65"/>
      <c r="O493" s="65"/>
      <c r="P493" s="65"/>
      <c r="Q493" s="65"/>
      <c r="R493" s="65"/>
      <c r="S493" s="65"/>
      <c r="T493" s="65"/>
      <c r="U493" s="65"/>
      <c r="V493" s="65"/>
      <c r="W493" s="65"/>
    </row>
    <row r="494">
      <c r="A494" s="71"/>
      <c r="B494" s="209"/>
      <c r="C494" s="71"/>
      <c r="D494" s="209"/>
      <c r="E494" s="71"/>
      <c r="F494" s="209"/>
      <c r="G494" s="71"/>
      <c r="H494" s="209"/>
      <c r="I494" s="28"/>
      <c r="J494" s="209"/>
      <c r="K494" s="65"/>
      <c r="L494" s="65"/>
      <c r="M494" s="65"/>
      <c r="N494" s="65"/>
      <c r="O494" s="65"/>
      <c r="P494" s="65"/>
      <c r="Q494" s="65"/>
      <c r="R494" s="65"/>
      <c r="S494" s="65"/>
      <c r="T494" s="65"/>
      <c r="U494" s="65"/>
      <c r="V494" s="65"/>
      <c r="W494" s="65"/>
    </row>
    <row r="495">
      <c r="A495" s="71"/>
      <c r="B495" s="209"/>
      <c r="C495" s="71"/>
      <c r="D495" s="209"/>
      <c r="E495" s="71"/>
      <c r="F495" s="209"/>
      <c r="G495" s="71"/>
      <c r="H495" s="209"/>
      <c r="I495" s="28"/>
      <c r="J495" s="209"/>
      <c r="K495" s="65"/>
      <c r="L495" s="65"/>
      <c r="M495" s="65"/>
      <c r="N495" s="65"/>
      <c r="O495" s="65"/>
      <c r="P495" s="65"/>
      <c r="Q495" s="65"/>
      <c r="R495" s="65"/>
      <c r="S495" s="65"/>
      <c r="T495" s="65"/>
      <c r="U495" s="65"/>
      <c r="V495" s="65"/>
      <c r="W495" s="65"/>
    </row>
    <row r="496">
      <c r="A496" s="71"/>
      <c r="B496" s="209"/>
      <c r="C496" s="71"/>
      <c r="D496" s="209"/>
      <c r="E496" s="71"/>
      <c r="F496" s="209"/>
      <c r="G496" s="71"/>
      <c r="H496" s="209"/>
      <c r="I496" s="28"/>
      <c r="J496" s="209"/>
      <c r="K496" s="65"/>
      <c r="L496" s="65"/>
      <c r="M496" s="65"/>
      <c r="N496" s="65"/>
      <c r="O496" s="65"/>
      <c r="P496" s="65"/>
      <c r="Q496" s="65"/>
      <c r="R496" s="65"/>
      <c r="S496" s="65"/>
      <c r="T496" s="65"/>
      <c r="U496" s="65"/>
      <c r="V496" s="65"/>
      <c r="W496" s="65"/>
    </row>
    <row r="497">
      <c r="A497" s="71"/>
      <c r="B497" s="209"/>
      <c r="C497" s="71"/>
      <c r="D497" s="209"/>
      <c r="E497" s="71"/>
      <c r="F497" s="209"/>
      <c r="G497" s="71"/>
      <c r="H497" s="209"/>
      <c r="I497" s="28"/>
      <c r="J497" s="209"/>
      <c r="K497" s="65"/>
      <c r="L497" s="65"/>
      <c r="M497" s="65"/>
      <c r="N497" s="65"/>
      <c r="O497" s="65"/>
      <c r="P497" s="65"/>
      <c r="Q497" s="65"/>
      <c r="R497" s="65"/>
      <c r="S497" s="65"/>
      <c r="T497" s="65"/>
      <c r="U497" s="65"/>
      <c r="V497" s="65"/>
      <c r="W497" s="65"/>
    </row>
    <row r="498">
      <c r="A498" s="71"/>
      <c r="B498" s="209"/>
      <c r="C498" s="71"/>
      <c r="D498" s="209"/>
      <c r="E498" s="71"/>
      <c r="F498" s="209"/>
      <c r="G498" s="71"/>
      <c r="H498" s="209"/>
      <c r="I498" s="28"/>
      <c r="J498" s="209"/>
      <c r="K498" s="65"/>
      <c r="L498" s="65"/>
      <c r="M498" s="65"/>
      <c r="N498" s="65"/>
      <c r="O498" s="65"/>
      <c r="P498" s="65"/>
      <c r="Q498" s="65"/>
      <c r="R498" s="65"/>
      <c r="S498" s="65"/>
      <c r="T498" s="65"/>
      <c r="U498" s="65"/>
      <c r="V498" s="65"/>
      <c r="W498" s="65"/>
    </row>
    <row r="499">
      <c r="A499" s="71"/>
      <c r="B499" s="209"/>
      <c r="C499" s="71"/>
      <c r="D499" s="209"/>
      <c r="E499" s="71"/>
      <c r="F499" s="209"/>
      <c r="G499" s="71"/>
      <c r="H499" s="209"/>
      <c r="I499" s="28"/>
      <c r="J499" s="209"/>
      <c r="K499" s="65"/>
      <c r="L499" s="65"/>
      <c r="M499" s="65"/>
      <c r="N499" s="65"/>
      <c r="O499" s="65"/>
      <c r="P499" s="65"/>
      <c r="Q499" s="65"/>
      <c r="R499" s="65"/>
      <c r="S499" s="65"/>
      <c r="T499" s="65"/>
      <c r="U499" s="65"/>
      <c r="V499" s="65"/>
      <c r="W499" s="65"/>
    </row>
    <row r="500">
      <c r="A500" s="71"/>
      <c r="B500" s="209"/>
      <c r="C500" s="71"/>
      <c r="D500" s="209"/>
      <c r="E500" s="71"/>
      <c r="F500" s="209"/>
      <c r="G500" s="71"/>
      <c r="H500" s="209"/>
      <c r="I500" s="28"/>
      <c r="J500" s="209"/>
      <c r="K500" s="65"/>
      <c r="L500" s="65"/>
      <c r="M500" s="65"/>
      <c r="N500" s="65"/>
      <c r="O500" s="65"/>
      <c r="P500" s="65"/>
      <c r="Q500" s="65"/>
      <c r="R500" s="65"/>
      <c r="S500" s="65"/>
      <c r="T500" s="65"/>
      <c r="U500" s="65"/>
      <c r="V500" s="65"/>
      <c r="W500" s="65"/>
    </row>
    <row r="501">
      <c r="A501" s="71"/>
      <c r="B501" s="209"/>
      <c r="C501" s="71"/>
      <c r="D501" s="209"/>
      <c r="E501" s="71"/>
      <c r="F501" s="209"/>
      <c r="G501" s="71"/>
      <c r="H501" s="209"/>
      <c r="I501" s="28"/>
      <c r="J501" s="209"/>
      <c r="K501" s="65"/>
      <c r="L501" s="65"/>
      <c r="M501" s="65"/>
      <c r="N501" s="65"/>
      <c r="O501" s="65"/>
      <c r="P501" s="65"/>
      <c r="Q501" s="65"/>
      <c r="R501" s="65"/>
      <c r="S501" s="65"/>
      <c r="T501" s="65"/>
      <c r="U501" s="65"/>
      <c r="V501" s="65"/>
      <c r="W501" s="65"/>
    </row>
    <row r="502">
      <c r="A502" s="71"/>
      <c r="B502" s="209"/>
      <c r="C502" s="71"/>
      <c r="D502" s="209"/>
      <c r="E502" s="71"/>
      <c r="F502" s="209"/>
      <c r="G502" s="71"/>
      <c r="H502" s="209"/>
      <c r="I502" s="28"/>
      <c r="J502" s="209"/>
      <c r="K502" s="65"/>
      <c r="L502" s="65"/>
      <c r="M502" s="65"/>
      <c r="N502" s="65"/>
      <c r="O502" s="65"/>
      <c r="P502" s="65"/>
      <c r="Q502" s="65"/>
      <c r="R502" s="65"/>
      <c r="S502" s="65"/>
      <c r="T502" s="65"/>
      <c r="U502" s="65"/>
      <c r="V502" s="65"/>
      <c r="W502" s="65"/>
    </row>
    <row r="503">
      <c r="A503" s="71"/>
      <c r="B503" s="209"/>
      <c r="C503" s="71"/>
      <c r="D503" s="209"/>
      <c r="E503" s="71"/>
      <c r="F503" s="209"/>
      <c r="G503" s="71"/>
      <c r="H503" s="209"/>
      <c r="I503" s="28"/>
      <c r="J503" s="209"/>
      <c r="K503" s="65"/>
      <c r="L503" s="65"/>
      <c r="M503" s="65"/>
      <c r="N503" s="65"/>
      <c r="O503" s="65"/>
      <c r="P503" s="65"/>
      <c r="Q503" s="65"/>
      <c r="R503" s="65"/>
      <c r="S503" s="65"/>
      <c r="T503" s="65"/>
      <c r="U503" s="65"/>
      <c r="V503" s="65"/>
      <c r="W503" s="65"/>
    </row>
    <row r="504">
      <c r="A504" s="71"/>
      <c r="B504" s="209"/>
      <c r="C504" s="71"/>
      <c r="D504" s="209"/>
      <c r="E504" s="71"/>
      <c r="F504" s="209"/>
      <c r="G504" s="71"/>
      <c r="H504" s="209"/>
      <c r="I504" s="28"/>
      <c r="J504" s="209"/>
      <c r="K504" s="65"/>
      <c r="L504" s="65"/>
      <c r="M504" s="65"/>
      <c r="N504" s="65"/>
      <c r="O504" s="65"/>
      <c r="P504" s="65"/>
      <c r="Q504" s="65"/>
      <c r="R504" s="65"/>
      <c r="S504" s="65"/>
      <c r="T504" s="65"/>
      <c r="U504" s="65"/>
      <c r="V504" s="65"/>
      <c r="W504" s="65"/>
    </row>
    <row r="505">
      <c r="A505" s="71"/>
      <c r="B505" s="209"/>
      <c r="C505" s="71"/>
      <c r="D505" s="209"/>
      <c r="E505" s="71"/>
      <c r="F505" s="209"/>
      <c r="G505" s="71"/>
      <c r="H505" s="209"/>
      <c r="I505" s="28"/>
      <c r="J505" s="209"/>
      <c r="K505" s="65"/>
      <c r="L505" s="65"/>
      <c r="M505" s="65"/>
      <c r="N505" s="65"/>
      <c r="O505" s="65"/>
      <c r="P505" s="65"/>
      <c r="Q505" s="65"/>
      <c r="R505" s="65"/>
      <c r="S505" s="65"/>
      <c r="T505" s="65"/>
      <c r="U505" s="65"/>
      <c r="V505" s="65"/>
      <c r="W505" s="65"/>
    </row>
    <row r="506">
      <c r="A506" s="71"/>
      <c r="B506" s="209"/>
      <c r="C506" s="71"/>
      <c r="D506" s="209"/>
      <c r="E506" s="71"/>
      <c r="F506" s="209"/>
      <c r="G506" s="71"/>
      <c r="H506" s="209"/>
      <c r="I506" s="28"/>
      <c r="J506" s="209"/>
      <c r="K506" s="65"/>
      <c r="L506" s="65"/>
      <c r="M506" s="65"/>
      <c r="N506" s="65"/>
      <c r="O506" s="65"/>
      <c r="P506" s="65"/>
      <c r="Q506" s="65"/>
      <c r="R506" s="65"/>
      <c r="S506" s="65"/>
      <c r="T506" s="65"/>
      <c r="U506" s="65"/>
      <c r="V506" s="65"/>
      <c r="W506" s="65"/>
    </row>
    <row r="507">
      <c r="A507" s="71"/>
      <c r="B507" s="209"/>
      <c r="C507" s="71"/>
      <c r="D507" s="209"/>
      <c r="E507" s="71"/>
      <c r="F507" s="209"/>
      <c r="G507" s="71"/>
      <c r="H507" s="209"/>
      <c r="I507" s="28"/>
      <c r="J507" s="209"/>
      <c r="K507" s="65"/>
      <c r="L507" s="65"/>
      <c r="M507" s="65"/>
      <c r="N507" s="65"/>
      <c r="O507" s="65"/>
      <c r="P507" s="65"/>
      <c r="Q507" s="65"/>
      <c r="R507" s="65"/>
      <c r="S507" s="65"/>
      <c r="T507" s="65"/>
      <c r="U507" s="65"/>
      <c r="V507" s="65"/>
      <c r="W507" s="65"/>
    </row>
    <row r="508">
      <c r="A508" s="71"/>
      <c r="B508" s="209"/>
      <c r="C508" s="71"/>
      <c r="D508" s="209"/>
      <c r="E508" s="71"/>
      <c r="F508" s="209"/>
      <c r="G508" s="71"/>
      <c r="H508" s="209"/>
      <c r="I508" s="28"/>
      <c r="J508" s="209"/>
      <c r="K508" s="65"/>
      <c r="L508" s="65"/>
      <c r="M508" s="65"/>
      <c r="N508" s="65"/>
      <c r="O508" s="65"/>
      <c r="P508" s="65"/>
      <c r="Q508" s="65"/>
      <c r="R508" s="65"/>
      <c r="S508" s="65"/>
      <c r="T508" s="65"/>
      <c r="U508" s="65"/>
      <c r="V508" s="65"/>
      <c r="W508" s="65"/>
    </row>
    <row r="509">
      <c r="A509" s="71"/>
      <c r="B509" s="209"/>
      <c r="C509" s="71"/>
      <c r="D509" s="209"/>
      <c r="E509" s="71"/>
      <c r="F509" s="209"/>
      <c r="G509" s="71"/>
      <c r="H509" s="209"/>
      <c r="I509" s="28"/>
      <c r="J509" s="209"/>
      <c r="K509" s="65"/>
      <c r="L509" s="65"/>
      <c r="M509" s="65"/>
      <c r="N509" s="65"/>
      <c r="O509" s="65"/>
      <c r="P509" s="65"/>
      <c r="Q509" s="65"/>
      <c r="R509" s="65"/>
      <c r="S509" s="65"/>
      <c r="T509" s="65"/>
      <c r="U509" s="65"/>
      <c r="V509" s="65"/>
      <c r="W509" s="65"/>
    </row>
    <row r="510">
      <c r="A510" s="71"/>
      <c r="B510" s="209"/>
      <c r="C510" s="71"/>
      <c r="D510" s="209"/>
      <c r="E510" s="71"/>
      <c r="F510" s="209"/>
      <c r="G510" s="71"/>
      <c r="H510" s="209"/>
      <c r="I510" s="28"/>
      <c r="J510" s="209"/>
      <c r="K510" s="65"/>
      <c r="L510" s="65"/>
      <c r="M510" s="65"/>
      <c r="N510" s="65"/>
      <c r="O510" s="65"/>
      <c r="P510" s="65"/>
      <c r="Q510" s="65"/>
      <c r="R510" s="65"/>
      <c r="S510" s="65"/>
      <c r="T510" s="65"/>
      <c r="U510" s="65"/>
      <c r="V510" s="65"/>
      <c r="W510" s="65"/>
    </row>
    <row r="511">
      <c r="A511" s="71"/>
      <c r="B511" s="209"/>
      <c r="C511" s="71"/>
      <c r="D511" s="209"/>
      <c r="E511" s="71"/>
      <c r="F511" s="209"/>
      <c r="G511" s="71"/>
      <c r="H511" s="209"/>
      <c r="I511" s="28"/>
      <c r="J511" s="209"/>
      <c r="K511" s="65"/>
      <c r="L511" s="65"/>
      <c r="M511" s="65"/>
      <c r="N511" s="65"/>
      <c r="O511" s="65"/>
      <c r="P511" s="65"/>
      <c r="Q511" s="65"/>
      <c r="R511" s="65"/>
      <c r="S511" s="65"/>
      <c r="T511" s="65"/>
      <c r="U511" s="65"/>
      <c r="V511" s="65"/>
      <c r="W511" s="65"/>
    </row>
    <row r="512">
      <c r="A512" s="71"/>
      <c r="B512" s="209"/>
      <c r="C512" s="71"/>
      <c r="D512" s="209"/>
      <c r="E512" s="71"/>
      <c r="F512" s="209"/>
      <c r="G512" s="71"/>
      <c r="H512" s="209"/>
      <c r="I512" s="28"/>
      <c r="J512" s="209"/>
      <c r="K512" s="65"/>
      <c r="L512" s="65"/>
      <c r="M512" s="65"/>
      <c r="N512" s="65"/>
      <c r="O512" s="65"/>
      <c r="P512" s="65"/>
      <c r="Q512" s="65"/>
      <c r="R512" s="65"/>
      <c r="S512" s="65"/>
      <c r="T512" s="65"/>
      <c r="U512" s="65"/>
      <c r="V512" s="65"/>
      <c r="W512" s="65"/>
    </row>
    <row r="513">
      <c r="A513" s="71"/>
      <c r="B513" s="209"/>
      <c r="C513" s="71"/>
      <c r="D513" s="209"/>
      <c r="E513" s="71"/>
      <c r="F513" s="209"/>
      <c r="G513" s="71"/>
      <c r="H513" s="209"/>
      <c r="I513" s="28"/>
      <c r="J513" s="209"/>
      <c r="K513" s="65"/>
      <c r="L513" s="65"/>
      <c r="M513" s="65"/>
      <c r="N513" s="65"/>
      <c r="O513" s="65"/>
      <c r="P513" s="65"/>
      <c r="Q513" s="65"/>
      <c r="R513" s="65"/>
      <c r="S513" s="65"/>
      <c r="T513" s="65"/>
      <c r="U513" s="65"/>
      <c r="V513" s="65"/>
      <c r="W513" s="65"/>
    </row>
    <row r="514">
      <c r="A514" s="71"/>
      <c r="B514" s="209"/>
      <c r="C514" s="71"/>
      <c r="D514" s="209"/>
      <c r="E514" s="71"/>
      <c r="F514" s="209"/>
      <c r="G514" s="71"/>
      <c r="H514" s="209"/>
      <c r="I514" s="28"/>
      <c r="J514" s="209"/>
      <c r="K514" s="65"/>
      <c r="L514" s="65"/>
      <c r="M514" s="65"/>
      <c r="N514" s="65"/>
      <c r="O514" s="65"/>
      <c r="P514" s="65"/>
      <c r="Q514" s="65"/>
      <c r="R514" s="65"/>
      <c r="S514" s="65"/>
      <c r="T514" s="65"/>
      <c r="U514" s="65"/>
      <c r="V514" s="65"/>
      <c r="W514" s="65"/>
    </row>
    <row r="515">
      <c r="A515" s="71"/>
      <c r="B515" s="209"/>
      <c r="C515" s="71"/>
      <c r="D515" s="209"/>
      <c r="E515" s="71"/>
      <c r="F515" s="209"/>
      <c r="G515" s="71"/>
      <c r="H515" s="209"/>
      <c r="I515" s="28"/>
      <c r="J515" s="209"/>
      <c r="K515" s="65"/>
      <c r="L515" s="65"/>
      <c r="M515" s="65"/>
      <c r="N515" s="65"/>
      <c r="O515" s="65"/>
      <c r="P515" s="65"/>
      <c r="Q515" s="65"/>
      <c r="R515" s="65"/>
      <c r="S515" s="65"/>
      <c r="T515" s="65"/>
      <c r="U515" s="65"/>
      <c r="V515" s="65"/>
      <c r="W515" s="65"/>
    </row>
    <row r="516">
      <c r="A516" s="71"/>
      <c r="B516" s="209"/>
      <c r="C516" s="71"/>
      <c r="D516" s="209"/>
      <c r="E516" s="71"/>
      <c r="F516" s="209"/>
      <c r="G516" s="71"/>
      <c r="H516" s="209"/>
      <c r="I516" s="28"/>
      <c r="J516" s="209"/>
      <c r="K516" s="65"/>
      <c r="L516" s="65"/>
      <c r="M516" s="65"/>
      <c r="N516" s="65"/>
      <c r="O516" s="65"/>
      <c r="P516" s="65"/>
      <c r="Q516" s="65"/>
      <c r="R516" s="65"/>
      <c r="S516" s="65"/>
      <c r="T516" s="65"/>
      <c r="U516" s="65"/>
      <c r="V516" s="65"/>
      <c r="W516" s="65"/>
    </row>
    <row r="517">
      <c r="A517" s="71"/>
      <c r="B517" s="209"/>
      <c r="C517" s="71"/>
      <c r="D517" s="209"/>
      <c r="E517" s="71"/>
      <c r="F517" s="209"/>
      <c r="G517" s="71"/>
      <c r="H517" s="209"/>
      <c r="I517" s="28"/>
      <c r="J517" s="209"/>
      <c r="K517" s="65"/>
      <c r="L517" s="65"/>
      <c r="M517" s="65"/>
      <c r="N517" s="65"/>
      <c r="O517" s="65"/>
      <c r="P517" s="65"/>
      <c r="Q517" s="65"/>
      <c r="R517" s="65"/>
      <c r="S517" s="65"/>
      <c r="T517" s="65"/>
      <c r="U517" s="65"/>
      <c r="V517" s="65"/>
      <c r="W517" s="65"/>
    </row>
    <row r="518">
      <c r="A518" s="71"/>
      <c r="B518" s="209"/>
      <c r="C518" s="71"/>
      <c r="D518" s="209"/>
      <c r="E518" s="71"/>
      <c r="F518" s="209"/>
      <c r="G518" s="71"/>
      <c r="H518" s="209"/>
      <c r="I518" s="28"/>
      <c r="J518" s="209"/>
      <c r="K518" s="65"/>
      <c r="L518" s="65"/>
      <c r="M518" s="65"/>
      <c r="N518" s="65"/>
      <c r="O518" s="65"/>
      <c r="P518" s="65"/>
      <c r="Q518" s="65"/>
      <c r="R518" s="65"/>
      <c r="S518" s="65"/>
      <c r="T518" s="65"/>
      <c r="U518" s="65"/>
      <c r="V518" s="65"/>
      <c r="W518" s="65"/>
    </row>
    <row r="519">
      <c r="A519" s="71"/>
      <c r="B519" s="209"/>
      <c r="C519" s="71"/>
      <c r="D519" s="209"/>
      <c r="E519" s="71"/>
      <c r="F519" s="209"/>
      <c r="G519" s="71"/>
      <c r="H519" s="209"/>
      <c r="I519" s="28"/>
      <c r="J519" s="209"/>
      <c r="K519" s="65"/>
      <c r="L519" s="65"/>
      <c r="M519" s="65"/>
      <c r="N519" s="65"/>
      <c r="O519" s="65"/>
      <c r="P519" s="65"/>
      <c r="Q519" s="65"/>
      <c r="R519" s="65"/>
      <c r="S519" s="65"/>
      <c r="T519" s="65"/>
      <c r="U519" s="65"/>
      <c r="V519" s="65"/>
      <c r="W519" s="65"/>
    </row>
    <row r="520">
      <c r="A520" s="71"/>
      <c r="B520" s="209"/>
      <c r="C520" s="71"/>
      <c r="D520" s="209"/>
      <c r="E520" s="71"/>
      <c r="F520" s="209"/>
      <c r="G520" s="71"/>
      <c r="H520" s="209"/>
      <c r="I520" s="28"/>
      <c r="J520" s="209"/>
      <c r="K520" s="65"/>
      <c r="L520" s="65"/>
      <c r="M520" s="65"/>
      <c r="N520" s="65"/>
      <c r="O520" s="65"/>
      <c r="P520" s="65"/>
      <c r="Q520" s="65"/>
      <c r="R520" s="65"/>
      <c r="S520" s="65"/>
      <c r="T520" s="65"/>
      <c r="U520" s="65"/>
      <c r="V520" s="65"/>
      <c r="W520" s="65"/>
    </row>
    <row r="521">
      <c r="A521" s="71"/>
      <c r="B521" s="209"/>
      <c r="C521" s="71"/>
      <c r="D521" s="209"/>
      <c r="E521" s="71"/>
      <c r="F521" s="209"/>
      <c r="G521" s="71"/>
      <c r="H521" s="209"/>
      <c r="I521" s="28"/>
      <c r="J521" s="209"/>
      <c r="K521" s="65"/>
      <c r="L521" s="65"/>
      <c r="M521" s="65"/>
      <c r="N521" s="65"/>
      <c r="O521" s="65"/>
      <c r="P521" s="65"/>
      <c r="Q521" s="65"/>
      <c r="R521" s="65"/>
      <c r="S521" s="65"/>
      <c r="T521" s="65"/>
      <c r="U521" s="65"/>
      <c r="V521" s="65"/>
      <c r="W521" s="65"/>
    </row>
    <row r="522">
      <c r="A522" s="71"/>
      <c r="B522" s="209"/>
      <c r="C522" s="71"/>
      <c r="D522" s="209"/>
      <c r="E522" s="71"/>
      <c r="F522" s="209"/>
      <c r="G522" s="71"/>
      <c r="H522" s="209"/>
      <c r="I522" s="28"/>
      <c r="J522" s="209"/>
      <c r="K522" s="65"/>
      <c r="L522" s="65"/>
      <c r="M522" s="65"/>
      <c r="N522" s="65"/>
      <c r="O522" s="65"/>
      <c r="P522" s="65"/>
      <c r="Q522" s="65"/>
      <c r="R522" s="65"/>
      <c r="S522" s="65"/>
      <c r="T522" s="65"/>
      <c r="U522" s="65"/>
      <c r="V522" s="65"/>
      <c r="W522" s="65"/>
    </row>
    <row r="523">
      <c r="A523" s="71"/>
      <c r="B523" s="209"/>
      <c r="C523" s="71"/>
      <c r="D523" s="209"/>
      <c r="E523" s="71"/>
      <c r="F523" s="209"/>
      <c r="G523" s="71"/>
      <c r="H523" s="209"/>
      <c r="I523" s="28"/>
      <c r="J523" s="209"/>
      <c r="K523" s="65"/>
      <c r="L523" s="65"/>
      <c r="M523" s="65"/>
      <c r="N523" s="65"/>
      <c r="O523" s="65"/>
      <c r="P523" s="65"/>
      <c r="Q523" s="65"/>
      <c r="R523" s="65"/>
      <c r="S523" s="65"/>
      <c r="T523" s="65"/>
      <c r="U523" s="65"/>
      <c r="V523" s="65"/>
      <c r="W523" s="65"/>
    </row>
    <row r="524">
      <c r="A524" s="71"/>
      <c r="B524" s="209"/>
      <c r="C524" s="71"/>
      <c r="D524" s="209"/>
      <c r="E524" s="71"/>
      <c r="F524" s="209"/>
      <c r="G524" s="71"/>
      <c r="H524" s="209"/>
      <c r="I524" s="28"/>
      <c r="J524" s="209"/>
      <c r="K524" s="65"/>
      <c r="L524" s="65"/>
      <c r="M524" s="65"/>
      <c r="N524" s="65"/>
      <c r="O524" s="65"/>
      <c r="P524" s="65"/>
      <c r="Q524" s="65"/>
      <c r="R524" s="65"/>
      <c r="S524" s="65"/>
      <c r="T524" s="65"/>
      <c r="U524" s="65"/>
      <c r="V524" s="65"/>
      <c r="W524" s="65"/>
    </row>
    <row r="525">
      <c r="A525" s="71"/>
      <c r="B525" s="209"/>
      <c r="C525" s="71"/>
      <c r="D525" s="209"/>
      <c r="E525" s="71"/>
      <c r="F525" s="209"/>
      <c r="G525" s="71"/>
      <c r="H525" s="209"/>
      <c r="I525" s="28"/>
      <c r="J525" s="209"/>
      <c r="K525" s="65"/>
      <c r="L525" s="65"/>
      <c r="M525" s="65"/>
      <c r="N525" s="65"/>
      <c r="O525" s="65"/>
      <c r="P525" s="65"/>
      <c r="Q525" s="65"/>
      <c r="R525" s="65"/>
      <c r="S525" s="65"/>
      <c r="T525" s="65"/>
      <c r="U525" s="65"/>
      <c r="V525" s="65"/>
      <c r="W525" s="65"/>
    </row>
    <row r="526">
      <c r="A526" s="71"/>
      <c r="B526" s="209"/>
      <c r="C526" s="71"/>
      <c r="D526" s="209"/>
      <c r="E526" s="71"/>
      <c r="F526" s="209"/>
      <c r="G526" s="71"/>
      <c r="H526" s="209"/>
      <c r="I526" s="28"/>
      <c r="J526" s="209"/>
      <c r="K526" s="65"/>
      <c r="L526" s="65"/>
      <c r="M526" s="65"/>
      <c r="N526" s="65"/>
      <c r="O526" s="65"/>
      <c r="P526" s="65"/>
      <c r="Q526" s="65"/>
      <c r="R526" s="65"/>
      <c r="S526" s="65"/>
      <c r="T526" s="65"/>
      <c r="U526" s="65"/>
      <c r="V526" s="65"/>
      <c r="W526" s="65"/>
    </row>
    <row r="527">
      <c r="A527" s="71"/>
      <c r="B527" s="209"/>
      <c r="C527" s="71"/>
      <c r="D527" s="209"/>
      <c r="E527" s="71"/>
      <c r="F527" s="209"/>
      <c r="G527" s="71"/>
      <c r="H527" s="209"/>
      <c r="I527" s="28"/>
      <c r="J527" s="209"/>
      <c r="K527" s="65"/>
      <c r="L527" s="65"/>
      <c r="M527" s="65"/>
      <c r="N527" s="65"/>
      <c r="O527" s="65"/>
      <c r="P527" s="65"/>
      <c r="Q527" s="65"/>
      <c r="R527" s="65"/>
      <c r="S527" s="65"/>
      <c r="T527" s="65"/>
      <c r="U527" s="65"/>
      <c r="V527" s="65"/>
      <c r="W527" s="65"/>
    </row>
    <row r="528">
      <c r="A528" s="71"/>
      <c r="B528" s="209"/>
      <c r="C528" s="71"/>
      <c r="D528" s="209"/>
      <c r="E528" s="71"/>
      <c r="F528" s="209"/>
      <c r="G528" s="71"/>
      <c r="H528" s="209"/>
      <c r="I528" s="28"/>
      <c r="J528" s="209"/>
      <c r="K528" s="65"/>
      <c r="L528" s="65"/>
      <c r="M528" s="65"/>
      <c r="N528" s="65"/>
      <c r="O528" s="65"/>
      <c r="P528" s="65"/>
      <c r="Q528" s="65"/>
      <c r="R528" s="65"/>
      <c r="S528" s="65"/>
      <c r="T528" s="65"/>
      <c r="U528" s="65"/>
      <c r="V528" s="65"/>
      <c r="W528" s="65"/>
    </row>
    <row r="529">
      <c r="A529" s="71"/>
      <c r="B529" s="209"/>
      <c r="C529" s="71"/>
      <c r="D529" s="209"/>
      <c r="E529" s="71"/>
      <c r="F529" s="209"/>
      <c r="G529" s="71"/>
      <c r="H529" s="209"/>
      <c r="I529" s="28"/>
      <c r="J529" s="209"/>
      <c r="K529" s="65"/>
      <c r="L529" s="65"/>
      <c r="M529" s="65"/>
      <c r="N529" s="65"/>
      <c r="O529" s="65"/>
      <c r="P529" s="65"/>
      <c r="Q529" s="65"/>
      <c r="R529" s="65"/>
      <c r="S529" s="65"/>
      <c r="T529" s="65"/>
      <c r="U529" s="65"/>
      <c r="V529" s="65"/>
      <c r="W529" s="65"/>
    </row>
    <row r="530">
      <c r="A530" s="71"/>
      <c r="B530" s="209"/>
      <c r="C530" s="71"/>
      <c r="D530" s="209"/>
      <c r="E530" s="71"/>
      <c r="F530" s="209"/>
      <c r="G530" s="71"/>
      <c r="H530" s="209"/>
      <c r="I530" s="28"/>
      <c r="J530" s="209"/>
      <c r="K530" s="65"/>
      <c r="L530" s="65"/>
      <c r="M530" s="65"/>
      <c r="N530" s="65"/>
      <c r="O530" s="65"/>
      <c r="P530" s="65"/>
      <c r="Q530" s="65"/>
      <c r="R530" s="65"/>
      <c r="S530" s="65"/>
      <c r="T530" s="65"/>
      <c r="U530" s="65"/>
      <c r="V530" s="65"/>
      <c r="W530" s="65"/>
    </row>
    <row r="531">
      <c r="A531" s="71"/>
      <c r="B531" s="209"/>
      <c r="C531" s="71"/>
      <c r="D531" s="209"/>
      <c r="E531" s="71"/>
      <c r="F531" s="209"/>
      <c r="G531" s="71"/>
      <c r="H531" s="209"/>
      <c r="I531" s="28"/>
      <c r="J531" s="209"/>
      <c r="K531" s="65"/>
      <c r="L531" s="65"/>
      <c r="M531" s="65"/>
      <c r="N531" s="65"/>
      <c r="O531" s="65"/>
      <c r="P531" s="65"/>
      <c r="Q531" s="65"/>
      <c r="R531" s="65"/>
      <c r="S531" s="65"/>
      <c r="T531" s="65"/>
      <c r="U531" s="65"/>
      <c r="V531" s="65"/>
      <c r="W531" s="65"/>
    </row>
    <row r="532">
      <c r="A532" s="71"/>
      <c r="B532" s="209"/>
      <c r="C532" s="71"/>
      <c r="D532" s="209"/>
      <c r="E532" s="71"/>
      <c r="F532" s="209"/>
      <c r="G532" s="71"/>
      <c r="H532" s="209"/>
      <c r="I532" s="28"/>
      <c r="J532" s="209"/>
      <c r="K532" s="65"/>
      <c r="L532" s="65"/>
      <c r="M532" s="65"/>
      <c r="N532" s="65"/>
      <c r="O532" s="65"/>
      <c r="P532" s="65"/>
      <c r="Q532" s="65"/>
      <c r="R532" s="65"/>
      <c r="S532" s="65"/>
      <c r="T532" s="65"/>
      <c r="U532" s="65"/>
      <c r="V532" s="65"/>
      <c r="W532" s="65"/>
    </row>
    <row r="533">
      <c r="A533" s="71"/>
      <c r="B533" s="209"/>
      <c r="C533" s="71"/>
      <c r="D533" s="209"/>
      <c r="E533" s="71"/>
      <c r="F533" s="209"/>
      <c r="G533" s="71"/>
      <c r="H533" s="209"/>
      <c r="I533" s="28"/>
      <c r="J533" s="209"/>
      <c r="K533" s="65"/>
      <c r="L533" s="65"/>
      <c r="M533" s="65"/>
      <c r="N533" s="65"/>
      <c r="O533" s="65"/>
      <c r="P533" s="65"/>
      <c r="Q533" s="65"/>
      <c r="R533" s="65"/>
      <c r="S533" s="65"/>
      <c r="T533" s="65"/>
      <c r="U533" s="65"/>
      <c r="V533" s="65"/>
      <c r="W533" s="65"/>
    </row>
    <row r="534">
      <c r="A534" s="71"/>
      <c r="B534" s="209"/>
      <c r="C534" s="71"/>
      <c r="D534" s="209"/>
      <c r="E534" s="71"/>
      <c r="F534" s="209"/>
      <c r="G534" s="71"/>
      <c r="H534" s="209"/>
      <c r="I534" s="28"/>
      <c r="J534" s="209"/>
      <c r="K534" s="65"/>
      <c r="L534" s="65"/>
      <c r="M534" s="65"/>
      <c r="N534" s="65"/>
      <c r="O534" s="65"/>
      <c r="P534" s="65"/>
      <c r="Q534" s="65"/>
      <c r="R534" s="65"/>
      <c r="S534" s="65"/>
      <c r="T534" s="65"/>
      <c r="U534" s="65"/>
      <c r="V534" s="65"/>
      <c r="W534" s="65"/>
    </row>
    <row r="535">
      <c r="A535" s="71"/>
      <c r="B535" s="209"/>
      <c r="C535" s="71"/>
      <c r="D535" s="209"/>
      <c r="E535" s="71"/>
      <c r="F535" s="209"/>
      <c r="G535" s="71"/>
      <c r="H535" s="209"/>
      <c r="I535" s="28"/>
      <c r="J535" s="209"/>
      <c r="K535" s="65"/>
      <c r="L535" s="65"/>
      <c r="M535" s="65"/>
      <c r="N535" s="65"/>
      <c r="O535" s="65"/>
      <c r="P535" s="65"/>
      <c r="Q535" s="65"/>
      <c r="R535" s="65"/>
      <c r="S535" s="65"/>
      <c r="T535" s="65"/>
      <c r="U535" s="65"/>
      <c r="V535" s="65"/>
      <c r="W535" s="65"/>
    </row>
    <row r="536">
      <c r="A536" s="71"/>
      <c r="B536" s="209"/>
      <c r="C536" s="71"/>
      <c r="D536" s="209"/>
      <c r="E536" s="71"/>
      <c r="F536" s="209"/>
      <c r="G536" s="71"/>
      <c r="H536" s="209"/>
      <c r="I536" s="28"/>
      <c r="J536" s="209"/>
      <c r="K536" s="65"/>
      <c r="L536" s="65"/>
      <c r="M536" s="65"/>
      <c r="N536" s="65"/>
      <c r="O536" s="65"/>
      <c r="P536" s="65"/>
      <c r="Q536" s="65"/>
      <c r="R536" s="65"/>
      <c r="S536" s="65"/>
      <c r="T536" s="65"/>
      <c r="U536" s="65"/>
      <c r="V536" s="65"/>
      <c r="W536" s="65"/>
    </row>
    <row r="537">
      <c r="A537" s="71"/>
      <c r="B537" s="209"/>
      <c r="C537" s="71"/>
      <c r="D537" s="209"/>
      <c r="E537" s="71"/>
      <c r="F537" s="209"/>
      <c r="G537" s="71"/>
      <c r="H537" s="209"/>
      <c r="I537" s="28"/>
      <c r="J537" s="209"/>
      <c r="K537" s="65"/>
      <c r="L537" s="65"/>
      <c r="M537" s="65"/>
      <c r="N537" s="65"/>
      <c r="O537" s="65"/>
      <c r="P537" s="65"/>
      <c r="Q537" s="65"/>
      <c r="R537" s="65"/>
      <c r="S537" s="65"/>
      <c r="T537" s="65"/>
      <c r="U537" s="65"/>
      <c r="V537" s="65"/>
      <c r="W537" s="65"/>
    </row>
    <row r="538">
      <c r="A538" s="71"/>
      <c r="B538" s="209"/>
      <c r="C538" s="71"/>
      <c r="D538" s="209"/>
      <c r="E538" s="71"/>
      <c r="F538" s="209"/>
      <c r="G538" s="71"/>
      <c r="H538" s="209"/>
      <c r="I538" s="28"/>
      <c r="J538" s="209"/>
      <c r="K538" s="65"/>
      <c r="L538" s="65"/>
      <c r="M538" s="65"/>
      <c r="N538" s="65"/>
      <c r="O538" s="65"/>
      <c r="P538" s="65"/>
      <c r="Q538" s="65"/>
      <c r="R538" s="65"/>
      <c r="S538" s="65"/>
      <c r="T538" s="65"/>
      <c r="U538" s="65"/>
      <c r="V538" s="65"/>
      <c r="W538" s="65"/>
    </row>
    <row r="539">
      <c r="A539" s="71"/>
      <c r="B539" s="209"/>
      <c r="C539" s="71"/>
      <c r="D539" s="209"/>
      <c r="E539" s="71"/>
      <c r="F539" s="209"/>
      <c r="G539" s="71"/>
      <c r="H539" s="209"/>
      <c r="I539" s="28"/>
      <c r="J539" s="209"/>
      <c r="K539" s="65"/>
      <c r="L539" s="65"/>
      <c r="M539" s="65"/>
      <c r="N539" s="65"/>
      <c r="O539" s="65"/>
      <c r="P539" s="65"/>
      <c r="Q539" s="65"/>
      <c r="R539" s="65"/>
      <c r="S539" s="65"/>
      <c r="T539" s="65"/>
      <c r="U539" s="65"/>
      <c r="V539" s="65"/>
      <c r="W539" s="65"/>
    </row>
    <row r="540">
      <c r="A540" s="71"/>
      <c r="B540" s="209"/>
      <c r="C540" s="71"/>
      <c r="D540" s="209"/>
      <c r="E540" s="71"/>
      <c r="F540" s="209"/>
      <c r="G540" s="71"/>
      <c r="H540" s="209"/>
      <c r="I540" s="28"/>
      <c r="J540" s="209"/>
      <c r="K540" s="65"/>
      <c r="L540" s="65"/>
      <c r="M540" s="65"/>
      <c r="N540" s="65"/>
      <c r="O540" s="65"/>
      <c r="P540" s="65"/>
      <c r="Q540" s="65"/>
      <c r="R540" s="65"/>
      <c r="S540" s="65"/>
      <c r="T540" s="65"/>
      <c r="U540" s="65"/>
      <c r="V540" s="65"/>
      <c r="W540" s="65"/>
    </row>
    <row r="541">
      <c r="A541" s="71"/>
      <c r="B541" s="209"/>
      <c r="C541" s="71"/>
      <c r="D541" s="209"/>
      <c r="E541" s="71"/>
      <c r="F541" s="209"/>
      <c r="G541" s="71"/>
      <c r="H541" s="209"/>
      <c r="I541" s="28"/>
      <c r="J541" s="209"/>
      <c r="K541" s="65"/>
      <c r="L541" s="65"/>
      <c r="M541" s="65"/>
      <c r="N541" s="65"/>
      <c r="O541" s="65"/>
      <c r="P541" s="65"/>
      <c r="Q541" s="65"/>
      <c r="R541" s="65"/>
      <c r="S541" s="65"/>
      <c r="T541" s="65"/>
      <c r="U541" s="65"/>
      <c r="V541" s="65"/>
      <c r="W541" s="65"/>
    </row>
    <row r="542">
      <c r="A542" s="71"/>
      <c r="B542" s="209"/>
      <c r="C542" s="71"/>
      <c r="D542" s="209"/>
      <c r="E542" s="71"/>
      <c r="F542" s="209"/>
      <c r="G542" s="71"/>
      <c r="H542" s="209"/>
      <c r="I542" s="28"/>
      <c r="J542" s="209"/>
      <c r="K542" s="65"/>
      <c r="L542" s="65"/>
      <c r="M542" s="65"/>
      <c r="N542" s="65"/>
      <c r="O542" s="65"/>
      <c r="P542" s="65"/>
      <c r="Q542" s="65"/>
      <c r="R542" s="65"/>
      <c r="S542" s="65"/>
      <c r="T542" s="65"/>
      <c r="U542" s="65"/>
      <c r="V542" s="65"/>
      <c r="W542" s="65"/>
    </row>
    <row r="543">
      <c r="A543" s="71"/>
      <c r="B543" s="209"/>
      <c r="C543" s="71"/>
      <c r="D543" s="209"/>
      <c r="E543" s="71"/>
      <c r="F543" s="209"/>
      <c r="G543" s="71"/>
      <c r="H543" s="209"/>
      <c r="I543" s="28"/>
      <c r="J543" s="209"/>
      <c r="K543" s="65"/>
      <c r="L543" s="65"/>
      <c r="M543" s="65"/>
      <c r="N543" s="65"/>
      <c r="O543" s="65"/>
      <c r="P543" s="65"/>
      <c r="Q543" s="65"/>
      <c r="R543" s="65"/>
      <c r="S543" s="65"/>
      <c r="T543" s="65"/>
      <c r="U543" s="65"/>
      <c r="V543" s="65"/>
      <c r="W543" s="65"/>
    </row>
    <row r="544">
      <c r="A544" s="71"/>
      <c r="B544" s="209"/>
      <c r="C544" s="71"/>
      <c r="D544" s="209"/>
      <c r="E544" s="71"/>
      <c r="F544" s="209"/>
      <c r="G544" s="71"/>
      <c r="H544" s="209"/>
      <c r="I544" s="28"/>
      <c r="J544" s="209"/>
      <c r="K544" s="65"/>
      <c r="L544" s="65"/>
      <c r="M544" s="65"/>
      <c r="N544" s="65"/>
      <c r="O544" s="65"/>
      <c r="P544" s="65"/>
      <c r="Q544" s="65"/>
      <c r="R544" s="65"/>
      <c r="S544" s="65"/>
      <c r="T544" s="65"/>
      <c r="U544" s="65"/>
      <c r="V544" s="65"/>
      <c r="W544" s="65"/>
    </row>
    <row r="545">
      <c r="A545" s="71"/>
      <c r="B545" s="209"/>
      <c r="C545" s="71"/>
      <c r="D545" s="209"/>
      <c r="E545" s="71"/>
      <c r="F545" s="209"/>
      <c r="G545" s="71"/>
      <c r="H545" s="209"/>
      <c r="I545" s="28"/>
      <c r="J545" s="209"/>
      <c r="K545" s="65"/>
      <c r="L545" s="65"/>
      <c r="M545" s="65"/>
      <c r="N545" s="65"/>
      <c r="O545" s="65"/>
      <c r="P545" s="65"/>
      <c r="Q545" s="65"/>
      <c r="R545" s="65"/>
      <c r="S545" s="65"/>
      <c r="T545" s="65"/>
      <c r="U545" s="65"/>
      <c r="V545" s="65"/>
      <c r="W545" s="65"/>
    </row>
    <row r="546">
      <c r="A546" s="71"/>
      <c r="B546" s="209"/>
      <c r="C546" s="71"/>
      <c r="D546" s="209"/>
      <c r="E546" s="71"/>
      <c r="F546" s="209"/>
      <c r="G546" s="71"/>
      <c r="H546" s="209"/>
      <c r="I546" s="28"/>
      <c r="J546" s="209"/>
      <c r="K546" s="65"/>
      <c r="L546" s="65"/>
      <c r="M546" s="65"/>
      <c r="N546" s="65"/>
      <c r="O546" s="65"/>
      <c r="P546" s="65"/>
      <c r="Q546" s="65"/>
      <c r="R546" s="65"/>
      <c r="S546" s="65"/>
      <c r="T546" s="65"/>
      <c r="U546" s="65"/>
      <c r="V546" s="65"/>
      <c r="W546" s="65"/>
    </row>
    <row r="547">
      <c r="A547" s="71"/>
      <c r="B547" s="209"/>
      <c r="C547" s="71"/>
      <c r="D547" s="209"/>
      <c r="E547" s="71"/>
      <c r="F547" s="209"/>
      <c r="G547" s="71"/>
      <c r="H547" s="209"/>
      <c r="I547" s="28"/>
      <c r="J547" s="209"/>
      <c r="K547" s="65"/>
      <c r="L547" s="65"/>
      <c r="M547" s="65"/>
      <c r="N547" s="65"/>
      <c r="O547" s="65"/>
      <c r="P547" s="65"/>
      <c r="Q547" s="65"/>
      <c r="R547" s="65"/>
      <c r="S547" s="65"/>
      <c r="T547" s="65"/>
      <c r="U547" s="65"/>
      <c r="V547" s="65"/>
      <c r="W547" s="65"/>
    </row>
    <row r="548">
      <c r="A548" s="71"/>
      <c r="B548" s="209"/>
      <c r="C548" s="71"/>
      <c r="D548" s="209"/>
      <c r="E548" s="71"/>
      <c r="F548" s="209"/>
      <c r="G548" s="71"/>
      <c r="H548" s="209"/>
      <c r="I548" s="28"/>
      <c r="J548" s="209"/>
      <c r="K548" s="65"/>
      <c r="L548" s="65"/>
      <c r="M548" s="65"/>
      <c r="N548" s="65"/>
      <c r="O548" s="65"/>
      <c r="P548" s="65"/>
      <c r="Q548" s="65"/>
      <c r="R548" s="65"/>
      <c r="S548" s="65"/>
      <c r="T548" s="65"/>
      <c r="U548" s="65"/>
      <c r="V548" s="65"/>
      <c r="W548" s="65"/>
    </row>
    <row r="549">
      <c r="A549" s="71"/>
      <c r="B549" s="209"/>
      <c r="C549" s="71"/>
      <c r="D549" s="209"/>
      <c r="E549" s="71"/>
      <c r="F549" s="209"/>
      <c r="G549" s="71"/>
      <c r="H549" s="209"/>
      <c r="I549" s="28"/>
      <c r="J549" s="209"/>
      <c r="K549" s="65"/>
      <c r="L549" s="65"/>
      <c r="M549" s="65"/>
      <c r="N549" s="65"/>
      <c r="O549" s="65"/>
      <c r="P549" s="65"/>
      <c r="Q549" s="65"/>
      <c r="R549" s="65"/>
      <c r="S549" s="65"/>
      <c r="T549" s="65"/>
      <c r="U549" s="65"/>
      <c r="V549" s="65"/>
      <c r="W549" s="65"/>
    </row>
    <row r="550">
      <c r="A550" s="71"/>
      <c r="B550" s="209"/>
      <c r="C550" s="71"/>
      <c r="D550" s="209"/>
      <c r="E550" s="71"/>
      <c r="F550" s="209"/>
      <c r="G550" s="71"/>
      <c r="H550" s="209"/>
      <c r="I550" s="28"/>
      <c r="J550" s="209"/>
      <c r="K550" s="65"/>
      <c r="L550" s="65"/>
      <c r="M550" s="65"/>
      <c r="N550" s="65"/>
      <c r="O550" s="65"/>
      <c r="P550" s="65"/>
      <c r="Q550" s="65"/>
      <c r="R550" s="65"/>
      <c r="S550" s="65"/>
      <c r="T550" s="65"/>
      <c r="U550" s="65"/>
      <c r="V550" s="65"/>
      <c r="W550" s="65"/>
    </row>
    <row r="551">
      <c r="A551" s="71"/>
      <c r="B551" s="209"/>
      <c r="C551" s="71"/>
      <c r="D551" s="209"/>
      <c r="E551" s="71"/>
      <c r="F551" s="209"/>
      <c r="G551" s="71"/>
      <c r="H551" s="209"/>
      <c r="I551" s="28"/>
      <c r="J551" s="209"/>
      <c r="K551" s="65"/>
      <c r="L551" s="65"/>
      <c r="M551" s="65"/>
      <c r="N551" s="65"/>
      <c r="O551" s="65"/>
      <c r="P551" s="65"/>
      <c r="Q551" s="65"/>
      <c r="R551" s="65"/>
      <c r="S551" s="65"/>
      <c r="T551" s="65"/>
      <c r="U551" s="65"/>
      <c r="V551" s="65"/>
      <c r="W551" s="65"/>
    </row>
    <row r="552">
      <c r="A552" s="71"/>
      <c r="B552" s="209"/>
      <c r="C552" s="71"/>
      <c r="D552" s="209"/>
      <c r="E552" s="71"/>
      <c r="F552" s="209"/>
      <c r="G552" s="71"/>
      <c r="H552" s="209"/>
      <c r="I552" s="28"/>
      <c r="J552" s="209"/>
      <c r="K552" s="65"/>
      <c r="L552" s="65"/>
      <c r="M552" s="65"/>
      <c r="N552" s="65"/>
      <c r="O552" s="65"/>
      <c r="P552" s="65"/>
      <c r="Q552" s="65"/>
      <c r="R552" s="65"/>
      <c r="S552" s="65"/>
      <c r="T552" s="65"/>
      <c r="U552" s="65"/>
      <c r="V552" s="65"/>
      <c r="W552" s="65"/>
    </row>
    <row r="553">
      <c r="A553" s="71"/>
      <c r="B553" s="209"/>
      <c r="C553" s="71"/>
      <c r="D553" s="209"/>
      <c r="E553" s="71"/>
      <c r="F553" s="209"/>
      <c r="G553" s="71"/>
      <c r="H553" s="209"/>
      <c r="I553" s="28"/>
      <c r="J553" s="209"/>
      <c r="K553" s="65"/>
      <c r="L553" s="65"/>
      <c r="M553" s="65"/>
      <c r="N553" s="65"/>
      <c r="O553" s="65"/>
      <c r="P553" s="65"/>
      <c r="Q553" s="65"/>
      <c r="R553" s="65"/>
      <c r="S553" s="65"/>
      <c r="T553" s="65"/>
      <c r="U553" s="65"/>
      <c r="V553" s="65"/>
      <c r="W553" s="65"/>
    </row>
    <row r="554">
      <c r="A554" s="71"/>
      <c r="B554" s="209"/>
      <c r="C554" s="71"/>
      <c r="D554" s="209"/>
      <c r="E554" s="71"/>
      <c r="F554" s="209"/>
      <c r="G554" s="71"/>
      <c r="H554" s="209"/>
      <c r="I554" s="28"/>
      <c r="J554" s="209"/>
      <c r="K554" s="65"/>
      <c r="L554" s="65"/>
      <c r="M554" s="65"/>
      <c r="N554" s="65"/>
      <c r="O554" s="65"/>
      <c r="P554" s="65"/>
      <c r="Q554" s="65"/>
      <c r="R554" s="65"/>
      <c r="S554" s="65"/>
      <c r="T554" s="65"/>
      <c r="U554" s="65"/>
      <c r="V554" s="65"/>
      <c r="W554" s="65"/>
    </row>
    <row r="555">
      <c r="A555" s="71"/>
      <c r="B555" s="209"/>
      <c r="C555" s="71"/>
      <c r="D555" s="209"/>
      <c r="E555" s="71"/>
      <c r="F555" s="209"/>
      <c r="G555" s="71"/>
      <c r="H555" s="209"/>
      <c r="I555" s="28"/>
      <c r="J555" s="209"/>
      <c r="K555" s="65"/>
      <c r="L555" s="65"/>
      <c r="M555" s="65"/>
      <c r="N555" s="65"/>
      <c r="O555" s="65"/>
      <c r="P555" s="65"/>
      <c r="Q555" s="65"/>
      <c r="R555" s="65"/>
      <c r="S555" s="65"/>
      <c r="T555" s="65"/>
      <c r="U555" s="65"/>
      <c r="V555" s="65"/>
      <c r="W555" s="65"/>
    </row>
    <row r="556">
      <c r="A556" s="71"/>
      <c r="B556" s="209"/>
      <c r="C556" s="71"/>
      <c r="D556" s="209"/>
      <c r="E556" s="71"/>
      <c r="F556" s="209"/>
      <c r="G556" s="71"/>
      <c r="H556" s="209"/>
      <c r="I556" s="28"/>
      <c r="J556" s="209"/>
      <c r="K556" s="65"/>
      <c r="L556" s="65"/>
      <c r="M556" s="65"/>
      <c r="N556" s="65"/>
      <c r="O556" s="65"/>
      <c r="P556" s="65"/>
      <c r="Q556" s="65"/>
      <c r="R556" s="65"/>
      <c r="S556" s="65"/>
      <c r="T556" s="65"/>
      <c r="U556" s="65"/>
      <c r="V556" s="65"/>
      <c r="W556" s="65"/>
    </row>
    <row r="557">
      <c r="A557" s="71"/>
      <c r="B557" s="209"/>
      <c r="C557" s="71"/>
      <c r="D557" s="209"/>
      <c r="E557" s="71"/>
      <c r="F557" s="209"/>
      <c r="G557" s="71"/>
      <c r="H557" s="209"/>
      <c r="I557" s="28"/>
      <c r="J557" s="209"/>
      <c r="K557" s="65"/>
      <c r="L557" s="65"/>
      <c r="M557" s="65"/>
      <c r="N557" s="65"/>
      <c r="O557" s="65"/>
      <c r="P557" s="65"/>
      <c r="Q557" s="65"/>
      <c r="R557" s="65"/>
      <c r="S557" s="65"/>
      <c r="T557" s="65"/>
      <c r="U557" s="65"/>
      <c r="V557" s="65"/>
      <c r="W557" s="65"/>
    </row>
    <row r="558">
      <c r="A558" s="71"/>
      <c r="B558" s="209"/>
      <c r="C558" s="71"/>
      <c r="D558" s="209"/>
      <c r="E558" s="71"/>
      <c r="F558" s="209"/>
      <c r="G558" s="71"/>
      <c r="H558" s="209"/>
      <c r="I558" s="28"/>
      <c r="J558" s="209"/>
      <c r="K558" s="65"/>
      <c r="L558" s="65"/>
      <c r="M558" s="65"/>
      <c r="N558" s="65"/>
      <c r="O558" s="65"/>
      <c r="P558" s="65"/>
      <c r="Q558" s="65"/>
      <c r="R558" s="65"/>
      <c r="S558" s="65"/>
      <c r="T558" s="65"/>
      <c r="U558" s="65"/>
      <c r="V558" s="65"/>
      <c r="W558" s="65"/>
    </row>
    <row r="559">
      <c r="A559" s="71"/>
      <c r="B559" s="209"/>
      <c r="C559" s="71"/>
      <c r="D559" s="209"/>
      <c r="E559" s="71"/>
      <c r="F559" s="209"/>
      <c r="G559" s="71"/>
      <c r="H559" s="209"/>
      <c r="I559" s="28"/>
      <c r="J559" s="209"/>
      <c r="K559" s="65"/>
      <c r="L559" s="65"/>
      <c r="M559" s="65"/>
      <c r="N559" s="65"/>
      <c r="O559" s="65"/>
      <c r="P559" s="65"/>
      <c r="Q559" s="65"/>
      <c r="R559" s="65"/>
      <c r="S559" s="65"/>
      <c r="T559" s="65"/>
      <c r="U559" s="65"/>
      <c r="V559" s="65"/>
      <c r="W559" s="65"/>
    </row>
    <row r="560">
      <c r="A560" s="71"/>
      <c r="B560" s="209"/>
      <c r="C560" s="71"/>
      <c r="D560" s="209"/>
      <c r="E560" s="71"/>
      <c r="F560" s="209"/>
      <c r="G560" s="71"/>
      <c r="H560" s="209"/>
      <c r="I560" s="28"/>
      <c r="J560" s="209"/>
      <c r="K560" s="65"/>
      <c r="L560" s="65"/>
      <c r="M560" s="65"/>
      <c r="N560" s="65"/>
      <c r="O560" s="65"/>
      <c r="P560" s="65"/>
      <c r="Q560" s="65"/>
      <c r="R560" s="65"/>
      <c r="S560" s="65"/>
      <c r="T560" s="65"/>
      <c r="U560" s="65"/>
      <c r="V560" s="65"/>
      <c r="W560" s="65"/>
    </row>
    <row r="561">
      <c r="A561" s="71"/>
      <c r="B561" s="209"/>
      <c r="C561" s="71"/>
      <c r="D561" s="209"/>
      <c r="E561" s="71"/>
      <c r="F561" s="209"/>
      <c r="G561" s="71"/>
      <c r="H561" s="209"/>
      <c r="I561" s="28"/>
      <c r="J561" s="209"/>
      <c r="K561" s="65"/>
      <c r="L561" s="65"/>
      <c r="M561" s="65"/>
      <c r="N561" s="65"/>
      <c r="O561" s="65"/>
      <c r="P561" s="65"/>
      <c r="Q561" s="65"/>
      <c r="R561" s="65"/>
      <c r="S561" s="65"/>
      <c r="T561" s="65"/>
      <c r="U561" s="65"/>
      <c r="V561" s="65"/>
      <c r="W561" s="65"/>
    </row>
    <row r="562">
      <c r="A562" s="71"/>
      <c r="B562" s="209"/>
      <c r="C562" s="71"/>
      <c r="D562" s="209"/>
      <c r="E562" s="71"/>
      <c r="F562" s="209"/>
      <c r="G562" s="71"/>
      <c r="H562" s="209"/>
      <c r="I562" s="28"/>
      <c r="J562" s="209"/>
      <c r="K562" s="65"/>
      <c r="L562" s="65"/>
      <c r="M562" s="65"/>
      <c r="N562" s="65"/>
      <c r="O562" s="65"/>
      <c r="P562" s="65"/>
      <c r="Q562" s="65"/>
      <c r="R562" s="65"/>
      <c r="S562" s="65"/>
      <c r="T562" s="65"/>
      <c r="U562" s="65"/>
      <c r="V562" s="65"/>
      <c r="W562" s="65"/>
    </row>
    <row r="563">
      <c r="A563" s="71"/>
      <c r="B563" s="209"/>
      <c r="C563" s="71"/>
      <c r="D563" s="209"/>
      <c r="E563" s="71"/>
      <c r="F563" s="209"/>
      <c r="G563" s="71"/>
      <c r="H563" s="209"/>
      <c r="I563" s="28"/>
      <c r="J563" s="209"/>
      <c r="K563" s="65"/>
      <c r="L563" s="65"/>
      <c r="M563" s="65"/>
      <c r="N563" s="65"/>
      <c r="O563" s="65"/>
      <c r="P563" s="65"/>
      <c r="Q563" s="65"/>
      <c r="R563" s="65"/>
      <c r="S563" s="65"/>
      <c r="T563" s="65"/>
      <c r="U563" s="65"/>
      <c r="V563" s="65"/>
      <c r="W563" s="65"/>
    </row>
    <row r="564">
      <c r="A564" s="71"/>
      <c r="B564" s="209"/>
      <c r="C564" s="71"/>
      <c r="D564" s="209"/>
      <c r="E564" s="71"/>
      <c r="F564" s="209"/>
      <c r="G564" s="71"/>
      <c r="H564" s="209"/>
      <c r="I564" s="28"/>
      <c r="J564" s="209"/>
      <c r="K564" s="65"/>
      <c r="L564" s="65"/>
      <c r="M564" s="65"/>
      <c r="N564" s="65"/>
      <c r="O564" s="65"/>
      <c r="P564" s="65"/>
      <c r="Q564" s="65"/>
      <c r="R564" s="65"/>
      <c r="S564" s="65"/>
      <c r="T564" s="65"/>
      <c r="U564" s="65"/>
      <c r="V564" s="65"/>
      <c r="W564" s="65"/>
    </row>
    <row r="565">
      <c r="A565" s="71"/>
      <c r="B565" s="209"/>
      <c r="C565" s="71"/>
      <c r="D565" s="209"/>
      <c r="E565" s="71"/>
      <c r="F565" s="209"/>
      <c r="G565" s="71"/>
      <c r="H565" s="209"/>
      <c r="I565" s="28"/>
      <c r="J565" s="209"/>
      <c r="K565" s="65"/>
      <c r="L565" s="65"/>
      <c r="M565" s="65"/>
      <c r="N565" s="65"/>
      <c r="O565" s="65"/>
      <c r="P565" s="65"/>
      <c r="Q565" s="65"/>
      <c r="R565" s="65"/>
      <c r="S565" s="65"/>
      <c r="T565" s="65"/>
      <c r="U565" s="65"/>
      <c r="V565" s="65"/>
      <c r="W565" s="65"/>
    </row>
    <row r="566">
      <c r="A566" s="71"/>
      <c r="B566" s="209"/>
      <c r="C566" s="71"/>
      <c r="D566" s="209"/>
      <c r="E566" s="71"/>
      <c r="F566" s="209"/>
      <c r="G566" s="71"/>
      <c r="H566" s="209"/>
      <c r="I566" s="28"/>
      <c r="J566" s="209"/>
      <c r="K566" s="65"/>
      <c r="L566" s="65"/>
      <c r="M566" s="65"/>
      <c r="N566" s="65"/>
      <c r="O566" s="65"/>
      <c r="P566" s="65"/>
      <c r="Q566" s="65"/>
      <c r="R566" s="65"/>
      <c r="S566" s="65"/>
      <c r="T566" s="65"/>
      <c r="U566" s="65"/>
      <c r="V566" s="65"/>
      <c r="W566" s="65"/>
    </row>
    <row r="567">
      <c r="A567" s="71"/>
      <c r="B567" s="209"/>
      <c r="C567" s="71"/>
      <c r="D567" s="209"/>
      <c r="E567" s="71"/>
      <c r="F567" s="209"/>
      <c r="G567" s="71"/>
      <c r="H567" s="209"/>
      <c r="I567" s="28"/>
      <c r="J567" s="209"/>
      <c r="K567" s="65"/>
      <c r="L567" s="65"/>
      <c r="M567" s="65"/>
      <c r="N567" s="65"/>
      <c r="O567" s="65"/>
      <c r="P567" s="65"/>
      <c r="Q567" s="65"/>
      <c r="R567" s="65"/>
      <c r="S567" s="65"/>
      <c r="T567" s="65"/>
      <c r="U567" s="65"/>
      <c r="V567" s="65"/>
      <c r="W567" s="65"/>
    </row>
    <row r="568">
      <c r="A568" s="71"/>
      <c r="B568" s="209"/>
      <c r="C568" s="71"/>
      <c r="D568" s="209"/>
      <c r="E568" s="71"/>
      <c r="F568" s="209"/>
      <c r="G568" s="71"/>
      <c r="H568" s="209"/>
      <c r="I568" s="28"/>
      <c r="J568" s="209"/>
      <c r="K568" s="65"/>
      <c r="L568" s="65"/>
      <c r="M568" s="65"/>
      <c r="N568" s="65"/>
      <c r="O568" s="65"/>
      <c r="P568" s="65"/>
      <c r="Q568" s="65"/>
      <c r="R568" s="65"/>
      <c r="S568" s="65"/>
      <c r="T568" s="65"/>
      <c r="U568" s="65"/>
      <c r="V568" s="65"/>
      <c r="W568" s="65"/>
    </row>
    <row r="569">
      <c r="A569" s="71"/>
      <c r="B569" s="209"/>
      <c r="C569" s="71"/>
      <c r="D569" s="209"/>
      <c r="E569" s="71"/>
      <c r="F569" s="209"/>
      <c r="G569" s="71"/>
      <c r="H569" s="209"/>
      <c r="I569" s="28"/>
      <c r="J569" s="209"/>
      <c r="K569" s="65"/>
      <c r="L569" s="65"/>
      <c r="M569" s="65"/>
      <c r="N569" s="65"/>
      <c r="O569" s="65"/>
      <c r="P569" s="65"/>
      <c r="Q569" s="65"/>
      <c r="R569" s="65"/>
      <c r="S569" s="65"/>
      <c r="T569" s="65"/>
      <c r="U569" s="65"/>
      <c r="V569" s="65"/>
      <c r="W569" s="65"/>
    </row>
    <row r="570">
      <c r="A570" s="71"/>
      <c r="B570" s="209"/>
      <c r="C570" s="71"/>
      <c r="D570" s="209"/>
      <c r="E570" s="71"/>
      <c r="F570" s="209"/>
      <c r="G570" s="71"/>
      <c r="H570" s="209"/>
      <c r="I570" s="28"/>
      <c r="J570" s="209"/>
      <c r="K570" s="65"/>
      <c r="L570" s="65"/>
      <c r="M570" s="65"/>
      <c r="N570" s="65"/>
      <c r="O570" s="65"/>
      <c r="P570" s="65"/>
      <c r="Q570" s="65"/>
      <c r="R570" s="65"/>
      <c r="S570" s="65"/>
      <c r="T570" s="65"/>
      <c r="U570" s="65"/>
      <c r="V570" s="65"/>
      <c r="W570" s="65"/>
    </row>
    <row r="571">
      <c r="A571" s="71"/>
      <c r="B571" s="209"/>
      <c r="C571" s="71"/>
      <c r="D571" s="209"/>
      <c r="E571" s="71"/>
      <c r="F571" s="209"/>
      <c r="G571" s="71"/>
      <c r="H571" s="209"/>
      <c r="I571" s="28"/>
      <c r="J571" s="209"/>
      <c r="K571" s="65"/>
      <c r="L571" s="65"/>
      <c r="M571" s="65"/>
      <c r="N571" s="65"/>
      <c r="O571" s="65"/>
      <c r="P571" s="65"/>
      <c r="Q571" s="65"/>
      <c r="R571" s="65"/>
      <c r="S571" s="65"/>
      <c r="T571" s="65"/>
      <c r="U571" s="65"/>
      <c r="V571" s="65"/>
      <c r="W571" s="65"/>
    </row>
    <row r="572">
      <c r="A572" s="71"/>
      <c r="B572" s="209"/>
      <c r="C572" s="71"/>
      <c r="D572" s="209"/>
      <c r="E572" s="71"/>
      <c r="F572" s="209"/>
      <c r="G572" s="71"/>
      <c r="H572" s="209"/>
      <c r="I572" s="28"/>
      <c r="J572" s="209"/>
      <c r="K572" s="65"/>
      <c r="L572" s="65"/>
      <c r="M572" s="65"/>
      <c r="N572" s="65"/>
      <c r="O572" s="65"/>
      <c r="P572" s="65"/>
      <c r="Q572" s="65"/>
      <c r="R572" s="65"/>
      <c r="S572" s="65"/>
      <c r="T572" s="65"/>
      <c r="U572" s="65"/>
      <c r="V572" s="65"/>
      <c r="W572" s="65"/>
    </row>
    <row r="573">
      <c r="A573" s="71"/>
      <c r="B573" s="209"/>
      <c r="C573" s="71"/>
      <c r="D573" s="209"/>
      <c r="E573" s="71"/>
      <c r="F573" s="209"/>
      <c r="G573" s="71"/>
      <c r="H573" s="209"/>
      <c r="I573" s="28"/>
      <c r="J573" s="209"/>
      <c r="K573" s="65"/>
      <c r="L573" s="65"/>
      <c r="M573" s="65"/>
      <c r="N573" s="65"/>
      <c r="O573" s="65"/>
      <c r="P573" s="65"/>
      <c r="Q573" s="65"/>
      <c r="R573" s="65"/>
      <c r="S573" s="65"/>
      <c r="T573" s="65"/>
      <c r="U573" s="65"/>
      <c r="V573" s="65"/>
      <c r="W573" s="65"/>
    </row>
    <row r="574">
      <c r="A574" s="71"/>
      <c r="B574" s="209"/>
      <c r="C574" s="71"/>
      <c r="D574" s="209"/>
      <c r="E574" s="71"/>
      <c r="F574" s="209"/>
      <c r="G574" s="71"/>
      <c r="H574" s="209"/>
      <c r="I574" s="28"/>
      <c r="J574" s="209"/>
      <c r="K574" s="65"/>
      <c r="L574" s="65"/>
      <c r="M574" s="65"/>
      <c r="N574" s="65"/>
      <c r="O574" s="65"/>
      <c r="P574" s="65"/>
      <c r="Q574" s="65"/>
      <c r="R574" s="65"/>
      <c r="S574" s="65"/>
      <c r="T574" s="65"/>
      <c r="U574" s="65"/>
      <c r="V574" s="65"/>
      <c r="W574" s="65"/>
    </row>
    <row r="575">
      <c r="A575" s="71"/>
      <c r="B575" s="209"/>
      <c r="C575" s="71"/>
      <c r="D575" s="209"/>
      <c r="E575" s="71"/>
      <c r="F575" s="209"/>
      <c r="G575" s="71"/>
      <c r="H575" s="209"/>
      <c r="I575" s="28"/>
      <c r="J575" s="209"/>
      <c r="K575" s="65"/>
      <c r="L575" s="65"/>
      <c r="M575" s="65"/>
      <c r="N575" s="65"/>
      <c r="O575" s="65"/>
      <c r="P575" s="65"/>
      <c r="Q575" s="65"/>
      <c r="R575" s="65"/>
      <c r="S575" s="65"/>
      <c r="T575" s="65"/>
      <c r="U575" s="65"/>
      <c r="V575" s="65"/>
      <c r="W575" s="65"/>
    </row>
    <row r="576">
      <c r="A576" s="71"/>
      <c r="B576" s="209"/>
      <c r="C576" s="71"/>
      <c r="D576" s="209"/>
      <c r="E576" s="71"/>
      <c r="F576" s="209"/>
      <c r="G576" s="71"/>
      <c r="H576" s="209"/>
      <c r="I576" s="28"/>
      <c r="J576" s="209"/>
      <c r="K576" s="65"/>
      <c r="L576" s="65"/>
      <c r="M576" s="65"/>
      <c r="N576" s="65"/>
      <c r="O576" s="65"/>
      <c r="P576" s="65"/>
      <c r="Q576" s="65"/>
      <c r="R576" s="65"/>
      <c r="S576" s="65"/>
      <c r="T576" s="65"/>
      <c r="U576" s="65"/>
      <c r="V576" s="65"/>
      <c r="W576" s="65"/>
    </row>
    <row r="577">
      <c r="A577" s="71"/>
      <c r="B577" s="209"/>
      <c r="C577" s="71"/>
      <c r="D577" s="209"/>
      <c r="E577" s="71"/>
      <c r="F577" s="209"/>
      <c r="G577" s="71"/>
      <c r="H577" s="209"/>
      <c r="I577" s="28"/>
      <c r="J577" s="209"/>
      <c r="K577" s="65"/>
      <c r="L577" s="65"/>
      <c r="M577" s="65"/>
      <c r="N577" s="65"/>
      <c r="O577" s="65"/>
      <c r="P577" s="65"/>
      <c r="Q577" s="65"/>
      <c r="R577" s="65"/>
      <c r="S577" s="65"/>
      <c r="T577" s="65"/>
      <c r="U577" s="65"/>
      <c r="V577" s="65"/>
      <c r="W577" s="65"/>
    </row>
    <row r="578">
      <c r="A578" s="71"/>
      <c r="B578" s="209"/>
      <c r="C578" s="71"/>
      <c r="D578" s="209"/>
      <c r="E578" s="71"/>
      <c r="F578" s="209"/>
      <c r="G578" s="71"/>
      <c r="H578" s="209"/>
      <c r="I578" s="28"/>
      <c r="J578" s="209"/>
      <c r="K578" s="65"/>
      <c r="L578" s="65"/>
      <c r="M578" s="65"/>
      <c r="N578" s="65"/>
      <c r="O578" s="65"/>
      <c r="P578" s="65"/>
      <c r="Q578" s="65"/>
      <c r="R578" s="65"/>
      <c r="S578" s="65"/>
      <c r="T578" s="65"/>
      <c r="U578" s="65"/>
      <c r="V578" s="65"/>
      <c r="W578" s="65"/>
    </row>
    <row r="579">
      <c r="A579" s="71"/>
      <c r="B579" s="209"/>
      <c r="C579" s="71"/>
      <c r="D579" s="209"/>
      <c r="E579" s="71"/>
      <c r="F579" s="209"/>
      <c r="G579" s="71"/>
      <c r="H579" s="209"/>
      <c r="I579" s="28"/>
      <c r="J579" s="209"/>
      <c r="K579" s="65"/>
      <c r="L579" s="65"/>
      <c r="M579" s="65"/>
      <c r="N579" s="65"/>
      <c r="O579" s="65"/>
      <c r="P579" s="65"/>
      <c r="Q579" s="65"/>
      <c r="R579" s="65"/>
      <c r="S579" s="65"/>
      <c r="T579" s="65"/>
      <c r="U579" s="65"/>
      <c r="V579" s="65"/>
      <c r="W579" s="65"/>
    </row>
    <row r="580">
      <c r="A580" s="71"/>
      <c r="B580" s="209"/>
      <c r="C580" s="71"/>
      <c r="D580" s="209"/>
      <c r="E580" s="71"/>
      <c r="F580" s="209"/>
      <c r="G580" s="71"/>
      <c r="H580" s="209"/>
      <c r="I580" s="28"/>
      <c r="J580" s="209"/>
      <c r="K580" s="65"/>
      <c r="L580" s="65"/>
      <c r="M580" s="65"/>
      <c r="N580" s="65"/>
      <c r="O580" s="65"/>
      <c r="P580" s="65"/>
      <c r="Q580" s="65"/>
      <c r="R580" s="65"/>
      <c r="S580" s="65"/>
      <c r="T580" s="65"/>
      <c r="U580" s="65"/>
      <c r="V580" s="65"/>
      <c r="W580" s="65"/>
    </row>
    <row r="581">
      <c r="A581" s="71"/>
      <c r="B581" s="209"/>
      <c r="C581" s="71"/>
      <c r="D581" s="209"/>
      <c r="E581" s="71"/>
      <c r="F581" s="209"/>
      <c r="G581" s="71"/>
      <c r="H581" s="209"/>
      <c r="I581" s="28"/>
      <c r="J581" s="209"/>
      <c r="K581" s="65"/>
      <c r="L581" s="65"/>
      <c r="M581" s="65"/>
      <c r="N581" s="65"/>
      <c r="O581" s="65"/>
      <c r="P581" s="65"/>
      <c r="Q581" s="65"/>
      <c r="R581" s="65"/>
      <c r="S581" s="65"/>
      <c r="T581" s="65"/>
      <c r="U581" s="65"/>
      <c r="V581" s="65"/>
      <c r="W581" s="65"/>
    </row>
    <row r="582">
      <c r="A582" s="71"/>
      <c r="B582" s="209"/>
      <c r="C582" s="71"/>
      <c r="D582" s="209"/>
      <c r="E582" s="71"/>
      <c r="F582" s="209"/>
      <c r="G582" s="71"/>
      <c r="H582" s="209"/>
      <c r="I582" s="28"/>
      <c r="J582" s="209"/>
      <c r="K582" s="65"/>
      <c r="L582" s="65"/>
      <c r="M582" s="65"/>
      <c r="N582" s="65"/>
      <c r="O582" s="65"/>
      <c r="P582" s="65"/>
      <c r="Q582" s="65"/>
      <c r="R582" s="65"/>
      <c r="S582" s="65"/>
      <c r="T582" s="65"/>
      <c r="U582" s="65"/>
      <c r="V582" s="65"/>
      <c r="W582" s="65"/>
    </row>
    <row r="583">
      <c r="A583" s="71"/>
      <c r="B583" s="209"/>
      <c r="C583" s="71"/>
      <c r="D583" s="209"/>
      <c r="E583" s="71"/>
      <c r="F583" s="209"/>
      <c r="G583" s="71"/>
      <c r="H583" s="209"/>
      <c r="I583" s="28"/>
      <c r="J583" s="209"/>
      <c r="K583" s="65"/>
      <c r="L583" s="65"/>
      <c r="M583" s="65"/>
      <c r="N583" s="65"/>
      <c r="O583" s="65"/>
      <c r="P583" s="65"/>
      <c r="Q583" s="65"/>
      <c r="R583" s="65"/>
      <c r="S583" s="65"/>
      <c r="T583" s="65"/>
      <c r="U583" s="65"/>
      <c r="V583" s="65"/>
      <c r="W583" s="65"/>
    </row>
    <row r="584">
      <c r="A584" s="71"/>
      <c r="B584" s="209"/>
      <c r="C584" s="71"/>
      <c r="D584" s="209"/>
      <c r="E584" s="71"/>
      <c r="F584" s="209"/>
      <c r="G584" s="71"/>
      <c r="H584" s="209"/>
      <c r="I584" s="28"/>
      <c r="J584" s="209"/>
      <c r="K584" s="65"/>
      <c r="L584" s="65"/>
      <c r="M584" s="65"/>
      <c r="N584" s="65"/>
      <c r="O584" s="65"/>
      <c r="P584" s="65"/>
      <c r="Q584" s="65"/>
      <c r="R584" s="65"/>
      <c r="S584" s="65"/>
      <c r="T584" s="65"/>
      <c r="U584" s="65"/>
      <c r="V584" s="65"/>
      <c r="W584" s="65"/>
    </row>
    <row r="585">
      <c r="A585" s="71"/>
      <c r="B585" s="209"/>
      <c r="C585" s="71"/>
      <c r="D585" s="209"/>
      <c r="E585" s="71"/>
      <c r="F585" s="209"/>
      <c r="G585" s="71"/>
      <c r="H585" s="209"/>
      <c r="I585" s="28"/>
      <c r="J585" s="209"/>
      <c r="K585" s="65"/>
      <c r="L585" s="65"/>
      <c r="M585" s="65"/>
      <c r="N585" s="65"/>
      <c r="O585" s="65"/>
      <c r="P585" s="65"/>
      <c r="Q585" s="65"/>
      <c r="R585" s="65"/>
      <c r="S585" s="65"/>
      <c r="T585" s="65"/>
      <c r="U585" s="65"/>
      <c r="V585" s="65"/>
      <c r="W585" s="65"/>
    </row>
    <row r="586">
      <c r="A586" s="71"/>
      <c r="B586" s="209"/>
      <c r="C586" s="71"/>
      <c r="D586" s="209"/>
      <c r="E586" s="71"/>
      <c r="F586" s="209"/>
      <c r="G586" s="71"/>
      <c r="H586" s="209"/>
      <c r="I586" s="28"/>
      <c r="J586" s="209"/>
      <c r="K586" s="65"/>
      <c r="L586" s="65"/>
      <c r="M586" s="65"/>
      <c r="N586" s="65"/>
      <c r="O586" s="65"/>
      <c r="P586" s="65"/>
      <c r="Q586" s="65"/>
      <c r="R586" s="65"/>
      <c r="S586" s="65"/>
      <c r="T586" s="65"/>
      <c r="U586" s="65"/>
      <c r="V586" s="65"/>
      <c r="W586" s="65"/>
    </row>
    <row r="587">
      <c r="A587" s="71"/>
      <c r="B587" s="209"/>
      <c r="C587" s="71"/>
      <c r="D587" s="209"/>
      <c r="E587" s="71"/>
      <c r="F587" s="209"/>
      <c r="G587" s="71"/>
      <c r="H587" s="209"/>
      <c r="I587" s="28"/>
      <c r="J587" s="209"/>
      <c r="K587" s="65"/>
      <c r="L587" s="65"/>
      <c r="M587" s="65"/>
      <c r="N587" s="65"/>
      <c r="O587" s="65"/>
      <c r="P587" s="65"/>
      <c r="Q587" s="65"/>
      <c r="R587" s="65"/>
      <c r="S587" s="65"/>
      <c r="T587" s="65"/>
      <c r="U587" s="65"/>
      <c r="V587" s="65"/>
      <c r="W587" s="65"/>
    </row>
    <row r="588">
      <c r="A588" s="71"/>
      <c r="B588" s="209"/>
      <c r="C588" s="71"/>
      <c r="D588" s="209"/>
      <c r="E588" s="71"/>
      <c r="F588" s="209"/>
      <c r="G588" s="71"/>
      <c r="H588" s="209"/>
      <c r="I588" s="28"/>
      <c r="J588" s="209"/>
      <c r="K588" s="65"/>
      <c r="L588" s="65"/>
      <c r="M588" s="65"/>
      <c r="N588" s="65"/>
      <c r="O588" s="65"/>
      <c r="P588" s="65"/>
      <c r="Q588" s="65"/>
      <c r="R588" s="65"/>
      <c r="S588" s="65"/>
      <c r="T588" s="65"/>
      <c r="U588" s="65"/>
      <c r="V588" s="65"/>
      <c r="W588" s="65"/>
    </row>
    <row r="589">
      <c r="A589" s="71"/>
      <c r="B589" s="209"/>
      <c r="C589" s="71"/>
      <c r="D589" s="209"/>
      <c r="E589" s="71"/>
      <c r="F589" s="209"/>
      <c r="G589" s="71"/>
      <c r="H589" s="209"/>
      <c r="I589" s="28"/>
      <c r="J589" s="209"/>
      <c r="K589" s="65"/>
      <c r="L589" s="65"/>
      <c r="M589" s="65"/>
      <c r="N589" s="65"/>
      <c r="O589" s="65"/>
      <c r="P589" s="65"/>
      <c r="Q589" s="65"/>
      <c r="R589" s="65"/>
      <c r="S589" s="65"/>
      <c r="T589" s="65"/>
      <c r="U589" s="65"/>
      <c r="V589" s="65"/>
      <c r="W589" s="65"/>
    </row>
    <row r="590">
      <c r="A590" s="71"/>
      <c r="B590" s="209"/>
      <c r="C590" s="71"/>
      <c r="D590" s="209"/>
      <c r="E590" s="71"/>
      <c r="F590" s="209"/>
      <c r="G590" s="71"/>
      <c r="H590" s="209"/>
      <c r="I590" s="28"/>
      <c r="J590" s="209"/>
      <c r="K590" s="65"/>
      <c r="L590" s="65"/>
      <c r="M590" s="65"/>
      <c r="N590" s="65"/>
      <c r="O590" s="65"/>
      <c r="P590" s="65"/>
      <c r="Q590" s="65"/>
      <c r="R590" s="65"/>
      <c r="S590" s="65"/>
      <c r="T590" s="65"/>
      <c r="U590" s="65"/>
      <c r="V590" s="65"/>
      <c r="W590" s="65"/>
    </row>
    <row r="591">
      <c r="A591" s="71"/>
      <c r="B591" s="209"/>
      <c r="C591" s="71"/>
      <c r="D591" s="209"/>
      <c r="E591" s="71"/>
      <c r="F591" s="209"/>
      <c r="G591" s="71"/>
      <c r="H591" s="209"/>
      <c r="I591" s="28"/>
      <c r="J591" s="209"/>
      <c r="K591" s="65"/>
      <c r="L591" s="65"/>
      <c r="M591" s="65"/>
      <c r="N591" s="65"/>
      <c r="O591" s="65"/>
      <c r="P591" s="65"/>
      <c r="Q591" s="65"/>
      <c r="R591" s="65"/>
      <c r="S591" s="65"/>
      <c r="T591" s="65"/>
      <c r="U591" s="65"/>
      <c r="V591" s="65"/>
      <c r="W591" s="65"/>
    </row>
    <row r="592">
      <c r="A592" s="71"/>
      <c r="B592" s="209"/>
      <c r="C592" s="71"/>
      <c r="D592" s="209"/>
      <c r="E592" s="71"/>
      <c r="F592" s="209"/>
      <c r="G592" s="71"/>
      <c r="H592" s="209"/>
      <c r="I592" s="28"/>
      <c r="J592" s="209"/>
      <c r="K592" s="65"/>
      <c r="L592" s="65"/>
      <c r="M592" s="65"/>
      <c r="N592" s="65"/>
      <c r="O592" s="65"/>
      <c r="P592" s="65"/>
      <c r="Q592" s="65"/>
      <c r="R592" s="65"/>
      <c r="S592" s="65"/>
      <c r="T592" s="65"/>
      <c r="U592" s="65"/>
      <c r="V592" s="65"/>
      <c r="W592" s="65"/>
    </row>
    <row r="593">
      <c r="A593" s="71"/>
      <c r="B593" s="209"/>
      <c r="C593" s="71"/>
      <c r="D593" s="209"/>
      <c r="E593" s="71"/>
      <c r="F593" s="209"/>
      <c r="G593" s="71"/>
      <c r="H593" s="209"/>
      <c r="I593" s="28"/>
      <c r="J593" s="209"/>
      <c r="K593" s="65"/>
      <c r="L593" s="65"/>
      <c r="M593" s="65"/>
      <c r="N593" s="65"/>
      <c r="O593" s="65"/>
      <c r="P593" s="65"/>
      <c r="Q593" s="65"/>
      <c r="R593" s="65"/>
      <c r="S593" s="65"/>
      <c r="T593" s="65"/>
      <c r="U593" s="65"/>
      <c r="V593" s="65"/>
      <c r="W593" s="65"/>
    </row>
    <row r="594">
      <c r="A594" s="71"/>
      <c r="B594" s="209"/>
      <c r="C594" s="71"/>
      <c r="D594" s="209"/>
      <c r="E594" s="71"/>
      <c r="F594" s="209"/>
      <c r="G594" s="71"/>
      <c r="H594" s="209"/>
      <c r="I594" s="28"/>
      <c r="J594" s="209"/>
      <c r="K594" s="65"/>
      <c r="L594" s="65"/>
      <c r="M594" s="65"/>
      <c r="N594" s="65"/>
      <c r="O594" s="65"/>
      <c r="P594" s="65"/>
      <c r="Q594" s="65"/>
      <c r="R594" s="65"/>
      <c r="S594" s="65"/>
      <c r="T594" s="65"/>
      <c r="U594" s="65"/>
      <c r="V594" s="65"/>
      <c r="W594" s="65"/>
    </row>
    <row r="595">
      <c r="A595" s="71"/>
      <c r="B595" s="209"/>
      <c r="C595" s="71"/>
      <c r="D595" s="209"/>
      <c r="E595" s="71"/>
      <c r="F595" s="209"/>
      <c r="G595" s="71"/>
      <c r="H595" s="209"/>
      <c r="I595" s="28"/>
      <c r="J595" s="209"/>
      <c r="K595" s="65"/>
      <c r="L595" s="65"/>
      <c r="M595" s="65"/>
      <c r="N595" s="65"/>
      <c r="O595" s="65"/>
      <c r="P595" s="65"/>
      <c r="Q595" s="65"/>
      <c r="R595" s="65"/>
      <c r="S595" s="65"/>
      <c r="T595" s="65"/>
      <c r="U595" s="65"/>
      <c r="V595" s="65"/>
      <c r="W595" s="65"/>
    </row>
    <row r="596">
      <c r="A596" s="71"/>
      <c r="B596" s="209"/>
      <c r="C596" s="71"/>
      <c r="D596" s="209"/>
      <c r="E596" s="71"/>
      <c r="F596" s="209"/>
      <c r="G596" s="71"/>
      <c r="H596" s="209"/>
      <c r="I596" s="28"/>
      <c r="J596" s="209"/>
      <c r="K596" s="65"/>
      <c r="L596" s="65"/>
      <c r="M596" s="65"/>
      <c r="N596" s="65"/>
      <c r="O596" s="65"/>
      <c r="P596" s="65"/>
      <c r="Q596" s="65"/>
      <c r="R596" s="65"/>
      <c r="S596" s="65"/>
      <c r="T596" s="65"/>
      <c r="U596" s="65"/>
      <c r="V596" s="65"/>
      <c r="W596" s="65"/>
    </row>
    <row r="597">
      <c r="A597" s="71"/>
      <c r="B597" s="209"/>
      <c r="C597" s="71"/>
      <c r="D597" s="209"/>
      <c r="E597" s="71"/>
      <c r="F597" s="209"/>
      <c r="G597" s="71"/>
      <c r="H597" s="209"/>
      <c r="I597" s="28"/>
      <c r="J597" s="209"/>
      <c r="K597" s="65"/>
      <c r="L597" s="65"/>
      <c r="M597" s="65"/>
      <c r="N597" s="65"/>
      <c r="O597" s="65"/>
      <c r="P597" s="65"/>
      <c r="Q597" s="65"/>
      <c r="R597" s="65"/>
      <c r="S597" s="65"/>
      <c r="T597" s="65"/>
      <c r="U597" s="65"/>
      <c r="V597" s="65"/>
      <c r="W597" s="65"/>
    </row>
    <row r="598">
      <c r="A598" s="71"/>
      <c r="B598" s="209"/>
      <c r="C598" s="71"/>
      <c r="D598" s="209"/>
      <c r="E598" s="71"/>
      <c r="F598" s="209"/>
      <c r="G598" s="71"/>
      <c r="H598" s="209"/>
      <c r="I598" s="28"/>
      <c r="J598" s="209"/>
      <c r="K598" s="65"/>
      <c r="L598" s="65"/>
      <c r="M598" s="65"/>
      <c r="N598" s="65"/>
      <c r="O598" s="65"/>
      <c r="P598" s="65"/>
      <c r="Q598" s="65"/>
      <c r="R598" s="65"/>
      <c r="S598" s="65"/>
      <c r="T598" s="65"/>
      <c r="U598" s="65"/>
      <c r="V598" s="65"/>
      <c r="W598" s="65"/>
    </row>
    <row r="599">
      <c r="A599" s="71"/>
      <c r="B599" s="209"/>
      <c r="C599" s="71"/>
      <c r="D599" s="209"/>
      <c r="E599" s="71"/>
      <c r="F599" s="209"/>
      <c r="G599" s="71"/>
      <c r="H599" s="209"/>
      <c r="I599" s="28"/>
      <c r="J599" s="209"/>
      <c r="K599" s="65"/>
      <c r="L599" s="65"/>
      <c r="M599" s="65"/>
      <c r="N599" s="65"/>
      <c r="O599" s="65"/>
      <c r="P599" s="65"/>
      <c r="Q599" s="65"/>
      <c r="R599" s="65"/>
      <c r="S599" s="65"/>
      <c r="T599" s="65"/>
      <c r="U599" s="65"/>
      <c r="V599" s="65"/>
      <c r="W599" s="65"/>
    </row>
    <row r="600">
      <c r="A600" s="71"/>
      <c r="B600" s="209"/>
      <c r="C600" s="71"/>
      <c r="D600" s="209"/>
      <c r="E600" s="71"/>
      <c r="F600" s="209"/>
      <c r="G600" s="71"/>
      <c r="H600" s="209"/>
      <c r="I600" s="28"/>
      <c r="J600" s="209"/>
      <c r="K600" s="65"/>
      <c r="L600" s="65"/>
      <c r="M600" s="65"/>
      <c r="N600" s="65"/>
      <c r="O600" s="65"/>
      <c r="P600" s="65"/>
      <c r="Q600" s="65"/>
      <c r="R600" s="65"/>
      <c r="S600" s="65"/>
      <c r="T600" s="65"/>
      <c r="U600" s="65"/>
      <c r="V600" s="65"/>
      <c r="W600" s="65"/>
    </row>
    <row r="601">
      <c r="A601" s="71"/>
      <c r="B601" s="209"/>
      <c r="C601" s="71"/>
      <c r="D601" s="209"/>
      <c r="E601" s="71"/>
      <c r="F601" s="209"/>
      <c r="G601" s="71"/>
      <c r="H601" s="209"/>
      <c r="I601" s="28"/>
      <c r="J601" s="209"/>
      <c r="K601" s="65"/>
      <c r="L601" s="65"/>
      <c r="M601" s="65"/>
      <c r="N601" s="65"/>
      <c r="O601" s="65"/>
      <c r="P601" s="65"/>
      <c r="Q601" s="65"/>
      <c r="R601" s="65"/>
      <c r="S601" s="65"/>
      <c r="T601" s="65"/>
      <c r="U601" s="65"/>
      <c r="V601" s="65"/>
      <c r="W601" s="65"/>
    </row>
    <row r="602">
      <c r="A602" s="71"/>
      <c r="B602" s="209"/>
      <c r="C602" s="71"/>
      <c r="D602" s="209"/>
      <c r="E602" s="71"/>
      <c r="F602" s="209"/>
      <c r="G602" s="71"/>
      <c r="H602" s="209"/>
      <c r="I602" s="28"/>
      <c r="J602" s="209"/>
      <c r="K602" s="65"/>
      <c r="L602" s="65"/>
      <c r="M602" s="65"/>
      <c r="N602" s="65"/>
      <c r="O602" s="65"/>
      <c r="P602" s="65"/>
      <c r="Q602" s="65"/>
      <c r="R602" s="65"/>
      <c r="S602" s="65"/>
      <c r="T602" s="65"/>
      <c r="U602" s="65"/>
      <c r="V602" s="65"/>
      <c r="W602" s="65"/>
    </row>
    <row r="603">
      <c r="A603" s="71"/>
      <c r="B603" s="209"/>
      <c r="C603" s="71"/>
      <c r="D603" s="209"/>
      <c r="E603" s="71"/>
      <c r="F603" s="209"/>
      <c r="G603" s="71"/>
      <c r="H603" s="209"/>
      <c r="I603" s="28"/>
      <c r="J603" s="209"/>
      <c r="K603" s="65"/>
      <c r="L603" s="65"/>
      <c r="M603" s="65"/>
      <c r="N603" s="65"/>
      <c r="O603" s="65"/>
      <c r="P603" s="65"/>
      <c r="Q603" s="65"/>
      <c r="R603" s="65"/>
      <c r="S603" s="65"/>
      <c r="T603" s="65"/>
      <c r="U603" s="65"/>
      <c r="V603" s="65"/>
      <c r="W603" s="65"/>
    </row>
    <row r="604">
      <c r="A604" s="71"/>
      <c r="B604" s="209"/>
      <c r="C604" s="71"/>
      <c r="D604" s="209"/>
      <c r="E604" s="71"/>
      <c r="F604" s="209"/>
      <c r="G604" s="71"/>
      <c r="H604" s="209"/>
      <c r="I604" s="28"/>
      <c r="J604" s="209"/>
      <c r="K604" s="65"/>
      <c r="L604" s="65"/>
      <c r="M604" s="65"/>
      <c r="N604" s="65"/>
      <c r="O604" s="65"/>
      <c r="P604" s="65"/>
      <c r="Q604" s="65"/>
      <c r="R604" s="65"/>
      <c r="S604" s="65"/>
      <c r="T604" s="65"/>
      <c r="U604" s="65"/>
      <c r="V604" s="65"/>
      <c r="W604" s="65"/>
    </row>
    <row r="605">
      <c r="A605" s="71"/>
      <c r="B605" s="209"/>
      <c r="C605" s="71"/>
      <c r="D605" s="209"/>
      <c r="E605" s="71"/>
      <c r="F605" s="209"/>
      <c r="G605" s="71"/>
      <c r="H605" s="209"/>
      <c r="I605" s="28"/>
      <c r="J605" s="209"/>
      <c r="K605" s="65"/>
      <c r="L605" s="65"/>
      <c r="M605" s="65"/>
      <c r="N605" s="65"/>
      <c r="O605" s="65"/>
      <c r="P605" s="65"/>
      <c r="Q605" s="65"/>
      <c r="R605" s="65"/>
      <c r="S605" s="65"/>
      <c r="T605" s="65"/>
      <c r="U605" s="65"/>
      <c r="V605" s="65"/>
      <c r="W605" s="65"/>
    </row>
    <row r="606">
      <c r="A606" s="71"/>
      <c r="B606" s="209"/>
      <c r="C606" s="71"/>
      <c r="D606" s="209"/>
      <c r="E606" s="71"/>
      <c r="F606" s="209"/>
      <c r="G606" s="71"/>
      <c r="H606" s="209"/>
      <c r="I606" s="28"/>
      <c r="J606" s="209"/>
      <c r="K606" s="65"/>
      <c r="L606" s="65"/>
      <c r="M606" s="65"/>
      <c r="N606" s="65"/>
      <c r="O606" s="65"/>
      <c r="P606" s="65"/>
      <c r="Q606" s="65"/>
      <c r="R606" s="65"/>
      <c r="S606" s="65"/>
      <c r="T606" s="65"/>
      <c r="U606" s="65"/>
      <c r="V606" s="65"/>
      <c r="W606" s="65"/>
    </row>
    <row r="607">
      <c r="A607" s="71"/>
      <c r="B607" s="209"/>
      <c r="C607" s="71"/>
      <c r="D607" s="209"/>
      <c r="E607" s="71"/>
      <c r="F607" s="209"/>
      <c r="G607" s="71"/>
      <c r="H607" s="209"/>
      <c r="I607" s="28"/>
      <c r="J607" s="209"/>
      <c r="K607" s="65"/>
      <c r="L607" s="65"/>
      <c r="M607" s="65"/>
      <c r="N607" s="65"/>
      <c r="O607" s="65"/>
      <c r="P607" s="65"/>
      <c r="Q607" s="65"/>
      <c r="R607" s="65"/>
      <c r="S607" s="65"/>
      <c r="T607" s="65"/>
      <c r="U607" s="65"/>
      <c r="V607" s="65"/>
      <c r="W607" s="65"/>
    </row>
    <row r="608">
      <c r="A608" s="71"/>
      <c r="B608" s="209"/>
      <c r="C608" s="71"/>
      <c r="D608" s="209"/>
      <c r="E608" s="71"/>
      <c r="F608" s="209"/>
      <c r="G608" s="71"/>
      <c r="H608" s="209"/>
      <c r="I608" s="28"/>
      <c r="J608" s="209"/>
      <c r="K608" s="65"/>
      <c r="L608" s="65"/>
      <c r="M608" s="65"/>
      <c r="N608" s="65"/>
      <c r="O608" s="65"/>
      <c r="P608" s="65"/>
      <c r="Q608" s="65"/>
      <c r="R608" s="65"/>
      <c r="S608" s="65"/>
      <c r="T608" s="65"/>
      <c r="U608" s="65"/>
      <c r="V608" s="65"/>
      <c r="W608" s="65"/>
    </row>
    <row r="609">
      <c r="A609" s="71"/>
      <c r="B609" s="209"/>
      <c r="C609" s="71"/>
      <c r="D609" s="209"/>
      <c r="E609" s="71"/>
      <c r="F609" s="209"/>
      <c r="G609" s="71"/>
      <c r="H609" s="209"/>
      <c r="I609" s="28"/>
      <c r="J609" s="209"/>
      <c r="K609" s="65"/>
      <c r="L609" s="65"/>
      <c r="M609" s="65"/>
      <c r="N609" s="65"/>
      <c r="O609" s="65"/>
      <c r="P609" s="65"/>
      <c r="Q609" s="65"/>
      <c r="R609" s="65"/>
      <c r="S609" s="65"/>
      <c r="T609" s="65"/>
      <c r="U609" s="65"/>
      <c r="V609" s="65"/>
      <c r="W609" s="65"/>
    </row>
    <row r="610">
      <c r="A610" s="71"/>
      <c r="B610" s="209"/>
      <c r="C610" s="71"/>
      <c r="D610" s="209"/>
      <c r="E610" s="71"/>
      <c r="F610" s="209"/>
      <c r="G610" s="71"/>
      <c r="H610" s="209"/>
      <c r="I610" s="28"/>
      <c r="J610" s="209"/>
      <c r="K610" s="65"/>
      <c r="L610" s="65"/>
      <c r="M610" s="65"/>
      <c r="N610" s="65"/>
      <c r="O610" s="65"/>
      <c r="P610" s="65"/>
      <c r="Q610" s="65"/>
      <c r="R610" s="65"/>
      <c r="S610" s="65"/>
      <c r="T610" s="65"/>
      <c r="U610" s="65"/>
      <c r="V610" s="65"/>
      <c r="W610" s="65"/>
    </row>
    <row r="611">
      <c r="A611" s="71"/>
      <c r="B611" s="209"/>
      <c r="C611" s="71"/>
      <c r="D611" s="209"/>
      <c r="E611" s="71"/>
      <c r="F611" s="209"/>
      <c r="G611" s="71"/>
      <c r="H611" s="209"/>
      <c r="I611" s="28"/>
      <c r="J611" s="209"/>
      <c r="K611" s="65"/>
      <c r="L611" s="65"/>
      <c r="M611" s="65"/>
      <c r="N611" s="65"/>
      <c r="O611" s="65"/>
      <c r="P611" s="65"/>
      <c r="Q611" s="65"/>
      <c r="R611" s="65"/>
      <c r="S611" s="65"/>
      <c r="T611" s="65"/>
      <c r="U611" s="65"/>
      <c r="V611" s="65"/>
      <c r="W611" s="65"/>
    </row>
    <row r="612">
      <c r="A612" s="71"/>
      <c r="B612" s="209"/>
      <c r="C612" s="71"/>
      <c r="D612" s="209"/>
      <c r="E612" s="71"/>
      <c r="F612" s="209"/>
      <c r="G612" s="71"/>
      <c r="H612" s="209"/>
      <c r="I612" s="28"/>
      <c r="J612" s="209"/>
      <c r="K612" s="65"/>
      <c r="L612" s="65"/>
      <c r="M612" s="65"/>
      <c r="N612" s="65"/>
      <c r="O612" s="65"/>
      <c r="P612" s="65"/>
      <c r="Q612" s="65"/>
      <c r="R612" s="65"/>
      <c r="S612" s="65"/>
      <c r="T612" s="65"/>
      <c r="U612" s="65"/>
      <c r="V612" s="65"/>
      <c r="W612" s="65"/>
    </row>
    <row r="613">
      <c r="A613" s="71"/>
      <c r="B613" s="209"/>
      <c r="C613" s="71"/>
      <c r="D613" s="209"/>
      <c r="E613" s="71"/>
      <c r="F613" s="209"/>
      <c r="G613" s="71"/>
      <c r="H613" s="209"/>
      <c r="I613" s="28"/>
      <c r="J613" s="209"/>
      <c r="K613" s="65"/>
      <c r="L613" s="65"/>
      <c r="M613" s="65"/>
      <c r="N613" s="65"/>
      <c r="O613" s="65"/>
      <c r="P613" s="65"/>
      <c r="Q613" s="65"/>
      <c r="R613" s="65"/>
      <c r="S613" s="65"/>
      <c r="T613" s="65"/>
      <c r="U613" s="65"/>
      <c r="V613" s="65"/>
      <c r="W613" s="65"/>
    </row>
    <row r="614">
      <c r="A614" s="71"/>
      <c r="B614" s="209"/>
      <c r="C614" s="71"/>
      <c r="D614" s="209"/>
      <c r="E614" s="71"/>
      <c r="F614" s="209"/>
      <c r="G614" s="71"/>
      <c r="H614" s="209"/>
      <c r="I614" s="28"/>
      <c r="J614" s="209"/>
      <c r="K614" s="65"/>
      <c r="L614" s="65"/>
      <c r="M614" s="65"/>
      <c r="N614" s="65"/>
      <c r="O614" s="65"/>
      <c r="P614" s="65"/>
      <c r="Q614" s="65"/>
      <c r="R614" s="65"/>
      <c r="S614" s="65"/>
      <c r="T614" s="65"/>
      <c r="U614" s="65"/>
      <c r="V614" s="65"/>
      <c r="W614" s="65"/>
    </row>
    <row r="615">
      <c r="A615" s="71"/>
      <c r="B615" s="209"/>
      <c r="C615" s="71"/>
      <c r="D615" s="209"/>
      <c r="E615" s="71"/>
      <c r="F615" s="209"/>
      <c r="G615" s="71"/>
      <c r="H615" s="209"/>
      <c r="I615" s="28"/>
      <c r="J615" s="209"/>
      <c r="K615" s="65"/>
      <c r="L615" s="65"/>
      <c r="M615" s="65"/>
      <c r="N615" s="65"/>
      <c r="O615" s="65"/>
      <c r="P615" s="65"/>
      <c r="Q615" s="65"/>
      <c r="R615" s="65"/>
      <c r="S615" s="65"/>
      <c r="T615" s="65"/>
      <c r="U615" s="65"/>
      <c r="V615" s="65"/>
      <c r="W615" s="65"/>
    </row>
    <row r="616">
      <c r="A616" s="71"/>
      <c r="B616" s="209"/>
      <c r="C616" s="71"/>
      <c r="D616" s="209"/>
      <c r="E616" s="71"/>
      <c r="F616" s="209"/>
      <c r="G616" s="71"/>
      <c r="H616" s="209"/>
      <c r="I616" s="28"/>
      <c r="J616" s="209"/>
      <c r="K616" s="65"/>
      <c r="L616" s="65"/>
      <c r="M616" s="65"/>
      <c r="N616" s="65"/>
      <c r="O616" s="65"/>
      <c r="P616" s="65"/>
      <c r="Q616" s="65"/>
      <c r="R616" s="65"/>
      <c r="S616" s="65"/>
      <c r="T616" s="65"/>
      <c r="U616" s="65"/>
      <c r="V616" s="65"/>
      <c r="W616" s="65"/>
    </row>
    <row r="617">
      <c r="A617" s="71"/>
      <c r="B617" s="209"/>
      <c r="C617" s="71"/>
      <c r="D617" s="209"/>
      <c r="E617" s="71"/>
      <c r="F617" s="209"/>
      <c r="G617" s="71"/>
      <c r="H617" s="209"/>
      <c r="I617" s="28"/>
      <c r="J617" s="209"/>
      <c r="K617" s="65"/>
      <c r="L617" s="65"/>
      <c r="M617" s="65"/>
      <c r="N617" s="65"/>
      <c r="O617" s="65"/>
      <c r="P617" s="65"/>
      <c r="Q617" s="65"/>
      <c r="R617" s="65"/>
      <c r="S617" s="65"/>
      <c r="T617" s="65"/>
      <c r="U617" s="65"/>
      <c r="V617" s="65"/>
      <c r="W617" s="65"/>
    </row>
    <row r="618">
      <c r="A618" s="71"/>
      <c r="B618" s="209"/>
      <c r="C618" s="71"/>
      <c r="D618" s="209"/>
      <c r="E618" s="71"/>
      <c r="F618" s="209"/>
      <c r="G618" s="71"/>
      <c r="H618" s="209"/>
      <c r="I618" s="28"/>
      <c r="J618" s="209"/>
      <c r="K618" s="65"/>
      <c r="L618" s="65"/>
      <c r="M618" s="65"/>
      <c r="N618" s="65"/>
      <c r="O618" s="65"/>
      <c r="P618" s="65"/>
      <c r="Q618" s="65"/>
      <c r="R618" s="65"/>
      <c r="S618" s="65"/>
      <c r="T618" s="65"/>
      <c r="U618" s="65"/>
      <c r="V618" s="65"/>
      <c r="W618" s="65"/>
    </row>
    <row r="619">
      <c r="A619" s="71"/>
      <c r="B619" s="209"/>
      <c r="C619" s="71"/>
      <c r="D619" s="209"/>
      <c r="E619" s="71"/>
      <c r="F619" s="209"/>
      <c r="G619" s="71"/>
      <c r="H619" s="209"/>
      <c r="I619" s="28"/>
      <c r="J619" s="209"/>
      <c r="K619" s="65"/>
      <c r="L619" s="65"/>
      <c r="M619" s="65"/>
      <c r="N619" s="65"/>
      <c r="O619" s="65"/>
      <c r="P619" s="65"/>
      <c r="Q619" s="65"/>
      <c r="R619" s="65"/>
      <c r="S619" s="65"/>
      <c r="T619" s="65"/>
      <c r="U619" s="65"/>
      <c r="V619" s="65"/>
      <c r="W619" s="65"/>
    </row>
    <row r="620">
      <c r="A620" s="71"/>
      <c r="B620" s="209"/>
      <c r="C620" s="71"/>
      <c r="D620" s="209"/>
      <c r="E620" s="71"/>
      <c r="F620" s="209"/>
      <c r="G620" s="71"/>
      <c r="H620" s="209"/>
      <c r="I620" s="28"/>
      <c r="J620" s="209"/>
      <c r="K620" s="65"/>
      <c r="L620" s="65"/>
      <c r="M620" s="65"/>
      <c r="N620" s="65"/>
      <c r="O620" s="65"/>
      <c r="P620" s="65"/>
      <c r="Q620" s="65"/>
      <c r="R620" s="65"/>
      <c r="S620" s="65"/>
      <c r="T620" s="65"/>
      <c r="U620" s="65"/>
      <c r="V620" s="65"/>
      <c r="W620" s="65"/>
    </row>
    <row r="621">
      <c r="A621" s="71"/>
      <c r="B621" s="209"/>
      <c r="C621" s="71"/>
      <c r="D621" s="209"/>
      <c r="E621" s="71"/>
      <c r="F621" s="209"/>
      <c r="G621" s="71"/>
      <c r="H621" s="209"/>
      <c r="I621" s="28"/>
      <c r="J621" s="209"/>
      <c r="K621" s="65"/>
      <c r="L621" s="65"/>
      <c r="M621" s="65"/>
      <c r="N621" s="65"/>
      <c r="O621" s="65"/>
      <c r="P621" s="65"/>
      <c r="Q621" s="65"/>
      <c r="R621" s="65"/>
      <c r="S621" s="65"/>
      <c r="T621" s="65"/>
      <c r="U621" s="65"/>
      <c r="V621" s="65"/>
      <c r="W621" s="65"/>
    </row>
    <row r="622">
      <c r="A622" s="71"/>
      <c r="B622" s="209"/>
      <c r="C622" s="71"/>
      <c r="D622" s="209"/>
      <c r="E622" s="71"/>
      <c r="F622" s="209"/>
      <c r="G622" s="71"/>
      <c r="H622" s="209"/>
      <c r="I622" s="28"/>
      <c r="J622" s="209"/>
      <c r="K622" s="65"/>
      <c r="L622" s="65"/>
      <c r="M622" s="65"/>
      <c r="N622" s="65"/>
      <c r="O622" s="65"/>
      <c r="P622" s="65"/>
      <c r="Q622" s="65"/>
      <c r="R622" s="65"/>
      <c r="S622" s="65"/>
      <c r="T622" s="65"/>
      <c r="U622" s="65"/>
      <c r="V622" s="65"/>
      <c r="W622" s="65"/>
    </row>
    <row r="623">
      <c r="A623" s="71"/>
      <c r="B623" s="209"/>
      <c r="C623" s="71"/>
      <c r="D623" s="209"/>
      <c r="E623" s="71"/>
      <c r="F623" s="209"/>
      <c r="G623" s="71"/>
      <c r="H623" s="209"/>
      <c r="I623" s="28"/>
      <c r="J623" s="209"/>
      <c r="K623" s="65"/>
      <c r="L623" s="65"/>
      <c r="M623" s="65"/>
      <c r="N623" s="65"/>
      <c r="O623" s="65"/>
      <c r="P623" s="65"/>
      <c r="Q623" s="65"/>
      <c r="R623" s="65"/>
      <c r="S623" s="65"/>
      <c r="T623" s="65"/>
      <c r="U623" s="65"/>
      <c r="V623" s="65"/>
      <c r="W623" s="65"/>
    </row>
    <row r="624">
      <c r="A624" s="71"/>
      <c r="B624" s="209"/>
      <c r="C624" s="71"/>
      <c r="D624" s="209"/>
      <c r="E624" s="71"/>
      <c r="F624" s="209"/>
      <c r="G624" s="71"/>
      <c r="H624" s="209"/>
      <c r="I624" s="28"/>
      <c r="J624" s="209"/>
      <c r="K624" s="65"/>
      <c r="L624" s="65"/>
      <c r="M624" s="65"/>
      <c r="N624" s="65"/>
      <c r="O624" s="65"/>
      <c r="P624" s="65"/>
      <c r="Q624" s="65"/>
      <c r="R624" s="65"/>
      <c r="S624" s="65"/>
      <c r="T624" s="65"/>
      <c r="U624" s="65"/>
      <c r="V624" s="65"/>
      <c r="W624" s="65"/>
    </row>
    <row r="625">
      <c r="A625" s="71"/>
      <c r="B625" s="209"/>
      <c r="C625" s="71"/>
      <c r="D625" s="209"/>
      <c r="E625" s="71"/>
      <c r="F625" s="209"/>
      <c r="G625" s="71"/>
      <c r="H625" s="209"/>
      <c r="I625" s="28"/>
      <c r="J625" s="209"/>
      <c r="K625" s="65"/>
      <c r="L625" s="65"/>
      <c r="M625" s="65"/>
      <c r="N625" s="65"/>
      <c r="O625" s="65"/>
      <c r="P625" s="65"/>
      <c r="Q625" s="65"/>
      <c r="R625" s="65"/>
      <c r="S625" s="65"/>
      <c r="T625" s="65"/>
      <c r="U625" s="65"/>
      <c r="V625" s="65"/>
      <c r="W625" s="65"/>
    </row>
    <row r="626">
      <c r="A626" s="71"/>
      <c r="B626" s="209"/>
      <c r="C626" s="71"/>
      <c r="D626" s="209"/>
      <c r="E626" s="71"/>
      <c r="F626" s="209"/>
      <c r="G626" s="71"/>
      <c r="H626" s="209"/>
      <c r="I626" s="28"/>
      <c r="J626" s="209"/>
      <c r="K626" s="65"/>
      <c r="L626" s="65"/>
      <c r="M626" s="65"/>
      <c r="N626" s="65"/>
      <c r="O626" s="65"/>
      <c r="P626" s="65"/>
      <c r="Q626" s="65"/>
      <c r="R626" s="65"/>
      <c r="S626" s="65"/>
      <c r="T626" s="65"/>
      <c r="U626" s="65"/>
      <c r="V626" s="65"/>
      <c r="W626" s="65"/>
    </row>
    <row r="627">
      <c r="A627" s="71"/>
      <c r="B627" s="209"/>
      <c r="C627" s="71"/>
      <c r="D627" s="209"/>
      <c r="E627" s="71"/>
      <c r="F627" s="209"/>
      <c r="G627" s="71"/>
      <c r="H627" s="209"/>
      <c r="I627" s="28"/>
      <c r="J627" s="209"/>
      <c r="K627" s="65"/>
      <c r="L627" s="65"/>
      <c r="M627" s="65"/>
      <c r="N627" s="65"/>
      <c r="O627" s="65"/>
      <c r="P627" s="65"/>
      <c r="Q627" s="65"/>
      <c r="R627" s="65"/>
      <c r="S627" s="65"/>
      <c r="T627" s="65"/>
      <c r="U627" s="65"/>
      <c r="V627" s="65"/>
      <c r="W627" s="65"/>
    </row>
    <row r="628">
      <c r="A628" s="71"/>
      <c r="B628" s="209"/>
      <c r="C628" s="71"/>
      <c r="D628" s="209"/>
      <c r="E628" s="71"/>
      <c r="F628" s="209"/>
      <c r="G628" s="71"/>
      <c r="H628" s="209"/>
      <c r="I628" s="28"/>
      <c r="J628" s="209"/>
      <c r="K628" s="65"/>
      <c r="L628" s="65"/>
      <c r="M628" s="65"/>
      <c r="N628" s="65"/>
      <c r="O628" s="65"/>
      <c r="P628" s="65"/>
      <c r="Q628" s="65"/>
      <c r="R628" s="65"/>
      <c r="S628" s="65"/>
      <c r="T628" s="65"/>
      <c r="U628" s="65"/>
      <c r="V628" s="65"/>
      <c r="W628" s="65"/>
    </row>
    <row r="629">
      <c r="A629" s="71"/>
      <c r="B629" s="209"/>
      <c r="C629" s="71"/>
      <c r="D629" s="209"/>
      <c r="E629" s="71"/>
      <c r="F629" s="209"/>
      <c r="G629" s="71"/>
      <c r="H629" s="209"/>
      <c r="I629" s="28"/>
      <c r="J629" s="209"/>
      <c r="K629" s="65"/>
      <c r="L629" s="65"/>
      <c r="M629" s="65"/>
      <c r="N629" s="65"/>
      <c r="O629" s="65"/>
      <c r="P629" s="65"/>
      <c r="Q629" s="65"/>
      <c r="R629" s="65"/>
      <c r="S629" s="65"/>
      <c r="T629" s="65"/>
      <c r="U629" s="65"/>
      <c r="V629" s="65"/>
      <c r="W629" s="65"/>
    </row>
    <row r="630">
      <c r="A630" s="71"/>
      <c r="B630" s="209"/>
      <c r="C630" s="71"/>
      <c r="D630" s="209"/>
      <c r="E630" s="71"/>
      <c r="F630" s="209"/>
      <c r="G630" s="71"/>
      <c r="H630" s="209"/>
      <c r="I630" s="28"/>
      <c r="J630" s="209"/>
      <c r="K630" s="65"/>
      <c r="L630" s="65"/>
      <c r="M630" s="65"/>
      <c r="N630" s="65"/>
      <c r="O630" s="65"/>
      <c r="P630" s="65"/>
      <c r="Q630" s="65"/>
      <c r="R630" s="65"/>
      <c r="S630" s="65"/>
      <c r="T630" s="65"/>
      <c r="U630" s="65"/>
      <c r="V630" s="65"/>
      <c r="W630" s="65"/>
    </row>
    <row r="631">
      <c r="A631" s="71"/>
      <c r="B631" s="209"/>
      <c r="C631" s="71"/>
      <c r="D631" s="209"/>
      <c r="E631" s="71"/>
      <c r="F631" s="209"/>
      <c r="G631" s="71"/>
      <c r="H631" s="209"/>
      <c r="I631" s="28"/>
      <c r="J631" s="209"/>
      <c r="K631" s="65"/>
      <c r="L631" s="65"/>
      <c r="M631" s="65"/>
      <c r="N631" s="65"/>
      <c r="O631" s="65"/>
      <c r="P631" s="65"/>
      <c r="Q631" s="65"/>
      <c r="R631" s="65"/>
      <c r="S631" s="65"/>
      <c r="T631" s="65"/>
      <c r="U631" s="65"/>
      <c r="V631" s="65"/>
      <c r="W631" s="65"/>
    </row>
    <row r="632">
      <c r="A632" s="71"/>
      <c r="B632" s="209"/>
      <c r="C632" s="71"/>
      <c r="D632" s="209"/>
      <c r="E632" s="71"/>
      <c r="F632" s="209"/>
      <c r="G632" s="71"/>
      <c r="H632" s="209"/>
      <c r="I632" s="28"/>
      <c r="J632" s="209"/>
      <c r="K632" s="65"/>
      <c r="L632" s="65"/>
      <c r="M632" s="65"/>
      <c r="N632" s="65"/>
      <c r="O632" s="65"/>
      <c r="P632" s="65"/>
      <c r="Q632" s="65"/>
      <c r="R632" s="65"/>
      <c r="S632" s="65"/>
      <c r="T632" s="65"/>
      <c r="U632" s="65"/>
      <c r="V632" s="65"/>
      <c r="W632" s="65"/>
    </row>
    <row r="633">
      <c r="A633" s="71"/>
      <c r="B633" s="209"/>
      <c r="C633" s="71"/>
      <c r="D633" s="209"/>
      <c r="E633" s="71"/>
      <c r="F633" s="209"/>
      <c r="G633" s="71"/>
      <c r="H633" s="209"/>
      <c r="I633" s="28"/>
      <c r="J633" s="209"/>
      <c r="K633" s="65"/>
      <c r="L633" s="65"/>
      <c r="M633" s="65"/>
      <c r="N633" s="65"/>
      <c r="O633" s="65"/>
      <c r="P633" s="65"/>
      <c r="Q633" s="65"/>
      <c r="R633" s="65"/>
      <c r="S633" s="65"/>
      <c r="T633" s="65"/>
      <c r="U633" s="65"/>
      <c r="V633" s="65"/>
      <c r="W633" s="65"/>
    </row>
    <row r="634">
      <c r="A634" s="71"/>
      <c r="B634" s="209"/>
      <c r="C634" s="71"/>
      <c r="D634" s="209"/>
      <c r="E634" s="71"/>
      <c r="F634" s="209"/>
      <c r="G634" s="71"/>
      <c r="H634" s="209"/>
      <c r="I634" s="28"/>
      <c r="J634" s="209"/>
      <c r="K634" s="65"/>
      <c r="L634" s="65"/>
      <c r="M634" s="65"/>
      <c r="N634" s="65"/>
      <c r="O634" s="65"/>
      <c r="P634" s="65"/>
      <c r="Q634" s="65"/>
      <c r="R634" s="65"/>
      <c r="S634" s="65"/>
      <c r="T634" s="65"/>
      <c r="U634" s="65"/>
      <c r="V634" s="65"/>
      <c r="W634" s="65"/>
    </row>
    <row r="635">
      <c r="A635" s="71"/>
      <c r="B635" s="209"/>
      <c r="C635" s="71"/>
      <c r="D635" s="209"/>
      <c r="E635" s="71"/>
      <c r="F635" s="209"/>
      <c r="G635" s="71"/>
      <c r="H635" s="209"/>
      <c r="I635" s="28"/>
      <c r="J635" s="209"/>
      <c r="K635" s="65"/>
      <c r="L635" s="65"/>
      <c r="M635" s="65"/>
      <c r="N635" s="65"/>
      <c r="O635" s="65"/>
      <c r="P635" s="65"/>
      <c r="Q635" s="65"/>
      <c r="R635" s="65"/>
      <c r="S635" s="65"/>
      <c r="T635" s="65"/>
      <c r="U635" s="65"/>
      <c r="V635" s="65"/>
      <c r="W635" s="65"/>
    </row>
    <row r="636">
      <c r="A636" s="71"/>
      <c r="B636" s="209"/>
      <c r="C636" s="71"/>
      <c r="D636" s="209"/>
      <c r="E636" s="71"/>
      <c r="F636" s="209"/>
      <c r="G636" s="71"/>
      <c r="H636" s="209"/>
      <c r="I636" s="28"/>
      <c r="J636" s="209"/>
      <c r="K636" s="65"/>
      <c r="L636" s="65"/>
      <c r="M636" s="65"/>
      <c r="N636" s="65"/>
      <c r="O636" s="65"/>
      <c r="P636" s="65"/>
      <c r="Q636" s="65"/>
      <c r="R636" s="65"/>
      <c r="S636" s="65"/>
      <c r="T636" s="65"/>
      <c r="U636" s="65"/>
      <c r="V636" s="65"/>
      <c r="W636" s="65"/>
    </row>
    <row r="637">
      <c r="A637" s="71"/>
      <c r="B637" s="209"/>
      <c r="C637" s="71"/>
      <c r="D637" s="209"/>
      <c r="E637" s="71"/>
      <c r="F637" s="209"/>
      <c r="G637" s="71"/>
      <c r="H637" s="209"/>
      <c r="I637" s="28"/>
      <c r="J637" s="209"/>
      <c r="K637" s="65"/>
      <c r="L637" s="65"/>
      <c r="M637" s="65"/>
      <c r="N637" s="65"/>
      <c r="O637" s="65"/>
      <c r="P637" s="65"/>
      <c r="Q637" s="65"/>
      <c r="R637" s="65"/>
      <c r="S637" s="65"/>
      <c r="T637" s="65"/>
      <c r="U637" s="65"/>
      <c r="V637" s="65"/>
      <c r="W637" s="65"/>
    </row>
    <row r="638">
      <c r="A638" s="71"/>
      <c r="B638" s="209"/>
      <c r="C638" s="71"/>
      <c r="D638" s="209"/>
      <c r="E638" s="71"/>
      <c r="F638" s="209"/>
      <c r="G638" s="71"/>
      <c r="H638" s="209"/>
      <c r="I638" s="28"/>
      <c r="J638" s="209"/>
      <c r="K638" s="65"/>
      <c r="L638" s="65"/>
      <c r="M638" s="65"/>
      <c r="N638" s="65"/>
      <c r="O638" s="65"/>
      <c r="P638" s="65"/>
      <c r="Q638" s="65"/>
      <c r="R638" s="65"/>
      <c r="S638" s="65"/>
      <c r="T638" s="65"/>
      <c r="U638" s="65"/>
      <c r="V638" s="65"/>
      <c r="W638" s="65"/>
    </row>
    <row r="639">
      <c r="A639" s="71"/>
      <c r="B639" s="209"/>
      <c r="C639" s="71"/>
      <c r="D639" s="209"/>
      <c r="E639" s="71"/>
      <c r="F639" s="209"/>
      <c r="G639" s="71"/>
      <c r="H639" s="209"/>
      <c r="I639" s="28"/>
      <c r="J639" s="209"/>
      <c r="K639" s="65"/>
      <c r="L639" s="65"/>
      <c r="M639" s="65"/>
      <c r="N639" s="65"/>
      <c r="O639" s="65"/>
      <c r="P639" s="65"/>
      <c r="Q639" s="65"/>
      <c r="R639" s="65"/>
      <c r="S639" s="65"/>
      <c r="T639" s="65"/>
      <c r="U639" s="65"/>
      <c r="V639" s="65"/>
      <c r="W639" s="65"/>
    </row>
    <row r="640">
      <c r="A640" s="71"/>
      <c r="B640" s="209"/>
      <c r="C640" s="71"/>
      <c r="D640" s="209"/>
      <c r="E640" s="71"/>
      <c r="F640" s="209"/>
      <c r="G640" s="71"/>
      <c r="H640" s="209"/>
      <c r="I640" s="28"/>
      <c r="J640" s="209"/>
      <c r="K640" s="65"/>
      <c r="L640" s="65"/>
      <c r="M640" s="65"/>
      <c r="N640" s="65"/>
      <c r="O640" s="65"/>
      <c r="P640" s="65"/>
      <c r="Q640" s="65"/>
      <c r="R640" s="65"/>
      <c r="S640" s="65"/>
      <c r="T640" s="65"/>
      <c r="U640" s="65"/>
      <c r="V640" s="65"/>
      <c r="W640" s="65"/>
    </row>
    <row r="641">
      <c r="A641" s="71"/>
      <c r="B641" s="209"/>
      <c r="C641" s="71"/>
      <c r="D641" s="209"/>
      <c r="E641" s="71"/>
      <c r="F641" s="209"/>
      <c r="G641" s="71"/>
      <c r="H641" s="209"/>
      <c r="I641" s="28"/>
      <c r="J641" s="209"/>
      <c r="K641" s="65"/>
      <c r="L641" s="65"/>
      <c r="M641" s="65"/>
      <c r="N641" s="65"/>
      <c r="O641" s="65"/>
      <c r="P641" s="65"/>
      <c r="Q641" s="65"/>
      <c r="R641" s="65"/>
      <c r="S641" s="65"/>
      <c r="T641" s="65"/>
      <c r="U641" s="65"/>
      <c r="V641" s="65"/>
      <c r="W641" s="65"/>
    </row>
    <row r="642">
      <c r="A642" s="71"/>
      <c r="B642" s="209"/>
      <c r="C642" s="71"/>
      <c r="D642" s="209"/>
      <c r="E642" s="71"/>
      <c r="F642" s="209"/>
      <c r="G642" s="71"/>
      <c r="H642" s="209"/>
      <c r="I642" s="28"/>
      <c r="J642" s="209"/>
      <c r="K642" s="65"/>
      <c r="L642" s="65"/>
      <c r="M642" s="65"/>
      <c r="N642" s="65"/>
      <c r="O642" s="65"/>
      <c r="P642" s="65"/>
      <c r="Q642" s="65"/>
      <c r="R642" s="65"/>
      <c r="S642" s="65"/>
      <c r="T642" s="65"/>
      <c r="U642" s="65"/>
      <c r="V642" s="65"/>
      <c r="W642" s="65"/>
    </row>
    <row r="643">
      <c r="A643" s="71"/>
      <c r="B643" s="209"/>
      <c r="C643" s="71"/>
      <c r="D643" s="209"/>
      <c r="E643" s="71"/>
      <c r="F643" s="209"/>
      <c r="G643" s="71"/>
      <c r="H643" s="209"/>
      <c r="I643" s="28"/>
      <c r="J643" s="209"/>
      <c r="K643" s="65"/>
      <c r="L643" s="65"/>
      <c r="M643" s="65"/>
      <c r="N643" s="65"/>
      <c r="O643" s="65"/>
      <c r="P643" s="65"/>
      <c r="Q643" s="65"/>
      <c r="R643" s="65"/>
      <c r="S643" s="65"/>
      <c r="T643" s="65"/>
      <c r="U643" s="65"/>
      <c r="V643" s="65"/>
      <c r="W643" s="65"/>
    </row>
    <row r="644">
      <c r="A644" s="71"/>
      <c r="B644" s="209"/>
      <c r="C644" s="71"/>
      <c r="D644" s="209"/>
      <c r="E644" s="71"/>
      <c r="F644" s="209"/>
      <c r="G644" s="71"/>
      <c r="H644" s="209"/>
      <c r="I644" s="28"/>
      <c r="J644" s="209"/>
      <c r="K644" s="65"/>
      <c r="L644" s="65"/>
      <c r="M644" s="65"/>
      <c r="N644" s="65"/>
      <c r="O644" s="65"/>
      <c r="P644" s="65"/>
      <c r="Q644" s="65"/>
      <c r="R644" s="65"/>
      <c r="S644" s="65"/>
      <c r="T644" s="65"/>
      <c r="U644" s="65"/>
      <c r="V644" s="65"/>
      <c r="W644" s="65"/>
    </row>
    <row r="645">
      <c r="A645" s="71"/>
      <c r="B645" s="209"/>
      <c r="C645" s="71"/>
      <c r="D645" s="209"/>
      <c r="E645" s="71"/>
      <c r="F645" s="209"/>
      <c r="G645" s="71"/>
      <c r="H645" s="209"/>
      <c r="I645" s="28"/>
      <c r="J645" s="209"/>
      <c r="K645" s="65"/>
      <c r="L645" s="65"/>
      <c r="M645" s="65"/>
      <c r="N645" s="65"/>
      <c r="O645" s="65"/>
      <c r="P645" s="65"/>
      <c r="Q645" s="65"/>
      <c r="R645" s="65"/>
      <c r="S645" s="65"/>
      <c r="T645" s="65"/>
      <c r="U645" s="65"/>
      <c r="V645" s="65"/>
      <c r="W645" s="65"/>
    </row>
    <row r="646">
      <c r="A646" s="71"/>
      <c r="B646" s="209"/>
      <c r="C646" s="71"/>
      <c r="D646" s="209"/>
      <c r="E646" s="71"/>
      <c r="F646" s="209"/>
      <c r="G646" s="71"/>
      <c r="H646" s="209"/>
      <c r="I646" s="28"/>
      <c r="J646" s="209"/>
      <c r="K646" s="65"/>
      <c r="L646" s="65"/>
      <c r="M646" s="65"/>
      <c r="N646" s="65"/>
      <c r="O646" s="65"/>
      <c r="P646" s="65"/>
      <c r="Q646" s="65"/>
      <c r="R646" s="65"/>
      <c r="S646" s="65"/>
      <c r="T646" s="65"/>
      <c r="U646" s="65"/>
      <c r="V646" s="65"/>
      <c r="W646" s="65"/>
    </row>
    <row r="647">
      <c r="A647" s="71"/>
      <c r="B647" s="209"/>
      <c r="C647" s="71"/>
      <c r="D647" s="209"/>
      <c r="E647" s="71"/>
      <c r="F647" s="209"/>
      <c r="G647" s="71"/>
      <c r="H647" s="209"/>
      <c r="I647" s="28"/>
      <c r="J647" s="209"/>
      <c r="K647" s="65"/>
      <c r="L647" s="65"/>
      <c r="M647" s="65"/>
      <c r="N647" s="65"/>
      <c r="O647" s="65"/>
      <c r="P647" s="65"/>
      <c r="Q647" s="65"/>
      <c r="R647" s="65"/>
      <c r="S647" s="65"/>
      <c r="T647" s="65"/>
      <c r="U647" s="65"/>
      <c r="V647" s="65"/>
      <c r="W647" s="65"/>
    </row>
    <row r="648">
      <c r="A648" s="71"/>
      <c r="B648" s="209"/>
      <c r="C648" s="71"/>
      <c r="D648" s="209"/>
      <c r="E648" s="71"/>
      <c r="F648" s="209"/>
      <c r="G648" s="71"/>
      <c r="H648" s="209"/>
      <c r="I648" s="28"/>
      <c r="J648" s="209"/>
      <c r="K648" s="65"/>
      <c r="L648" s="65"/>
      <c r="M648" s="65"/>
      <c r="N648" s="65"/>
      <c r="O648" s="65"/>
      <c r="P648" s="65"/>
      <c r="Q648" s="65"/>
      <c r="R648" s="65"/>
      <c r="S648" s="65"/>
      <c r="T648" s="65"/>
      <c r="U648" s="65"/>
      <c r="V648" s="65"/>
      <c r="W648" s="65"/>
    </row>
    <row r="649">
      <c r="A649" s="71"/>
      <c r="B649" s="209"/>
      <c r="C649" s="71"/>
      <c r="D649" s="209"/>
      <c r="E649" s="71"/>
      <c r="F649" s="209"/>
      <c r="G649" s="71"/>
      <c r="H649" s="209"/>
      <c r="I649" s="28"/>
      <c r="J649" s="209"/>
      <c r="K649" s="65"/>
      <c r="L649" s="65"/>
      <c r="M649" s="65"/>
      <c r="N649" s="65"/>
      <c r="O649" s="65"/>
      <c r="P649" s="65"/>
      <c r="Q649" s="65"/>
      <c r="R649" s="65"/>
      <c r="S649" s="65"/>
      <c r="T649" s="65"/>
      <c r="U649" s="65"/>
      <c r="V649" s="65"/>
      <c r="W649" s="65"/>
    </row>
    <row r="650">
      <c r="A650" s="71"/>
      <c r="B650" s="209"/>
      <c r="C650" s="71"/>
      <c r="D650" s="209"/>
      <c r="E650" s="71"/>
      <c r="F650" s="209"/>
      <c r="G650" s="71"/>
      <c r="H650" s="209"/>
      <c r="I650" s="28"/>
      <c r="J650" s="209"/>
      <c r="K650" s="65"/>
      <c r="L650" s="65"/>
      <c r="M650" s="65"/>
      <c r="N650" s="65"/>
      <c r="O650" s="65"/>
      <c r="P650" s="65"/>
      <c r="Q650" s="65"/>
      <c r="R650" s="65"/>
      <c r="S650" s="65"/>
      <c r="T650" s="65"/>
      <c r="U650" s="65"/>
      <c r="V650" s="65"/>
      <c r="W650" s="65"/>
    </row>
    <row r="651">
      <c r="A651" s="71"/>
      <c r="B651" s="209"/>
      <c r="C651" s="71"/>
      <c r="D651" s="209"/>
      <c r="E651" s="71"/>
      <c r="F651" s="209"/>
      <c r="G651" s="71"/>
      <c r="H651" s="209"/>
      <c r="I651" s="28"/>
      <c r="J651" s="209"/>
      <c r="K651" s="65"/>
      <c r="L651" s="65"/>
      <c r="M651" s="65"/>
      <c r="N651" s="65"/>
      <c r="O651" s="65"/>
      <c r="P651" s="65"/>
      <c r="Q651" s="65"/>
      <c r="R651" s="65"/>
      <c r="S651" s="65"/>
      <c r="T651" s="65"/>
      <c r="U651" s="65"/>
      <c r="V651" s="65"/>
      <c r="W651" s="65"/>
    </row>
    <row r="652">
      <c r="A652" s="71"/>
      <c r="B652" s="209"/>
      <c r="C652" s="71"/>
      <c r="D652" s="209"/>
      <c r="E652" s="71"/>
      <c r="F652" s="209"/>
      <c r="G652" s="71"/>
      <c r="H652" s="209"/>
      <c r="I652" s="28"/>
      <c r="J652" s="209"/>
      <c r="K652" s="65"/>
      <c r="L652" s="65"/>
      <c r="M652" s="65"/>
      <c r="N652" s="65"/>
      <c r="O652" s="65"/>
      <c r="P652" s="65"/>
      <c r="Q652" s="65"/>
      <c r="R652" s="65"/>
      <c r="S652" s="65"/>
      <c r="T652" s="65"/>
      <c r="U652" s="65"/>
      <c r="V652" s="65"/>
      <c r="W652" s="65"/>
    </row>
    <row r="653">
      <c r="A653" s="71"/>
      <c r="B653" s="209"/>
      <c r="C653" s="71"/>
      <c r="D653" s="209"/>
      <c r="E653" s="71"/>
      <c r="F653" s="209"/>
      <c r="G653" s="71"/>
      <c r="H653" s="209"/>
      <c r="I653" s="28"/>
      <c r="J653" s="209"/>
      <c r="K653" s="65"/>
      <c r="L653" s="65"/>
      <c r="M653" s="65"/>
      <c r="N653" s="65"/>
      <c r="O653" s="65"/>
      <c r="P653" s="65"/>
      <c r="Q653" s="65"/>
      <c r="R653" s="65"/>
      <c r="S653" s="65"/>
      <c r="T653" s="65"/>
      <c r="U653" s="65"/>
      <c r="V653" s="65"/>
      <c r="W653" s="65"/>
    </row>
    <row r="654">
      <c r="A654" s="71"/>
      <c r="B654" s="209"/>
      <c r="C654" s="71"/>
      <c r="D654" s="209"/>
      <c r="E654" s="71"/>
      <c r="F654" s="209"/>
      <c r="G654" s="71"/>
      <c r="H654" s="209"/>
      <c r="I654" s="28"/>
      <c r="J654" s="209"/>
      <c r="K654" s="65"/>
      <c r="L654" s="65"/>
      <c r="M654" s="65"/>
      <c r="N654" s="65"/>
      <c r="O654" s="65"/>
      <c r="P654" s="65"/>
      <c r="Q654" s="65"/>
      <c r="R654" s="65"/>
      <c r="S654" s="65"/>
      <c r="T654" s="65"/>
      <c r="U654" s="65"/>
      <c r="V654" s="65"/>
      <c r="W654" s="65"/>
    </row>
    <row r="655">
      <c r="A655" s="71"/>
      <c r="B655" s="209"/>
      <c r="C655" s="71"/>
      <c r="D655" s="209"/>
      <c r="E655" s="71"/>
      <c r="F655" s="209"/>
      <c r="G655" s="71"/>
      <c r="H655" s="209"/>
      <c r="I655" s="28"/>
      <c r="J655" s="209"/>
      <c r="K655" s="65"/>
      <c r="L655" s="65"/>
      <c r="M655" s="65"/>
      <c r="N655" s="65"/>
      <c r="O655" s="65"/>
      <c r="P655" s="65"/>
      <c r="Q655" s="65"/>
      <c r="R655" s="65"/>
      <c r="S655" s="65"/>
      <c r="T655" s="65"/>
      <c r="U655" s="65"/>
      <c r="V655" s="65"/>
      <c r="W655" s="65"/>
    </row>
    <row r="656">
      <c r="A656" s="71"/>
      <c r="B656" s="209"/>
      <c r="C656" s="71"/>
      <c r="D656" s="209"/>
      <c r="E656" s="71"/>
      <c r="F656" s="209"/>
      <c r="G656" s="71"/>
      <c r="H656" s="209"/>
      <c r="I656" s="28"/>
      <c r="J656" s="209"/>
      <c r="K656" s="65"/>
      <c r="L656" s="65"/>
      <c r="M656" s="65"/>
      <c r="N656" s="65"/>
      <c r="O656" s="65"/>
      <c r="P656" s="65"/>
      <c r="Q656" s="65"/>
      <c r="R656" s="65"/>
      <c r="S656" s="65"/>
      <c r="T656" s="65"/>
      <c r="U656" s="65"/>
      <c r="V656" s="65"/>
      <c r="W656" s="65"/>
    </row>
    <row r="657">
      <c r="A657" s="71"/>
      <c r="B657" s="209"/>
      <c r="C657" s="71"/>
      <c r="D657" s="209"/>
      <c r="E657" s="71"/>
      <c r="F657" s="209"/>
      <c r="G657" s="71"/>
      <c r="H657" s="209"/>
      <c r="I657" s="28"/>
      <c r="J657" s="209"/>
      <c r="K657" s="65"/>
      <c r="L657" s="65"/>
      <c r="M657" s="65"/>
      <c r="N657" s="65"/>
      <c r="O657" s="65"/>
      <c r="P657" s="65"/>
      <c r="Q657" s="65"/>
      <c r="R657" s="65"/>
      <c r="S657" s="65"/>
      <c r="T657" s="65"/>
      <c r="U657" s="65"/>
      <c r="V657" s="65"/>
      <c r="W657" s="65"/>
    </row>
    <row r="658">
      <c r="A658" s="71"/>
      <c r="B658" s="209"/>
      <c r="C658" s="71"/>
      <c r="D658" s="209"/>
      <c r="E658" s="71"/>
      <c r="F658" s="209"/>
      <c r="G658" s="71"/>
      <c r="H658" s="209"/>
      <c r="I658" s="28"/>
      <c r="J658" s="209"/>
      <c r="K658" s="65"/>
      <c r="L658" s="65"/>
      <c r="M658" s="65"/>
      <c r="N658" s="65"/>
      <c r="O658" s="65"/>
      <c r="P658" s="65"/>
      <c r="Q658" s="65"/>
      <c r="R658" s="65"/>
      <c r="S658" s="65"/>
      <c r="T658" s="65"/>
      <c r="U658" s="65"/>
      <c r="V658" s="65"/>
      <c r="W658" s="65"/>
    </row>
    <row r="659">
      <c r="A659" s="71"/>
      <c r="B659" s="209"/>
      <c r="C659" s="71"/>
      <c r="D659" s="209"/>
      <c r="E659" s="71"/>
      <c r="F659" s="209"/>
      <c r="G659" s="71"/>
      <c r="H659" s="209"/>
      <c r="I659" s="28"/>
      <c r="J659" s="209"/>
      <c r="K659" s="65"/>
      <c r="L659" s="65"/>
      <c r="M659" s="65"/>
      <c r="N659" s="65"/>
      <c r="O659" s="65"/>
      <c r="P659" s="65"/>
      <c r="Q659" s="65"/>
      <c r="R659" s="65"/>
      <c r="S659" s="65"/>
      <c r="T659" s="65"/>
      <c r="U659" s="65"/>
      <c r="V659" s="65"/>
      <c r="W659" s="65"/>
    </row>
    <row r="660">
      <c r="A660" s="71"/>
      <c r="B660" s="209"/>
      <c r="C660" s="71"/>
      <c r="D660" s="209"/>
      <c r="E660" s="71"/>
      <c r="F660" s="209"/>
      <c r="G660" s="71"/>
      <c r="H660" s="209"/>
      <c r="I660" s="28"/>
      <c r="J660" s="209"/>
      <c r="K660" s="65"/>
      <c r="L660" s="65"/>
      <c r="M660" s="65"/>
      <c r="N660" s="65"/>
      <c r="O660" s="65"/>
      <c r="P660" s="65"/>
      <c r="Q660" s="65"/>
      <c r="R660" s="65"/>
      <c r="S660" s="65"/>
      <c r="T660" s="65"/>
      <c r="U660" s="65"/>
      <c r="V660" s="65"/>
      <c r="W660" s="65"/>
    </row>
    <row r="661">
      <c r="A661" s="71"/>
      <c r="B661" s="209"/>
      <c r="C661" s="71"/>
      <c r="D661" s="209"/>
      <c r="E661" s="71"/>
      <c r="F661" s="209"/>
      <c r="G661" s="71"/>
      <c r="H661" s="209"/>
      <c r="I661" s="28"/>
      <c r="J661" s="209"/>
      <c r="K661" s="65"/>
      <c r="L661" s="65"/>
      <c r="M661" s="65"/>
      <c r="N661" s="65"/>
      <c r="O661" s="65"/>
      <c r="P661" s="65"/>
      <c r="Q661" s="65"/>
      <c r="R661" s="65"/>
      <c r="S661" s="65"/>
      <c r="T661" s="65"/>
      <c r="U661" s="65"/>
      <c r="V661" s="65"/>
      <c r="W661" s="65"/>
    </row>
    <row r="662">
      <c r="A662" s="71"/>
      <c r="B662" s="209"/>
      <c r="C662" s="71"/>
      <c r="D662" s="209"/>
      <c r="E662" s="71"/>
      <c r="F662" s="209"/>
      <c r="G662" s="71"/>
      <c r="H662" s="209"/>
      <c r="I662" s="28"/>
      <c r="J662" s="209"/>
      <c r="K662" s="65"/>
      <c r="L662" s="65"/>
      <c r="M662" s="65"/>
      <c r="N662" s="65"/>
      <c r="O662" s="65"/>
      <c r="P662" s="65"/>
      <c r="Q662" s="65"/>
      <c r="R662" s="65"/>
      <c r="S662" s="65"/>
      <c r="T662" s="65"/>
      <c r="U662" s="65"/>
      <c r="V662" s="65"/>
      <c r="W662" s="65"/>
    </row>
    <row r="663">
      <c r="A663" s="71"/>
      <c r="B663" s="209"/>
      <c r="C663" s="71"/>
      <c r="D663" s="209"/>
      <c r="E663" s="71"/>
      <c r="F663" s="209"/>
      <c r="G663" s="71"/>
      <c r="H663" s="209"/>
      <c r="I663" s="28"/>
      <c r="J663" s="209"/>
      <c r="K663" s="65"/>
      <c r="L663" s="65"/>
      <c r="M663" s="65"/>
      <c r="N663" s="65"/>
      <c r="O663" s="65"/>
      <c r="P663" s="65"/>
      <c r="Q663" s="65"/>
      <c r="R663" s="65"/>
      <c r="S663" s="65"/>
      <c r="T663" s="65"/>
      <c r="U663" s="65"/>
      <c r="V663" s="65"/>
      <c r="W663" s="65"/>
    </row>
    <row r="664">
      <c r="A664" s="71"/>
      <c r="B664" s="209"/>
      <c r="C664" s="71"/>
      <c r="D664" s="209"/>
      <c r="E664" s="71"/>
      <c r="F664" s="209"/>
      <c r="G664" s="71"/>
      <c r="H664" s="209"/>
      <c r="I664" s="28"/>
      <c r="J664" s="209"/>
      <c r="K664" s="65"/>
      <c r="L664" s="65"/>
      <c r="M664" s="65"/>
      <c r="N664" s="65"/>
      <c r="O664" s="65"/>
      <c r="P664" s="65"/>
      <c r="Q664" s="65"/>
      <c r="R664" s="65"/>
      <c r="S664" s="65"/>
      <c r="T664" s="65"/>
      <c r="U664" s="65"/>
      <c r="V664" s="65"/>
      <c r="W664" s="65"/>
    </row>
    <row r="665">
      <c r="A665" s="71"/>
      <c r="B665" s="209"/>
      <c r="C665" s="71"/>
      <c r="D665" s="209"/>
      <c r="E665" s="71"/>
      <c r="F665" s="209"/>
      <c r="G665" s="71"/>
      <c r="H665" s="209"/>
      <c r="I665" s="28"/>
      <c r="J665" s="209"/>
      <c r="K665" s="65"/>
      <c r="L665" s="65"/>
      <c r="M665" s="65"/>
      <c r="N665" s="65"/>
      <c r="O665" s="65"/>
      <c r="P665" s="65"/>
      <c r="Q665" s="65"/>
      <c r="R665" s="65"/>
      <c r="S665" s="65"/>
      <c r="T665" s="65"/>
      <c r="U665" s="65"/>
      <c r="V665" s="65"/>
      <c r="W665" s="65"/>
    </row>
    <row r="666">
      <c r="A666" s="71"/>
      <c r="B666" s="209"/>
      <c r="C666" s="71"/>
      <c r="D666" s="209"/>
      <c r="E666" s="71"/>
      <c r="F666" s="209"/>
      <c r="G666" s="71"/>
      <c r="H666" s="209"/>
      <c r="I666" s="28"/>
      <c r="J666" s="209"/>
      <c r="K666" s="65"/>
      <c r="L666" s="65"/>
      <c r="M666" s="65"/>
      <c r="N666" s="65"/>
      <c r="O666" s="65"/>
      <c r="P666" s="65"/>
      <c r="Q666" s="65"/>
      <c r="R666" s="65"/>
      <c r="S666" s="65"/>
      <c r="T666" s="65"/>
      <c r="U666" s="65"/>
      <c r="V666" s="65"/>
      <c r="W666" s="65"/>
    </row>
    <row r="667">
      <c r="A667" s="71"/>
      <c r="B667" s="209"/>
      <c r="C667" s="71"/>
      <c r="D667" s="209"/>
      <c r="E667" s="71"/>
      <c r="F667" s="209"/>
      <c r="G667" s="71"/>
      <c r="H667" s="209"/>
      <c r="I667" s="28"/>
      <c r="J667" s="209"/>
      <c r="K667" s="65"/>
      <c r="L667" s="65"/>
      <c r="M667" s="65"/>
      <c r="N667" s="65"/>
      <c r="O667" s="65"/>
      <c r="P667" s="65"/>
      <c r="Q667" s="65"/>
      <c r="R667" s="65"/>
      <c r="S667" s="65"/>
      <c r="T667" s="65"/>
      <c r="U667" s="65"/>
      <c r="V667" s="65"/>
      <c r="W667" s="65"/>
    </row>
    <row r="668">
      <c r="A668" s="71"/>
      <c r="B668" s="209"/>
      <c r="C668" s="71"/>
      <c r="D668" s="209"/>
      <c r="E668" s="71"/>
      <c r="F668" s="209"/>
      <c r="G668" s="71"/>
      <c r="H668" s="209"/>
      <c r="I668" s="28"/>
      <c r="J668" s="209"/>
      <c r="K668" s="65"/>
      <c r="L668" s="65"/>
      <c r="M668" s="65"/>
      <c r="N668" s="65"/>
      <c r="O668" s="65"/>
      <c r="P668" s="65"/>
      <c r="Q668" s="65"/>
      <c r="R668" s="65"/>
      <c r="S668" s="65"/>
      <c r="T668" s="65"/>
      <c r="U668" s="65"/>
      <c r="V668" s="65"/>
      <c r="W668" s="65"/>
    </row>
    <row r="669">
      <c r="A669" s="71"/>
      <c r="B669" s="209"/>
      <c r="C669" s="71"/>
      <c r="D669" s="209"/>
      <c r="E669" s="71"/>
      <c r="F669" s="209"/>
      <c r="G669" s="71"/>
      <c r="H669" s="209"/>
      <c r="I669" s="28"/>
      <c r="J669" s="209"/>
      <c r="K669" s="65"/>
      <c r="L669" s="65"/>
      <c r="M669" s="65"/>
      <c r="N669" s="65"/>
      <c r="O669" s="65"/>
      <c r="P669" s="65"/>
      <c r="Q669" s="65"/>
      <c r="R669" s="65"/>
      <c r="S669" s="65"/>
      <c r="T669" s="65"/>
      <c r="U669" s="65"/>
      <c r="V669" s="65"/>
      <c r="W669" s="65"/>
    </row>
    <row r="670">
      <c r="A670" s="71"/>
      <c r="B670" s="209"/>
      <c r="C670" s="71"/>
      <c r="D670" s="209"/>
      <c r="E670" s="71"/>
      <c r="F670" s="209"/>
      <c r="G670" s="71"/>
      <c r="H670" s="209"/>
      <c r="I670" s="28"/>
      <c r="J670" s="209"/>
      <c r="K670" s="65"/>
      <c r="L670" s="65"/>
      <c r="M670" s="65"/>
      <c r="N670" s="65"/>
      <c r="O670" s="65"/>
      <c r="P670" s="65"/>
      <c r="Q670" s="65"/>
      <c r="R670" s="65"/>
      <c r="S670" s="65"/>
      <c r="T670" s="65"/>
      <c r="U670" s="65"/>
      <c r="V670" s="65"/>
      <c r="W670" s="65"/>
    </row>
    <row r="671">
      <c r="A671" s="71"/>
      <c r="B671" s="209"/>
      <c r="C671" s="71"/>
      <c r="D671" s="209"/>
      <c r="E671" s="71"/>
      <c r="F671" s="209"/>
      <c r="G671" s="71"/>
      <c r="H671" s="209"/>
      <c r="I671" s="28"/>
      <c r="J671" s="209"/>
      <c r="K671" s="65"/>
      <c r="L671" s="65"/>
      <c r="M671" s="65"/>
      <c r="N671" s="65"/>
      <c r="O671" s="65"/>
      <c r="P671" s="65"/>
      <c r="Q671" s="65"/>
      <c r="R671" s="65"/>
      <c r="S671" s="65"/>
      <c r="T671" s="65"/>
      <c r="U671" s="65"/>
      <c r="V671" s="65"/>
      <c r="W671" s="65"/>
    </row>
    <row r="672">
      <c r="A672" s="71"/>
      <c r="B672" s="209"/>
      <c r="C672" s="71"/>
      <c r="D672" s="209"/>
      <c r="E672" s="71"/>
      <c r="F672" s="209"/>
      <c r="G672" s="71"/>
      <c r="H672" s="209"/>
      <c r="I672" s="28"/>
      <c r="J672" s="209"/>
      <c r="K672" s="65"/>
      <c r="L672" s="65"/>
      <c r="M672" s="65"/>
      <c r="N672" s="65"/>
      <c r="O672" s="65"/>
      <c r="P672" s="65"/>
      <c r="Q672" s="65"/>
      <c r="R672" s="65"/>
      <c r="S672" s="65"/>
      <c r="T672" s="65"/>
      <c r="U672" s="65"/>
      <c r="V672" s="65"/>
      <c r="W672" s="65"/>
    </row>
    <row r="673">
      <c r="A673" s="71"/>
      <c r="B673" s="209"/>
      <c r="C673" s="71"/>
      <c r="D673" s="209"/>
      <c r="E673" s="71"/>
      <c r="F673" s="209"/>
      <c r="G673" s="71"/>
      <c r="H673" s="209"/>
      <c r="I673" s="28"/>
      <c r="J673" s="209"/>
      <c r="K673" s="65"/>
      <c r="L673" s="65"/>
      <c r="M673" s="65"/>
      <c r="N673" s="65"/>
      <c r="O673" s="65"/>
      <c r="P673" s="65"/>
      <c r="Q673" s="65"/>
      <c r="R673" s="65"/>
      <c r="S673" s="65"/>
      <c r="T673" s="65"/>
      <c r="U673" s="65"/>
      <c r="V673" s="65"/>
      <c r="W673" s="65"/>
    </row>
    <row r="674">
      <c r="A674" s="71"/>
      <c r="B674" s="209"/>
      <c r="C674" s="71"/>
      <c r="D674" s="209"/>
      <c r="E674" s="71"/>
      <c r="F674" s="209"/>
      <c r="G674" s="71"/>
      <c r="H674" s="209"/>
      <c r="I674" s="28"/>
      <c r="J674" s="209"/>
      <c r="K674" s="65"/>
      <c r="L674" s="65"/>
      <c r="M674" s="65"/>
      <c r="N674" s="65"/>
      <c r="O674" s="65"/>
      <c r="P674" s="65"/>
      <c r="Q674" s="65"/>
      <c r="R674" s="65"/>
      <c r="S674" s="65"/>
      <c r="T674" s="65"/>
      <c r="U674" s="65"/>
      <c r="V674" s="65"/>
      <c r="W674" s="65"/>
    </row>
    <row r="675">
      <c r="A675" s="71"/>
      <c r="B675" s="209"/>
      <c r="C675" s="71"/>
      <c r="D675" s="209"/>
      <c r="E675" s="71"/>
      <c r="F675" s="209"/>
      <c r="G675" s="71"/>
      <c r="H675" s="209"/>
      <c r="I675" s="28"/>
      <c r="J675" s="209"/>
      <c r="K675" s="65"/>
      <c r="L675" s="65"/>
      <c r="M675" s="65"/>
      <c r="N675" s="65"/>
      <c r="O675" s="65"/>
      <c r="P675" s="65"/>
      <c r="Q675" s="65"/>
      <c r="R675" s="65"/>
      <c r="S675" s="65"/>
      <c r="T675" s="65"/>
      <c r="U675" s="65"/>
      <c r="V675" s="65"/>
      <c r="W675" s="65"/>
    </row>
    <row r="676">
      <c r="A676" s="71"/>
      <c r="B676" s="209"/>
      <c r="C676" s="71"/>
      <c r="D676" s="209"/>
      <c r="E676" s="71"/>
      <c r="F676" s="209"/>
      <c r="G676" s="71"/>
      <c r="H676" s="209"/>
      <c r="I676" s="28"/>
      <c r="J676" s="209"/>
      <c r="K676" s="65"/>
      <c r="L676" s="65"/>
      <c r="M676" s="65"/>
      <c r="N676" s="65"/>
      <c r="O676" s="65"/>
      <c r="P676" s="65"/>
      <c r="Q676" s="65"/>
      <c r="R676" s="65"/>
      <c r="S676" s="65"/>
      <c r="T676" s="65"/>
      <c r="U676" s="65"/>
      <c r="V676" s="65"/>
      <c r="W676" s="65"/>
    </row>
    <row r="677">
      <c r="A677" s="71"/>
      <c r="B677" s="209"/>
      <c r="C677" s="71"/>
      <c r="D677" s="209"/>
      <c r="E677" s="71"/>
      <c r="F677" s="209"/>
      <c r="G677" s="71"/>
      <c r="H677" s="209"/>
      <c r="I677" s="28"/>
      <c r="J677" s="209"/>
      <c r="K677" s="65"/>
      <c r="L677" s="65"/>
      <c r="M677" s="65"/>
      <c r="N677" s="65"/>
      <c r="O677" s="65"/>
      <c r="P677" s="65"/>
      <c r="Q677" s="65"/>
      <c r="R677" s="65"/>
      <c r="S677" s="65"/>
      <c r="T677" s="65"/>
      <c r="U677" s="65"/>
      <c r="V677" s="65"/>
      <c r="W677" s="65"/>
    </row>
    <row r="678">
      <c r="A678" s="71"/>
      <c r="B678" s="209"/>
      <c r="C678" s="71"/>
      <c r="D678" s="209"/>
      <c r="E678" s="71"/>
      <c r="F678" s="209"/>
      <c r="G678" s="71"/>
      <c r="H678" s="209"/>
      <c r="I678" s="28"/>
      <c r="J678" s="209"/>
      <c r="K678" s="65"/>
      <c r="L678" s="65"/>
      <c r="M678" s="65"/>
      <c r="N678" s="65"/>
      <c r="O678" s="65"/>
      <c r="P678" s="65"/>
      <c r="Q678" s="65"/>
      <c r="R678" s="65"/>
      <c r="S678" s="65"/>
      <c r="T678" s="65"/>
      <c r="U678" s="65"/>
      <c r="V678" s="65"/>
      <c r="W678" s="65"/>
    </row>
    <row r="679">
      <c r="A679" s="71"/>
      <c r="B679" s="209"/>
      <c r="C679" s="71"/>
      <c r="D679" s="209"/>
      <c r="E679" s="71"/>
      <c r="F679" s="209"/>
      <c r="G679" s="71"/>
      <c r="H679" s="209"/>
      <c r="I679" s="28"/>
      <c r="J679" s="209"/>
      <c r="K679" s="65"/>
      <c r="L679" s="65"/>
      <c r="M679" s="65"/>
      <c r="N679" s="65"/>
      <c r="O679" s="65"/>
      <c r="P679" s="65"/>
      <c r="Q679" s="65"/>
      <c r="R679" s="65"/>
      <c r="S679" s="65"/>
      <c r="T679" s="65"/>
      <c r="U679" s="65"/>
      <c r="V679" s="65"/>
      <c r="W679" s="65"/>
    </row>
    <row r="680">
      <c r="A680" s="71"/>
      <c r="B680" s="209"/>
      <c r="C680" s="71"/>
      <c r="D680" s="209"/>
      <c r="E680" s="71"/>
      <c r="F680" s="209"/>
      <c r="G680" s="71"/>
      <c r="H680" s="209"/>
      <c r="I680" s="28"/>
      <c r="J680" s="209"/>
      <c r="K680" s="65"/>
      <c r="L680" s="65"/>
      <c r="M680" s="65"/>
      <c r="N680" s="65"/>
      <c r="O680" s="65"/>
      <c r="P680" s="65"/>
      <c r="Q680" s="65"/>
      <c r="R680" s="65"/>
      <c r="S680" s="65"/>
      <c r="T680" s="65"/>
      <c r="U680" s="65"/>
      <c r="V680" s="65"/>
      <c r="W680" s="65"/>
    </row>
    <row r="681">
      <c r="A681" s="71"/>
      <c r="B681" s="209"/>
      <c r="C681" s="71"/>
      <c r="D681" s="209"/>
      <c r="E681" s="71"/>
      <c r="F681" s="209"/>
      <c r="G681" s="71"/>
      <c r="H681" s="209"/>
      <c r="I681" s="28"/>
      <c r="J681" s="209"/>
      <c r="K681" s="65"/>
      <c r="L681" s="65"/>
      <c r="M681" s="65"/>
      <c r="N681" s="65"/>
      <c r="O681" s="65"/>
      <c r="P681" s="65"/>
      <c r="Q681" s="65"/>
      <c r="R681" s="65"/>
      <c r="S681" s="65"/>
      <c r="T681" s="65"/>
      <c r="U681" s="65"/>
      <c r="V681" s="65"/>
      <c r="W681" s="65"/>
    </row>
    <row r="682">
      <c r="A682" s="71"/>
      <c r="B682" s="209"/>
      <c r="C682" s="71"/>
      <c r="D682" s="209"/>
      <c r="E682" s="71"/>
      <c r="F682" s="209"/>
      <c r="G682" s="71"/>
      <c r="H682" s="209"/>
      <c r="I682" s="28"/>
      <c r="J682" s="209"/>
      <c r="K682" s="65"/>
      <c r="L682" s="65"/>
      <c r="M682" s="65"/>
      <c r="N682" s="65"/>
      <c r="O682" s="65"/>
      <c r="P682" s="65"/>
      <c r="Q682" s="65"/>
      <c r="R682" s="65"/>
      <c r="S682" s="65"/>
      <c r="T682" s="65"/>
      <c r="U682" s="65"/>
      <c r="V682" s="65"/>
      <c r="W682" s="65"/>
    </row>
    <row r="683">
      <c r="A683" s="71"/>
      <c r="B683" s="209"/>
      <c r="C683" s="71"/>
      <c r="D683" s="209"/>
      <c r="E683" s="71"/>
      <c r="F683" s="209"/>
      <c r="G683" s="71"/>
      <c r="H683" s="209"/>
      <c r="I683" s="28"/>
      <c r="J683" s="209"/>
      <c r="K683" s="65"/>
      <c r="L683" s="65"/>
      <c r="M683" s="65"/>
      <c r="N683" s="65"/>
      <c r="O683" s="65"/>
      <c r="P683" s="65"/>
      <c r="Q683" s="65"/>
      <c r="R683" s="65"/>
      <c r="S683" s="65"/>
      <c r="T683" s="65"/>
      <c r="U683" s="65"/>
      <c r="V683" s="65"/>
      <c r="W683" s="65"/>
    </row>
    <row r="684">
      <c r="A684" s="71"/>
      <c r="B684" s="209"/>
      <c r="C684" s="71"/>
      <c r="D684" s="209"/>
      <c r="E684" s="71"/>
      <c r="F684" s="209"/>
      <c r="G684" s="71"/>
      <c r="H684" s="209"/>
      <c r="I684" s="28"/>
      <c r="J684" s="209"/>
      <c r="K684" s="65"/>
      <c r="L684" s="65"/>
      <c r="M684" s="65"/>
      <c r="N684" s="65"/>
      <c r="O684" s="65"/>
      <c r="P684" s="65"/>
      <c r="Q684" s="65"/>
      <c r="R684" s="65"/>
      <c r="S684" s="65"/>
      <c r="T684" s="65"/>
      <c r="U684" s="65"/>
      <c r="V684" s="65"/>
      <c r="W684" s="65"/>
    </row>
    <row r="685">
      <c r="A685" s="71"/>
      <c r="B685" s="209"/>
      <c r="C685" s="71"/>
      <c r="D685" s="209"/>
      <c r="E685" s="71"/>
      <c r="F685" s="209"/>
      <c r="G685" s="71"/>
      <c r="H685" s="209"/>
      <c r="I685" s="28"/>
      <c r="J685" s="209"/>
      <c r="K685" s="65"/>
      <c r="L685" s="65"/>
      <c r="M685" s="65"/>
      <c r="N685" s="65"/>
      <c r="O685" s="65"/>
      <c r="P685" s="65"/>
      <c r="Q685" s="65"/>
      <c r="R685" s="65"/>
      <c r="S685" s="65"/>
      <c r="T685" s="65"/>
      <c r="U685" s="65"/>
      <c r="V685" s="65"/>
      <c r="W685" s="65"/>
    </row>
    <row r="686">
      <c r="A686" s="71"/>
      <c r="B686" s="209"/>
      <c r="C686" s="71"/>
      <c r="D686" s="209"/>
      <c r="E686" s="71"/>
      <c r="F686" s="209"/>
      <c r="G686" s="71"/>
      <c r="H686" s="209"/>
      <c r="I686" s="28"/>
      <c r="J686" s="209"/>
      <c r="K686" s="65"/>
      <c r="L686" s="65"/>
      <c r="M686" s="65"/>
      <c r="N686" s="65"/>
      <c r="O686" s="65"/>
      <c r="P686" s="65"/>
      <c r="Q686" s="65"/>
      <c r="R686" s="65"/>
      <c r="S686" s="65"/>
      <c r="T686" s="65"/>
      <c r="U686" s="65"/>
      <c r="V686" s="65"/>
      <c r="W686" s="65"/>
    </row>
    <row r="687">
      <c r="A687" s="71"/>
      <c r="B687" s="209"/>
      <c r="C687" s="71"/>
      <c r="D687" s="209"/>
      <c r="E687" s="71"/>
      <c r="F687" s="209"/>
      <c r="G687" s="71"/>
      <c r="H687" s="209"/>
      <c r="I687" s="28"/>
      <c r="J687" s="209"/>
      <c r="K687" s="65"/>
      <c r="L687" s="65"/>
      <c r="M687" s="65"/>
      <c r="N687" s="65"/>
      <c r="O687" s="65"/>
      <c r="P687" s="65"/>
      <c r="Q687" s="65"/>
      <c r="R687" s="65"/>
      <c r="S687" s="65"/>
      <c r="T687" s="65"/>
      <c r="U687" s="65"/>
      <c r="V687" s="65"/>
      <c r="W687" s="65"/>
    </row>
    <row r="688">
      <c r="A688" s="71"/>
      <c r="B688" s="209"/>
      <c r="C688" s="71"/>
      <c r="D688" s="209"/>
      <c r="E688" s="71"/>
      <c r="F688" s="209"/>
      <c r="G688" s="71"/>
      <c r="H688" s="209"/>
      <c r="I688" s="28"/>
      <c r="J688" s="209"/>
      <c r="K688" s="65"/>
      <c r="L688" s="65"/>
      <c r="M688" s="65"/>
      <c r="N688" s="65"/>
      <c r="O688" s="65"/>
      <c r="P688" s="65"/>
      <c r="Q688" s="65"/>
      <c r="R688" s="65"/>
      <c r="S688" s="65"/>
      <c r="T688" s="65"/>
      <c r="U688" s="65"/>
      <c r="V688" s="65"/>
      <c r="W688" s="65"/>
    </row>
    <row r="689">
      <c r="A689" s="71"/>
      <c r="B689" s="209"/>
      <c r="C689" s="71"/>
      <c r="D689" s="209"/>
      <c r="E689" s="71"/>
      <c r="F689" s="209"/>
      <c r="G689" s="71"/>
      <c r="H689" s="209"/>
      <c r="I689" s="28"/>
      <c r="J689" s="209"/>
      <c r="K689" s="65"/>
      <c r="L689" s="65"/>
      <c r="M689" s="65"/>
      <c r="N689" s="65"/>
      <c r="O689" s="65"/>
      <c r="P689" s="65"/>
      <c r="Q689" s="65"/>
      <c r="R689" s="65"/>
      <c r="S689" s="65"/>
      <c r="T689" s="65"/>
      <c r="U689" s="65"/>
      <c r="V689" s="65"/>
      <c r="W689" s="65"/>
    </row>
    <row r="690">
      <c r="A690" s="71"/>
      <c r="B690" s="209"/>
      <c r="C690" s="71"/>
      <c r="D690" s="209"/>
      <c r="E690" s="71"/>
      <c r="F690" s="209"/>
      <c r="G690" s="71"/>
      <c r="H690" s="209"/>
      <c r="I690" s="28"/>
      <c r="J690" s="209"/>
      <c r="K690" s="65"/>
      <c r="L690" s="65"/>
      <c r="M690" s="65"/>
      <c r="N690" s="65"/>
      <c r="O690" s="65"/>
      <c r="P690" s="65"/>
      <c r="Q690" s="65"/>
      <c r="R690" s="65"/>
      <c r="S690" s="65"/>
      <c r="T690" s="65"/>
      <c r="U690" s="65"/>
      <c r="V690" s="65"/>
      <c r="W690" s="65"/>
    </row>
    <row r="691">
      <c r="A691" s="71"/>
      <c r="B691" s="209"/>
      <c r="C691" s="71"/>
      <c r="D691" s="209"/>
      <c r="E691" s="71"/>
      <c r="F691" s="209"/>
      <c r="G691" s="71"/>
      <c r="H691" s="209"/>
      <c r="I691" s="28"/>
      <c r="J691" s="209"/>
      <c r="K691" s="65"/>
      <c r="L691" s="65"/>
      <c r="M691" s="65"/>
      <c r="N691" s="65"/>
      <c r="O691" s="65"/>
      <c r="P691" s="65"/>
      <c r="Q691" s="65"/>
      <c r="R691" s="65"/>
      <c r="S691" s="65"/>
      <c r="T691" s="65"/>
      <c r="U691" s="65"/>
      <c r="V691" s="65"/>
      <c r="W691" s="65"/>
    </row>
    <row r="692">
      <c r="A692" s="71"/>
      <c r="B692" s="209"/>
      <c r="C692" s="71"/>
      <c r="D692" s="209"/>
      <c r="E692" s="71"/>
      <c r="F692" s="209"/>
      <c r="G692" s="71"/>
      <c r="H692" s="209"/>
      <c r="I692" s="28"/>
      <c r="J692" s="209"/>
      <c r="K692" s="65"/>
      <c r="L692" s="65"/>
      <c r="M692" s="65"/>
      <c r="N692" s="65"/>
      <c r="O692" s="65"/>
      <c r="P692" s="65"/>
      <c r="Q692" s="65"/>
      <c r="R692" s="65"/>
      <c r="S692" s="65"/>
      <c r="T692" s="65"/>
      <c r="U692" s="65"/>
      <c r="V692" s="65"/>
      <c r="W692" s="65"/>
    </row>
    <row r="693">
      <c r="A693" s="71"/>
      <c r="B693" s="209"/>
      <c r="C693" s="71"/>
      <c r="D693" s="209"/>
      <c r="E693" s="71"/>
      <c r="F693" s="209"/>
      <c r="G693" s="71"/>
      <c r="H693" s="209"/>
      <c r="I693" s="28"/>
      <c r="J693" s="209"/>
      <c r="K693" s="65"/>
      <c r="L693" s="65"/>
      <c r="M693" s="65"/>
      <c r="N693" s="65"/>
      <c r="O693" s="65"/>
      <c r="P693" s="65"/>
      <c r="Q693" s="65"/>
      <c r="R693" s="65"/>
      <c r="S693" s="65"/>
      <c r="T693" s="65"/>
      <c r="U693" s="65"/>
      <c r="V693" s="65"/>
      <c r="W693" s="65"/>
    </row>
    <row r="694">
      <c r="A694" s="71"/>
      <c r="B694" s="209"/>
      <c r="C694" s="71"/>
      <c r="D694" s="209"/>
      <c r="E694" s="71"/>
      <c r="F694" s="209"/>
      <c r="G694" s="71"/>
      <c r="H694" s="209"/>
      <c r="I694" s="28"/>
      <c r="J694" s="209"/>
      <c r="K694" s="65"/>
      <c r="L694" s="65"/>
      <c r="M694" s="65"/>
      <c r="N694" s="65"/>
      <c r="O694" s="65"/>
      <c r="P694" s="65"/>
      <c r="Q694" s="65"/>
      <c r="R694" s="65"/>
      <c r="S694" s="65"/>
      <c r="T694" s="65"/>
      <c r="U694" s="65"/>
      <c r="V694" s="65"/>
      <c r="W694" s="65"/>
    </row>
    <row r="695">
      <c r="A695" s="71"/>
      <c r="B695" s="209"/>
      <c r="C695" s="71"/>
      <c r="D695" s="209"/>
      <c r="E695" s="71"/>
      <c r="F695" s="209"/>
      <c r="G695" s="71"/>
      <c r="H695" s="209"/>
      <c r="I695" s="28"/>
      <c r="J695" s="209"/>
      <c r="K695" s="65"/>
      <c r="L695" s="65"/>
      <c r="M695" s="65"/>
      <c r="N695" s="65"/>
      <c r="O695" s="65"/>
      <c r="P695" s="65"/>
      <c r="Q695" s="65"/>
      <c r="R695" s="65"/>
      <c r="S695" s="65"/>
      <c r="T695" s="65"/>
      <c r="U695" s="65"/>
      <c r="V695" s="65"/>
      <c r="W695" s="65"/>
    </row>
    <row r="696">
      <c r="A696" s="71"/>
      <c r="B696" s="209"/>
      <c r="C696" s="71"/>
      <c r="D696" s="209"/>
      <c r="E696" s="71"/>
      <c r="F696" s="209"/>
      <c r="G696" s="71"/>
      <c r="H696" s="209"/>
      <c r="I696" s="28"/>
      <c r="J696" s="209"/>
      <c r="K696" s="65"/>
      <c r="L696" s="65"/>
      <c r="M696" s="65"/>
      <c r="N696" s="65"/>
      <c r="O696" s="65"/>
      <c r="P696" s="65"/>
      <c r="Q696" s="65"/>
      <c r="R696" s="65"/>
      <c r="S696" s="65"/>
      <c r="T696" s="65"/>
      <c r="U696" s="65"/>
      <c r="V696" s="65"/>
      <c r="W696" s="65"/>
    </row>
    <row r="697">
      <c r="A697" s="71"/>
      <c r="B697" s="209"/>
      <c r="C697" s="71"/>
      <c r="D697" s="209"/>
      <c r="E697" s="71"/>
      <c r="F697" s="209"/>
      <c r="G697" s="71"/>
      <c r="H697" s="209"/>
      <c r="I697" s="28"/>
      <c r="J697" s="209"/>
      <c r="K697" s="65"/>
      <c r="L697" s="65"/>
      <c r="M697" s="65"/>
      <c r="N697" s="65"/>
      <c r="O697" s="65"/>
      <c r="P697" s="65"/>
      <c r="Q697" s="65"/>
      <c r="R697" s="65"/>
      <c r="S697" s="65"/>
      <c r="T697" s="65"/>
      <c r="U697" s="65"/>
      <c r="V697" s="65"/>
      <c r="W697" s="65"/>
    </row>
    <row r="698">
      <c r="A698" s="71"/>
      <c r="B698" s="209"/>
      <c r="C698" s="71"/>
      <c r="D698" s="209"/>
      <c r="E698" s="71"/>
      <c r="F698" s="209"/>
      <c r="G698" s="71"/>
      <c r="H698" s="209"/>
      <c r="I698" s="28"/>
      <c r="J698" s="209"/>
      <c r="K698" s="65"/>
      <c r="L698" s="65"/>
      <c r="M698" s="65"/>
      <c r="N698" s="65"/>
      <c r="O698" s="65"/>
      <c r="P698" s="65"/>
      <c r="Q698" s="65"/>
      <c r="R698" s="65"/>
      <c r="S698" s="65"/>
      <c r="T698" s="65"/>
      <c r="U698" s="65"/>
      <c r="V698" s="65"/>
      <c r="W698" s="65"/>
    </row>
    <row r="699">
      <c r="A699" s="71"/>
      <c r="B699" s="209"/>
      <c r="C699" s="71"/>
      <c r="D699" s="209"/>
      <c r="E699" s="71"/>
      <c r="F699" s="209"/>
      <c r="G699" s="71"/>
      <c r="H699" s="209"/>
      <c r="I699" s="28"/>
      <c r="J699" s="209"/>
      <c r="K699" s="65"/>
      <c r="L699" s="65"/>
      <c r="M699" s="65"/>
      <c r="N699" s="65"/>
      <c r="O699" s="65"/>
      <c r="P699" s="65"/>
      <c r="Q699" s="65"/>
      <c r="R699" s="65"/>
      <c r="S699" s="65"/>
      <c r="T699" s="65"/>
      <c r="U699" s="65"/>
      <c r="V699" s="65"/>
      <c r="W699" s="65"/>
    </row>
    <row r="700">
      <c r="A700" s="71"/>
      <c r="B700" s="209"/>
      <c r="C700" s="71"/>
      <c r="D700" s="209"/>
      <c r="E700" s="71"/>
      <c r="F700" s="209"/>
      <c r="G700" s="71"/>
      <c r="H700" s="209"/>
      <c r="I700" s="28"/>
      <c r="J700" s="209"/>
      <c r="K700" s="65"/>
      <c r="L700" s="65"/>
      <c r="M700" s="65"/>
      <c r="N700" s="65"/>
      <c r="O700" s="65"/>
      <c r="P700" s="65"/>
      <c r="Q700" s="65"/>
      <c r="R700" s="65"/>
      <c r="S700" s="65"/>
      <c r="T700" s="65"/>
      <c r="U700" s="65"/>
      <c r="V700" s="65"/>
      <c r="W700" s="65"/>
    </row>
    <row r="701">
      <c r="A701" s="71"/>
      <c r="B701" s="209"/>
      <c r="C701" s="71"/>
      <c r="D701" s="209"/>
      <c r="E701" s="71"/>
      <c r="F701" s="209"/>
      <c r="G701" s="71"/>
      <c r="H701" s="209"/>
      <c r="I701" s="28"/>
      <c r="J701" s="209"/>
      <c r="K701" s="65"/>
      <c r="L701" s="65"/>
      <c r="M701" s="65"/>
      <c r="N701" s="65"/>
      <c r="O701" s="65"/>
      <c r="P701" s="65"/>
      <c r="Q701" s="65"/>
      <c r="R701" s="65"/>
      <c r="S701" s="65"/>
      <c r="T701" s="65"/>
      <c r="U701" s="65"/>
      <c r="V701" s="65"/>
      <c r="W701" s="65"/>
    </row>
    <row r="702">
      <c r="A702" s="71"/>
      <c r="B702" s="209"/>
      <c r="C702" s="71"/>
      <c r="D702" s="209"/>
      <c r="E702" s="71"/>
      <c r="F702" s="209"/>
      <c r="G702" s="71"/>
      <c r="H702" s="209"/>
      <c r="I702" s="28"/>
      <c r="J702" s="209"/>
      <c r="K702" s="65"/>
      <c r="L702" s="65"/>
      <c r="M702" s="65"/>
      <c r="N702" s="65"/>
      <c r="O702" s="65"/>
      <c r="P702" s="65"/>
      <c r="Q702" s="65"/>
      <c r="R702" s="65"/>
      <c r="S702" s="65"/>
      <c r="T702" s="65"/>
      <c r="U702" s="65"/>
      <c r="V702" s="65"/>
      <c r="W702" s="65"/>
    </row>
    <row r="703">
      <c r="A703" s="71"/>
      <c r="B703" s="209"/>
      <c r="C703" s="71"/>
      <c r="D703" s="209"/>
      <c r="E703" s="71"/>
      <c r="F703" s="209"/>
      <c r="G703" s="71"/>
      <c r="H703" s="209"/>
      <c r="I703" s="28"/>
      <c r="J703" s="209"/>
      <c r="K703" s="65"/>
      <c r="L703" s="65"/>
      <c r="M703" s="65"/>
      <c r="N703" s="65"/>
      <c r="O703" s="65"/>
      <c r="P703" s="65"/>
      <c r="Q703" s="65"/>
      <c r="R703" s="65"/>
      <c r="S703" s="65"/>
      <c r="T703" s="65"/>
      <c r="U703" s="65"/>
      <c r="V703" s="65"/>
      <c r="W703" s="65"/>
    </row>
    <row r="704">
      <c r="A704" s="71"/>
      <c r="B704" s="209"/>
      <c r="C704" s="71"/>
      <c r="D704" s="209"/>
      <c r="E704" s="71"/>
      <c r="F704" s="209"/>
      <c r="G704" s="71"/>
      <c r="H704" s="209"/>
      <c r="I704" s="28"/>
      <c r="J704" s="209"/>
      <c r="K704" s="65"/>
      <c r="L704" s="65"/>
      <c r="M704" s="65"/>
      <c r="N704" s="65"/>
      <c r="O704" s="65"/>
      <c r="P704" s="65"/>
      <c r="Q704" s="65"/>
      <c r="R704" s="65"/>
      <c r="S704" s="65"/>
      <c r="T704" s="65"/>
      <c r="U704" s="65"/>
      <c r="V704" s="65"/>
      <c r="W704" s="65"/>
    </row>
    <row r="705">
      <c r="A705" s="71"/>
      <c r="B705" s="209"/>
      <c r="C705" s="71"/>
      <c r="D705" s="209"/>
      <c r="E705" s="71"/>
      <c r="F705" s="209"/>
      <c r="G705" s="71"/>
      <c r="H705" s="209"/>
      <c r="I705" s="28"/>
      <c r="J705" s="209"/>
      <c r="K705" s="65"/>
      <c r="L705" s="65"/>
      <c r="M705" s="65"/>
      <c r="N705" s="65"/>
      <c r="O705" s="65"/>
      <c r="P705" s="65"/>
      <c r="Q705" s="65"/>
      <c r="R705" s="65"/>
      <c r="S705" s="65"/>
      <c r="T705" s="65"/>
      <c r="U705" s="65"/>
      <c r="V705" s="65"/>
      <c r="W705" s="65"/>
    </row>
    <row r="706">
      <c r="A706" s="71"/>
      <c r="B706" s="209"/>
      <c r="C706" s="71"/>
      <c r="D706" s="209"/>
      <c r="E706" s="71"/>
      <c r="F706" s="209"/>
      <c r="G706" s="71"/>
      <c r="H706" s="209"/>
      <c r="I706" s="28"/>
      <c r="J706" s="209"/>
      <c r="K706" s="65"/>
      <c r="L706" s="65"/>
      <c r="M706" s="65"/>
      <c r="N706" s="65"/>
      <c r="O706" s="65"/>
      <c r="P706" s="65"/>
      <c r="Q706" s="65"/>
      <c r="R706" s="65"/>
      <c r="S706" s="65"/>
      <c r="T706" s="65"/>
      <c r="U706" s="65"/>
      <c r="V706" s="65"/>
      <c r="W706" s="65"/>
    </row>
    <row r="707">
      <c r="A707" s="71"/>
      <c r="B707" s="209"/>
      <c r="C707" s="71"/>
      <c r="D707" s="209"/>
      <c r="E707" s="71"/>
      <c r="F707" s="209"/>
      <c r="G707" s="71"/>
      <c r="H707" s="209"/>
      <c r="I707" s="28"/>
      <c r="J707" s="209"/>
      <c r="K707" s="65"/>
      <c r="L707" s="65"/>
      <c r="M707" s="65"/>
      <c r="N707" s="65"/>
      <c r="O707" s="65"/>
      <c r="P707" s="65"/>
      <c r="Q707" s="65"/>
      <c r="R707" s="65"/>
      <c r="S707" s="65"/>
      <c r="T707" s="65"/>
      <c r="U707" s="65"/>
      <c r="V707" s="65"/>
      <c r="W707" s="65"/>
    </row>
    <row r="708">
      <c r="A708" s="71"/>
      <c r="B708" s="209"/>
      <c r="C708" s="71"/>
      <c r="D708" s="209"/>
      <c r="E708" s="71"/>
      <c r="F708" s="209"/>
      <c r="G708" s="71"/>
      <c r="H708" s="209"/>
      <c r="I708" s="28"/>
      <c r="J708" s="209"/>
      <c r="K708" s="65"/>
      <c r="L708" s="65"/>
      <c r="M708" s="65"/>
      <c r="N708" s="65"/>
      <c r="O708" s="65"/>
      <c r="P708" s="65"/>
      <c r="Q708" s="65"/>
      <c r="R708" s="65"/>
      <c r="S708" s="65"/>
      <c r="T708" s="65"/>
      <c r="U708" s="65"/>
      <c r="V708" s="65"/>
      <c r="W708" s="65"/>
    </row>
    <row r="709">
      <c r="A709" s="71"/>
      <c r="B709" s="209"/>
      <c r="C709" s="71"/>
      <c r="D709" s="209"/>
      <c r="E709" s="71"/>
      <c r="F709" s="209"/>
      <c r="G709" s="71"/>
      <c r="H709" s="209"/>
      <c r="I709" s="28"/>
      <c r="J709" s="209"/>
      <c r="K709" s="65"/>
      <c r="L709" s="65"/>
      <c r="M709" s="65"/>
      <c r="N709" s="65"/>
      <c r="O709" s="65"/>
      <c r="P709" s="65"/>
      <c r="Q709" s="65"/>
      <c r="R709" s="65"/>
      <c r="S709" s="65"/>
      <c r="T709" s="65"/>
      <c r="U709" s="65"/>
      <c r="V709" s="65"/>
      <c r="W709" s="65"/>
    </row>
    <row r="710">
      <c r="A710" s="71"/>
      <c r="B710" s="209"/>
      <c r="C710" s="71"/>
      <c r="D710" s="209"/>
      <c r="E710" s="71"/>
      <c r="F710" s="209"/>
      <c r="G710" s="71"/>
      <c r="H710" s="209"/>
      <c r="I710" s="28"/>
      <c r="J710" s="209"/>
      <c r="K710" s="65"/>
      <c r="L710" s="65"/>
      <c r="M710" s="65"/>
      <c r="N710" s="65"/>
      <c r="O710" s="65"/>
      <c r="P710" s="65"/>
      <c r="Q710" s="65"/>
      <c r="R710" s="65"/>
      <c r="S710" s="65"/>
      <c r="T710" s="65"/>
      <c r="U710" s="65"/>
      <c r="V710" s="65"/>
      <c r="W710" s="65"/>
    </row>
    <row r="711">
      <c r="A711" s="71"/>
      <c r="B711" s="209"/>
      <c r="C711" s="71"/>
      <c r="D711" s="209"/>
      <c r="E711" s="71"/>
      <c r="F711" s="209"/>
      <c r="G711" s="71"/>
      <c r="H711" s="209"/>
      <c r="I711" s="28"/>
      <c r="J711" s="209"/>
      <c r="K711" s="65"/>
      <c r="L711" s="65"/>
      <c r="M711" s="65"/>
      <c r="N711" s="65"/>
      <c r="O711" s="65"/>
      <c r="P711" s="65"/>
      <c r="Q711" s="65"/>
      <c r="R711" s="65"/>
      <c r="S711" s="65"/>
      <c r="T711" s="65"/>
      <c r="U711" s="65"/>
      <c r="V711" s="65"/>
      <c r="W711" s="65"/>
    </row>
    <row r="712">
      <c r="A712" s="71"/>
      <c r="B712" s="209"/>
      <c r="C712" s="71"/>
      <c r="D712" s="209"/>
      <c r="E712" s="71"/>
      <c r="F712" s="209"/>
      <c r="G712" s="71"/>
      <c r="H712" s="209"/>
      <c r="I712" s="28"/>
      <c r="J712" s="209"/>
      <c r="K712" s="65"/>
      <c r="L712" s="65"/>
      <c r="M712" s="65"/>
      <c r="N712" s="65"/>
      <c r="O712" s="65"/>
      <c r="P712" s="65"/>
      <c r="Q712" s="65"/>
      <c r="R712" s="65"/>
      <c r="S712" s="65"/>
      <c r="T712" s="65"/>
      <c r="U712" s="65"/>
      <c r="V712" s="65"/>
      <c r="W712" s="65"/>
    </row>
    <row r="713">
      <c r="A713" s="71"/>
      <c r="B713" s="209"/>
      <c r="C713" s="71"/>
      <c r="D713" s="209"/>
      <c r="E713" s="71"/>
      <c r="F713" s="209"/>
      <c r="G713" s="71"/>
      <c r="H713" s="209"/>
      <c r="I713" s="28"/>
      <c r="J713" s="209"/>
      <c r="K713" s="65"/>
      <c r="L713" s="65"/>
      <c r="M713" s="65"/>
      <c r="N713" s="65"/>
      <c r="O713" s="65"/>
      <c r="P713" s="65"/>
      <c r="Q713" s="65"/>
      <c r="R713" s="65"/>
      <c r="S713" s="65"/>
      <c r="T713" s="65"/>
      <c r="U713" s="65"/>
      <c r="V713" s="65"/>
      <c r="W713" s="65"/>
    </row>
    <row r="714">
      <c r="A714" s="71"/>
      <c r="B714" s="209"/>
      <c r="C714" s="71"/>
      <c r="D714" s="209"/>
      <c r="E714" s="71"/>
      <c r="F714" s="209"/>
      <c r="G714" s="71"/>
      <c r="H714" s="209"/>
      <c r="I714" s="28"/>
      <c r="J714" s="209"/>
      <c r="K714" s="65"/>
      <c r="L714" s="65"/>
      <c r="M714" s="65"/>
      <c r="N714" s="65"/>
      <c r="O714" s="65"/>
      <c r="P714" s="65"/>
      <c r="Q714" s="65"/>
      <c r="R714" s="65"/>
      <c r="S714" s="65"/>
      <c r="T714" s="65"/>
      <c r="U714" s="65"/>
      <c r="V714" s="65"/>
      <c r="W714" s="65"/>
    </row>
    <row r="715">
      <c r="A715" s="71"/>
      <c r="B715" s="209"/>
      <c r="C715" s="71"/>
      <c r="D715" s="209"/>
      <c r="E715" s="71"/>
      <c r="F715" s="209"/>
      <c r="G715" s="71"/>
      <c r="H715" s="209"/>
      <c r="I715" s="28"/>
      <c r="J715" s="209"/>
      <c r="K715" s="65"/>
      <c r="L715" s="65"/>
      <c r="M715" s="65"/>
      <c r="N715" s="65"/>
      <c r="O715" s="65"/>
      <c r="P715" s="65"/>
      <c r="Q715" s="65"/>
      <c r="R715" s="65"/>
      <c r="S715" s="65"/>
      <c r="T715" s="65"/>
      <c r="U715" s="65"/>
      <c r="V715" s="65"/>
      <c r="W715" s="65"/>
    </row>
    <row r="716">
      <c r="A716" s="71"/>
      <c r="B716" s="209"/>
      <c r="C716" s="71"/>
      <c r="D716" s="209"/>
      <c r="E716" s="71"/>
      <c r="F716" s="209"/>
      <c r="G716" s="71"/>
      <c r="H716" s="209"/>
      <c r="I716" s="28"/>
      <c r="J716" s="209"/>
      <c r="K716" s="65"/>
      <c r="L716" s="65"/>
      <c r="M716" s="65"/>
      <c r="N716" s="65"/>
      <c r="O716" s="65"/>
      <c r="P716" s="65"/>
      <c r="Q716" s="65"/>
      <c r="R716" s="65"/>
      <c r="S716" s="65"/>
      <c r="T716" s="65"/>
      <c r="U716" s="65"/>
      <c r="V716" s="65"/>
      <c r="W716" s="65"/>
    </row>
    <row r="717">
      <c r="A717" s="71"/>
      <c r="B717" s="209"/>
      <c r="C717" s="71"/>
      <c r="D717" s="209"/>
      <c r="E717" s="71"/>
      <c r="F717" s="209"/>
      <c r="G717" s="71"/>
      <c r="H717" s="209"/>
      <c r="I717" s="28"/>
      <c r="J717" s="209"/>
      <c r="K717" s="65"/>
      <c r="L717" s="65"/>
      <c r="M717" s="65"/>
      <c r="N717" s="65"/>
      <c r="O717" s="65"/>
      <c r="P717" s="65"/>
      <c r="Q717" s="65"/>
      <c r="R717" s="65"/>
      <c r="S717" s="65"/>
      <c r="T717" s="65"/>
      <c r="U717" s="65"/>
      <c r="V717" s="65"/>
      <c r="W717" s="65"/>
    </row>
    <row r="718">
      <c r="A718" s="71"/>
      <c r="B718" s="209"/>
      <c r="C718" s="71"/>
      <c r="D718" s="209"/>
      <c r="E718" s="71"/>
      <c r="F718" s="209"/>
      <c r="G718" s="71"/>
      <c r="H718" s="209"/>
      <c r="I718" s="28"/>
      <c r="J718" s="209"/>
      <c r="K718" s="65"/>
      <c r="L718" s="65"/>
      <c r="M718" s="65"/>
      <c r="N718" s="65"/>
      <c r="O718" s="65"/>
      <c r="P718" s="65"/>
      <c r="Q718" s="65"/>
      <c r="R718" s="65"/>
      <c r="S718" s="65"/>
      <c r="T718" s="65"/>
      <c r="U718" s="65"/>
      <c r="V718" s="65"/>
      <c r="W718" s="65"/>
    </row>
    <row r="719">
      <c r="A719" s="71"/>
      <c r="B719" s="209"/>
      <c r="C719" s="71"/>
      <c r="D719" s="209"/>
      <c r="E719" s="71"/>
      <c r="F719" s="209"/>
      <c r="G719" s="71"/>
      <c r="H719" s="209"/>
      <c r="I719" s="28"/>
      <c r="J719" s="209"/>
      <c r="K719" s="65"/>
      <c r="L719" s="65"/>
      <c r="M719" s="65"/>
      <c r="N719" s="65"/>
      <c r="O719" s="65"/>
      <c r="P719" s="65"/>
      <c r="Q719" s="65"/>
      <c r="R719" s="65"/>
      <c r="S719" s="65"/>
      <c r="T719" s="65"/>
      <c r="U719" s="65"/>
      <c r="V719" s="65"/>
      <c r="W719" s="65"/>
    </row>
    <row r="720">
      <c r="A720" s="71"/>
      <c r="B720" s="209"/>
      <c r="C720" s="71"/>
      <c r="D720" s="209"/>
      <c r="E720" s="71"/>
      <c r="F720" s="209"/>
      <c r="G720" s="71"/>
      <c r="H720" s="209"/>
      <c r="I720" s="28"/>
      <c r="J720" s="209"/>
      <c r="K720" s="65"/>
      <c r="L720" s="65"/>
      <c r="M720" s="65"/>
      <c r="N720" s="65"/>
      <c r="O720" s="65"/>
      <c r="P720" s="65"/>
      <c r="Q720" s="65"/>
      <c r="R720" s="65"/>
      <c r="S720" s="65"/>
      <c r="T720" s="65"/>
      <c r="U720" s="65"/>
      <c r="V720" s="65"/>
      <c r="W720" s="65"/>
    </row>
    <row r="721">
      <c r="A721" s="71"/>
      <c r="B721" s="209"/>
      <c r="C721" s="71"/>
      <c r="D721" s="209"/>
      <c r="E721" s="71"/>
      <c r="F721" s="209"/>
      <c r="G721" s="71"/>
      <c r="H721" s="209"/>
      <c r="I721" s="28"/>
      <c r="J721" s="209"/>
      <c r="K721" s="65"/>
      <c r="L721" s="65"/>
      <c r="M721" s="65"/>
      <c r="N721" s="65"/>
      <c r="O721" s="65"/>
      <c r="P721" s="65"/>
      <c r="Q721" s="65"/>
      <c r="R721" s="65"/>
      <c r="S721" s="65"/>
      <c r="T721" s="65"/>
      <c r="U721" s="65"/>
      <c r="V721" s="65"/>
      <c r="W721" s="65"/>
    </row>
    <row r="722">
      <c r="A722" s="71"/>
      <c r="B722" s="209"/>
      <c r="C722" s="71"/>
      <c r="D722" s="209"/>
      <c r="E722" s="71"/>
      <c r="F722" s="209"/>
      <c r="G722" s="71"/>
      <c r="H722" s="209"/>
      <c r="I722" s="28"/>
      <c r="J722" s="209"/>
      <c r="K722" s="65"/>
      <c r="L722" s="65"/>
      <c r="M722" s="65"/>
      <c r="N722" s="65"/>
      <c r="O722" s="65"/>
      <c r="P722" s="65"/>
      <c r="Q722" s="65"/>
      <c r="R722" s="65"/>
      <c r="S722" s="65"/>
      <c r="T722" s="65"/>
      <c r="U722" s="65"/>
      <c r="V722" s="65"/>
      <c r="W722" s="65"/>
    </row>
    <row r="723">
      <c r="A723" s="71"/>
      <c r="B723" s="209"/>
      <c r="C723" s="71"/>
      <c r="D723" s="209"/>
      <c r="E723" s="71"/>
      <c r="F723" s="209"/>
      <c r="G723" s="71"/>
      <c r="H723" s="209"/>
      <c r="I723" s="28"/>
      <c r="J723" s="209"/>
      <c r="K723" s="65"/>
      <c r="L723" s="65"/>
      <c r="M723" s="65"/>
      <c r="N723" s="65"/>
      <c r="O723" s="65"/>
      <c r="P723" s="65"/>
      <c r="Q723" s="65"/>
      <c r="R723" s="65"/>
      <c r="S723" s="65"/>
      <c r="T723" s="65"/>
      <c r="U723" s="65"/>
      <c r="V723" s="65"/>
      <c r="W723" s="65"/>
    </row>
    <row r="724">
      <c r="A724" s="71"/>
      <c r="B724" s="209"/>
      <c r="C724" s="71"/>
      <c r="D724" s="209"/>
      <c r="E724" s="71"/>
      <c r="F724" s="209"/>
      <c r="G724" s="71"/>
      <c r="H724" s="209"/>
      <c r="I724" s="28"/>
      <c r="J724" s="209"/>
      <c r="K724" s="65"/>
      <c r="L724" s="65"/>
      <c r="M724" s="65"/>
      <c r="N724" s="65"/>
      <c r="O724" s="65"/>
      <c r="P724" s="65"/>
      <c r="Q724" s="65"/>
      <c r="R724" s="65"/>
      <c r="S724" s="65"/>
      <c r="T724" s="65"/>
      <c r="U724" s="65"/>
      <c r="V724" s="65"/>
      <c r="W724" s="65"/>
    </row>
    <row r="725">
      <c r="A725" s="71"/>
      <c r="B725" s="209"/>
      <c r="C725" s="71"/>
      <c r="D725" s="209"/>
      <c r="E725" s="71"/>
      <c r="F725" s="209"/>
      <c r="G725" s="71"/>
      <c r="H725" s="209"/>
      <c r="I725" s="28"/>
      <c r="J725" s="209"/>
      <c r="K725" s="65"/>
      <c r="L725" s="65"/>
      <c r="M725" s="65"/>
      <c r="N725" s="65"/>
      <c r="O725" s="65"/>
      <c r="P725" s="65"/>
      <c r="Q725" s="65"/>
      <c r="R725" s="65"/>
      <c r="S725" s="65"/>
      <c r="T725" s="65"/>
      <c r="U725" s="65"/>
      <c r="V725" s="65"/>
      <c r="W725" s="65"/>
    </row>
    <row r="726">
      <c r="A726" s="71"/>
      <c r="B726" s="209"/>
      <c r="C726" s="71"/>
      <c r="D726" s="209"/>
      <c r="E726" s="71"/>
      <c r="F726" s="209"/>
      <c r="G726" s="71"/>
      <c r="H726" s="209"/>
      <c r="I726" s="28"/>
      <c r="J726" s="209"/>
      <c r="K726" s="65"/>
      <c r="L726" s="65"/>
      <c r="M726" s="65"/>
      <c r="N726" s="65"/>
      <c r="O726" s="65"/>
      <c r="P726" s="65"/>
      <c r="Q726" s="65"/>
      <c r="R726" s="65"/>
      <c r="S726" s="65"/>
      <c r="T726" s="65"/>
      <c r="U726" s="65"/>
      <c r="V726" s="65"/>
      <c r="W726" s="65"/>
    </row>
    <row r="727">
      <c r="A727" s="71"/>
      <c r="B727" s="209"/>
      <c r="C727" s="71"/>
      <c r="D727" s="209"/>
      <c r="E727" s="71"/>
      <c r="F727" s="209"/>
      <c r="G727" s="71"/>
      <c r="H727" s="209"/>
      <c r="I727" s="28"/>
      <c r="J727" s="209"/>
      <c r="K727" s="65"/>
      <c r="L727" s="65"/>
      <c r="M727" s="65"/>
      <c r="N727" s="65"/>
      <c r="O727" s="65"/>
      <c r="P727" s="65"/>
      <c r="Q727" s="65"/>
      <c r="R727" s="65"/>
      <c r="S727" s="65"/>
      <c r="T727" s="65"/>
      <c r="U727" s="65"/>
      <c r="V727" s="65"/>
      <c r="W727" s="65"/>
    </row>
    <row r="728">
      <c r="A728" s="71"/>
      <c r="B728" s="209"/>
      <c r="C728" s="71"/>
      <c r="D728" s="209"/>
      <c r="E728" s="71"/>
      <c r="F728" s="209"/>
      <c r="G728" s="71"/>
      <c r="H728" s="209"/>
      <c r="I728" s="28"/>
      <c r="J728" s="209"/>
      <c r="K728" s="65"/>
      <c r="L728" s="65"/>
      <c r="M728" s="65"/>
      <c r="N728" s="65"/>
      <c r="O728" s="65"/>
      <c r="P728" s="65"/>
      <c r="Q728" s="65"/>
      <c r="R728" s="65"/>
      <c r="S728" s="65"/>
      <c r="T728" s="65"/>
      <c r="U728" s="65"/>
      <c r="V728" s="65"/>
      <c r="W728" s="65"/>
    </row>
    <row r="729">
      <c r="A729" s="71"/>
      <c r="B729" s="209"/>
      <c r="C729" s="71"/>
      <c r="D729" s="209"/>
      <c r="E729" s="71"/>
      <c r="F729" s="209"/>
      <c r="G729" s="71"/>
      <c r="H729" s="209"/>
      <c r="I729" s="28"/>
      <c r="J729" s="209"/>
      <c r="K729" s="65"/>
      <c r="L729" s="65"/>
      <c r="M729" s="65"/>
      <c r="N729" s="65"/>
      <c r="O729" s="65"/>
      <c r="P729" s="65"/>
      <c r="Q729" s="65"/>
      <c r="R729" s="65"/>
      <c r="S729" s="65"/>
      <c r="T729" s="65"/>
      <c r="U729" s="65"/>
      <c r="V729" s="65"/>
      <c r="W729" s="65"/>
    </row>
    <row r="730">
      <c r="A730" s="71"/>
      <c r="B730" s="209"/>
      <c r="C730" s="71"/>
      <c r="D730" s="209"/>
      <c r="E730" s="71"/>
      <c r="F730" s="209"/>
      <c r="G730" s="71"/>
      <c r="H730" s="209"/>
      <c r="I730" s="28"/>
      <c r="J730" s="209"/>
      <c r="K730" s="65"/>
      <c r="L730" s="65"/>
      <c r="M730" s="65"/>
      <c r="N730" s="65"/>
      <c r="O730" s="65"/>
      <c r="P730" s="65"/>
      <c r="Q730" s="65"/>
      <c r="R730" s="65"/>
      <c r="S730" s="65"/>
      <c r="T730" s="65"/>
      <c r="U730" s="65"/>
      <c r="V730" s="65"/>
      <c r="W730" s="65"/>
    </row>
    <row r="731">
      <c r="A731" s="71"/>
      <c r="B731" s="209"/>
      <c r="C731" s="71"/>
      <c r="D731" s="209"/>
      <c r="E731" s="71"/>
      <c r="F731" s="209"/>
      <c r="G731" s="71"/>
      <c r="H731" s="209"/>
      <c r="I731" s="28"/>
      <c r="J731" s="209"/>
      <c r="K731" s="65"/>
      <c r="L731" s="65"/>
      <c r="M731" s="65"/>
      <c r="N731" s="65"/>
      <c r="O731" s="65"/>
      <c r="P731" s="65"/>
      <c r="Q731" s="65"/>
      <c r="R731" s="65"/>
      <c r="S731" s="65"/>
      <c r="T731" s="65"/>
      <c r="U731" s="65"/>
      <c r="V731" s="65"/>
      <c r="W731" s="65"/>
    </row>
    <row r="732">
      <c r="A732" s="71"/>
      <c r="B732" s="209"/>
      <c r="C732" s="71"/>
      <c r="D732" s="209"/>
      <c r="E732" s="71"/>
      <c r="F732" s="209"/>
      <c r="G732" s="71"/>
      <c r="H732" s="209"/>
      <c r="I732" s="28"/>
      <c r="J732" s="209"/>
      <c r="K732" s="65"/>
      <c r="L732" s="65"/>
      <c r="M732" s="65"/>
      <c r="N732" s="65"/>
      <c r="O732" s="65"/>
      <c r="P732" s="65"/>
      <c r="Q732" s="65"/>
      <c r="R732" s="65"/>
      <c r="S732" s="65"/>
      <c r="T732" s="65"/>
      <c r="U732" s="65"/>
      <c r="V732" s="65"/>
      <c r="W732" s="65"/>
    </row>
    <row r="733">
      <c r="A733" s="71"/>
      <c r="B733" s="209"/>
      <c r="C733" s="71"/>
      <c r="D733" s="209"/>
      <c r="E733" s="71"/>
      <c r="F733" s="209"/>
      <c r="G733" s="71"/>
      <c r="H733" s="209"/>
      <c r="I733" s="28"/>
      <c r="J733" s="209"/>
      <c r="K733" s="65"/>
      <c r="L733" s="65"/>
      <c r="M733" s="65"/>
      <c r="N733" s="65"/>
      <c r="O733" s="65"/>
      <c r="P733" s="65"/>
      <c r="Q733" s="65"/>
      <c r="R733" s="65"/>
      <c r="S733" s="65"/>
      <c r="T733" s="65"/>
      <c r="U733" s="65"/>
      <c r="V733" s="65"/>
      <c r="W733" s="65"/>
    </row>
    <row r="734">
      <c r="A734" s="71"/>
      <c r="B734" s="209"/>
      <c r="C734" s="71"/>
      <c r="D734" s="209"/>
      <c r="E734" s="71"/>
      <c r="F734" s="209"/>
      <c r="G734" s="71"/>
      <c r="H734" s="209"/>
      <c r="I734" s="28"/>
      <c r="J734" s="209"/>
      <c r="K734" s="65"/>
      <c r="L734" s="65"/>
      <c r="M734" s="65"/>
      <c r="N734" s="65"/>
      <c r="O734" s="65"/>
      <c r="P734" s="65"/>
      <c r="Q734" s="65"/>
      <c r="R734" s="65"/>
      <c r="S734" s="65"/>
      <c r="T734" s="65"/>
      <c r="U734" s="65"/>
      <c r="V734" s="65"/>
      <c r="W734" s="65"/>
    </row>
    <row r="735">
      <c r="A735" s="71"/>
      <c r="B735" s="209"/>
      <c r="C735" s="71"/>
      <c r="D735" s="209"/>
      <c r="E735" s="71"/>
      <c r="F735" s="209"/>
      <c r="G735" s="71"/>
      <c r="H735" s="209"/>
      <c r="I735" s="28"/>
      <c r="J735" s="209"/>
      <c r="K735" s="65"/>
      <c r="L735" s="65"/>
      <c r="M735" s="65"/>
      <c r="N735" s="65"/>
      <c r="O735" s="65"/>
      <c r="P735" s="65"/>
      <c r="Q735" s="65"/>
      <c r="R735" s="65"/>
      <c r="S735" s="65"/>
      <c r="T735" s="65"/>
      <c r="U735" s="65"/>
      <c r="V735" s="65"/>
      <c r="W735" s="65"/>
    </row>
    <row r="736">
      <c r="A736" s="71"/>
      <c r="B736" s="209"/>
      <c r="C736" s="71"/>
      <c r="D736" s="209"/>
      <c r="E736" s="71"/>
      <c r="F736" s="209"/>
      <c r="G736" s="71"/>
      <c r="H736" s="209"/>
      <c r="I736" s="28"/>
      <c r="J736" s="209"/>
      <c r="K736" s="65"/>
      <c r="L736" s="65"/>
      <c r="M736" s="65"/>
      <c r="N736" s="65"/>
      <c r="O736" s="65"/>
      <c r="P736" s="65"/>
      <c r="Q736" s="65"/>
      <c r="R736" s="65"/>
      <c r="S736" s="65"/>
      <c r="T736" s="65"/>
      <c r="U736" s="65"/>
      <c r="V736" s="65"/>
      <c r="W736" s="65"/>
    </row>
    <row r="737">
      <c r="A737" s="71"/>
      <c r="B737" s="209"/>
      <c r="C737" s="71"/>
      <c r="D737" s="209"/>
      <c r="E737" s="71"/>
      <c r="F737" s="209"/>
      <c r="G737" s="71"/>
      <c r="H737" s="209"/>
      <c r="I737" s="28"/>
      <c r="J737" s="209"/>
      <c r="K737" s="65"/>
      <c r="L737" s="65"/>
      <c r="M737" s="65"/>
      <c r="N737" s="65"/>
      <c r="O737" s="65"/>
      <c r="P737" s="65"/>
      <c r="Q737" s="65"/>
      <c r="R737" s="65"/>
      <c r="S737" s="65"/>
      <c r="T737" s="65"/>
      <c r="U737" s="65"/>
      <c r="V737" s="65"/>
      <c r="W737" s="65"/>
    </row>
    <row r="738">
      <c r="A738" s="71"/>
      <c r="B738" s="209"/>
      <c r="C738" s="71"/>
      <c r="D738" s="209"/>
      <c r="E738" s="71"/>
      <c r="F738" s="209"/>
      <c r="G738" s="71"/>
      <c r="H738" s="209"/>
      <c r="I738" s="28"/>
      <c r="J738" s="209"/>
      <c r="K738" s="65"/>
      <c r="L738" s="65"/>
      <c r="M738" s="65"/>
      <c r="N738" s="65"/>
      <c r="O738" s="65"/>
      <c r="P738" s="65"/>
      <c r="Q738" s="65"/>
      <c r="R738" s="65"/>
      <c r="S738" s="65"/>
      <c r="T738" s="65"/>
      <c r="U738" s="65"/>
      <c r="V738" s="65"/>
      <c r="W738" s="65"/>
    </row>
    <row r="739">
      <c r="A739" s="71"/>
      <c r="B739" s="209"/>
      <c r="C739" s="71"/>
      <c r="D739" s="209"/>
      <c r="E739" s="71"/>
      <c r="F739" s="209"/>
      <c r="G739" s="71"/>
      <c r="H739" s="209"/>
      <c r="I739" s="28"/>
      <c r="J739" s="209"/>
      <c r="K739" s="65"/>
      <c r="L739" s="65"/>
      <c r="M739" s="65"/>
      <c r="N739" s="65"/>
      <c r="O739" s="65"/>
      <c r="P739" s="65"/>
      <c r="Q739" s="65"/>
      <c r="R739" s="65"/>
      <c r="S739" s="65"/>
      <c r="T739" s="65"/>
      <c r="U739" s="65"/>
      <c r="V739" s="65"/>
      <c r="W739" s="65"/>
    </row>
    <row r="740">
      <c r="A740" s="71"/>
      <c r="B740" s="209"/>
      <c r="C740" s="71"/>
      <c r="D740" s="209"/>
      <c r="E740" s="71"/>
      <c r="F740" s="209"/>
      <c r="G740" s="71"/>
      <c r="H740" s="209"/>
      <c r="I740" s="28"/>
      <c r="J740" s="209"/>
      <c r="K740" s="65"/>
      <c r="L740" s="65"/>
      <c r="M740" s="65"/>
      <c r="N740" s="65"/>
      <c r="O740" s="65"/>
      <c r="P740" s="65"/>
      <c r="Q740" s="65"/>
      <c r="R740" s="65"/>
      <c r="S740" s="65"/>
      <c r="T740" s="65"/>
      <c r="U740" s="65"/>
      <c r="V740" s="65"/>
      <c r="W740" s="65"/>
    </row>
    <row r="741">
      <c r="A741" s="71"/>
      <c r="B741" s="209"/>
      <c r="C741" s="71"/>
      <c r="D741" s="209"/>
      <c r="E741" s="71"/>
      <c r="F741" s="209"/>
      <c r="G741" s="71"/>
      <c r="H741" s="209"/>
      <c r="I741" s="28"/>
      <c r="J741" s="209"/>
      <c r="K741" s="65"/>
      <c r="L741" s="65"/>
      <c r="M741" s="65"/>
      <c r="N741" s="65"/>
      <c r="O741" s="65"/>
      <c r="P741" s="65"/>
      <c r="Q741" s="65"/>
      <c r="R741" s="65"/>
      <c r="S741" s="65"/>
      <c r="T741" s="65"/>
      <c r="U741" s="65"/>
      <c r="V741" s="65"/>
      <c r="W741" s="65"/>
    </row>
    <row r="742">
      <c r="A742" s="71"/>
      <c r="B742" s="209"/>
      <c r="C742" s="71"/>
      <c r="D742" s="209"/>
      <c r="E742" s="71"/>
      <c r="F742" s="209"/>
      <c r="G742" s="71"/>
      <c r="H742" s="209"/>
      <c r="I742" s="28"/>
      <c r="J742" s="209"/>
      <c r="K742" s="65"/>
      <c r="L742" s="65"/>
      <c r="M742" s="65"/>
      <c r="N742" s="65"/>
      <c r="O742" s="65"/>
      <c r="P742" s="65"/>
      <c r="Q742" s="65"/>
      <c r="R742" s="65"/>
      <c r="S742" s="65"/>
      <c r="T742" s="65"/>
      <c r="U742" s="65"/>
      <c r="V742" s="65"/>
      <c r="W742" s="65"/>
    </row>
    <row r="743">
      <c r="A743" s="71"/>
      <c r="B743" s="209"/>
      <c r="C743" s="71"/>
      <c r="D743" s="209"/>
      <c r="E743" s="71"/>
      <c r="F743" s="209"/>
      <c r="G743" s="71"/>
      <c r="H743" s="209"/>
      <c r="I743" s="28"/>
      <c r="J743" s="209"/>
      <c r="K743" s="65"/>
      <c r="L743" s="65"/>
      <c r="M743" s="65"/>
      <c r="N743" s="65"/>
      <c r="O743" s="65"/>
      <c r="P743" s="65"/>
      <c r="Q743" s="65"/>
      <c r="R743" s="65"/>
      <c r="S743" s="65"/>
      <c r="T743" s="65"/>
      <c r="U743" s="65"/>
      <c r="V743" s="65"/>
      <c r="W743" s="65"/>
    </row>
    <row r="744">
      <c r="A744" s="71"/>
      <c r="B744" s="209"/>
      <c r="C744" s="71"/>
      <c r="D744" s="209"/>
      <c r="E744" s="71"/>
      <c r="F744" s="209"/>
      <c r="G744" s="71"/>
      <c r="H744" s="209"/>
      <c r="I744" s="28"/>
      <c r="J744" s="209"/>
      <c r="K744" s="65"/>
      <c r="L744" s="65"/>
      <c r="M744" s="65"/>
      <c r="N744" s="65"/>
      <c r="O744" s="65"/>
      <c r="P744" s="65"/>
      <c r="Q744" s="65"/>
      <c r="R744" s="65"/>
      <c r="S744" s="65"/>
      <c r="T744" s="65"/>
      <c r="U744" s="65"/>
      <c r="V744" s="65"/>
      <c r="W744" s="65"/>
    </row>
    <row r="745">
      <c r="A745" s="71"/>
      <c r="B745" s="209"/>
      <c r="C745" s="71"/>
      <c r="D745" s="209"/>
      <c r="E745" s="71"/>
      <c r="F745" s="209"/>
      <c r="G745" s="71"/>
      <c r="H745" s="209"/>
      <c r="I745" s="28"/>
      <c r="J745" s="209"/>
      <c r="K745" s="65"/>
      <c r="L745" s="65"/>
      <c r="M745" s="65"/>
      <c r="N745" s="65"/>
      <c r="O745" s="65"/>
      <c r="P745" s="65"/>
      <c r="Q745" s="65"/>
      <c r="R745" s="65"/>
      <c r="S745" s="65"/>
      <c r="T745" s="65"/>
      <c r="U745" s="65"/>
      <c r="V745" s="65"/>
      <c r="W745" s="65"/>
    </row>
    <row r="746">
      <c r="A746" s="71"/>
      <c r="B746" s="209"/>
      <c r="C746" s="71"/>
      <c r="D746" s="209"/>
      <c r="E746" s="71"/>
      <c r="F746" s="209"/>
      <c r="G746" s="71"/>
      <c r="H746" s="209"/>
      <c r="I746" s="28"/>
      <c r="J746" s="209"/>
      <c r="K746" s="65"/>
      <c r="L746" s="65"/>
      <c r="M746" s="65"/>
      <c r="N746" s="65"/>
      <c r="O746" s="65"/>
      <c r="P746" s="65"/>
      <c r="Q746" s="65"/>
      <c r="R746" s="65"/>
      <c r="S746" s="65"/>
      <c r="T746" s="65"/>
      <c r="U746" s="65"/>
      <c r="V746" s="65"/>
      <c r="W746" s="65"/>
    </row>
    <row r="747">
      <c r="A747" s="71"/>
      <c r="B747" s="209"/>
      <c r="C747" s="71"/>
      <c r="D747" s="209"/>
      <c r="E747" s="71"/>
      <c r="F747" s="209"/>
      <c r="G747" s="71"/>
      <c r="H747" s="209"/>
      <c r="I747" s="28"/>
      <c r="J747" s="209"/>
      <c r="K747" s="65"/>
      <c r="L747" s="65"/>
      <c r="M747" s="65"/>
      <c r="N747" s="65"/>
      <c r="O747" s="65"/>
      <c r="P747" s="65"/>
      <c r="Q747" s="65"/>
      <c r="R747" s="65"/>
      <c r="S747" s="65"/>
      <c r="T747" s="65"/>
      <c r="U747" s="65"/>
      <c r="V747" s="65"/>
      <c r="W747" s="65"/>
    </row>
    <row r="748">
      <c r="A748" s="71"/>
      <c r="B748" s="209"/>
      <c r="C748" s="71"/>
      <c r="D748" s="209"/>
      <c r="E748" s="71"/>
      <c r="F748" s="209"/>
      <c r="G748" s="71"/>
      <c r="H748" s="209"/>
      <c r="I748" s="28"/>
      <c r="J748" s="209"/>
      <c r="K748" s="65"/>
      <c r="L748" s="65"/>
      <c r="M748" s="65"/>
      <c r="N748" s="65"/>
      <c r="O748" s="65"/>
      <c r="P748" s="65"/>
      <c r="Q748" s="65"/>
      <c r="R748" s="65"/>
      <c r="S748" s="65"/>
      <c r="T748" s="65"/>
      <c r="U748" s="65"/>
      <c r="V748" s="65"/>
      <c r="W748" s="65"/>
    </row>
    <row r="749">
      <c r="A749" s="71"/>
      <c r="B749" s="209"/>
      <c r="C749" s="71"/>
      <c r="D749" s="209"/>
      <c r="E749" s="71"/>
      <c r="F749" s="209"/>
      <c r="G749" s="71"/>
      <c r="H749" s="209"/>
      <c r="I749" s="28"/>
      <c r="J749" s="209"/>
      <c r="K749" s="65"/>
      <c r="L749" s="65"/>
      <c r="M749" s="65"/>
      <c r="N749" s="65"/>
      <c r="O749" s="65"/>
      <c r="P749" s="65"/>
      <c r="Q749" s="65"/>
      <c r="R749" s="65"/>
      <c r="S749" s="65"/>
      <c r="T749" s="65"/>
      <c r="U749" s="65"/>
      <c r="V749" s="65"/>
      <c r="W749" s="65"/>
    </row>
    <row r="750">
      <c r="A750" s="71"/>
      <c r="B750" s="209"/>
      <c r="C750" s="71"/>
      <c r="D750" s="209"/>
      <c r="E750" s="71"/>
      <c r="F750" s="209"/>
      <c r="G750" s="71"/>
      <c r="H750" s="209"/>
      <c r="I750" s="28"/>
      <c r="J750" s="209"/>
      <c r="K750" s="65"/>
      <c r="L750" s="65"/>
      <c r="M750" s="65"/>
      <c r="N750" s="65"/>
      <c r="O750" s="65"/>
      <c r="P750" s="65"/>
      <c r="Q750" s="65"/>
      <c r="R750" s="65"/>
      <c r="S750" s="65"/>
      <c r="T750" s="65"/>
      <c r="U750" s="65"/>
      <c r="V750" s="65"/>
      <c r="W750" s="65"/>
    </row>
    <row r="751">
      <c r="A751" s="71"/>
      <c r="B751" s="209"/>
      <c r="C751" s="71"/>
      <c r="D751" s="209"/>
      <c r="E751" s="71"/>
      <c r="F751" s="209"/>
      <c r="G751" s="71"/>
      <c r="H751" s="209"/>
      <c r="I751" s="28"/>
      <c r="J751" s="209"/>
      <c r="K751" s="65"/>
      <c r="L751" s="65"/>
      <c r="M751" s="65"/>
      <c r="N751" s="65"/>
      <c r="O751" s="65"/>
      <c r="P751" s="65"/>
      <c r="Q751" s="65"/>
      <c r="R751" s="65"/>
      <c r="S751" s="65"/>
      <c r="T751" s="65"/>
      <c r="U751" s="65"/>
      <c r="V751" s="65"/>
      <c r="W751" s="65"/>
    </row>
    <row r="752">
      <c r="A752" s="71"/>
      <c r="B752" s="209"/>
      <c r="C752" s="71"/>
      <c r="D752" s="209"/>
      <c r="E752" s="71"/>
      <c r="F752" s="209"/>
      <c r="G752" s="71"/>
      <c r="H752" s="209"/>
      <c r="I752" s="28"/>
      <c r="J752" s="209"/>
      <c r="K752" s="65"/>
      <c r="L752" s="65"/>
      <c r="M752" s="65"/>
      <c r="N752" s="65"/>
      <c r="O752" s="65"/>
      <c r="P752" s="65"/>
      <c r="Q752" s="65"/>
      <c r="R752" s="65"/>
      <c r="S752" s="65"/>
      <c r="T752" s="65"/>
      <c r="U752" s="65"/>
      <c r="V752" s="65"/>
      <c r="W752" s="65"/>
    </row>
    <row r="753">
      <c r="A753" s="71"/>
      <c r="B753" s="209"/>
      <c r="C753" s="71"/>
      <c r="D753" s="209"/>
      <c r="E753" s="71"/>
      <c r="F753" s="209"/>
      <c r="G753" s="71"/>
      <c r="H753" s="209"/>
      <c r="I753" s="28"/>
      <c r="J753" s="209"/>
      <c r="K753" s="65"/>
      <c r="L753" s="65"/>
      <c r="M753" s="65"/>
      <c r="N753" s="65"/>
      <c r="O753" s="65"/>
      <c r="P753" s="65"/>
      <c r="Q753" s="65"/>
      <c r="R753" s="65"/>
      <c r="S753" s="65"/>
      <c r="T753" s="65"/>
      <c r="U753" s="65"/>
      <c r="V753" s="65"/>
      <c r="W753" s="65"/>
    </row>
    <row r="754">
      <c r="A754" s="71"/>
      <c r="B754" s="209"/>
      <c r="C754" s="71"/>
      <c r="D754" s="209"/>
      <c r="E754" s="71"/>
      <c r="F754" s="209"/>
      <c r="G754" s="71"/>
      <c r="H754" s="209"/>
      <c r="I754" s="28"/>
      <c r="J754" s="209"/>
      <c r="K754" s="65"/>
      <c r="L754" s="65"/>
      <c r="M754" s="65"/>
      <c r="N754" s="65"/>
      <c r="O754" s="65"/>
      <c r="P754" s="65"/>
      <c r="Q754" s="65"/>
      <c r="R754" s="65"/>
      <c r="S754" s="65"/>
      <c r="T754" s="65"/>
      <c r="U754" s="65"/>
      <c r="V754" s="65"/>
      <c r="W754" s="65"/>
    </row>
    <row r="755">
      <c r="A755" s="71"/>
      <c r="B755" s="209"/>
      <c r="C755" s="71"/>
      <c r="D755" s="209"/>
      <c r="E755" s="71"/>
      <c r="F755" s="209"/>
      <c r="G755" s="71"/>
      <c r="H755" s="209"/>
      <c r="I755" s="28"/>
      <c r="J755" s="209"/>
      <c r="K755" s="65"/>
      <c r="L755" s="65"/>
      <c r="M755" s="65"/>
      <c r="N755" s="65"/>
      <c r="O755" s="65"/>
      <c r="P755" s="65"/>
      <c r="Q755" s="65"/>
      <c r="R755" s="65"/>
      <c r="S755" s="65"/>
      <c r="T755" s="65"/>
      <c r="U755" s="65"/>
      <c r="V755" s="65"/>
      <c r="W755" s="65"/>
    </row>
    <row r="756">
      <c r="A756" s="71"/>
      <c r="B756" s="209"/>
      <c r="C756" s="71"/>
      <c r="D756" s="209"/>
      <c r="E756" s="71"/>
      <c r="F756" s="209"/>
      <c r="G756" s="71"/>
      <c r="H756" s="209"/>
      <c r="I756" s="28"/>
      <c r="J756" s="209"/>
      <c r="K756" s="65"/>
      <c r="L756" s="65"/>
      <c r="M756" s="65"/>
      <c r="N756" s="65"/>
      <c r="O756" s="65"/>
      <c r="P756" s="65"/>
      <c r="Q756" s="65"/>
      <c r="R756" s="65"/>
      <c r="S756" s="65"/>
      <c r="T756" s="65"/>
      <c r="U756" s="65"/>
      <c r="V756" s="65"/>
      <c r="W756" s="65"/>
    </row>
    <row r="757">
      <c r="A757" s="71"/>
      <c r="B757" s="209"/>
      <c r="C757" s="71"/>
      <c r="D757" s="209"/>
      <c r="E757" s="71"/>
      <c r="F757" s="209"/>
      <c r="G757" s="71"/>
      <c r="H757" s="209"/>
      <c r="I757" s="28"/>
      <c r="J757" s="209"/>
      <c r="K757" s="65"/>
      <c r="L757" s="65"/>
      <c r="M757" s="65"/>
      <c r="N757" s="65"/>
      <c r="O757" s="65"/>
      <c r="P757" s="65"/>
      <c r="Q757" s="65"/>
      <c r="R757" s="65"/>
      <c r="S757" s="65"/>
      <c r="T757" s="65"/>
      <c r="U757" s="65"/>
      <c r="V757" s="65"/>
      <c r="W757" s="65"/>
    </row>
    <row r="758">
      <c r="A758" s="71"/>
      <c r="B758" s="209"/>
      <c r="C758" s="71"/>
      <c r="D758" s="209"/>
      <c r="E758" s="71"/>
      <c r="F758" s="209"/>
      <c r="G758" s="71"/>
      <c r="H758" s="209"/>
      <c r="I758" s="28"/>
      <c r="J758" s="209"/>
      <c r="K758" s="65"/>
      <c r="L758" s="65"/>
      <c r="M758" s="65"/>
      <c r="N758" s="65"/>
      <c r="O758" s="65"/>
      <c r="P758" s="65"/>
      <c r="Q758" s="65"/>
      <c r="R758" s="65"/>
      <c r="S758" s="65"/>
      <c r="T758" s="65"/>
      <c r="U758" s="65"/>
      <c r="V758" s="65"/>
      <c r="W758" s="65"/>
    </row>
    <row r="759">
      <c r="A759" s="71"/>
      <c r="B759" s="209"/>
      <c r="C759" s="71"/>
      <c r="D759" s="209"/>
      <c r="E759" s="71"/>
      <c r="F759" s="209"/>
      <c r="G759" s="71"/>
      <c r="H759" s="209"/>
      <c r="I759" s="28"/>
      <c r="J759" s="209"/>
      <c r="K759" s="65"/>
      <c r="L759" s="65"/>
      <c r="M759" s="65"/>
      <c r="N759" s="65"/>
      <c r="O759" s="65"/>
      <c r="P759" s="65"/>
      <c r="Q759" s="65"/>
      <c r="R759" s="65"/>
      <c r="S759" s="65"/>
      <c r="T759" s="65"/>
      <c r="U759" s="65"/>
      <c r="V759" s="65"/>
      <c r="W759" s="65"/>
    </row>
    <row r="760">
      <c r="A760" s="71"/>
      <c r="B760" s="209"/>
      <c r="C760" s="71"/>
      <c r="D760" s="209"/>
      <c r="E760" s="71"/>
      <c r="F760" s="209"/>
      <c r="G760" s="71"/>
      <c r="H760" s="209"/>
      <c r="I760" s="28"/>
      <c r="J760" s="209"/>
      <c r="K760" s="65"/>
      <c r="L760" s="65"/>
      <c r="M760" s="65"/>
      <c r="N760" s="65"/>
      <c r="O760" s="65"/>
      <c r="P760" s="65"/>
      <c r="Q760" s="65"/>
      <c r="R760" s="65"/>
      <c r="S760" s="65"/>
      <c r="T760" s="65"/>
      <c r="U760" s="65"/>
      <c r="V760" s="65"/>
      <c r="W760" s="65"/>
    </row>
    <row r="761">
      <c r="A761" s="71"/>
      <c r="B761" s="209"/>
      <c r="C761" s="71"/>
      <c r="D761" s="209"/>
      <c r="E761" s="71"/>
      <c r="F761" s="209"/>
      <c r="G761" s="71"/>
      <c r="H761" s="209"/>
      <c r="I761" s="28"/>
      <c r="J761" s="209"/>
      <c r="K761" s="65"/>
      <c r="L761" s="65"/>
      <c r="M761" s="65"/>
      <c r="N761" s="65"/>
      <c r="O761" s="65"/>
      <c r="P761" s="65"/>
      <c r="Q761" s="65"/>
      <c r="R761" s="65"/>
      <c r="S761" s="65"/>
      <c r="T761" s="65"/>
      <c r="U761" s="65"/>
      <c r="V761" s="65"/>
      <c r="W761" s="65"/>
    </row>
    <row r="762">
      <c r="A762" s="71"/>
      <c r="B762" s="209"/>
      <c r="C762" s="71"/>
      <c r="D762" s="209"/>
      <c r="E762" s="71"/>
      <c r="F762" s="209"/>
      <c r="G762" s="71"/>
      <c r="H762" s="209"/>
      <c r="I762" s="28"/>
      <c r="J762" s="209"/>
      <c r="K762" s="65"/>
      <c r="L762" s="65"/>
      <c r="M762" s="65"/>
      <c r="N762" s="65"/>
      <c r="O762" s="65"/>
      <c r="P762" s="65"/>
      <c r="Q762" s="65"/>
      <c r="R762" s="65"/>
      <c r="S762" s="65"/>
      <c r="T762" s="65"/>
      <c r="U762" s="65"/>
      <c r="V762" s="65"/>
      <c r="W762" s="65"/>
    </row>
    <row r="763">
      <c r="A763" s="71"/>
      <c r="B763" s="209"/>
      <c r="C763" s="71"/>
      <c r="D763" s="209"/>
      <c r="E763" s="71"/>
      <c r="F763" s="209"/>
      <c r="G763" s="71"/>
      <c r="H763" s="209"/>
      <c r="I763" s="28"/>
      <c r="J763" s="209"/>
      <c r="K763" s="65"/>
      <c r="L763" s="65"/>
      <c r="M763" s="65"/>
      <c r="N763" s="65"/>
      <c r="O763" s="65"/>
      <c r="P763" s="65"/>
      <c r="Q763" s="65"/>
      <c r="R763" s="65"/>
      <c r="S763" s="65"/>
      <c r="T763" s="65"/>
      <c r="U763" s="65"/>
      <c r="V763" s="65"/>
      <c r="W763" s="65"/>
    </row>
    <row r="764">
      <c r="A764" s="71"/>
      <c r="B764" s="209"/>
      <c r="C764" s="71"/>
      <c r="D764" s="209"/>
      <c r="E764" s="71"/>
      <c r="F764" s="209"/>
      <c r="G764" s="71"/>
      <c r="H764" s="209"/>
      <c r="I764" s="28"/>
      <c r="J764" s="209"/>
      <c r="K764" s="65"/>
      <c r="L764" s="65"/>
      <c r="M764" s="65"/>
      <c r="N764" s="65"/>
      <c r="O764" s="65"/>
      <c r="P764" s="65"/>
      <c r="Q764" s="65"/>
      <c r="R764" s="65"/>
      <c r="S764" s="65"/>
      <c r="T764" s="65"/>
      <c r="U764" s="65"/>
      <c r="V764" s="65"/>
      <c r="W764" s="65"/>
    </row>
    <row r="765">
      <c r="A765" s="71"/>
      <c r="B765" s="209"/>
      <c r="C765" s="71"/>
      <c r="D765" s="209"/>
      <c r="E765" s="71"/>
      <c r="F765" s="209"/>
      <c r="G765" s="71"/>
      <c r="H765" s="209"/>
      <c r="I765" s="28"/>
      <c r="J765" s="209"/>
      <c r="K765" s="65"/>
      <c r="L765" s="65"/>
      <c r="M765" s="65"/>
      <c r="N765" s="65"/>
      <c r="O765" s="65"/>
      <c r="P765" s="65"/>
      <c r="Q765" s="65"/>
      <c r="R765" s="65"/>
      <c r="S765" s="65"/>
      <c r="T765" s="65"/>
      <c r="U765" s="65"/>
      <c r="V765" s="65"/>
      <c r="W765" s="65"/>
    </row>
    <row r="766">
      <c r="A766" s="71"/>
      <c r="B766" s="209"/>
      <c r="C766" s="71"/>
      <c r="D766" s="209"/>
      <c r="E766" s="71"/>
      <c r="F766" s="209"/>
      <c r="G766" s="71"/>
      <c r="H766" s="209"/>
      <c r="I766" s="28"/>
      <c r="J766" s="209"/>
      <c r="K766" s="65"/>
      <c r="L766" s="65"/>
      <c r="M766" s="65"/>
      <c r="N766" s="65"/>
      <c r="O766" s="65"/>
      <c r="P766" s="65"/>
      <c r="Q766" s="65"/>
      <c r="R766" s="65"/>
      <c r="S766" s="65"/>
      <c r="T766" s="65"/>
      <c r="U766" s="65"/>
      <c r="V766" s="65"/>
      <c r="W766" s="65"/>
    </row>
    <row r="767">
      <c r="A767" s="71"/>
      <c r="B767" s="209"/>
      <c r="C767" s="71"/>
      <c r="D767" s="209"/>
      <c r="E767" s="71"/>
      <c r="F767" s="209"/>
      <c r="G767" s="71"/>
      <c r="H767" s="209"/>
      <c r="I767" s="28"/>
      <c r="J767" s="209"/>
      <c r="K767" s="65"/>
      <c r="L767" s="65"/>
      <c r="M767" s="65"/>
      <c r="N767" s="65"/>
      <c r="O767" s="65"/>
      <c r="P767" s="65"/>
      <c r="Q767" s="65"/>
      <c r="R767" s="65"/>
      <c r="S767" s="65"/>
      <c r="T767" s="65"/>
      <c r="U767" s="65"/>
      <c r="V767" s="65"/>
      <c r="W767" s="65"/>
    </row>
    <row r="768">
      <c r="A768" s="71"/>
      <c r="B768" s="209"/>
      <c r="C768" s="71"/>
      <c r="D768" s="209"/>
      <c r="E768" s="71"/>
      <c r="F768" s="209"/>
      <c r="G768" s="71"/>
      <c r="H768" s="209"/>
      <c r="I768" s="28"/>
      <c r="J768" s="209"/>
      <c r="K768" s="65"/>
      <c r="L768" s="65"/>
      <c r="M768" s="65"/>
      <c r="N768" s="65"/>
      <c r="O768" s="65"/>
      <c r="P768" s="65"/>
      <c r="Q768" s="65"/>
      <c r="R768" s="65"/>
      <c r="S768" s="65"/>
      <c r="T768" s="65"/>
      <c r="U768" s="65"/>
      <c r="V768" s="65"/>
      <c r="W768" s="65"/>
    </row>
    <row r="769">
      <c r="A769" s="71"/>
      <c r="B769" s="209"/>
      <c r="C769" s="71"/>
      <c r="D769" s="209"/>
      <c r="E769" s="71"/>
      <c r="F769" s="209"/>
      <c r="G769" s="71"/>
      <c r="H769" s="209"/>
      <c r="I769" s="28"/>
      <c r="J769" s="209"/>
      <c r="K769" s="65"/>
      <c r="L769" s="65"/>
      <c r="M769" s="65"/>
      <c r="N769" s="65"/>
      <c r="O769" s="65"/>
      <c r="P769" s="65"/>
      <c r="Q769" s="65"/>
      <c r="R769" s="65"/>
      <c r="S769" s="65"/>
      <c r="T769" s="65"/>
      <c r="U769" s="65"/>
      <c r="V769" s="65"/>
      <c r="W769" s="65"/>
    </row>
    <row r="770">
      <c r="A770" s="71"/>
      <c r="B770" s="209"/>
      <c r="C770" s="71"/>
      <c r="D770" s="209"/>
      <c r="E770" s="71"/>
      <c r="F770" s="209"/>
      <c r="G770" s="71"/>
      <c r="H770" s="209"/>
      <c r="I770" s="28"/>
      <c r="J770" s="209"/>
      <c r="K770" s="65"/>
      <c r="L770" s="65"/>
      <c r="M770" s="65"/>
      <c r="N770" s="65"/>
      <c r="O770" s="65"/>
      <c r="P770" s="65"/>
      <c r="Q770" s="65"/>
      <c r="R770" s="65"/>
      <c r="S770" s="65"/>
      <c r="T770" s="65"/>
      <c r="U770" s="65"/>
      <c r="V770" s="65"/>
      <c r="W770" s="65"/>
    </row>
    <row r="771">
      <c r="A771" s="71"/>
      <c r="B771" s="209"/>
      <c r="C771" s="71"/>
      <c r="D771" s="209"/>
      <c r="E771" s="71"/>
      <c r="F771" s="209"/>
      <c r="G771" s="71"/>
      <c r="H771" s="209"/>
      <c r="I771" s="28"/>
      <c r="J771" s="209"/>
      <c r="K771" s="65"/>
      <c r="L771" s="65"/>
      <c r="M771" s="65"/>
      <c r="N771" s="65"/>
      <c r="O771" s="65"/>
      <c r="P771" s="65"/>
      <c r="Q771" s="65"/>
      <c r="R771" s="65"/>
      <c r="S771" s="65"/>
      <c r="T771" s="65"/>
      <c r="U771" s="65"/>
      <c r="V771" s="65"/>
      <c r="W771" s="65"/>
    </row>
    <row r="772">
      <c r="A772" s="71"/>
      <c r="B772" s="209"/>
      <c r="C772" s="71"/>
      <c r="D772" s="209"/>
      <c r="E772" s="71"/>
      <c r="F772" s="209"/>
      <c r="G772" s="71"/>
      <c r="H772" s="209"/>
      <c r="I772" s="28"/>
      <c r="J772" s="209"/>
      <c r="K772" s="65"/>
      <c r="L772" s="65"/>
      <c r="M772" s="65"/>
      <c r="N772" s="65"/>
      <c r="O772" s="65"/>
      <c r="P772" s="65"/>
      <c r="Q772" s="65"/>
      <c r="R772" s="65"/>
      <c r="S772" s="65"/>
      <c r="T772" s="65"/>
      <c r="U772" s="65"/>
      <c r="V772" s="65"/>
      <c r="W772" s="65"/>
    </row>
    <row r="773">
      <c r="A773" s="71"/>
      <c r="B773" s="209"/>
      <c r="C773" s="71"/>
      <c r="D773" s="209"/>
      <c r="E773" s="71"/>
      <c r="F773" s="209"/>
      <c r="G773" s="71"/>
      <c r="H773" s="209"/>
      <c r="I773" s="28"/>
      <c r="J773" s="209"/>
      <c r="K773" s="65"/>
      <c r="L773" s="65"/>
      <c r="M773" s="65"/>
      <c r="N773" s="65"/>
      <c r="O773" s="65"/>
      <c r="P773" s="65"/>
      <c r="Q773" s="65"/>
      <c r="R773" s="65"/>
      <c r="S773" s="65"/>
      <c r="T773" s="65"/>
      <c r="U773" s="65"/>
      <c r="V773" s="65"/>
      <c r="W773" s="65"/>
    </row>
    <row r="774">
      <c r="A774" s="71"/>
      <c r="B774" s="209"/>
      <c r="C774" s="71"/>
      <c r="D774" s="209"/>
      <c r="E774" s="71"/>
      <c r="F774" s="209"/>
      <c r="G774" s="71"/>
      <c r="H774" s="209"/>
      <c r="I774" s="28"/>
      <c r="J774" s="209"/>
      <c r="K774" s="65"/>
      <c r="L774" s="65"/>
      <c r="M774" s="65"/>
      <c r="N774" s="65"/>
      <c r="O774" s="65"/>
      <c r="P774" s="65"/>
      <c r="Q774" s="65"/>
      <c r="R774" s="65"/>
      <c r="S774" s="65"/>
      <c r="T774" s="65"/>
      <c r="U774" s="65"/>
      <c r="V774" s="65"/>
      <c r="W774" s="65"/>
    </row>
    <row r="775">
      <c r="A775" s="71"/>
      <c r="B775" s="209"/>
      <c r="C775" s="71"/>
      <c r="D775" s="209"/>
      <c r="E775" s="71"/>
      <c r="F775" s="209"/>
      <c r="G775" s="71"/>
      <c r="H775" s="209"/>
      <c r="I775" s="28"/>
      <c r="J775" s="209"/>
      <c r="K775" s="65"/>
      <c r="L775" s="65"/>
      <c r="M775" s="65"/>
      <c r="N775" s="65"/>
      <c r="O775" s="65"/>
      <c r="P775" s="65"/>
      <c r="Q775" s="65"/>
      <c r="R775" s="65"/>
      <c r="S775" s="65"/>
      <c r="T775" s="65"/>
      <c r="U775" s="65"/>
      <c r="V775" s="65"/>
      <c r="W775" s="65"/>
    </row>
    <row r="776">
      <c r="A776" s="71"/>
      <c r="B776" s="209"/>
      <c r="C776" s="71"/>
      <c r="D776" s="209"/>
      <c r="E776" s="71"/>
      <c r="F776" s="209"/>
      <c r="G776" s="71"/>
      <c r="H776" s="209"/>
      <c r="I776" s="28"/>
      <c r="J776" s="209"/>
      <c r="K776" s="65"/>
      <c r="L776" s="65"/>
      <c r="M776" s="65"/>
      <c r="N776" s="65"/>
      <c r="O776" s="65"/>
      <c r="P776" s="65"/>
      <c r="Q776" s="65"/>
      <c r="R776" s="65"/>
      <c r="S776" s="65"/>
      <c r="T776" s="65"/>
      <c r="U776" s="65"/>
      <c r="V776" s="65"/>
      <c r="W776" s="65"/>
    </row>
    <row r="777">
      <c r="A777" s="71"/>
      <c r="B777" s="209"/>
      <c r="C777" s="71"/>
      <c r="D777" s="209"/>
      <c r="E777" s="71"/>
      <c r="F777" s="209"/>
      <c r="G777" s="71"/>
      <c r="H777" s="209"/>
      <c r="I777" s="28"/>
      <c r="J777" s="209"/>
      <c r="K777" s="65"/>
      <c r="L777" s="65"/>
      <c r="M777" s="65"/>
      <c r="N777" s="65"/>
      <c r="O777" s="65"/>
      <c r="P777" s="65"/>
      <c r="Q777" s="65"/>
      <c r="R777" s="65"/>
      <c r="S777" s="65"/>
      <c r="T777" s="65"/>
      <c r="U777" s="65"/>
      <c r="V777" s="65"/>
      <c r="W777" s="65"/>
    </row>
    <row r="778">
      <c r="A778" s="71"/>
      <c r="B778" s="209"/>
      <c r="C778" s="71"/>
      <c r="D778" s="209"/>
      <c r="E778" s="71"/>
      <c r="F778" s="209"/>
      <c r="G778" s="71"/>
      <c r="H778" s="209"/>
      <c r="I778" s="28"/>
      <c r="J778" s="209"/>
      <c r="K778" s="65"/>
      <c r="L778" s="65"/>
      <c r="M778" s="65"/>
      <c r="N778" s="65"/>
      <c r="O778" s="65"/>
      <c r="P778" s="65"/>
      <c r="Q778" s="65"/>
      <c r="R778" s="65"/>
      <c r="S778" s="65"/>
      <c r="T778" s="65"/>
      <c r="U778" s="65"/>
      <c r="V778" s="65"/>
      <c r="W778" s="65"/>
    </row>
    <row r="779">
      <c r="A779" s="71"/>
      <c r="B779" s="209"/>
      <c r="C779" s="71"/>
      <c r="D779" s="209"/>
      <c r="E779" s="71"/>
      <c r="F779" s="209"/>
      <c r="G779" s="71"/>
      <c r="H779" s="209"/>
      <c r="I779" s="28"/>
      <c r="J779" s="209"/>
      <c r="K779" s="65"/>
      <c r="L779" s="65"/>
      <c r="M779" s="65"/>
      <c r="N779" s="65"/>
      <c r="O779" s="65"/>
      <c r="P779" s="65"/>
      <c r="Q779" s="65"/>
      <c r="R779" s="65"/>
      <c r="S779" s="65"/>
      <c r="T779" s="65"/>
      <c r="U779" s="65"/>
      <c r="V779" s="65"/>
      <c r="W779" s="65"/>
    </row>
    <row r="780">
      <c r="A780" s="71"/>
      <c r="B780" s="209"/>
      <c r="C780" s="71"/>
      <c r="D780" s="209"/>
      <c r="E780" s="71"/>
      <c r="F780" s="209"/>
      <c r="G780" s="71"/>
      <c r="H780" s="209"/>
      <c r="I780" s="28"/>
      <c r="J780" s="209"/>
      <c r="K780" s="65"/>
      <c r="L780" s="65"/>
      <c r="M780" s="65"/>
      <c r="N780" s="65"/>
      <c r="O780" s="65"/>
      <c r="P780" s="65"/>
      <c r="Q780" s="65"/>
      <c r="R780" s="65"/>
      <c r="S780" s="65"/>
      <c r="T780" s="65"/>
      <c r="U780" s="65"/>
      <c r="V780" s="65"/>
      <c r="W780" s="65"/>
    </row>
    <row r="781">
      <c r="A781" s="71"/>
      <c r="B781" s="209"/>
      <c r="C781" s="71"/>
      <c r="D781" s="209"/>
      <c r="E781" s="71"/>
      <c r="F781" s="209"/>
      <c r="G781" s="71"/>
      <c r="H781" s="209"/>
      <c r="I781" s="28"/>
      <c r="J781" s="209"/>
      <c r="K781" s="65"/>
      <c r="L781" s="65"/>
      <c r="M781" s="65"/>
      <c r="N781" s="65"/>
      <c r="O781" s="65"/>
      <c r="P781" s="65"/>
      <c r="Q781" s="65"/>
      <c r="R781" s="65"/>
      <c r="S781" s="65"/>
      <c r="T781" s="65"/>
      <c r="U781" s="65"/>
      <c r="V781" s="65"/>
      <c r="W781" s="65"/>
    </row>
    <row r="782">
      <c r="A782" s="71"/>
      <c r="B782" s="209"/>
      <c r="C782" s="71"/>
      <c r="D782" s="209"/>
      <c r="E782" s="71"/>
      <c r="F782" s="209"/>
      <c r="G782" s="71"/>
      <c r="H782" s="209"/>
      <c r="I782" s="28"/>
      <c r="J782" s="209"/>
      <c r="K782" s="65"/>
      <c r="L782" s="65"/>
      <c r="M782" s="65"/>
      <c r="N782" s="65"/>
      <c r="O782" s="65"/>
      <c r="P782" s="65"/>
      <c r="Q782" s="65"/>
      <c r="R782" s="65"/>
      <c r="S782" s="65"/>
      <c r="T782" s="65"/>
      <c r="U782" s="65"/>
      <c r="V782" s="65"/>
      <c r="W782" s="65"/>
    </row>
    <row r="783">
      <c r="A783" s="71"/>
      <c r="B783" s="209"/>
      <c r="C783" s="71"/>
      <c r="D783" s="209"/>
      <c r="E783" s="71"/>
      <c r="F783" s="209"/>
      <c r="G783" s="71"/>
      <c r="H783" s="209"/>
      <c r="I783" s="28"/>
      <c r="J783" s="209"/>
      <c r="K783" s="65"/>
      <c r="L783" s="65"/>
      <c r="M783" s="65"/>
      <c r="N783" s="65"/>
      <c r="O783" s="65"/>
      <c r="P783" s="65"/>
      <c r="Q783" s="65"/>
      <c r="R783" s="65"/>
      <c r="S783" s="65"/>
      <c r="T783" s="65"/>
      <c r="U783" s="65"/>
      <c r="V783" s="65"/>
      <c r="W783" s="65"/>
    </row>
    <row r="784">
      <c r="A784" s="71"/>
      <c r="B784" s="209"/>
      <c r="C784" s="71"/>
      <c r="D784" s="209"/>
      <c r="E784" s="71"/>
      <c r="F784" s="209"/>
      <c r="G784" s="71"/>
      <c r="H784" s="209"/>
      <c r="I784" s="28"/>
      <c r="J784" s="209"/>
      <c r="K784" s="65"/>
      <c r="L784" s="65"/>
      <c r="M784" s="65"/>
      <c r="N784" s="65"/>
      <c r="O784" s="65"/>
      <c r="P784" s="65"/>
      <c r="Q784" s="65"/>
      <c r="R784" s="65"/>
      <c r="S784" s="65"/>
      <c r="T784" s="65"/>
      <c r="U784" s="65"/>
      <c r="V784" s="65"/>
      <c r="W784" s="65"/>
    </row>
    <row r="785">
      <c r="A785" s="71"/>
      <c r="B785" s="209"/>
      <c r="C785" s="71"/>
      <c r="D785" s="209"/>
      <c r="E785" s="71"/>
      <c r="F785" s="209"/>
      <c r="G785" s="71"/>
      <c r="H785" s="209"/>
      <c r="I785" s="28"/>
      <c r="J785" s="209"/>
      <c r="K785" s="65"/>
      <c r="L785" s="65"/>
      <c r="M785" s="65"/>
      <c r="N785" s="65"/>
      <c r="O785" s="65"/>
      <c r="P785" s="65"/>
      <c r="Q785" s="65"/>
      <c r="R785" s="65"/>
      <c r="S785" s="65"/>
      <c r="T785" s="65"/>
      <c r="U785" s="65"/>
      <c r="V785" s="65"/>
      <c r="W785" s="65"/>
    </row>
    <row r="786">
      <c r="A786" s="71"/>
      <c r="B786" s="209"/>
      <c r="C786" s="71"/>
      <c r="D786" s="209"/>
      <c r="E786" s="71"/>
      <c r="F786" s="209"/>
      <c r="G786" s="71"/>
      <c r="H786" s="209"/>
      <c r="I786" s="28"/>
      <c r="J786" s="209"/>
      <c r="K786" s="65"/>
      <c r="L786" s="65"/>
      <c r="M786" s="65"/>
      <c r="N786" s="65"/>
      <c r="O786" s="65"/>
      <c r="P786" s="65"/>
      <c r="Q786" s="65"/>
      <c r="R786" s="65"/>
      <c r="S786" s="65"/>
      <c r="T786" s="65"/>
      <c r="U786" s="65"/>
      <c r="V786" s="65"/>
      <c r="W786" s="65"/>
    </row>
    <row r="787">
      <c r="A787" s="71"/>
      <c r="B787" s="209"/>
      <c r="C787" s="71"/>
      <c r="D787" s="209"/>
      <c r="E787" s="71"/>
      <c r="F787" s="209"/>
      <c r="G787" s="71"/>
      <c r="H787" s="209"/>
      <c r="I787" s="28"/>
      <c r="J787" s="209"/>
      <c r="K787" s="65"/>
      <c r="L787" s="65"/>
      <c r="M787" s="65"/>
      <c r="N787" s="65"/>
      <c r="O787" s="65"/>
      <c r="P787" s="65"/>
      <c r="Q787" s="65"/>
      <c r="R787" s="65"/>
      <c r="S787" s="65"/>
      <c r="T787" s="65"/>
      <c r="U787" s="65"/>
      <c r="V787" s="65"/>
      <c r="W787" s="65"/>
    </row>
    <row r="788">
      <c r="A788" s="71"/>
      <c r="B788" s="209"/>
      <c r="C788" s="71"/>
      <c r="D788" s="209"/>
      <c r="E788" s="71"/>
      <c r="F788" s="209"/>
      <c r="G788" s="71"/>
      <c r="H788" s="209"/>
      <c r="I788" s="28"/>
      <c r="J788" s="209"/>
      <c r="K788" s="65"/>
      <c r="L788" s="65"/>
      <c r="M788" s="65"/>
      <c r="N788" s="65"/>
      <c r="O788" s="65"/>
      <c r="P788" s="65"/>
      <c r="Q788" s="65"/>
      <c r="R788" s="65"/>
      <c r="S788" s="65"/>
      <c r="T788" s="65"/>
      <c r="U788" s="65"/>
      <c r="V788" s="65"/>
      <c r="W788" s="65"/>
    </row>
    <row r="789">
      <c r="A789" s="71"/>
      <c r="B789" s="209"/>
      <c r="C789" s="71"/>
      <c r="D789" s="209"/>
      <c r="E789" s="71"/>
      <c r="F789" s="209"/>
      <c r="G789" s="71"/>
      <c r="H789" s="209"/>
      <c r="I789" s="28"/>
      <c r="J789" s="209"/>
      <c r="K789" s="65"/>
      <c r="L789" s="65"/>
      <c r="M789" s="65"/>
      <c r="N789" s="65"/>
      <c r="O789" s="65"/>
      <c r="P789" s="65"/>
      <c r="Q789" s="65"/>
      <c r="R789" s="65"/>
      <c r="S789" s="65"/>
      <c r="T789" s="65"/>
      <c r="U789" s="65"/>
      <c r="V789" s="65"/>
      <c r="W789" s="65"/>
    </row>
    <row r="790">
      <c r="A790" s="71"/>
      <c r="B790" s="209"/>
      <c r="C790" s="71"/>
      <c r="D790" s="209"/>
      <c r="E790" s="71"/>
      <c r="F790" s="209"/>
      <c r="G790" s="71"/>
      <c r="H790" s="209"/>
      <c r="I790" s="28"/>
      <c r="J790" s="209"/>
      <c r="K790" s="65"/>
      <c r="L790" s="65"/>
      <c r="M790" s="65"/>
      <c r="N790" s="65"/>
      <c r="O790" s="65"/>
      <c r="P790" s="65"/>
      <c r="Q790" s="65"/>
      <c r="R790" s="65"/>
      <c r="S790" s="65"/>
      <c r="T790" s="65"/>
      <c r="U790" s="65"/>
      <c r="V790" s="65"/>
      <c r="W790" s="65"/>
    </row>
    <row r="791">
      <c r="A791" s="71"/>
      <c r="B791" s="209"/>
      <c r="C791" s="71"/>
      <c r="D791" s="209"/>
      <c r="E791" s="71"/>
      <c r="F791" s="209"/>
      <c r="G791" s="71"/>
      <c r="H791" s="209"/>
      <c r="I791" s="28"/>
      <c r="J791" s="209"/>
      <c r="K791" s="65"/>
      <c r="L791" s="65"/>
      <c r="M791" s="65"/>
      <c r="N791" s="65"/>
      <c r="O791" s="65"/>
      <c r="P791" s="65"/>
      <c r="Q791" s="65"/>
      <c r="R791" s="65"/>
      <c r="S791" s="65"/>
      <c r="T791" s="65"/>
      <c r="U791" s="65"/>
      <c r="V791" s="65"/>
      <c r="W791" s="65"/>
    </row>
    <row r="792">
      <c r="A792" s="71"/>
      <c r="B792" s="209"/>
      <c r="C792" s="71"/>
      <c r="D792" s="209"/>
      <c r="E792" s="71"/>
      <c r="F792" s="209"/>
      <c r="G792" s="71"/>
      <c r="H792" s="209"/>
      <c r="I792" s="28"/>
      <c r="J792" s="209"/>
      <c r="K792" s="65"/>
      <c r="L792" s="65"/>
      <c r="M792" s="65"/>
      <c r="N792" s="65"/>
      <c r="O792" s="65"/>
      <c r="P792" s="65"/>
      <c r="Q792" s="65"/>
      <c r="R792" s="65"/>
      <c r="S792" s="65"/>
      <c r="T792" s="65"/>
      <c r="U792" s="65"/>
      <c r="V792" s="65"/>
      <c r="W792" s="65"/>
    </row>
    <row r="793">
      <c r="A793" s="71"/>
      <c r="B793" s="209"/>
      <c r="C793" s="71"/>
      <c r="D793" s="209"/>
      <c r="E793" s="71"/>
      <c r="F793" s="209"/>
      <c r="G793" s="71"/>
      <c r="H793" s="209"/>
      <c r="I793" s="28"/>
      <c r="J793" s="209"/>
      <c r="K793" s="65"/>
      <c r="L793" s="65"/>
      <c r="M793" s="65"/>
      <c r="N793" s="65"/>
      <c r="O793" s="65"/>
      <c r="P793" s="65"/>
      <c r="Q793" s="65"/>
      <c r="R793" s="65"/>
      <c r="S793" s="65"/>
      <c r="T793" s="65"/>
      <c r="U793" s="65"/>
      <c r="V793" s="65"/>
      <c r="W793" s="65"/>
    </row>
    <row r="794">
      <c r="A794" s="71"/>
      <c r="B794" s="209"/>
      <c r="C794" s="71"/>
      <c r="D794" s="209"/>
      <c r="E794" s="71"/>
      <c r="F794" s="209"/>
      <c r="G794" s="71"/>
      <c r="H794" s="209"/>
      <c r="I794" s="28"/>
      <c r="J794" s="209"/>
      <c r="K794" s="65"/>
      <c r="L794" s="65"/>
      <c r="M794" s="65"/>
      <c r="N794" s="65"/>
      <c r="O794" s="65"/>
      <c r="P794" s="65"/>
      <c r="Q794" s="65"/>
      <c r="R794" s="65"/>
      <c r="S794" s="65"/>
      <c r="T794" s="65"/>
      <c r="U794" s="65"/>
      <c r="V794" s="65"/>
      <c r="W794" s="65"/>
    </row>
    <row r="795">
      <c r="A795" s="71"/>
      <c r="B795" s="209"/>
      <c r="C795" s="71"/>
      <c r="D795" s="209"/>
      <c r="E795" s="71"/>
      <c r="F795" s="209"/>
      <c r="G795" s="71"/>
      <c r="H795" s="209"/>
      <c r="I795" s="28"/>
      <c r="J795" s="209"/>
      <c r="K795" s="65"/>
      <c r="L795" s="65"/>
      <c r="M795" s="65"/>
      <c r="N795" s="65"/>
      <c r="O795" s="65"/>
      <c r="P795" s="65"/>
      <c r="Q795" s="65"/>
      <c r="R795" s="65"/>
      <c r="S795" s="65"/>
      <c r="T795" s="65"/>
      <c r="U795" s="65"/>
      <c r="V795" s="65"/>
      <c r="W795" s="65"/>
    </row>
    <row r="796">
      <c r="A796" s="71"/>
      <c r="B796" s="209"/>
      <c r="C796" s="71"/>
      <c r="D796" s="209"/>
      <c r="E796" s="71"/>
      <c r="F796" s="209"/>
      <c r="G796" s="71"/>
      <c r="H796" s="209"/>
      <c r="I796" s="28"/>
      <c r="J796" s="209"/>
      <c r="K796" s="65"/>
      <c r="L796" s="65"/>
      <c r="M796" s="65"/>
      <c r="N796" s="65"/>
      <c r="O796" s="65"/>
      <c r="P796" s="65"/>
      <c r="Q796" s="65"/>
      <c r="R796" s="65"/>
      <c r="S796" s="65"/>
      <c r="T796" s="65"/>
      <c r="U796" s="65"/>
      <c r="V796" s="65"/>
      <c r="W796" s="65"/>
    </row>
    <row r="797">
      <c r="A797" s="71"/>
      <c r="B797" s="209"/>
      <c r="C797" s="71"/>
      <c r="D797" s="209"/>
      <c r="E797" s="71"/>
      <c r="F797" s="209"/>
      <c r="G797" s="71"/>
      <c r="H797" s="209"/>
      <c r="I797" s="28"/>
      <c r="J797" s="209"/>
      <c r="K797" s="65"/>
      <c r="L797" s="65"/>
      <c r="M797" s="65"/>
      <c r="N797" s="65"/>
      <c r="O797" s="65"/>
      <c r="P797" s="65"/>
      <c r="Q797" s="65"/>
      <c r="R797" s="65"/>
      <c r="S797" s="65"/>
      <c r="T797" s="65"/>
      <c r="U797" s="65"/>
      <c r="V797" s="65"/>
      <c r="W797" s="65"/>
    </row>
    <row r="798">
      <c r="A798" s="71"/>
      <c r="B798" s="209"/>
      <c r="C798" s="71"/>
      <c r="D798" s="209"/>
      <c r="E798" s="71"/>
      <c r="F798" s="209"/>
      <c r="G798" s="71"/>
      <c r="H798" s="209"/>
      <c r="I798" s="28"/>
      <c r="J798" s="209"/>
      <c r="K798" s="65"/>
      <c r="L798" s="65"/>
      <c r="M798" s="65"/>
      <c r="N798" s="65"/>
      <c r="O798" s="65"/>
      <c r="P798" s="65"/>
      <c r="Q798" s="65"/>
      <c r="R798" s="65"/>
      <c r="S798" s="65"/>
      <c r="T798" s="65"/>
      <c r="U798" s="65"/>
      <c r="V798" s="65"/>
      <c r="W798" s="65"/>
    </row>
    <row r="799">
      <c r="A799" s="71"/>
      <c r="B799" s="209"/>
      <c r="C799" s="71"/>
      <c r="D799" s="209"/>
      <c r="E799" s="71"/>
      <c r="F799" s="209"/>
      <c r="G799" s="71"/>
      <c r="H799" s="209"/>
      <c r="I799" s="28"/>
      <c r="J799" s="209"/>
      <c r="K799" s="65"/>
      <c r="L799" s="65"/>
      <c r="M799" s="65"/>
      <c r="N799" s="65"/>
      <c r="O799" s="65"/>
      <c r="P799" s="65"/>
      <c r="Q799" s="65"/>
      <c r="R799" s="65"/>
      <c r="S799" s="65"/>
      <c r="T799" s="65"/>
      <c r="U799" s="65"/>
      <c r="V799" s="65"/>
      <c r="W799" s="65"/>
    </row>
    <row r="800">
      <c r="A800" s="71"/>
      <c r="B800" s="209"/>
      <c r="C800" s="71"/>
      <c r="D800" s="209"/>
      <c r="E800" s="71"/>
      <c r="F800" s="209"/>
      <c r="G800" s="71"/>
      <c r="H800" s="209"/>
      <c r="I800" s="28"/>
      <c r="J800" s="209"/>
      <c r="K800" s="65"/>
      <c r="L800" s="65"/>
      <c r="M800" s="65"/>
      <c r="N800" s="65"/>
      <c r="O800" s="65"/>
      <c r="P800" s="65"/>
      <c r="Q800" s="65"/>
      <c r="R800" s="65"/>
      <c r="S800" s="65"/>
      <c r="T800" s="65"/>
      <c r="U800" s="65"/>
      <c r="V800" s="65"/>
      <c r="W800" s="65"/>
    </row>
    <row r="801">
      <c r="A801" s="71"/>
      <c r="B801" s="209"/>
      <c r="C801" s="71"/>
      <c r="D801" s="209"/>
      <c r="E801" s="71"/>
      <c r="F801" s="209"/>
      <c r="G801" s="71"/>
      <c r="H801" s="209"/>
      <c r="I801" s="28"/>
      <c r="J801" s="209"/>
      <c r="K801" s="65"/>
      <c r="L801" s="65"/>
      <c r="M801" s="65"/>
      <c r="N801" s="65"/>
      <c r="O801" s="65"/>
      <c r="P801" s="65"/>
      <c r="Q801" s="65"/>
      <c r="R801" s="65"/>
      <c r="S801" s="65"/>
      <c r="T801" s="65"/>
      <c r="U801" s="65"/>
      <c r="V801" s="65"/>
      <c r="W801" s="65"/>
    </row>
    <row r="802">
      <c r="A802" s="71"/>
      <c r="B802" s="209"/>
      <c r="C802" s="71"/>
      <c r="D802" s="209"/>
      <c r="E802" s="71"/>
      <c r="F802" s="209"/>
      <c r="G802" s="71"/>
      <c r="H802" s="209"/>
      <c r="I802" s="28"/>
      <c r="J802" s="209"/>
      <c r="K802" s="65"/>
      <c r="L802" s="65"/>
      <c r="M802" s="65"/>
      <c r="N802" s="65"/>
      <c r="O802" s="65"/>
      <c r="P802" s="65"/>
      <c r="Q802" s="65"/>
      <c r="R802" s="65"/>
      <c r="S802" s="65"/>
      <c r="T802" s="65"/>
      <c r="U802" s="65"/>
      <c r="V802" s="65"/>
      <c r="W802" s="65"/>
    </row>
    <row r="803">
      <c r="A803" s="71"/>
      <c r="B803" s="209"/>
      <c r="C803" s="71"/>
      <c r="D803" s="209"/>
      <c r="E803" s="71"/>
      <c r="F803" s="209"/>
      <c r="G803" s="71"/>
      <c r="H803" s="209"/>
      <c r="I803" s="28"/>
      <c r="J803" s="209"/>
      <c r="K803" s="65"/>
      <c r="L803" s="65"/>
      <c r="M803" s="65"/>
      <c r="N803" s="65"/>
      <c r="O803" s="65"/>
      <c r="P803" s="65"/>
      <c r="Q803" s="65"/>
      <c r="R803" s="65"/>
      <c r="S803" s="65"/>
      <c r="T803" s="65"/>
      <c r="U803" s="65"/>
      <c r="V803" s="65"/>
      <c r="W803" s="65"/>
    </row>
    <row r="804">
      <c r="A804" s="71"/>
      <c r="B804" s="209"/>
      <c r="C804" s="71"/>
      <c r="D804" s="209"/>
      <c r="E804" s="71"/>
      <c r="F804" s="209"/>
      <c r="G804" s="71"/>
      <c r="H804" s="209"/>
      <c r="I804" s="28"/>
      <c r="J804" s="209"/>
      <c r="K804" s="65"/>
      <c r="L804" s="65"/>
      <c r="M804" s="65"/>
      <c r="N804" s="65"/>
      <c r="O804" s="65"/>
      <c r="P804" s="65"/>
      <c r="Q804" s="65"/>
      <c r="R804" s="65"/>
      <c r="S804" s="65"/>
      <c r="T804" s="65"/>
      <c r="U804" s="65"/>
      <c r="V804" s="65"/>
      <c r="W804" s="65"/>
    </row>
    <row r="805">
      <c r="A805" s="71"/>
      <c r="B805" s="209"/>
      <c r="C805" s="71"/>
      <c r="D805" s="209"/>
      <c r="E805" s="71"/>
      <c r="F805" s="209"/>
      <c r="G805" s="71"/>
      <c r="H805" s="209"/>
      <c r="I805" s="28"/>
      <c r="J805" s="209"/>
      <c r="K805" s="65"/>
      <c r="L805" s="65"/>
      <c r="M805" s="65"/>
      <c r="N805" s="65"/>
      <c r="O805" s="65"/>
      <c r="P805" s="65"/>
      <c r="Q805" s="65"/>
      <c r="R805" s="65"/>
      <c r="S805" s="65"/>
      <c r="T805" s="65"/>
      <c r="U805" s="65"/>
      <c r="V805" s="65"/>
      <c r="W805" s="65"/>
    </row>
    <row r="806">
      <c r="A806" s="71"/>
      <c r="B806" s="209"/>
      <c r="C806" s="71"/>
      <c r="D806" s="209"/>
      <c r="E806" s="71"/>
      <c r="F806" s="209"/>
      <c r="G806" s="71"/>
      <c r="H806" s="209"/>
      <c r="I806" s="28"/>
      <c r="J806" s="209"/>
      <c r="K806" s="65"/>
      <c r="L806" s="65"/>
      <c r="M806" s="65"/>
      <c r="N806" s="65"/>
      <c r="O806" s="65"/>
      <c r="P806" s="65"/>
      <c r="Q806" s="65"/>
      <c r="R806" s="65"/>
      <c r="S806" s="65"/>
      <c r="T806" s="65"/>
      <c r="U806" s="65"/>
      <c r="V806" s="65"/>
      <c r="W806" s="65"/>
    </row>
    <row r="807">
      <c r="A807" s="71"/>
      <c r="B807" s="209"/>
      <c r="C807" s="71"/>
      <c r="D807" s="209"/>
      <c r="E807" s="71"/>
      <c r="F807" s="209"/>
      <c r="G807" s="71"/>
      <c r="H807" s="209"/>
      <c r="I807" s="28"/>
      <c r="J807" s="209"/>
      <c r="K807" s="65"/>
      <c r="L807" s="65"/>
      <c r="M807" s="65"/>
      <c r="N807" s="65"/>
      <c r="O807" s="65"/>
      <c r="P807" s="65"/>
      <c r="Q807" s="65"/>
      <c r="R807" s="65"/>
      <c r="S807" s="65"/>
      <c r="T807" s="65"/>
      <c r="U807" s="65"/>
      <c r="V807" s="65"/>
      <c r="W807" s="65"/>
    </row>
    <row r="808">
      <c r="A808" s="71"/>
      <c r="B808" s="209"/>
      <c r="C808" s="71"/>
      <c r="D808" s="209"/>
      <c r="E808" s="71"/>
      <c r="F808" s="209"/>
      <c r="G808" s="71"/>
      <c r="H808" s="209"/>
      <c r="I808" s="28"/>
      <c r="J808" s="209"/>
      <c r="K808" s="65"/>
      <c r="L808" s="65"/>
      <c r="M808" s="65"/>
      <c r="N808" s="65"/>
      <c r="O808" s="65"/>
      <c r="P808" s="65"/>
      <c r="Q808" s="65"/>
      <c r="R808" s="65"/>
      <c r="S808" s="65"/>
      <c r="T808" s="65"/>
      <c r="U808" s="65"/>
      <c r="V808" s="65"/>
      <c r="W808" s="65"/>
    </row>
    <row r="809">
      <c r="A809" s="71"/>
      <c r="B809" s="209"/>
      <c r="C809" s="71"/>
      <c r="D809" s="209"/>
      <c r="E809" s="71"/>
      <c r="F809" s="209"/>
      <c r="G809" s="71"/>
      <c r="H809" s="209"/>
      <c r="I809" s="28"/>
      <c r="J809" s="209"/>
      <c r="K809" s="65"/>
      <c r="L809" s="65"/>
      <c r="M809" s="65"/>
      <c r="N809" s="65"/>
      <c r="O809" s="65"/>
      <c r="P809" s="65"/>
      <c r="Q809" s="65"/>
      <c r="R809" s="65"/>
      <c r="S809" s="65"/>
      <c r="T809" s="65"/>
      <c r="U809" s="65"/>
      <c r="V809" s="65"/>
      <c r="W809" s="65"/>
    </row>
    <row r="810">
      <c r="A810" s="71"/>
      <c r="B810" s="209"/>
      <c r="C810" s="71"/>
      <c r="D810" s="209"/>
      <c r="E810" s="71"/>
      <c r="F810" s="209"/>
      <c r="G810" s="71"/>
      <c r="H810" s="209"/>
      <c r="I810" s="28"/>
      <c r="J810" s="209"/>
      <c r="K810" s="65"/>
      <c r="L810" s="65"/>
      <c r="M810" s="65"/>
      <c r="N810" s="65"/>
      <c r="O810" s="65"/>
      <c r="P810" s="65"/>
      <c r="Q810" s="65"/>
      <c r="R810" s="65"/>
      <c r="S810" s="65"/>
      <c r="T810" s="65"/>
      <c r="U810" s="65"/>
      <c r="V810" s="65"/>
      <c r="W810" s="65"/>
    </row>
    <row r="811">
      <c r="A811" s="71"/>
      <c r="B811" s="209"/>
      <c r="C811" s="71"/>
      <c r="D811" s="209"/>
      <c r="E811" s="71"/>
      <c r="F811" s="209"/>
      <c r="G811" s="71"/>
      <c r="H811" s="209"/>
      <c r="I811" s="28"/>
      <c r="J811" s="209"/>
      <c r="K811" s="65"/>
      <c r="L811" s="65"/>
      <c r="M811" s="65"/>
      <c r="N811" s="65"/>
      <c r="O811" s="65"/>
      <c r="P811" s="65"/>
      <c r="Q811" s="65"/>
      <c r="R811" s="65"/>
      <c r="S811" s="65"/>
      <c r="T811" s="65"/>
      <c r="U811" s="65"/>
      <c r="V811" s="65"/>
      <c r="W811" s="65"/>
    </row>
    <row r="812">
      <c r="A812" s="71"/>
      <c r="B812" s="209"/>
      <c r="C812" s="71"/>
      <c r="D812" s="209"/>
      <c r="E812" s="71"/>
      <c r="F812" s="209"/>
      <c r="G812" s="71"/>
      <c r="H812" s="209"/>
      <c r="I812" s="28"/>
      <c r="J812" s="209"/>
      <c r="K812" s="65"/>
      <c r="L812" s="65"/>
      <c r="M812" s="65"/>
      <c r="N812" s="65"/>
      <c r="O812" s="65"/>
      <c r="P812" s="65"/>
      <c r="Q812" s="65"/>
      <c r="R812" s="65"/>
      <c r="S812" s="65"/>
      <c r="T812" s="65"/>
      <c r="U812" s="65"/>
      <c r="V812" s="65"/>
      <c r="W812" s="65"/>
    </row>
    <row r="813">
      <c r="A813" s="71"/>
      <c r="B813" s="209"/>
      <c r="C813" s="71"/>
      <c r="D813" s="209"/>
      <c r="E813" s="71"/>
      <c r="F813" s="209"/>
      <c r="G813" s="71"/>
      <c r="H813" s="209"/>
      <c r="I813" s="28"/>
      <c r="J813" s="209"/>
      <c r="K813" s="65"/>
      <c r="L813" s="65"/>
      <c r="M813" s="65"/>
      <c r="N813" s="65"/>
      <c r="O813" s="65"/>
      <c r="P813" s="65"/>
      <c r="Q813" s="65"/>
      <c r="R813" s="65"/>
      <c r="S813" s="65"/>
      <c r="T813" s="65"/>
      <c r="U813" s="65"/>
      <c r="V813" s="65"/>
      <c r="W813" s="65"/>
    </row>
    <row r="814">
      <c r="A814" s="71"/>
      <c r="B814" s="209"/>
      <c r="C814" s="71"/>
      <c r="D814" s="209"/>
      <c r="E814" s="71"/>
      <c r="F814" s="209"/>
      <c r="G814" s="71"/>
      <c r="H814" s="209"/>
      <c r="I814" s="28"/>
      <c r="J814" s="209"/>
      <c r="K814" s="65"/>
      <c r="L814" s="65"/>
      <c r="M814" s="65"/>
      <c r="N814" s="65"/>
      <c r="O814" s="65"/>
      <c r="P814" s="65"/>
      <c r="Q814" s="65"/>
      <c r="R814" s="65"/>
      <c r="S814" s="65"/>
      <c r="T814" s="65"/>
      <c r="U814" s="65"/>
      <c r="V814" s="65"/>
      <c r="W814" s="65"/>
    </row>
    <row r="815">
      <c r="A815" s="71"/>
      <c r="B815" s="209"/>
      <c r="C815" s="71"/>
      <c r="D815" s="209"/>
      <c r="E815" s="71"/>
      <c r="F815" s="209"/>
      <c r="G815" s="71"/>
      <c r="H815" s="209"/>
      <c r="I815" s="28"/>
      <c r="J815" s="209"/>
      <c r="K815" s="65"/>
      <c r="L815" s="65"/>
      <c r="M815" s="65"/>
      <c r="N815" s="65"/>
      <c r="O815" s="65"/>
      <c r="P815" s="65"/>
      <c r="Q815" s="65"/>
      <c r="R815" s="65"/>
      <c r="S815" s="65"/>
      <c r="T815" s="65"/>
      <c r="U815" s="65"/>
      <c r="V815" s="65"/>
      <c r="W815" s="65"/>
    </row>
    <row r="816">
      <c r="A816" s="71"/>
      <c r="B816" s="209"/>
      <c r="C816" s="71"/>
      <c r="D816" s="209"/>
      <c r="E816" s="71"/>
      <c r="F816" s="209"/>
      <c r="G816" s="71"/>
      <c r="H816" s="209"/>
      <c r="I816" s="28"/>
      <c r="J816" s="209"/>
      <c r="K816" s="65"/>
      <c r="L816" s="65"/>
      <c r="M816" s="65"/>
      <c r="N816" s="65"/>
      <c r="O816" s="65"/>
      <c r="P816" s="65"/>
      <c r="Q816" s="65"/>
      <c r="R816" s="65"/>
      <c r="S816" s="65"/>
      <c r="T816" s="65"/>
      <c r="U816" s="65"/>
      <c r="V816" s="65"/>
      <c r="W816" s="65"/>
    </row>
    <row r="817">
      <c r="A817" s="71"/>
      <c r="B817" s="209"/>
      <c r="C817" s="71"/>
      <c r="D817" s="209"/>
      <c r="E817" s="71"/>
      <c r="F817" s="209"/>
      <c r="G817" s="71"/>
      <c r="H817" s="209"/>
      <c r="I817" s="28"/>
      <c r="J817" s="209"/>
      <c r="K817" s="65"/>
      <c r="L817" s="65"/>
      <c r="M817" s="65"/>
      <c r="N817" s="65"/>
      <c r="O817" s="65"/>
      <c r="P817" s="65"/>
      <c r="Q817" s="65"/>
      <c r="R817" s="65"/>
      <c r="S817" s="65"/>
      <c r="T817" s="65"/>
      <c r="U817" s="65"/>
      <c r="V817" s="65"/>
      <c r="W817" s="65"/>
    </row>
    <row r="818">
      <c r="A818" s="71"/>
      <c r="B818" s="209"/>
      <c r="C818" s="71"/>
      <c r="D818" s="209"/>
      <c r="E818" s="71"/>
      <c r="F818" s="209"/>
      <c r="G818" s="71"/>
      <c r="H818" s="209"/>
      <c r="I818" s="28"/>
      <c r="J818" s="209"/>
      <c r="K818" s="65"/>
      <c r="L818" s="65"/>
      <c r="M818" s="65"/>
      <c r="N818" s="65"/>
      <c r="O818" s="65"/>
      <c r="P818" s="65"/>
      <c r="Q818" s="65"/>
      <c r="R818" s="65"/>
      <c r="S818" s="65"/>
      <c r="T818" s="65"/>
      <c r="U818" s="65"/>
      <c r="V818" s="65"/>
      <c r="W818" s="65"/>
    </row>
    <row r="819">
      <c r="A819" s="71"/>
      <c r="B819" s="209"/>
      <c r="C819" s="71"/>
      <c r="D819" s="209"/>
      <c r="E819" s="71"/>
      <c r="F819" s="209"/>
      <c r="G819" s="71"/>
      <c r="H819" s="209"/>
      <c r="I819" s="28"/>
      <c r="J819" s="209"/>
      <c r="K819" s="65"/>
      <c r="L819" s="65"/>
      <c r="M819" s="65"/>
      <c r="N819" s="65"/>
      <c r="O819" s="65"/>
      <c r="P819" s="65"/>
      <c r="Q819" s="65"/>
      <c r="R819" s="65"/>
      <c r="S819" s="65"/>
      <c r="T819" s="65"/>
      <c r="U819" s="65"/>
      <c r="V819" s="65"/>
      <c r="W819" s="65"/>
    </row>
    <row r="820">
      <c r="A820" s="71"/>
      <c r="B820" s="209"/>
      <c r="C820" s="71"/>
      <c r="D820" s="209"/>
      <c r="E820" s="71"/>
      <c r="F820" s="209"/>
      <c r="G820" s="71"/>
      <c r="H820" s="209"/>
      <c r="I820" s="28"/>
      <c r="J820" s="209"/>
      <c r="K820" s="65"/>
      <c r="L820" s="65"/>
      <c r="M820" s="65"/>
      <c r="N820" s="65"/>
      <c r="O820" s="65"/>
      <c r="P820" s="65"/>
      <c r="Q820" s="65"/>
      <c r="R820" s="65"/>
      <c r="S820" s="65"/>
      <c r="T820" s="65"/>
      <c r="U820" s="65"/>
      <c r="V820" s="65"/>
      <c r="W820" s="65"/>
    </row>
    <row r="821">
      <c r="A821" s="71"/>
      <c r="B821" s="209"/>
      <c r="C821" s="71"/>
      <c r="D821" s="209"/>
      <c r="E821" s="71"/>
      <c r="F821" s="209"/>
      <c r="G821" s="71"/>
      <c r="H821" s="209"/>
      <c r="I821" s="28"/>
      <c r="J821" s="209"/>
      <c r="K821" s="65"/>
      <c r="L821" s="65"/>
      <c r="M821" s="65"/>
      <c r="N821" s="65"/>
      <c r="O821" s="65"/>
      <c r="P821" s="65"/>
      <c r="Q821" s="65"/>
      <c r="R821" s="65"/>
      <c r="S821" s="65"/>
      <c r="T821" s="65"/>
      <c r="U821" s="65"/>
      <c r="V821" s="65"/>
      <c r="W821" s="65"/>
    </row>
    <row r="822">
      <c r="A822" s="71"/>
      <c r="B822" s="209"/>
      <c r="C822" s="71"/>
      <c r="D822" s="209"/>
      <c r="E822" s="71"/>
      <c r="F822" s="209"/>
      <c r="G822" s="71"/>
      <c r="H822" s="209"/>
      <c r="I822" s="28"/>
      <c r="J822" s="209"/>
      <c r="K822" s="65"/>
      <c r="L822" s="65"/>
      <c r="M822" s="65"/>
      <c r="N822" s="65"/>
      <c r="O822" s="65"/>
      <c r="P822" s="65"/>
      <c r="Q822" s="65"/>
      <c r="R822" s="65"/>
      <c r="S822" s="65"/>
      <c r="T822" s="65"/>
      <c r="U822" s="65"/>
      <c r="V822" s="65"/>
      <c r="W822" s="65"/>
    </row>
    <row r="823">
      <c r="A823" s="71"/>
      <c r="B823" s="209"/>
      <c r="C823" s="71"/>
      <c r="D823" s="209"/>
      <c r="E823" s="71"/>
      <c r="F823" s="209"/>
      <c r="G823" s="71"/>
      <c r="H823" s="209"/>
      <c r="I823" s="28"/>
      <c r="J823" s="209"/>
      <c r="K823" s="65"/>
      <c r="L823" s="65"/>
      <c r="M823" s="65"/>
      <c r="N823" s="65"/>
      <c r="O823" s="65"/>
      <c r="P823" s="65"/>
      <c r="Q823" s="65"/>
      <c r="R823" s="65"/>
      <c r="S823" s="65"/>
      <c r="T823" s="65"/>
      <c r="U823" s="65"/>
      <c r="V823" s="65"/>
      <c r="W823" s="65"/>
    </row>
    <row r="824">
      <c r="A824" s="71"/>
      <c r="B824" s="209"/>
      <c r="C824" s="71"/>
      <c r="D824" s="209"/>
      <c r="E824" s="71"/>
      <c r="F824" s="209"/>
      <c r="G824" s="71"/>
      <c r="H824" s="209"/>
      <c r="I824" s="28"/>
      <c r="J824" s="209"/>
      <c r="K824" s="65"/>
      <c r="L824" s="65"/>
      <c r="M824" s="65"/>
      <c r="N824" s="65"/>
      <c r="O824" s="65"/>
      <c r="P824" s="65"/>
      <c r="Q824" s="65"/>
      <c r="R824" s="65"/>
      <c r="S824" s="65"/>
      <c r="T824" s="65"/>
      <c r="U824" s="65"/>
      <c r="V824" s="65"/>
      <c r="W824" s="65"/>
    </row>
    <row r="825">
      <c r="A825" s="71"/>
      <c r="B825" s="209"/>
      <c r="C825" s="71"/>
      <c r="D825" s="209"/>
      <c r="E825" s="71"/>
      <c r="F825" s="209"/>
      <c r="G825" s="71"/>
      <c r="H825" s="209"/>
      <c r="I825" s="28"/>
      <c r="J825" s="209"/>
      <c r="K825" s="65"/>
      <c r="L825" s="65"/>
      <c r="M825" s="65"/>
      <c r="N825" s="65"/>
      <c r="O825" s="65"/>
      <c r="P825" s="65"/>
      <c r="Q825" s="65"/>
      <c r="R825" s="65"/>
      <c r="S825" s="65"/>
      <c r="T825" s="65"/>
      <c r="U825" s="65"/>
      <c r="V825" s="65"/>
      <c r="W825" s="65"/>
    </row>
    <row r="826">
      <c r="A826" s="71"/>
      <c r="B826" s="209"/>
      <c r="C826" s="71"/>
      <c r="D826" s="209"/>
      <c r="E826" s="71"/>
      <c r="F826" s="209"/>
      <c r="G826" s="71"/>
      <c r="H826" s="209"/>
      <c r="I826" s="28"/>
      <c r="J826" s="209"/>
      <c r="K826" s="65"/>
      <c r="L826" s="65"/>
      <c r="M826" s="65"/>
      <c r="N826" s="65"/>
      <c r="O826" s="65"/>
      <c r="P826" s="65"/>
      <c r="Q826" s="65"/>
      <c r="R826" s="65"/>
      <c r="S826" s="65"/>
      <c r="T826" s="65"/>
      <c r="U826" s="65"/>
      <c r="V826" s="65"/>
      <c r="W826" s="65"/>
    </row>
    <row r="827">
      <c r="A827" s="71"/>
      <c r="B827" s="209"/>
      <c r="C827" s="71"/>
      <c r="D827" s="209"/>
      <c r="E827" s="71"/>
      <c r="F827" s="209"/>
      <c r="G827" s="71"/>
      <c r="H827" s="209"/>
      <c r="I827" s="28"/>
      <c r="J827" s="209"/>
      <c r="K827" s="65"/>
      <c r="L827" s="65"/>
      <c r="M827" s="65"/>
      <c r="N827" s="65"/>
      <c r="O827" s="65"/>
      <c r="P827" s="65"/>
      <c r="Q827" s="65"/>
      <c r="R827" s="65"/>
      <c r="S827" s="65"/>
      <c r="T827" s="65"/>
      <c r="U827" s="65"/>
      <c r="V827" s="65"/>
      <c r="W827" s="65"/>
    </row>
    <row r="828">
      <c r="A828" s="71"/>
      <c r="B828" s="209"/>
      <c r="C828" s="71"/>
      <c r="D828" s="209"/>
      <c r="E828" s="71"/>
      <c r="F828" s="209"/>
      <c r="G828" s="71"/>
      <c r="H828" s="209"/>
      <c r="I828" s="28"/>
      <c r="J828" s="209"/>
      <c r="K828" s="65"/>
      <c r="L828" s="65"/>
      <c r="M828" s="65"/>
      <c r="N828" s="65"/>
      <c r="O828" s="65"/>
      <c r="P828" s="65"/>
      <c r="Q828" s="65"/>
      <c r="R828" s="65"/>
      <c r="S828" s="65"/>
      <c r="T828" s="65"/>
      <c r="U828" s="65"/>
      <c r="V828" s="65"/>
      <c r="W828" s="65"/>
    </row>
    <row r="829">
      <c r="A829" s="71"/>
      <c r="B829" s="209"/>
      <c r="C829" s="71"/>
      <c r="D829" s="209"/>
      <c r="E829" s="71"/>
      <c r="F829" s="209"/>
      <c r="G829" s="71"/>
      <c r="H829" s="209"/>
      <c r="I829" s="28"/>
      <c r="J829" s="209"/>
      <c r="K829" s="65"/>
      <c r="L829" s="65"/>
      <c r="M829" s="65"/>
      <c r="N829" s="65"/>
      <c r="O829" s="65"/>
      <c r="P829" s="65"/>
      <c r="Q829" s="65"/>
      <c r="R829" s="65"/>
      <c r="S829" s="65"/>
      <c r="T829" s="65"/>
      <c r="U829" s="65"/>
      <c r="V829" s="65"/>
      <c r="W829" s="65"/>
    </row>
    <row r="830">
      <c r="A830" s="71"/>
      <c r="B830" s="209"/>
      <c r="C830" s="71"/>
      <c r="D830" s="209"/>
      <c r="E830" s="71"/>
      <c r="F830" s="209"/>
      <c r="G830" s="71"/>
      <c r="H830" s="209"/>
      <c r="I830" s="28"/>
      <c r="J830" s="209"/>
      <c r="K830" s="65"/>
      <c r="L830" s="65"/>
      <c r="M830" s="65"/>
      <c r="N830" s="65"/>
      <c r="O830" s="65"/>
      <c r="P830" s="65"/>
      <c r="Q830" s="65"/>
      <c r="R830" s="65"/>
      <c r="S830" s="65"/>
      <c r="T830" s="65"/>
      <c r="U830" s="65"/>
      <c r="V830" s="65"/>
      <c r="W830" s="65"/>
    </row>
    <row r="831">
      <c r="A831" s="71"/>
      <c r="B831" s="209"/>
      <c r="C831" s="71"/>
      <c r="D831" s="209"/>
      <c r="E831" s="71"/>
      <c r="F831" s="209"/>
      <c r="G831" s="71"/>
      <c r="H831" s="209"/>
      <c r="I831" s="28"/>
      <c r="J831" s="209"/>
      <c r="K831" s="65"/>
      <c r="L831" s="65"/>
      <c r="M831" s="65"/>
      <c r="N831" s="65"/>
      <c r="O831" s="65"/>
      <c r="P831" s="65"/>
      <c r="Q831" s="65"/>
      <c r="R831" s="65"/>
      <c r="S831" s="65"/>
      <c r="T831" s="65"/>
      <c r="U831" s="65"/>
      <c r="V831" s="65"/>
      <c r="W831" s="65"/>
    </row>
    <row r="832">
      <c r="A832" s="71"/>
      <c r="B832" s="209"/>
      <c r="C832" s="71"/>
      <c r="D832" s="209"/>
      <c r="E832" s="71"/>
      <c r="F832" s="209"/>
      <c r="G832" s="71"/>
      <c r="H832" s="209"/>
      <c r="I832" s="28"/>
      <c r="J832" s="209"/>
      <c r="K832" s="65"/>
      <c r="L832" s="65"/>
      <c r="M832" s="65"/>
      <c r="N832" s="65"/>
      <c r="O832" s="65"/>
      <c r="P832" s="65"/>
      <c r="Q832" s="65"/>
      <c r="R832" s="65"/>
      <c r="S832" s="65"/>
      <c r="T832" s="65"/>
      <c r="U832" s="65"/>
      <c r="V832" s="65"/>
      <c r="W832" s="65"/>
    </row>
    <row r="833">
      <c r="A833" s="71"/>
      <c r="B833" s="209"/>
      <c r="C833" s="71"/>
      <c r="D833" s="209"/>
      <c r="E833" s="71"/>
      <c r="F833" s="209"/>
      <c r="G833" s="71"/>
      <c r="H833" s="209"/>
      <c r="I833" s="28"/>
      <c r="J833" s="209"/>
      <c r="K833" s="65"/>
      <c r="L833" s="65"/>
      <c r="M833" s="65"/>
      <c r="N833" s="65"/>
      <c r="O833" s="65"/>
      <c r="P833" s="65"/>
      <c r="Q833" s="65"/>
      <c r="R833" s="65"/>
      <c r="S833" s="65"/>
      <c r="T833" s="65"/>
      <c r="U833" s="65"/>
      <c r="V833" s="65"/>
      <c r="W833" s="65"/>
    </row>
    <row r="834">
      <c r="A834" s="71"/>
      <c r="B834" s="209"/>
      <c r="C834" s="71"/>
      <c r="D834" s="209"/>
      <c r="E834" s="71"/>
      <c r="F834" s="209"/>
      <c r="G834" s="71"/>
      <c r="H834" s="209"/>
      <c r="I834" s="28"/>
      <c r="J834" s="209"/>
      <c r="K834" s="65"/>
      <c r="L834" s="65"/>
      <c r="M834" s="65"/>
      <c r="N834" s="65"/>
      <c r="O834" s="65"/>
      <c r="P834" s="65"/>
      <c r="Q834" s="65"/>
      <c r="R834" s="65"/>
      <c r="S834" s="65"/>
      <c r="T834" s="65"/>
      <c r="U834" s="65"/>
      <c r="V834" s="65"/>
      <c r="W834" s="65"/>
    </row>
    <row r="835">
      <c r="A835" s="71"/>
      <c r="B835" s="209"/>
      <c r="C835" s="71"/>
      <c r="D835" s="209"/>
      <c r="E835" s="71"/>
      <c r="F835" s="209"/>
      <c r="G835" s="71"/>
      <c r="H835" s="209"/>
      <c r="I835" s="28"/>
      <c r="J835" s="209"/>
      <c r="K835" s="65"/>
      <c r="L835" s="65"/>
      <c r="M835" s="65"/>
      <c r="N835" s="65"/>
      <c r="O835" s="65"/>
      <c r="P835" s="65"/>
      <c r="Q835" s="65"/>
      <c r="R835" s="65"/>
      <c r="S835" s="65"/>
      <c r="T835" s="65"/>
      <c r="U835" s="65"/>
      <c r="V835" s="65"/>
      <c r="W835" s="65"/>
    </row>
    <row r="836">
      <c r="A836" s="71"/>
      <c r="B836" s="209"/>
      <c r="C836" s="71"/>
      <c r="D836" s="209"/>
      <c r="E836" s="71"/>
      <c r="F836" s="209"/>
      <c r="G836" s="71"/>
      <c r="H836" s="209"/>
      <c r="I836" s="28"/>
      <c r="J836" s="209"/>
      <c r="K836" s="65"/>
      <c r="L836" s="65"/>
      <c r="M836" s="65"/>
      <c r="N836" s="65"/>
      <c r="O836" s="65"/>
      <c r="P836" s="65"/>
      <c r="Q836" s="65"/>
      <c r="R836" s="65"/>
      <c r="S836" s="65"/>
      <c r="T836" s="65"/>
      <c r="U836" s="65"/>
      <c r="V836" s="65"/>
      <c r="W836" s="65"/>
    </row>
    <row r="837">
      <c r="A837" s="71"/>
      <c r="B837" s="209"/>
      <c r="C837" s="71"/>
      <c r="D837" s="209"/>
      <c r="E837" s="71"/>
      <c r="F837" s="209"/>
      <c r="G837" s="71"/>
      <c r="H837" s="209"/>
      <c r="I837" s="28"/>
      <c r="J837" s="209"/>
      <c r="K837" s="65"/>
      <c r="L837" s="65"/>
      <c r="M837" s="65"/>
      <c r="N837" s="65"/>
      <c r="O837" s="65"/>
      <c r="P837" s="65"/>
      <c r="Q837" s="65"/>
      <c r="R837" s="65"/>
      <c r="S837" s="65"/>
      <c r="T837" s="65"/>
      <c r="U837" s="65"/>
      <c r="V837" s="65"/>
      <c r="W837" s="65"/>
    </row>
    <row r="838">
      <c r="A838" s="71"/>
      <c r="B838" s="209"/>
      <c r="C838" s="71"/>
      <c r="D838" s="209"/>
      <c r="E838" s="71"/>
      <c r="F838" s="209"/>
      <c r="G838" s="71"/>
      <c r="H838" s="209"/>
      <c r="I838" s="28"/>
      <c r="J838" s="209"/>
      <c r="K838" s="65"/>
      <c r="L838" s="65"/>
      <c r="M838" s="65"/>
      <c r="N838" s="65"/>
      <c r="O838" s="65"/>
      <c r="P838" s="65"/>
      <c r="Q838" s="65"/>
      <c r="R838" s="65"/>
      <c r="S838" s="65"/>
      <c r="T838" s="65"/>
      <c r="U838" s="65"/>
      <c r="V838" s="65"/>
      <c r="W838" s="65"/>
    </row>
    <row r="839">
      <c r="A839" s="71"/>
      <c r="B839" s="209"/>
      <c r="C839" s="71"/>
      <c r="D839" s="209"/>
      <c r="E839" s="71"/>
      <c r="F839" s="209"/>
      <c r="G839" s="71"/>
      <c r="H839" s="209"/>
      <c r="I839" s="28"/>
      <c r="J839" s="209"/>
      <c r="K839" s="65"/>
      <c r="L839" s="65"/>
      <c r="M839" s="65"/>
      <c r="N839" s="65"/>
      <c r="O839" s="65"/>
      <c r="P839" s="65"/>
      <c r="Q839" s="65"/>
      <c r="R839" s="65"/>
      <c r="S839" s="65"/>
      <c r="T839" s="65"/>
      <c r="U839" s="65"/>
      <c r="V839" s="65"/>
      <c r="W839" s="65"/>
    </row>
    <row r="840">
      <c r="A840" s="71"/>
      <c r="B840" s="209"/>
      <c r="C840" s="71"/>
      <c r="D840" s="209"/>
      <c r="E840" s="71"/>
      <c r="F840" s="209"/>
      <c r="G840" s="71"/>
      <c r="H840" s="209"/>
      <c r="I840" s="28"/>
      <c r="J840" s="209"/>
      <c r="K840" s="65"/>
      <c r="L840" s="65"/>
      <c r="M840" s="65"/>
      <c r="N840" s="65"/>
      <c r="O840" s="65"/>
      <c r="P840" s="65"/>
      <c r="Q840" s="65"/>
      <c r="R840" s="65"/>
      <c r="S840" s="65"/>
      <c r="T840" s="65"/>
      <c r="U840" s="65"/>
      <c r="V840" s="65"/>
      <c r="W840" s="65"/>
    </row>
    <row r="841">
      <c r="A841" s="71"/>
      <c r="B841" s="209"/>
      <c r="C841" s="71"/>
      <c r="D841" s="209"/>
      <c r="E841" s="71"/>
      <c r="F841" s="209"/>
      <c r="G841" s="71"/>
      <c r="H841" s="209"/>
      <c r="I841" s="28"/>
      <c r="J841" s="209"/>
      <c r="K841" s="65"/>
      <c r="L841" s="65"/>
      <c r="M841" s="65"/>
      <c r="N841" s="65"/>
      <c r="O841" s="65"/>
      <c r="P841" s="65"/>
      <c r="Q841" s="65"/>
      <c r="R841" s="65"/>
      <c r="S841" s="65"/>
      <c r="T841" s="65"/>
      <c r="U841" s="65"/>
      <c r="V841" s="65"/>
      <c r="W841" s="65"/>
    </row>
    <row r="842">
      <c r="A842" s="71"/>
      <c r="B842" s="209"/>
      <c r="C842" s="71"/>
      <c r="D842" s="209"/>
      <c r="E842" s="71"/>
      <c r="F842" s="209"/>
      <c r="G842" s="71"/>
      <c r="H842" s="209"/>
      <c r="I842" s="28"/>
      <c r="J842" s="209"/>
      <c r="K842" s="65"/>
      <c r="L842" s="65"/>
      <c r="M842" s="65"/>
      <c r="N842" s="65"/>
      <c r="O842" s="65"/>
      <c r="P842" s="65"/>
      <c r="Q842" s="65"/>
      <c r="R842" s="65"/>
      <c r="S842" s="65"/>
      <c r="T842" s="65"/>
      <c r="U842" s="65"/>
      <c r="V842" s="65"/>
      <c r="W842" s="65"/>
    </row>
    <row r="843">
      <c r="A843" s="71"/>
      <c r="B843" s="209"/>
      <c r="C843" s="71"/>
      <c r="D843" s="209"/>
      <c r="E843" s="71"/>
      <c r="F843" s="209"/>
      <c r="G843" s="71"/>
      <c r="H843" s="209"/>
      <c r="I843" s="28"/>
      <c r="J843" s="209"/>
      <c r="K843" s="65"/>
      <c r="L843" s="65"/>
      <c r="M843" s="65"/>
      <c r="N843" s="65"/>
      <c r="O843" s="65"/>
      <c r="P843" s="65"/>
      <c r="Q843" s="65"/>
      <c r="R843" s="65"/>
      <c r="S843" s="65"/>
      <c r="T843" s="65"/>
      <c r="U843" s="65"/>
      <c r="V843" s="65"/>
      <c r="W843" s="65"/>
    </row>
    <row r="844">
      <c r="A844" s="71"/>
      <c r="B844" s="209"/>
      <c r="C844" s="71"/>
      <c r="D844" s="209"/>
      <c r="E844" s="71"/>
      <c r="F844" s="209"/>
      <c r="G844" s="71"/>
      <c r="H844" s="209"/>
      <c r="I844" s="28"/>
      <c r="J844" s="209"/>
      <c r="K844" s="65"/>
      <c r="L844" s="65"/>
      <c r="M844" s="65"/>
      <c r="N844" s="65"/>
      <c r="O844" s="65"/>
      <c r="P844" s="65"/>
      <c r="Q844" s="65"/>
      <c r="R844" s="65"/>
      <c r="S844" s="65"/>
      <c r="T844" s="65"/>
      <c r="U844" s="65"/>
      <c r="V844" s="65"/>
      <c r="W844" s="65"/>
    </row>
    <row r="845">
      <c r="A845" s="71"/>
      <c r="B845" s="209"/>
      <c r="C845" s="71"/>
      <c r="D845" s="209"/>
      <c r="E845" s="71"/>
      <c r="F845" s="209"/>
      <c r="G845" s="71"/>
      <c r="H845" s="209"/>
      <c r="I845" s="28"/>
      <c r="J845" s="209"/>
      <c r="K845" s="65"/>
      <c r="L845" s="65"/>
      <c r="M845" s="65"/>
      <c r="N845" s="65"/>
      <c r="O845" s="65"/>
      <c r="P845" s="65"/>
      <c r="Q845" s="65"/>
      <c r="R845" s="65"/>
      <c r="S845" s="65"/>
      <c r="T845" s="65"/>
      <c r="U845" s="65"/>
      <c r="V845" s="65"/>
      <c r="W845" s="65"/>
    </row>
    <row r="846">
      <c r="A846" s="71"/>
      <c r="B846" s="209"/>
      <c r="C846" s="71"/>
      <c r="D846" s="209"/>
      <c r="E846" s="71"/>
      <c r="F846" s="209"/>
      <c r="G846" s="71"/>
      <c r="H846" s="209"/>
      <c r="I846" s="28"/>
      <c r="J846" s="209"/>
      <c r="K846" s="65"/>
      <c r="L846" s="65"/>
      <c r="M846" s="65"/>
      <c r="N846" s="65"/>
      <c r="O846" s="65"/>
      <c r="P846" s="65"/>
      <c r="Q846" s="65"/>
      <c r="R846" s="65"/>
      <c r="S846" s="65"/>
      <c r="T846" s="65"/>
      <c r="U846" s="65"/>
      <c r="V846" s="65"/>
      <c r="W846" s="65"/>
    </row>
    <row r="847">
      <c r="A847" s="71"/>
      <c r="B847" s="209"/>
      <c r="C847" s="71"/>
      <c r="D847" s="209"/>
      <c r="E847" s="71"/>
      <c r="F847" s="209"/>
      <c r="G847" s="71"/>
      <c r="H847" s="209"/>
      <c r="I847" s="28"/>
      <c r="J847" s="209"/>
      <c r="K847" s="65"/>
      <c r="L847" s="65"/>
      <c r="M847" s="65"/>
      <c r="N847" s="65"/>
      <c r="O847" s="65"/>
      <c r="P847" s="65"/>
      <c r="Q847" s="65"/>
      <c r="R847" s="65"/>
      <c r="S847" s="65"/>
      <c r="T847" s="65"/>
      <c r="U847" s="65"/>
      <c r="V847" s="65"/>
      <c r="W847" s="65"/>
    </row>
    <row r="848">
      <c r="A848" s="71"/>
      <c r="B848" s="209"/>
      <c r="C848" s="71"/>
      <c r="D848" s="209"/>
      <c r="E848" s="71"/>
      <c r="F848" s="209"/>
      <c r="G848" s="71"/>
      <c r="H848" s="209"/>
      <c r="I848" s="28"/>
      <c r="J848" s="209"/>
      <c r="K848" s="65"/>
      <c r="L848" s="65"/>
      <c r="M848" s="65"/>
      <c r="N848" s="65"/>
      <c r="O848" s="65"/>
      <c r="P848" s="65"/>
      <c r="Q848" s="65"/>
      <c r="R848" s="65"/>
      <c r="S848" s="65"/>
      <c r="T848" s="65"/>
      <c r="U848" s="65"/>
      <c r="V848" s="65"/>
      <c r="W848" s="65"/>
    </row>
    <row r="849">
      <c r="A849" s="71"/>
      <c r="B849" s="209"/>
      <c r="C849" s="71"/>
      <c r="D849" s="209"/>
      <c r="E849" s="71"/>
      <c r="F849" s="209"/>
      <c r="G849" s="71"/>
      <c r="H849" s="209"/>
      <c r="I849" s="28"/>
      <c r="J849" s="209"/>
      <c r="K849" s="65"/>
      <c r="L849" s="65"/>
      <c r="M849" s="65"/>
      <c r="N849" s="65"/>
      <c r="O849" s="65"/>
      <c r="P849" s="65"/>
      <c r="Q849" s="65"/>
      <c r="R849" s="65"/>
      <c r="S849" s="65"/>
      <c r="T849" s="65"/>
      <c r="U849" s="65"/>
      <c r="V849" s="65"/>
      <c r="W849" s="65"/>
    </row>
    <row r="850">
      <c r="A850" s="71"/>
      <c r="B850" s="209"/>
      <c r="C850" s="71"/>
      <c r="D850" s="209"/>
      <c r="E850" s="71"/>
      <c r="F850" s="209"/>
      <c r="G850" s="71"/>
      <c r="H850" s="209"/>
      <c r="I850" s="28"/>
      <c r="J850" s="209"/>
      <c r="K850" s="65"/>
      <c r="L850" s="65"/>
      <c r="M850" s="65"/>
      <c r="N850" s="65"/>
      <c r="O850" s="65"/>
      <c r="P850" s="65"/>
      <c r="Q850" s="65"/>
      <c r="R850" s="65"/>
      <c r="S850" s="65"/>
      <c r="T850" s="65"/>
      <c r="U850" s="65"/>
      <c r="V850" s="65"/>
      <c r="W850" s="65"/>
    </row>
    <row r="851">
      <c r="A851" s="71"/>
      <c r="B851" s="209"/>
      <c r="C851" s="71"/>
      <c r="D851" s="209"/>
      <c r="E851" s="71"/>
      <c r="F851" s="209"/>
      <c r="G851" s="71"/>
      <c r="H851" s="209"/>
      <c r="I851" s="28"/>
      <c r="J851" s="209"/>
      <c r="K851" s="65"/>
      <c r="L851" s="65"/>
      <c r="M851" s="65"/>
      <c r="N851" s="65"/>
      <c r="O851" s="65"/>
      <c r="P851" s="65"/>
      <c r="Q851" s="65"/>
      <c r="R851" s="65"/>
      <c r="S851" s="65"/>
      <c r="T851" s="65"/>
      <c r="U851" s="65"/>
      <c r="V851" s="65"/>
      <c r="W851" s="65"/>
    </row>
    <row r="852">
      <c r="A852" s="71"/>
      <c r="B852" s="209"/>
      <c r="C852" s="71"/>
      <c r="D852" s="209"/>
      <c r="E852" s="71"/>
      <c r="F852" s="209"/>
      <c r="G852" s="71"/>
      <c r="H852" s="209"/>
      <c r="I852" s="28"/>
      <c r="J852" s="209"/>
      <c r="K852" s="65"/>
      <c r="L852" s="65"/>
      <c r="M852" s="65"/>
      <c r="N852" s="65"/>
      <c r="O852" s="65"/>
      <c r="P852" s="65"/>
      <c r="Q852" s="65"/>
      <c r="R852" s="65"/>
      <c r="S852" s="65"/>
      <c r="T852" s="65"/>
      <c r="U852" s="65"/>
      <c r="V852" s="65"/>
      <c r="W852" s="65"/>
    </row>
    <row r="853">
      <c r="A853" s="71"/>
      <c r="B853" s="209"/>
      <c r="C853" s="71"/>
      <c r="D853" s="209"/>
      <c r="E853" s="71"/>
      <c r="F853" s="209"/>
      <c r="G853" s="71"/>
      <c r="H853" s="209"/>
      <c r="I853" s="28"/>
      <c r="J853" s="209"/>
      <c r="K853" s="65"/>
      <c r="L853" s="65"/>
      <c r="M853" s="65"/>
      <c r="N853" s="65"/>
      <c r="O853" s="65"/>
      <c r="P853" s="65"/>
      <c r="Q853" s="65"/>
      <c r="R853" s="65"/>
      <c r="S853" s="65"/>
      <c r="T853" s="65"/>
      <c r="U853" s="65"/>
      <c r="V853" s="65"/>
      <c r="W853" s="65"/>
    </row>
    <row r="854">
      <c r="A854" s="71"/>
      <c r="B854" s="209"/>
      <c r="C854" s="71"/>
      <c r="D854" s="209"/>
      <c r="E854" s="71"/>
      <c r="F854" s="209"/>
      <c r="G854" s="71"/>
      <c r="H854" s="209"/>
      <c r="I854" s="28"/>
      <c r="J854" s="209"/>
      <c r="K854" s="65"/>
      <c r="L854" s="65"/>
      <c r="M854" s="65"/>
      <c r="N854" s="65"/>
      <c r="O854" s="65"/>
      <c r="P854" s="65"/>
      <c r="Q854" s="65"/>
      <c r="R854" s="65"/>
      <c r="S854" s="65"/>
      <c r="T854" s="65"/>
      <c r="U854" s="65"/>
      <c r="V854" s="65"/>
      <c r="W854" s="65"/>
    </row>
    <row r="855">
      <c r="A855" s="71"/>
      <c r="B855" s="209"/>
      <c r="C855" s="71"/>
      <c r="D855" s="209"/>
      <c r="E855" s="71"/>
      <c r="F855" s="209"/>
      <c r="G855" s="71"/>
      <c r="H855" s="209"/>
      <c r="I855" s="28"/>
      <c r="J855" s="209"/>
      <c r="K855" s="65"/>
      <c r="L855" s="65"/>
      <c r="M855" s="65"/>
      <c r="N855" s="65"/>
      <c r="O855" s="65"/>
      <c r="P855" s="65"/>
      <c r="Q855" s="65"/>
      <c r="R855" s="65"/>
      <c r="S855" s="65"/>
      <c r="T855" s="65"/>
      <c r="U855" s="65"/>
      <c r="V855" s="65"/>
      <c r="W855" s="65"/>
    </row>
    <row r="856">
      <c r="A856" s="71"/>
      <c r="B856" s="209"/>
      <c r="C856" s="71"/>
      <c r="D856" s="209"/>
      <c r="E856" s="71"/>
      <c r="F856" s="209"/>
      <c r="G856" s="71"/>
      <c r="H856" s="209"/>
      <c r="I856" s="28"/>
      <c r="J856" s="209"/>
      <c r="K856" s="65"/>
      <c r="L856" s="65"/>
      <c r="M856" s="65"/>
      <c r="N856" s="65"/>
      <c r="O856" s="65"/>
      <c r="P856" s="65"/>
      <c r="Q856" s="65"/>
      <c r="R856" s="65"/>
      <c r="S856" s="65"/>
      <c r="T856" s="65"/>
      <c r="U856" s="65"/>
      <c r="V856" s="65"/>
      <c r="W856" s="65"/>
    </row>
    <row r="857">
      <c r="A857" s="71"/>
      <c r="B857" s="209"/>
      <c r="C857" s="71"/>
      <c r="D857" s="209"/>
      <c r="E857" s="71"/>
      <c r="F857" s="209"/>
      <c r="G857" s="71"/>
      <c r="H857" s="209"/>
      <c r="I857" s="28"/>
      <c r="J857" s="209"/>
      <c r="K857" s="65"/>
      <c r="L857" s="65"/>
      <c r="M857" s="65"/>
      <c r="N857" s="65"/>
      <c r="O857" s="65"/>
      <c r="P857" s="65"/>
      <c r="Q857" s="65"/>
      <c r="R857" s="65"/>
      <c r="S857" s="65"/>
      <c r="T857" s="65"/>
      <c r="U857" s="65"/>
      <c r="V857" s="65"/>
      <c r="W857" s="65"/>
    </row>
    <row r="858">
      <c r="A858" s="71"/>
      <c r="B858" s="209"/>
      <c r="C858" s="71"/>
      <c r="D858" s="209"/>
      <c r="E858" s="71"/>
      <c r="F858" s="209"/>
      <c r="G858" s="71"/>
      <c r="H858" s="209"/>
      <c r="I858" s="28"/>
      <c r="J858" s="209"/>
      <c r="K858" s="65"/>
      <c r="L858" s="65"/>
      <c r="M858" s="65"/>
      <c r="N858" s="65"/>
      <c r="O858" s="65"/>
      <c r="P858" s="65"/>
      <c r="Q858" s="65"/>
      <c r="R858" s="65"/>
      <c r="S858" s="65"/>
      <c r="T858" s="65"/>
      <c r="U858" s="65"/>
      <c r="V858" s="65"/>
      <c r="W858" s="65"/>
    </row>
    <row r="859">
      <c r="A859" s="71"/>
      <c r="B859" s="209"/>
      <c r="C859" s="71"/>
      <c r="D859" s="209"/>
      <c r="E859" s="71"/>
      <c r="F859" s="209"/>
      <c r="G859" s="71"/>
      <c r="H859" s="209"/>
      <c r="I859" s="28"/>
      <c r="J859" s="209"/>
      <c r="K859" s="65"/>
      <c r="L859" s="65"/>
      <c r="M859" s="65"/>
      <c r="N859" s="65"/>
      <c r="O859" s="65"/>
      <c r="P859" s="65"/>
      <c r="Q859" s="65"/>
      <c r="R859" s="65"/>
      <c r="S859" s="65"/>
      <c r="T859" s="65"/>
      <c r="U859" s="65"/>
      <c r="V859" s="65"/>
      <c r="W859" s="65"/>
    </row>
    <row r="860">
      <c r="A860" s="71"/>
      <c r="B860" s="209"/>
      <c r="C860" s="71"/>
      <c r="D860" s="209"/>
      <c r="E860" s="71"/>
      <c r="F860" s="209"/>
      <c r="G860" s="71"/>
      <c r="H860" s="209"/>
      <c r="I860" s="28"/>
      <c r="J860" s="209"/>
      <c r="K860" s="65"/>
      <c r="L860" s="65"/>
      <c r="M860" s="65"/>
      <c r="N860" s="65"/>
      <c r="O860" s="65"/>
      <c r="P860" s="65"/>
      <c r="Q860" s="65"/>
      <c r="R860" s="65"/>
      <c r="S860" s="65"/>
      <c r="T860" s="65"/>
      <c r="U860" s="65"/>
      <c r="V860" s="65"/>
      <c r="W860" s="65"/>
    </row>
    <row r="861">
      <c r="A861" s="71"/>
      <c r="B861" s="209"/>
      <c r="C861" s="71"/>
      <c r="D861" s="209"/>
      <c r="E861" s="71"/>
      <c r="F861" s="209"/>
      <c r="G861" s="71"/>
      <c r="H861" s="209"/>
      <c r="I861" s="28"/>
      <c r="J861" s="209"/>
      <c r="K861" s="65"/>
      <c r="L861" s="65"/>
      <c r="M861" s="65"/>
      <c r="N861" s="65"/>
      <c r="O861" s="65"/>
      <c r="P861" s="65"/>
      <c r="Q861" s="65"/>
      <c r="R861" s="65"/>
      <c r="S861" s="65"/>
      <c r="T861" s="65"/>
      <c r="U861" s="65"/>
      <c r="V861" s="65"/>
      <c r="W861" s="65"/>
    </row>
    <row r="862">
      <c r="A862" s="71"/>
      <c r="B862" s="209"/>
      <c r="C862" s="71"/>
      <c r="D862" s="209"/>
      <c r="E862" s="71"/>
      <c r="F862" s="209"/>
      <c r="G862" s="71"/>
      <c r="H862" s="209"/>
      <c r="I862" s="28"/>
      <c r="J862" s="209"/>
      <c r="K862" s="65"/>
      <c r="L862" s="65"/>
      <c r="M862" s="65"/>
      <c r="N862" s="65"/>
      <c r="O862" s="65"/>
      <c r="P862" s="65"/>
      <c r="Q862" s="65"/>
      <c r="R862" s="65"/>
      <c r="S862" s="65"/>
      <c r="T862" s="65"/>
      <c r="U862" s="65"/>
      <c r="V862" s="65"/>
      <c r="W862" s="65"/>
    </row>
    <row r="863">
      <c r="A863" s="71"/>
      <c r="B863" s="209"/>
      <c r="C863" s="71"/>
      <c r="D863" s="209"/>
      <c r="E863" s="71"/>
      <c r="F863" s="209"/>
      <c r="G863" s="71"/>
      <c r="H863" s="209"/>
      <c r="I863" s="28"/>
      <c r="J863" s="209"/>
      <c r="K863" s="65"/>
      <c r="L863" s="65"/>
      <c r="M863" s="65"/>
      <c r="N863" s="65"/>
      <c r="O863" s="65"/>
      <c r="P863" s="65"/>
      <c r="Q863" s="65"/>
      <c r="R863" s="65"/>
      <c r="S863" s="65"/>
      <c r="T863" s="65"/>
      <c r="U863" s="65"/>
      <c r="V863" s="65"/>
      <c r="W863" s="65"/>
    </row>
    <row r="864">
      <c r="A864" s="71"/>
      <c r="B864" s="209"/>
      <c r="C864" s="71"/>
      <c r="D864" s="209"/>
      <c r="E864" s="71"/>
      <c r="F864" s="209"/>
      <c r="G864" s="71"/>
      <c r="H864" s="209"/>
      <c r="I864" s="28"/>
      <c r="J864" s="209"/>
      <c r="K864" s="65"/>
      <c r="L864" s="65"/>
      <c r="M864" s="65"/>
      <c r="N864" s="65"/>
      <c r="O864" s="65"/>
      <c r="P864" s="65"/>
      <c r="Q864" s="65"/>
      <c r="R864" s="65"/>
      <c r="S864" s="65"/>
      <c r="T864" s="65"/>
      <c r="U864" s="65"/>
      <c r="V864" s="65"/>
      <c r="W864" s="65"/>
    </row>
    <row r="865">
      <c r="A865" s="71"/>
      <c r="B865" s="209"/>
      <c r="C865" s="71"/>
      <c r="D865" s="209"/>
      <c r="E865" s="71"/>
      <c r="F865" s="209"/>
      <c r="G865" s="71"/>
      <c r="H865" s="209"/>
      <c r="I865" s="28"/>
      <c r="J865" s="209"/>
      <c r="K865" s="65"/>
      <c r="L865" s="65"/>
      <c r="M865" s="65"/>
      <c r="N865" s="65"/>
      <c r="O865" s="65"/>
      <c r="P865" s="65"/>
      <c r="Q865" s="65"/>
      <c r="R865" s="65"/>
      <c r="S865" s="65"/>
      <c r="T865" s="65"/>
      <c r="U865" s="65"/>
      <c r="V865" s="65"/>
      <c r="W865" s="65"/>
    </row>
    <row r="866">
      <c r="A866" s="71"/>
      <c r="B866" s="209"/>
      <c r="C866" s="71"/>
      <c r="D866" s="209"/>
      <c r="E866" s="71"/>
      <c r="F866" s="209"/>
      <c r="G866" s="71"/>
      <c r="H866" s="209"/>
      <c r="I866" s="28"/>
      <c r="J866" s="209"/>
      <c r="K866" s="65"/>
      <c r="L866" s="65"/>
      <c r="M866" s="65"/>
      <c r="N866" s="65"/>
      <c r="O866" s="65"/>
      <c r="P866" s="65"/>
      <c r="Q866" s="65"/>
      <c r="R866" s="65"/>
      <c r="S866" s="65"/>
      <c r="T866" s="65"/>
      <c r="U866" s="65"/>
      <c r="V866" s="65"/>
      <c r="W866" s="65"/>
    </row>
    <row r="867">
      <c r="A867" s="71"/>
      <c r="B867" s="209"/>
      <c r="C867" s="71"/>
      <c r="D867" s="209"/>
      <c r="E867" s="71"/>
      <c r="F867" s="209"/>
      <c r="G867" s="71"/>
      <c r="H867" s="209"/>
      <c r="I867" s="28"/>
      <c r="J867" s="209"/>
      <c r="K867" s="65"/>
      <c r="L867" s="65"/>
      <c r="M867" s="65"/>
      <c r="N867" s="65"/>
      <c r="O867" s="65"/>
      <c r="P867" s="65"/>
      <c r="Q867" s="65"/>
      <c r="R867" s="65"/>
      <c r="S867" s="65"/>
      <c r="T867" s="65"/>
      <c r="U867" s="65"/>
      <c r="V867" s="65"/>
      <c r="W867" s="65"/>
    </row>
    <row r="868">
      <c r="A868" s="71"/>
      <c r="B868" s="209"/>
      <c r="C868" s="71"/>
      <c r="D868" s="209"/>
      <c r="E868" s="71"/>
      <c r="F868" s="209"/>
      <c r="G868" s="71"/>
      <c r="H868" s="209"/>
      <c r="I868" s="28"/>
      <c r="J868" s="209"/>
      <c r="K868" s="65"/>
      <c r="L868" s="65"/>
      <c r="M868" s="65"/>
      <c r="N868" s="65"/>
      <c r="O868" s="65"/>
      <c r="P868" s="65"/>
      <c r="Q868" s="65"/>
      <c r="R868" s="65"/>
      <c r="S868" s="65"/>
      <c r="T868" s="65"/>
      <c r="U868" s="65"/>
      <c r="V868" s="65"/>
      <c r="W868" s="65"/>
    </row>
    <row r="869">
      <c r="A869" s="71"/>
      <c r="B869" s="209"/>
      <c r="C869" s="71"/>
      <c r="D869" s="209"/>
      <c r="E869" s="71"/>
      <c r="F869" s="209"/>
      <c r="G869" s="71"/>
      <c r="H869" s="209"/>
      <c r="I869" s="28"/>
      <c r="J869" s="209"/>
      <c r="K869" s="65"/>
      <c r="L869" s="65"/>
      <c r="M869" s="65"/>
      <c r="N869" s="65"/>
      <c r="O869" s="65"/>
      <c r="P869" s="65"/>
      <c r="Q869" s="65"/>
      <c r="R869" s="65"/>
      <c r="S869" s="65"/>
      <c r="T869" s="65"/>
      <c r="U869" s="65"/>
      <c r="V869" s="65"/>
      <c r="W869" s="65"/>
    </row>
    <row r="870">
      <c r="A870" s="71"/>
      <c r="B870" s="209"/>
      <c r="C870" s="71"/>
      <c r="D870" s="209"/>
      <c r="E870" s="71"/>
      <c r="F870" s="209"/>
      <c r="G870" s="71"/>
      <c r="H870" s="209"/>
      <c r="I870" s="28"/>
      <c r="J870" s="209"/>
      <c r="K870" s="65"/>
      <c r="L870" s="65"/>
      <c r="M870" s="65"/>
      <c r="N870" s="65"/>
      <c r="O870" s="65"/>
      <c r="P870" s="65"/>
      <c r="Q870" s="65"/>
      <c r="R870" s="65"/>
      <c r="S870" s="65"/>
      <c r="T870" s="65"/>
      <c r="U870" s="65"/>
      <c r="V870" s="65"/>
      <c r="W870" s="65"/>
    </row>
    <row r="871">
      <c r="A871" s="71"/>
      <c r="B871" s="209"/>
      <c r="C871" s="71"/>
      <c r="D871" s="209"/>
      <c r="E871" s="71"/>
      <c r="F871" s="209"/>
      <c r="G871" s="71"/>
      <c r="H871" s="209"/>
      <c r="I871" s="28"/>
      <c r="J871" s="209"/>
      <c r="K871" s="65"/>
      <c r="L871" s="65"/>
      <c r="M871" s="65"/>
      <c r="N871" s="65"/>
      <c r="O871" s="65"/>
      <c r="P871" s="65"/>
      <c r="Q871" s="65"/>
      <c r="R871" s="65"/>
      <c r="S871" s="65"/>
      <c r="T871" s="65"/>
      <c r="U871" s="65"/>
      <c r="V871" s="65"/>
      <c r="W871" s="65"/>
    </row>
    <row r="872">
      <c r="A872" s="71"/>
      <c r="B872" s="209"/>
      <c r="C872" s="71"/>
      <c r="D872" s="209"/>
      <c r="E872" s="71"/>
      <c r="F872" s="209"/>
      <c r="G872" s="71"/>
      <c r="H872" s="209"/>
      <c r="I872" s="28"/>
      <c r="J872" s="209"/>
      <c r="K872" s="65"/>
      <c r="L872" s="65"/>
      <c r="M872" s="65"/>
      <c r="N872" s="65"/>
      <c r="O872" s="65"/>
      <c r="P872" s="65"/>
      <c r="Q872" s="65"/>
      <c r="R872" s="65"/>
      <c r="S872" s="65"/>
      <c r="T872" s="65"/>
      <c r="U872" s="65"/>
      <c r="V872" s="65"/>
      <c r="W872" s="65"/>
    </row>
    <row r="873">
      <c r="A873" s="71"/>
      <c r="B873" s="209"/>
      <c r="C873" s="71"/>
      <c r="D873" s="209"/>
      <c r="E873" s="71"/>
      <c r="F873" s="209"/>
      <c r="G873" s="71"/>
      <c r="H873" s="209"/>
      <c r="I873" s="28"/>
      <c r="J873" s="209"/>
      <c r="K873" s="65"/>
      <c r="L873" s="65"/>
      <c r="M873" s="65"/>
      <c r="N873" s="65"/>
      <c r="O873" s="65"/>
      <c r="P873" s="65"/>
      <c r="Q873" s="65"/>
      <c r="R873" s="65"/>
      <c r="S873" s="65"/>
      <c r="T873" s="65"/>
      <c r="U873" s="65"/>
      <c r="V873" s="65"/>
      <c r="W873" s="65"/>
    </row>
    <row r="874">
      <c r="A874" s="71"/>
      <c r="B874" s="209"/>
      <c r="C874" s="71"/>
      <c r="D874" s="209"/>
      <c r="E874" s="71"/>
      <c r="F874" s="209"/>
      <c r="G874" s="71"/>
      <c r="H874" s="209"/>
      <c r="I874" s="28"/>
      <c r="J874" s="209"/>
      <c r="K874" s="65"/>
      <c r="L874" s="65"/>
      <c r="M874" s="65"/>
      <c r="N874" s="65"/>
      <c r="O874" s="65"/>
      <c r="P874" s="65"/>
      <c r="Q874" s="65"/>
      <c r="R874" s="65"/>
      <c r="S874" s="65"/>
      <c r="T874" s="65"/>
      <c r="U874" s="65"/>
      <c r="V874" s="65"/>
      <c r="W874" s="65"/>
    </row>
    <row r="875">
      <c r="A875" s="71"/>
      <c r="B875" s="209"/>
      <c r="C875" s="71"/>
      <c r="D875" s="209"/>
      <c r="E875" s="71"/>
      <c r="F875" s="209"/>
      <c r="G875" s="71"/>
      <c r="H875" s="209"/>
      <c r="I875" s="28"/>
      <c r="J875" s="209"/>
      <c r="K875" s="65"/>
      <c r="L875" s="65"/>
      <c r="M875" s="65"/>
      <c r="N875" s="65"/>
      <c r="O875" s="65"/>
      <c r="P875" s="65"/>
      <c r="Q875" s="65"/>
      <c r="R875" s="65"/>
      <c r="S875" s="65"/>
      <c r="T875" s="65"/>
      <c r="U875" s="65"/>
      <c r="V875" s="65"/>
      <c r="W875" s="65"/>
    </row>
    <row r="876">
      <c r="A876" s="71"/>
      <c r="B876" s="209"/>
      <c r="C876" s="71"/>
      <c r="D876" s="209"/>
      <c r="E876" s="71"/>
      <c r="F876" s="209"/>
      <c r="G876" s="71"/>
      <c r="H876" s="209"/>
      <c r="I876" s="28"/>
      <c r="J876" s="209"/>
      <c r="K876" s="65"/>
      <c r="L876" s="65"/>
      <c r="M876" s="65"/>
      <c r="N876" s="65"/>
      <c r="O876" s="65"/>
      <c r="P876" s="65"/>
      <c r="Q876" s="65"/>
      <c r="R876" s="65"/>
      <c r="S876" s="65"/>
      <c r="T876" s="65"/>
      <c r="U876" s="65"/>
      <c r="V876" s="65"/>
      <c r="W876" s="65"/>
    </row>
    <row r="877">
      <c r="A877" s="71"/>
      <c r="B877" s="209"/>
      <c r="C877" s="71"/>
      <c r="D877" s="209"/>
      <c r="E877" s="71"/>
      <c r="F877" s="209"/>
      <c r="G877" s="71"/>
      <c r="H877" s="209"/>
      <c r="I877" s="28"/>
      <c r="J877" s="209"/>
      <c r="K877" s="65"/>
      <c r="L877" s="65"/>
      <c r="M877" s="65"/>
      <c r="N877" s="65"/>
      <c r="O877" s="65"/>
      <c r="P877" s="65"/>
      <c r="Q877" s="65"/>
      <c r="R877" s="65"/>
      <c r="S877" s="65"/>
      <c r="T877" s="65"/>
      <c r="U877" s="65"/>
      <c r="V877" s="65"/>
      <c r="W877" s="65"/>
    </row>
    <row r="878">
      <c r="A878" s="71"/>
      <c r="B878" s="209"/>
      <c r="C878" s="71"/>
      <c r="D878" s="209"/>
      <c r="E878" s="71"/>
      <c r="F878" s="209"/>
      <c r="G878" s="71"/>
      <c r="H878" s="209"/>
      <c r="I878" s="28"/>
      <c r="J878" s="209"/>
      <c r="K878" s="65"/>
      <c r="L878" s="65"/>
      <c r="M878" s="65"/>
      <c r="N878" s="65"/>
      <c r="O878" s="65"/>
      <c r="P878" s="65"/>
      <c r="Q878" s="65"/>
      <c r="R878" s="65"/>
      <c r="S878" s="65"/>
      <c r="T878" s="65"/>
      <c r="U878" s="65"/>
      <c r="V878" s="65"/>
      <c r="W878" s="65"/>
    </row>
    <row r="879">
      <c r="A879" s="71"/>
      <c r="B879" s="209"/>
      <c r="C879" s="71"/>
      <c r="D879" s="209"/>
      <c r="E879" s="71"/>
      <c r="F879" s="209"/>
      <c r="G879" s="71"/>
      <c r="H879" s="209"/>
      <c r="I879" s="28"/>
      <c r="J879" s="209"/>
      <c r="K879" s="65"/>
      <c r="L879" s="65"/>
      <c r="M879" s="65"/>
      <c r="N879" s="65"/>
      <c r="O879" s="65"/>
      <c r="P879" s="65"/>
      <c r="Q879" s="65"/>
      <c r="R879" s="65"/>
      <c r="S879" s="65"/>
      <c r="T879" s="65"/>
      <c r="U879" s="65"/>
      <c r="V879" s="65"/>
      <c r="W879" s="65"/>
    </row>
    <row r="880">
      <c r="A880" s="71"/>
      <c r="B880" s="209"/>
      <c r="C880" s="71"/>
      <c r="D880" s="209"/>
      <c r="E880" s="71"/>
      <c r="F880" s="209"/>
      <c r="G880" s="71"/>
      <c r="H880" s="209"/>
      <c r="I880" s="28"/>
      <c r="J880" s="209"/>
      <c r="K880" s="65"/>
      <c r="L880" s="65"/>
      <c r="M880" s="65"/>
      <c r="N880" s="65"/>
      <c r="O880" s="65"/>
      <c r="P880" s="65"/>
      <c r="Q880" s="65"/>
      <c r="R880" s="65"/>
      <c r="S880" s="65"/>
      <c r="T880" s="65"/>
      <c r="U880" s="65"/>
      <c r="V880" s="65"/>
      <c r="W880" s="65"/>
    </row>
    <row r="881">
      <c r="A881" s="71"/>
      <c r="B881" s="209"/>
      <c r="C881" s="71"/>
      <c r="D881" s="209"/>
      <c r="E881" s="71"/>
      <c r="F881" s="209"/>
      <c r="G881" s="71"/>
      <c r="H881" s="209"/>
      <c r="I881" s="28"/>
      <c r="J881" s="209"/>
      <c r="K881" s="65"/>
      <c r="L881" s="65"/>
      <c r="M881" s="65"/>
      <c r="N881" s="65"/>
      <c r="O881" s="65"/>
      <c r="P881" s="65"/>
      <c r="Q881" s="65"/>
      <c r="R881" s="65"/>
      <c r="S881" s="65"/>
      <c r="T881" s="65"/>
      <c r="U881" s="65"/>
      <c r="V881" s="65"/>
      <c r="W881" s="65"/>
    </row>
    <row r="882">
      <c r="A882" s="71"/>
      <c r="B882" s="209"/>
      <c r="C882" s="71"/>
      <c r="D882" s="209"/>
      <c r="E882" s="71"/>
      <c r="F882" s="209"/>
      <c r="G882" s="71"/>
      <c r="H882" s="209"/>
      <c r="I882" s="28"/>
      <c r="J882" s="209"/>
      <c r="K882" s="65"/>
      <c r="L882" s="65"/>
      <c r="M882" s="65"/>
      <c r="N882" s="65"/>
      <c r="O882" s="65"/>
      <c r="P882" s="65"/>
      <c r="Q882" s="65"/>
      <c r="R882" s="65"/>
      <c r="S882" s="65"/>
      <c r="T882" s="65"/>
      <c r="U882" s="65"/>
      <c r="V882" s="65"/>
      <c r="W882" s="65"/>
    </row>
    <row r="883">
      <c r="A883" s="71"/>
      <c r="B883" s="209"/>
      <c r="C883" s="71"/>
      <c r="D883" s="209"/>
      <c r="E883" s="71"/>
      <c r="F883" s="209"/>
      <c r="G883" s="71"/>
      <c r="H883" s="209"/>
      <c r="I883" s="28"/>
      <c r="J883" s="209"/>
      <c r="K883" s="65"/>
      <c r="L883" s="65"/>
      <c r="M883" s="65"/>
      <c r="N883" s="65"/>
      <c r="O883" s="65"/>
      <c r="P883" s="65"/>
      <c r="Q883" s="65"/>
      <c r="R883" s="65"/>
      <c r="S883" s="65"/>
      <c r="T883" s="65"/>
      <c r="U883" s="65"/>
      <c r="V883" s="65"/>
      <c r="W883" s="65"/>
    </row>
    <row r="884">
      <c r="A884" s="71"/>
      <c r="B884" s="209"/>
      <c r="C884" s="71"/>
      <c r="D884" s="209"/>
      <c r="E884" s="71"/>
      <c r="F884" s="209"/>
      <c r="G884" s="71"/>
      <c r="H884" s="209"/>
      <c r="I884" s="28"/>
      <c r="J884" s="209"/>
      <c r="K884" s="65"/>
      <c r="L884" s="65"/>
      <c r="M884" s="65"/>
      <c r="N884" s="65"/>
      <c r="O884" s="65"/>
      <c r="P884" s="65"/>
      <c r="Q884" s="65"/>
      <c r="R884" s="65"/>
      <c r="S884" s="65"/>
      <c r="T884" s="65"/>
      <c r="U884" s="65"/>
      <c r="V884" s="65"/>
      <c r="W884" s="65"/>
    </row>
    <row r="885">
      <c r="A885" s="71"/>
      <c r="B885" s="209"/>
      <c r="C885" s="71"/>
      <c r="D885" s="209"/>
      <c r="E885" s="71"/>
      <c r="F885" s="209"/>
      <c r="G885" s="71"/>
      <c r="H885" s="209"/>
      <c r="I885" s="28"/>
      <c r="J885" s="209"/>
      <c r="K885" s="65"/>
      <c r="L885" s="65"/>
      <c r="M885" s="65"/>
      <c r="N885" s="65"/>
      <c r="O885" s="65"/>
      <c r="P885" s="65"/>
      <c r="Q885" s="65"/>
      <c r="R885" s="65"/>
      <c r="S885" s="65"/>
      <c r="T885" s="65"/>
      <c r="U885" s="65"/>
      <c r="V885" s="65"/>
      <c r="W885" s="65"/>
    </row>
    <row r="886">
      <c r="A886" s="71"/>
      <c r="B886" s="209"/>
      <c r="C886" s="71"/>
      <c r="D886" s="209"/>
      <c r="E886" s="71"/>
      <c r="F886" s="209"/>
      <c r="G886" s="71"/>
      <c r="H886" s="209"/>
      <c r="I886" s="28"/>
      <c r="J886" s="209"/>
      <c r="K886" s="65"/>
      <c r="L886" s="65"/>
      <c r="M886" s="65"/>
      <c r="N886" s="65"/>
      <c r="O886" s="65"/>
      <c r="P886" s="65"/>
      <c r="Q886" s="65"/>
      <c r="R886" s="65"/>
      <c r="S886" s="65"/>
      <c r="T886" s="65"/>
      <c r="U886" s="65"/>
      <c r="V886" s="65"/>
      <c r="W886" s="65"/>
    </row>
    <row r="887">
      <c r="A887" s="71"/>
      <c r="B887" s="209"/>
      <c r="C887" s="71"/>
      <c r="D887" s="209"/>
      <c r="E887" s="71"/>
      <c r="F887" s="209"/>
      <c r="G887" s="71"/>
      <c r="H887" s="209"/>
      <c r="I887" s="28"/>
      <c r="J887" s="209"/>
      <c r="K887" s="65"/>
      <c r="L887" s="65"/>
      <c r="M887" s="65"/>
      <c r="N887" s="65"/>
      <c r="O887" s="65"/>
      <c r="P887" s="65"/>
      <c r="Q887" s="65"/>
      <c r="R887" s="65"/>
      <c r="S887" s="65"/>
      <c r="T887" s="65"/>
      <c r="U887" s="65"/>
      <c r="V887" s="65"/>
      <c r="W887" s="65"/>
    </row>
    <row r="888">
      <c r="A888" s="71"/>
      <c r="B888" s="209"/>
      <c r="C888" s="71"/>
      <c r="D888" s="209"/>
      <c r="E888" s="71"/>
      <c r="F888" s="209"/>
      <c r="G888" s="71"/>
      <c r="H888" s="209"/>
      <c r="I888" s="28"/>
      <c r="J888" s="209"/>
      <c r="K888" s="65"/>
      <c r="L888" s="65"/>
      <c r="M888" s="65"/>
      <c r="N888" s="65"/>
      <c r="O888" s="65"/>
      <c r="P888" s="65"/>
      <c r="Q888" s="65"/>
      <c r="R888" s="65"/>
      <c r="S888" s="65"/>
      <c r="T888" s="65"/>
      <c r="U888" s="65"/>
      <c r="V888" s="65"/>
      <c r="W888" s="65"/>
    </row>
    <row r="889">
      <c r="A889" s="71"/>
      <c r="B889" s="209"/>
      <c r="C889" s="71"/>
      <c r="D889" s="209"/>
      <c r="E889" s="71"/>
      <c r="F889" s="209"/>
      <c r="G889" s="71"/>
      <c r="H889" s="209"/>
      <c r="I889" s="28"/>
      <c r="J889" s="209"/>
      <c r="K889" s="65"/>
      <c r="L889" s="65"/>
      <c r="M889" s="65"/>
      <c r="N889" s="65"/>
      <c r="O889" s="65"/>
      <c r="P889" s="65"/>
      <c r="Q889" s="65"/>
      <c r="R889" s="65"/>
      <c r="S889" s="65"/>
      <c r="T889" s="65"/>
      <c r="U889" s="65"/>
      <c r="V889" s="65"/>
      <c r="W889" s="65"/>
    </row>
    <row r="890">
      <c r="A890" s="71"/>
      <c r="B890" s="209"/>
      <c r="C890" s="71"/>
      <c r="D890" s="209"/>
      <c r="E890" s="71"/>
      <c r="F890" s="209"/>
      <c r="G890" s="71"/>
      <c r="H890" s="209"/>
      <c r="I890" s="28"/>
      <c r="J890" s="209"/>
      <c r="K890" s="65"/>
      <c r="L890" s="65"/>
      <c r="M890" s="65"/>
      <c r="N890" s="65"/>
      <c r="O890" s="65"/>
      <c r="P890" s="65"/>
      <c r="Q890" s="65"/>
      <c r="R890" s="65"/>
      <c r="S890" s="65"/>
      <c r="T890" s="65"/>
      <c r="U890" s="65"/>
      <c r="V890" s="65"/>
      <c r="W890" s="65"/>
    </row>
    <row r="891">
      <c r="A891" s="71"/>
      <c r="B891" s="209"/>
      <c r="C891" s="71"/>
      <c r="D891" s="209"/>
      <c r="E891" s="71"/>
      <c r="F891" s="209"/>
      <c r="G891" s="71"/>
      <c r="H891" s="209"/>
      <c r="I891" s="28"/>
      <c r="J891" s="209"/>
      <c r="K891" s="65"/>
      <c r="L891" s="65"/>
      <c r="M891" s="65"/>
      <c r="N891" s="65"/>
      <c r="O891" s="65"/>
      <c r="P891" s="65"/>
      <c r="Q891" s="65"/>
      <c r="R891" s="65"/>
      <c r="S891" s="65"/>
      <c r="T891" s="65"/>
      <c r="U891" s="65"/>
      <c r="V891" s="65"/>
      <c r="W891" s="65"/>
    </row>
    <row r="892">
      <c r="A892" s="71"/>
      <c r="B892" s="209"/>
      <c r="C892" s="71"/>
      <c r="D892" s="209"/>
      <c r="E892" s="71"/>
      <c r="F892" s="209"/>
      <c r="G892" s="71"/>
      <c r="H892" s="209"/>
      <c r="I892" s="28"/>
      <c r="J892" s="209"/>
      <c r="K892" s="65"/>
      <c r="L892" s="65"/>
      <c r="M892" s="65"/>
      <c r="N892" s="65"/>
      <c r="O892" s="65"/>
      <c r="P892" s="65"/>
      <c r="Q892" s="65"/>
      <c r="R892" s="65"/>
      <c r="S892" s="65"/>
      <c r="T892" s="65"/>
      <c r="U892" s="65"/>
      <c r="V892" s="65"/>
      <c r="W892" s="65"/>
    </row>
    <row r="893">
      <c r="A893" s="71"/>
      <c r="B893" s="209"/>
      <c r="C893" s="71"/>
      <c r="D893" s="209"/>
      <c r="E893" s="71"/>
      <c r="F893" s="209"/>
      <c r="G893" s="71"/>
      <c r="H893" s="209"/>
      <c r="I893" s="28"/>
      <c r="J893" s="209"/>
      <c r="K893" s="65"/>
      <c r="L893" s="65"/>
      <c r="M893" s="65"/>
      <c r="N893" s="65"/>
      <c r="O893" s="65"/>
      <c r="P893" s="65"/>
      <c r="Q893" s="65"/>
      <c r="R893" s="65"/>
      <c r="S893" s="65"/>
      <c r="T893" s="65"/>
      <c r="U893" s="65"/>
      <c r="V893" s="65"/>
      <c r="W893" s="65"/>
    </row>
    <row r="894">
      <c r="A894" s="71"/>
      <c r="B894" s="209"/>
      <c r="C894" s="71"/>
      <c r="D894" s="209"/>
      <c r="E894" s="71"/>
      <c r="F894" s="209"/>
      <c r="G894" s="71"/>
      <c r="H894" s="209"/>
      <c r="I894" s="28"/>
      <c r="J894" s="209"/>
      <c r="K894" s="65"/>
      <c r="L894" s="65"/>
      <c r="M894" s="65"/>
      <c r="N894" s="65"/>
      <c r="O894" s="65"/>
      <c r="P894" s="65"/>
      <c r="Q894" s="65"/>
      <c r="R894" s="65"/>
      <c r="S894" s="65"/>
      <c r="T894" s="65"/>
      <c r="U894" s="65"/>
      <c r="V894" s="65"/>
      <c r="W894" s="65"/>
    </row>
    <row r="895">
      <c r="A895" s="71"/>
      <c r="B895" s="209"/>
      <c r="C895" s="71"/>
      <c r="D895" s="209"/>
      <c r="E895" s="71"/>
      <c r="F895" s="209"/>
      <c r="G895" s="71"/>
      <c r="H895" s="209"/>
      <c r="I895" s="28"/>
      <c r="J895" s="209"/>
      <c r="K895" s="65"/>
      <c r="L895" s="65"/>
      <c r="M895" s="65"/>
      <c r="N895" s="65"/>
      <c r="O895" s="65"/>
      <c r="P895" s="65"/>
      <c r="Q895" s="65"/>
      <c r="R895" s="65"/>
      <c r="S895" s="65"/>
      <c r="T895" s="65"/>
      <c r="U895" s="65"/>
      <c r="V895" s="65"/>
      <c r="W895" s="65"/>
    </row>
    <row r="896">
      <c r="A896" s="71"/>
      <c r="B896" s="209"/>
      <c r="C896" s="71"/>
      <c r="D896" s="209"/>
      <c r="E896" s="71"/>
      <c r="F896" s="209"/>
      <c r="G896" s="71"/>
      <c r="H896" s="209"/>
      <c r="I896" s="28"/>
      <c r="J896" s="209"/>
      <c r="K896" s="65"/>
      <c r="L896" s="65"/>
      <c r="M896" s="65"/>
      <c r="N896" s="65"/>
      <c r="O896" s="65"/>
      <c r="P896" s="65"/>
      <c r="Q896" s="65"/>
      <c r="R896" s="65"/>
      <c r="S896" s="65"/>
      <c r="T896" s="65"/>
      <c r="U896" s="65"/>
      <c r="V896" s="65"/>
      <c r="W896" s="65"/>
    </row>
    <row r="897">
      <c r="A897" s="71"/>
      <c r="B897" s="209"/>
      <c r="C897" s="71"/>
      <c r="D897" s="209"/>
      <c r="E897" s="71"/>
      <c r="F897" s="209"/>
      <c r="G897" s="71"/>
      <c r="H897" s="209"/>
      <c r="I897" s="28"/>
      <c r="J897" s="209"/>
      <c r="K897" s="65"/>
      <c r="L897" s="65"/>
      <c r="M897" s="65"/>
      <c r="N897" s="65"/>
      <c r="O897" s="65"/>
      <c r="P897" s="65"/>
      <c r="Q897" s="65"/>
      <c r="R897" s="65"/>
      <c r="S897" s="65"/>
      <c r="T897" s="65"/>
      <c r="U897" s="65"/>
      <c r="V897" s="65"/>
      <c r="W897" s="65"/>
    </row>
    <row r="898">
      <c r="A898" s="71"/>
      <c r="B898" s="209"/>
      <c r="C898" s="71"/>
      <c r="D898" s="209"/>
      <c r="E898" s="71"/>
      <c r="F898" s="209"/>
      <c r="G898" s="71"/>
      <c r="H898" s="209"/>
      <c r="I898" s="28"/>
      <c r="J898" s="209"/>
      <c r="K898" s="65"/>
      <c r="L898" s="65"/>
      <c r="M898" s="65"/>
      <c r="N898" s="65"/>
      <c r="O898" s="65"/>
      <c r="P898" s="65"/>
      <c r="Q898" s="65"/>
      <c r="R898" s="65"/>
      <c r="S898" s="65"/>
      <c r="T898" s="65"/>
      <c r="U898" s="65"/>
      <c r="V898" s="65"/>
      <c r="W898" s="65"/>
    </row>
    <row r="899">
      <c r="A899" s="71"/>
      <c r="B899" s="209"/>
      <c r="C899" s="71"/>
      <c r="D899" s="209"/>
      <c r="E899" s="71"/>
      <c r="F899" s="209"/>
      <c r="G899" s="71"/>
      <c r="H899" s="209"/>
      <c r="I899" s="28"/>
      <c r="J899" s="209"/>
      <c r="K899" s="65"/>
      <c r="L899" s="65"/>
      <c r="M899" s="65"/>
      <c r="N899" s="65"/>
      <c r="O899" s="65"/>
      <c r="P899" s="65"/>
      <c r="Q899" s="65"/>
      <c r="R899" s="65"/>
      <c r="S899" s="65"/>
      <c r="T899" s="65"/>
      <c r="U899" s="65"/>
      <c r="V899" s="65"/>
      <c r="W899" s="65"/>
    </row>
    <row r="900">
      <c r="A900" s="71"/>
      <c r="B900" s="209"/>
      <c r="C900" s="71"/>
      <c r="D900" s="209"/>
      <c r="E900" s="71"/>
      <c r="F900" s="209"/>
      <c r="G900" s="71"/>
      <c r="H900" s="209"/>
      <c r="I900" s="28"/>
      <c r="J900" s="209"/>
      <c r="K900" s="65"/>
      <c r="L900" s="65"/>
      <c r="M900" s="65"/>
      <c r="N900" s="65"/>
      <c r="O900" s="65"/>
      <c r="P900" s="65"/>
      <c r="Q900" s="65"/>
      <c r="R900" s="65"/>
      <c r="S900" s="65"/>
      <c r="T900" s="65"/>
      <c r="U900" s="65"/>
      <c r="V900" s="65"/>
      <c r="W900" s="65"/>
    </row>
    <row r="901">
      <c r="A901" s="71"/>
      <c r="B901" s="209"/>
      <c r="C901" s="71"/>
      <c r="D901" s="209"/>
      <c r="E901" s="71"/>
      <c r="F901" s="209"/>
      <c r="G901" s="71"/>
      <c r="H901" s="209"/>
      <c r="I901" s="28"/>
      <c r="J901" s="209"/>
      <c r="K901" s="65"/>
      <c r="L901" s="65"/>
      <c r="M901" s="65"/>
      <c r="N901" s="65"/>
      <c r="O901" s="65"/>
      <c r="P901" s="65"/>
      <c r="Q901" s="65"/>
      <c r="R901" s="65"/>
      <c r="S901" s="65"/>
      <c r="T901" s="65"/>
      <c r="U901" s="65"/>
      <c r="V901" s="65"/>
      <c r="W901" s="65"/>
    </row>
    <row r="902">
      <c r="A902" s="71"/>
      <c r="B902" s="209"/>
      <c r="C902" s="71"/>
      <c r="D902" s="209"/>
      <c r="E902" s="71"/>
      <c r="F902" s="209"/>
      <c r="G902" s="71"/>
      <c r="H902" s="209"/>
      <c r="I902" s="28"/>
      <c r="J902" s="209"/>
      <c r="K902" s="65"/>
      <c r="L902" s="65"/>
      <c r="M902" s="65"/>
      <c r="N902" s="65"/>
      <c r="O902" s="65"/>
      <c r="P902" s="65"/>
      <c r="Q902" s="65"/>
      <c r="R902" s="65"/>
      <c r="S902" s="65"/>
      <c r="T902" s="65"/>
      <c r="U902" s="65"/>
      <c r="V902" s="65"/>
      <c r="W902" s="65"/>
    </row>
    <row r="903">
      <c r="A903" s="71"/>
      <c r="B903" s="209"/>
      <c r="C903" s="71"/>
      <c r="D903" s="209"/>
      <c r="E903" s="71"/>
      <c r="F903" s="209"/>
      <c r="G903" s="71"/>
      <c r="H903" s="209"/>
      <c r="I903" s="28"/>
      <c r="J903" s="209"/>
      <c r="K903" s="65"/>
      <c r="L903" s="65"/>
      <c r="M903" s="65"/>
      <c r="N903" s="65"/>
      <c r="O903" s="65"/>
      <c r="P903" s="65"/>
      <c r="Q903" s="65"/>
      <c r="R903" s="65"/>
      <c r="S903" s="65"/>
      <c r="T903" s="65"/>
      <c r="U903" s="65"/>
      <c r="V903" s="65"/>
      <c r="W903" s="65"/>
    </row>
    <row r="904">
      <c r="A904" s="71"/>
      <c r="B904" s="209"/>
      <c r="C904" s="71"/>
      <c r="D904" s="209"/>
      <c r="E904" s="71"/>
      <c r="F904" s="209"/>
      <c r="G904" s="71"/>
      <c r="H904" s="209"/>
      <c r="I904" s="28"/>
      <c r="J904" s="209"/>
      <c r="K904" s="65"/>
      <c r="L904" s="65"/>
      <c r="M904" s="65"/>
      <c r="N904" s="65"/>
      <c r="O904" s="65"/>
      <c r="P904" s="65"/>
      <c r="Q904" s="65"/>
      <c r="R904" s="65"/>
      <c r="S904" s="65"/>
      <c r="T904" s="65"/>
      <c r="U904" s="65"/>
      <c r="V904" s="65"/>
      <c r="W904" s="65"/>
    </row>
    <row r="905">
      <c r="A905" s="71"/>
      <c r="B905" s="209"/>
      <c r="C905" s="71"/>
      <c r="D905" s="209"/>
      <c r="E905" s="71"/>
      <c r="F905" s="209"/>
      <c r="G905" s="71"/>
      <c r="H905" s="209"/>
      <c r="I905" s="28"/>
      <c r="J905" s="209"/>
      <c r="K905" s="65"/>
      <c r="L905" s="65"/>
      <c r="M905" s="65"/>
      <c r="N905" s="65"/>
      <c r="O905" s="65"/>
      <c r="P905" s="65"/>
      <c r="Q905" s="65"/>
      <c r="R905" s="65"/>
      <c r="S905" s="65"/>
      <c r="T905" s="65"/>
      <c r="U905" s="65"/>
      <c r="V905" s="65"/>
      <c r="W905" s="65"/>
    </row>
    <row r="906">
      <c r="A906" s="71"/>
      <c r="B906" s="209"/>
      <c r="C906" s="71"/>
      <c r="D906" s="209"/>
      <c r="E906" s="71"/>
      <c r="F906" s="209"/>
      <c r="G906" s="71"/>
      <c r="H906" s="209"/>
      <c r="I906" s="28"/>
      <c r="J906" s="209"/>
      <c r="K906" s="65"/>
      <c r="L906" s="65"/>
      <c r="M906" s="65"/>
      <c r="N906" s="65"/>
      <c r="O906" s="65"/>
      <c r="P906" s="65"/>
      <c r="Q906" s="65"/>
      <c r="R906" s="65"/>
      <c r="S906" s="65"/>
      <c r="T906" s="65"/>
      <c r="U906" s="65"/>
      <c r="V906" s="65"/>
      <c r="W906" s="65"/>
    </row>
    <row r="907">
      <c r="A907" s="71"/>
      <c r="B907" s="209"/>
      <c r="C907" s="71"/>
      <c r="D907" s="209"/>
      <c r="E907" s="71"/>
      <c r="F907" s="209"/>
      <c r="G907" s="71"/>
      <c r="H907" s="209"/>
      <c r="I907" s="28"/>
      <c r="J907" s="209"/>
      <c r="K907" s="65"/>
      <c r="L907" s="65"/>
      <c r="M907" s="65"/>
      <c r="N907" s="65"/>
      <c r="O907" s="65"/>
      <c r="P907" s="65"/>
      <c r="Q907" s="65"/>
      <c r="R907" s="65"/>
      <c r="S907" s="65"/>
      <c r="T907" s="65"/>
      <c r="U907" s="65"/>
      <c r="V907" s="65"/>
      <c r="W907" s="65"/>
    </row>
    <row r="908">
      <c r="A908" s="71"/>
      <c r="B908" s="209"/>
      <c r="C908" s="71"/>
      <c r="D908" s="209"/>
      <c r="E908" s="71"/>
      <c r="F908" s="209"/>
      <c r="G908" s="71"/>
      <c r="H908" s="209"/>
      <c r="I908" s="28"/>
      <c r="J908" s="209"/>
      <c r="K908" s="65"/>
      <c r="L908" s="65"/>
      <c r="M908" s="65"/>
      <c r="N908" s="65"/>
      <c r="O908" s="65"/>
      <c r="P908" s="65"/>
      <c r="Q908" s="65"/>
      <c r="R908" s="65"/>
      <c r="S908" s="65"/>
      <c r="T908" s="65"/>
      <c r="U908" s="65"/>
      <c r="V908" s="65"/>
      <c r="W908" s="65"/>
    </row>
    <row r="909">
      <c r="A909" s="71"/>
      <c r="B909" s="209"/>
      <c r="C909" s="71"/>
      <c r="D909" s="209"/>
      <c r="E909" s="71"/>
      <c r="F909" s="209"/>
      <c r="G909" s="71"/>
      <c r="H909" s="209"/>
      <c r="I909" s="28"/>
      <c r="J909" s="209"/>
      <c r="K909" s="65"/>
      <c r="L909" s="65"/>
      <c r="M909" s="65"/>
      <c r="N909" s="65"/>
      <c r="O909" s="65"/>
      <c r="P909" s="65"/>
      <c r="Q909" s="65"/>
      <c r="R909" s="65"/>
      <c r="S909" s="65"/>
      <c r="T909" s="65"/>
      <c r="U909" s="65"/>
      <c r="V909" s="65"/>
      <c r="W909" s="65"/>
    </row>
    <row r="910">
      <c r="A910" s="71"/>
      <c r="B910" s="209"/>
      <c r="C910" s="71"/>
      <c r="D910" s="209"/>
      <c r="E910" s="71"/>
      <c r="F910" s="209"/>
      <c r="G910" s="71"/>
      <c r="H910" s="209"/>
      <c r="I910" s="28"/>
      <c r="J910" s="209"/>
      <c r="K910" s="65"/>
      <c r="L910" s="65"/>
      <c r="M910" s="65"/>
      <c r="N910" s="65"/>
      <c r="O910" s="65"/>
      <c r="P910" s="65"/>
      <c r="Q910" s="65"/>
      <c r="R910" s="65"/>
      <c r="S910" s="65"/>
      <c r="T910" s="65"/>
      <c r="U910" s="65"/>
      <c r="V910" s="65"/>
      <c r="W910" s="65"/>
    </row>
    <row r="911">
      <c r="A911" s="71"/>
      <c r="B911" s="209"/>
      <c r="C911" s="71"/>
      <c r="D911" s="209"/>
      <c r="E911" s="71"/>
      <c r="F911" s="209"/>
      <c r="G911" s="71"/>
      <c r="H911" s="209"/>
      <c r="I911" s="28"/>
      <c r="J911" s="209"/>
      <c r="K911" s="65"/>
      <c r="L911" s="65"/>
      <c r="M911" s="65"/>
      <c r="N911" s="65"/>
      <c r="O911" s="65"/>
      <c r="P911" s="65"/>
      <c r="Q911" s="65"/>
      <c r="R911" s="65"/>
      <c r="S911" s="65"/>
      <c r="T911" s="65"/>
      <c r="U911" s="65"/>
      <c r="V911" s="65"/>
      <c r="W911" s="65"/>
    </row>
    <row r="912">
      <c r="A912" s="71"/>
      <c r="B912" s="209"/>
      <c r="C912" s="71"/>
      <c r="D912" s="209"/>
      <c r="E912" s="71"/>
      <c r="F912" s="209"/>
      <c r="G912" s="71"/>
      <c r="H912" s="209"/>
      <c r="I912" s="28"/>
      <c r="J912" s="209"/>
      <c r="K912" s="65"/>
      <c r="L912" s="65"/>
      <c r="M912" s="65"/>
      <c r="N912" s="65"/>
      <c r="O912" s="65"/>
      <c r="P912" s="65"/>
      <c r="Q912" s="65"/>
      <c r="R912" s="65"/>
      <c r="S912" s="65"/>
      <c r="T912" s="65"/>
      <c r="U912" s="65"/>
      <c r="V912" s="65"/>
      <c r="W912" s="65"/>
    </row>
    <row r="913">
      <c r="A913" s="71"/>
      <c r="B913" s="209"/>
      <c r="C913" s="71"/>
      <c r="D913" s="209"/>
      <c r="E913" s="71"/>
      <c r="F913" s="209"/>
      <c r="G913" s="71"/>
      <c r="H913" s="209"/>
      <c r="I913" s="28"/>
      <c r="J913" s="209"/>
      <c r="K913" s="65"/>
      <c r="L913" s="65"/>
      <c r="M913" s="65"/>
      <c r="N913" s="65"/>
      <c r="O913" s="65"/>
      <c r="P913" s="65"/>
      <c r="Q913" s="65"/>
      <c r="R913" s="65"/>
      <c r="S913" s="65"/>
      <c r="T913" s="65"/>
      <c r="U913" s="65"/>
      <c r="V913" s="65"/>
      <c r="W913" s="65"/>
    </row>
    <row r="914">
      <c r="A914" s="71"/>
      <c r="B914" s="209"/>
      <c r="C914" s="71"/>
      <c r="D914" s="209"/>
      <c r="E914" s="71"/>
      <c r="F914" s="209"/>
      <c r="G914" s="71"/>
      <c r="H914" s="209"/>
      <c r="I914" s="28"/>
      <c r="J914" s="209"/>
      <c r="K914" s="65"/>
      <c r="L914" s="65"/>
      <c r="M914" s="65"/>
      <c r="N914" s="65"/>
      <c r="O914" s="65"/>
      <c r="P914" s="65"/>
      <c r="Q914" s="65"/>
      <c r="R914" s="65"/>
      <c r="S914" s="65"/>
      <c r="T914" s="65"/>
      <c r="U914" s="65"/>
      <c r="V914" s="65"/>
      <c r="W914" s="65"/>
    </row>
    <row r="915">
      <c r="A915" s="71"/>
      <c r="B915" s="209"/>
      <c r="C915" s="71"/>
      <c r="D915" s="209"/>
      <c r="E915" s="71"/>
      <c r="F915" s="209"/>
      <c r="G915" s="71"/>
      <c r="H915" s="209"/>
      <c r="I915" s="28"/>
      <c r="J915" s="209"/>
      <c r="K915" s="65"/>
      <c r="L915" s="65"/>
      <c r="M915" s="65"/>
      <c r="N915" s="65"/>
      <c r="O915" s="65"/>
      <c r="P915" s="65"/>
      <c r="Q915" s="65"/>
      <c r="R915" s="65"/>
      <c r="S915" s="65"/>
      <c r="T915" s="65"/>
      <c r="U915" s="65"/>
      <c r="V915" s="65"/>
      <c r="W915" s="65"/>
    </row>
    <row r="916">
      <c r="A916" s="71"/>
      <c r="B916" s="209"/>
      <c r="C916" s="71"/>
      <c r="D916" s="209"/>
      <c r="E916" s="71"/>
      <c r="F916" s="209"/>
      <c r="G916" s="71"/>
      <c r="H916" s="209"/>
      <c r="I916" s="28"/>
      <c r="J916" s="209"/>
      <c r="K916" s="65"/>
      <c r="L916" s="65"/>
      <c r="M916" s="65"/>
      <c r="N916" s="65"/>
      <c r="O916" s="65"/>
      <c r="P916" s="65"/>
      <c r="Q916" s="65"/>
      <c r="R916" s="65"/>
      <c r="S916" s="65"/>
      <c r="T916" s="65"/>
      <c r="U916" s="65"/>
      <c r="V916" s="65"/>
      <c r="W916" s="65"/>
    </row>
    <row r="917">
      <c r="A917" s="71"/>
      <c r="B917" s="209"/>
      <c r="C917" s="71"/>
      <c r="D917" s="209"/>
      <c r="E917" s="71"/>
      <c r="F917" s="209"/>
      <c r="G917" s="71"/>
      <c r="H917" s="209"/>
      <c r="I917" s="28"/>
      <c r="J917" s="209"/>
      <c r="K917" s="65"/>
      <c r="L917" s="65"/>
      <c r="M917" s="65"/>
      <c r="N917" s="65"/>
      <c r="O917" s="65"/>
      <c r="P917" s="65"/>
      <c r="Q917" s="65"/>
      <c r="R917" s="65"/>
      <c r="S917" s="65"/>
      <c r="T917" s="65"/>
      <c r="U917" s="65"/>
      <c r="V917" s="65"/>
      <c r="W917" s="65"/>
    </row>
    <row r="918">
      <c r="A918" s="71"/>
      <c r="B918" s="209"/>
      <c r="C918" s="71"/>
      <c r="D918" s="209"/>
      <c r="E918" s="71"/>
      <c r="F918" s="209"/>
      <c r="G918" s="71"/>
      <c r="H918" s="209"/>
      <c r="I918" s="28"/>
      <c r="J918" s="209"/>
      <c r="K918" s="65"/>
      <c r="L918" s="65"/>
      <c r="M918" s="65"/>
      <c r="N918" s="65"/>
      <c r="O918" s="65"/>
      <c r="P918" s="65"/>
      <c r="Q918" s="65"/>
      <c r="R918" s="65"/>
      <c r="S918" s="65"/>
      <c r="T918" s="65"/>
      <c r="U918" s="65"/>
      <c r="V918" s="65"/>
      <c r="W918" s="65"/>
    </row>
    <row r="919">
      <c r="A919" s="71"/>
      <c r="B919" s="209"/>
      <c r="C919" s="71"/>
      <c r="D919" s="209"/>
      <c r="E919" s="71"/>
      <c r="F919" s="209"/>
      <c r="G919" s="71"/>
      <c r="H919" s="209"/>
      <c r="I919" s="28"/>
      <c r="J919" s="209"/>
      <c r="K919" s="65"/>
      <c r="L919" s="65"/>
      <c r="M919" s="65"/>
      <c r="N919" s="65"/>
      <c r="O919" s="65"/>
      <c r="P919" s="65"/>
      <c r="Q919" s="65"/>
      <c r="R919" s="65"/>
      <c r="S919" s="65"/>
      <c r="T919" s="65"/>
      <c r="U919" s="65"/>
      <c r="V919" s="65"/>
      <c r="W919" s="65"/>
    </row>
    <row r="920">
      <c r="A920" s="71"/>
      <c r="B920" s="209"/>
      <c r="C920" s="71"/>
      <c r="D920" s="209"/>
      <c r="E920" s="71"/>
      <c r="F920" s="209"/>
      <c r="G920" s="71"/>
      <c r="H920" s="209"/>
      <c r="I920" s="28"/>
      <c r="J920" s="209"/>
      <c r="K920" s="65"/>
      <c r="L920" s="65"/>
      <c r="M920" s="65"/>
      <c r="N920" s="65"/>
      <c r="O920" s="65"/>
      <c r="P920" s="65"/>
      <c r="Q920" s="65"/>
      <c r="R920" s="65"/>
      <c r="S920" s="65"/>
      <c r="T920" s="65"/>
      <c r="U920" s="65"/>
      <c r="V920" s="65"/>
      <c r="W920" s="65"/>
    </row>
    <row r="921">
      <c r="A921" s="71"/>
      <c r="B921" s="209"/>
      <c r="C921" s="71"/>
      <c r="D921" s="209"/>
      <c r="E921" s="71"/>
      <c r="F921" s="209"/>
      <c r="G921" s="71"/>
      <c r="H921" s="209"/>
      <c r="I921" s="28"/>
      <c r="J921" s="209"/>
      <c r="K921" s="65"/>
      <c r="L921" s="65"/>
      <c r="M921" s="65"/>
      <c r="N921" s="65"/>
      <c r="O921" s="65"/>
      <c r="P921" s="65"/>
      <c r="Q921" s="65"/>
      <c r="R921" s="65"/>
      <c r="S921" s="65"/>
      <c r="T921" s="65"/>
      <c r="U921" s="65"/>
      <c r="V921" s="65"/>
      <c r="W921" s="65"/>
    </row>
    <row r="922">
      <c r="A922" s="71"/>
      <c r="B922" s="209"/>
      <c r="C922" s="71"/>
      <c r="D922" s="209"/>
      <c r="E922" s="71"/>
      <c r="F922" s="209"/>
      <c r="G922" s="71"/>
      <c r="H922" s="209"/>
      <c r="I922" s="28"/>
      <c r="J922" s="209"/>
      <c r="K922" s="65"/>
      <c r="L922" s="65"/>
      <c r="M922" s="65"/>
      <c r="N922" s="65"/>
      <c r="O922" s="65"/>
      <c r="P922" s="65"/>
      <c r="Q922" s="65"/>
      <c r="R922" s="65"/>
      <c r="S922" s="65"/>
      <c r="T922" s="65"/>
      <c r="U922" s="65"/>
      <c r="V922" s="65"/>
      <c r="W922" s="65"/>
    </row>
    <row r="923">
      <c r="A923" s="71"/>
      <c r="B923" s="209"/>
      <c r="C923" s="71"/>
      <c r="D923" s="209"/>
      <c r="E923" s="71"/>
      <c r="F923" s="209"/>
      <c r="G923" s="71"/>
      <c r="H923" s="209"/>
      <c r="I923" s="28"/>
      <c r="J923" s="209"/>
      <c r="K923" s="65"/>
      <c r="L923" s="65"/>
      <c r="M923" s="65"/>
      <c r="N923" s="65"/>
      <c r="O923" s="65"/>
      <c r="P923" s="65"/>
      <c r="Q923" s="65"/>
      <c r="R923" s="65"/>
      <c r="S923" s="65"/>
      <c r="T923" s="65"/>
      <c r="U923" s="65"/>
      <c r="V923" s="65"/>
      <c r="W923" s="65"/>
    </row>
    <row r="924">
      <c r="A924" s="71"/>
      <c r="B924" s="209"/>
      <c r="C924" s="71"/>
      <c r="D924" s="209"/>
      <c r="E924" s="71"/>
      <c r="F924" s="209"/>
      <c r="G924" s="71"/>
      <c r="H924" s="209"/>
      <c r="I924" s="28"/>
      <c r="J924" s="209"/>
      <c r="K924" s="65"/>
      <c r="L924" s="65"/>
      <c r="M924" s="65"/>
      <c r="N924" s="65"/>
      <c r="O924" s="65"/>
      <c r="P924" s="65"/>
      <c r="Q924" s="65"/>
      <c r="R924" s="65"/>
      <c r="S924" s="65"/>
      <c r="T924" s="65"/>
      <c r="U924" s="65"/>
      <c r="V924" s="65"/>
      <c r="W924" s="65"/>
    </row>
    <row r="925">
      <c r="A925" s="71"/>
      <c r="B925" s="209"/>
      <c r="C925" s="71"/>
      <c r="D925" s="209"/>
      <c r="E925" s="71"/>
      <c r="F925" s="209"/>
      <c r="G925" s="71"/>
      <c r="H925" s="209"/>
      <c r="I925" s="28"/>
      <c r="J925" s="209"/>
      <c r="K925" s="65"/>
      <c r="L925" s="65"/>
      <c r="M925" s="65"/>
      <c r="N925" s="65"/>
      <c r="O925" s="65"/>
      <c r="P925" s="65"/>
      <c r="Q925" s="65"/>
      <c r="R925" s="65"/>
      <c r="S925" s="65"/>
      <c r="T925" s="65"/>
      <c r="U925" s="65"/>
      <c r="V925" s="65"/>
      <c r="W925" s="65"/>
    </row>
    <row r="926">
      <c r="A926" s="71"/>
      <c r="B926" s="209"/>
      <c r="C926" s="71"/>
      <c r="D926" s="209"/>
      <c r="E926" s="71"/>
      <c r="F926" s="209"/>
      <c r="G926" s="71"/>
      <c r="H926" s="209"/>
      <c r="I926" s="28"/>
      <c r="J926" s="209"/>
      <c r="K926" s="65"/>
      <c r="L926" s="65"/>
      <c r="M926" s="65"/>
      <c r="N926" s="65"/>
      <c r="O926" s="65"/>
      <c r="P926" s="65"/>
      <c r="Q926" s="65"/>
      <c r="R926" s="65"/>
      <c r="S926" s="65"/>
      <c r="T926" s="65"/>
      <c r="U926" s="65"/>
      <c r="V926" s="65"/>
      <c r="W926" s="65"/>
    </row>
    <row r="927">
      <c r="A927" s="71"/>
      <c r="B927" s="209"/>
      <c r="C927" s="71"/>
      <c r="D927" s="209"/>
      <c r="E927" s="71"/>
      <c r="F927" s="209"/>
      <c r="G927" s="71"/>
      <c r="H927" s="209"/>
      <c r="I927" s="28"/>
      <c r="J927" s="209"/>
      <c r="K927" s="65"/>
      <c r="L927" s="65"/>
      <c r="M927" s="65"/>
      <c r="N927" s="65"/>
      <c r="O927" s="65"/>
      <c r="P927" s="65"/>
      <c r="Q927" s="65"/>
      <c r="R927" s="65"/>
      <c r="S927" s="65"/>
      <c r="T927" s="65"/>
      <c r="U927" s="65"/>
      <c r="V927" s="65"/>
      <c r="W927" s="65"/>
    </row>
    <row r="928">
      <c r="A928" s="71"/>
      <c r="B928" s="209"/>
      <c r="C928" s="71"/>
      <c r="D928" s="209"/>
      <c r="E928" s="71"/>
      <c r="F928" s="209"/>
      <c r="G928" s="71"/>
      <c r="H928" s="209"/>
      <c r="I928" s="28"/>
      <c r="J928" s="209"/>
      <c r="K928" s="65"/>
      <c r="L928" s="65"/>
      <c r="M928" s="65"/>
      <c r="N928" s="65"/>
      <c r="O928" s="65"/>
      <c r="P928" s="65"/>
      <c r="Q928" s="65"/>
      <c r="R928" s="65"/>
      <c r="S928" s="65"/>
      <c r="T928" s="65"/>
      <c r="U928" s="65"/>
      <c r="V928" s="65"/>
      <c r="W928" s="65"/>
    </row>
    <row r="929">
      <c r="A929" s="71"/>
      <c r="B929" s="209"/>
      <c r="C929" s="71"/>
      <c r="D929" s="209"/>
      <c r="E929" s="71"/>
      <c r="F929" s="209"/>
      <c r="G929" s="71"/>
      <c r="H929" s="209"/>
      <c r="I929" s="28"/>
      <c r="J929" s="209"/>
      <c r="K929" s="65"/>
      <c r="L929" s="65"/>
      <c r="M929" s="65"/>
      <c r="N929" s="65"/>
      <c r="O929" s="65"/>
      <c r="P929" s="65"/>
      <c r="Q929" s="65"/>
      <c r="R929" s="65"/>
      <c r="S929" s="65"/>
      <c r="T929" s="65"/>
      <c r="U929" s="65"/>
      <c r="V929" s="65"/>
      <c r="W929" s="65"/>
    </row>
    <row r="930">
      <c r="A930" s="71"/>
      <c r="B930" s="209"/>
      <c r="C930" s="71"/>
      <c r="D930" s="209"/>
      <c r="E930" s="71"/>
      <c r="F930" s="209"/>
      <c r="G930" s="71"/>
      <c r="H930" s="209"/>
      <c r="I930" s="28"/>
      <c r="J930" s="209"/>
      <c r="K930" s="65"/>
      <c r="L930" s="65"/>
      <c r="M930" s="65"/>
      <c r="N930" s="65"/>
      <c r="O930" s="65"/>
      <c r="P930" s="65"/>
      <c r="Q930" s="65"/>
      <c r="R930" s="65"/>
      <c r="S930" s="65"/>
      <c r="T930" s="65"/>
      <c r="U930" s="65"/>
      <c r="V930" s="65"/>
      <c r="W930" s="65"/>
    </row>
    <row r="931">
      <c r="A931" s="71"/>
      <c r="B931" s="209"/>
      <c r="C931" s="71"/>
      <c r="D931" s="209"/>
      <c r="E931" s="71"/>
      <c r="F931" s="209"/>
      <c r="G931" s="71"/>
      <c r="H931" s="209"/>
      <c r="I931" s="28"/>
      <c r="J931" s="209"/>
      <c r="K931" s="65"/>
      <c r="L931" s="65"/>
      <c r="M931" s="65"/>
      <c r="N931" s="65"/>
      <c r="O931" s="65"/>
      <c r="P931" s="65"/>
      <c r="Q931" s="65"/>
      <c r="R931" s="65"/>
      <c r="S931" s="65"/>
      <c r="T931" s="65"/>
      <c r="U931" s="65"/>
      <c r="V931" s="65"/>
      <c r="W931" s="65"/>
    </row>
    <row r="932">
      <c r="A932" s="71"/>
      <c r="B932" s="209"/>
      <c r="C932" s="71"/>
      <c r="D932" s="209"/>
      <c r="E932" s="71"/>
      <c r="F932" s="209"/>
      <c r="G932" s="71"/>
      <c r="H932" s="209"/>
      <c r="I932" s="28"/>
      <c r="J932" s="209"/>
      <c r="K932" s="65"/>
      <c r="L932" s="65"/>
      <c r="M932" s="65"/>
      <c r="N932" s="65"/>
      <c r="O932" s="65"/>
      <c r="P932" s="65"/>
      <c r="Q932" s="65"/>
      <c r="R932" s="65"/>
      <c r="S932" s="65"/>
      <c r="T932" s="65"/>
      <c r="U932" s="65"/>
      <c r="V932" s="65"/>
      <c r="W932" s="65"/>
    </row>
    <row r="933">
      <c r="A933" s="71"/>
      <c r="B933" s="209"/>
      <c r="C933" s="71"/>
      <c r="D933" s="209"/>
      <c r="E933" s="71"/>
      <c r="F933" s="209"/>
      <c r="G933" s="71"/>
      <c r="H933" s="209"/>
      <c r="I933" s="28"/>
      <c r="J933" s="209"/>
      <c r="K933" s="65"/>
      <c r="L933" s="65"/>
      <c r="M933" s="65"/>
      <c r="N933" s="65"/>
      <c r="O933" s="65"/>
      <c r="P933" s="65"/>
      <c r="Q933" s="65"/>
      <c r="R933" s="65"/>
      <c r="S933" s="65"/>
      <c r="T933" s="65"/>
      <c r="U933" s="65"/>
      <c r="V933" s="65"/>
      <c r="W933" s="65"/>
    </row>
    <row r="934">
      <c r="A934" s="71"/>
      <c r="B934" s="209"/>
      <c r="C934" s="71"/>
      <c r="D934" s="209"/>
      <c r="E934" s="71"/>
      <c r="F934" s="209"/>
      <c r="G934" s="71"/>
      <c r="H934" s="209"/>
      <c r="I934" s="28"/>
      <c r="J934" s="209"/>
      <c r="K934" s="65"/>
      <c r="L934" s="65"/>
      <c r="M934" s="65"/>
      <c r="N934" s="65"/>
      <c r="O934" s="65"/>
      <c r="P934" s="65"/>
      <c r="Q934" s="65"/>
      <c r="R934" s="65"/>
      <c r="S934" s="65"/>
      <c r="T934" s="65"/>
      <c r="U934" s="65"/>
      <c r="V934" s="65"/>
      <c r="W934" s="65"/>
    </row>
    <row r="935">
      <c r="A935" s="71"/>
      <c r="B935" s="209"/>
      <c r="C935" s="71"/>
      <c r="D935" s="209"/>
      <c r="E935" s="71"/>
      <c r="F935" s="209"/>
      <c r="G935" s="71"/>
      <c r="H935" s="209"/>
      <c r="I935" s="28"/>
      <c r="J935" s="209"/>
      <c r="K935" s="65"/>
      <c r="L935" s="65"/>
      <c r="M935" s="65"/>
      <c r="N935" s="65"/>
      <c r="O935" s="65"/>
      <c r="P935" s="65"/>
      <c r="Q935" s="65"/>
      <c r="R935" s="65"/>
      <c r="S935" s="65"/>
      <c r="T935" s="65"/>
      <c r="U935" s="65"/>
      <c r="V935" s="65"/>
      <c r="W935" s="65"/>
    </row>
    <row r="936">
      <c r="A936" s="71"/>
      <c r="B936" s="209"/>
      <c r="C936" s="71"/>
      <c r="D936" s="209"/>
      <c r="E936" s="71"/>
      <c r="F936" s="209"/>
      <c r="G936" s="71"/>
      <c r="H936" s="209"/>
      <c r="I936" s="28"/>
      <c r="J936" s="209"/>
      <c r="K936" s="65"/>
      <c r="L936" s="65"/>
      <c r="M936" s="65"/>
      <c r="N936" s="65"/>
      <c r="O936" s="65"/>
      <c r="P936" s="65"/>
      <c r="Q936" s="65"/>
      <c r="R936" s="65"/>
      <c r="S936" s="65"/>
      <c r="T936" s="65"/>
      <c r="U936" s="65"/>
      <c r="V936" s="65"/>
      <c r="W936" s="65"/>
    </row>
    <row r="937">
      <c r="A937" s="71"/>
      <c r="B937" s="209"/>
      <c r="C937" s="71"/>
      <c r="D937" s="209"/>
      <c r="E937" s="71"/>
      <c r="F937" s="209"/>
      <c r="G937" s="71"/>
      <c r="H937" s="209"/>
      <c r="I937" s="28"/>
      <c r="J937" s="209"/>
      <c r="K937" s="65"/>
      <c r="L937" s="65"/>
      <c r="M937" s="65"/>
      <c r="N937" s="65"/>
      <c r="O937" s="65"/>
      <c r="P937" s="65"/>
      <c r="Q937" s="65"/>
      <c r="R937" s="65"/>
      <c r="S937" s="65"/>
      <c r="T937" s="65"/>
      <c r="U937" s="65"/>
      <c r="V937" s="65"/>
      <c r="W937" s="65"/>
    </row>
    <row r="938">
      <c r="A938" s="71"/>
      <c r="B938" s="209"/>
      <c r="C938" s="71"/>
      <c r="D938" s="209"/>
      <c r="E938" s="71"/>
      <c r="F938" s="209"/>
      <c r="G938" s="71"/>
      <c r="H938" s="209"/>
      <c r="I938" s="28"/>
      <c r="J938" s="209"/>
      <c r="K938" s="65"/>
      <c r="L938" s="65"/>
      <c r="M938" s="65"/>
      <c r="N938" s="65"/>
      <c r="O938" s="65"/>
      <c r="P938" s="65"/>
      <c r="Q938" s="65"/>
      <c r="R938" s="65"/>
      <c r="S938" s="65"/>
      <c r="T938" s="65"/>
      <c r="U938" s="65"/>
      <c r="V938" s="65"/>
      <c r="W938" s="65"/>
    </row>
    <row r="939">
      <c r="A939" s="71"/>
      <c r="B939" s="209"/>
      <c r="C939" s="71"/>
      <c r="D939" s="209"/>
      <c r="E939" s="71"/>
      <c r="F939" s="209"/>
      <c r="G939" s="71"/>
      <c r="H939" s="209"/>
      <c r="I939" s="28"/>
      <c r="J939" s="209"/>
      <c r="K939" s="65"/>
      <c r="L939" s="65"/>
      <c r="M939" s="65"/>
      <c r="N939" s="65"/>
      <c r="O939" s="65"/>
      <c r="P939" s="65"/>
      <c r="Q939" s="65"/>
      <c r="R939" s="65"/>
      <c r="S939" s="65"/>
      <c r="T939" s="65"/>
      <c r="U939" s="65"/>
      <c r="V939" s="65"/>
      <c r="W939" s="65"/>
    </row>
    <row r="940">
      <c r="A940" s="71"/>
      <c r="B940" s="209"/>
      <c r="C940" s="71"/>
      <c r="D940" s="209"/>
      <c r="E940" s="71"/>
      <c r="F940" s="209"/>
      <c r="G940" s="71"/>
      <c r="H940" s="209"/>
      <c r="I940" s="28"/>
      <c r="J940" s="209"/>
      <c r="K940" s="65"/>
      <c r="L940" s="65"/>
      <c r="M940" s="65"/>
      <c r="N940" s="65"/>
      <c r="O940" s="65"/>
      <c r="P940" s="65"/>
      <c r="Q940" s="65"/>
      <c r="R940" s="65"/>
      <c r="S940" s="65"/>
      <c r="T940" s="65"/>
      <c r="U940" s="65"/>
      <c r="V940" s="65"/>
      <c r="W940" s="65"/>
    </row>
    <row r="941">
      <c r="A941" s="71"/>
      <c r="B941" s="209"/>
      <c r="C941" s="71"/>
      <c r="D941" s="209"/>
      <c r="E941" s="71"/>
      <c r="F941" s="209"/>
      <c r="G941" s="71"/>
      <c r="H941" s="209"/>
      <c r="I941" s="28"/>
      <c r="J941" s="209"/>
      <c r="K941" s="65"/>
      <c r="L941" s="65"/>
      <c r="M941" s="65"/>
      <c r="N941" s="65"/>
      <c r="O941" s="65"/>
      <c r="P941" s="65"/>
      <c r="Q941" s="65"/>
      <c r="R941" s="65"/>
      <c r="S941" s="65"/>
      <c r="T941" s="65"/>
      <c r="U941" s="65"/>
      <c r="V941" s="65"/>
      <c r="W941" s="65"/>
    </row>
    <row r="942">
      <c r="A942" s="71"/>
      <c r="B942" s="209"/>
      <c r="C942" s="71"/>
      <c r="D942" s="209"/>
      <c r="E942" s="71"/>
      <c r="F942" s="209"/>
      <c r="G942" s="71"/>
      <c r="H942" s="209"/>
      <c r="I942" s="28"/>
      <c r="J942" s="209"/>
      <c r="K942" s="65"/>
      <c r="L942" s="65"/>
      <c r="M942" s="65"/>
      <c r="N942" s="65"/>
      <c r="O942" s="65"/>
      <c r="P942" s="65"/>
      <c r="Q942" s="65"/>
      <c r="R942" s="65"/>
      <c r="S942" s="65"/>
      <c r="T942" s="65"/>
      <c r="U942" s="65"/>
      <c r="V942" s="65"/>
      <c r="W942" s="65"/>
    </row>
    <row r="943">
      <c r="A943" s="71"/>
      <c r="B943" s="209"/>
      <c r="C943" s="71"/>
      <c r="D943" s="209"/>
      <c r="E943" s="71"/>
      <c r="F943" s="209"/>
      <c r="G943" s="71"/>
      <c r="H943" s="209"/>
      <c r="I943" s="28"/>
      <c r="J943" s="209"/>
      <c r="K943" s="65"/>
      <c r="L943" s="65"/>
      <c r="M943" s="65"/>
      <c r="N943" s="65"/>
      <c r="O943" s="65"/>
      <c r="P943" s="65"/>
      <c r="Q943" s="65"/>
      <c r="R943" s="65"/>
      <c r="S943" s="65"/>
      <c r="T943" s="65"/>
      <c r="U943" s="65"/>
      <c r="V943" s="65"/>
      <c r="W943" s="65"/>
    </row>
    <row r="944">
      <c r="A944" s="71"/>
      <c r="B944" s="209"/>
      <c r="C944" s="71"/>
      <c r="D944" s="209"/>
      <c r="E944" s="71"/>
      <c r="F944" s="209"/>
      <c r="G944" s="71"/>
      <c r="H944" s="209"/>
      <c r="I944" s="28"/>
      <c r="J944" s="209"/>
      <c r="K944" s="65"/>
      <c r="L944" s="65"/>
      <c r="M944" s="65"/>
      <c r="N944" s="65"/>
      <c r="O944" s="65"/>
      <c r="P944" s="65"/>
      <c r="Q944" s="65"/>
      <c r="R944" s="65"/>
      <c r="S944" s="65"/>
      <c r="T944" s="65"/>
      <c r="U944" s="65"/>
      <c r="V944" s="65"/>
      <c r="W944" s="65"/>
    </row>
    <row r="945">
      <c r="A945" s="71"/>
      <c r="B945" s="209"/>
      <c r="C945" s="71"/>
      <c r="D945" s="209"/>
      <c r="E945" s="71"/>
      <c r="F945" s="209"/>
      <c r="G945" s="71"/>
      <c r="H945" s="209"/>
      <c r="I945" s="28"/>
      <c r="J945" s="209"/>
      <c r="K945" s="65"/>
      <c r="L945" s="65"/>
      <c r="M945" s="65"/>
      <c r="N945" s="65"/>
      <c r="O945" s="65"/>
      <c r="P945" s="65"/>
      <c r="Q945" s="65"/>
      <c r="R945" s="65"/>
      <c r="S945" s="65"/>
      <c r="T945" s="65"/>
      <c r="U945" s="65"/>
      <c r="V945" s="65"/>
      <c r="W945" s="65"/>
    </row>
    <row r="946">
      <c r="A946" s="71"/>
      <c r="B946" s="209"/>
      <c r="C946" s="71"/>
      <c r="D946" s="209"/>
      <c r="E946" s="71"/>
      <c r="F946" s="209"/>
      <c r="G946" s="71"/>
      <c r="H946" s="209"/>
      <c r="I946" s="28"/>
      <c r="J946" s="209"/>
      <c r="K946" s="65"/>
      <c r="L946" s="65"/>
      <c r="M946" s="65"/>
      <c r="N946" s="65"/>
      <c r="O946" s="65"/>
      <c r="P946" s="65"/>
      <c r="Q946" s="65"/>
      <c r="R946" s="65"/>
      <c r="S946" s="65"/>
      <c r="T946" s="65"/>
      <c r="U946" s="65"/>
      <c r="V946" s="65"/>
      <c r="W946" s="65"/>
    </row>
    <row r="947">
      <c r="A947" s="71"/>
      <c r="B947" s="209"/>
      <c r="C947" s="71"/>
      <c r="D947" s="209"/>
      <c r="E947" s="71"/>
      <c r="F947" s="209"/>
      <c r="G947" s="71"/>
      <c r="H947" s="209"/>
      <c r="I947" s="28"/>
      <c r="J947" s="209"/>
      <c r="K947" s="65"/>
      <c r="L947" s="65"/>
      <c r="M947" s="65"/>
      <c r="N947" s="65"/>
      <c r="O947" s="65"/>
      <c r="P947" s="65"/>
      <c r="Q947" s="65"/>
      <c r="R947" s="65"/>
      <c r="S947" s="65"/>
      <c r="T947" s="65"/>
      <c r="U947" s="65"/>
      <c r="V947" s="65"/>
      <c r="W947" s="65"/>
    </row>
    <row r="948">
      <c r="A948" s="71"/>
      <c r="B948" s="209"/>
      <c r="C948" s="71"/>
      <c r="D948" s="209"/>
      <c r="E948" s="71"/>
      <c r="F948" s="209"/>
      <c r="G948" s="71"/>
      <c r="H948" s="209"/>
      <c r="I948" s="28"/>
      <c r="J948" s="209"/>
      <c r="K948" s="65"/>
      <c r="L948" s="65"/>
      <c r="M948" s="65"/>
      <c r="N948" s="65"/>
      <c r="O948" s="65"/>
      <c r="P948" s="65"/>
      <c r="Q948" s="65"/>
      <c r="R948" s="65"/>
      <c r="S948" s="65"/>
      <c r="T948" s="65"/>
      <c r="U948" s="65"/>
      <c r="V948" s="65"/>
      <c r="W948" s="65"/>
    </row>
    <row r="949">
      <c r="A949" s="71"/>
      <c r="B949" s="209"/>
      <c r="C949" s="71"/>
      <c r="D949" s="209"/>
      <c r="E949" s="71"/>
      <c r="F949" s="209"/>
      <c r="G949" s="71"/>
      <c r="H949" s="209"/>
      <c r="I949" s="28"/>
      <c r="J949" s="209"/>
      <c r="K949" s="65"/>
      <c r="L949" s="65"/>
      <c r="M949" s="65"/>
      <c r="N949" s="65"/>
      <c r="O949" s="65"/>
      <c r="P949" s="65"/>
      <c r="Q949" s="65"/>
      <c r="R949" s="65"/>
      <c r="S949" s="65"/>
      <c r="T949" s="65"/>
      <c r="U949" s="65"/>
      <c r="V949" s="65"/>
      <c r="W949" s="65"/>
    </row>
    <row r="950">
      <c r="A950" s="71"/>
      <c r="B950" s="209"/>
      <c r="C950" s="71"/>
      <c r="D950" s="209"/>
      <c r="E950" s="71"/>
      <c r="F950" s="209"/>
      <c r="G950" s="71"/>
      <c r="H950" s="209"/>
      <c r="I950" s="28"/>
      <c r="J950" s="209"/>
      <c r="K950" s="65"/>
      <c r="L950" s="65"/>
      <c r="M950" s="65"/>
      <c r="N950" s="65"/>
      <c r="O950" s="65"/>
      <c r="P950" s="65"/>
      <c r="Q950" s="65"/>
      <c r="R950" s="65"/>
      <c r="S950" s="65"/>
      <c r="T950" s="65"/>
      <c r="U950" s="65"/>
      <c r="V950" s="65"/>
      <c r="W950" s="65"/>
    </row>
    <row r="951">
      <c r="A951" s="71"/>
      <c r="B951" s="209"/>
      <c r="C951" s="71"/>
      <c r="D951" s="209"/>
      <c r="E951" s="71"/>
      <c r="F951" s="209"/>
      <c r="G951" s="71"/>
      <c r="H951" s="209"/>
      <c r="I951" s="28"/>
      <c r="J951" s="209"/>
      <c r="K951" s="65"/>
      <c r="L951" s="65"/>
      <c r="M951" s="65"/>
      <c r="N951" s="65"/>
      <c r="O951" s="65"/>
      <c r="P951" s="65"/>
      <c r="Q951" s="65"/>
      <c r="R951" s="65"/>
      <c r="S951" s="65"/>
      <c r="T951" s="65"/>
      <c r="U951" s="65"/>
      <c r="V951" s="65"/>
      <c r="W951" s="65"/>
    </row>
    <row r="952">
      <c r="A952" s="71"/>
      <c r="B952" s="209"/>
      <c r="C952" s="71"/>
      <c r="D952" s="209"/>
      <c r="E952" s="71"/>
      <c r="F952" s="209"/>
      <c r="G952" s="71"/>
      <c r="H952" s="209"/>
      <c r="I952" s="28"/>
      <c r="J952" s="209"/>
      <c r="K952" s="65"/>
      <c r="L952" s="65"/>
      <c r="M952" s="65"/>
      <c r="N952" s="65"/>
      <c r="O952" s="65"/>
      <c r="P952" s="65"/>
      <c r="Q952" s="65"/>
      <c r="R952" s="65"/>
      <c r="S952" s="65"/>
      <c r="T952" s="65"/>
      <c r="U952" s="65"/>
      <c r="V952" s="65"/>
      <c r="W952" s="65"/>
    </row>
    <row r="953">
      <c r="A953" s="71"/>
      <c r="B953" s="209"/>
      <c r="C953" s="71"/>
      <c r="D953" s="209"/>
      <c r="E953" s="71"/>
      <c r="F953" s="209"/>
      <c r="G953" s="71"/>
      <c r="H953" s="209"/>
      <c r="I953" s="28"/>
      <c r="J953" s="209"/>
      <c r="K953" s="65"/>
      <c r="L953" s="65"/>
      <c r="M953" s="65"/>
      <c r="N953" s="65"/>
      <c r="O953" s="65"/>
      <c r="P953" s="65"/>
      <c r="Q953" s="65"/>
      <c r="R953" s="65"/>
      <c r="S953" s="65"/>
      <c r="T953" s="65"/>
      <c r="U953" s="65"/>
      <c r="V953" s="65"/>
      <c r="W953" s="65"/>
    </row>
    <row r="954">
      <c r="A954" s="71"/>
      <c r="B954" s="209"/>
      <c r="C954" s="71"/>
      <c r="D954" s="209"/>
      <c r="E954" s="71"/>
      <c r="F954" s="209"/>
      <c r="G954" s="71"/>
      <c r="H954" s="209"/>
      <c r="I954" s="28"/>
      <c r="J954" s="209"/>
      <c r="K954" s="65"/>
      <c r="L954" s="65"/>
      <c r="M954" s="65"/>
      <c r="N954" s="65"/>
      <c r="O954" s="65"/>
      <c r="P954" s="65"/>
      <c r="Q954" s="65"/>
      <c r="R954" s="65"/>
      <c r="S954" s="65"/>
      <c r="T954" s="65"/>
      <c r="U954" s="65"/>
      <c r="V954" s="65"/>
      <c r="W954" s="65"/>
    </row>
    <row r="955">
      <c r="A955" s="71"/>
      <c r="B955" s="209"/>
      <c r="C955" s="71"/>
      <c r="D955" s="209"/>
      <c r="E955" s="71"/>
      <c r="F955" s="209"/>
      <c r="G955" s="71"/>
      <c r="H955" s="209"/>
      <c r="I955" s="28"/>
      <c r="J955" s="209"/>
      <c r="K955" s="65"/>
      <c r="L955" s="65"/>
      <c r="M955" s="65"/>
      <c r="N955" s="65"/>
      <c r="O955" s="65"/>
      <c r="P955" s="65"/>
      <c r="Q955" s="65"/>
      <c r="R955" s="65"/>
      <c r="S955" s="65"/>
      <c r="T955" s="65"/>
      <c r="U955" s="65"/>
      <c r="V955" s="65"/>
      <c r="W955" s="65"/>
    </row>
    <row r="956">
      <c r="A956" s="71"/>
      <c r="B956" s="209"/>
      <c r="C956" s="71"/>
      <c r="D956" s="209"/>
      <c r="E956" s="71"/>
      <c r="F956" s="209"/>
      <c r="G956" s="71"/>
      <c r="H956" s="209"/>
      <c r="I956" s="28"/>
      <c r="J956" s="209"/>
      <c r="K956" s="65"/>
      <c r="L956" s="65"/>
      <c r="M956" s="65"/>
      <c r="N956" s="65"/>
      <c r="O956" s="65"/>
      <c r="P956" s="65"/>
      <c r="Q956" s="65"/>
      <c r="R956" s="65"/>
      <c r="S956" s="65"/>
      <c r="T956" s="65"/>
      <c r="U956" s="65"/>
      <c r="V956" s="65"/>
      <c r="W956" s="65"/>
    </row>
    <row r="957">
      <c r="A957" s="71"/>
      <c r="B957" s="209"/>
      <c r="C957" s="71"/>
      <c r="D957" s="209"/>
      <c r="E957" s="71"/>
      <c r="F957" s="209"/>
      <c r="G957" s="71"/>
      <c r="H957" s="209"/>
      <c r="I957" s="28"/>
      <c r="J957" s="209"/>
      <c r="K957" s="65"/>
      <c r="L957" s="65"/>
      <c r="M957" s="65"/>
      <c r="N957" s="65"/>
      <c r="O957" s="65"/>
      <c r="P957" s="65"/>
      <c r="Q957" s="65"/>
      <c r="R957" s="65"/>
      <c r="S957" s="65"/>
      <c r="T957" s="65"/>
      <c r="U957" s="65"/>
      <c r="V957" s="65"/>
      <c r="W957" s="65"/>
    </row>
    <row r="958">
      <c r="A958" s="71"/>
      <c r="B958" s="209"/>
      <c r="C958" s="71"/>
      <c r="D958" s="209"/>
      <c r="E958" s="71"/>
      <c r="F958" s="209"/>
      <c r="G958" s="71"/>
      <c r="H958" s="209"/>
      <c r="I958" s="28"/>
      <c r="J958" s="209"/>
      <c r="K958" s="65"/>
      <c r="L958" s="65"/>
      <c r="M958" s="65"/>
      <c r="N958" s="65"/>
      <c r="O958" s="65"/>
      <c r="P958" s="65"/>
      <c r="Q958" s="65"/>
      <c r="R958" s="65"/>
      <c r="S958" s="65"/>
      <c r="T958" s="65"/>
      <c r="U958" s="65"/>
      <c r="V958" s="65"/>
      <c r="W958" s="65"/>
    </row>
    <row r="959">
      <c r="A959" s="71"/>
      <c r="B959" s="209"/>
      <c r="C959" s="71"/>
      <c r="D959" s="209"/>
      <c r="E959" s="71"/>
      <c r="F959" s="209"/>
      <c r="G959" s="71"/>
      <c r="H959" s="209"/>
      <c r="I959" s="28"/>
      <c r="J959" s="209"/>
      <c r="K959" s="65"/>
      <c r="L959" s="65"/>
      <c r="M959" s="65"/>
      <c r="N959" s="65"/>
      <c r="O959" s="65"/>
      <c r="P959" s="65"/>
      <c r="Q959" s="65"/>
      <c r="R959" s="65"/>
      <c r="S959" s="65"/>
      <c r="T959" s="65"/>
      <c r="U959" s="65"/>
      <c r="V959" s="65"/>
      <c r="W959" s="65"/>
    </row>
    <row r="960">
      <c r="A960" s="71"/>
      <c r="B960" s="209"/>
      <c r="C960" s="71"/>
      <c r="D960" s="209"/>
      <c r="E960" s="71"/>
      <c r="F960" s="209"/>
      <c r="G960" s="71"/>
      <c r="H960" s="209"/>
      <c r="I960" s="28"/>
      <c r="J960" s="209"/>
      <c r="K960" s="65"/>
      <c r="L960" s="65"/>
      <c r="M960" s="65"/>
      <c r="N960" s="65"/>
      <c r="O960" s="65"/>
      <c r="P960" s="65"/>
      <c r="Q960" s="65"/>
      <c r="R960" s="65"/>
      <c r="S960" s="65"/>
      <c r="T960" s="65"/>
      <c r="U960" s="65"/>
      <c r="V960" s="65"/>
      <c r="W960" s="65"/>
    </row>
    <row r="961">
      <c r="A961" s="71"/>
      <c r="B961" s="209"/>
      <c r="C961" s="71"/>
      <c r="D961" s="209"/>
      <c r="E961" s="71"/>
      <c r="F961" s="209"/>
      <c r="G961" s="71"/>
      <c r="H961" s="209"/>
      <c r="I961" s="28"/>
      <c r="J961" s="209"/>
      <c r="K961" s="65"/>
      <c r="L961" s="65"/>
      <c r="M961" s="65"/>
      <c r="N961" s="65"/>
      <c r="O961" s="65"/>
      <c r="P961" s="65"/>
      <c r="Q961" s="65"/>
      <c r="R961" s="65"/>
      <c r="S961" s="65"/>
      <c r="T961" s="65"/>
      <c r="U961" s="65"/>
      <c r="V961" s="65"/>
      <c r="W961" s="65"/>
    </row>
    <row r="962">
      <c r="A962" s="71"/>
      <c r="B962" s="209"/>
      <c r="C962" s="71"/>
      <c r="D962" s="209"/>
      <c r="E962" s="71"/>
      <c r="F962" s="209"/>
      <c r="G962" s="71"/>
      <c r="H962" s="209"/>
      <c r="I962" s="28"/>
      <c r="J962" s="209"/>
      <c r="K962" s="65"/>
      <c r="L962" s="65"/>
      <c r="M962" s="65"/>
      <c r="N962" s="65"/>
      <c r="O962" s="65"/>
      <c r="P962" s="65"/>
      <c r="Q962" s="65"/>
      <c r="R962" s="65"/>
      <c r="S962" s="65"/>
      <c r="T962" s="65"/>
      <c r="U962" s="65"/>
      <c r="V962" s="65"/>
      <c r="W962" s="65"/>
    </row>
    <row r="963">
      <c r="A963" s="71"/>
      <c r="B963" s="209"/>
      <c r="C963" s="71"/>
      <c r="D963" s="209"/>
      <c r="E963" s="71"/>
      <c r="F963" s="209"/>
      <c r="G963" s="71"/>
      <c r="H963" s="209"/>
      <c r="I963" s="28"/>
      <c r="J963" s="209"/>
      <c r="K963" s="65"/>
      <c r="L963" s="65"/>
      <c r="M963" s="65"/>
      <c r="N963" s="65"/>
      <c r="O963" s="65"/>
      <c r="P963" s="65"/>
      <c r="Q963" s="65"/>
      <c r="R963" s="65"/>
      <c r="S963" s="65"/>
      <c r="T963" s="65"/>
      <c r="U963" s="65"/>
      <c r="V963" s="65"/>
      <c r="W963" s="65"/>
    </row>
    <row r="964">
      <c r="A964" s="71"/>
      <c r="B964" s="209"/>
      <c r="C964" s="71"/>
      <c r="D964" s="209"/>
      <c r="E964" s="71"/>
      <c r="F964" s="209"/>
      <c r="G964" s="71"/>
      <c r="H964" s="209"/>
      <c r="I964" s="28"/>
      <c r="J964" s="209"/>
      <c r="K964" s="65"/>
      <c r="L964" s="65"/>
      <c r="M964" s="65"/>
      <c r="N964" s="65"/>
      <c r="O964" s="65"/>
      <c r="P964" s="65"/>
      <c r="Q964" s="65"/>
      <c r="R964" s="65"/>
      <c r="S964" s="65"/>
      <c r="T964" s="65"/>
      <c r="U964" s="65"/>
      <c r="V964" s="65"/>
      <c r="W964" s="65"/>
    </row>
    <row r="965">
      <c r="A965" s="71"/>
      <c r="B965" s="209"/>
      <c r="C965" s="71"/>
      <c r="D965" s="209"/>
      <c r="E965" s="71"/>
      <c r="F965" s="209"/>
      <c r="G965" s="71"/>
      <c r="H965" s="209"/>
      <c r="I965" s="28"/>
      <c r="J965" s="209"/>
      <c r="K965" s="65"/>
      <c r="L965" s="65"/>
      <c r="M965" s="65"/>
      <c r="N965" s="65"/>
      <c r="O965" s="65"/>
      <c r="P965" s="65"/>
      <c r="Q965" s="65"/>
      <c r="R965" s="65"/>
      <c r="S965" s="65"/>
      <c r="T965" s="65"/>
      <c r="U965" s="65"/>
      <c r="V965" s="65"/>
      <c r="W965" s="65"/>
    </row>
    <row r="966">
      <c r="A966" s="71"/>
      <c r="B966" s="209"/>
      <c r="C966" s="71"/>
      <c r="D966" s="209"/>
      <c r="E966" s="71"/>
      <c r="F966" s="209"/>
      <c r="G966" s="71"/>
      <c r="H966" s="209"/>
      <c r="I966" s="28"/>
      <c r="J966" s="209"/>
      <c r="K966" s="65"/>
      <c r="L966" s="65"/>
      <c r="M966" s="65"/>
      <c r="N966" s="65"/>
      <c r="O966" s="65"/>
      <c r="P966" s="65"/>
      <c r="Q966" s="65"/>
      <c r="R966" s="65"/>
      <c r="S966" s="65"/>
      <c r="T966" s="65"/>
      <c r="U966" s="65"/>
      <c r="V966" s="65"/>
      <c r="W966" s="65"/>
    </row>
    <row r="967">
      <c r="A967" s="71"/>
      <c r="B967" s="209"/>
      <c r="C967" s="71"/>
      <c r="D967" s="209"/>
      <c r="E967" s="71"/>
      <c r="F967" s="209"/>
      <c r="G967" s="71"/>
      <c r="H967" s="209"/>
      <c r="I967" s="28"/>
      <c r="J967" s="209"/>
      <c r="K967" s="65"/>
      <c r="L967" s="65"/>
      <c r="M967" s="65"/>
      <c r="N967" s="65"/>
      <c r="O967" s="65"/>
      <c r="P967" s="65"/>
      <c r="Q967" s="65"/>
      <c r="R967" s="65"/>
      <c r="S967" s="65"/>
      <c r="T967" s="65"/>
      <c r="U967" s="65"/>
      <c r="V967" s="65"/>
      <c r="W967" s="65"/>
    </row>
    <row r="968">
      <c r="A968" s="71"/>
      <c r="B968" s="209"/>
      <c r="C968" s="71"/>
      <c r="D968" s="209"/>
      <c r="E968" s="71"/>
      <c r="F968" s="209"/>
      <c r="G968" s="71"/>
      <c r="H968" s="209"/>
      <c r="I968" s="28"/>
      <c r="J968" s="209"/>
      <c r="K968" s="65"/>
      <c r="L968" s="65"/>
      <c r="M968" s="65"/>
      <c r="N968" s="65"/>
      <c r="O968" s="65"/>
      <c r="P968" s="65"/>
      <c r="Q968" s="65"/>
      <c r="R968" s="65"/>
      <c r="S968" s="65"/>
      <c r="T968" s="65"/>
      <c r="U968" s="65"/>
      <c r="V968" s="65"/>
      <c r="W968" s="65"/>
    </row>
    <row r="969">
      <c r="A969" s="71"/>
      <c r="B969" s="209"/>
      <c r="C969" s="71"/>
      <c r="D969" s="209"/>
      <c r="E969" s="71"/>
      <c r="F969" s="209"/>
      <c r="G969" s="71"/>
      <c r="H969" s="209"/>
      <c r="I969" s="28"/>
      <c r="J969" s="209"/>
      <c r="K969" s="65"/>
      <c r="L969" s="65"/>
      <c r="M969" s="65"/>
      <c r="N969" s="65"/>
      <c r="O969" s="65"/>
      <c r="P969" s="65"/>
      <c r="Q969" s="65"/>
      <c r="R969" s="65"/>
      <c r="S969" s="65"/>
      <c r="T969" s="65"/>
      <c r="U969" s="65"/>
      <c r="V969" s="65"/>
      <c r="W969" s="65"/>
    </row>
    <row r="970">
      <c r="A970" s="71"/>
      <c r="B970" s="209"/>
      <c r="C970" s="71"/>
      <c r="D970" s="209"/>
      <c r="E970" s="71"/>
      <c r="F970" s="209"/>
      <c r="G970" s="71"/>
      <c r="H970" s="209"/>
      <c r="I970" s="28"/>
      <c r="J970" s="209"/>
      <c r="K970" s="65"/>
      <c r="L970" s="65"/>
      <c r="M970" s="65"/>
      <c r="N970" s="65"/>
      <c r="O970" s="65"/>
      <c r="P970" s="65"/>
      <c r="Q970" s="65"/>
      <c r="R970" s="65"/>
      <c r="S970" s="65"/>
      <c r="T970" s="65"/>
      <c r="U970" s="65"/>
      <c r="V970" s="65"/>
      <c r="W970" s="65"/>
    </row>
    <row r="971">
      <c r="A971" s="71"/>
      <c r="B971" s="209"/>
      <c r="C971" s="71"/>
      <c r="D971" s="209"/>
      <c r="E971" s="71"/>
      <c r="F971" s="209"/>
      <c r="G971" s="71"/>
      <c r="H971" s="209"/>
      <c r="I971" s="28"/>
      <c r="J971" s="209"/>
      <c r="K971" s="65"/>
      <c r="L971" s="65"/>
      <c r="M971" s="65"/>
      <c r="N971" s="65"/>
      <c r="O971" s="65"/>
      <c r="P971" s="65"/>
      <c r="Q971" s="65"/>
      <c r="R971" s="65"/>
      <c r="S971" s="65"/>
      <c r="T971" s="65"/>
      <c r="U971" s="65"/>
      <c r="V971" s="65"/>
      <c r="W971" s="65"/>
    </row>
    <row r="972">
      <c r="A972" s="71"/>
      <c r="B972" s="209"/>
      <c r="C972" s="71"/>
      <c r="D972" s="209"/>
      <c r="E972" s="71"/>
      <c r="F972" s="209"/>
      <c r="G972" s="71"/>
      <c r="H972" s="209"/>
      <c r="I972" s="28"/>
      <c r="J972" s="209"/>
      <c r="K972" s="65"/>
      <c r="L972" s="65"/>
      <c r="M972" s="65"/>
      <c r="N972" s="65"/>
      <c r="O972" s="65"/>
      <c r="P972" s="65"/>
      <c r="Q972" s="65"/>
      <c r="R972" s="65"/>
      <c r="S972" s="65"/>
      <c r="T972" s="65"/>
      <c r="U972" s="65"/>
      <c r="V972" s="65"/>
      <c r="W972" s="65"/>
    </row>
    <row r="973">
      <c r="A973" s="71"/>
      <c r="B973" s="209"/>
      <c r="C973" s="71"/>
      <c r="D973" s="209"/>
      <c r="E973" s="71"/>
      <c r="F973" s="209"/>
      <c r="G973" s="71"/>
      <c r="H973" s="209"/>
      <c r="I973" s="28"/>
      <c r="J973" s="209"/>
      <c r="K973" s="65"/>
      <c r="L973" s="65"/>
      <c r="M973" s="65"/>
      <c r="N973" s="65"/>
      <c r="O973" s="65"/>
      <c r="P973" s="65"/>
      <c r="Q973" s="65"/>
      <c r="R973" s="65"/>
      <c r="S973" s="65"/>
      <c r="T973" s="65"/>
      <c r="U973" s="65"/>
      <c r="V973" s="65"/>
      <c r="W973" s="65"/>
    </row>
    <row r="974">
      <c r="A974" s="71"/>
      <c r="B974" s="209"/>
      <c r="C974" s="71"/>
      <c r="D974" s="209"/>
      <c r="E974" s="71"/>
      <c r="F974" s="209"/>
      <c r="G974" s="71"/>
      <c r="H974" s="209"/>
      <c r="I974" s="28"/>
      <c r="J974" s="209"/>
      <c r="K974" s="65"/>
      <c r="L974" s="65"/>
      <c r="M974" s="65"/>
      <c r="N974" s="65"/>
      <c r="O974" s="65"/>
      <c r="P974" s="65"/>
      <c r="Q974" s="65"/>
      <c r="R974" s="65"/>
      <c r="S974" s="65"/>
      <c r="T974" s="65"/>
      <c r="U974" s="65"/>
      <c r="V974" s="65"/>
      <c r="W974" s="65"/>
    </row>
    <row r="975">
      <c r="A975" s="71"/>
      <c r="B975" s="209"/>
      <c r="C975" s="71"/>
      <c r="D975" s="209"/>
      <c r="E975" s="71"/>
      <c r="F975" s="209"/>
      <c r="G975" s="71"/>
      <c r="H975" s="209"/>
      <c r="I975" s="28"/>
      <c r="J975" s="209"/>
      <c r="K975" s="65"/>
      <c r="L975" s="65"/>
      <c r="M975" s="65"/>
      <c r="N975" s="65"/>
      <c r="O975" s="65"/>
      <c r="P975" s="65"/>
      <c r="Q975" s="65"/>
      <c r="R975" s="65"/>
      <c r="S975" s="65"/>
      <c r="T975" s="65"/>
      <c r="U975" s="65"/>
      <c r="V975" s="65"/>
      <c r="W975" s="65"/>
    </row>
    <row r="976">
      <c r="A976" s="71"/>
      <c r="B976" s="209"/>
      <c r="C976" s="71"/>
      <c r="D976" s="209"/>
      <c r="E976" s="71"/>
      <c r="F976" s="209"/>
      <c r="G976" s="71"/>
      <c r="H976" s="209"/>
      <c r="I976" s="28"/>
      <c r="J976" s="209"/>
      <c r="K976" s="65"/>
      <c r="L976" s="65"/>
      <c r="M976" s="65"/>
      <c r="N976" s="65"/>
      <c r="O976" s="65"/>
      <c r="P976" s="65"/>
      <c r="Q976" s="65"/>
      <c r="R976" s="65"/>
      <c r="S976" s="65"/>
      <c r="T976" s="65"/>
      <c r="U976" s="65"/>
      <c r="V976" s="65"/>
      <c r="W976" s="65"/>
    </row>
    <row r="977">
      <c r="A977" s="71"/>
      <c r="B977" s="209"/>
      <c r="C977" s="71"/>
      <c r="D977" s="209"/>
      <c r="E977" s="71"/>
      <c r="F977" s="209"/>
      <c r="G977" s="71"/>
      <c r="H977" s="209"/>
      <c r="I977" s="28"/>
      <c r="J977" s="209"/>
      <c r="K977" s="65"/>
      <c r="L977" s="65"/>
      <c r="M977" s="65"/>
      <c r="N977" s="65"/>
      <c r="O977" s="65"/>
      <c r="P977" s="65"/>
      <c r="Q977" s="65"/>
      <c r="R977" s="65"/>
      <c r="S977" s="65"/>
      <c r="T977" s="65"/>
      <c r="U977" s="65"/>
      <c r="V977" s="65"/>
      <c r="W977" s="65"/>
    </row>
    <row r="978">
      <c r="A978" s="71"/>
      <c r="B978" s="209"/>
      <c r="C978" s="71"/>
      <c r="D978" s="209"/>
      <c r="E978" s="71"/>
      <c r="F978" s="209"/>
      <c r="G978" s="71"/>
      <c r="H978" s="209"/>
      <c r="I978" s="28"/>
      <c r="J978" s="209"/>
      <c r="K978" s="65"/>
      <c r="L978" s="65"/>
      <c r="M978" s="65"/>
      <c r="N978" s="65"/>
      <c r="O978" s="65"/>
      <c r="P978" s="65"/>
      <c r="Q978" s="65"/>
      <c r="R978" s="65"/>
      <c r="S978" s="65"/>
      <c r="T978" s="65"/>
      <c r="U978" s="65"/>
      <c r="V978" s="65"/>
      <c r="W978" s="65"/>
    </row>
    <row r="979">
      <c r="A979" s="71"/>
      <c r="B979" s="209"/>
      <c r="C979" s="71"/>
      <c r="D979" s="209"/>
      <c r="E979" s="71"/>
      <c r="F979" s="209"/>
      <c r="G979" s="71"/>
      <c r="H979" s="209"/>
      <c r="I979" s="28"/>
      <c r="J979" s="209"/>
      <c r="K979" s="65"/>
      <c r="L979" s="65"/>
      <c r="M979" s="65"/>
      <c r="N979" s="65"/>
      <c r="O979" s="65"/>
      <c r="P979" s="65"/>
      <c r="Q979" s="65"/>
      <c r="R979" s="65"/>
      <c r="S979" s="65"/>
      <c r="T979" s="65"/>
      <c r="U979" s="65"/>
      <c r="V979" s="65"/>
      <c r="W979" s="65"/>
    </row>
    <row r="980">
      <c r="A980" s="71"/>
      <c r="B980" s="209"/>
      <c r="C980" s="71"/>
      <c r="D980" s="209"/>
      <c r="E980" s="71"/>
      <c r="F980" s="209"/>
      <c r="G980" s="71"/>
      <c r="H980" s="209"/>
      <c r="I980" s="28"/>
      <c r="J980" s="209"/>
      <c r="K980" s="65"/>
      <c r="L980" s="65"/>
      <c r="M980" s="65"/>
      <c r="N980" s="65"/>
      <c r="O980" s="65"/>
      <c r="P980" s="65"/>
      <c r="Q980" s="65"/>
      <c r="R980" s="65"/>
      <c r="S980" s="65"/>
      <c r="T980" s="65"/>
      <c r="U980" s="65"/>
      <c r="V980" s="65"/>
      <c r="W980" s="65"/>
    </row>
    <row r="981">
      <c r="A981" s="71"/>
      <c r="B981" s="209"/>
      <c r="C981" s="71"/>
      <c r="D981" s="209"/>
      <c r="E981" s="71"/>
      <c r="F981" s="209"/>
      <c r="G981" s="71"/>
      <c r="H981" s="209"/>
      <c r="I981" s="28"/>
      <c r="J981" s="209"/>
      <c r="K981" s="65"/>
      <c r="L981" s="65"/>
      <c r="M981" s="65"/>
      <c r="N981" s="65"/>
      <c r="O981" s="65"/>
      <c r="P981" s="65"/>
      <c r="Q981" s="65"/>
      <c r="R981" s="65"/>
      <c r="S981" s="65"/>
      <c r="T981" s="65"/>
      <c r="U981" s="65"/>
      <c r="V981" s="65"/>
      <c r="W981" s="65"/>
    </row>
    <row r="982">
      <c r="A982" s="71"/>
      <c r="B982" s="209"/>
      <c r="C982" s="71"/>
      <c r="D982" s="209"/>
      <c r="E982" s="71"/>
      <c r="F982" s="209"/>
      <c r="G982" s="71"/>
      <c r="H982" s="209"/>
      <c r="I982" s="28"/>
      <c r="J982" s="209"/>
      <c r="K982" s="65"/>
      <c r="L982" s="65"/>
      <c r="M982" s="65"/>
      <c r="N982" s="65"/>
      <c r="O982" s="65"/>
      <c r="P982" s="65"/>
      <c r="Q982" s="65"/>
      <c r="R982" s="65"/>
      <c r="S982" s="65"/>
      <c r="T982" s="65"/>
      <c r="U982" s="65"/>
      <c r="V982" s="65"/>
      <c r="W982" s="65"/>
    </row>
    <row r="983">
      <c r="A983" s="71"/>
      <c r="B983" s="209"/>
      <c r="C983" s="71"/>
      <c r="D983" s="209"/>
      <c r="E983" s="71"/>
      <c r="F983" s="209"/>
      <c r="G983" s="71"/>
      <c r="H983" s="209"/>
      <c r="I983" s="28"/>
      <c r="J983" s="209"/>
      <c r="K983" s="65"/>
      <c r="L983" s="65"/>
      <c r="M983" s="65"/>
      <c r="N983" s="65"/>
      <c r="O983" s="65"/>
      <c r="P983" s="65"/>
      <c r="Q983" s="65"/>
      <c r="R983" s="65"/>
      <c r="S983" s="65"/>
      <c r="T983" s="65"/>
      <c r="U983" s="65"/>
      <c r="V983" s="65"/>
      <c r="W983" s="65"/>
    </row>
    <row r="984">
      <c r="A984" s="71"/>
      <c r="B984" s="209"/>
      <c r="C984" s="71"/>
      <c r="D984" s="209"/>
      <c r="E984" s="71"/>
      <c r="F984" s="209"/>
      <c r="G984" s="71"/>
      <c r="H984" s="209"/>
      <c r="I984" s="28"/>
      <c r="J984" s="209"/>
      <c r="K984" s="65"/>
      <c r="L984" s="65"/>
      <c r="M984" s="65"/>
      <c r="N984" s="65"/>
      <c r="O984" s="65"/>
      <c r="P984" s="65"/>
      <c r="Q984" s="65"/>
      <c r="R984" s="65"/>
      <c r="S984" s="65"/>
      <c r="T984" s="65"/>
      <c r="U984" s="65"/>
      <c r="V984" s="65"/>
      <c r="W984" s="65"/>
    </row>
    <row r="985">
      <c r="A985" s="71"/>
      <c r="B985" s="209"/>
      <c r="C985" s="71"/>
      <c r="D985" s="209"/>
      <c r="E985" s="71"/>
      <c r="F985" s="209"/>
      <c r="G985" s="71"/>
      <c r="H985" s="209"/>
      <c r="I985" s="28"/>
      <c r="J985" s="209"/>
      <c r="K985" s="65"/>
      <c r="L985" s="65"/>
      <c r="M985" s="65"/>
      <c r="N985" s="65"/>
      <c r="O985" s="65"/>
      <c r="P985" s="65"/>
      <c r="Q985" s="65"/>
      <c r="R985" s="65"/>
      <c r="S985" s="65"/>
      <c r="T985" s="65"/>
      <c r="U985" s="65"/>
      <c r="V985" s="65"/>
      <c r="W985" s="65"/>
    </row>
    <row r="986">
      <c r="A986" s="71"/>
      <c r="B986" s="209"/>
      <c r="C986" s="71"/>
      <c r="D986" s="209"/>
      <c r="E986" s="71"/>
      <c r="F986" s="209"/>
      <c r="G986" s="71"/>
      <c r="H986" s="209"/>
      <c r="I986" s="28"/>
      <c r="J986" s="209"/>
      <c r="K986" s="65"/>
      <c r="L986" s="65"/>
      <c r="M986" s="65"/>
      <c r="N986" s="65"/>
      <c r="O986" s="65"/>
      <c r="P986" s="65"/>
      <c r="Q986" s="65"/>
      <c r="R986" s="65"/>
      <c r="S986" s="65"/>
      <c r="T986" s="65"/>
      <c r="U986" s="65"/>
      <c r="V986" s="65"/>
      <c r="W986" s="65"/>
    </row>
    <row r="987">
      <c r="A987" s="71"/>
      <c r="B987" s="209"/>
      <c r="C987" s="71"/>
      <c r="D987" s="209"/>
      <c r="E987" s="71"/>
      <c r="F987" s="209"/>
      <c r="G987" s="71"/>
      <c r="H987" s="209"/>
      <c r="I987" s="28"/>
      <c r="J987" s="209"/>
      <c r="K987" s="65"/>
      <c r="L987" s="65"/>
      <c r="M987" s="65"/>
      <c r="N987" s="65"/>
      <c r="O987" s="65"/>
      <c r="P987" s="65"/>
      <c r="Q987" s="65"/>
      <c r="R987" s="65"/>
      <c r="S987" s="65"/>
      <c r="T987" s="65"/>
      <c r="U987" s="65"/>
      <c r="V987" s="65"/>
      <c r="W987" s="65"/>
    </row>
    <row r="988">
      <c r="A988" s="71"/>
      <c r="B988" s="209"/>
      <c r="C988" s="71"/>
      <c r="D988" s="209"/>
      <c r="E988" s="71"/>
      <c r="F988" s="209"/>
      <c r="G988" s="71"/>
      <c r="H988" s="209"/>
      <c r="I988" s="28"/>
      <c r="J988" s="209"/>
      <c r="K988" s="65"/>
      <c r="L988" s="65"/>
      <c r="M988" s="65"/>
      <c r="N988" s="65"/>
      <c r="O988" s="65"/>
      <c r="P988" s="65"/>
      <c r="Q988" s="65"/>
      <c r="R988" s="65"/>
      <c r="S988" s="65"/>
      <c r="T988" s="65"/>
      <c r="U988" s="65"/>
      <c r="V988" s="65"/>
      <c r="W988" s="65"/>
    </row>
    <row r="989">
      <c r="A989" s="71"/>
      <c r="B989" s="209"/>
      <c r="C989" s="71"/>
      <c r="D989" s="209"/>
      <c r="E989" s="71"/>
      <c r="F989" s="209"/>
      <c r="G989" s="71"/>
      <c r="H989" s="209"/>
      <c r="I989" s="28"/>
      <c r="J989" s="209"/>
      <c r="K989" s="65"/>
      <c r="L989" s="65"/>
      <c r="M989" s="65"/>
      <c r="N989" s="65"/>
      <c r="O989" s="65"/>
      <c r="P989" s="65"/>
      <c r="Q989" s="65"/>
      <c r="R989" s="65"/>
      <c r="S989" s="65"/>
      <c r="T989" s="65"/>
      <c r="U989" s="65"/>
      <c r="V989" s="65"/>
      <c r="W989" s="65"/>
    </row>
    <row r="990">
      <c r="A990" s="71"/>
      <c r="B990" s="209"/>
      <c r="C990" s="71"/>
      <c r="D990" s="209"/>
      <c r="E990" s="71"/>
      <c r="F990" s="209"/>
      <c r="G990" s="71"/>
      <c r="H990" s="209"/>
      <c r="I990" s="28"/>
      <c r="J990" s="209"/>
      <c r="K990" s="65"/>
      <c r="L990" s="65"/>
      <c r="M990" s="65"/>
      <c r="N990" s="65"/>
      <c r="O990" s="65"/>
      <c r="P990" s="65"/>
      <c r="Q990" s="65"/>
      <c r="R990" s="65"/>
      <c r="S990" s="65"/>
      <c r="T990" s="65"/>
      <c r="U990" s="65"/>
      <c r="V990" s="65"/>
      <c r="W990" s="65"/>
    </row>
    <row r="991">
      <c r="A991" s="71"/>
      <c r="B991" s="209"/>
      <c r="C991" s="71"/>
      <c r="D991" s="209"/>
      <c r="E991" s="71"/>
      <c r="F991" s="209"/>
      <c r="G991" s="71"/>
      <c r="H991" s="209"/>
      <c r="I991" s="28"/>
      <c r="J991" s="209"/>
      <c r="K991" s="65"/>
      <c r="L991" s="65"/>
      <c r="M991" s="65"/>
      <c r="N991" s="65"/>
      <c r="O991" s="65"/>
      <c r="P991" s="65"/>
      <c r="Q991" s="65"/>
      <c r="R991" s="65"/>
      <c r="S991" s="65"/>
      <c r="T991" s="65"/>
      <c r="U991" s="65"/>
      <c r="V991" s="65"/>
      <c r="W991" s="65"/>
    </row>
    <row r="992">
      <c r="A992" s="71"/>
      <c r="B992" s="209"/>
      <c r="C992" s="71"/>
      <c r="D992" s="209"/>
      <c r="E992" s="71"/>
      <c r="F992" s="209"/>
      <c r="G992" s="71"/>
      <c r="H992" s="209"/>
      <c r="I992" s="28"/>
      <c r="J992" s="209"/>
      <c r="K992" s="65"/>
      <c r="L992" s="65"/>
      <c r="M992" s="65"/>
      <c r="N992" s="65"/>
      <c r="O992" s="65"/>
      <c r="P992" s="65"/>
      <c r="Q992" s="65"/>
      <c r="R992" s="65"/>
      <c r="S992" s="65"/>
      <c r="T992" s="65"/>
      <c r="U992" s="65"/>
      <c r="V992" s="65"/>
      <c r="W992" s="65"/>
    </row>
    <row r="993">
      <c r="A993" s="71"/>
      <c r="B993" s="209"/>
      <c r="C993" s="71"/>
      <c r="D993" s="209"/>
      <c r="E993" s="71"/>
      <c r="F993" s="209"/>
      <c r="G993" s="71"/>
      <c r="H993" s="209"/>
      <c r="I993" s="28"/>
      <c r="J993" s="209"/>
      <c r="K993" s="65"/>
      <c r="L993" s="65"/>
      <c r="M993" s="65"/>
      <c r="N993" s="65"/>
      <c r="O993" s="65"/>
      <c r="P993" s="65"/>
      <c r="Q993" s="65"/>
      <c r="R993" s="65"/>
      <c r="S993" s="65"/>
      <c r="T993" s="65"/>
      <c r="U993" s="65"/>
      <c r="V993" s="65"/>
      <c r="W993" s="65"/>
    </row>
    <row r="994">
      <c r="A994" s="71"/>
      <c r="B994" s="209"/>
      <c r="C994" s="71"/>
      <c r="D994" s="209"/>
      <c r="E994" s="71"/>
      <c r="F994" s="209"/>
      <c r="G994" s="71"/>
      <c r="H994" s="209"/>
      <c r="I994" s="28"/>
      <c r="J994" s="209"/>
      <c r="K994" s="65"/>
      <c r="L994" s="65"/>
      <c r="M994" s="65"/>
      <c r="N994" s="65"/>
      <c r="O994" s="65"/>
      <c r="P994" s="65"/>
      <c r="Q994" s="65"/>
      <c r="R994" s="65"/>
      <c r="S994" s="65"/>
      <c r="T994" s="65"/>
      <c r="U994" s="65"/>
      <c r="V994" s="65"/>
      <c r="W994" s="65"/>
    </row>
    <row r="995">
      <c r="A995" s="71"/>
      <c r="B995" s="209"/>
      <c r="C995" s="71"/>
      <c r="D995" s="209"/>
      <c r="E995" s="71"/>
      <c r="F995" s="209"/>
      <c r="G995" s="71"/>
      <c r="H995" s="209"/>
      <c r="I995" s="28"/>
      <c r="J995" s="209"/>
      <c r="K995" s="65"/>
      <c r="L995" s="65"/>
      <c r="M995" s="65"/>
      <c r="N995" s="65"/>
      <c r="O995" s="65"/>
      <c r="P995" s="65"/>
      <c r="Q995" s="65"/>
      <c r="R995" s="65"/>
      <c r="S995" s="65"/>
      <c r="T995" s="65"/>
      <c r="U995" s="65"/>
      <c r="V995" s="65"/>
      <c r="W995" s="65"/>
    </row>
    <row r="996">
      <c r="A996" s="71"/>
      <c r="B996" s="209"/>
      <c r="C996" s="71"/>
      <c r="D996" s="209"/>
      <c r="E996" s="71"/>
      <c r="F996" s="209"/>
      <c r="G996" s="71"/>
      <c r="H996" s="209"/>
      <c r="I996" s="28"/>
      <c r="J996" s="209"/>
      <c r="K996" s="65"/>
      <c r="L996" s="65"/>
      <c r="M996" s="65"/>
      <c r="N996" s="65"/>
      <c r="O996" s="65"/>
      <c r="P996" s="65"/>
      <c r="Q996" s="65"/>
      <c r="R996" s="65"/>
      <c r="S996" s="65"/>
      <c r="T996" s="65"/>
      <c r="U996" s="65"/>
      <c r="V996" s="65"/>
      <c r="W996" s="65"/>
    </row>
    <row r="997">
      <c r="A997" s="71"/>
      <c r="B997" s="209"/>
      <c r="C997" s="71"/>
      <c r="D997" s="209"/>
      <c r="E997" s="71"/>
      <c r="F997" s="209"/>
      <c r="G997" s="71"/>
      <c r="H997" s="209"/>
      <c r="I997" s="71"/>
      <c r="J997" s="209"/>
      <c r="K997" s="65"/>
      <c r="L997" s="65"/>
      <c r="M997" s="65"/>
      <c r="N997" s="65"/>
      <c r="O997" s="65"/>
      <c r="P997" s="65"/>
      <c r="Q997" s="65"/>
      <c r="R997" s="65"/>
      <c r="S997" s="65"/>
      <c r="T997" s="65"/>
      <c r="U997" s="65"/>
      <c r="V997" s="65"/>
      <c r="W997" s="65"/>
    </row>
    <row r="998">
      <c r="A998" s="71"/>
      <c r="B998" s="209"/>
      <c r="C998" s="71"/>
      <c r="D998" s="209"/>
      <c r="E998" s="71"/>
      <c r="F998" s="209"/>
      <c r="G998" s="71"/>
      <c r="H998" s="209"/>
      <c r="I998" s="71"/>
      <c r="J998" s="209"/>
      <c r="K998" s="65"/>
      <c r="L998" s="65"/>
      <c r="M998" s="65"/>
      <c r="N998" s="65"/>
      <c r="O998" s="65"/>
      <c r="P998" s="65"/>
      <c r="Q998" s="65"/>
      <c r="R998" s="65"/>
      <c r="S998" s="65"/>
      <c r="T998" s="65"/>
      <c r="U998" s="65"/>
      <c r="V998" s="65"/>
      <c r="W998" s="65"/>
    </row>
    <row r="999">
      <c r="A999" s="71"/>
      <c r="B999" s="209"/>
      <c r="C999" s="71"/>
      <c r="D999" s="209"/>
      <c r="E999" s="71"/>
      <c r="F999" s="209"/>
      <c r="G999" s="71"/>
      <c r="H999" s="209"/>
      <c r="I999" s="71"/>
      <c r="J999" s="209"/>
      <c r="K999" s="65"/>
      <c r="L999" s="65"/>
      <c r="M999" s="65"/>
      <c r="N999" s="65"/>
      <c r="O999" s="65"/>
      <c r="P999" s="65"/>
      <c r="Q999" s="65"/>
      <c r="R999" s="65"/>
      <c r="S999" s="65"/>
      <c r="T999" s="65"/>
      <c r="U999" s="65"/>
      <c r="V999" s="65"/>
      <c r="W999" s="65"/>
    </row>
    <row r="1000">
      <c r="A1000" s="71"/>
      <c r="B1000" s="209"/>
      <c r="C1000" s="71"/>
      <c r="D1000" s="209"/>
      <c r="E1000" s="71"/>
      <c r="F1000" s="209"/>
      <c r="G1000" s="71"/>
      <c r="H1000" s="209"/>
      <c r="I1000" s="71"/>
      <c r="J1000" s="209"/>
      <c r="K1000" s="65"/>
      <c r="L1000" s="65"/>
      <c r="M1000" s="65"/>
      <c r="N1000" s="65"/>
      <c r="O1000" s="65"/>
      <c r="P1000" s="65"/>
      <c r="Q1000" s="65"/>
      <c r="R1000" s="65"/>
      <c r="S1000" s="65"/>
      <c r="T1000" s="65"/>
      <c r="U1000" s="65"/>
      <c r="V1000" s="65"/>
      <c r="W1000" s="65"/>
    </row>
    <row r="1001">
      <c r="A1001" s="71"/>
      <c r="B1001" s="209"/>
      <c r="C1001" s="71"/>
      <c r="D1001" s="209"/>
      <c r="E1001" s="71"/>
      <c r="F1001" s="209"/>
      <c r="G1001" s="71"/>
      <c r="H1001" s="209"/>
      <c r="I1001" s="71"/>
      <c r="J1001" s="209"/>
      <c r="K1001" s="65"/>
      <c r="L1001" s="65"/>
      <c r="M1001" s="65"/>
      <c r="N1001" s="65"/>
      <c r="O1001" s="65"/>
      <c r="P1001" s="65"/>
      <c r="Q1001" s="65"/>
      <c r="R1001" s="65"/>
      <c r="S1001" s="65"/>
      <c r="T1001" s="65"/>
      <c r="U1001" s="65"/>
      <c r="V1001" s="65"/>
      <c r="W1001" s="65"/>
    </row>
    <row r="1002">
      <c r="A1002" s="71"/>
      <c r="B1002" s="209"/>
      <c r="C1002" s="71"/>
      <c r="D1002" s="209"/>
      <c r="E1002" s="71"/>
      <c r="F1002" s="209"/>
      <c r="G1002" s="71"/>
      <c r="H1002" s="209"/>
      <c r="I1002" s="71"/>
      <c r="J1002" s="209"/>
      <c r="K1002" s="65"/>
      <c r="L1002" s="65"/>
      <c r="M1002" s="65"/>
      <c r="N1002" s="65"/>
      <c r="O1002" s="65"/>
      <c r="P1002" s="65"/>
      <c r="Q1002" s="65"/>
      <c r="R1002" s="65"/>
      <c r="S1002" s="65"/>
      <c r="T1002" s="65"/>
      <c r="U1002" s="65"/>
      <c r="V1002" s="65"/>
      <c r="W1002" s="65"/>
    </row>
    <row r="1003">
      <c r="A1003" s="71"/>
      <c r="B1003" s="209"/>
      <c r="C1003" s="71"/>
      <c r="D1003" s="209"/>
      <c r="E1003" s="71"/>
      <c r="F1003" s="209"/>
      <c r="G1003" s="71"/>
      <c r="H1003" s="209"/>
      <c r="I1003" s="71"/>
      <c r="J1003" s="209"/>
      <c r="K1003" s="65"/>
      <c r="L1003" s="65"/>
      <c r="M1003" s="65"/>
      <c r="N1003" s="65"/>
      <c r="O1003" s="65"/>
      <c r="P1003" s="65"/>
      <c r="Q1003" s="65"/>
      <c r="R1003" s="65"/>
      <c r="S1003" s="65"/>
      <c r="T1003" s="65"/>
      <c r="U1003" s="65"/>
      <c r="V1003" s="65"/>
      <c r="W1003" s="65"/>
    </row>
    <row r="1004">
      <c r="A1004" s="71"/>
      <c r="B1004" s="209"/>
      <c r="C1004" s="71"/>
      <c r="D1004" s="209"/>
      <c r="E1004" s="71"/>
      <c r="F1004" s="209"/>
      <c r="G1004" s="71"/>
      <c r="H1004" s="209"/>
      <c r="I1004" s="71"/>
      <c r="J1004" s="209"/>
      <c r="K1004" s="65"/>
      <c r="L1004" s="65"/>
      <c r="M1004" s="65"/>
      <c r="N1004" s="65"/>
      <c r="O1004" s="65"/>
      <c r="P1004" s="65"/>
      <c r="Q1004" s="65"/>
      <c r="R1004" s="65"/>
      <c r="S1004" s="65"/>
      <c r="T1004" s="65"/>
      <c r="U1004" s="65"/>
      <c r="V1004" s="65"/>
      <c r="W1004" s="65"/>
    </row>
    <row r="1005">
      <c r="A1005" s="71"/>
      <c r="B1005" s="209"/>
      <c r="C1005" s="71"/>
      <c r="D1005" s="209"/>
      <c r="E1005" s="71"/>
      <c r="F1005" s="209"/>
      <c r="G1005" s="71"/>
      <c r="H1005" s="209"/>
      <c r="I1005" s="71"/>
      <c r="J1005" s="209"/>
      <c r="K1005" s="65"/>
      <c r="L1005" s="65"/>
      <c r="M1005" s="65"/>
      <c r="N1005" s="65"/>
      <c r="O1005" s="65"/>
      <c r="P1005" s="65"/>
      <c r="Q1005" s="65"/>
      <c r="R1005" s="65"/>
      <c r="S1005" s="65"/>
      <c r="T1005" s="65"/>
      <c r="U1005" s="65"/>
      <c r="V1005" s="65"/>
      <c r="W1005" s="65"/>
    </row>
    <row r="1006">
      <c r="A1006" s="71"/>
      <c r="B1006" s="209"/>
      <c r="C1006" s="71"/>
      <c r="D1006" s="209"/>
      <c r="E1006" s="71"/>
      <c r="F1006" s="209"/>
      <c r="G1006" s="71"/>
      <c r="H1006" s="209"/>
      <c r="I1006" s="71"/>
      <c r="J1006" s="209"/>
      <c r="K1006" s="65"/>
      <c r="L1006" s="65"/>
      <c r="M1006" s="65"/>
      <c r="N1006" s="65"/>
      <c r="O1006" s="65"/>
      <c r="P1006" s="65"/>
      <c r="Q1006" s="65"/>
      <c r="R1006" s="65"/>
      <c r="S1006" s="65"/>
      <c r="T1006" s="65"/>
      <c r="U1006" s="65"/>
      <c r="V1006" s="65"/>
      <c r="W1006" s="65"/>
    </row>
    <row r="1007">
      <c r="A1007" s="71"/>
      <c r="B1007" s="209"/>
      <c r="C1007" s="71"/>
      <c r="D1007" s="209"/>
      <c r="E1007" s="71"/>
      <c r="F1007" s="209"/>
      <c r="G1007" s="71"/>
      <c r="H1007" s="209"/>
      <c r="I1007" s="71"/>
      <c r="J1007" s="209"/>
      <c r="K1007" s="65"/>
      <c r="L1007" s="65"/>
      <c r="M1007" s="65"/>
      <c r="N1007" s="65"/>
      <c r="O1007" s="65"/>
      <c r="P1007" s="65"/>
      <c r="Q1007" s="65"/>
      <c r="R1007" s="65"/>
      <c r="S1007" s="65"/>
      <c r="T1007" s="65"/>
      <c r="U1007" s="65"/>
      <c r="V1007" s="65"/>
      <c r="W1007" s="65"/>
    </row>
    <row r="1008">
      <c r="A1008" s="71"/>
      <c r="B1008" s="209"/>
      <c r="C1008" s="71"/>
      <c r="D1008" s="209"/>
      <c r="E1008" s="71"/>
      <c r="F1008" s="209"/>
      <c r="G1008" s="71"/>
      <c r="H1008" s="209"/>
      <c r="I1008" s="71"/>
      <c r="J1008" s="209"/>
      <c r="K1008" s="65"/>
      <c r="L1008" s="65"/>
      <c r="M1008" s="65"/>
      <c r="N1008" s="65"/>
      <c r="O1008" s="65"/>
      <c r="P1008" s="65"/>
      <c r="Q1008" s="65"/>
      <c r="R1008" s="65"/>
      <c r="S1008" s="65"/>
      <c r="T1008" s="65"/>
      <c r="U1008" s="65"/>
      <c r="V1008" s="65"/>
      <c r="W1008" s="65"/>
    </row>
    <row r="1009">
      <c r="A1009" s="71"/>
      <c r="B1009" s="209"/>
      <c r="C1009" s="71"/>
      <c r="D1009" s="209"/>
      <c r="E1009" s="71"/>
      <c r="F1009" s="209"/>
      <c r="G1009" s="71"/>
      <c r="H1009" s="209"/>
      <c r="I1009" s="71"/>
      <c r="J1009" s="209"/>
      <c r="K1009" s="65"/>
      <c r="L1009" s="65"/>
      <c r="M1009" s="65"/>
      <c r="N1009" s="65"/>
      <c r="O1009" s="65"/>
      <c r="P1009" s="65"/>
      <c r="Q1009" s="65"/>
      <c r="R1009" s="65"/>
      <c r="S1009" s="65"/>
      <c r="T1009" s="65"/>
      <c r="U1009" s="65"/>
      <c r="V1009" s="65"/>
      <c r="W1009" s="65"/>
    </row>
    <row r="1010">
      <c r="A1010" s="71"/>
      <c r="B1010" s="209"/>
      <c r="C1010" s="71"/>
      <c r="D1010" s="209"/>
      <c r="E1010" s="71"/>
      <c r="F1010" s="209"/>
      <c r="G1010" s="71"/>
      <c r="H1010" s="209"/>
      <c r="I1010" s="71"/>
      <c r="J1010" s="209"/>
      <c r="K1010" s="65"/>
      <c r="L1010" s="65"/>
      <c r="M1010" s="65"/>
      <c r="N1010" s="65"/>
      <c r="O1010" s="65"/>
      <c r="P1010" s="65"/>
      <c r="Q1010" s="65"/>
      <c r="R1010" s="65"/>
      <c r="S1010" s="65"/>
      <c r="T1010" s="65"/>
      <c r="U1010" s="65"/>
      <c r="V1010" s="65"/>
      <c r="W1010" s="65"/>
    </row>
    <row r="1011">
      <c r="A1011" s="71"/>
      <c r="B1011" s="209"/>
      <c r="C1011" s="71"/>
      <c r="D1011" s="209"/>
      <c r="E1011" s="71"/>
      <c r="F1011" s="209"/>
      <c r="G1011" s="71"/>
      <c r="H1011" s="209"/>
      <c r="I1011" s="71"/>
      <c r="J1011" s="209"/>
      <c r="K1011" s="65"/>
      <c r="L1011" s="65"/>
      <c r="M1011" s="65"/>
      <c r="N1011" s="65"/>
      <c r="O1011" s="65"/>
      <c r="P1011" s="65"/>
      <c r="Q1011" s="65"/>
      <c r="R1011" s="65"/>
      <c r="S1011" s="65"/>
      <c r="T1011" s="65"/>
      <c r="U1011" s="65"/>
      <c r="V1011" s="65"/>
      <c r="W1011" s="65"/>
    </row>
    <row r="1012">
      <c r="A1012" s="71"/>
      <c r="B1012" s="209"/>
      <c r="C1012" s="71"/>
      <c r="D1012" s="209"/>
      <c r="E1012" s="71"/>
      <c r="F1012" s="209"/>
      <c r="G1012" s="71"/>
      <c r="H1012" s="209"/>
      <c r="I1012" s="71"/>
      <c r="J1012" s="209"/>
      <c r="K1012" s="65"/>
      <c r="L1012" s="65"/>
      <c r="M1012" s="65"/>
      <c r="N1012" s="65"/>
      <c r="O1012" s="65"/>
      <c r="P1012" s="65"/>
      <c r="Q1012" s="65"/>
      <c r="R1012" s="65"/>
      <c r="S1012" s="65"/>
      <c r="T1012" s="65"/>
      <c r="U1012" s="65"/>
      <c r="V1012" s="65"/>
      <c r="W1012" s="65"/>
    </row>
    <row r="1013">
      <c r="A1013" s="71"/>
      <c r="B1013" s="209"/>
      <c r="C1013" s="71"/>
      <c r="D1013" s="209"/>
      <c r="E1013" s="71"/>
      <c r="F1013" s="209"/>
      <c r="G1013" s="71"/>
      <c r="H1013" s="209"/>
      <c r="I1013" s="71"/>
      <c r="J1013" s="209"/>
      <c r="K1013" s="65"/>
      <c r="L1013" s="65"/>
      <c r="M1013" s="65"/>
      <c r="N1013" s="65"/>
      <c r="O1013" s="65"/>
      <c r="P1013" s="65"/>
      <c r="Q1013" s="65"/>
      <c r="R1013" s="65"/>
      <c r="S1013" s="65"/>
      <c r="T1013" s="65"/>
      <c r="U1013" s="65"/>
      <c r="V1013" s="65"/>
      <c r="W1013" s="65"/>
    </row>
    <row r="1014">
      <c r="A1014" s="71"/>
      <c r="B1014" s="209"/>
      <c r="C1014" s="71"/>
      <c r="D1014" s="209"/>
      <c r="E1014" s="71"/>
      <c r="F1014" s="209"/>
      <c r="G1014" s="71"/>
      <c r="H1014" s="209"/>
      <c r="I1014" s="71"/>
      <c r="J1014" s="209"/>
      <c r="K1014" s="65"/>
      <c r="L1014" s="65"/>
      <c r="M1014" s="65"/>
      <c r="N1014" s="65"/>
      <c r="O1014" s="65"/>
      <c r="P1014" s="65"/>
      <c r="Q1014" s="65"/>
      <c r="R1014" s="65"/>
      <c r="S1014" s="65"/>
      <c r="T1014" s="65"/>
      <c r="U1014" s="65"/>
      <c r="V1014" s="65"/>
      <c r="W1014" s="65"/>
    </row>
    <row r="1015">
      <c r="A1015" s="71"/>
      <c r="B1015" s="209"/>
      <c r="C1015" s="71"/>
      <c r="D1015" s="209"/>
      <c r="E1015" s="71"/>
      <c r="F1015" s="209"/>
      <c r="G1015" s="71"/>
      <c r="H1015" s="209"/>
      <c r="I1015" s="71"/>
      <c r="J1015" s="209"/>
      <c r="K1015" s="65"/>
      <c r="L1015" s="65"/>
      <c r="M1015" s="65"/>
      <c r="N1015" s="65"/>
      <c r="O1015" s="65"/>
      <c r="P1015" s="65"/>
      <c r="Q1015" s="65"/>
      <c r="R1015" s="65"/>
      <c r="S1015" s="65"/>
      <c r="T1015" s="65"/>
      <c r="U1015" s="65"/>
      <c r="V1015" s="65"/>
      <c r="W1015" s="65"/>
    </row>
    <row r="1016">
      <c r="A1016" s="71"/>
      <c r="B1016" s="209"/>
      <c r="C1016" s="71"/>
      <c r="D1016" s="209"/>
      <c r="E1016" s="71"/>
      <c r="F1016" s="209"/>
      <c r="G1016" s="71"/>
      <c r="H1016" s="209"/>
      <c r="I1016" s="71"/>
      <c r="J1016" s="209"/>
      <c r="K1016" s="65"/>
      <c r="L1016" s="65"/>
      <c r="M1016" s="65"/>
      <c r="N1016" s="65"/>
      <c r="O1016" s="65"/>
      <c r="P1016" s="65"/>
      <c r="Q1016" s="65"/>
      <c r="R1016" s="65"/>
      <c r="S1016" s="65"/>
      <c r="T1016" s="65"/>
      <c r="U1016" s="65"/>
      <c r="V1016" s="65"/>
      <c r="W1016" s="65"/>
    </row>
    <row r="1017">
      <c r="A1017" s="71"/>
      <c r="B1017" s="209"/>
      <c r="C1017" s="71"/>
      <c r="D1017" s="209"/>
      <c r="E1017" s="71"/>
      <c r="F1017" s="209"/>
      <c r="G1017" s="71"/>
      <c r="H1017" s="209"/>
      <c r="I1017" s="71"/>
      <c r="J1017" s="209"/>
      <c r="K1017" s="65"/>
      <c r="L1017" s="65"/>
      <c r="M1017" s="65"/>
      <c r="N1017" s="65"/>
      <c r="O1017" s="65"/>
      <c r="P1017" s="65"/>
      <c r="Q1017" s="65"/>
      <c r="R1017" s="65"/>
      <c r="S1017" s="65"/>
      <c r="T1017" s="65"/>
      <c r="U1017" s="65"/>
      <c r="V1017" s="65"/>
      <c r="W1017" s="65"/>
    </row>
    <row r="1018">
      <c r="A1018" s="71"/>
      <c r="B1018" s="209"/>
      <c r="C1018" s="71"/>
      <c r="D1018" s="209"/>
      <c r="E1018" s="71"/>
      <c r="F1018" s="209"/>
      <c r="G1018" s="71"/>
      <c r="H1018" s="209"/>
      <c r="I1018" s="71"/>
      <c r="J1018" s="209"/>
      <c r="K1018" s="65"/>
      <c r="L1018" s="65"/>
      <c r="M1018" s="65"/>
      <c r="N1018" s="65"/>
      <c r="O1018" s="65"/>
      <c r="P1018" s="65"/>
      <c r="Q1018" s="65"/>
      <c r="R1018" s="65"/>
      <c r="S1018" s="65"/>
      <c r="T1018" s="65"/>
      <c r="U1018" s="65"/>
      <c r="V1018" s="65"/>
      <c r="W1018" s="65"/>
    </row>
    <row r="1019">
      <c r="A1019" s="71"/>
      <c r="B1019" s="209"/>
      <c r="C1019" s="71"/>
      <c r="D1019" s="209"/>
      <c r="E1019" s="71"/>
      <c r="F1019" s="209"/>
      <c r="G1019" s="71"/>
      <c r="H1019" s="209"/>
      <c r="I1019" s="71"/>
      <c r="J1019" s="209"/>
      <c r="K1019" s="65"/>
      <c r="L1019" s="65"/>
      <c r="M1019" s="65"/>
      <c r="N1019" s="65"/>
      <c r="O1019" s="65"/>
      <c r="P1019" s="65"/>
      <c r="Q1019" s="65"/>
      <c r="R1019" s="65"/>
      <c r="S1019" s="65"/>
      <c r="T1019" s="65"/>
      <c r="U1019" s="65"/>
      <c r="V1019" s="65"/>
      <c r="W1019" s="65"/>
    </row>
    <row r="1020">
      <c r="A1020" s="71"/>
      <c r="B1020" s="209"/>
      <c r="C1020" s="71"/>
      <c r="D1020" s="209"/>
      <c r="E1020" s="71"/>
      <c r="F1020" s="209"/>
      <c r="G1020" s="71"/>
      <c r="H1020" s="209"/>
      <c r="I1020" s="71"/>
      <c r="J1020" s="209"/>
      <c r="K1020" s="65"/>
      <c r="L1020" s="65"/>
      <c r="M1020" s="65"/>
      <c r="N1020" s="65"/>
      <c r="O1020" s="65"/>
      <c r="P1020" s="65"/>
      <c r="Q1020" s="65"/>
      <c r="R1020" s="65"/>
      <c r="S1020" s="65"/>
      <c r="T1020" s="65"/>
      <c r="U1020" s="65"/>
      <c r="V1020" s="65"/>
      <c r="W1020" s="65"/>
    </row>
    <row r="1021">
      <c r="A1021" s="71"/>
      <c r="B1021" s="209"/>
      <c r="C1021" s="71"/>
      <c r="D1021" s="209"/>
      <c r="E1021" s="71"/>
      <c r="F1021" s="209"/>
      <c r="G1021" s="71"/>
      <c r="H1021" s="209"/>
      <c r="I1021" s="71"/>
      <c r="J1021" s="209"/>
      <c r="K1021" s="65"/>
      <c r="L1021" s="65"/>
      <c r="M1021" s="65"/>
      <c r="N1021" s="65"/>
      <c r="O1021" s="65"/>
      <c r="P1021" s="65"/>
      <c r="Q1021" s="65"/>
      <c r="R1021" s="65"/>
      <c r="S1021" s="65"/>
      <c r="T1021" s="65"/>
      <c r="U1021" s="65"/>
      <c r="V1021" s="65"/>
      <c r="W1021" s="65"/>
    </row>
    <row r="1022">
      <c r="A1022" s="71"/>
      <c r="B1022" s="209"/>
      <c r="C1022" s="71"/>
      <c r="D1022" s="209"/>
      <c r="E1022" s="71"/>
      <c r="F1022" s="209"/>
      <c r="G1022" s="71"/>
      <c r="H1022" s="209"/>
      <c r="I1022" s="71"/>
      <c r="J1022" s="209"/>
      <c r="K1022" s="65"/>
      <c r="L1022" s="65"/>
      <c r="M1022" s="65"/>
      <c r="N1022" s="65"/>
      <c r="O1022" s="65"/>
      <c r="P1022" s="65"/>
      <c r="Q1022" s="65"/>
      <c r="R1022" s="65"/>
      <c r="S1022" s="65"/>
      <c r="T1022" s="65"/>
      <c r="U1022" s="65"/>
      <c r="V1022" s="65"/>
      <c r="W1022" s="65"/>
    </row>
    <row r="1023">
      <c r="A1023" s="71"/>
      <c r="B1023" s="209"/>
      <c r="C1023" s="71"/>
      <c r="D1023" s="209"/>
      <c r="E1023" s="71"/>
      <c r="F1023" s="209"/>
      <c r="G1023" s="71"/>
      <c r="H1023" s="209"/>
      <c r="I1023" s="71"/>
      <c r="J1023" s="209"/>
      <c r="K1023" s="65"/>
      <c r="L1023" s="65"/>
      <c r="M1023" s="65"/>
      <c r="N1023" s="65"/>
      <c r="O1023" s="65"/>
      <c r="P1023" s="65"/>
      <c r="Q1023" s="65"/>
      <c r="R1023" s="65"/>
      <c r="S1023" s="65"/>
      <c r="T1023" s="65"/>
      <c r="U1023" s="65"/>
      <c r="V1023" s="65"/>
      <c r="W1023" s="65"/>
    </row>
    <row r="1024">
      <c r="A1024" s="71"/>
      <c r="B1024" s="209"/>
      <c r="C1024" s="71"/>
      <c r="D1024" s="209"/>
      <c r="E1024" s="71"/>
      <c r="F1024" s="209"/>
      <c r="G1024" s="71"/>
      <c r="H1024" s="209"/>
      <c r="I1024" s="71"/>
      <c r="J1024" s="209"/>
      <c r="K1024" s="65"/>
      <c r="L1024" s="65"/>
      <c r="M1024" s="65"/>
      <c r="N1024" s="65"/>
      <c r="O1024" s="65"/>
      <c r="P1024" s="65"/>
      <c r="Q1024" s="65"/>
      <c r="R1024" s="65"/>
      <c r="S1024" s="65"/>
      <c r="T1024" s="65"/>
      <c r="U1024" s="65"/>
      <c r="V1024" s="65"/>
      <c r="W1024" s="65"/>
    </row>
    <row r="1025">
      <c r="A1025" s="71"/>
      <c r="B1025" s="209"/>
      <c r="C1025" s="71"/>
      <c r="D1025" s="209"/>
      <c r="E1025" s="71"/>
      <c r="F1025" s="209"/>
      <c r="G1025" s="71"/>
      <c r="H1025" s="209"/>
      <c r="I1025" s="71"/>
      <c r="J1025" s="209"/>
      <c r="K1025" s="65"/>
      <c r="L1025" s="65"/>
      <c r="M1025" s="65"/>
      <c r="N1025" s="65"/>
      <c r="O1025" s="65"/>
      <c r="P1025" s="65"/>
      <c r="Q1025" s="65"/>
      <c r="R1025" s="65"/>
      <c r="S1025" s="65"/>
      <c r="T1025" s="65"/>
      <c r="U1025" s="65"/>
      <c r="V1025" s="65"/>
      <c r="W1025" s="65"/>
    </row>
    <row r="1026">
      <c r="A1026" s="71"/>
      <c r="B1026" s="209"/>
      <c r="C1026" s="71"/>
      <c r="D1026" s="209"/>
      <c r="E1026" s="71"/>
      <c r="F1026" s="209"/>
      <c r="G1026" s="71"/>
      <c r="H1026" s="209"/>
      <c r="I1026" s="71"/>
      <c r="J1026" s="209"/>
      <c r="K1026" s="65"/>
      <c r="L1026" s="65"/>
      <c r="M1026" s="65"/>
      <c r="N1026" s="65"/>
      <c r="O1026" s="65"/>
      <c r="P1026" s="65"/>
      <c r="Q1026" s="65"/>
      <c r="R1026" s="65"/>
      <c r="S1026" s="65"/>
      <c r="T1026" s="65"/>
      <c r="U1026" s="65"/>
      <c r="V1026" s="65"/>
      <c r="W1026" s="65"/>
    </row>
    <row r="1027">
      <c r="A1027" s="71"/>
      <c r="B1027" s="209"/>
      <c r="C1027" s="71"/>
      <c r="D1027" s="209"/>
      <c r="E1027" s="71"/>
      <c r="F1027" s="209"/>
      <c r="G1027" s="71"/>
      <c r="H1027" s="209"/>
      <c r="I1027" s="71"/>
      <c r="J1027" s="209"/>
      <c r="K1027" s="65"/>
      <c r="L1027" s="65"/>
      <c r="M1027" s="65"/>
      <c r="N1027" s="65"/>
      <c r="O1027" s="65"/>
      <c r="P1027" s="65"/>
      <c r="Q1027" s="65"/>
      <c r="R1027" s="65"/>
      <c r="S1027" s="65"/>
      <c r="T1027" s="65"/>
      <c r="U1027" s="65"/>
      <c r="V1027" s="65"/>
      <c r="W1027" s="65"/>
    </row>
    <row r="1028">
      <c r="A1028" s="71"/>
      <c r="B1028" s="209"/>
      <c r="C1028" s="71"/>
      <c r="D1028" s="209"/>
      <c r="E1028" s="71"/>
      <c r="F1028" s="209"/>
      <c r="G1028" s="71"/>
      <c r="H1028" s="209"/>
      <c r="I1028" s="71"/>
      <c r="J1028" s="209"/>
      <c r="K1028" s="65"/>
      <c r="L1028" s="65"/>
      <c r="M1028" s="65"/>
      <c r="N1028" s="65"/>
      <c r="O1028" s="65"/>
      <c r="P1028" s="65"/>
      <c r="Q1028" s="65"/>
      <c r="R1028" s="65"/>
      <c r="S1028" s="65"/>
      <c r="T1028" s="65"/>
      <c r="U1028" s="65"/>
      <c r="V1028" s="65"/>
      <c r="W1028" s="65"/>
    </row>
    <row r="1029">
      <c r="A1029" s="71"/>
      <c r="B1029" s="209"/>
      <c r="C1029" s="71"/>
      <c r="D1029" s="209"/>
      <c r="E1029" s="71"/>
      <c r="F1029" s="209"/>
      <c r="G1029" s="71"/>
      <c r="H1029" s="209"/>
      <c r="I1029" s="71"/>
      <c r="J1029" s="209"/>
      <c r="K1029" s="65"/>
      <c r="L1029" s="65"/>
      <c r="M1029" s="65"/>
      <c r="N1029" s="65"/>
      <c r="O1029" s="65"/>
      <c r="P1029" s="65"/>
      <c r="Q1029" s="65"/>
      <c r="R1029" s="65"/>
      <c r="S1029" s="65"/>
      <c r="T1029" s="65"/>
      <c r="U1029" s="65"/>
      <c r="V1029" s="65"/>
      <c r="W1029" s="65"/>
    </row>
    <row r="1030">
      <c r="A1030" s="71"/>
      <c r="B1030" s="209"/>
      <c r="C1030" s="71"/>
      <c r="D1030" s="209"/>
      <c r="E1030" s="71"/>
      <c r="F1030" s="209"/>
      <c r="G1030" s="71"/>
      <c r="H1030" s="209"/>
      <c r="I1030" s="71"/>
      <c r="J1030" s="209"/>
      <c r="K1030" s="65"/>
      <c r="L1030" s="65"/>
      <c r="M1030" s="65"/>
      <c r="N1030" s="65"/>
      <c r="O1030" s="65"/>
      <c r="P1030" s="65"/>
      <c r="Q1030" s="65"/>
      <c r="R1030" s="65"/>
      <c r="S1030" s="65"/>
      <c r="T1030" s="65"/>
      <c r="U1030" s="65"/>
      <c r="V1030" s="65"/>
      <c r="W1030" s="65"/>
    </row>
    <row r="1031">
      <c r="A1031" s="71"/>
      <c r="B1031" s="209"/>
      <c r="C1031" s="71"/>
      <c r="D1031" s="209"/>
      <c r="E1031" s="65"/>
      <c r="F1031" s="65"/>
      <c r="G1031" s="65"/>
      <c r="H1031" s="65"/>
      <c r="I1031" s="65"/>
      <c r="J1031" s="209"/>
      <c r="K1031" s="65"/>
      <c r="L1031" s="65"/>
      <c r="M1031" s="65"/>
      <c r="N1031" s="65"/>
      <c r="O1031" s="65"/>
      <c r="P1031" s="65"/>
      <c r="Q1031" s="65"/>
      <c r="R1031" s="65"/>
      <c r="S1031" s="65"/>
      <c r="T1031" s="65"/>
      <c r="U1031" s="65"/>
      <c r="V1031" s="65"/>
      <c r="W1031" s="65"/>
    </row>
    <row r="1032">
      <c r="A1032" s="71"/>
      <c r="B1032" s="209"/>
      <c r="C1032" s="71"/>
      <c r="D1032" s="209"/>
      <c r="E1032" s="65"/>
      <c r="F1032" s="65"/>
      <c r="G1032" s="65"/>
      <c r="H1032" s="65"/>
      <c r="I1032" s="65"/>
      <c r="J1032" s="209"/>
      <c r="K1032" s="65"/>
      <c r="L1032" s="65"/>
      <c r="M1032" s="65"/>
      <c r="N1032" s="65"/>
      <c r="O1032" s="65"/>
      <c r="P1032" s="65"/>
      <c r="Q1032" s="65"/>
      <c r="R1032" s="65"/>
      <c r="S1032" s="65"/>
      <c r="T1032" s="65"/>
      <c r="U1032" s="65"/>
      <c r="V1032" s="65"/>
      <c r="W1032" s="65"/>
    </row>
    <row r="1033">
      <c r="A1033" s="71"/>
      <c r="B1033" s="209"/>
      <c r="C1033" s="71"/>
      <c r="D1033" s="209"/>
      <c r="E1033" s="65"/>
      <c r="F1033" s="65"/>
      <c r="G1033" s="65"/>
      <c r="H1033" s="65"/>
      <c r="I1033" s="65"/>
      <c r="J1033" s="209"/>
      <c r="K1033" s="65"/>
      <c r="L1033" s="65"/>
      <c r="M1033" s="65"/>
      <c r="N1033" s="65"/>
      <c r="O1033" s="65"/>
      <c r="P1033" s="65"/>
      <c r="Q1033" s="65"/>
      <c r="R1033" s="65"/>
      <c r="S1033" s="65"/>
      <c r="T1033" s="65"/>
      <c r="U1033" s="65"/>
      <c r="V1033" s="65"/>
      <c r="W1033" s="65"/>
    </row>
    <row r="1034">
      <c r="A1034" s="71"/>
      <c r="B1034" s="209"/>
      <c r="C1034" s="71"/>
      <c r="D1034" s="209"/>
      <c r="E1034" s="65"/>
      <c r="F1034" s="65"/>
      <c r="G1034" s="65"/>
      <c r="H1034" s="65"/>
      <c r="I1034" s="65"/>
      <c r="K1034" s="65"/>
      <c r="L1034" s="65"/>
      <c r="M1034" s="65"/>
      <c r="N1034" s="65"/>
      <c r="O1034" s="65"/>
      <c r="P1034" s="65"/>
      <c r="Q1034" s="65"/>
      <c r="R1034" s="65"/>
      <c r="S1034" s="65"/>
      <c r="T1034" s="65"/>
      <c r="U1034" s="65"/>
      <c r="V1034" s="65"/>
      <c r="W1034" s="65"/>
    </row>
  </sheetData>
  <mergeCells count="10">
    <mergeCell ref="H1:H2"/>
    <mergeCell ref="I1:I2"/>
    <mergeCell ref="J1:J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16" t="s">
        <v>56</v>
      </c>
      <c r="E1" s="217"/>
      <c r="F1" s="216" t="s">
        <v>4656</v>
      </c>
      <c r="I1" s="217"/>
      <c r="J1" s="216" t="s">
        <v>4657</v>
      </c>
      <c r="M1" s="217"/>
      <c r="N1" s="216" t="s">
        <v>4658</v>
      </c>
      <c r="R1" s="217"/>
      <c r="S1" s="218"/>
      <c r="T1" s="219"/>
      <c r="U1" s="219"/>
      <c r="V1" s="220"/>
      <c r="W1" s="25"/>
      <c r="X1" s="25"/>
      <c r="Y1" s="25"/>
      <c r="Z1" s="25"/>
      <c r="AA1" s="25"/>
      <c r="AB1" s="25"/>
    </row>
    <row r="2" ht="26.25" customHeight="1">
      <c r="A2" s="221"/>
      <c r="B2" s="221"/>
      <c r="C2" s="221"/>
      <c r="D2" s="221"/>
      <c r="E2" s="222"/>
      <c r="F2" s="221"/>
      <c r="G2" s="221"/>
      <c r="H2" s="221"/>
      <c r="I2" s="222"/>
      <c r="J2" s="221"/>
      <c r="K2" s="221"/>
      <c r="L2" s="221"/>
      <c r="M2" s="222"/>
      <c r="N2" s="221"/>
      <c r="O2" s="221"/>
      <c r="P2" s="221"/>
      <c r="Q2" s="221"/>
      <c r="R2" s="222"/>
      <c r="S2" s="223"/>
      <c r="T2" s="221"/>
      <c r="U2" s="221"/>
      <c r="V2" s="222"/>
      <c r="W2" s="25"/>
      <c r="X2" s="25"/>
      <c r="Y2" s="25"/>
      <c r="Z2" s="25"/>
      <c r="AA2" s="25"/>
      <c r="AB2" s="25"/>
    </row>
    <row r="3" ht="22.5" customHeight="1">
      <c r="A3" s="224" t="s">
        <v>4659</v>
      </c>
      <c r="B3" s="219"/>
      <c r="C3" s="219"/>
      <c r="D3" s="219"/>
      <c r="E3" s="220"/>
      <c r="F3" s="224"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19"/>
      <c r="H3" s="219"/>
      <c r="I3" s="220"/>
      <c r="J3" s="224"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19"/>
      <c r="L3" s="219"/>
      <c r="M3" s="220"/>
      <c r="N3" s="224" t="s">
        <v>4660</v>
      </c>
      <c r="O3" s="219"/>
      <c r="P3" s="219"/>
      <c r="Q3" s="219"/>
      <c r="R3" s="220"/>
      <c r="S3" s="225"/>
      <c r="T3" s="219"/>
      <c r="U3" s="219"/>
      <c r="V3" s="220"/>
      <c r="W3" s="226"/>
      <c r="X3" s="226"/>
      <c r="Y3" s="226"/>
      <c r="Z3" s="226"/>
      <c r="AA3" s="226"/>
      <c r="AB3" s="226"/>
    </row>
    <row r="4" ht="22.5" customHeight="1">
      <c r="A4" s="223"/>
      <c r="B4" s="221"/>
      <c r="C4" s="221"/>
      <c r="D4" s="221"/>
      <c r="E4" s="222"/>
      <c r="F4" s="223"/>
      <c r="G4" s="221"/>
      <c r="H4" s="221"/>
      <c r="I4" s="222"/>
      <c r="J4" s="223"/>
      <c r="K4" s="221"/>
      <c r="L4" s="221"/>
      <c r="M4" s="222"/>
      <c r="N4" s="223"/>
      <c r="O4" s="221"/>
      <c r="P4" s="221"/>
      <c r="Q4" s="221"/>
      <c r="R4" s="222"/>
      <c r="S4" s="223"/>
      <c r="T4" s="221"/>
      <c r="U4" s="221"/>
      <c r="V4" s="222"/>
      <c r="W4" s="226"/>
      <c r="X4" s="226"/>
      <c r="Y4" s="226"/>
      <c r="Z4" s="226"/>
      <c r="AA4" s="226"/>
      <c r="AB4" s="226"/>
    </row>
    <row r="5">
      <c r="A5" s="227" t="s">
        <v>4661</v>
      </c>
      <c r="B5" s="228"/>
      <c r="C5" s="228"/>
      <c r="D5" s="228"/>
      <c r="E5" s="229"/>
      <c r="F5" s="227" t="str">
        <f>IFERROR(__xludf.DUMMYFUNCTION("GOOGLETRANSLATE(A5,""zh-tw"",""ja"")"),"荒野地域")</f>
        <v>荒野地域</v>
      </c>
      <c r="G5" s="228"/>
      <c r="H5" s="228"/>
      <c r="I5" s="229"/>
      <c r="J5" s="227" t="s">
        <v>4662</v>
      </c>
      <c r="K5" s="228"/>
      <c r="L5" s="228"/>
      <c r="M5" s="229"/>
      <c r="N5" s="230" t="s">
        <v>4663</v>
      </c>
      <c r="O5" s="228"/>
      <c r="P5" s="228"/>
      <c r="Q5" s="228"/>
      <c r="R5" s="229"/>
      <c r="S5" s="231"/>
      <c r="T5" s="228"/>
      <c r="U5" s="228"/>
      <c r="V5" s="229"/>
      <c r="W5" s="232"/>
      <c r="X5" s="232"/>
      <c r="Y5" s="232"/>
      <c r="Z5" s="232"/>
      <c r="AA5" s="232"/>
      <c r="AB5" s="232"/>
    </row>
    <row r="6" ht="53.25" customHeight="1">
      <c r="A6" s="233" t="s">
        <v>813</v>
      </c>
      <c r="B6" s="233" t="s">
        <v>813</v>
      </c>
      <c r="C6" s="233" t="s">
        <v>813</v>
      </c>
      <c r="D6" s="233" t="s">
        <v>813</v>
      </c>
      <c r="E6" s="234" t="s">
        <v>4664</v>
      </c>
      <c r="F6" s="235" t="s">
        <v>813</v>
      </c>
      <c r="G6" s="236" t="s">
        <v>813</v>
      </c>
      <c r="H6" s="237" t="s">
        <v>4665</v>
      </c>
      <c r="I6" s="235" t="s">
        <v>813</v>
      </c>
      <c r="J6" s="238" t="s">
        <v>813</v>
      </c>
      <c r="K6" s="239" t="s">
        <v>813</v>
      </c>
      <c r="L6" s="238" t="s">
        <v>813</v>
      </c>
      <c r="M6" s="240" t="s">
        <v>4666</v>
      </c>
      <c r="N6" s="241" t="s">
        <v>813</v>
      </c>
      <c r="O6" s="241" t="s">
        <v>813</v>
      </c>
      <c r="P6" s="242" t="s">
        <v>813</v>
      </c>
      <c r="Q6" s="242" t="s">
        <v>813</v>
      </c>
      <c r="R6" s="243" t="s">
        <v>4667</v>
      </c>
      <c r="S6" s="244"/>
      <c r="T6" s="245"/>
      <c r="U6" s="245"/>
      <c r="V6" s="246"/>
      <c r="W6" s="247"/>
      <c r="X6" s="247"/>
      <c r="Y6" s="247"/>
      <c r="Z6" s="247"/>
      <c r="AA6" s="247"/>
      <c r="AB6" s="248"/>
    </row>
    <row r="7" ht="75.0" customHeight="1">
      <c r="A7" s="233" t="s">
        <v>813</v>
      </c>
      <c r="B7" s="233" t="s">
        <v>813</v>
      </c>
      <c r="C7" s="233" t="s">
        <v>4668</v>
      </c>
      <c r="D7" s="249" t="s">
        <v>4669</v>
      </c>
      <c r="E7" s="250" t="s">
        <v>4670</v>
      </c>
      <c r="F7" s="235" t="str">
        <f>IFERROR(__xludf.DUMMYFUNCTION("GOOGLETRANSLATE(B7,""zh-tw"",""ja"")"),"-")</f>
        <v>-</v>
      </c>
      <c r="G7" s="236" t="s">
        <v>4671</v>
      </c>
      <c r="H7" s="251" t="s">
        <v>4672</v>
      </c>
      <c r="I7" s="235" t="str">
        <f>IFERROR(__xludf.DUMMYFUNCTION("GOOGLETRANSLATE(#REF!,""zh-tw"",""ja"")"),"#REF!")</f>
        <v>#REF!</v>
      </c>
      <c r="J7" s="238" t="str">
        <f>IFERROR(__xludf.DUMMYFUNCTION("GOOGLETRANSLATE(B7,""zh-tw"",""en"")"),"-")</f>
        <v>-</v>
      </c>
      <c r="K7" s="239" t="s">
        <v>4673</v>
      </c>
      <c r="L7" s="238" t="str">
        <f>IFERROR(__xludf.DUMMYFUNCTION("GOOGLETRANSLATE(D7,""zh-tw"",""en"")"),"Development Zone (Mine Pit) -2")</f>
        <v>Development Zone (Mine Pit) -2</v>
      </c>
      <c r="M7" s="252" t="s">
        <v>4674</v>
      </c>
      <c r="N7" s="241" t="s">
        <v>813</v>
      </c>
      <c r="O7" s="241" t="str">
        <f>IFERROR(__xludf.DUMMYFUNCTION("GOOGLETRANSLATE(B7,""zh-tw"",""zh"")"),"-")</f>
        <v>-</v>
      </c>
      <c r="P7" s="242" t="s">
        <v>4675</v>
      </c>
      <c r="Q7" s="253" t="s">
        <v>813</v>
      </c>
      <c r="R7" s="254" t="s">
        <v>4676</v>
      </c>
      <c r="S7" s="244"/>
      <c r="T7" s="245"/>
      <c r="U7" s="245"/>
      <c r="V7" s="255"/>
      <c r="W7" s="247"/>
      <c r="X7" s="247"/>
      <c r="Y7" s="247"/>
      <c r="Z7" s="247"/>
      <c r="AA7" s="247"/>
      <c r="AB7" s="248"/>
    </row>
    <row r="8">
      <c r="A8" s="233" t="s">
        <v>813</v>
      </c>
      <c r="B8" s="234" t="s">
        <v>4677</v>
      </c>
      <c r="C8" s="234" t="s">
        <v>4678</v>
      </c>
      <c r="D8" s="234" t="s">
        <v>4679</v>
      </c>
      <c r="E8" s="233" t="s">
        <v>4680</v>
      </c>
      <c r="F8" s="237" t="s">
        <v>4681</v>
      </c>
      <c r="G8" s="237" t="s">
        <v>4682</v>
      </c>
      <c r="H8" s="235" t="s">
        <v>4683</v>
      </c>
      <c r="I8" s="235" t="str">
        <f>IFERROR(__xludf.DUMMYFUNCTION("GOOGLETRANSLATE(#REF!,""zh-tw"",""ja"")"),"#REF!")</f>
        <v>#REF!</v>
      </c>
      <c r="J8" s="240" t="s">
        <v>4684</v>
      </c>
      <c r="K8" s="240" t="s">
        <v>4685</v>
      </c>
      <c r="L8" s="238" t="s">
        <v>4686</v>
      </c>
      <c r="M8" s="238" t="s">
        <v>4686</v>
      </c>
      <c r="N8" s="241" t="s">
        <v>813</v>
      </c>
      <c r="O8" s="243" t="s">
        <v>4687</v>
      </c>
      <c r="P8" s="243" t="s">
        <v>4688</v>
      </c>
      <c r="Q8" s="243" t="s">
        <v>4689</v>
      </c>
      <c r="R8" s="241" t="s">
        <v>4690</v>
      </c>
      <c r="S8" s="256"/>
      <c r="T8" s="245"/>
      <c r="U8" s="245"/>
      <c r="V8" s="245"/>
      <c r="W8" s="247"/>
      <c r="X8" s="247"/>
      <c r="Y8" s="247"/>
      <c r="Z8" s="247"/>
      <c r="AA8" s="247"/>
      <c r="AB8" s="248"/>
    </row>
    <row r="9">
      <c r="A9" s="233" t="s">
        <v>813</v>
      </c>
      <c r="B9" s="234" t="s">
        <v>4691</v>
      </c>
      <c r="C9" s="234" t="s">
        <v>4692</v>
      </c>
      <c r="D9" s="249" t="s">
        <v>813</v>
      </c>
      <c r="E9" s="257" t="s">
        <v>4693</v>
      </c>
      <c r="F9" s="237" t="s">
        <v>4694</v>
      </c>
      <c r="G9" s="237" t="s">
        <v>4695</v>
      </c>
      <c r="H9" s="237" t="s">
        <v>4696</v>
      </c>
      <c r="I9" s="235" t="s">
        <v>813</v>
      </c>
      <c r="J9" s="240" t="s">
        <v>4697</v>
      </c>
      <c r="K9" s="240" t="s">
        <v>4698</v>
      </c>
      <c r="L9" s="239" t="s">
        <v>813</v>
      </c>
      <c r="M9" s="240" t="s">
        <v>4699</v>
      </c>
      <c r="N9" s="241" t="s">
        <v>813</v>
      </c>
      <c r="O9" s="243" t="s">
        <v>4700</v>
      </c>
      <c r="P9" s="243" t="s">
        <v>4701</v>
      </c>
      <c r="Q9" s="242" t="s">
        <v>813</v>
      </c>
      <c r="R9" s="243" t="s">
        <v>4702</v>
      </c>
      <c r="S9" s="244"/>
      <c r="T9" s="245"/>
      <c r="U9" s="245"/>
      <c r="V9" s="245"/>
      <c r="W9" s="247"/>
      <c r="X9" s="247"/>
      <c r="Y9" s="247"/>
      <c r="Z9" s="247"/>
      <c r="AA9" s="247"/>
      <c r="AB9" s="248"/>
    </row>
    <row r="10" ht="60.0" customHeight="1">
      <c r="A10" s="233" t="s">
        <v>813</v>
      </c>
      <c r="B10" s="234" t="s">
        <v>4703</v>
      </c>
      <c r="C10" s="258" t="s">
        <v>4704</v>
      </c>
      <c r="D10" s="234" t="s">
        <v>4705</v>
      </c>
      <c r="E10" s="234" t="s">
        <v>4706</v>
      </c>
      <c r="F10" s="237" t="s">
        <v>4707</v>
      </c>
      <c r="G10" s="259" t="s">
        <v>4708</v>
      </c>
      <c r="H10" s="237" t="s">
        <v>4709</v>
      </c>
      <c r="I10" s="236" t="s">
        <v>813</v>
      </c>
      <c r="J10" s="240" t="s">
        <v>4710</v>
      </c>
      <c r="K10" s="260" t="s">
        <v>4711</v>
      </c>
      <c r="L10" s="240" t="s">
        <v>4712</v>
      </c>
      <c r="M10" s="240" t="s">
        <v>4713</v>
      </c>
      <c r="N10" s="241" t="s">
        <v>813</v>
      </c>
      <c r="O10" s="261" t="s">
        <v>4714</v>
      </c>
      <c r="P10" s="262" t="s">
        <v>4715</v>
      </c>
      <c r="Q10" s="243" t="s">
        <v>4716</v>
      </c>
      <c r="R10" s="263" t="s">
        <v>4717</v>
      </c>
      <c r="S10" s="244"/>
      <c r="T10" s="245"/>
      <c r="U10" s="245"/>
      <c r="V10" s="245"/>
      <c r="W10" s="264"/>
      <c r="X10" s="264"/>
      <c r="Y10" s="264"/>
      <c r="Z10" s="264"/>
      <c r="AA10" s="264"/>
      <c r="AB10" s="248"/>
    </row>
    <row r="11" ht="65.25" customHeight="1">
      <c r="A11" s="233" t="s">
        <v>813</v>
      </c>
      <c r="B11" s="234" t="s">
        <v>4718</v>
      </c>
      <c r="C11" s="265"/>
      <c r="D11" s="250" t="s">
        <v>4719</v>
      </c>
      <c r="E11" s="250" t="s">
        <v>4720</v>
      </c>
      <c r="F11" s="237" t="s">
        <v>4721</v>
      </c>
      <c r="G11" s="265"/>
      <c r="H11" s="237" t="s">
        <v>4722</v>
      </c>
      <c r="I11" s="237" t="s">
        <v>4723</v>
      </c>
      <c r="J11" s="240" t="s">
        <v>4724</v>
      </c>
      <c r="K11" s="265"/>
      <c r="L11" s="240" t="s">
        <v>4725</v>
      </c>
      <c r="M11" s="240" t="s">
        <v>4726</v>
      </c>
      <c r="N11" s="241" t="s">
        <v>813</v>
      </c>
      <c r="O11" s="243" t="s">
        <v>4727</v>
      </c>
      <c r="P11" s="265"/>
      <c r="Q11" s="243" t="s">
        <v>4728</v>
      </c>
      <c r="R11" s="243" t="s">
        <v>4729</v>
      </c>
      <c r="S11" s="244"/>
      <c r="T11" s="245"/>
      <c r="U11" s="245"/>
      <c r="V11" s="245"/>
      <c r="W11" s="266"/>
      <c r="X11" s="266"/>
      <c r="Y11" s="266"/>
      <c r="Z11" s="266"/>
      <c r="AA11" s="266"/>
      <c r="AB11" s="248"/>
    </row>
    <row r="12">
      <c r="A12" s="233" t="s">
        <v>813</v>
      </c>
      <c r="B12" s="234" t="s">
        <v>4730</v>
      </c>
      <c r="C12" s="233" t="s">
        <v>4731</v>
      </c>
      <c r="D12" s="234" t="s">
        <v>4732</v>
      </c>
      <c r="E12" s="250" t="s">
        <v>4733</v>
      </c>
      <c r="F12" s="237" t="s">
        <v>4734</v>
      </c>
      <c r="G12" s="235" t="s">
        <v>4735</v>
      </c>
      <c r="H12" s="235" t="str">
        <f>IFERROR(__xludf.DUMMYFUNCTION("GOOGLETRANSLATE(D12,""zh-tw"",""ja"")"),"▲ ハンターズロッジ R69
▼")</f>
        <v>▲ ハンターズロッジ R69
▼</v>
      </c>
      <c r="I12" s="235" t="str">
        <f>IFERROR(__xludf.DUMMYFUNCTION("GOOGLETRANSLATE(#REF!,""zh-tw"",""ja"")"),"#REF!")</f>
        <v>#REF!</v>
      </c>
      <c r="J12" s="240" t="s">
        <v>4736</v>
      </c>
      <c r="K12" s="238" t="s">
        <v>4737</v>
      </c>
      <c r="L12" s="238" t="s">
        <v>4738</v>
      </c>
      <c r="M12" s="240" t="s">
        <v>4739</v>
      </c>
      <c r="N12" s="241" t="s">
        <v>813</v>
      </c>
      <c r="O12" s="243" t="s">
        <v>4740</v>
      </c>
      <c r="P12" s="241" t="str">
        <f>IFERROR(__xludf.DUMMYFUNCTION("GOOGLETRANSLATE(C12,""zh-tw"",""zh"")"),"提前回家
R1")</f>
        <v>提前回家
R1</v>
      </c>
      <c r="Q12" s="243" t="s">
        <v>4741</v>
      </c>
      <c r="R12" s="243" t="s">
        <v>4742</v>
      </c>
      <c r="S12" s="244"/>
      <c r="T12" s="245"/>
      <c r="U12" s="245"/>
      <c r="V12" s="245"/>
      <c r="W12" s="247"/>
      <c r="X12" s="247"/>
      <c r="Y12" s="247"/>
      <c r="Z12" s="247"/>
      <c r="AA12" s="247"/>
      <c r="AB12" s="248"/>
    </row>
    <row r="13">
      <c r="A13" s="233" t="s">
        <v>813</v>
      </c>
      <c r="B13" s="234" t="s">
        <v>4743</v>
      </c>
      <c r="C13" s="233" t="s">
        <v>4744</v>
      </c>
      <c r="D13" s="234" t="s">
        <v>4745</v>
      </c>
      <c r="E13" s="233" t="s">
        <v>813</v>
      </c>
      <c r="F13" s="236"/>
      <c r="G13" s="235"/>
      <c r="H13" s="235"/>
      <c r="I13" s="235"/>
      <c r="J13" s="240" t="s">
        <v>4746</v>
      </c>
      <c r="K13" s="238" t="s">
        <v>4747</v>
      </c>
      <c r="L13" s="238" t="s">
        <v>4748</v>
      </c>
      <c r="M13" s="238"/>
      <c r="N13" s="241" t="s">
        <v>813</v>
      </c>
      <c r="O13" s="243" t="s">
        <v>4749</v>
      </c>
      <c r="P13" s="241" t="s">
        <v>4750</v>
      </c>
      <c r="Q13" s="243" t="s">
        <v>4751</v>
      </c>
      <c r="R13" s="241" t="s">
        <v>813</v>
      </c>
      <c r="S13" s="244"/>
      <c r="T13" s="245"/>
      <c r="U13" s="245"/>
      <c r="V13" s="267"/>
      <c r="W13" s="247"/>
      <c r="X13" s="247"/>
      <c r="Y13" s="247"/>
      <c r="Z13" s="247"/>
      <c r="AA13" s="247"/>
      <c r="AB13" s="248"/>
    </row>
    <row r="14">
      <c r="A14" s="233" t="s">
        <v>813</v>
      </c>
      <c r="B14" s="234" t="s">
        <v>4752</v>
      </c>
      <c r="C14" s="233" t="s">
        <v>3400</v>
      </c>
      <c r="D14" s="233" t="s">
        <v>813</v>
      </c>
      <c r="E14" s="233" t="s">
        <v>813</v>
      </c>
      <c r="F14" s="236"/>
      <c r="G14" s="235"/>
      <c r="H14" s="235"/>
      <c r="I14" s="235"/>
      <c r="J14" s="240" t="s">
        <v>4753</v>
      </c>
      <c r="K14" s="238" t="s">
        <v>3406</v>
      </c>
      <c r="L14" s="238"/>
      <c r="M14" s="238"/>
      <c r="N14" s="241" t="s">
        <v>813</v>
      </c>
      <c r="O14" s="243" t="s">
        <v>4754</v>
      </c>
      <c r="P14" s="241" t="s">
        <v>4755</v>
      </c>
      <c r="Q14" s="241" t="s">
        <v>813</v>
      </c>
      <c r="R14" s="241" t="s">
        <v>813</v>
      </c>
      <c r="S14" s="268"/>
      <c r="T14" s="245"/>
      <c r="U14" s="267"/>
      <c r="V14" s="267"/>
      <c r="W14" s="247"/>
      <c r="X14" s="247"/>
      <c r="Y14" s="247"/>
      <c r="Z14" s="247"/>
      <c r="AA14" s="247"/>
      <c r="AB14" s="248"/>
    </row>
    <row r="15">
      <c r="A15" s="233" t="s">
        <v>4756</v>
      </c>
      <c r="B15" s="234" t="s">
        <v>4757</v>
      </c>
      <c r="C15" s="233" t="s">
        <v>4758</v>
      </c>
      <c r="D15" s="233" t="s">
        <v>813</v>
      </c>
      <c r="E15" s="233" t="s">
        <v>813</v>
      </c>
      <c r="F15" s="236"/>
      <c r="G15" s="235"/>
      <c r="H15" s="235"/>
      <c r="I15" s="235"/>
      <c r="J15" s="240" t="s">
        <v>4759</v>
      </c>
      <c r="K15" s="238" t="s">
        <v>4760</v>
      </c>
      <c r="L15" s="238"/>
      <c r="M15" s="238"/>
      <c r="N15" s="241" t="s">
        <v>4761</v>
      </c>
      <c r="O15" s="243" t="s">
        <v>4762</v>
      </c>
      <c r="P15" s="241" t="s">
        <v>4761</v>
      </c>
      <c r="Q15" s="241" t="s">
        <v>813</v>
      </c>
      <c r="R15" s="241" t="s">
        <v>813</v>
      </c>
      <c r="S15" s="244"/>
      <c r="T15" s="245"/>
      <c r="U15" s="267"/>
      <c r="V15" s="267"/>
      <c r="W15" s="247"/>
      <c r="X15" s="247"/>
      <c r="Y15" s="247"/>
      <c r="Z15" s="247"/>
      <c r="AA15" s="247"/>
      <c r="AB15" s="248"/>
    </row>
    <row r="16">
      <c r="A16" s="227" t="s">
        <v>4668</v>
      </c>
      <c r="B16" s="228"/>
      <c r="C16" s="228"/>
      <c r="D16" s="228"/>
      <c r="E16" s="229"/>
      <c r="F16" s="227" t="str">
        <f>IFERROR(__xludf.DUMMYFUNCTION("GOOGLETRANSLATE(A16,""zh-tw"",""ja"")"),"遺跡エリア")</f>
        <v>遺跡エリア</v>
      </c>
      <c r="G16" s="228"/>
      <c r="H16" s="228"/>
      <c r="I16" s="229"/>
      <c r="J16" s="227" t="s">
        <v>4763</v>
      </c>
      <c r="K16" s="228"/>
      <c r="L16" s="228"/>
      <c r="M16" s="229"/>
      <c r="N16" s="227" t="s">
        <v>4675</v>
      </c>
      <c r="O16" s="228"/>
      <c r="P16" s="228"/>
      <c r="Q16" s="228"/>
      <c r="R16" s="229"/>
      <c r="S16" s="269"/>
      <c r="T16" s="221"/>
      <c r="U16" s="221"/>
      <c r="V16" s="222"/>
      <c r="W16" s="270"/>
      <c r="X16" s="270"/>
      <c r="Y16" s="270"/>
      <c r="Z16" s="270"/>
      <c r="AA16" s="270"/>
      <c r="AB16" s="270"/>
    </row>
    <row r="17">
      <c r="A17" s="233" t="s">
        <v>813</v>
      </c>
      <c r="B17" s="233" t="s">
        <v>813</v>
      </c>
      <c r="C17" s="234" t="s">
        <v>4764</v>
      </c>
      <c r="D17" s="233" t="s">
        <v>813</v>
      </c>
      <c r="E17" s="233" t="s">
        <v>813</v>
      </c>
      <c r="F17" s="235"/>
      <c r="G17" s="271" t="s">
        <v>4765</v>
      </c>
      <c r="H17" s="272"/>
      <c r="I17" s="272"/>
      <c r="J17" s="273"/>
      <c r="K17" s="274" t="s">
        <v>4766</v>
      </c>
      <c r="L17" s="273"/>
      <c r="M17" s="273"/>
      <c r="N17" s="275" t="s">
        <v>813</v>
      </c>
      <c r="O17" s="275" t="s">
        <v>813</v>
      </c>
      <c r="P17" s="276" t="s">
        <v>4767</v>
      </c>
      <c r="Q17" s="275" t="s">
        <v>813</v>
      </c>
      <c r="R17" s="275" t="s">
        <v>813</v>
      </c>
      <c r="S17" s="277"/>
      <c r="T17" s="278"/>
      <c r="U17" s="267"/>
      <c r="V17" s="267"/>
      <c r="W17" s="279"/>
      <c r="X17" s="279"/>
      <c r="Y17" s="279"/>
      <c r="Z17" s="279"/>
      <c r="AA17" s="279"/>
      <c r="AB17" s="279"/>
    </row>
    <row r="18">
      <c r="A18" s="233" t="s">
        <v>813</v>
      </c>
      <c r="B18" s="234" t="s">
        <v>4768</v>
      </c>
      <c r="C18" s="234" t="s">
        <v>4769</v>
      </c>
      <c r="D18" s="233" t="s">
        <v>813</v>
      </c>
      <c r="E18" s="233" t="s">
        <v>813</v>
      </c>
      <c r="F18" s="237" t="s">
        <v>4770</v>
      </c>
      <c r="G18" s="237" t="s">
        <v>4771</v>
      </c>
      <c r="H18" s="272"/>
      <c r="I18" s="272"/>
      <c r="J18" s="280" t="s">
        <v>4772</v>
      </c>
      <c r="K18" s="281" t="s">
        <v>4773</v>
      </c>
      <c r="L18" s="273"/>
      <c r="M18" s="273"/>
      <c r="N18" s="275" t="s">
        <v>813</v>
      </c>
      <c r="O18" s="282" t="s">
        <v>4774</v>
      </c>
      <c r="P18" s="282" t="s">
        <v>4775</v>
      </c>
      <c r="Q18" s="275" t="s">
        <v>813</v>
      </c>
      <c r="R18" s="275" t="s">
        <v>813</v>
      </c>
      <c r="S18" s="256"/>
      <c r="T18" s="245"/>
      <c r="U18" s="267"/>
      <c r="V18" s="267"/>
      <c r="W18" s="279"/>
      <c r="X18" s="279"/>
      <c r="Y18" s="279"/>
      <c r="Z18" s="279"/>
      <c r="AA18" s="279"/>
      <c r="AB18" s="279"/>
    </row>
    <row r="19">
      <c r="A19" s="233" t="s">
        <v>813</v>
      </c>
      <c r="B19" s="233" t="s">
        <v>813</v>
      </c>
      <c r="C19" s="283" t="s">
        <v>4776</v>
      </c>
      <c r="D19" s="233" t="s">
        <v>4777</v>
      </c>
      <c r="E19" s="233" t="s">
        <v>813</v>
      </c>
      <c r="F19" s="235"/>
      <c r="G19" s="284" t="s">
        <v>4778</v>
      </c>
      <c r="H19" s="272"/>
      <c r="I19" s="272"/>
      <c r="J19" s="273"/>
      <c r="K19" s="285" t="s">
        <v>4779</v>
      </c>
      <c r="L19" s="273"/>
      <c r="M19" s="273"/>
      <c r="N19" s="275" t="s">
        <v>813</v>
      </c>
      <c r="O19" s="275" t="s">
        <v>813</v>
      </c>
      <c r="P19" s="286" t="s">
        <v>4780</v>
      </c>
      <c r="Q19" s="275" t="s">
        <v>4781</v>
      </c>
      <c r="R19" s="275" t="s">
        <v>813</v>
      </c>
      <c r="S19" s="277"/>
      <c r="T19" s="255"/>
      <c r="U19" s="267"/>
      <c r="V19" s="267"/>
      <c r="W19" s="279"/>
      <c r="X19" s="279"/>
      <c r="Y19" s="279"/>
      <c r="Z19" s="279"/>
      <c r="AA19" s="279"/>
      <c r="AB19" s="279"/>
    </row>
    <row r="20">
      <c r="A20" s="233" t="s">
        <v>813</v>
      </c>
      <c r="B20" s="233" t="s">
        <v>813</v>
      </c>
      <c r="C20" s="283" t="s">
        <v>4782</v>
      </c>
      <c r="D20" s="234" t="s">
        <v>4783</v>
      </c>
      <c r="E20" s="233" t="s">
        <v>813</v>
      </c>
      <c r="F20" s="235"/>
      <c r="G20" s="284" t="s">
        <v>4784</v>
      </c>
      <c r="H20" s="237" t="s">
        <v>4785</v>
      </c>
      <c r="I20" s="272"/>
      <c r="J20" s="273"/>
      <c r="K20" s="287" t="s">
        <v>4786</v>
      </c>
      <c r="L20" s="240" t="s">
        <v>4787</v>
      </c>
      <c r="M20" s="273"/>
      <c r="N20" s="275" t="s">
        <v>813</v>
      </c>
      <c r="O20" s="275" t="s">
        <v>813</v>
      </c>
      <c r="P20" s="288" t="s">
        <v>4788</v>
      </c>
      <c r="Q20" s="282" t="s">
        <v>4789</v>
      </c>
      <c r="R20" s="275" t="s">
        <v>813</v>
      </c>
      <c r="S20" s="277"/>
      <c r="T20" s="245"/>
      <c r="U20" s="246"/>
      <c r="V20" s="267"/>
      <c r="W20" s="279"/>
      <c r="X20" s="279"/>
      <c r="Y20" s="279"/>
      <c r="Z20" s="279"/>
      <c r="AA20" s="279"/>
      <c r="AB20" s="279"/>
    </row>
    <row r="21">
      <c r="A21" s="289" t="s">
        <v>813</v>
      </c>
      <c r="B21" s="289" t="s">
        <v>813</v>
      </c>
      <c r="C21" s="234" t="s">
        <v>4790</v>
      </c>
      <c r="D21" s="233" t="s">
        <v>813</v>
      </c>
      <c r="E21" s="233" t="s">
        <v>813</v>
      </c>
      <c r="F21" s="235"/>
      <c r="G21" s="237" t="s">
        <v>4791</v>
      </c>
      <c r="H21" s="272"/>
      <c r="I21" s="272"/>
      <c r="J21" s="273"/>
      <c r="K21" s="281" t="s">
        <v>4792</v>
      </c>
      <c r="L21" s="273"/>
      <c r="M21" s="273"/>
      <c r="N21" s="275" t="s">
        <v>813</v>
      </c>
      <c r="O21" s="275" t="s">
        <v>813</v>
      </c>
      <c r="P21" s="282" t="s">
        <v>4793</v>
      </c>
      <c r="Q21" s="275" t="s">
        <v>813</v>
      </c>
      <c r="R21" s="275" t="s">
        <v>813</v>
      </c>
      <c r="S21" s="277"/>
      <c r="T21" s="246"/>
      <c r="U21" s="267"/>
      <c r="V21" s="267"/>
      <c r="W21" s="279"/>
      <c r="X21" s="279"/>
      <c r="Y21" s="279"/>
      <c r="Z21" s="279"/>
      <c r="AA21" s="279"/>
      <c r="AB21" s="279"/>
    </row>
    <row r="22">
      <c r="A22" s="290"/>
      <c r="B22" s="290"/>
      <c r="C22" s="290"/>
      <c r="D22" s="290"/>
      <c r="E22" s="290"/>
      <c r="F22" s="290"/>
      <c r="G22" s="290"/>
      <c r="H22" s="30"/>
      <c r="I22" s="30"/>
      <c r="J22" s="30"/>
      <c r="K22" s="290"/>
      <c r="L22" s="290"/>
      <c r="M22" s="290"/>
      <c r="N22" s="30"/>
      <c r="O22" s="30"/>
      <c r="P22" s="290"/>
      <c r="Q22" s="290"/>
      <c r="R22" s="290"/>
      <c r="S22" s="291"/>
      <c r="T22" s="291"/>
      <c r="U22" s="291"/>
      <c r="V22" s="291"/>
      <c r="W22" s="290"/>
      <c r="X22" s="290"/>
      <c r="Y22" s="290"/>
      <c r="Z22" s="290"/>
      <c r="AA22" s="290"/>
      <c r="AB22" s="290"/>
    </row>
    <row r="23">
      <c r="A23" s="290"/>
      <c r="B23" s="290"/>
      <c r="C23" s="290"/>
      <c r="D23" s="292"/>
      <c r="E23" s="292"/>
      <c r="F23" s="290"/>
      <c r="G23" s="290"/>
      <c r="H23" s="30"/>
      <c r="I23" s="30"/>
      <c r="J23" s="30"/>
      <c r="K23" s="290"/>
      <c r="L23" s="290"/>
      <c r="M23" s="290"/>
      <c r="N23" s="30"/>
      <c r="O23" s="30"/>
      <c r="P23" s="290"/>
      <c r="Q23" s="290"/>
      <c r="R23" s="290"/>
      <c r="S23" s="291"/>
      <c r="T23" s="291"/>
      <c r="U23" s="291"/>
      <c r="V23" s="291"/>
      <c r="W23" s="290"/>
      <c r="X23" s="290"/>
      <c r="Y23" s="290"/>
      <c r="Z23" s="290"/>
      <c r="AA23" s="290"/>
      <c r="AB23" s="290"/>
    </row>
    <row r="24">
      <c r="A24" s="290"/>
      <c r="B24" s="290"/>
      <c r="C24" s="290"/>
      <c r="D24" s="290"/>
      <c r="E24" s="290"/>
      <c r="F24" s="290"/>
      <c r="G24" s="290"/>
      <c r="H24" s="30"/>
      <c r="I24" s="30"/>
      <c r="J24" s="30"/>
      <c r="K24" s="290"/>
      <c r="L24" s="290"/>
      <c r="M24" s="290"/>
      <c r="N24" s="30"/>
      <c r="O24" s="30"/>
      <c r="P24" s="290"/>
      <c r="Q24" s="290"/>
      <c r="R24" s="290"/>
      <c r="S24" s="291"/>
      <c r="T24" s="291"/>
      <c r="U24" s="291"/>
      <c r="V24" s="291"/>
      <c r="W24" s="290"/>
      <c r="X24" s="290"/>
      <c r="Y24" s="290"/>
      <c r="Z24" s="290"/>
      <c r="AA24" s="290"/>
      <c r="AB24" s="290"/>
    </row>
    <row r="25">
      <c r="A25" s="290"/>
      <c r="B25" s="290"/>
      <c r="C25" s="290"/>
      <c r="D25" s="30"/>
      <c r="E25" s="290"/>
      <c r="F25" s="290"/>
      <c r="G25" s="290"/>
      <c r="H25" s="30"/>
      <c r="I25" s="30"/>
      <c r="J25" s="30"/>
      <c r="K25" s="290"/>
      <c r="L25" s="290"/>
      <c r="M25" s="290"/>
      <c r="N25" s="30"/>
      <c r="O25" s="30"/>
      <c r="P25" s="290"/>
      <c r="Q25" s="290"/>
      <c r="R25" s="290"/>
      <c r="S25" s="291"/>
      <c r="T25" s="291"/>
      <c r="U25" s="291"/>
      <c r="V25" s="291"/>
      <c r="W25" s="290"/>
      <c r="X25" s="290"/>
      <c r="Y25" s="290"/>
      <c r="Z25" s="290"/>
      <c r="AA25" s="290"/>
      <c r="AB25" s="290"/>
    </row>
    <row r="26">
      <c r="A26" s="290"/>
      <c r="B26" s="290"/>
      <c r="C26" s="30"/>
      <c r="D26" s="30"/>
      <c r="E26" s="290"/>
      <c r="F26" s="290"/>
      <c r="G26" s="290"/>
      <c r="H26" s="30"/>
      <c r="I26" s="30"/>
      <c r="J26" s="30"/>
      <c r="K26" s="290"/>
      <c r="L26" s="290"/>
      <c r="M26" s="290"/>
      <c r="N26" s="30"/>
      <c r="O26" s="30"/>
      <c r="P26" s="290"/>
      <c r="Q26" s="290"/>
      <c r="R26" s="290"/>
      <c r="S26" s="291"/>
      <c r="T26" s="291"/>
      <c r="U26" s="291"/>
      <c r="V26" s="291"/>
      <c r="W26" s="290"/>
      <c r="X26" s="290"/>
      <c r="Y26" s="290"/>
      <c r="Z26" s="290"/>
      <c r="AA26" s="290"/>
      <c r="AB26" s="290"/>
    </row>
    <row r="27">
      <c r="A27" s="290"/>
      <c r="B27" s="290"/>
      <c r="C27" s="30"/>
      <c r="D27" s="30"/>
      <c r="E27" s="290"/>
      <c r="F27" s="290"/>
      <c r="G27" s="290"/>
      <c r="H27" s="30"/>
      <c r="I27" s="30"/>
      <c r="J27" s="30"/>
      <c r="K27" s="290"/>
      <c r="L27" s="290"/>
      <c r="M27" s="290"/>
      <c r="N27" s="30"/>
      <c r="O27" s="30"/>
      <c r="P27" s="290"/>
      <c r="Q27" s="290"/>
      <c r="R27" s="290"/>
      <c r="S27" s="291"/>
      <c r="T27" s="291"/>
      <c r="U27" s="291"/>
      <c r="V27" s="291"/>
      <c r="W27" s="290"/>
      <c r="X27" s="290"/>
      <c r="Y27" s="290"/>
      <c r="Z27" s="290"/>
      <c r="AA27" s="290"/>
      <c r="AB27" s="290"/>
    </row>
    <row r="28">
      <c r="A28" s="290"/>
      <c r="B28" s="290"/>
      <c r="C28" s="30"/>
      <c r="D28" s="30"/>
      <c r="E28" s="290"/>
      <c r="F28" s="290"/>
      <c r="G28" s="290"/>
      <c r="H28" s="30"/>
      <c r="I28" s="30"/>
      <c r="J28" s="30"/>
      <c r="K28" s="290"/>
      <c r="L28" s="290"/>
      <c r="M28" s="290"/>
      <c r="N28" s="30"/>
      <c r="O28" s="30"/>
      <c r="P28" s="290"/>
      <c r="Q28" s="290"/>
      <c r="R28" s="290"/>
      <c r="S28" s="291"/>
      <c r="T28" s="291"/>
      <c r="U28" s="291"/>
      <c r="V28" s="291"/>
      <c r="W28" s="290"/>
      <c r="X28" s="290"/>
      <c r="Y28" s="290"/>
      <c r="Z28" s="290"/>
      <c r="AA28" s="290"/>
      <c r="AB28" s="290"/>
    </row>
    <row r="29">
      <c r="A29" s="290"/>
      <c r="B29" s="290"/>
      <c r="C29" s="30"/>
      <c r="D29" s="30"/>
      <c r="E29" s="290"/>
      <c r="F29" s="290"/>
      <c r="G29" s="290"/>
      <c r="H29" s="30"/>
      <c r="I29" s="30"/>
      <c r="J29" s="30"/>
      <c r="K29" s="290"/>
      <c r="L29" s="290"/>
      <c r="M29" s="290"/>
      <c r="N29" s="30"/>
      <c r="O29" s="30"/>
      <c r="P29" s="290"/>
      <c r="Q29" s="290"/>
      <c r="R29" s="290"/>
      <c r="S29" s="291"/>
      <c r="T29" s="291"/>
      <c r="U29" s="291"/>
      <c r="V29" s="291"/>
      <c r="W29" s="290"/>
      <c r="X29" s="290"/>
      <c r="Y29" s="290"/>
      <c r="Z29" s="290"/>
      <c r="AA29" s="290"/>
      <c r="AB29" s="290"/>
    </row>
    <row r="30">
      <c r="A30" s="290"/>
      <c r="B30" s="290"/>
      <c r="C30" s="30"/>
      <c r="D30" s="30"/>
      <c r="E30" s="290"/>
      <c r="F30" s="290"/>
      <c r="G30" s="290"/>
      <c r="H30" s="30"/>
      <c r="I30" s="30"/>
      <c r="J30" s="30"/>
      <c r="K30" s="290"/>
      <c r="L30" s="290"/>
      <c r="M30" s="290"/>
      <c r="N30" s="30"/>
      <c r="O30" s="30"/>
      <c r="P30" s="290"/>
      <c r="Q30" s="290"/>
      <c r="R30" s="290"/>
      <c r="S30" s="291"/>
      <c r="T30" s="291"/>
      <c r="U30" s="291"/>
      <c r="V30" s="291"/>
      <c r="W30" s="290"/>
      <c r="X30" s="290"/>
      <c r="Y30" s="290"/>
      <c r="Z30" s="290"/>
      <c r="AA30" s="290"/>
      <c r="AB30" s="290"/>
    </row>
    <row r="31">
      <c r="A31" s="30"/>
      <c r="B31" s="30"/>
      <c r="C31" s="30"/>
      <c r="D31" s="30"/>
      <c r="E31" s="30"/>
      <c r="F31" s="292"/>
      <c r="G31" s="30"/>
      <c r="H31" s="30"/>
      <c r="I31" s="30"/>
      <c r="J31" s="30"/>
      <c r="K31" s="30"/>
      <c r="L31" s="30"/>
      <c r="M31" s="30"/>
      <c r="N31" s="30"/>
      <c r="O31" s="30"/>
      <c r="P31" s="30"/>
      <c r="Q31" s="30"/>
      <c r="R31" s="30"/>
      <c r="S31" s="195"/>
      <c r="T31" s="195"/>
      <c r="U31" s="195"/>
      <c r="V31" s="195"/>
      <c r="W31" s="30"/>
      <c r="X31" s="30"/>
      <c r="Y31" s="30"/>
      <c r="Z31" s="30"/>
      <c r="AA31" s="30"/>
      <c r="AB31" s="30"/>
    </row>
    <row r="32">
      <c r="A32" s="30"/>
      <c r="B32" s="30"/>
      <c r="C32" s="30"/>
      <c r="D32" s="30"/>
      <c r="E32" s="30"/>
      <c r="F32" s="292"/>
      <c r="G32" s="30"/>
      <c r="H32" s="30"/>
      <c r="I32" s="30"/>
      <c r="J32" s="30"/>
      <c r="K32" s="30"/>
      <c r="L32" s="30"/>
      <c r="M32" s="30"/>
      <c r="N32" s="30"/>
      <c r="O32" s="30"/>
      <c r="P32" s="30"/>
      <c r="Q32" s="30"/>
      <c r="R32" s="30"/>
      <c r="S32" s="195"/>
      <c r="T32" s="195"/>
      <c r="U32" s="195"/>
      <c r="V32" s="195"/>
      <c r="W32" s="30"/>
      <c r="X32" s="30"/>
      <c r="Y32" s="30"/>
      <c r="Z32" s="30"/>
      <c r="AA32" s="30"/>
      <c r="AB32" s="30"/>
    </row>
    <row r="33">
      <c r="A33" s="30"/>
      <c r="B33" s="30"/>
      <c r="C33" s="30"/>
      <c r="D33" s="30"/>
      <c r="E33" s="30"/>
      <c r="F33" s="292"/>
      <c r="G33" s="30"/>
      <c r="H33" s="30"/>
      <c r="I33" s="30"/>
      <c r="J33" s="30"/>
      <c r="K33" s="30"/>
      <c r="L33" s="30"/>
      <c r="M33" s="30"/>
      <c r="N33" s="30"/>
      <c r="O33" s="30"/>
      <c r="P33" s="30"/>
      <c r="Q33" s="30"/>
      <c r="R33" s="30"/>
      <c r="S33" s="195"/>
      <c r="T33" s="195"/>
      <c r="U33" s="195"/>
      <c r="V33" s="195"/>
      <c r="W33" s="30"/>
      <c r="X33" s="30"/>
      <c r="Y33" s="30"/>
      <c r="Z33" s="30"/>
      <c r="AA33" s="30"/>
      <c r="AB33" s="30"/>
    </row>
    <row r="34">
      <c r="A34" s="30"/>
      <c r="B34" s="30"/>
      <c r="C34" s="30"/>
      <c r="D34" s="30"/>
      <c r="E34" s="30"/>
      <c r="F34" s="292"/>
      <c r="G34" s="30"/>
      <c r="H34" s="30"/>
      <c r="I34" s="30"/>
      <c r="J34" s="30"/>
      <c r="K34" s="30"/>
      <c r="L34" s="30"/>
      <c r="M34" s="30"/>
      <c r="N34" s="30"/>
      <c r="O34" s="30"/>
      <c r="P34" s="30"/>
      <c r="Q34" s="30"/>
      <c r="R34" s="30"/>
      <c r="S34" s="195"/>
      <c r="T34" s="195"/>
      <c r="U34" s="195"/>
      <c r="V34" s="195"/>
      <c r="W34" s="30"/>
      <c r="X34" s="30"/>
      <c r="Y34" s="30"/>
      <c r="Z34" s="30"/>
      <c r="AA34" s="30"/>
      <c r="AB34" s="30"/>
    </row>
    <row r="35">
      <c r="A35" s="30"/>
      <c r="B35" s="30"/>
      <c r="C35" s="30"/>
      <c r="D35" s="30"/>
      <c r="E35" s="30"/>
      <c r="F35" s="292"/>
      <c r="G35" s="30"/>
      <c r="H35" s="30"/>
      <c r="I35" s="30"/>
      <c r="J35" s="30"/>
      <c r="K35" s="30"/>
      <c r="L35" s="30"/>
      <c r="M35" s="30"/>
      <c r="N35" s="30"/>
      <c r="O35" s="30"/>
      <c r="P35" s="30"/>
      <c r="Q35" s="30"/>
      <c r="R35" s="30"/>
      <c r="S35" s="195"/>
      <c r="T35" s="195"/>
      <c r="U35" s="195"/>
      <c r="V35" s="195"/>
      <c r="W35" s="30"/>
      <c r="X35" s="30"/>
      <c r="Y35" s="30"/>
      <c r="Z35" s="30"/>
      <c r="AA35" s="30"/>
      <c r="AB35" s="30"/>
    </row>
    <row r="36">
      <c r="A36" s="30"/>
      <c r="B36" s="30"/>
      <c r="C36" s="30"/>
      <c r="D36" s="30"/>
      <c r="E36" s="30"/>
      <c r="F36" s="292"/>
      <c r="G36" s="30"/>
      <c r="H36" s="30"/>
      <c r="I36" s="30"/>
      <c r="J36" s="30"/>
      <c r="K36" s="30"/>
      <c r="L36" s="30"/>
      <c r="M36" s="30"/>
      <c r="N36" s="30"/>
      <c r="O36" s="30"/>
      <c r="P36" s="30"/>
      <c r="Q36" s="30"/>
      <c r="R36" s="30"/>
      <c r="S36" s="195"/>
      <c r="T36" s="195"/>
      <c r="U36" s="195"/>
      <c r="V36" s="195"/>
      <c r="W36" s="30"/>
      <c r="X36" s="30"/>
      <c r="Y36" s="30"/>
      <c r="Z36" s="30"/>
      <c r="AA36" s="30"/>
      <c r="AB36" s="30"/>
    </row>
    <row r="37">
      <c r="A37" s="30"/>
      <c r="B37" s="30"/>
      <c r="C37" s="30"/>
      <c r="D37" s="30"/>
      <c r="E37" s="30"/>
      <c r="F37" s="292"/>
      <c r="G37" s="30"/>
      <c r="H37" s="30"/>
      <c r="I37" s="30"/>
      <c r="J37" s="30"/>
      <c r="K37" s="30"/>
      <c r="L37" s="30"/>
      <c r="M37" s="30"/>
      <c r="N37" s="30"/>
      <c r="O37" s="30"/>
      <c r="P37" s="30"/>
      <c r="Q37" s="30"/>
      <c r="R37" s="30"/>
      <c r="S37" s="195"/>
      <c r="T37" s="195"/>
      <c r="U37" s="195"/>
      <c r="V37" s="195"/>
      <c r="W37" s="30"/>
      <c r="X37" s="30"/>
      <c r="Y37" s="30"/>
      <c r="Z37" s="30"/>
      <c r="AA37" s="30"/>
      <c r="AB37" s="30"/>
    </row>
    <row r="38">
      <c r="A38" s="30"/>
      <c r="B38" s="30"/>
      <c r="C38" s="30"/>
      <c r="D38" s="30"/>
      <c r="E38" s="30"/>
      <c r="F38" s="292"/>
      <c r="G38" s="30"/>
      <c r="H38" s="30"/>
      <c r="I38" s="30"/>
      <c r="J38" s="30"/>
      <c r="K38" s="30"/>
      <c r="L38" s="30"/>
      <c r="M38" s="30"/>
      <c r="N38" s="30"/>
      <c r="O38" s="30"/>
      <c r="P38" s="30"/>
      <c r="Q38" s="30"/>
      <c r="R38" s="30"/>
      <c r="S38" s="195"/>
      <c r="T38" s="195"/>
      <c r="U38" s="195"/>
      <c r="V38" s="195"/>
      <c r="W38" s="30"/>
      <c r="X38" s="30"/>
      <c r="Y38" s="30"/>
      <c r="Z38" s="30"/>
      <c r="AA38" s="30"/>
      <c r="AB38" s="30"/>
    </row>
    <row r="39">
      <c r="A39" s="30"/>
      <c r="B39" s="30"/>
      <c r="C39" s="30"/>
      <c r="D39" s="30"/>
      <c r="E39" s="30"/>
      <c r="F39" s="292"/>
      <c r="G39" s="30"/>
      <c r="H39" s="30"/>
      <c r="I39" s="30"/>
      <c r="J39" s="30"/>
      <c r="K39" s="30"/>
      <c r="L39" s="30"/>
      <c r="M39" s="30"/>
      <c r="N39" s="30"/>
      <c r="O39" s="30"/>
      <c r="P39" s="30"/>
      <c r="Q39" s="30"/>
      <c r="R39" s="30"/>
      <c r="S39" s="195"/>
      <c r="T39" s="195"/>
      <c r="U39" s="195"/>
      <c r="V39" s="195"/>
      <c r="W39" s="30"/>
      <c r="X39" s="30"/>
      <c r="Y39" s="30"/>
      <c r="Z39" s="30"/>
      <c r="AA39" s="30"/>
      <c r="AB39" s="30"/>
    </row>
    <row r="40">
      <c r="A40" s="30"/>
      <c r="B40" s="30"/>
      <c r="C40" s="30"/>
      <c r="D40" s="30"/>
      <c r="E40" s="30"/>
      <c r="F40" s="292"/>
      <c r="G40" s="30"/>
      <c r="H40" s="30"/>
      <c r="I40" s="30"/>
      <c r="J40" s="30"/>
      <c r="K40" s="30"/>
      <c r="L40" s="30"/>
      <c r="M40" s="30"/>
      <c r="N40" s="30"/>
      <c r="O40" s="30"/>
      <c r="P40" s="30"/>
      <c r="Q40" s="30"/>
      <c r="R40" s="30"/>
      <c r="S40" s="195"/>
      <c r="T40" s="195"/>
      <c r="U40" s="195"/>
      <c r="V40" s="195"/>
      <c r="W40" s="30"/>
      <c r="X40" s="30"/>
      <c r="Y40" s="30"/>
      <c r="Z40" s="30"/>
      <c r="AA40" s="30"/>
      <c r="AB40" s="30"/>
    </row>
    <row r="41">
      <c r="A41" s="30"/>
      <c r="B41" s="30"/>
      <c r="C41" s="30"/>
      <c r="D41" s="30"/>
      <c r="E41" s="30"/>
      <c r="F41" s="292"/>
      <c r="G41" s="30"/>
      <c r="H41" s="30"/>
      <c r="I41" s="30"/>
      <c r="J41" s="30"/>
      <c r="K41" s="30"/>
      <c r="L41" s="30"/>
      <c r="M41" s="30"/>
      <c r="N41" s="30"/>
      <c r="O41" s="30"/>
      <c r="P41" s="30"/>
      <c r="Q41" s="30"/>
      <c r="R41" s="30"/>
      <c r="S41" s="195"/>
      <c r="T41" s="195"/>
      <c r="U41" s="195"/>
      <c r="V41" s="195"/>
      <c r="W41" s="30"/>
      <c r="X41" s="30"/>
      <c r="Y41" s="30"/>
      <c r="Z41" s="30"/>
      <c r="AA41" s="30"/>
      <c r="AB41" s="30"/>
    </row>
    <row r="42">
      <c r="A42" s="30"/>
      <c r="B42" s="30"/>
      <c r="C42" s="30"/>
      <c r="D42" s="30"/>
      <c r="E42" s="30"/>
      <c r="F42" s="292"/>
      <c r="G42" s="30"/>
      <c r="H42" s="30"/>
      <c r="I42" s="30"/>
      <c r="J42" s="30"/>
      <c r="K42" s="30"/>
      <c r="L42" s="30"/>
      <c r="M42" s="30"/>
      <c r="N42" s="30"/>
      <c r="O42" s="30"/>
      <c r="P42" s="30"/>
      <c r="Q42" s="30"/>
      <c r="R42" s="30"/>
      <c r="S42" s="195"/>
      <c r="T42" s="195"/>
      <c r="U42" s="195"/>
      <c r="V42" s="195"/>
      <c r="W42" s="30"/>
      <c r="X42" s="30"/>
      <c r="Y42" s="30"/>
      <c r="Z42" s="30"/>
      <c r="AA42" s="30"/>
      <c r="AB42" s="30"/>
    </row>
    <row r="43">
      <c r="A43" s="30"/>
      <c r="B43" s="30"/>
      <c r="C43" s="30"/>
      <c r="D43" s="30"/>
      <c r="E43" s="30"/>
      <c r="F43" s="292"/>
      <c r="G43" s="30"/>
      <c r="H43" s="30"/>
      <c r="I43" s="30"/>
      <c r="J43" s="30"/>
      <c r="K43" s="30"/>
      <c r="L43" s="30"/>
      <c r="M43" s="30"/>
      <c r="N43" s="30"/>
      <c r="O43" s="30"/>
      <c r="P43" s="30"/>
      <c r="Q43" s="30"/>
      <c r="R43" s="30"/>
      <c r="S43" s="195"/>
      <c r="T43" s="195"/>
      <c r="U43" s="195"/>
      <c r="V43" s="195"/>
      <c r="W43" s="30"/>
      <c r="X43" s="30"/>
      <c r="Y43" s="30"/>
      <c r="Z43" s="30"/>
      <c r="AA43" s="30"/>
      <c r="AB43" s="30"/>
    </row>
    <row r="44">
      <c r="A44" s="30"/>
      <c r="B44" s="30"/>
      <c r="C44" s="30"/>
      <c r="D44" s="30"/>
      <c r="E44" s="30"/>
      <c r="F44" s="292"/>
      <c r="G44" s="30"/>
      <c r="H44" s="30"/>
      <c r="I44" s="30"/>
      <c r="J44" s="30"/>
      <c r="K44" s="30"/>
      <c r="L44" s="30"/>
      <c r="M44" s="30"/>
      <c r="N44" s="30"/>
      <c r="O44" s="30"/>
      <c r="P44" s="30"/>
      <c r="Q44" s="30"/>
      <c r="R44" s="30"/>
      <c r="S44" s="195"/>
      <c r="T44" s="195"/>
      <c r="U44" s="195"/>
      <c r="V44" s="195"/>
      <c r="W44" s="30"/>
      <c r="X44" s="30"/>
      <c r="Y44" s="30"/>
      <c r="Z44" s="30"/>
      <c r="AA44" s="30"/>
      <c r="AB44" s="30"/>
    </row>
    <row r="45">
      <c r="A45" s="30"/>
      <c r="B45" s="30"/>
      <c r="C45" s="30"/>
      <c r="D45" s="30"/>
      <c r="E45" s="30"/>
      <c r="F45" s="292"/>
      <c r="G45" s="30"/>
      <c r="H45" s="30"/>
      <c r="I45" s="30"/>
      <c r="J45" s="30"/>
      <c r="K45" s="30"/>
      <c r="L45" s="30"/>
      <c r="M45" s="30"/>
      <c r="N45" s="30"/>
      <c r="O45" s="30"/>
      <c r="P45" s="30"/>
      <c r="Q45" s="30"/>
      <c r="R45" s="30"/>
      <c r="S45" s="195"/>
      <c r="T45" s="195"/>
      <c r="U45" s="195"/>
      <c r="V45" s="195"/>
      <c r="W45" s="30"/>
      <c r="X45" s="30"/>
      <c r="Y45" s="30"/>
      <c r="Z45" s="30"/>
      <c r="AA45" s="30"/>
      <c r="AB45" s="30"/>
    </row>
    <row r="46">
      <c r="A46" s="30"/>
      <c r="B46" s="30"/>
      <c r="C46" s="30"/>
      <c r="D46" s="30"/>
      <c r="E46" s="30"/>
      <c r="F46" s="292"/>
      <c r="G46" s="30"/>
      <c r="H46" s="30"/>
      <c r="I46" s="30"/>
      <c r="J46" s="30"/>
      <c r="K46" s="30"/>
      <c r="L46" s="30"/>
      <c r="M46" s="30"/>
      <c r="N46" s="30"/>
      <c r="O46" s="30"/>
      <c r="P46" s="30"/>
      <c r="Q46" s="30"/>
      <c r="R46" s="30"/>
      <c r="S46" s="195"/>
      <c r="T46" s="195"/>
      <c r="U46" s="195"/>
      <c r="V46" s="195"/>
      <c r="W46" s="30"/>
      <c r="X46" s="30"/>
      <c r="Y46" s="30"/>
      <c r="Z46" s="30"/>
      <c r="AA46" s="30"/>
      <c r="AB46" s="30"/>
    </row>
    <row r="47">
      <c r="A47" s="30"/>
      <c r="B47" s="30"/>
      <c r="C47" s="30"/>
      <c r="D47" s="30"/>
      <c r="E47" s="30"/>
      <c r="F47" s="292"/>
      <c r="G47" s="30"/>
      <c r="H47" s="30"/>
      <c r="I47" s="30"/>
      <c r="J47" s="30"/>
      <c r="K47" s="30"/>
      <c r="L47" s="30"/>
      <c r="M47" s="30"/>
      <c r="N47" s="30"/>
      <c r="O47" s="30"/>
      <c r="P47" s="30"/>
      <c r="Q47" s="30"/>
      <c r="R47" s="30"/>
      <c r="S47" s="195"/>
      <c r="T47" s="195"/>
      <c r="U47" s="195"/>
      <c r="V47" s="195"/>
      <c r="W47" s="30"/>
      <c r="X47" s="30"/>
      <c r="Y47" s="30"/>
      <c r="Z47" s="30"/>
      <c r="AA47" s="30"/>
      <c r="AB47" s="30"/>
    </row>
    <row r="48">
      <c r="A48" s="30"/>
      <c r="B48" s="30"/>
      <c r="C48" s="30"/>
      <c r="D48" s="30"/>
      <c r="E48" s="30"/>
      <c r="F48" s="292"/>
      <c r="G48" s="30"/>
      <c r="H48" s="30"/>
      <c r="I48" s="30"/>
      <c r="J48" s="30"/>
      <c r="K48" s="30"/>
      <c r="L48" s="30"/>
      <c r="M48" s="30"/>
      <c r="N48" s="30"/>
      <c r="O48" s="30"/>
      <c r="P48" s="30"/>
      <c r="Q48" s="30"/>
      <c r="R48" s="30"/>
      <c r="S48" s="195"/>
      <c r="T48" s="195"/>
      <c r="U48" s="195"/>
      <c r="V48" s="195"/>
      <c r="W48" s="30"/>
      <c r="X48" s="30"/>
      <c r="Y48" s="30"/>
      <c r="Z48" s="30"/>
      <c r="AA48" s="30"/>
      <c r="AB48" s="30"/>
    </row>
    <row r="49">
      <c r="A49" s="30"/>
      <c r="B49" s="30"/>
      <c r="C49" s="30"/>
      <c r="D49" s="30"/>
      <c r="E49" s="30"/>
      <c r="F49" s="292"/>
      <c r="G49" s="30"/>
      <c r="H49" s="30"/>
      <c r="I49" s="30"/>
      <c r="J49" s="30"/>
      <c r="K49" s="30"/>
      <c r="L49" s="30"/>
      <c r="M49" s="30"/>
      <c r="N49" s="30"/>
      <c r="O49" s="30"/>
      <c r="P49" s="30"/>
      <c r="Q49" s="30"/>
      <c r="R49" s="30"/>
      <c r="S49" s="195"/>
      <c r="T49" s="195"/>
      <c r="U49" s="195"/>
      <c r="V49" s="195"/>
      <c r="W49" s="30"/>
      <c r="X49" s="30"/>
      <c r="Y49" s="30"/>
      <c r="Z49" s="30"/>
      <c r="AA49" s="30"/>
      <c r="AB49" s="30"/>
    </row>
    <row r="50">
      <c r="A50" s="30"/>
      <c r="B50" s="30"/>
      <c r="C50" s="30"/>
      <c r="D50" s="30"/>
      <c r="E50" s="30"/>
      <c r="F50" s="292"/>
      <c r="G50" s="30"/>
      <c r="H50" s="30"/>
      <c r="I50" s="30"/>
      <c r="J50" s="30"/>
      <c r="K50" s="30"/>
      <c r="L50" s="30"/>
      <c r="M50" s="30"/>
      <c r="N50" s="30"/>
      <c r="O50" s="30"/>
      <c r="P50" s="30"/>
      <c r="Q50" s="30"/>
      <c r="R50" s="30"/>
      <c r="S50" s="195"/>
      <c r="T50" s="195"/>
      <c r="U50" s="195"/>
      <c r="V50" s="195"/>
      <c r="W50" s="30"/>
      <c r="X50" s="30"/>
      <c r="Y50" s="30"/>
      <c r="Z50" s="30"/>
      <c r="AA50" s="30"/>
      <c r="AB50" s="30"/>
    </row>
    <row r="51">
      <c r="A51" s="30"/>
      <c r="B51" s="30"/>
      <c r="C51" s="30"/>
      <c r="D51" s="30"/>
      <c r="E51" s="30"/>
      <c r="F51" s="292"/>
      <c r="G51" s="30"/>
      <c r="H51" s="30"/>
      <c r="I51" s="30"/>
      <c r="J51" s="30"/>
      <c r="K51" s="30"/>
      <c r="L51" s="30"/>
      <c r="M51" s="30"/>
      <c r="N51" s="30"/>
      <c r="O51" s="30"/>
      <c r="P51" s="30"/>
      <c r="Q51" s="30"/>
      <c r="R51" s="30"/>
      <c r="S51" s="195"/>
      <c r="T51" s="195"/>
      <c r="U51" s="195"/>
      <c r="V51" s="195"/>
      <c r="W51" s="30"/>
      <c r="X51" s="30"/>
      <c r="Y51" s="30"/>
      <c r="Z51" s="30"/>
      <c r="AA51" s="30"/>
      <c r="AB51" s="30"/>
    </row>
    <row r="52">
      <c r="A52" s="30"/>
      <c r="B52" s="30"/>
      <c r="C52" s="30"/>
      <c r="D52" s="30"/>
      <c r="E52" s="30"/>
      <c r="F52" s="292"/>
      <c r="G52" s="30"/>
      <c r="H52" s="30"/>
      <c r="I52" s="30"/>
      <c r="J52" s="30"/>
      <c r="K52" s="30"/>
      <c r="L52" s="30"/>
      <c r="M52" s="30"/>
      <c r="N52" s="30"/>
      <c r="O52" s="30"/>
      <c r="P52" s="30"/>
      <c r="Q52" s="30"/>
      <c r="R52" s="30"/>
      <c r="S52" s="195"/>
      <c r="T52" s="195"/>
      <c r="U52" s="195"/>
      <c r="V52" s="195"/>
      <c r="W52" s="30"/>
      <c r="X52" s="30"/>
      <c r="Y52" s="30"/>
      <c r="Z52" s="30"/>
      <c r="AA52" s="30"/>
      <c r="AB52" s="30"/>
    </row>
    <row r="53">
      <c r="A53" s="30"/>
      <c r="B53" s="30"/>
      <c r="C53" s="30"/>
      <c r="D53" s="30"/>
      <c r="E53" s="30"/>
      <c r="F53" s="292"/>
      <c r="G53" s="30"/>
      <c r="H53" s="30"/>
      <c r="I53" s="30"/>
      <c r="J53" s="30"/>
      <c r="K53" s="30"/>
      <c r="L53" s="30"/>
      <c r="M53" s="30"/>
      <c r="N53" s="30"/>
      <c r="O53" s="30"/>
      <c r="P53" s="30"/>
      <c r="Q53" s="30"/>
      <c r="R53" s="30"/>
      <c r="S53" s="195"/>
      <c r="T53" s="195"/>
      <c r="U53" s="195"/>
      <c r="V53" s="195"/>
      <c r="W53" s="30"/>
      <c r="X53" s="30"/>
      <c r="Y53" s="30"/>
      <c r="Z53" s="30"/>
      <c r="AA53" s="30"/>
      <c r="AB53" s="30"/>
    </row>
    <row r="54">
      <c r="A54" s="30"/>
      <c r="B54" s="30"/>
      <c r="C54" s="30"/>
      <c r="D54" s="30"/>
      <c r="E54" s="30"/>
      <c r="F54" s="292"/>
      <c r="G54" s="30"/>
      <c r="H54" s="30"/>
      <c r="I54" s="30"/>
      <c r="J54" s="30"/>
      <c r="K54" s="30"/>
      <c r="L54" s="30"/>
      <c r="M54" s="30"/>
      <c r="N54" s="30"/>
      <c r="O54" s="30"/>
      <c r="P54" s="30"/>
      <c r="Q54" s="30"/>
      <c r="R54" s="30"/>
      <c r="S54" s="195"/>
      <c r="T54" s="195"/>
      <c r="U54" s="195"/>
      <c r="V54" s="195"/>
      <c r="W54" s="30"/>
      <c r="X54" s="30"/>
      <c r="Y54" s="30"/>
      <c r="Z54" s="30"/>
      <c r="AA54" s="30"/>
      <c r="AB54" s="30"/>
    </row>
    <row r="55">
      <c r="A55" s="30"/>
      <c r="B55" s="30"/>
      <c r="C55" s="30"/>
      <c r="D55" s="30"/>
      <c r="E55" s="30"/>
      <c r="F55" s="292"/>
      <c r="G55" s="30"/>
      <c r="H55" s="30"/>
      <c r="I55" s="30"/>
      <c r="J55" s="30"/>
      <c r="K55" s="30"/>
      <c r="L55" s="30"/>
      <c r="M55" s="30"/>
      <c r="N55" s="30"/>
      <c r="O55" s="30"/>
      <c r="P55" s="30"/>
      <c r="Q55" s="30"/>
      <c r="R55" s="30"/>
      <c r="S55" s="195"/>
      <c r="T55" s="195"/>
      <c r="U55" s="195"/>
      <c r="V55" s="195"/>
      <c r="W55" s="30"/>
      <c r="X55" s="30"/>
      <c r="Y55" s="30"/>
      <c r="Z55" s="30"/>
      <c r="AA55" s="30"/>
      <c r="AB55" s="30"/>
    </row>
    <row r="56">
      <c r="A56" s="30"/>
      <c r="B56" s="30"/>
      <c r="C56" s="30"/>
      <c r="D56" s="30"/>
      <c r="E56" s="30"/>
      <c r="F56" s="292"/>
      <c r="G56" s="30"/>
      <c r="H56" s="30"/>
      <c r="I56" s="30"/>
      <c r="J56" s="30"/>
      <c r="K56" s="30"/>
      <c r="L56" s="30"/>
      <c r="M56" s="30"/>
      <c r="N56" s="30"/>
      <c r="O56" s="30"/>
      <c r="P56" s="30"/>
      <c r="Q56" s="30"/>
      <c r="R56" s="30"/>
      <c r="S56" s="195"/>
      <c r="T56" s="195"/>
      <c r="U56" s="195"/>
      <c r="V56" s="195"/>
      <c r="W56" s="30"/>
      <c r="X56" s="30"/>
      <c r="Y56" s="30"/>
      <c r="Z56" s="30"/>
      <c r="AA56" s="30"/>
      <c r="AB56" s="30"/>
    </row>
    <row r="57">
      <c r="A57" s="30"/>
      <c r="B57" s="30"/>
      <c r="C57" s="30"/>
      <c r="D57" s="30"/>
      <c r="E57" s="30"/>
      <c r="F57" s="292"/>
      <c r="G57" s="30"/>
      <c r="H57" s="30"/>
      <c r="I57" s="30"/>
      <c r="J57" s="30"/>
      <c r="K57" s="30"/>
      <c r="L57" s="30"/>
      <c r="M57" s="30"/>
      <c r="N57" s="30"/>
      <c r="O57" s="30"/>
      <c r="P57" s="30"/>
      <c r="Q57" s="30"/>
      <c r="R57" s="30"/>
      <c r="S57" s="195"/>
      <c r="T57" s="195"/>
      <c r="U57" s="195"/>
      <c r="V57" s="195"/>
      <c r="W57" s="30"/>
      <c r="X57" s="30"/>
      <c r="Y57" s="30"/>
      <c r="Z57" s="30"/>
      <c r="AA57" s="30"/>
      <c r="AB57" s="30"/>
    </row>
    <row r="58">
      <c r="A58" s="30"/>
      <c r="B58" s="30"/>
      <c r="C58" s="30"/>
      <c r="D58" s="30"/>
      <c r="E58" s="30"/>
      <c r="F58" s="292"/>
      <c r="G58" s="30"/>
      <c r="H58" s="30"/>
      <c r="I58" s="30"/>
      <c r="J58" s="30"/>
      <c r="K58" s="30"/>
      <c r="L58" s="30"/>
      <c r="M58" s="30"/>
      <c r="N58" s="30"/>
      <c r="O58" s="30"/>
      <c r="P58" s="30"/>
      <c r="Q58" s="30"/>
      <c r="R58" s="30"/>
      <c r="S58" s="195"/>
      <c r="T58" s="195"/>
      <c r="U58" s="195"/>
      <c r="V58" s="195"/>
      <c r="W58" s="30"/>
      <c r="X58" s="30"/>
      <c r="Y58" s="30"/>
      <c r="Z58" s="30"/>
      <c r="AA58" s="30"/>
      <c r="AB58" s="30"/>
    </row>
    <row r="59">
      <c r="A59" s="30"/>
      <c r="B59" s="30"/>
      <c r="C59" s="30"/>
      <c r="D59" s="30"/>
      <c r="E59" s="30"/>
      <c r="F59" s="292"/>
      <c r="G59" s="30"/>
      <c r="H59" s="30"/>
      <c r="I59" s="30"/>
      <c r="J59" s="30"/>
      <c r="K59" s="30"/>
      <c r="L59" s="30"/>
      <c r="M59" s="30"/>
      <c r="N59" s="30"/>
      <c r="O59" s="30"/>
      <c r="P59" s="30"/>
      <c r="Q59" s="30"/>
      <c r="R59" s="30"/>
      <c r="S59" s="195"/>
      <c r="T59" s="195"/>
      <c r="U59" s="195"/>
      <c r="V59" s="195"/>
      <c r="W59" s="30"/>
      <c r="X59" s="30"/>
      <c r="Y59" s="30"/>
      <c r="Z59" s="30"/>
      <c r="AA59" s="30"/>
      <c r="AB59" s="30"/>
    </row>
    <row r="60">
      <c r="A60" s="30"/>
      <c r="B60" s="30"/>
      <c r="C60" s="30"/>
      <c r="D60" s="30"/>
      <c r="E60" s="30"/>
      <c r="F60" s="292"/>
      <c r="G60" s="30"/>
      <c r="H60" s="30"/>
      <c r="I60" s="30"/>
      <c r="J60" s="30"/>
      <c r="K60" s="30"/>
      <c r="L60" s="30"/>
      <c r="M60" s="30"/>
      <c r="N60" s="30"/>
      <c r="O60" s="30"/>
      <c r="P60" s="30"/>
      <c r="Q60" s="30"/>
      <c r="R60" s="30"/>
      <c r="S60" s="195"/>
      <c r="T60" s="195"/>
      <c r="U60" s="195"/>
      <c r="V60" s="195"/>
      <c r="W60" s="30"/>
      <c r="X60" s="30"/>
      <c r="Y60" s="30"/>
      <c r="Z60" s="30"/>
      <c r="AA60" s="30"/>
      <c r="AB60" s="30"/>
    </row>
    <row r="61">
      <c r="A61" s="30"/>
      <c r="B61" s="30"/>
      <c r="C61" s="30"/>
      <c r="D61" s="30"/>
      <c r="E61" s="30"/>
      <c r="F61" s="292"/>
      <c r="G61" s="30"/>
      <c r="H61" s="30"/>
      <c r="I61" s="30"/>
      <c r="J61" s="30"/>
      <c r="K61" s="30"/>
      <c r="L61" s="30"/>
      <c r="M61" s="30"/>
      <c r="N61" s="30"/>
      <c r="O61" s="30"/>
      <c r="P61" s="30"/>
      <c r="Q61" s="30"/>
      <c r="R61" s="30"/>
      <c r="S61" s="195"/>
      <c r="T61" s="195"/>
      <c r="U61" s="195"/>
      <c r="V61" s="195"/>
      <c r="W61" s="30"/>
      <c r="X61" s="30"/>
      <c r="Y61" s="30"/>
      <c r="Z61" s="30"/>
      <c r="AA61" s="30"/>
      <c r="AB61" s="30"/>
    </row>
    <row r="62">
      <c r="A62" s="30"/>
      <c r="B62" s="30"/>
      <c r="C62" s="30"/>
      <c r="D62" s="30"/>
      <c r="E62" s="30"/>
      <c r="F62" s="292"/>
      <c r="G62" s="30"/>
      <c r="H62" s="30"/>
      <c r="I62" s="30"/>
      <c r="J62" s="30"/>
      <c r="K62" s="30"/>
      <c r="L62" s="30"/>
      <c r="M62" s="30"/>
      <c r="N62" s="30"/>
      <c r="O62" s="30"/>
      <c r="P62" s="30"/>
      <c r="Q62" s="30"/>
      <c r="R62" s="30"/>
      <c r="S62" s="195"/>
      <c r="T62" s="195"/>
      <c r="U62" s="195"/>
      <c r="V62" s="195"/>
      <c r="W62" s="30"/>
      <c r="X62" s="30"/>
      <c r="Y62" s="30"/>
      <c r="Z62" s="30"/>
      <c r="AA62" s="30"/>
      <c r="AB62" s="30"/>
    </row>
    <row r="63">
      <c r="A63" s="30"/>
      <c r="B63" s="30"/>
      <c r="C63" s="30"/>
      <c r="D63" s="30"/>
      <c r="E63" s="30"/>
      <c r="F63" s="292"/>
      <c r="G63" s="30"/>
      <c r="H63" s="30"/>
      <c r="I63" s="30"/>
      <c r="J63" s="30"/>
      <c r="K63" s="30"/>
      <c r="L63" s="30"/>
      <c r="M63" s="30"/>
      <c r="N63" s="30"/>
      <c r="O63" s="30"/>
      <c r="P63" s="30"/>
      <c r="Q63" s="30"/>
      <c r="R63" s="30"/>
      <c r="S63" s="195"/>
      <c r="T63" s="195"/>
      <c r="U63" s="195"/>
      <c r="V63" s="195"/>
      <c r="W63" s="30"/>
      <c r="X63" s="30"/>
      <c r="Y63" s="30"/>
      <c r="Z63" s="30"/>
      <c r="AA63" s="30"/>
      <c r="AB63" s="30"/>
    </row>
    <row r="64">
      <c r="A64" s="30"/>
      <c r="B64" s="30"/>
      <c r="C64" s="30"/>
      <c r="D64" s="30"/>
      <c r="E64" s="30"/>
      <c r="F64" s="292"/>
      <c r="G64" s="30"/>
      <c r="H64" s="30"/>
      <c r="I64" s="30"/>
      <c r="J64" s="30"/>
      <c r="K64" s="30"/>
      <c r="L64" s="30"/>
      <c r="M64" s="30"/>
      <c r="N64" s="30"/>
      <c r="O64" s="30"/>
      <c r="P64" s="30"/>
      <c r="Q64" s="30"/>
      <c r="R64" s="30"/>
      <c r="S64" s="195"/>
      <c r="T64" s="195"/>
      <c r="U64" s="195"/>
      <c r="V64" s="195"/>
      <c r="W64" s="30"/>
      <c r="X64" s="30"/>
      <c r="Y64" s="30"/>
      <c r="Z64" s="30"/>
      <c r="AA64" s="30"/>
      <c r="AB64" s="30"/>
    </row>
    <row r="65">
      <c r="A65" s="30"/>
      <c r="B65" s="30"/>
      <c r="C65" s="30"/>
      <c r="D65" s="30"/>
      <c r="E65" s="30"/>
      <c r="F65" s="292"/>
      <c r="G65" s="30"/>
      <c r="H65" s="30"/>
      <c r="I65" s="30"/>
      <c r="J65" s="30"/>
      <c r="K65" s="30"/>
      <c r="L65" s="30"/>
      <c r="M65" s="30"/>
      <c r="N65" s="30"/>
      <c r="O65" s="30"/>
      <c r="P65" s="30"/>
      <c r="Q65" s="30"/>
      <c r="R65" s="30"/>
      <c r="S65" s="195"/>
      <c r="T65" s="195"/>
      <c r="U65" s="195"/>
      <c r="V65" s="195"/>
      <c r="W65" s="30"/>
      <c r="X65" s="30"/>
      <c r="Y65" s="30"/>
      <c r="Z65" s="30"/>
      <c r="AA65" s="30"/>
      <c r="AB65" s="30"/>
    </row>
    <row r="66">
      <c r="A66" s="30"/>
      <c r="B66" s="30"/>
      <c r="C66" s="30"/>
      <c r="D66" s="30"/>
      <c r="E66" s="30"/>
      <c r="F66" s="292"/>
      <c r="G66" s="30"/>
      <c r="H66" s="30"/>
      <c r="I66" s="30"/>
      <c r="J66" s="30"/>
      <c r="K66" s="30"/>
      <c r="L66" s="30"/>
      <c r="M66" s="30"/>
      <c r="N66" s="30"/>
      <c r="O66" s="30"/>
      <c r="P66" s="30"/>
      <c r="Q66" s="30"/>
      <c r="R66" s="30"/>
      <c r="S66" s="195"/>
      <c r="T66" s="195"/>
      <c r="U66" s="195"/>
      <c r="V66" s="195"/>
      <c r="W66" s="30"/>
      <c r="X66" s="30"/>
      <c r="Y66" s="30"/>
      <c r="Z66" s="30"/>
      <c r="AA66" s="30"/>
      <c r="AB66" s="30"/>
    </row>
    <row r="67">
      <c r="A67" s="30"/>
      <c r="B67" s="30"/>
      <c r="C67" s="30"/>
      <c r="D67" s="30"/>
      <c r="E67" s="30"/>
      <c r="F67" s="292"/>
      <c r="G67" s="30"/>
      <c r="H67" s="30"/>
      <c r="I67" s="30"/>
      <c r="J67" s="30"/>
      <c r="K67" s="30"/>
      <c r="L67" s="30"/>
      <c r="M67" s="30"/>
      <c r="N67" s="30"/>
      <c r="O67" s="30"/>
      <c r="P67" s="30"/>
      <c r="Q67" s="30"/>
      <c r="R67" s="30"/>
      <c r="S67" s="195"/>
      <c r="T67" s="195"/>
      <c r="U67" s="195"/>
      <c r="V67" s="195"/>
      <c r="W67" s="30"/>
      <c r="X67" s="30"/>
      <c r="Y67" s="30"/>
      <c r="Z67" s="30"/>
      <c r="AA67" s="30"/>
      <c r="AB67" s="30"/>
    </row>
    <row r="68">
      <c r="A68" s="30"/>
      <c r="B68" s="30"/>
      <c r="C68" s="30"/>
      <c r="D68" s="30"/>
      <c r="E68" s="30"/>
      <c r="F68" s="292"/>
      <c r="G68" s="30"/>
      <c r="H68" s="30"/>
      <c r="I68" s="30"/>
      <c r="J68" s="30"/>
      <c r="K68" s="30"/>
      <c r="L68" s="30"/>
      <c r="M68" s="30"/>
      <c r="N68" s="30"/>
      <c r="O68" s="30"/>
      <c r="P68" s="30"/>
      <c r="Q68" s="30"/>
      <c r="R68" s="30"/>
      <c r="S68" s="195"/>
      <c r="T68" s="195"/>
      <c r="U68" s="195"/>
      <c r="V68" s="195"/>
      <c r="W68" s="30"/>
      <c r="X68" s="30"/>
      <c r="Y68" s="30"/>
      <c r="Z68" s="30"/>
      <c r="AA68" s="30"/>
      <c r="AB68" s="30"/>
    </row>
    <row r="69">
      <c r="A69" s="30"/>
      <c r="B69" s="30"/>
      <c r="C69" s="30"/>
      <c r="D69" s="30"/>
      <c r="E69" s="30"/>
      <c r="F69" s="292"/>
      <c r="G69" s="30"/>
      <c r="H69" s="30"/>
      <c r="I69" s="30"/>
      <c r="J69" s="30"/>
      <c r="K69" s="30"/>
      <c r="L69" s="30"/>
      <c r="M69" s="30"/>
      <c r="N69" s="30"/>
      <c r="O69" s="30"/>
      <c r="P69" s="30"/>
      <c r="Q69" s="30"/>
      <c r="R69" s="30"/>
      <c r="S69" s="195"/>
      <c r="T69" s="195"/>
      <c r="U69" s="195"/>
      <c r="V69" s="195"/>
      <c r="W69" s="30"/>
      <c r="X69" s="30"/>
      <c r="Y69" s="30"/>
      <c r="Z69" s="30"/>
      <c r="AA69" s="30"/>
      <c r="AB69" s="30"/>
    </row>
    <row r="70">
      <c r="A70" s="30"/>
      <c r="B70" s="30"/>
      <c r="C70" s="30"/>
      <c r="D70" s="30"/>
      <c r="E70" s="30"/>
      <c r="F70" s="292"/>
      <c r="G70" s="30"/>
      <c r="H70" s="30"/>
      <c r="I70" s="30"/>
      <c r="J70" s="30"/>
      <c r="K70" s="30"/>
      <c r="L70" s="30"/>
      <c r="M70" s="30"/>
      <c r="N70" s="30"/>
      <c r="O70" s="30"/>
      <c r="P70" s="30"/>
      <c r="Q70" s="30"/>
      <c r="R70" s="30"/>
      <c r="S70" s="195"/>
      <c r="T70" s="195"/>
      <c r="U70" s="195"/>
      <c r="V70" s="195"/>
      <c r="W70" s="30"/>
      <c r="X70" s="30"/>
      <c r="Y70" s="30"/>
      <c r="Z70" s="30"/>
      <c r="AA70" s="30"/>
      <c r="AB70" s="30"/>
    </row>
    <row r="71">
      <c r="A71" s="30"/>
      <c r="B71" s="30"/>
      <c r="C71" s="30"/>
      <c r="D71" s="30"/>
      <c r="E71" s="30"/>
      <c r="F71" s="292"/>
      <c r="G71" s="30"/>
      <c r="H71" s="30"/>
      <c r="I71" s="30"/>
      <c r="J71" s="30"/>
      <c r="K71" s="30"/>
      <c r="L71" s="30"/>
      <c r="M71" s="30"/>
      <c r="N71" s="30"/>
      <c r="O71" s="30"/>
      <c r="P71" s="30"/>
      <c r="Q71" s="30"/>
      <c r="R71" s="30"/>
      <c r="S71" s="195"/>
      <c r="T71" s="195"/>
      <c r="U71" s="195"/>
      <c r="V71" s="195"/>
      <c r="W71" s="30"/>
      <c r="X71" s="30"/>
      <c r="Y71" s="30"/>
      <c r="Z71" s="30"/>
      <c r="AA71" s="30"/>
      <c r="AB71" s="30"/>
    </row>
    <row r="72">
      <c r="A72" s="30"/>
      <c r="B72" s="30"/>
      <c r="C72" s="30"/>
      <c r="D72" s="30"/>
      <c r="E72" s="30"/>
      <c r="F72" s="292"/>
      <c r="G72" s="30"/>
      <c r="H72" s="30"/>
      <c r="I72" s="30"/>
      <c r="J72" s="30"/>
      <c r="K72" s="30"/>
      <c r="L72" s="30"/>
      <c r="M72" s="30"/>
      <c r="N72" s="30"/>
      <c r="O72" s="30"/>
      <c r="P72" s="30"/>
      <c r="Q72" s="30"/>
      <c r="R72" s="30"/>
      <c r="S72" s="195"/>
      <c r="T72" s="195"/>
      <c r="U72" s="195"/>
      <c r="V72" s="195"/>
      <c r="W72" s="30"/>
      <c r="X72" s="30"/>
      <c r="Y72" s="30"/>
      <c r="Z72" s="30"/>
      <c r="AA72" s="30"/>
      <c r="AB72" s="30"/>
    </row>
    <row r="73">
      <c r="A73" s="30"/>
      <c r="B73" s="30"/>
      <c r="C73" s="30"/>
      <c r="D73" s="30"/>
      <c r="E73" s="30"/>
      <c r="F73" s="292"/>
      <c r="G73" s="30"/>
      <c r="H73" s="30"/>
      <c r="I73" s="30"/>
      <c r="J73" s="30"/>
      <c r="K73" s="30"/>
      <c r="L73" s="30"/>
      <c r="M73" s="30"/>
      <c r="N73" s="30"/>
      <c r="O73" s="30"/>
      <c r="P73" s="30"/>
      <c r="Q73" s="30"/>
      <c r="R73" s="30"/>
      <c r="S73" s="195"/>
      <c r="T73" s="195"/>
      <c r="U73" s="195"/>
      <c r="V73" s="195"/>
      <c r="W73" s="30"/>
      <c r="X73" s="30"/>
      <c r="Y73" s="30"/>
      <c r="Z73" s="30"/>
      <c r="AA73" s="30"/>
      <c r="AB73" s="30"/>
    </row>
    <row r="74">
      <c r="A74" s="30"/>
      <c r="B74" s="30"/>
      <c r="C74" s="30"/>
      <c r="D74" s="30"/>
      <c r="E74" s="30"/>
      <c r="F74" s="292"/>
      <c r="G74" s="30"/>
      <c r="H74" s="30"/>
      <c r="I74" s="30"/>
      <c r="J74" s="30"/>
      <c r="K74" s="30"/>
      <c r="L74" s="30"/>
      <c r="M74" s="30"/>
      <c r="N74" s="30"/>
      <c r="O74" s="30"/>
      <c r="P74" s="30"/>
      <c r="Q74" s="30"/>
      <c r="R74" s="30"/>
      <c r="S74" s="195"/>
      <c r="T74" s="195"/>
      <c r="U74" s="195"/>
      <c r="V74" s="195"/>
      <c r="W74" s="30"/>
      <c r="X74" s="30"/>
      <c r="Y74" s="30"/>
      <c r="Z74" s="30"/>
      <c r="AA74" s="30"/>
      <c r="AB74" s="30"/>
    </row>
    <row r="75">
      <c r="A75" s="30"/>
      <c r="B75" s="30"/>
      <c r="C75" s="30"/>
      <c r="D75" s="30"/>
      <c r="E75" s="30"/>
      <c r="F75" s="292"/>
      <c r="G75" s="30"/>
      <c r="H75" s="30"/>
      <c r="I75" s="30"/>
      <c r="J75" s="30"/>
      <c r="K75" s="30"/>
      <c r="L75" s="30"/>
      <c r="M75" s="30"/>
      <c r="N75" s="30"/>
      <c r="O75" s="30"/>
      <c r="P75" s="30"/>
      <c r="Q75" s="30"/>
      <c r="R75" s="30"/>
      <c r="S75" s="195"/>
      <c r="T75" s="195"/>
      <c r="U75" s="195"/>
      <c r="V75" s="195"/>
      <c r="W75" s="30"/>
      <c r="X75" s="30"/>
      <c r="Y75" s="30"/>
      <c r="Z75" s="30"/>
      <c r="AA75" s="30"/>
      <c r="AB75" s="30"/>
    </row>
    <row r="76">
      <c r="A76" s="30"/>
      <c r="B76" s="30"/>
      <c r="C76" s="30"/>
      <c r="D76" s="30"/>
      <c r="E76" s="30"/>
      <c r="F76" s="292"/>
      <c r="G76" s="30"/>
      <c r="H76" s="30"/>
      <c r="I76" s="30"/>
      <c r="J76" s="30"/>
      <c r="K76" s="30"/>
      <c r="L76" s="30"/>
      <c r="M76" s="30"/>
      <c r="N76" s="30"/>
      <c r="O76" s="30"/>
      <c r="P76" s="30"/>
      <c r="Q76" s="30"/>
      <c r="R76" s="30"/>
      <c r="S76" s="195"/>
      <c r="T76" s="195"/>
      <c r="U76" s="195"/>
      <c r="V76" s="195"/>
      <c r="W76" s="30"/>
      <c r="X76" s="30"/>
      <c r="Y76" s="30"/>
      <c r="Z76" s="30"/>
      <c r="AA76" s="30"/>
      <c r="AB76" s="30"/>
    </row>
    <row r="77">
      <c r="A77" s="30"/>
      <c r="B77" s="30"/>
      <c r="C77" s="30"/>
      <c r="D77" s="30"/>
      <c r="E77" s="30"/>
      <c r="F77" s="292"/>
      <c r="G77" s="30"/>
      <c r="H77" s="30"/>
      <c r="I77" s="30"/>
      <c r="J77" s="30"/>
      <c r="K77" s="30"/>
      <c r="L77" s="30"/>
      <c r="M77" s="30"/>
      <c r="N77" s="30"/>
      <c r="O77" s="30"/>
      <c r="P77" s="30"/>
      <c r="Q77" s="30"/>
      <c r="R77" s="30"/>
      <c r="S77" s="195"/>
      <c r="T77" s="195"/>
      <c r="U77" s="195"/>
      <c r="V77" s="195"/>
      <c r="W77" s="30"/>
      <c r="X77" s="30"/>
      <c r="Y77" s="30"/>
      <c r="Z77" s="30"/>
      <c r="AA77" s="30"/>
      <c r="AB77" s="30"/>
    </row>
    <row r="78">
      <c r="A78" s="30"/>
      <c r="B78" s="30"/>
      <c r="C78" s="30"/>
      <c r="D78" s="30"/>
      <c r="E78" s="30"/>
      <c r="F78" s="292"/>
      <c r="G78" s="30"/>
      <c r="H78" s="30"/>
      <c r="I78" s="30"/>
      <c r="J78" s="30"/>
      <c r="K78" s="30"/>
      <c r="L78" s="30"/>
      <c r="M78" s="30"/>
      <c r="N78" s="30"/>
      <c r="O78" s="30"/>
      <c r="P78" s="30"/>
      <c r="Q78" s="30"/>
      <c r="R78" s="30"/>
      <c r="S78" s="195"/>
      <c r="T78" s="195"/>
      <c r="U78" s="195"/>
      <c r="V78" s="195"/>
      <c r="W78" s="30"/>
      <c r="X78" s="30"/>
      <c r="Y78" s="30"/>
      <c r="Z78" s="30"/>
      <c r="AA78" s="30"/>
      <c r="AB78" s="30"/>
    </row>
    <row r="79">
      <c r="A79" s="30"/>
      <c r="B79" s="30"/>
      <c r="C79" s="30"/>
      <c r="D79" s="30"/>
      <c r="E79" s="30"/>
      <c r="F79" s="292"/>
      <c r="G79" s="30"/>
      <c r="H79" s="30"/>
      <c r="I79" s="30"/>
      <c r="J79" s="30"/>
      <c r="K79" s="30"/>
      <c r="L79" s="30"/>
      <c r="M79" s="30"/>
      <c r="N79" s="30"/>
      <c r="O79" s="30"/>
      <c r="P79" s="30"/>
      <c r="Q79" s="30"/>
      <c r="R79" s="30"/>
      <c r="S79" s="195"/>
      <c r="T79" s="195"/>
      <c r="U79" s="195"/>
      <c r="V79" s="195"/>
      <c r="W79" s="30"/>
      <c r="X79" s="30"/>
      <c r="Y79" s="30"/>
      <c r="Z79" s="30"/>
      <c r="AA79" s="30"/>
      <c r="AB79" s="30"/>
    </row>
    <row r="80">
      <c r="A80" s="30"/>
      <c r="B80" s="30"/>
      <c r="C80" s="30"/>
      <c r="D80" s="30"/>
      <c r="E80" s="30"/>
      <c r="F80" s="292"/>
      <c r="G80" s="30"/>
      <c r="H80" s="30"/>
      <c r="I80" s="30"/>
      <c r="J80" s="30"/>
      <c r="K80" s="30"/>
      <c r="L80" s="30"/>
      <c r="M80" s="30"/>
      <c r="N80" s="30"/>
      <c r="O80" s="30"/>
      <c r="P80" s="30"/>
      <c r="Q80" s="30"/>
      <c r="R80" s="30"/>
      <c r="S80" s="195"/>
      <c r="T80" s="195"/>
      <c r="U80" s="195"/>
      <c r="V80" s="195"/>
      <c r="W80" s="30"/>
      <c r="X80" s="30"/>
      <c r="Y80" s="30"/>
      <c r="Z80" s="30"/>
      <c r="AA80" s="30"/>
      <c r="AB80" s="30"/>
    </row>
    <row r="81">
      <c r="A81" s="30"/>
      <c r="B81" s="30"/>
      <c r="C81" s="30"/>
      <c r="D81" s="30"/>
      <c r="E81" s="30"/>
      <c r="F81" s="292"/>
      <c r="G81" s="30"/>
      <c r="H81" s="30"/>
      <c r="I81" s="30"/>
      <c r="J81" s="30"/>
      <c r="K81" s="30"/>
      <c r="L81" s="30"/>
      <c r="M81" s="30"/>
      <c r="N81" s="30"/>
      <c r="O81" s="30"/>
      <c r="P81" s="30"/>
      <c r="Q81" s="30"/>
      <c r="R81" s="30"/>
      <c r="S81" s="195"/>
      <c r="T81" s="195"/>
      <c r="U81" s="195"/>
      <c r="V81" s="195"/>
      <c r="W81" s="30"/>
      <c r="X81" s="30"/>
      <c r="Y81" s="30"/>
      <c r="Z81" s="30"/>
      <c r="AA81" s="30"/>
      <c r="AB81" s="30"/>
    </row>
    <row r="82">
      <c r="A82" s="30"/>
      <c r="B82" s="30"/>
      <c r="C82" s="30"/>
      <c r="D82" s="30"/>
      <c r="E82" s="30"/>
      <c r="F82" s="292"/>
      <c r="G82" s="30"/>
      <c r="H82" s="30"/>
      <c r="I82" s="30"/>
      <c r="J82" s="30"/>
      <c r="K82" s="30"/>
      <c r="L82" s="30"/>
      <c r="M82" s="30"/>
      <c r="N82" s="30"/>
      <c r="O82" s="30"/>
      <c r="P82" s="30"/>
      <c r="Q82" s="30"/>
      <c r="R82" s="30"/>
      <c r="S82" s="195"/>
      <c r="T82" s="195"/>
      <c r="U82" s="195"/>
      <c r="V82" s="195"/>
      <c r="W82" s="30"/>
      <c r="X82" s="30"/>
      <c r="Y82" s="30"/>
      <c r="Z82" s="30"/>
      <c r="AA82" s="30"/>
      <c r="AB82" s="30"/>
    </row>
    <row r="83">
      <c r="A83" s="30"/>
      <c r="B83" s="30"/>
      <c r="C83" s="30"/>
      <c r="D83" s="30"/>
      <c r="E83" s="30"/>
      <c r="F83" s="292"/>
      <c r="G83" s="30"/>
      <c r="H83" s="30"/>
      <c r="I83" s="30"/>
      <c r="J83" s="30"/>
      <c r="K83" s="30"/>
      <c r="L83" s="30"/>
      <c r="M83" s="30"/>
      <c r="N83" s="30"/>
      <c r="O83" s="30"/>
      <c r="P83" s="30"/>
      <c r="Q83" s="30"/>
      <c r="R83" s="30"/>
      <c r="S83" s="195"/>
      <c r="T83" s="195"/>
      <c r="U83" s="195"/>
      <c r="V83" s="195"/>
      <c r="W83" s="30"/>
      <c r="X83" s="30"/>
      <c r="Y83" s="30"/>
      <c r="Z83" s="30"/>
      <c r="AA83" s="30"/>
      <c r="AB83" s="30"/>
    </row>
    <row r="84">
      <c r="A84" s="30"/>
      <c r="B84" s="30"/>
      <c r="C84" s="30"/>
      <c r="D84" s="30"/>
      <c r="E84" s="30"/>
      <c r="F84" s="292"/>
      <c r="G84" s="30"/>
      <c r="H84" s="30"/>
      <c r="I84" s="30"/>
      <c r="J84" s="30"/>
      <c r="K84" s="30"/>
      <c r="L84" s="30"/>
      <c r="M84" s="30"/>
      <c r="N84" s="30"/>
      <c r="O84" s="30"/>
      <c r="P84" s="30"/>
      <c r="Q84" s="30"/>
      <c r="R84" s="30"/>
      <c r="S84" s="195"/>
      <c r="T84" s="195"/>
      <c r="U84" s="195"/>
      <c r="V84" s="195"/>
      <c r="W84" s="30"/>
      <c r="X84" s="30"/>
      <c r="Y84" s="30"/>
      <c r="Z84" s="30"/>
      <c r="AA84" s="30"/>
      <c r="AB84" s="30"/>
    </row>
    <row r="85">
      <c r="A85" s="30"/>
      <c r="B85" s="30"/>
      <c r="C85" s="30"/>
      <c r="D85" s="30"/>
      <c r="E85" s="30"/>
      <c r="F85" s="292"/>
      <c r="G85" s="30"/>
      <c r="H85" s="30"/>
      <c r="I85" s="30"/>
      <c r="J85" s="30"/>
      <c r="K85" s="30"/>
      <c r="L85" s="30"/>
      <c r="M85" s="30"/>
      <c r="N85" s="30"/>
      <c r="O85" s="30"/>
      <c r="P85" s="30"/>
      <c r="Q85" s="30"/>
      <c r="R85" s="30"/>
      <c r="S85" s="195"/>
      <c r="T85" s="195"/>
      <c r="U85" s="195"/>
      <c r="V85" s="195"/>
      <c r="W85" s="30"/>
      <c r="X85" s="30"/>
      <c r="Y85" s="30"/>
      <c r="Z85" s="30"/>
      <c r="AA85" s="30"/>
      <c r="AB85" s="30"/>
    </row>
    <row r="86">
      <c r="A86" s="30"/>
      <c r="B86" s="30"/>
      <c r="C86" s="30"/>
      <c r="D86" s="30"/>
      <c r="E86" s="30"/>
      <c r="F86" s="292"/>
      <c r="G86" s="30"/>
      <c r="H86" s="30"/>
      <c r="I86" s="30"/>
      <c r="J86" s="30"/>
      <c r="K86" s="30"/>
      <c r="L86" s="30"/>
      <c r="M86" s="30"/>
      <c r="N86" s="30"/>
      <c r="O86" s="30"/>
      <c r="P86" s="30"/>
      <c r="Q86" s="30"/>
      <c r="R86" s="30"/>
      <c r="S86" s="195"/>
      <c r="T86" s="195"/>
      <c r="U86" s="195"/>
      <c r="V86" s="195"/>
      <c r="W86" s="30"/>
      <c r="X86" s="30"/>
      <c r="Y86" s="30"/>
      <c r="Z86" s="30"/>
      <c r="AA86" s="30"/>
      <c r="AB86" s="30"/>
    </row>
    <row r="87">
      <c r="A87" s="30"/>
      <c r="B87" s="30"/>
      <c r="C87" s="30"/>
      <c r="D87" s="30"/>
      <c r="E87" s="30"/>
      <c r="F87" s="292"/>
      <c r="G87" s="30"/>
      <c r="H87" s="30"/>
      <c r="I87" s="30"/>
      <c r="J87" s="30"/>
      <c r="K87" s="30"/>
      <c r="L87" s="30"/>
      <c r="M87" s="30"/>
      <c r="N87" s="30"/>
      <c r="O87" s="30"/>
      <c r="P87" s="30"/>
      <c r="Q87" s="30"/>
      <c r="R87" s="30"/>
      <c r="S87" s="195"/>
      <c r="T87" s="195"/>
      <c r="U87" s="195"/>
      <c r="V87" s="195"/>
      <c r="W87" s="30"/>
      <c r="X87" s="30"/>
      <c r="Y87" s="30"/>
      <c r="Z87" s="30"/>
      <c r="AA87" s="30"/>
      <c r="AB87" s="30"/>
    </row>
    <row r="88">
      <c r="A88" s="30"/>
      <c r="B88" s="30"/>
      <c r="C88" s="30"/>
      <c r="D88" s="30"/>
      <c r="E88" s="30"/>
      <c r="F88" s="292"/>
      <c r="G88" s="30"/>
      <c r="H88" s="30"/>
      <c r="I88" s="30"/>
      <c r="J88" s="30"/>
      <c r="K88" s="30"/>
      <c r="L88" s="30"/>
      <c r="M88" s="30"/>
      <c r="N88" s="30"/>
      <c r="O88" s="30"/>
      <c r="P88" s="30"/>
      <c r="Q88" s="30"/>
      <c r="R88" s="30"/>
      <c r="S88" s="195"/>
      <c r="T88" s="195"/>
      <c r="U88" s="195"/>
      <c r="V88" s="195"/>
      <c r="W88" s="30"/>
      <c r="X88" s="30"/>
      <c r="Y88" s="30"/>
      <c r="Z88" s="30"/>
      <c r="AA88" s="30"/>
      <c r="AB88" s="30"/>
    </row>
    <row r="89">
      <c r="A89" s="30"/>
      <c r="B89" s="30"/>
      <c r="C89" s="30"/>
      <c r="D89" s="30"/>
      <c r="E89" s="30"/>
      <c r="F89" s="292"/>
      <c r="G89" s="30"/>
      <c r="H89" s="30"/>
      <c r="I89" s="30"/>
      <c r="J89" s="30"/>
      <c r="K89" s="30"/>
      <c r="L89" s="30"/>
      <c r="M89" s="30"/>
      <c r="N89" s="30"/>
      <c r="O89" s="30"/>
      <c r="P89" s="30"/>
      <c r="Q89" s="30"/>
      <c r="R89" s="30"/>
      <c r="S89" s="195"/>
      <c r="T89" s="195"/>
      <c r="U89" s="195"/>
      <c r="V89" s="195"/>
      <c r="W89" s="30"/>
      <c r="X89" s="30"/>
      <c r="Y89" s="30"/>
      <c r="Z89" s="30"/>
      <c r="AA89" s="30"/>
      <c r="AB89" s="30"/>
    </row>
    <row r="90">
      <c r="A90" s="30"/>
      <c r="B90" s="30"/>
      <c r="C90" s="30"/>
      <c r="D90" s="30"/>
      <c r="E90" s="30"/>
      <c r="F90" s="292"/>
      <c r="G90" s="30"/>
      <c r="H90" s="30"/>
      <c r="I90" s="30"/>
      <c r="J90" s="30"/>
      <c r="K90" s="30"/>
      <c r="L90" s="30"/>
      <c r="M90" s="30"/>
      <c r="N90" s="30"/>
      <c r="O90" s="30"/>
      <c r="P90" s="30"/>
      <c r="Q90" s="30"/>
      <c r="R90" s="30"/>
      <c r="S90" s="195"/>
      <c r="T90" s="195"/>
      <c r="U90" s="195"/>
      <c r="V90" s="195"/>
      <c r="W90" s="30"/>
      <c r="X90" s="30"/>
      <c r="Y90" s="30"/>
      <c r="Z90" s="30"/>
      <c r="AA90" s="30"/>
      <c r="AB90" s="30"/>
    </row>
    <row r="91">
      <c r="A91" s="30"/>
      <c r="B91" s="30"/>
      <c r="C91" s="30"/>
      <c r="D91" s="30"/>
      <c r="E91" s="30"/>
      <c r="F91" s="292"/>
      <c r="G91" s="30"/>
      <c r="H91" s="30"/>
      <c r="I91" s="30"/>
      <c r="J91" s="30"/>
      <c r="K91" s="30"/>
      <c r="L91" s="30"/>
      <c r="M91" s="30"/>
      <c r="N91" s="30"/>
      <c r="O91" s="30"/>
      <c r="P91" s="30"/>
      <c r="Q91" s="30"/>
      <c r="R91" s="30"/>
      <c r="S91" s="195"/>
      <c r="T91" s="195"/>
      <c r="U91" s="195"/>
      <c r="V91" s="195"/>
      <c r="W91" s="30"/>
      <c r="X91" s="30"/>
      <c r="Y91" s="30"/>
      <c r="Z91" s="30"/>
      <c r="AA91" s="30"/>
      <c r="AB91" s="30"/>
    </row>
    <row r="92">
      <c r="A92" s="30"/>
      <c r="B92" s="30"/>
      <c r="C92" s="30"/>
      <c r="D92" s="30"/>
      <c r="E92" s="30"/>
      <c r="F92" s="292"/>
      <c r="G92" s="30"/>
      <c r="H92" s="30"/>
      <c r="I92" s="30"/>
      <c r="J92" s="30"/>
      <c r="K92" s="30"/>
      <c r="L92" s="30"/>
      <c r="M92" s="30"/>
      <c r="N92" s="30"/>
      <c r="O92" s="30"/>
      <c r="P92" s="30"/>
      <c r="Q92" s="30"/>
      <c r="R92" s="30"/>
      <c r="S92" s="195"/>
      <c r="T92" s="195"/>
      <c r="U92" s="195"/>
      <c r="V92" s="195"/>
      <c r="W92" s="30"/>
      <c r="X92" s="30"/>
      <c r="Y92" s="30"/>
      <c r="Z92" s="30"/>
      <c r="AA92" s="30"/>
      <c r="AB92" s="30"/>
    </row>
    <row r="93">
      <c r="A93" s="30"/>
      <c r="B93" s="30"/>
      <c r="C93" s="30"/>
      <c r="D93" s="30"/>
      <c r="E93" s="30"/>
      <c r="F93" s="292"/>
      <c r="G93" s="30"/>
      <c r="H93" s="30"/>
      <c r="I93" s="30"/>
      <c r="J93" s="30"/>
      <c r="K93" s="30"/>
      <c r="L93" s="30"/>
      <c r="M93" s="30"/>
      <c r="N93" s="30"/>
      <c r="O93" s="30"/>
      <c r="P93" s="30"/>
      <c r="Q93" s="30"/>
      <c r="R93" s="30"/>
      <c r="S93" s="195"/>
      <c r="T93" s="195"/>
      <c r="U93" s="195"/>
      <c r="V93" s="195"/>
      <c r="W93" s="30"/>
      <c r="X93" s="30"/>
      <c r="Y93" s="30"/>
      <c r="Z93" s="30"/>
      <c r="AA93" s="30"/>
      <c r="AB93" s="30"/>
    </row>
    <row r="94">
      <c r="A94" s="30"/>
      <c r="B94" s="30"/>
      <c r="C94" s="30"/>
      <c r="D94" s="30"/>
      <c r="E94" s="30"/>
      <c r="F94" s="292"/>
      <c r="G94" s="30"/>
      <c r="H94" s="30"/>
      <c r="I94" s="30"/>
      <c r="J94" s="30"/>
      <c r="K94" s="30"/>
      <c r="L94" s="30"/>
      <c r="M94" s="30"/>
      <c r="N94" s="30"/>
      <c r="O94" s="30"/>
      <c r="P94" s="30"/>
      <c r="Q94" s="30"/>
      <c r="R94" s="30"/>
      <c r="S94" s="195"/>
      <c r="T94" s="195"/>
      <c r="U94" s="195"/>
      <c r="V94" s="195"/>
      <c r="W94" s="30"/>
      <c r="X94" s="30"/>
      <c r="Y94" s="30"/>
      <c r="Z94" s="30"/>
      <c r="AA94" s="30"/>
      <c r="AB94" s="30"/>
    </row>
    <row r="95">
      <c r="A95" s="30"/>
      <c r="B95" s="30"/>
      <c r="C95" s="30"/>
      <c r="D95" s="30"/>
      <c r="E95" s="30"/>
      <c r="F95" s="292"/>
      <c r="G95" s="30"/>
      <c r="H95" s="30"/>
      <c r="I95" s="30"/>
      <c r="J95" s="30"/>
      <c r="K95" s="30"/>
      <c r="L95" s="30"/>
      <c r="M95" s="30"/>
      <c r="N95" s="30"/>
      <c r="O95" s="30"/>
      <c r="P95" s="30"/>
      <c r="Q95" s="30"/>
      <c r="R95" s="30"/>
      <c r="S95" s="195"/>
      <c r="T95" s="195"/>
      <c r="U95" s="195"/>
      <c r="V95" s="195"/>
      <c r="W95" s="30"/>
      <c r="X95" s="30"/>
      <c r="Y95" s="30"/>
      <c r="Z95" s="30"/>
      <c r="AA95" s="30"/>
      <c r="AB95" s="30"/>
    </row>
    <row r="96">
      <c r="A96" s="30"/>
      <c r="B96" s="30"/>
      <c r="C96" s="30"/>
      <c r="D96" s="30"/>
      <c r="E96" s="30"/>
      <c r="F96" s="292"/>
      <c r="G96" s="30"/>
      <c r="H96" s="30"/>
      <c r="I96" s="30"/>
      <c r="J96" s="30"/>
      <c r="K96" s="30"/>
      <c r="L96" s="30"/>
      <c r="M96" s="30"/>
      <c r="N96" s="30"/>
      <c r="O96" s="30"/>
      <c r="P96" s="30"/>
      <c r="Q96" s="30"/>
      <c r="R96" s="30"/>
      <c r="S96" s="195"/>
      <c r="T96" s="195"/>
      <c r="U96" s="195"/>
      <c r="V96" s="195"/>
      <c r="W96" s="30"/>
      <c r="X96" s="30"/>
      <c r="Y96" s="30"/>
      <c r="Z96" s="30"/>
      <c r="AA96" s="30"/>
      <c r="AB96" s="30"/>
    </row>
    <row r="97">
      <c r="A97" s="30"/>
      <c r="B97" s="30"/>
      <c r="C97" s="30"/>
      <c r="D97" s="30"/>
      <c r="E97" s="30"/>
      <c r="F97" s="292"/>
      <c r="G97" s="30"/>
      <c r="H97" s="30"/>
      <c r="I97" s="30"/>
      <c r="J97" s="30"/>
      <c r="K97" s="30"/>
      <c r="L97" s="30"/>
      <c r="M97" s="30"/>
      <c r="N97" s="30"/>
      <c r="O97" s="30"/>
      <c r="P97" s="30"/>
      <c r="Q97" s="30"/>
      <c r="R97" s="30"/>
      <c r="S97" s="195"/>
      <c r="T97" s="195"/>
      <c r="U97" s="195"/>
      <c r="V97" s="195"/>
      <c r="W97" s="30"/>
      <c r="X97" s="30"/>
      <c r="Y97" s="30"/>
      <c r="Z97" s="30"/>
      <c r="AA97" s="30"/>
      <c r="AB97" s="30"/>
    </row>
    <row r="98">
      <c r="A98" s="30"/>
      <c r="B98" s="30"/>
      <c r="C98" s="30"/>
      <c r="D98" s="30"/>
      <c r="E98" s="30"/>
      <c r="F98" s="292"/>
      <c r="G98" s="30"/>
      <c r="H98" s="30"/>
      <c r="I98" s="30"/>
      <c r="J98" s="30"/>
      <c r="K98" s="30"/>
      <c r="L98" s="30"/>
      <c r="M98" s="30"/>
      <c r="N98" s="30"/>
      <c r="O98" s="30"/>
      <c r="P98" s="30"/>
      <c r="Q98" s="30"/>
      <c r="R98" s="30"/>
      <c r="S98" s="195"/>
      <c r="T98" s="195"/>
      <c r="U98" s="195"/>
      <c r="V98" s="195"/>
      <c r="W98" s="30"/>
      <c r="X98" s="30"/>
      <c r="Y98" s="30"/>
      <c r="Z98" s="30"/>
      <c r="AA98" s="30"/>
      <c r="AB98" s="30"/>
    </row>
    <row r="99">
      <c r="A99" s="30"/>
      <c r="B99" s="30"/>
      <c r="C99" s="30"/>
      <c r="D99" s="30"/>
      <c r="E99" s="30"/>
      <c r="F99" s="292"/>
      <c r="G99" s="30"/>
      <c r="H99" s="30"/>
      <c r="I99" s="30"/>
      <c r="J99" s="30"/>
      <c r="K99" s="30"/>
      <c r="L99" s="30"/>
      <c r="M99" s="30"/>
      <c r="N99" s="30"/>
      <c r="O99" s="30"/>
      <c r="P99" s="30"/>
      <c r="Q99" s="30"/>
      <c r="R99" s="30"/>
      <c r="S99" s="195"/>
      <c r="T99" s="195"/>
      <c r="U99" s="195"/>
      <c r="V99" s="195"/>
      <c r="W99" s="30"/>
      <c r="X99" s="30"/>
      <c r="Y99" s="30"/>
      <c r="Z99" s="30"/>
      <c r="AA99" s="30"/>
      <c r="AB99" s="30"/>
    </row>
    <row r="100">
      <c r="A100" s="30"/>
      <c r="B100" s="30"/>
      <c r="C100" s="30"/>
      <c r="D100" s="30"/>
      <c r="E100" s="30"/>
      <c r="F100" s="292"/>
      <c r="G100" s="30"/>
      <c r="H100" s="30"/>
      <c r="I100" s="30"/>
      <c r="J100" s="30"/>
      <c r="K100" s="30"/>
      <c r="L100" s="30"/>
      <c r="M100" s="30"/>
      <c r="N100" s="30"/>
      <c r="O100" s="30"/>
      <c r="P100" s="30"/>
      <c r="Q100" s="30"/>
      <c r="R100" s="30"/>
      <c r="S100" s="195"/>
      <c r="T100" s="195"/>
      <c r="U100" s="195"/>
      <c r="V100" s="195"/>
      <c r="W100" s="30"/>
      <c r="X100" s="30"/>
      <c r="Y100" s="30"/>
      <c r="Z100" s="30"/>
      <c r="AA100" s="30"/>
      <c r="AB100" s="30"/>
    </row>
    <row r="101">
      <c r="A101" s="30"/>
      <c r="B101" s="30"/>
      <c r="C101" s="30"/>
      <c r="D101" s="30"/>
      <c r="E101" s="30"/>
      <c r="F101" s="292"/>
      <c r="G101" s="30"/>
      <c r="H101" s="30"/>
      <c r="I101" s="30"/>
      <c r="J101" s="30"/>
      <c r="K101" s="30"/>
      <c r="L101" s="30"/>
      <c r="M101" s="30"/>
      <c r="N101" s="30"/>
      <c r="O101" s="30"/>
      <c r="P101" s="30"/>
      <c r="Q101" s="30"/>
      <c r="R101" s="30"/>
      <c r="S101" s="195"/>
      <c r="T101" s="195"/>
      <c r="U101" s="195"/>
      <c r="V101" s="195"/>
      <c r="W101" s="30"/>
      <c r="X101" s="30"/>
      <c r="Y101" s="30"/>
      <c r="Z101" s="30"/>
      <c r="AA101" s="30"/>
      <c r="AB101" s="30"/>
    </row>
    <row r="102">
      <c r="A102" s="30"/>
      <c r="B102" s="30"/>
      <c r="C102" s="30"/>
      <c r="D102" s="30"/>
      <c r="E102" s="30"/>
      <c r="F102" s="292"/>
      <c r="G102" s="30"/>
      <c r="H102" s="30"/>
      <c r="I102" s="30"/>
      <c r="J102" s="30"/>
      <c r="K102" s="30"/>
      <c r="L102" s="30"/>
      <c r="M102" s="30"/>
      <c r="N102" s="30"/>
      <c r="O102" s="30"/>
      <c r="P102" s="30"/>
      <c r="Q102" s="30"/>
      <c r="R102" s="30"/>
      <c r="S102" s="195"/>
      <c r="T102" s="195"/>
      <c r="U102" s="195"/>
      <c r="V102" s="195"/>
      <c r="W102" s="30"/>
      <c r="X102" s="30"/>
      <c r="Y102" s="30"/>
      <c r="Z102" s="30"/>
      <c r="AA102" s="30"/>
      <c r="AB102" s="30"/>
    </row>
    <row r="103">
      <c r="A103" s="30"/>
      <c r="B103" s="30"/>
      <c r="C103" s="30"/>
      <c r="D103" s="30"/>
      <c r="E103" s="30"/>
      <c r="F103" s="292"/>
      <c r="G103" s="30"/>
      <c r="H103" s="30"/>
      <c r="I103" s="30"/>
      <c r="J103" s="30"/>
      <c r="K103" s="30"/>
      <c r="L103" s="30"/>
      <c r="M103" s="30"/>
      <c r="N103" s="30"/>
      <c r="O103" s="30"/>
      <c r="P103" s="30"/>
      <c r="Q103" s="30"/>
      <c r="R103" s="30"/>
      <c r="S103" s="195"/>
      <c r="T103" s="195"/>
      <c r="U103" s="195"/>
      <c r="V103" s="195"/>
      <c r="W103" s="30"/>
      <c r="X103" s="30"/>
      <c r="Y103" s="30"/>
      <c r="Z103" s="30"/>
      <c r="AA103" s="30"/>
      <c r="AB103" s="30"/>
    </row>
    <row r="104">
      <c r="A104" s="30"/>
      <c r="B104" s="30"/>
      <c r="C104" s="30"/>
      <c r="D104" s="30"/>
      <c r="E104" s="30"/>
      <c r="F104" s="292"/>
      <c r="G104" s="30"/>
      <c r="H104" s="30"/>
      <c r="I104" s="30"/>
      <c r="J104" s="30"/>
      <c r="K104" s="30"/>
      <c r="L104" s="30"/>
      <c r="M104" s="30"/>
      <c r="N104" s="30"/>
      <c r="O104" s="30"/>
      <c r="P104" s="30"/>
      <c r="Q104" s="30"/>
      <c r="R104" s="30"/>
      <c r="S104" s="195"/>
      <c r="T104" s="195"/>
      <c r="U104" s="195"/>
      <c r="V104" s="195"/>
      <c r="W104" s="30"/>
      <c r="X104" s="30"/>
      <c r="Y104" s="30"/>
      <c r="Z104" s="30"/>
      <c r="AA104" s="30"/>
      <c r="AB104" s="30"/>
    </row>
    <row r="105">
      <c r="A105" s="30"/>
      <c r="B105" s="30"/>
      <c r="C105" s="30"/>
      <c r="D105" s="30"/>
      <c r="E105" s="30"/>
      <c r="F105" s="292"/>
      <c r="G105" s="30"/>
      <c r="H105" s="30"/>
      <c r="I105" s="30"/>
      <c r="J105" s="30"/>
      <c r="K105" s="30"/>
      <c r="L105" s="30"/>
      <c r="M105" s="30"/>
      <c r="N105" s="30"/>
      <c r="O105" s="30"/>
      <c r="P105" s="30"/>
      <c r="Q105" s="30"/>
      <c r="R105" s="30"/>
      <c r="S105" s="195"/>
      <c r="T105" s="195"/>
      <c r="U105" s="195"/>
      <c r="V105" s="195"/>
      <c r="W105" s="30"/>
      <c r="X105" s="30"/>
      <c r="Y105" s="30"/>
      <c r="Z105" s="30"/>
      <c r="AA105" s="30"/>
      <c r="AB105" s="30"/>
    </row>
    <row r="106">
      <c r="A106" s="30"/>
      <c r="B106" s="30"/>
      <c r="C106" s="30"/>
      <c r="D106" s="30"/>
      <c r="E106" s="30"/>
      <c r="F106" s="292"/>
      <c r="G106" s="30"/>
      <c r="H106" s="30"/>
      <c r="I106" s="30"/>
      <c r="J106" s="30"/>
      <c r="K106" s="30"/>
      <c r="L106" s="30"/>
      <c r="M106" s="30"/>
      <c r="N106" s="30"/>
      <c r="O106" s="30"/>
      <c r="P106" s="30"/>
      <c r="Q106" s="30"/>
      <c r="R106" s="30"/>
      <c r="S106" s="195"/>
      <c r="T106" s="195"/>
      <c r="U106" s="195"/>
      <c r="V106" s="195"/>
      <c r="W106" s="30"/>
      <c r="X106" s="30"/>
      <c r="Y106" s="30"/>
      <c r="Z106" s="30"/>
      <c r="AA106" s="30"/>
      <c r="AB106" s="30"/>
    </row>
    <row r="107">
      <c r="A107" s="30"/>
      <c r="B107" s="30"/>
      <c r="C107" s="30"/>
      <c r="D107" s="30"/>
      <c r="E107" s="30"/>
      <c r="F107" s="292"/>
      <c r="G107" s="30"/>
      <c r="H107" s="30"/>
      <c r="I107" s="30"/>
      <c r="J107" s="30"/>
      <c r="K107" s="30"/>
      <c r="L107" s="30"/>
      <c r="M107" s="30"/>
      <c r="N107" s="30"/>
      <c r="O107" s="30"/>
      <c r="P107" s="30"/>
      <c r="Q107" s="30"/>
      <c r="R107" s="30"/>
      <c r="S107" s="195"/>
      <c r="T107" s="195"/>
      <c r="U107" s="195"/>
      <c r="V107" s="195"/>
      <c r="W107" s="30"/>
      <c r="X107" s="30"/>
      <c r="Y107" s="30"/>
      <c r="Z107" s="30"/>
      <c r="AA107" s="30"/>
      <c r="AB107" s="30"/>
    </row>
    <row r="108">
      <c r="A108" s="30"/>
      <c r="B108" s="30"/>
      <c r="C108" s="30"/>
      <c r="D108" s="30"/>
      <c r="E108" s="30"/>
      <c r="F108" s="292"/>
      <c r="G108" s="30"/>
      <c r="H108" s="30"/>
      <c r="I108" s="30"/>
      <c r="J108" s="30"/>
      <c r="K108" s="30"/>
      <c r="L108" s="30"/>
      <c r="M108" s="30"/>
      <c r="N108" s="30"/>
      <c r="O108" s="30"/>
      <c r="P108" s="30"/>
      <c r="Q108" s="30"/>
      <c r="R108" s="30"/>
      <c r="S108" s="195"/>
      <c r="T108" s="195"/>
      <c r="U108" s="195"/>
      <c r="V108" s="195"/>
      <c r="W108" s="30"/>
      <c r="X108" s="30"/>
      <c r="Y108" s="30"/>
      <c r="Z108" s="30"/>
      <c r="AA108" s="30"/>
      <c r="AB108" s="30"/>
    </row>
    <row r="109">
      <c r="A109" s="30"/>
      <c r="B109" s="30"/>
      <c r="C109" s="30"/>
      <c r="D109" s="30"/>
      <c r="E109" s="30"/>
      <c r="F109" s="292"/>
      <c r="G109" s="30"/>
      <c r="H109" s="30"/>
      <c r="I109" s="30"/>
      <c r="J109" s="30"/>
      <c r="K109" s="30"/>
      <c r="L109" s="30"/>
      <c r="M109" s="30"/>
      <c r="N109" s="30"/>
      <c r="O109" s="30"/>
      <c r="P109" s="30"/>
      <c r="Q109" s="30"/>
      <c r="R109" s="30"/>
      <c r="S109" s="195"/>
      <c r="T109" s="195"/>
      <c r="U109" s="195"/>
      <c r="V109" s="195"/>
      <c r="W109" s="30"/>
      <c r="X109" s="30"/>
      <c r="Y109" s="30"/>
      <c r="Z109" s="30"/>
      <c r="AA109" s="30"/>
      <c r="AB109" s="30"/>
    </row>
    <row r="110">
      <c r="A110" s="30"/>
      <c r="B110" s="30"/>
      <c r="C110" s="30"/>
      <c r="D110" s="30"/>
      <c r="E110" s="30"/>
      <c r="F110" s="292"/>
      <c r="G110" s="30"/>
      <c r="H110" s="30"/>
      <c r="I110" s="30"/>
      <c r="J110" s="30"/>
      <c r="K110" s="30"/>
      <c r="L110" s="30"/>
      <c r="M110" s="30"/>
      <c r="N110" s="30"/>
      <c r="O110" s="30"/>
      <c r="P110" s="30"/>
      <c r="Q110" s="30"/>
      <c r="R110" s="30"/>
      <c r="S110" s="195"/>
      <c r="T110" s="195"/>
      <c r="U110" s="195"/>
      <c r="V110" s="195"/>
      <c r="W110" s="30"/>
      <c r="X110" s="30"/>
      <c r="Y110" s="30"/>
      <c r="Z110" s="30"/>
      <c r="AA110" s="30"/>
      <c r="AB110" s="30"/>
    </row>
    <row r="111">
      <c r="A111" s="30"/>
      <c r="B111" s="30"/>
      <c r="C111" s="30"/>
      <c r="D111" s="30"/>
      <c r="E111" s="30"/>
      <c r="F111" s="292"/>
      <c r="G111" s="30"/>
      <c r="H111" s="30"/>
      <c r="I111" s="30"/>
      <c r="J111" s="30"/>
      <c r="K111" s="30"/>
      <c r="L111" s="30"/>
      <c r="M111" s="30"/>
      <c r="N111" s="30"/>
      <c r="O111" s="30"/>
      <c r="P111" s="30"/>
      <c r="Q111" s="30"/>
      <c r="R111" s="30"/>
      <c r="S111" s="195"/>
      <c r="T111" s="195"/>
      <c r="U111" s="195"/>
      <c r="V111" s="195"/>
      <c r="W111" s="30"/>
      <c r="X111" s="30"/>
      <c r="Y111" s="30"/>
      <c r="Z111" s="30"/>
      <c r="AA111" s="30"/>
      <c r="AB111" s="30"/>
    </row>
    <row r="112">
      <c r="A112" s="30"/>
      <c r="B112" s="30"/>
      <c r="C112" s="30"/>
      <c r="D112" s="30"/>
      <c r="E112" s="30"/>
      <c r="F112" s="292"/>
      <c r="G112" s="30"/>
      <c r="H112" s="30"/>
      <c r="I112" s="30"/>
      <c r="J112" s="30"/>
      <c r="K112" s="30"/>
      <c r="L112" s="30"/>
      <c r="M112" s="30"/>
      <c r="N112" s="30"/>
      <c r="O112" s="30"/>
      <c r="P112" s="30"/>
      <c r="Q112" s="30"/>
      <c r="R112" s="30"/>
      <c r="S112" s="195"/>
      <c r="T112" s="195"/>
      <c r="U112" s="195"/>
      <c r="V112" s="195"/>
      <c r="W112" s="30"/>
      <c r="X112" s="30"/>
      <c r="Y112" s="30"/>
      <c r="Z112" s="30"/>
      <c r="AA112" s="30"/>
      <c r="AB112" s="30"/>
    </row>
    <row r="113">
      <c r="A113" s="30"/>
      <c r="B113" s="30"/>
      <c r="C113" s="30"/>
      <c r="D113" s="30"/>
      <c r="E113" s="30"/>
      <c r="F113" s="292"/>
      <c r="G113" s="30"/>
      <c r="H113" s="30"/>
      <c r="I113" s="30"/>
      <c r="J113" s="30"/>
      <c r="K113" s="30"/>
      <c r="L113" s="30"/>
      <c r="M113" s="30"/>
      <c r="N113" s="30"/>
      <c r="O113" s="30"/>
      <c r="P113" s="30"/>
      <c r="Q113" s="30"/>
      <c r="R113" s="30"/>
      <c r="S113" s="195"/>
      <c r="T113" s="195"/>
      <c r="U113" s="195"/>
      <c r="V113" s="195"/>
      <c r="W113" s="30"/>
      <c r="X113" s="30"/>
      <c r="Y113" s="30"/>
      <c r="Z113" s="30"/>
      <c r="AA113" s="30"/>
      <c r="AB113" s="30"/>
    </row>
    <row r="114">
      <c r="A114" s="30"/>
      <c r="B114" s="30"/>
      <c r="C114" s="30"/>
      <c r="D114" s="30"/>
      <c r="E114" s="30"/>
      <c r="F114" s="292"/>
      <c r="G114" s="30"/>
      <c r="H114" s="30"/>
      <c r="I114" s="30"/>
      <c r="J114" s="30"/>
      <c r="K114" s="30"/>
      <c r="L114" s="30"/>
      <c r="M114" s="30"/>
      <c r="N114" s="30"/>
      <c r="O114" s="30"/>
      <c r="P114" s="30"/>
      <c r="Q114" s="30"/>
      <c r="R114" s="30"/>
      <c r="S114" s="195"/>
      <c r="T114" s="195"/>
      <c r="U114" s="195"/>
      <c r="V114" s="195"/>
      <c r="W114" s="30"/>
      <c r="X114" s="30"/>
      <c r="Y114" s="30"/>
      <c r="Z114" s="30"/>
      <c r="AA114" s="30"/>
      <c r="AB114" s="30"/>
    </row>
    <row r="115">
      <c r="A115" s="30"/>
      <c r="B115" s="30"/>
      <c r="C115" s="30"/>
      <c r="D115" s="30"/>
      <c r="E115" s="30"/>
      <c r="F115" s="292"/>
      <c r="G115" s="30"/>
      <c r="H115" s="30"/>
      <c r="I115" s="30"/>
      <c r="J115" s="30"/>
      <c r="K115" s="30"/>
      <c r="L115" s="30"/>
      <c r="M115" s="30"/>
      <c r="N115" s="30"/>
      <c r="O115" s="30"/>
      <c r="P115" s="30"/>
      <c r="Q115" s="30"/>
      <c r="R115" s="30"/>
      <c r="S115" s="195"/>
      <c r="T115" s="195"/>
      <c r="U115" s="195"/>
      <c r="V115" s="195"/>
      <c r="W115" s="30"/>
      <c r="X115" s="30"/>
      <c r="Y115" s="30"/>
      <c r="Z115" s="30"/>
      <c r="AA115" s="30"/>
      <c r="AB115" s="30"/>
    </row>
    <row r="116">
      <c r="A116" s="30"/>
      <c r="B116" s="30"/>
      <c r="C116" s="30"/>
      <c r="D116" s="30"/>
      <c r="E116" s="30"/>
      <c r="F116" s="292"/>
      <c r="G116" s="30"/>
      <c r="H116" s="30"/>
      <c r="I116" s="30"/>
      <c r="J116" s="30"/>
      <c r="K116" s="30"/>
      <c r="L116" s="30"/>
      <c r="M116" s="30"/>
      <c r="N116" s="30"/>
      <c r="O116" s="30"/>
      <c r="P116" s="30"/>
      <c r="Q116" s="30"/>
      <c r="R116" s="30"/>
      <c r="S116" s="195"/>
      <c r="T116" s="195"/>
      <c r="U116" s="195"/>
      <c r="V116" s="195"/>
      <c r="W116" s="30"/>
      <c r="X116" s="30"/>
      <c r="Y116" s="30"/>
      <c r="Z116" s="30"/>
      <c r="AA116" s="30"/>
      <c r="AB116" s="30"/>
    </row>
    <row r="117">
      <c r="A117" s="30"/>
      <c r="B117" s="30"/>
      <c r="C117" s="30"/>
      <c r="D117" s="30"/>
      <c r="E117" s="30"/>
      <c r="F117" s="292"/>
      <c r="G117" s="30"/>
      <c r="H117" s="30"/>
      <c r="I117" s="30"/>
      <c r="J117" s="30"/>
      <c r="K117" s="30"/>
      <c r="L117" s="30"/>
      <c r="M117" s="30"/>
      <c r="N117" s="30"/>
      <c r="O117" s="30"/>
      <c r="P117" s="30"/>
      <c r="Q117" s="30"/>
      <c r="R117" s="30"/>
      <c r="S117" s="195"/>
      <c r="T117" s="195"/>
      <c r="U117" s="195"/>
      <c r="V117" s="195"/>
      <c r="W117" s="30"/>
      <c r="X117" s="30"/>
      <c r="Y117" s="30"/>
      <c r="Z117" s="30"/>
      <c r="AA117" s="30"/>
      <c r="AB117" s="30"/>
    </row>
    <row r="118">
      <c r="A118" s="30"/>
      <c r="B118" s="30"/>
      <c r="C118" s="30"/>
      <c r="D118" s="30"/>
      <c r="E118" s="30"/>
      <c r="F118" s="292"/>
      <c r="G118" s="30"/>
      <c r="H118" s="30"/>
      <c r="I118" s="30"/>
      <c r="J118" s="30"/>
      <c r="K118" s="30"/>
      <c r="L118" s="30"/>
      <c r="M118" s="30"/>
      <c r="N118" s="30"/>
      <c r="O118" s="30"/>
      <c r="P118" s="30"/>
      <c r="Q118" s="30"/>
      <c r="R118" s="30"/>
      <c r="S118" s="195"/>
      <c r="T118" s="195"/>
      <c r="U118" s="195"/>
      <c r="V118" s="195"/>
      <c r="W118" s="30"/>
      <c r="X118" s="30"/>
      <c r="Y118" s="30"/>
      <c r="Z118" s="30"/>
      <c r="AA118" s="30"/>
      <c r="AB118" s="30"/>
    </row>
    <row r="119">
      <c r="A119" s="30"/>
      <c r="B119" s="30"/>
      <c r="C119" s="30"/>
      <c r="D119" s="30"/>
      <c r="E119" s="30"/>
      <c r="F119" s="292"/>
      <c r="G119" s="30"/>
      <c r="H119" s="30"/>
      <c r="I119" s="30"/>
      <c r="J119" s="30"/>
      <c r="K119" s="30"/>
      <c r="L119" s="30"/>
      <c r="M119" s="30"/>
      <c r="N119" s="30"/>
      <c r="O119" s="30"/>
      <c r="P119" s="30"/>
      <c r="Q119" s="30"/>
      <c r="R119" s="30"/>
      <c r="S119" s="195"/>
      <c r="T119" s="195"/>
      <c r="U119" s="195"/>
      <c r="V119" s="195"/>
      <c r="W119" s="30"/>
      <c r="X119" s="30"/>
      <c r="Y119" s="30"/>
      <c r="Z119" s="30"/>
      <c r="AA119" s="30"/>
      <c r="AB119" s="30"/>
    </row>
    <row r="120">
      <c r="A120" s="30"/>
      <c r="B120" s="30"/>
      <c r="C120" s="30"/>
      <c r="D120" s="30"/>
      <c r="E120" s="30"/>
      <c r="F120" s="292"/>
      <c r="G120" s="30"/>
      <c r="H120" s="30"/>
      <c r="I120" s="30"/>
      <c r="J120" s="30"/>
      <c r="K120" s="30"/>
      <c r="L120" s="30"/>
      <c r="M120" s="30"/>
      <c r="N120" s="30"/>
      <c r="O120" s="30"/>
      <c r="P120" s="30"/>
      <c r="Q120" s="30"/>
      <c r="R120" s="30"/>
      <c r="S120" s="195"/>
      <c r="T120" s="195"/>
      <c r="U120" s="195"/>
      <c r="V120" s="195"/>
      <c r="W120" s="30"/>
      <c r="X120" s="30"/>
      <c r="Y120" s="30"/>
      <c r="Z120" s="30"/>
      <c r="AA120" s="30"/>
      <c r="AB120" s="30"/>
    </row>
    <row r="121">
      <c r="A121" s="30"/>
      <c r="B121" s="30"/>
      <c r="C121" s="30"/>
      <c r="D121" s="30"/>
      <c r="E121" s="30"/>
      <c r="F121" s="292"/>
      <c r="G121" s="30"/>
      <c r="H121" s="30"/>
      <c r="I121" s="30"/>
      <c r="J121" s="30"/>
      <c r="K121" s="30"/>
      <c r="L121" s="30"/>
      <c r="M121" s="30"/>
      <c r="N121" s="30"/>
      <c r="O121" s="30"/>
      <c r="P121" s="30"/>
      <c r="Q121" s="30"/>
      <c r="R121" s="30"/>
      <c r="S121" s="195"/>
      <c r="T121" s="195"/>
      <c r="U121" s="195"/>
      <c r="V121" s="195"/>
      <c r="W121" s="30"/>
      <c r="X121" s="30"/>
      <c r="Y121" s="30"/>
      <c r="Z121" s="30"/>
      <c r="AA121" s="30"/>
      <c r="AB121" s="30"/>
    </row>
    <row r="122">
      <c r="A122" s="30"/>
      <c r="B122" s="30"/>
      <c r="C122" s="30"/>
      <c r="D122" s="30"/>
      <c r="E122" s="30"/>
      <c r="F122" s="292"/>
      <c r="G122" s="30"/>
      <c r="H122" s="30"/>
      <c r="I122" s="30"/>
      <c r="J122" s="30"/>
      <c r="K122" s="30"/>
      <c r="L122" s="30"/>
      <c r="M122" s="30"/>
      <c r="N122" s="30"/>
      <c r="O122" s="30"/>
      <c r="P122" s="30"/>
      <c r="Q122" s="30"/>
      <c r="R122" s="30"/>
      <c r="S122" s="195"/>
      <c r="T122" s="195"/>
      <c r="U122" s="195"/>
      <c r="V122" s="195"/>
      <c r="W122" s="30"/>
      <c r="X122" s="30"/>
      <c r="Y122" s="30"/>
      <c r="Z122" s="30"/>
      <c r="AA122" s="30"/>
      <c r="AB122" s="30"/>
    </row>
    <row r="123">
      <c r="A123" s="30"/>
      <c r="B123" s="30"/>
      <c r="C123" s="30"/>
      <c r="D123" s="30"/>
      <c r="E123" s="30"/>
      <c r="F123" s="292"/>
      <c r="G123" s="30"/>
      <c r="H123" s="30"/>
      <c r="I123" s="30"/>
      <c r="J123" s="30"/>
      <c r="K123" s="30"/>
      <c r="L123" s="30"/>
      <c r="M123" s="30"/>
      <c r="N123" s="30"/>
      <c r="O123" s="30"/>
      <c r="P123" s="30"/>
      <c r="Q123" s="30"/>
      <c r="R123" s="30"/>
      <c r="S123" s="195"/>
      <c r="T123" s="195"/>
      <c r="U123" s="195"/>
      <c r="V123" s="195"/>
      <c r="W123" s="30"/>
      <c r="X123" s="30"/>
      <c r="Y123" s="30"/>
      <c r="Z123" s="30"/>
      <c r="AA123" s="30"/>
      <c r="AB123" s="30"/>
    </row>
    <row r="124">
      <c r="A124" s="30"/>
      <c r="B124" s="30"/>
      <c r="C124" s="30"/>
      <c r="D124" s="30"/>
      <c r="E124" s="30"/>
      <c r="F124" s="292"/>
      <c r="G124" s="30"/>
      <c r="H124" s="30"/>
      <c r="I124" s="30"/>
      <c r="J124" s="30"/>
      <c r="K124" s="30"/>
      <c r="L124" s="30"/>
      <c r="M124" s="30"/>
      <c r="N124" s="30"/>
      <c r="O124" s="30"/>
      <c r="P124" s="30"/>
      <c r="Q124" s="30"/>
      <c r="R124" s="30"/>
      <c r="S124" s="195"/>
      <c r="T124" s="195"/>
      <c r="U124" s="195"/>
      <c r="V124" s="195"/>
      <c r="W124" s="30"/>
      <c r="X124" s="30"/>
      <c r="Y124" s="30"/>
      <c r="Z124" s="30"/>
      <c r="AA124" s="30"/>
      <c r="AB124" s="30"/>
    </row>
    <row r="125">
      <c r="A125" s="30"/>
      <c r="B125" s="30"/>
      <c r="C125" s="30"/>
      <c r="D125" s="30"/>
      <c r="E125" s="30"/>
      <c r="F125" s="292"/>
      <c r="G125" s="30"/>
      <c r="H125" s="30"/>
      <c r="I125" s="30"/>
      <c r="J125" s="30"/>
      <c r="K125" s="30"/>
      <c r="L125" s="30"/>
      <c r="M125" s="30"/>
      <c r="N125" s="30"/>
      <c r="O125" s="30"/>
      <c r="P125" s="30"/>
      <c r="Q125" s="30"/>
      <c r="R125" s="30"/>
      <c r="S125" s="195"/>
      <c r="T125" s="195"/>
      <c r="U125" s="195"/>
      <c r="V125" s="195"/>
      <c r="W125" s="30"/>
      <c r="X125" s="30"/>
      <c r="Y125" s="30"/>
      <c r="Z125" s="30"/>
      <c r="AA125" s="30"/>
      <c r="AB125" s="30"/>
    </row>
    <row r="126">
      <c r="A126" s="30"/>
      <c r="B126" s="30"/>
      <c r="C126" s="30"/>
      <c r="D126" s="30"/>
      <c r="E126" s="30"/>
      <c r="F126" s="292"/>
      <c r="G126" s="30"/>
      <c r="H126" s="30"/>
      <c r="I126" s="30"/>
      <c r="J126" s="30"/>
      <c r="K126" s="30"/>
      <c r="L126" s="30"/>
      <c r="M126" s="30"/>
      <c r="N126" s="30"/>
      <c r="O126" s="30"/>
      <c r="P126" s="30"/>
      <c r="Q126" s="30"/>
      <c r="R126" s="30"/>
      <c r="S126" s="195"/>
      <c r="T126" s="195"/>
      <c r="U126" s="195"/>
      <c r="V126" s="195"/>
      <c r="W126" s="30"/>
      <c r="X126" s="30"/>
      <c r="Y126" s="30"/>
      <c r="Z126" s="30"/>
      <c r="AA126" s="30"/>
      <c r="AB126" s="30"/>
    </row>
    <row r="127">
      <c r="A127" s="30"/>
      <c r="B127" s="30"/>
      <c r="C127" s="30"/>
      <c r="D127" s="30"/>
      <c r="E127" s="30"/>
      <c r="F127" s="292"/>
      <c r="G127" s="30"/>
      <c r="H127" s="30"/>
      <c r="I127" s="30"/>
      <c r="J127" s="30"/>
      <c r="K127" s="30"/>
      <c r="L127" s="30"/>
      <c r="M127" s="30"/>
      <c r="N127" s="30"/>
      <c r="O127" s="30"/>
      <c r="P127" s="30"/>
      <c r="Q127" s="30"/>
      <c r="R127" s="30"/>
      <c r="S127" s="195"/>
      <c r="T127" s="195"/>
      <c r="U127" s="195"/>
      <c r="V127" s="195"/>
      <c r="W127" s="30"/>
      <c r="X127" s="30"/>
      <c r="Y127" s="30"/>
      <c r="Z127" s="30"/>
      <c r="AA127" s="30"/>
      <c r="AB127" s="30"/>
    </row>
    <row r="128">
      <c r="A128" s="30"/>
      <c r="B128" s="30"/>
      <c r="C128" s="30"/>
      <c r="D128" s="30"/>
      <c r="E128" s="30"/>
      <c r="F128" s="292"/>
      <c r="G128" s="30"/>
      <c r="H128" s="30"/>
      <c r="I128" s="30"/>
      <c r="J128" s="30"/>
      <c r="K128" s="30"/>
      <c r="L128" s="30"/>
      <c r="M128" s="30"/>
      <c r="N128" s="30"/>
      <c r="O128" s="30"/>
      <c r="P128" s="30"/>
      <c r="Q128" s="30"/>
      <c r="R128" s="30"/>
      <c r="S128" s="195"/>
      <c r="T128" s="195"/>
      <c r="U128" s="195"/>
      <c r="V128" s="195"/>
      <c r="W128" s="30"/>
      <c r="X128" s="30"/>
      <c r="Y128" s="30"/>
      <c r="Z128" s="30"/>
      <c r="AA128" s="30"/>
      <c r="AB128" s="30"/>
    </row>
    <row r="129">
      <c r="A129" s="30"/>
      <c r="B129" s="30"/>
      <c r="C129" s="30"/>
      <c r="D129" s="30"/>
      <c r="E129" s="30"/>
      <c r="F129" s="292"/>
      <c r="G129" s="30"/>
      <c r="H129" s="30"/>
      <c r="I129" s="30"/>
      <c r="J129" s="30"/>
      <c r="K129" s="30"/>
      <c r="L129" s="30"/>
      <c r="M129" s="30"/>
      <c r="N129" s="30"/>
      <c r="O129" s="30"/>
      <c r="P129" s="30"/>
      <c r="Q129" s="30"/>
      <c r="R129" s="30"/>
      <c r="S129" s="195"/>
      <c r="T129" s="195"/>
      <c r="U129" s="195"/>
      <c r="V129" s="195"/>
      <c r="W129" s="30"/>
      <c r="X129" s="30"/>
      <c r="Y129" s="30"/>
      <c r="Z129" s="30"/>
      <c r="AA129" s="30"/>
      <c r="AB129" s="30"/>
    </row>
    <row r="130">
      <c r="A130" s="30"/>
      <c r="B130" s="30"/>
      <c r="C130" s="30"/>
      <c r="D130" s="30"/>
      <c r="E130" s="30"/>
      <c r="F130" s="292"/>
      <c r="G130" s="30"/>
      <c r="H130" s="30"/>
      <c r="I130" s="30"/>
      <c r="J130" s="30"/>
      <c r="K130" s="30"/>
      <c r="L130" s="30"/>
      <c r="M130" s="30"/>
      <c r="N130" s="30"/>
      <c r="O130" s="30"/>
      <c r="P130" s="30"/>
      <c r="Q130" s="30"/>
      <c r="R130" s="30"/>
      <c r="S130" s="195"/>
      <c r="T130" s="195"/>
      <c r="U130" s="195"/>
      <c r="V130" s="195"/>
      <c r="W130" s="30"/>
      <c r="X130" s="30"/>
      <c r="Y130" s="30"/>
      <c r="Z130" s="30"/>
      <c r="AA130" s="30"/>
      <c r="AB130" s="30"/>
    </row>
    <row r="131">
      <c r="A131" s="30"/>
      <c r="B131" s="30"/>
      <c r="C131" s="30"/>
      <c r="D131" s="30"/>
      <c r="E131" s="30"/>
      <c r="F131" s="292"/>
      <c r="G131" s="30"/>
      <c r="H131" s="30"/>
      <c r="I131" s="30"/>
      <c r="J131" s="30"/>
      <c r="K131" s="30"/>
      <c r="L131" s="30"/>
      <c r="M131" s="30"/>
      <c r="N131" s="30"/>
      <c r="O131" s="30"/>
      <c r="P131" s="30"/>
      <c r="Q131" s="30"/>
      <c r="R131" s="30"/>
      <c r="S131" s="195"/>
      <c r="T131" s="195"/>
      <c r="U131" s="195"/>
      <c r="V131" s="195"/>
      <c r="W131" s="30"/>
      <c r="X131" s="30"/>
      <c r="Y131" s="30"/>
      <c r="Z131" s="30"/>
      <c r="AA131" s="30"/>
      <c r="AB131" s="30"/>
    </row>
    <row r="132">
      <c r="A132" s="30"/>
      <c r="B132" s="30"/>
      <c r="C132" s="30"/>
      <c r="D132" s="30"/>
      <c r="E132" s="30"/>
      <c r="F132" s="292"/>
      <c r="G132" s="30"/>
      <c r="H132" s="30"/>
      <c r="I132" s="30"/>
      <c r="J132" s="30"/>
      <c r="K132" s="30"/>
      <c r="L132" s="30"/>
      <c r="M132" s="30"/>
      <c r="N132" s="30"/>
      <c r="O132" s="30"/>
      <c r="P132" s="30"/>
      <c r="Q132" s="30"/>
      <c r="R132" s="30"/>
      <c r="S132" s="195"/>
      <c r="T132" s="195"/>
      <c r="U132" s="195"/>
      <c r="V132" s="195"/>
      <c r="W132" s="30"/>
      <c r="X132" s="30"/>
      <c r="Y132" s="30"/>
      <c r="Z132" s="30"/>
      <c r="AA132" s="30"/>
      <c r="AB132" s="30"/>
    </row>
    <row r="133">
      <c r="A133" s="30"/>
      <c r="B133" s="30"/>
      <c r="C133" s="30"/>
      <c r="D133" s="30"/>
      <c r="E133" s="30"/>
      <c r="F133" s="292"/>
      <c r="G133" s="30"/>
      <c r="H133" s="30"/>
      <c r="I133" s="30"/>
      <c r="J133" s="30"/>
      <c r="K133" s="30"/>
      <c r="L133" s="30"/>
      <c r="M133" s="30"/>
      <c r="N133" s="30"/>
      <c r="O133" s="30"/>
      <c r="P133" s="30"/>
      <c r="Q133" s="30"/>
      <c r="R133" s="30"/>
      <c r="S133" s="195"/>
      <c r="T133" s="195"/>
      <c r="U133" s="195"/>
      <c r="V133" s="195"/>
      <c r="W133" s="30"/>
      <c r="X133" s="30"/>
      <c r="Y133" s="30"/>
      <c r="Z133" s="30"/>
      <c r="AA133" s="30"/>
      <c r="AB133" s="30"/>
    </row>
    <row r="134">
      <c r="A134" s="30"/>
      <c r="B134" s="30"/>
      <c r="C134" s="30"/>
      <c r="D134" s="30"/>
      <c r="E134" s="30"/>
      <c r="F134" s="292"/>
      <c r="G134" s="30"/>
      <c r="H134" s="30"/>
      <c r="I134" s="30"/>
      <c r="J134" s="30"/>
      <c r="K134" s="30"/>
      <c r="L134" s="30"/>
      <c r="M134" s="30"/>
      <c r="N134" s="30"/>
      <c r="O134" s="30"/>
      <c r="P134" s="30"/>
      <c r="Q134" s="30"/>
      <c r="R134" s="30"/>
      <c r="S134" s="195"/>
      <c r="T134" s="195"/>
      <c r="U134" s="195"/>
      <c r="V134" s="195"/>
      <c r="W134" s="30"/>
      <c r="X134" s="30"/>
      <c r="Y134" s="30"/>
      <c r="Z134" s="30"/>
      <c r="AA134" s="30"/>
      <c r="AB134" s="30"/>
    </row>
    <row r="135">
      <c r="A135" s="30"/>
      <c r="B135" s="30"/>
      <c r="C135" s="30"/>
      <c r="D135" s="30"/>
      <c r="E135" s="30"/>
      <c r="F135" s="292"/>
      <c r="G135" s="30"/>
      <c r="H135" s="30"/>
      <c r="I135" s="30"/>
      <c r="J135" s="30"/>
      <c r="K135" s="30"/>
      <c r="L135" s="30"/>
      <c r="M135" s="30"/>
      <c r="N135" s="30"/>
      <c r="O135" s="30"/>
      <c r="P135" s="30"/>
      <c r="Q135" s="30"/>
      <c r="R135" s="30"/>
      <c r="S135" s="195"/>
      <c r="T135" s="195"/>
      <c r="U135" s="195"/>
      <c r="V135" s="195"/>
      <c r="W135" s="30"/>
      <c r="X135" s="30"/>
      <c r="Y135" s="30"/>
      <c r="Z135" s="30"/>
      <c r="AA135" s="30"/>
      <c r="AB135" s="30"/>
    </row>
    <row r="136">
      <c r="A136" s="30"/>
      <c r="B136" s="30"/>
      <c r="C136" s="30"/>
      <c r="D136" s="30"/>
      <c r="E136" s="30"/>
      <c r="F136" s="292"/>
      <c r="G136" s="30"/>
      <c r="H136" s="30"/>
      <c r="I136" s="30"/>
      <c r="J136" s="30"/>
      <c r="K136" s="30"/>
      <c r="L136" s="30"/>
      <c r="M136" s="30"/>
      <c r="N136" s="30"/>
      <c r="O136" s="30"/>
      <c r="P136" s="30"/>
      <c r="Q136" s="30"/>
      <c r="R136" s="30"/>
      <c r="S136" s="195"/>
      <c r="T136" s="195"/>
      <c r="U136" s="195"/>
      <c r="V136" s="195"/>
      <c r="W136" s="30"/>
      <c r="X136" s="30"/>
      <c r="Y136" s="30"/>
      <c r="Z136" s="30"/>
      <c r="AA136" s="30"/>
      <c r="AB136" s="30"/>
    </row>
    <row r="137">
      <c r="A137" s="30"/>
      <c r="B137" s="30"/>
      <c r="C137" s="30"/>
      <c r="D137" s="30"/>
      <c r="E137" s="30"/>
      <c r="F137" s="292"/>
      <c r="G137" s="30"/>
      <c r="H137" s="30"/>
      <c r="I137" s="30"/>
      <c r="J137" s="30"/>
      <c r="K137" s="30"/>
      <c r="L137" s="30"/>
      <c r="M137" s="30"/>
      <c r="N137" s="30"/>
      <c r="O137" s="30"/>
      <c r="P137" s="30"/>
      <c r="Q137" s="30"/>
      <c r="R137" s="30"/>
      <c r="S137" s="195"/>
      <c r="T137" s="195"/>
      <c r="U137" s="195"/>
      <c r="V137" s="195"/>
      <c r="W137" s="30"/>
      <c r="X137" s="30"/>
      <c r="Y137" s="30"/>
      <c r="Z137" s="30"/>
      <c r="AA137" s="30"/>
      <c r="AB137" s="30"/>
    </row>
    <row r="138">
      <c r="A138" s="30"/>
      <c r="B138" s="30"/>
      <c r="C138" s="30"/>
      <c r="D138" s="30"/>
      <c r="E138" s="30"/>
      <c r="F138" s="292"/>
      <c r="G138" s="30"/>
      <c r="H138" s="30"/>
      <c r="I138" s="30"/>
      <c r="J138" s="30"/>
      <c r="K138" s="30"/>
      <c r="L138" s="30"/>
      <c r="M138" s="30"/>
      <c r="N138" s="30"/>
      <c r="O138" s="30"/>
      <c r="P138" s="30"/>
      <c r="Q138" s="30"/>
      <c r="R138" s="30"/>
      <c r="S138" s="195"/>
      <c r="T138" s="195"/>
      <c r="U138" s="195"/>
      <c r="V138" s="195"/>
      <c r="W138" s="30"/>
      <c r="X138" s="30"/>
      <c r="Y138" s="30"/>
      <c r="Z138" s="30"/>
      <c r="AA138" s="30"/>
      <c r="AB138" s="30"/>
    </row>
    <row r="139">
      <c r="A139" s="30"/>
      <c r="B139" s="30"/>
      <c r="C139" s="30"/>
      <c r="D139" s="30"/>
      <c r="E139" s="30"/>
      <c r="F139" s="292"/>
      <c r="G139" s="30"/>
      <c r="H139" s="30"/>
      <c r="I139" s="30"/>
      <c r="J139" s="30"/>
      <c r="K139" s="30"/>
      <c r="L139" s="30"/>
      <c r="M139" s="30"/>
      <c r="N139" s="30"/>
      <c r="O139" s="30"/>
      <c r="P139" s="30"/>
      <c r="Q139" s="30"/>
      <c r="R139" s="30"/>
      <c r="S139" s="195"/>
      <c r="T139" s="195"/>
      <c r="U139" s="195"/>
      <c r="V139" s="195"/>
      <c r="W139" s="30"/>
      <c r="X139" s="30"/>
      <c r="Y139" s="30"/>
      <c r="Z139" s="30"/>
      <c r="AA139" s="30"/>
      <c r="AB139" s="30"/>
    </row>
    <row r="140">
      <c r="A140" s="30"/>
      <c r="B140" s="30"/>
      <c r="C140" s="30"/>
      <c r="D140" s="30"/>
      <c r="E140" s="30"/>
      <c r="F140" s="292"/>
      <c r="G140" s="30"/>
      <c r="H140" s="30"/>
      <c r="I140" s="30"/>
      <c r="J140" s="30"/>
      <c r="K140" s="30"/>
      <c r="L140" s="30"/>
      <c r="M140" s="30"/>
      <c r="N140" s="30"/>
      <c r="O140" s="30"/>
      <c r="P140" s="30"/>
      <c r="Q140" s="30"/>
      <c r="R140" s="30"/>
      <c r="S140" s="195"/>
      <c r="T140" s="195"/>
      <c r="U140" s="195"/>
      <c r="V140" s="195"/>
      <c r="W140" s="30"/>
      <c r="X140" s="30"/>
      <c r="Y140" s="30"/>
      <c r="Z140" s="30"/>
      <c r="AA140" s="30"/>
      <c r="AB140" s="30"/>
    </row>
    <row r="141">
      <c r="A141" s="30"/>
      <c r="B141" s="30"/>
      <c r="C141" s="30"/>
      <c r="D141" s="30"/>
      <c r="E141" s="30"/>
      <c r="F141" s="292"/>
      <c r="G141" s="30"/>
      <c r="H141" s="30"/>
      <c r="I141" s="30"/>
      <c r="J141" s="30"/>
      <c r="K141" s="30"/>
      <c r="L141" s="30"/>
      <c r="M141" s="30"/>
      <c r="N141" s="30"/>
      <c r="O141" s="30"/>
      <c r="P141" s="30"/>
      <c r="Q141" s="30"/>
      <c r="R141" s="30"/>
      <c r="S141" s="195"/>
      <c r="T141" s="195"/>
      <c r="U141" s="195"/>
      <c r="V141" s="195"/>
      <c r="W141" s="30"/>
      <c r="X141" s="30"/>
      <c r="Y141" s="30"/>
      <c r="Z141" s="30"/>
      <c r="AA141" s="30"/>
      <c r="AB141" s="30"/>
    </row>
    <row r="142">
      <c r="A142" s="30"/>
      <c r="B142" s="30"/>
      <c r="C142" s="30"/>
      <c r="D142" s="30"/>
      <c r="E142" s="30"/>
      <c r="F142" s="292"/>
      <c r="G142" s="30"/>
      <c r="H142" s="30"/>
      <c r="I142" s="30"/>
      <c r="J142" s="30"/>
      <c r="K142" s="30"/>
      <c r="L142" s="30"/>
      <c r="M142" s="30"/>
      <c r="N142" s="30"/>
      <c r="O142" s="30"/>
      <c r="P142" s="30"/>
      <c r="Q142" s="30"/>
      <c r="R142" s="30"/>
      <c r="S142" s="195"/>
      <c r="T142" s="195"/>
      <c r="U142" s="195"/>
      <c r="V142" s="195"/>
      <c r="W142" s="30"/>
      <c r="X142" s="30"/>
      <c r="Y142" s="30"/>
      <c r="Z142" s="30"/>
      <c r="AA142" s="30"/>
      <c r="AB142" s="30"/>
    </row>
    <row r="143">
      <c r="A143" s="30"/>
      <c r="B143" s="30"/>
      <c r="C143" s="30"/>
      <c r="D143" s="30"/>
      <c r="E143" s="30"/>
      <c r="F143" s="292"/>
      <c r="G143" s="30"/>
      <c r="H143" s="30"/>
      <c r="I143" s="30"/>
      <c r="J143" s="30"/>
      <c r="K143" s="30"/>
      <c r="L143" s="30"/>
      <c r="M143" s="30"/>
      <c r="N143" s="30"/>
      <c r="O143" s="30"/>
      <c r="P143" s="30"/>
      <c r="Q143" s="30"/>
      <c r="R143" s="30"/>
      <c r="S143" s="195"/>
      <c r="T143" s="195"/>
      <c r="U143" s="195"/>
      <c r="V143" s="195"/>
      <c r="W143" s="30"/>
      <c r="X143" s="30"/>
      <c r="Y143" s="30"/>
      <c r="Z143" s="30"/>
      <c r="AA143" s="30"/>
      <c r="AB143" s="30"/>
    </row>
    <row r="144">
      <c r="A144" s="30"/>
      <c r="B144" s="30"/>
      <c r="C144" s="30"/>
      <c r="D144" s="30"/>
      <c r="E144" s="30"/>
      <c r="F144" s="292"/>
      <c r="G144" s="30"/>
      <c r="H144" s="30"/>
      <c r="I144" s="30"/>
      <c r="J144" s="30"/>
      <c r="K144" s="30"/>
      <c r="L144" s="30"/>
      <c r="M144" s="30"/>
      <c r="N144" s="30"/>
      <c r="O144" s="30"/>
      <c r="P144" s="30"/>
      <c r="Q144" s="30"/>
      <c r="R144" s="30"/>
      <c r="S144" s="195"/>
      <c r="T144" s="195"/>
      <c r="U144" s="195"/>
      <c r="V144" s="195"/>
      <c r="W144" s="30"/>
      <c r="X144" s="30"/>
      <c r="Y144" s="30"/>
      <c r="Z144" s="30"/>
      <c r="AA144" s="30"/>
      <c r="AB144" s="30"/>
    </row>
    <row r="145">
      <c r="A145" s="30"/>
      <c r="B145" s="30"/>
      <c r="C145" s="30"/>
      <c r="D145" s="30"/>
      <c r="E145" s="30"/>
      <c r="F145" s="292"/>
      <c r="G145" s="30"/>
      <c r="H145" s="30"/>
      <c r="I145" s="30"/>
      <c r="J145" s="30"/>
      <c r="K145" s="30"/>
      <c r="L145" s="30"/>
      <c r="M145" s="30"/>
      <c r="N145" s="30"/>
      <c r="O145" s="30"/>
      <c r="P145" s="30"/>
      <c r="Q145" s="30"/>
      <c r="R145" s="30"/>
      <c r="S145" s="195"/>
      <c r="T145" s="195"/>
      <c r="U145" s="195"/>
      <c r="V145" s="195"/>
      <c r="W145" s="30"/>
      <c r="X145" s="30"/>
      <c r="Y145" s="30"/>
      <c r="Z145" s="30"/>
      <c r="AA145" s="30"/>
      <c r="AB145" s="30"/>
    </row>
    <row r="146">
      <c r="A146" s="30"/>
      <c r="B146" s="30"/>
      <c r="C146" s="30"/>
      <c r="D146" s="30"/>
      <c r="E146" s="30"/>
      <c r="F146" s="292"/>
      <c r="G146" s="30"/>
      <c r="H146" s="30"/>
      <c r="I146" s="30"/>
      <c r="J146" s="30"/>
      <c r="K146" s="30"/>
      <c r="L146" s="30"/>
      <c r="M146" s="30"/>
      <c r="N146" s="30"/>
      <c r="O146" s="30"/>
      <c r="P146" s="30"/>
      <c r="Q146" s="30"/>
      <c r="R146" s="30"/>
      <c r="S146" s="195"/>
      <c r="T146" s="195"/>
      <c r="U146" s="195"/>
      <c r="V146" s="195"/>
      <c r="W146" s="30"/>
      <c r="X146" s="30"/>
      <c r="Y146" s="30"/>
      <c r="Z146" s="30"/>
      <c r="AA146" s="30"/>
      <c r="AB146" s="30"/>
    </row>
    <row r="147">
      <c r="A147" s="30"/>
      <c r="B147" s="30"/>
      <c r="C147" s="30"/>
      <c r="D147" s="30"/>
      <c r="E147" s="30"/>
      <c r="F147" s="292"/>
      <c r="G147" s="30"/>
      <c r="H147" s="30"/>
      <c r="I147" s="30"/>
      <c r="J147" s="30"/>
      <c r="K147" s="30"/>
      <c r="L147" s="30"/>
      <c r="M147" s="30"/>
      <c r="N147" s="30"/>
      <c r="O147" s="30"/>
      <c r="P147" s="30"/>
      <c r="Q147" s="30"/>
      <c r="R147" s="30"/>
      <c r="S147" s="195"/>
      <c r="T147" s="195"/>
      <c r="U147" s="195"/>
      <c r="V147" s="195"/>
      <c r="W147" s="30"/>
      <c r="X147" s="30"/>
      <c r="Y147" s="30"/>
      <c r="Z147" s="30"/>
      <c r="AA147" s="30"/>
      <c r="AB147" s="30"/>
    </row>
    <row r="148">
      <c r="A148" s="30"/>
      <c r="B148" s="30"/>
      <c r="C148" s="30"/>
      <c r="D148" s="30"/>
      <c r="E148" s="30"/>
      <c r="F148" s="292"/>
      <c r="G148" s="30"/>
      <c r="H148" s="30"/>
      <c r="I148" s="30"/>
      <c r="J148" s="30"/>
      <c r="K148" s="30"/>
      <c r="L148" s="30"/>
      <c r="M148" s="30"/>
      <c r="N148" s="30"/>
      <c r="O148" s="30"/>
      <c r="P148" s="30"/>
      <c r="Q148" s="30"/>
      <c r="R148" s="30"/>
      <c r="S148" s="195"/>
      <c r="T148" s="195"/>
      <c r="U148" s="195"/>
      <c r="V148" s="195"/>
      <c r="W148" s="30"/>
      <c r="X148" s="30"/>
      <c r="Y148" s="30"/>
      <c r="Z148" s="30"/>
      <c r="AA148" s="30"/>
      <c r="AB148" s="30"/>
    </row>
    <row r="149">
      <c r="A149" s="30"/>
      <c r="B149" s="30"/>
      <c r="C149" s="30"/>
      <c r="D149" s="30"/>
      <c r="E149" s="30"/>
      <c r="F149" s="292"/>
      <c r="G149" s="30"/>
      <c r="H149" s="30"/>
      <c r="I149" s="30"/>
      <c r="J149" s="30"/>
      <c r="K149" s="30"/>
      <c r="L149" s="30"/>
      <c r="M149" s="30"/>
      <c r="N149" s="30"/>
      <c r="O149" s="30"/>
      <c r="P149" s="30"/>
      <c r="Q149" s="30"/>
      <c r="R149" s="30"/>
      <c r="S149" s="195"/>
      <c r="T149" s="195"/>
      <c r="U149" s="195"/>
      <c r="V149" s="195"/>
      <c r="W149" s="30"/>
      <c r="X149" s="30"/>
      <c r="Y149" s="30"/>
      <c r="Z149" s="30"/>
      <c r="AA149" s="30"/>
      <c r="AB149" s="30"/>
    </row>
    <row r="150">
      <c r="A150" s="30"/>
      <c r="B150" s="30"/>
      <c r="C150" s="30"/>
      <c r="D150" s="30"/>
      <c r="E150" s="30"/>
      <c r="F150" s="292"/>
      <c r="G150" s="30"/>
      <c r="H150" s="30"/>
      <c r="I150" s="30"/>
      <c r="J150" s="30"/>
      <c r="K150" s="30"/>
      <c r="L150" s="30"/>
      <c r="M150" s="30"/>
      <c r="N150" s="30"/>
      <c r="O150" s="30"/>
      <c r="P150" s="30"/>
      <c r="Q150" s="30"/>
      <c r="R150" s="30"/>
      <c r="S150" s="195"/>
      <c r="T150" s="195"/>
      <c r="U150" s="195"/>
      <c r="V150" s="195"/>
      <c r="W150" s="30"/>
      <c r="X150" s="30"/>
      <c r="Y150" s="30"/>
      <c r="Z150" s="30"/>
      <c r="AA150" s="30"/>
      <c r="AB150" s="30"/>
    </row>
    <row r="151">
      <c r="A151" s="30"/>
      <c r="B151" s="30"/>
      <c r="C151" s="30"/>
      <c r="D151" s="30"/>
      <c r="E151" s="30"/>
      <c r="F151" s="292"/>
      <c r="G151" s="30"/>
      <c r="H151" s="30"/>
      <c r="I151" s="30"/>
      <c r="J151" s="30"/>
      <c r="K151" s="30"/>
      <c r="L151" s="30"/>
      <c r="M151" s="30"/>
      <c r="N151" s="30"/>
      <c r="O151" s="30"/>
      <c r="P151" s="30"/>
      <c r="Q151" s="30"/>
      <c r="R151" s="30"/>
      <c r="S151" s="195"/>
      <c r="T151" s="195"/>
      <c r="U151" s="195"/>
      <c r="V151" s="195"/>
      <c r="W151" s="30"/>
      <c r="X151" s="30"/>
      <c r="Y151" s="30"/>
      <c r="Z151" s="30"/>
      <c r="AA151" s="30"/>
      <c r="AB151" s="30"/>
    </row>
    <row r="152">
      <c r="A152" s="30"/>
      <c r="B152" s="30"/>
      <c r="C152" s="30"/>
      <c r="D152" s="30"/>
      <c r="E152" s="30"/>
      <c r="F152" s="292"/>
      <c r="G152" s="30"/>
      <c r="H152" s="30"/>
      <c r="I152" s="30"/>
      <c r="J152" s="30"/>
      <c r="K152" s="30"/>
      <c r="L152" s="30"/>
      <c r="M152" s="30"/>
      <c r="N152" s="30"/>
      <c r="O152" s="30"/>
      <c r="P152" s="30"/>
      <c r="Q152" s="30"/>
      <c r="R152" s="30"/>
      <c r="S152" s="195"/>
      <c r="T152" s="195"/>
      <c r="U152" s="195"/>
      <c r="V152" s="195"/>
      <c r="W152" s="30"/>
      <c r="X152" s="30"/>
      <c r="Y152" s="30"/>
      <c r="Z152" s="30"/>
      <c r="AA152" s="30"/>
      <c r="AB152" s="30"/>
    </row>
    <row r="153">
      <c r="A153" s="30"/>
      <c r="B153" s="30"/>
      <c r="C153" s="30"/>
      <c r="D153" s="30"/>
      <c r="E153" s="30"/>
      <c r="F153" s="292"/>
      <c r="G153" s="30"/>
      <c r="H153" s="30"/>
      <c r="I153" s="30"/>
      <c r="J153" s="30"/>
      <c r="K153" s="30"/>
      <c r="L153" s="30"/>
      <c r="M153" s="30"/>
      <c r="N153" s="30"/>
      <c r="O153" s="30"/>
      <c r="P153" s="30"/>
      <c r="Q153" s="30"/>
      <c r="R153" s="30"/>
      <c r="S153" s="195"/>
      <c r="T153" s="195"/>
      <c r="U153" s="195"/>
      <c r="V153" s="195"/>
      <c r="W153" s="30"/>
      <c r="X153" s="30"/>
      <c r="Y153" s="30"/>
      <c r="Z153" s="30"/>
      <c r="AA153" s="30"/>
      <c r="AB153" s="30"/>
    </row>
    <row r="154">
      <c r="A154" s="30"/>
      <c r="B154" s="30"/>
      <c r="C154" s="30"/>
      <c r="D154" s="30"/>
      <c r="E154" s="30"/>
      <c r="F154" s="292"/>
      <c r="G154" s="30"/>
      <c r="H154" s="30"/>
      <c r="I154" s="30"/>
      <c r="J154" s="30"/>
      <c r="K154" s="30"/>
      <c r="L154" s="30"/>
      <c r="M154" s="30"/>
      <c r="N154" s="30"/>
      <c r="O154" s="30"/>
      <c r="P154" s="30"/>
      <c r="Q154" s="30"/>
      <c r="R154" s="30"/>
      <c r="S154" s="195"/>
      <c r="T154" s="195"/>
      <c r="U154" s="195"/>
      <c r="V154" s="195"/>
      <c r="W154" s="30"/>
      <c r="X154" s="30"/>
      <c r="Y154" s="30"/>
      <c r="Z154" s="30"/>
      <c r="AA154" s="30"/>
      <c r="AB154" s="30"/>
    </row>
    <row r="155">
      <c r="A155" s="30"/>
      <c r="B155" s="30"/>
      <c r="C155" s="30"/>
      <c r="D155" s="30"/>
      <c r="E155" s="30"/>
      <c r="F155" s="292"/>
      <c r="G155" s="30"/>
      <c r="H155" s="30"/>
      <c r="I155" s="30"/>
      <c r="J155" s="30"/>
      <c r="K155" s="30"/>
      <c r="L155" s="30"/>
      <c r="M155" s="30"/>
      <c r="N155" s="30"/>
      <c r="O155" s="30"/>
      <c r="P155" s="30"/>
      <c r="Q155" s="30"/>
      <c r="R155" s="30"/>
      <c r="S155" s="195"/>
      <c r="T155" s="195"/>
      <c r="U155" s="195"/>
      <c r="V155" s="195"/>
      <c r="W155" s="30"/>
      <c r="X155" s="30"/>
      <c r="Y155" s="30"/>
      <c r="Z155" s="30"/>
      <c r="AA155" s="30"/>
      <c r="AB155" s="30"/>
    </row>
    <row r="156">
      <c r="A156" s="30"/>
      <c r="B156" s="30"/>
      <c r="C156" s="30"/>
      <c r="D156" s="30"/>
      <c r="E156" s="30"/>
      <c r="F156" s="292"/>
      <c r="G156" s="30"/>
      <c r="H156" s="30"/>
      <c r="I156" s="30"/>
      <c r="J156" s="30"/>
      <c r="K156" s="30"/>
      <c r="L156" s="30"/>
      <c r="M156" s="30"/>
      <c r="N156" s="30"/>
      <c r="O156" s="30"/>
      <c r="P156" s="30"/>
      <c r="Q156" s="30"/>
      <c r="R156" s="30"/>
      <c r="S156" s="195"/>
      <c r="T156" s="195"/>
      <c r="U156" s="195"/>
      <c r="V156" s="195"/>
      <c r="W156" s="30"/>
      <c r="X156" s="30"/>
      <c r="Y156" s="30"/>
      <c r="Z156" s="30"/>
      <c r="AA156" s="30"/>
      <c r="AB156" s="30"/>
    </row>
    <row r="157">
      <c r="A157" s="30"/>
      <c r="B157" s="30"/>
      <c r="C157" s="30"/>
      <c r="D157" s="30"/>
      <c r="E157" s="30"/>
      <c r="F157" s="292"/>
      <c r="G157" s="30"/>
      <c r="H157" s="30"/>
      <c r="I157" s="30"/>
      <c r="J157" s="30"/>
      <c r="K157" s="30"/>
      <c r="L157" s="30"/>
      <c r="M157" s="30"/>
      <c r="N157" s="30"/>
      <c r="O157" s="30"/>
      <c r="P157" s="30"/>
      <c r="Q157" s="30"/>
      <c r="R157" s="30"/>
      <c r="S157" s="195"/>
      <c r="T157" s="195"/>
      <c r="U157" s="195"/>
      <c r="V157" s="195"/>
      <c r="W157" s="30"/>
      <c r="X157" s="30"/>
      <c r="Y157" s="30"/>
      <c r="Z157" s="30"/>
      <c r="AA157" s="30"/>
      <c r="AB157" s="30"/>
    </row>
    <row r="158">
      <c r="A158" s="30"/>
      <c r="B158" s="30"/>
      <c r="C158" s="30"/>
      <c r="D158" s="30"/>
      <c r="E158" s="30"/>
      <c r="F158" s="292"/>
      <c r="G158" s="30"/>
      <c r="H158" s="30"/>
      <c r="I158" s="30"/>
      <c r="J158" s="30"/>
      <c r="K158" s="30"/>
      <c r="L158" s="30"/>
      <c r="M158" s="30"/>
      <c r="N158" s="30"/>
      <c r="O158" s="30"/>
      <c r="P158" s="30"/>
      <c r="Q158" s="30"/>
      <c r="R158" s="30"/>
      <c r="S158" s="195"/>
      <c r="T158" s="195"/>
      <c r="U158" s="195"/>
      <c r="V158" s="195"/>
      <c r="W158" s="30"/>
      <c r="X158" s="30"/>
      <c r="Y158" s="30"/>
      <c r="Z158" s="30"/>
      <c r="AA158" s="30"/>
      <c r="AB158" s="30"/>
    </row>
    <row r="159">
      <c r="A159" s="30"/>
      <c r="B159" s="30"/>
      <c r="C159" s="30"/>
      <c r="D159" s="30"/>
      <c r="E159" s="30"/>
      <c r="F159" s="292"/>
      <c r="G159" s="30"/>
      <c r="H159" s="30"/>
      <c r="I159" s="30"/>
      <c r="J159" s="30"/>
      <c r="K159" s="30"/>
      <c r="L159" s="30"/>
      <c r="M159" s="30"/>
      <c r="N159" s="30"/>
      <c r="O159" s="30"/>
      <c r="P159" s="30"/>
      <c r="Q159" s="30"/>
      <c r="R159" s="30"/>
      <c r="S159" s="195"/>
      <c r="T159" s="195"/>
      <c r="U159" s="195"/>
      <c r="V159" s="195"/>
      <c r="W159" s="30"/>
      <c r="X159" s="30"/>
      <c r="Y159" s="30"/>
      <c r="Z159" s="30"/>
      <c r="AA159" s="30"/>
      <c r="AB159" s="30"/>
    </row>
    <row r="160">
      <c r="A160" s="30"/>
      <c r="B160" s="30"/>
      <c r="C160" s="30"/>
      <c r="D160" s="30"/>
      <c r="E160" s="30"/>
      <c r="F160" s="292"/>
      <c r="G160" s="30"/>
      <c r="H160" s="30"/>
      <c r="I160" s="30"/>
      <c r="J160" s="30"/>
      <c r="K160" s="30"/>
      <c r="L160" s="30"/>
      <c r="M160" s="30"/>
      <c r="N160" s="30"/>
      <c r="O160" s="30"/>
      <c r="P160" s="30"/>
      <c r="Q160" s="30"/>
      <c r="R160" s="30"/>
      <c r="S160" s="195"/>
      <c r="T160" s="195"/>
      <c r="U160" s="195"/>
      <c r="V160" s="195"/>
      <c r="W160" s="30"/>
      <c r="X160" s="30"/>
      <c r="Y160" s="30"/>
      <c r="Z160" s="30"/>
      <c r="AA160" s="30"/>
      <c r="AB160" s="30"/>
    </row>
    <row r="161">
      <c r="A161" s="30"/>
      <c r="B161" s="30"/>
      <c r="C161" s="30"/>
      <c r="D161" s="30"/>
      <c r="E161" s="30"/>
      <c r="F161" s="292"/>
      <c r="G161" s="30"/>
      <c r="H161" s="30"/>
      <c r="I161" s="30"/>
      <c r="J161" s="30"/>
      <c r="K161" s="30"/>
      <c r="L161" s="30"/>
      <c r="M161" s="30"/>
      <c r="N161" s="30"/>
      <c r="O161" s="30"/>
      <c r="P161" s="30"/>
      <c r="Q161" s="30"/>
      <c r="R161" s="30"/>
      <c r="S161" s="195"/>
      <c r="T161" s="195"/>
      <c r="U161" s="195"/>
      <c r="V161" s="195"/>
      <c r="W161" s="30"/>
      <c r="X161" s="30"/>
      <c r="Y161" s="30"/>
      <c r="Z161" s="30"/>
      <c r="AA161" s="30"/>
      <c r="AB161" s="30"/>
    </row>
    <row r="162">
      <c r="A162" s="30"/>
      <c r="B162" s="30"/>
      <c r="C162" s="30"/>
      <c r="D162" s="30"/>
      <c r="E162" s="30"/>
      <c r="F162" s="292"/>
      <c r="G162" s="30"/>
      <c r="H162" s="30"/>
      <c r="I162" s="30"/>
      <c r="J162" s="30"/>
      <c r="K162" s="30"/>
      <c r="L162" s="30"/>
      <c r="M162" s="30"/>
      <c r="N162" s="30"/>
      <c r="O162" s="30"/>
      <c r="P162" s="30"/>
      <c r="Q162" s="30"/>
      <c r="R162" s="30"/>
      <c r="S162" s="195"/>
      <c r="T162" s="195"/>
      <c r="U162" s="195"/>
      <c r="V162" s="195"/>
      <c r="W162" s="30"/>
      <c r="X162" s="30"/>
      <c r="Y162" s="30"/>
      <c r="Z162" s="30"/>
      <c r="AA162" s="30"/>
      <c r="AB162" s="30"/>
    </row>
    <row r="163">
      <c r="A163" s="30"/>
      <c r="B163" s="30"/>
      <c r="C163" s="30"/>
      <c r="D163" s="30"/>
      <c r="E163" s="30"/>
      <c r="F163" s="292"/>
      <c r="G163" s="30"/>
      <c r="H163" s="30"/>
      <c r="I163" s="30"/>
      <c r="J163" s="30"/>
      <c r="K163" s="30"/>
      <c r="L163" s="30"/>
      <c r="M163" s="30"/>
      <c r="N163" s="30"/>
      <c r="O163" s="30"/>
      <c r="P163" s="30"/>
      <c r="Q163" s="30"/>
      <c r="R163" s="30"/>
      <c r="S163" s="195"/>
      <c r="T163" s="195"/>
      <c r="U163" s="195"/>
      <c r="V163" s="195"/>
      <c r="W163" s="30"/>
      <c r="X163" s="30"/>
      <c r="Y163" s="30"/>
      <c r="Z163" s="30"/>
      <c r="AA163" s="30"/>
      <c r="AB163" s="30"/>
    </row>
    <row r="164">
      <c r="A164" s="30"/>
      <c r="B164" s="30"/>
      <c r="C164" s="30"/>
      <c r="D164" s="30"/>
      <c r="E164" s="30"/>
      <c r="F164" s="292"/>
      <c r="G164" s="30"/>
      <c r="H164" s="30"/>
      <c r="I164" s="30"/>
      <c r="J164" s="30"/>
      <c r="K164" s="30"/>
      <c r="L164" s="30"/>
      <c r="M164" s="30"/>
      <c r="N164" s="30"/>
      <c r="O164" s="30"/>
      <c r="P164" s="30"/>
      <c r="Q164" s="30"/>
      <c r="R164" s="30"/>
      <c r="S164" s="195"/>
      <c r="T164" s="195"/>
      <c r="U164" s="195"/>
      <c r="V164" s="195"/>
      <c r="W164" s="30"/>
      <c r="X164" s="30"/>
      <c r="Y164" s="30"/>
      <c r="Z164" s="30"/>
      <c r="AA164" s="30"/>
      <c r="AB164" s="30"/>
    </row>
    <row r="165">
      <c r="A165" s="30"/>
      <c r="B165" s="30"/>
      <c r="C165" s="30"/>
      <c r="D165" s="30"/>
      <c r="E165" s="30"/>
      <c r="F165" s="292"/>
      <c r="G165" s="30"/>
      <c r="H165" s="30"/>
      <c r="I165" s="30"/>
      <c r="J165" s="30"/>
      <c r="K165" s="30"/>
      <c r="L165" s="30"/>
      <c r="M165" s="30"/>
      <c r="N165" s="30"/>
      <c r="O165" s="30"/>
      <c r="P165" s="30"/>
      <c r="Q165" s="30"/>
      <c r="R165" s="30"/>
      <c r="S165" s="195"/>
      <c r="T165" s="195"/>
      <c r="U165" s="195"/>
      <c r="V165" s="195"/>
      <c r="W165" s="30"/>
      <c r="X165" s="30"/>
      <c r="Y165" s="30"/>
      <c r="Z165" s="30"/>
      <c r="AA165" s="30"/>
      <c r="AB165" s="30"/>
    </row>
    <row r="166">
      <c r="A166" s="30"/>
      <c r="B166" s="30"/>
      <c r="C166" s="30"/>
      <c r="D166" s="30"/>
      <c r="E166" s="30"/>
      <c r="F166" s="292"/>
      <c r="G166" s="30"/>
      <c r="H166" s="30"/>
      <c r="I166" s="30"/>
      <c r="J166" s="30"/>
      <c r="K166" s="30"/>
      <c r="L166" s="30"/>
      <c r="M166" s="30"/>
      <c r="N166" s="30"/>
      <c r="O166" s="30"/>
      <c r="P166" s="30"/>
      <c r="Q166" s="30"/>
      <c r="R166" s="30"/>
      <c r="S166" s="195"/>
      <c r="T166" s="195"/>
      <c r="U166" s="195"/>
      <c r="V166" s="195"/>
      <c r="W166" s="30"/>
      <c r="X166" s="30"/>
      <c r="Y166" s="30"/>
      <c r="Z166" s="30"/>
      <c r="AA166" s="30"/>
      <c r="AB166" s="30"/>
    </row>
    <row r="167">
      <c r="A167" s="30"/>
      <c r="B167" s="30"/>
      <c r="C167" s="30"/>
      <c r="D167" s="30"/>
      <c r="E167" s="30"/>
      <c r="F167" s="292"/>
      <c r="G167" s="30"/>
      <c r="H167" s="30"/>
      <c r="I167" s="30"/>
      <c r="J167" s="30"/>
      <c r="K167" s="30"/>
      <c r="L167" s="30"/>
      <c r="M167" s="30"/>
      <c r="N167" s="30"/>
      <c r="O167" s="30"/>
      <c r="P167" s="30"/>
      <c r="Q167" s="30"/>
      <c r="R167" s="30"/>
      <c r="S167" s="195"/>
      <c r="T167" s="195"/>
      <c r="U167" s="195"/>
      <c r="V167" s="195"/>
      <c r="W167" s="30"/>
      <c r="X167" s="30"/>
      <c r="Y167" s="30"/>
      <c r="Z167" s="30"/>
      <c r="AA167" s="30"/>
      <c r="AB167" s="30"/>
    </row>
    <row r="168">
      <c r="A168" s="30"/>
      <c r="B168" s="30"/>
      <c r="C168" s="30"/>
      <c r="D168" s="30"/>
      <c r="E168" s="30"/>
      <c r="F168" s="292"/>
      <c r="G168" s="30"/>
      <c r="H168" s="30"/>
      <c r="I168" s="30"/>
      <c r="J168" s="30"/>
      <c r="K168" s="30"/>
      <c r="L168" s="30"/>
      <c r="M168" s="30"/>
      <c r="N168" s="30"/>
      <c r="O168" s="30"/>
      <c r="P168" s="30"/>
      <c r="Q168" s="30"/>
      <c r="R168" s="30"/>
      <c r="S168" s="195"/>
      <c r="T168" s="195"/>
      <c r="U168" s="195"/>
      <c r="V168" s="195"/>
      <c r="W168" s="30"/>
      <c r="X168" s="30"/>
      <c r="Y168" s="30"/>
      <c r="Z168" s="30"/>
      <c r="AA168" s="30"/>
      <c r="AB168" s="30"/>
    </row>
    <row r="169">
      <c r="A169" s="30"/>
      <c r="B169" s="30"/>
      <c r="C169" s="30"/>
      <c r="D169" s="30"/>
      <c r="E169" s="30"/>
      <c r="F169" s="292"/>
      <c r="G169" s="30"/>
      <c r="H169" s="30"/>
      <c r="I169" s="30"/>
      <c r="J169" s="30"/>
      <c r="K169" s="30"/>
      <c r="L169" s="30"/>
      <c r="M169" s="30"/>
      <c r="N169" s="30"/>
      <c r="O169" s="30"/>
      <c r="P169" s="30"/>
      <c r="Q169" s="30"/>
      <c r="R169" s="30"/>
      <c r="S169" s="195"/>
      <c r="T169" s="195"/>
      <c r="U169" s="195"/>
      <c r="V169" s="195"/>
      <c r="W169" s="30"/>
      <c r="X169" s="30"/>
      <c r="Y169" s="30"/>
      <c r="Z169" s="30"/>
      <c r="AA169" s="30"/>
      <c r="AB169" s="30"/>
    </row>
    <row r="170">
      <c r="A170" s="30"/>
      <c r="B170" s="30"/>
      <c r="C170" s="30"/>
      <c r="D170" s="30"/>
      <c r="E170" s="30"/>
      <c r="F170" s="292"/>
      <c r="G170" s="30"/>
      <c r="H170" s="30"/>
      <c r="I170" s="30"/>
      <c r="J170" s="30"/>
      <c r="K170" s="30"/>
      <c r="L170" s="30"/>
      <c r="M170" s="30"/>
      <c r="N170" s="30"/>
      <c r="O170" s="30"/>
      <c r="P170" s="30"/>
      <c r="Q170" s="30"/>
      <c r="R170" s="30"/>
      <c r="S170" s="195"/>
      <c r="T170" s="195"/>
      <c r="U170" s="195"/>
      <c r="V170" s="195"/>
      <c r="W170" s="30"/>
      <c r="X170" s="30"/>
      <c r="Y170" s="30"/>
      <c r="Z170" s="30"/>
      <c r="AA170" s="30"/>
      <c r="AB170" s="30"/>
    </row>
    <row r="171">
      <c r="A171" s="30"/>
      <c r="B171" s="30"/>
      <c r="C171" s="30"/>
      <c r="D171" s="30"/>
      <c r="E171" s="30"/>
      <c r="F171" s="292"/>
      <c r="G171" s="30"/>
      <c r="H171" s="30"/>
      <c r="I171" s="30"/>
      <c r="J171" s="30"/>
      <c r="K171" s="30"/>
      <c r="L171" s="30"/>
      <c r="M171" s="30"/>
      <c r="N171" s="30"/>
      <c r="O171" s="30"/>
      <c r="P171" s="30"/>
      <c r="Q171" s="30"/>
      <c r="R171" s="30"/>
      <c r="S171" s="195"/>
      <c r="T171" s="195"/>
      <c r="U171" s="195"/>
      <c r="V171" s="195"/>
      <c r="W171" s="30"/>
      <c r="X171" s="30"/>
      <c r="Y171" s="30"/>
      <c r="Z171" s="30"/>
      <c r="AA171" s="30"/>
      <c r="AB171" s="30"/>
    </row>
    <row r="172">
      <c r="A172" s="30"/>
      <c r="B172" s="30"/>
      <c r="C172" s="30"/>
      <c r="D172" s="30"/>
      <c r="E172" s="30"/>
      <c r="F172" s="292"/>
      <c r="G172" s="30"/>
      <c r="H172" s="30"/>
      <c r="I172" s="30"/>
      <c r="J172" s="30"/>
      <c r="K172" s="30"/>
      <c r="L172" s="30"/>
      <c r="M172" s="30"/>
      <c r="N172" s="30"/>
      <c r="O172" s="30"/>
      <c r="P172" s="30"/>
      <c r="Q172" s="30"/>
      <c r="R172" s="30"/>
      <c r="S172" s="195"/>
      <c r="T172" s="195"/>
      <c r="U172" s="195"/>
      <c r="V172" s="195"/>
      <c r="W172" s="30"/>
      <c r="X172" s="30"/>
      <c r="Y172" s="30"/>
      <c r="Z172" s="30"/>
      <c r="AA172" s="30"/>
      <c r="AB172" s="30"/>
    </row>
    <row r="173">
      <c r="A173" s="30"/>
      <c r="B173" s="30"/>
      <c r="C173" s="30"/>
      <c r="D173" s="30"/>
      <c r="E173" s="30"/>
      <c r="F173" s="292"/>
      <c r="G173" s="30"/>
      <c r="H173" s="30"/>
      <c r="I173" s="30"/>
      <c r="J173" s="30"/>
      <c r="K173" s="30"/>
      <c r="L173" s="30"/>
      <c r="M173" s="30"/>
      <c r="N173" s="30"/>
      <c r="O173" s="30"/>
      <c r="P173" s="30"/>
      <c r="Q173" s="30"/>
      <c r="R173" s="30"/>
      <c r="S173" s="195"/>
      <c r="T173" s="195"/>
      <c r="U173" s="195"/>
      <c r="V173" s="195"/>
      <c r="W173" s="30"/>
      <c r="X173" s="30"/>
      <c r="Y173" s="30"/>
      <c r="Z173" s="30"/>
      <c r="AA173" s="30"/>
      <c r="AB173" s="30"/>
    </row>
    <row r="174">
      <c r="A174" s="30"/>
      <c r="B174" s="30"/>
      <c r="C174" s="30"/>
      <c r="D174" s="30"/>
      <c r="E174" s="30"/>
      <c r="F174" s="292"/>
      <c r="G174" s="30"/>
      <c r="H174" s="30"/>
      <c r="I174" s="30"/>
      <c r="J174" s="30"/>
      <c r="K174" s="30"/>
      <c r="L174" s="30"/>
      <c r="M174" s="30"/>
      <c r="N174" s="30"/>
      <c r="O174" s="30"/>
      <c r="P174" s="30"/>
      <c r="Q174" s="30"/>
      <c r="R174" s="30"/>
      <c r="S174" s="195"/>
      <c r="T174" s="195"/>
      <c r="U174" s="195"/>
      <c r="V174" s="195"/>
      <c r="W174" s="30"/>
      <c r="X174" s="30"/>
      <c r="Y174" s="30"/>
      <c r="Z174" s="30"/>
      <c r="AA174" s="30"/>
      <c r="AB174" s="30"/>
    </row>
    <row r="175">
      <c r="A175" s="30"/>
      <c r="B175" s="30"/>
      <c r="C175" s="30"/>
      <c r="D175" s="30"/>
      <c r="E175" s="30"/>
      <c r="F175" s="292"/>
      <c r="G175" s="30"/>
      <c r="H175" s="30"/>
      <c r="I175" s="30"/>
      <c r="J175" s="30"/>
      <c r="K175" s="30"/>
      <c r="L175" s="30"/>
      <c r="M175" s="30"/>
      <c r="N175" s="30"/>
      <c r="O175" s="30"/>
      <c r="P175" s="30"/>
      <c r="Q175" s="30"/>
      <c r="R175" s="30"/>
      <c r="S175" s="195"/>
      <c r="T175" s="195"/>
      <c r="U175" s="195"/>
      <c r="V175" s="195"/>
      <c r="W175" s="30"/>
      <c r="X175" s="30"/>
      <c r="Y175" s="30"/>
      <c r="Z175" s="30"/>
      <c r="AA175" s="30"/>
      <c r="AB175" s="30"/>
    </row>
    <row r="176">
      <c r="A176" s="30"/>
      <c r="B176" s="30"/>
      <c r="C176" s="30"/>
      <c r="D176" s="30"/>
      <c r="E176" s="30"/>
      <c r="F176" s="292"/>
      <c r="G176" s="30"/>
      <c r="H176" s="30"/>
      <c r="I176" s="30"/>
      <c r="J176" s="30"/>
      <c r="K176" s="30"/>
      <c r="L176" s="30"/>
      <c r="M176" s="30"/>
      <c r="N176" s="30"/>
      <c r="O176" s="30"/>
      <c r="P176" s="30"/>
      <c r="Q176" s="30"/>
      <c r="R176" s="30"/>
      <c r="S176" s="195"/>
      <c r="T176" s="195"/>
      <c r="U176" s="195"/>
      <c r="V176" s="195"/>
      <c r="W176" s="30"/>
      <c r="X176" s="30"/>
      <c r="Y176" s="30"/>
      <c r="Z176" s="30"/>
      <c r="AA176" s="30"/>
      <c r="AB176" s="30"/>
    </row>
    <row r="177">
      <c r="A177" s="30"/>
      <c r="B177" s="30"/>
      <c r="C177" s="30"/>
      <c r="D177" s="30"/>
      <c r="E177" s="30"/>
      <c r="F177" s="292"/>
      <c r="G177" s="30"/>
      <c r="H177" s="30"/>
      <c r="I177" s="30"/>
      <c r="J177" s="30"/>
      <c r="K177" s="30"/>
      <c r="L177" s="30"/>
      <c r="M177" s="30"/>
      <c r="N177" s="30"/>
      <c r="O177" s="30"/>
      <c r="P177" s="30"/>
      <c r="Q177" s="30"/>
      <c r="R177" s="30"/>
      <c r="S177" s="195"/>
      <c r="T177" s="195"/>
      <c r="U177" s="195"/>
      <c r="V177" s="195"/>
      <c r="W177" s="30"/>
      <c r="X177" s="30"/>
      <c r="Y177" s="30"/>
      <c r="Z177" s="30"/>
      <c r="AA177" s="30"/>
      <c r="AB177" s="30"/>
    </row>
    <row r="178">
      <c r="A178" s="30"/>
      <c r="B178" s="30"/>
      <c r="C178" s="30"/>
      <c r="D178" s="30"/>
      <c r="E178" s="30"/>
      <c r="F178" s="292"/>
      <c r="G178" s="30"/>
      <c r="H178" s="30"/>
      <c r="I178" s="30"/>
      <c r="J178" s="30"/>
      <c r="K178" s="30"/>
      <c r="L178" s="30"/>
      <c r="M178" s="30"/>
      <c r="N178" s="30"/>
      <c r="O178" s="30"/>
      <c r="P178" s="30"/>
      <c r="Q178" s="30"/>
      <c r="R178" s="30"/>
      <c r="S178" s="195"/>
      <c r="T178" s="195"/>
      <c r="U178" s="195"/>
      <c r="V178" s="195"/>
      <c r="W178" s="30"/>
      <c r="X178" s="30"/>
      <c r="Y178" s="30"/>
      <c r="Z178" s="30"/>
      <c r="AA178" s="30"/>
      <c r="AB178" s="30"/>
    </row>
    <row r="179">
      <c r="A179" s="30"/>
      <c r="B179" s="30"/>
      <c r="C179" s="30"/>
      <c r="D179" s="30"/>
      <c r="E179" s="30"/>
      <c r="F179" s="292"/>
      <c r="G179" s="30"/>
      <c r="H179" s="30"/>
      <c r="I179" s="30"/>
      <c r="J179" s="30"/>
      <c r="K179" s="30"/>
      <c r="L179" s="30"/>
      <c r="M179" s="30"/>
      <c r="N179" s="30"/>
      <c r="O179" s="30"/>
      <c r="P179" s="30"/>
      <c r="Q179" s="30"/>
      <c r="R179" s="30"/>
      <c r="S179" s="195"/>
      <c r="T179" s="195"/>
      <c r="U179" s="195"/>
      <c r="V179" s="195"/>
      <c r="W179" s="30"/>
      <c r="X179" s="30"/>
      <c r="Y179" s="30"/>
      <c r="Z179" s="30"/>
      <c r="AA179" s="30"/>
      <c r="AB179" s="30"/>
    </row>
    <row r="180">
      <c r="A180" s="30"/>
      <c r="B180" s="30"/>
      <c r="C180" s="30"/>
      <c r="D180" s="30"/>
      <c r="E180" s="30"/>
      <c r="F180" s="292"/>
      <c r="G180" s="30"/>
      <c r="H180" s="30"/>
      <c r="I180" s="30"/>
      <c r="J180" s="30"/>
      <c r="K180" s="30"/>
      <c r="L180" s="30"/>
      <c r="M180" s="30"/>
      <c r="N180" s="30"/>
      <c r="O180" s="30"/>
      <c r="P180" s="30"/>
      <c r="Q180" s="30"/>
      <c r="R180" s="30"/>
      <c r="S180" s="195"/>
      <c r="T180" s="195"/>
      <c r="U180" s="195"/>
      <c r="V180" s="195"/>
      <c r="W180" s="30"/>
      <c r="X180" s="30"/>
      <c r="Y180" s="30"/>
      <c r="Z180" s="30"/>
      <c r="AA180" s="30"/>
      <c r="AB180" s="30"/>
    </row>
    <row r="181">
      <c r="A181" s="30"/>
      <c r="B181" s="30"/>
      <c r="C181" s="30"/>
      <c r="D181" s="30"/>
      <c r="E181" s="30"/>
      <c r="F181" s="292"/>
      <c r="G181" s="30"/>
      <c r="H181" s="30"/>
      <c r="I181" s="30"/>
      <c r="J181" s="30"/>
      <c r="K181" s="30"/>
      <c r="L181" s="30"/>
      <c r="M181" s="30"/>
      <c r="N181" s="30"/>
      <c r="O181" s="30"/>
      <c r="P181" s="30"/>
      <c r="Q181" s="30"/>
      <c r="R181" s="30"/>
      <c r="S181" s="195"/>
      <c r="T181" s="195"/>
      <c r="U181" s="195"/>
      <c r="V181" s="195"/>
      <c r="W181" s="30"/>
      <c r="X181" s="30"/>
      <c r="Y181" s="30"/>
      <c r="Z181" s="30"/>
      <c r="AA181" s="30"/>
      <c r="AB181" s="30"/>
    </row>
    <row r="182">
      <c r="A182" s="30"/>
      <c r="B182" s="30"/>
      <c r="C182" s="30"/>
      <c r="D182" s="30"/>
      <c r="E182" s="30"/>
      <c r="F182" s="292"/>
      <c r="G182" s="30"/>
      <c r="H182" s="30"/>
      <c r="I182" s="30"/>
      <c r="J182" s="30"/>
      <c r="K182" s="30"/>
      <c r="L182" s="30"/>
      <c r="M182" s="30"/>
      <c r="N182" s="30"/>
      <c r="O182" s="30"/>
      <c r="P182" s="30"/>
      <c r="Q182" s="30"/>
      <c r="R182" s="30"/>
      <c r="S182" s="195"/>
      <c r="T182" s="195"/>
      <c r="U182" s="195"/>
      <c r="V182" s="195"/>
      <c r="W182" s="30"/>
      <c r="X182" s="30"/>
      <c r="Y182" s="30"/>
      <c r="Z182" s="30"/>
      <c r="AA182" s="30"/>
      <c r="AB182" s="30"/>
    </row>
    <row r="183">
      <c r="A183" s="30"/>
      <c r="B183" s="30"/>
      <c r="C183" s="30"/>
      <c r="D183" s="30"/>
      <c r="E183" s="30"/>
      <c r="F183" s="292"/>
      <c r="G183" s="30"/>
      <c r="H183" s="30"/>
      <c r="I183" s="30"/>
      <c r="J183" s="30"/>
      <c r="K183" s="30"/>
      <c r="L183" s="30"/>
      <c r="M183" s="30"/>
      <c r="N183" s="30"/>
      <c r="O183" s="30"/>
      <c r="P183" s="30"/>
      <c r="Q183" s="30"/>
      <c r="R183" s="30"/>
      <c r="S183" s="195"/>
      <c r="T183" s="195"/>
      <c r="U183" s="195"/>
      <c r="V183" s="195"/>
      <c r="W183" s="30"/>
      <c r="X183" s="30"/>
      <c r="Y183" s="30"/>
      <c r="Z183" s="30"/>
      <c r="AA183" s="30"/>
      <c r="AB183" s="30"/>
    </row>
    <row r="184">
      <c r="A184" s="30"/>
      <c r="B184" s="30"/>
      <c r="C184" s="30"/>
      <c r="D184" s="30"/>
      <c r="E184" s="30"/>
      <c r="F184" s="292"/>
      <c r="G184" s="30"/>
      <c r="H184" s="30"/>
      <c r="I184" s="30"/>
      <c r="J184" s="30"/>
      <c r="K184" s="30"/>
      <c r="L184" s="30"/>
      <c r="M184" s="30"/>
      <c r="N184" s="30"/>
      <c r="O184" s="30"/>
      <c r="P184" s="30"/>
      <c r="Q184" s="30"/>
      <c r="R184" s="30"/>
      <c r="S184" s="195"/>
      <c r="T184" s="195"/>
      <c r="U184" s="195"/>
      <c r="V184" s="195"/>
      <c r="W184" s="30"/>
      <c r="X184" s="30"/>
      <c r="Y184" s="30"/>
      <c r="Z184" s="30"/>
      <c r="AA184" s="30"/>
      <c r="AB184" s="30"/>
    </row>
    <row r="185">
      <c r="A185" s="30"/>
      <c r="B185" s="30"/>
      <c r="C185" s="30"/>
      <c r="D185" s="30"/>
      <c r="E185" s="30"/>
      <c r="F185" s="292"/>
      <c r="G185" s="30"/>
      <c r="H185" s="30"/>
      <c r="I185" s="30"/>
      <c r="J185" s="30"/>
      <c r="K185" s="30"/>
      <c r="L185" s="30"/>
      <c r="M185" s="30"/>
      <c r="N185" s="30"/>
      <c r="O185" s="30"/>
      <c r="P185" s="30"/>
      <c r="Q185" s="30"/>
      <c r="R185" s="30"/>
      <c r="S185" s="195"/>
      <c r="T185" s="195"/>
      <c r="U185" s="195"/>
      <c r="V185" s="195"/>
      <c r="W185" s="30"/>
      <c r="X185" s="30"/>
      <c r="Y185" s="30"/>
      <c r="Z185" s="30"/>
      <c r="AA185" s="30"/>
      <c r="AB185" s="30"/>
    </row>
    <row r="186">
      <c r="A186" s="30"/>
      <c r="B186" s="30"/>
      <c r="C186" s="30"/>
      <c r="D186" s="30"/>
      <c r="E186" s="30"/>
      <c r="F186" s="292"/>
      <c r="G186" s="30"/>
      <c r="H186" s="30"/>
      <c r="I186" s="30"/>
      <c r="J186" s="30"/>
      <c r="K186" s="30"/>
      <c r="L186" s="30"/>
      <c r="M186" s="30"/>
      <c r="N186" s="30"/>
      <c r="O186" s="30"/>
      <c r="P186" s="30"/>
      <c r="Q186" s="30"/>
      <c r="R186" s="30"/>
      <c r="S186" s="195"/>
      <c r="T186" s="195"/>
      <c r="U186" s="195"/>
      <c r="V186" s="195"/>
      <c r="W186" s="30"/>
      <c r="X186" s="30"/>
      <c r="Y186" s="30"/>
      <c r="Z186" s="30"/>
      <c r="AA186" s="30"/>
      <c r="AB186" s="30"/>
    </row>
    <row r="187">
      <c r="A187" s="30"/>
      <c r="B187" s="30"/>
      <c r="C187" s="30"/>
      <c r="D187" s="30"/>
      <c r="E187" s="30"/>
      <c r="F187" s="292"/>
      <c r="G187" s="30"/>
      <c r="H187" s="30"/>
      <c r="I187" s="30"/>
      <c r="J187" s="30"/>
      <c r="K187" s="30"/>
      <c r="L187" s="30"/>
      <c r="M187" s="30"/>
      <c r="N187" s="30"/>
      <c r="O187" s="30"/>
      <c r="P187" s="30"/>
      <c r="Q187" s="30"/>
      <c r="R187" s="30"/>
      <c r="S187" s="195"/>
      <c r="T187" s="195"/>
      <c r="U187" s="195"/>
      <c r="V187" s="195"/>
      <c r="W187" s="30"/>
      <c r="X187" s="30"/>
      <c r="Y187" s="30"/>
      <c r="Z187" s="30"/>
      <c r="AA187" s="30"/>
      <c r="AB187" s="30"/>
    </row>
    <row r="188">
      <c r="A188" s="30"/>
      <c r="B188" s="30"/>
      <c r="C188" s="30"/>
      <c r="D188" s="30"/>
      <c r="E188" s="30"/>
      <c r="F188" s="292"/>
      <c r="G188" s="30"/>
      <c r="H188" s="30"/>
      <c r="I188" s="30"/>
      <c r="J188" s="30"/>
      <c r="K188" s="30"/>
      <c r="L188" s="30"/>
      <c r="M188" s="30"/>
      <c r="N188" s="30"/>
      <c r="O188" s="30"/>
      <c r="P188" s="30"/>
      <c r="Q188" s="30"/>
      <c r="R188" s="30"/>
      <c r="S188" s="195"/>
      <c r="T188" s="195"/>
      <c r="U188" s="195"/>
      <c r="V188" s="195"/>
      <c r="W188" s="30"/>
      <c r="X188" s="30"/>
      <c r="Y188" s="30"/>
      <c r="Z188" s="30"/>
      <c r="AA188" s="30"/>
      <c r="AB188" s="30"/>
    </row>
    <row r="189">
      <c r="A189" s="30"/>
      <c r="B189" s="30"/>
      <c r="C189" s="30"/>
      <c r="D189" s="30"/>
      <c r="E189" s="30"/>
      <c r="F189" s="292"/>
      <c r="G189" s="30"/>
      <c r="H189" s="30"/>
      <c r="I189" s="30"/>
      <c r="J189" s="30"/>
      <c r="K189" s="30"/>
      <c r="L189" s="30"/>
      <c r="M189" s="30"/>
      <c r="N189" s="30"/>
      <c r="O189" s="30"/>
      <c r="P189" s="30"/>
      <c r="Q189" s="30"/>
      <c r="R189" s="30"/>
      <c r="S189" s="195"/>
      <c r="T189" s="195"/>
      <c r="U189" s="195"/>
      <c r="V189" s="195"/>
      <c r="W189" s="30"/>
      <c r="X189" s="30"/>
      <c r="Y189" s="30"/>
      <c r="Z189" s="30"/>
      <c r="AA189" s="30"/>
      <c r="AB189" s="30"/>
    </row>
    <row r="190">
      <c r="A190" s="30"/>
      <c r="B190" s="30"/>
      <c r="C190" s="30"/>
      <c r="D190" s="30"/>
      <c r="E190" s="30"/>
      <c r="F190" s="292"/>
      <c r="G190" s="30"/>
      <c r="H190" s="30"/>
      <c r="I190" s="30"/>
      <c r="J190" s="30"/>
      <c r="K190" s="30"/>
      <c r="L190" s="30"/>
      <c r="M190" s="30"/>
      <c r="N190" s="30"/>
      <c r="O190" s="30"/>
      <c r="P190" s="30"/>
      <c r="Q190" s="30"/>
      <c r="R190" s="30"/>
      <c r="S190" s="195"/>
      <c r="T190" s="195"/>
      <c r="U190" s="195"/>
      <c r="V190" s="195"/>
      <c r="W190" s="30"/>
      <c r="X190" s="30"/>
      <c r="Y190" s="30"/>
      <c r="Z190" s="30"/>
      <c r="AA190" s="30"/>
      <c r="AB190" s="30"/>
    </row>
    <row r="191">
      <c r="A191" s="30"/>
      <c r="B191" s="30"/>
      <c r="C191" s="30"/>
      <c r="D191" s="30"/>
      <c r="E191" s="30"/>
      <c r="F191" s="292"/>
      <c r="G191" s="30"/>
      <c r="H191" s="30"/>
      <c r="I191" s="30"/>
      <c r="J191" s="30"/>
      <c r="K191" s="30"/>
      <c r="L191" s="30"/>
      <c r="M191" s="30"/>
      <c r="N191" s="30"/>
      <c r="O191" s="30"/>
      <c r="P191" s="30"/>
      <c r="Q191" s="30"/>
      <c r="R191" s="30"/>
      <c r="S191" s="195"/>
      <c r="T191" s="195"/>
      <c r="U191" s="195"/>
      <c r="V191" s="195"/>
      <c r="W191" s="30"/>
      <c r="X191" s="30"/>
      <c r="Y191" s="30"/>
      <c r="Z191" s="30"/>
      <c r="AA191" s="30"/>
      <c r="AB191" s="30"/>
    </row>
    <row r="192">
      <c r="A192" s="30"/>
      <c r="B192" s="30"/>
      <c r="C192" s="30"/>
      <c r="D192" s="30"/>
      <c r="E192" s="30"/>
      <c r="F192" s="292"/>
      <c r="G192" s="30"/>
      <c r="H192" s="30"/>
      <c r="I192" s="30"/>
      <c r="J192" s="30"/>
      <c r="K192" s="30"/>
      <c r="L192" s="30"/>
      <c r="M192" s="30"/>
      <c r="N192" s="30"/>
      <c r="O192" s="30"/>
      <c r="P192" s="30"/>
      <c r="Q192" s="30"/>
      <c r="R192" s="30"/>
      <c r="S192" s="195"/>
      <c r="T192" s="195"/>
      <c r="U192" s="195"/>
      <c r="V192" s="195"/>
      <c r="W192" s="30"/>
      <c r="X192" s="30"/>
      <c r="Y192" s="30"/>
      <c r="Z192" s="30"/>
      <c r="AA192" s="30"/>
      <c r="AB192" s="30"/>
    </row>
    <row r="193">
      <c r="A193" s="30"/>
      <c r="B193" s="30"/>
      <c r="C193" s="30"/>
      <c r="D193" s="30"/>
      <c r="E193" s="30"/>
      <c r="F193" s="292"/>
      <c r="G193" s="30"/>
      <c r="H193" s="30"/>
      <c r="I193" s="30"/>
      <c r="J193" s="30"/>
      <c r="K193" s="30"/>
      <c r="L193" s="30"/>
      <c r="M193" s="30"/>
      <c r="N193" s="30"/>
      <c r="O193" s="30"/>
      <c r="P193" s="30"/>
      <c r="Q193" s="30"/>
      <c r="R193" s="30"/>
      <c r="S193" s="195"/>
      <c r="T193" s="195"/>
      <c r="U193" s="195"/>
      <c r="V193" s="195"/>
      <c r="W193" s="30"/>
      <c r="X193" s="30"/>
      <c r="Y193" s="30"/>
      <c r="Z193" s="30"/>
      <c r="AA193" s="30"/>
      <c r="AB193" s="30"/>
    </row>
    <row r="194">
      <c r="A194" s="30"/>
      <c r="B194" s="30"/>
      <c r="C194" s="30"/>
      <c r="D194" s="30"/>
      <c r="E194" s="30"/>
      <c r="F194" s="292"/>
      <c r="G194" s="30"/>
      <c r="H194" s="30"/>
      <c r="I194" s="30"/>
      <c r="J194" s="30"/>
      <c r="K194" s="30"/>
      <c r="L194" s="30"/>
      <c r="M194" s="30"/>
      <c r="N194" s="30"/>
      <c r="O194" s="30"/>
      <c r="P194" s="30"/>
      <c r="Q194" s="30"/>
      <c r="R194" s="30"/>
      <c r="S194" s="195"/>
      <c r="T194" s="195"/>
      <c r="U194" s="195"/>
      <c r="V194" s="195"/>
      <c r="W194" s="30"/>
      <c r="X194" s="30"/>
      <c r="Y194" s="30"/>
      <c r="Z194" s="30"/>
      <c r="AA194" s="30"/>
      <c r="AB194" s="30"/>
    </row>
    <row r="195">
      <c r="A195" s="30"/>
      <c r="B195" s="30"/>
      <c r="C195" s="30"/>
      <c r="D195" s="30"/>
      <c r="E195" s="30"/>
      <c r="F195" s="292"/>
      <c r="G195" s="30"/>
      <c r="H195" s="30"/>
      <c r="I195" s="30"/>
      <c r="J195" s="30"/>
      <c r="K195" s="30"/>
      <c r="L195" s="30"/>
      <c r="M195" s="30"/>
      <c r="N195" s="30"/>
      <c r="O195" s="30"/>
      <c r="P195" s="30"/>
      <c r="Q195" s="30"/>
      <c r="R195" s="30"/>
      <c r="S195" s="195"/>
      <c r="T195" s="195"/>
      <c r="U195" s="195"/>
      <c r="V195" s="195"/>
      <c r="W195" s="30"/>
      <c r="X195" s="30"/>
      <c r="Y195" s="30"/>
      <c r="Z195" s="30"/>
      <c r="AA195" s="30"/>
      <c r="AB195" s="30"/>
    </row>
    <row r="196">
      <c r="A196" s="30"/>
      <c r="B196" s="30"/>
      <c r="C196" s="30"/>
      <c r="D196" s="30"/>
      <c r="E196" s="30"/>
      <c r="F196" s="292"/>
      <c r="G196" s="30"/>
      <c r="H196" s="30"/>
      <c r="I196" s="30"/>
      <c r="J196" s="30"/>
      <c r="K196" s="30"/>
      <c r="L196" s="30"/>
      <c r="M196" s="30"/>
      <c r="N196" s="30"/>
      <c r="O196" s="30"/>
      <c r="P196" s="30"/>
      <c r="Q196" s="30"/>
      <c r="R196" s="30"/>
      <c r="S196" s="195"/>
      <c r="T196" s="195"/>
      <c r="U196" s="195"/>
      <c r="V196" s="195"/>
      <c r="W196" s="30"/>
      <c r="X196" s="30"/>
      <c r="Y196" s="30"/>
      <c r="Z196" s="30"/>
      <c r="AA196" s="30"/>
      <c r="AB196" s="30"/>
    </row>
    <row r="197">
      <c r="A197" s="30"/>
      <c r="B197" s="30"/>
      <c r="C197" s="30"/>
      <c r="D197" s="30"/>
      <c r="E197" s="30"/>
      <c r="F197" s="292"/>
      <c r="G197" s="30"/>
      <c r="H197" s="30"/>
      <c r="I197" s="30"/>
      <c r="J197" s="30"/>
      <c r="K197" s="30"/>
      <c r="L197" s="30"/>
      <c r="M197" s="30"/>
      <c r="N197" s="30"/>
      <c r="O197" s="30"/>
      <c r="P197" s="30"/>
      <c r="Q197" s="30"/>
      <c r="R197" s="30"/>
      <c r="S197" s="195"/>
      <c r="T197" s="195"/>
      <c r="U197" s="195"/>
      <c r="V197" s="195"/>
      <c r="W197" s="30"/>
      <c r="X197" s="30"/>
      <c r="Y197" s="30"/>
      <c r="Z197" s="30"/>
      <c r="AA197" s="30"/>
      <c r="AB197" s="30"/>
    </row>
    <row r="198">
      <c r="A198" s="30"/>
      <c r="B198" s="30"/>
      <c r="C198" s="30"/>
      <c r="D198" s="30"/>
      <c r="E198" s="30"/>
      <c r="F198" s="292"/>
      <c r="G198" s="30"/>
      <c r="H198" s="30"/>
      <c r="I198" s="30"/>
      <c r="J198" s="30"/>
      <c r="K198" s="30"/>
      <c r="L198" s="30"/>
      <c r="M198" s="30"/>
      <c r="N198" s="30"/>
      <c r="O198" s="30"/>
      <c r="P198" s="30"/>
      <c r="Q198" s="30"/>
      <c r="R198" s="30"/>
      <c r="S198" s="195"/>
      <c r="T198" s="195"/>
      <c r="U198" s="195"/>
      <c r="V198" s="195"/>
      <c r="W198" s="30"/>
      <c r="X198" s="30"/>
      <c r="Y198" s="30"/>
      <c r="Z198" s="30"/>
      <c r="AA198" s="30"/>
      <c r="AB198" s="30"/>
    </row>
    <row r="199">
      <c r="A199" s="30"/>
      <c r="B199" s="30"/>
      <c r="C199" s="30"/>
      <c r="D199" s="30"/>
      <c r="E199" s="30"/>
      <c r="F199" s="292"/>
      <c r="G199" s="30"/>
      <c r="H199" s="30"/>
      <c r="I199" s="30"/>
      <c r="J199" s="30"/>
      <c r="K199" s="30"/>
      <c r="L199" s="30"/>
      <c r="M199" s="30"/>
      <c r="N199" s="30"/>
      <c r="O199" s="30"/>
      <c r="P199" s="30"/>
      <c r="Q199" s="30"/>
      <c r="R199" s="30"/>
      <c r="S199" s="195"/>
      <c r="T199" s="195"/>
      <c r="U199" s="195"/>
      <c r="V199" s="195"/>
      <c r="W199" s="30"/>
      <c r="X199" s="30"/>
      <c r="Y199" s="30"/>
      <c r="Z199" s="30"/>
      <c r="AA199" s="30"/>
      <c r="AB199" s="30"/>
    </row>
    <row r="200">
      <c r="A200" s="30"/>
      <c r="B200" s="30"/>
      <c r="C200" s="30"/>
      <c r="D200" s="30"/>
      <c r="E200" s="30"/>
      <c r="F200" s="292"/>
      <c r="G200" s="30"/>
      <c r="H200" s="30"/>
      <c r="I200" s="30"/>
      <c r="J200" s="30"/>
      <c r="K200" s="30"/>
      <c r="L200" s="30"/>
      <c r="M200" s="30"/>
      <c r="N200" s="30"/>
      <c r="O200" s="30"/>
      <c r="P200" s="30"/>
      <c r="Q200" s="30"/>
      <c r="R200" s="30"/>
      <c r="S200" s="195"/>
      <c r="T200" s="195"/>
      <c r="U200" s="195"/>
      <c r="V200" s="195"/>
      <c r="W200" s="30"/>
      <c r="X200" s="30"/>
      <c r="Y200" s="30"/>
      <c r="Z200" s="30"/>
      <c r="AA200" s="30"/>
      <c r="AB200" s="30"/>
    </row>
    <row r="201">
      <c r="A201" s="30"/>
      <c r="B201" s="30"/>
      <c r="C201" s="30"/>
      <c r="D201" s="30"/>
      <c r="E201" s="30"/>
      <c r="F201" s="292"/>
      <c r="G201" s="30"/>
      <c r="H201" s="30"/>
      <c r="I201" s="30"/>
      <c r="J201" s="30"/>
      <c r="K201" s="30"/>
      <c r="L201" s="30"/>
      <c r="M201" s="30"/>
      <c r="N201" s="30"/>
      <c r="O201" s="30"/>
      <c r="P201" s="30"/>
      <c r="Q201" s="30"/>
      <c r="R201" s="30"/>
      <c r="S201" s="195"/>
      <c r="T201" s="195"/>
      <c r="U201" s="195"/>
      <c r="V201" s="195"/>
      <c r="W201" s="30"/>
      <c r="X201" s="30"/>
      <c r="Y201" s="30"/>
      <c r="Z201" s="30"/>
      <c r="AA201" s="30"/>
      <c r="AB201" s="30"/>
    </row>
    <row r="202">
      <c r="A202" s="30"/>
      <c r="B202" s="30"/>
      <c r="C202" s="30"/>
      <c r="D202" s="30"/>
      <c r="E202" s="30"/>
      <c r="F202" s="292"/>
      <c r="G202" s="30"/>
      <c r="H202" s="30"/>
      <c r="I202" s="30"/>
      <c r="J202" s="30"/>
      <c r="K202" s="30"/>
      <c r="L202" s="30"/>
      <c r="M202" s="30"/>
      <c r="N202" s="30"/>
      <c r="O202" s="30"/>
      <c r="P202" s="30"/>
      <c r="Q202" s="30"/>
      <c r="R202" s="30"/>
      <c r="S202" s="195"/>
      <c r="T202" s="195"/>
      <c r="U202" s="195"/>
      <c r="V202" s="195"/>
      <c r="W202" s="30"/>
      <c r="X202" s="30"/>
      <c r="Y202" s="30"/>
      <c r="Z202" s="30"/>
      <c r="AA202" s="30"/>
      <c r="AB202" s="30"/>
    </row>
    <row r="203">
      <c r="A203" s="30"/>
      <c r="B203" s="30"/>
      <c r="C203" s="30"/>
      <c r="D203" s="30"/>
      <c r="E203" s="30"/>
      <c r="F203" s="292"/>
      <c r="G203" s="30"/>
      <c r="H203" s="30"/>
      <c r="I203" s="30"/>
      <c r="J203" s="30"/>
      <c r="K203" s="30"/>
      <c r="L203" s="30"/>
      <c r="M203" s="30"/>
      <c r="N203" s="30"/>
      <c r="O203" s="30"/>
      <c r="P203" s="30"/>
      <c r="Q203" s="30"/>
      <c r="R203" s="30"/>
      <c r="S203" s="195"/>
      <c r="T203" s="195"/>
      <c r="U203" s="195"/>
      <c r="V203" s="195"/>
      <c r="W203" s="30"/>
      <c r="X203" s="30"/>
      <c r="Y203" s="30"/>
      <c r="Z203" s="30"/>
      <c r="AA203" s="30"/>
      <c r="AB203" s="30"/>
    </row>
    <row r="204">
      <c r="A204" s="30"/>
      <c r="B204" s="30"/>
      <c r="C204" s="30"/>
      <c r="D204" s="30"/>
      <c r="E204" s="30"/>
      <c r="F204" s="292"/>
      <c r="G204" s="30"/>
      <c r="H204" s="30"/>
      <c r="I204" s="30"/>
      <c r="J204" s="30"/>
      <c r="K204" s="30"/>
      <c r="L204" s="30"/>
      <c r="M204" s="30"/>
      <c r="N204" s="30"/>
      <c r="O204" s="30"/>
      <c r="P204" s="30"/>
      <c r="Q204" s="30"/>
      <c r="R204" s="30"/>
      <c r="S204" s="195"/>
      <c r="T204" s="195"/>
      <c r="U204" s="195"/>
      <c r="V204" s="195"/>
      <c r="W204" s="30"/>
      <c r="X204" s="30"/>
      <c r="Y204" s="30"/>
      <c r="Z204" s="30"/>
      <c r="AA204" s="30"/>
      <c r="AB204" s="30"/>
    </row>
    <row r="205">
      <c r="A205" s="30"/>
      <c r="B205" s="30"/>
      <c r="C205" s="30"/>
      <c r="D205" s="30"/>
      <c r="E205" s="30"/>
      <c r="F205" s="292"/>
      <c r="G205" s="30"/>
      <c r="H205" s="30"/>
      <c r="I205" s="30"/>
      <c r="J205" s="30"/>
      <c r="K205" s="30"/>
      <c r="L205" s="30"/>
      <c r="M205" s="30"/>
      <c r="N205" s="30"/>
      <c r="O205" s="30"/>
      <c r="P205" s="30"/>
      <c r="Q205" s="30"/>
      <c r="R205" s="30"/>
      <c r="S205" s="195"/>
      <c r="T205" s="195"/>
      <c r="U205" s="195"/>
      <c r="V205" s="195"/>
      <c r="W205" s="30"/>
      <c r="X205" s="30"/>
      <c r="Y205" s="30"/>
      <c r="Z205" s="30"/>
      <c r="AA205" s="30"/>
      <c r="AB205" s="30"/>
    </row>
    <row r="206">
      <c r="A206" s="30"/>
      <c r="B206" s="30"/>
      <c r="C206" s="30"/>
      <c r="D206" s="30"/>
      <c r="E206" s="30"/>
      <c r="F206" s="292"/>
      <c r="G206" s="30"/>
      <c r="H206" s="30"/>
      <c r="I206" s="30"/>
      <c r="J206" s="30"/>
      <c r="K206" s="30"/>
      <c r="L206" s="30"/>
      <c r="M206" s="30"/>
      <c r="N206" s="30"/>
      <c r="O206" s="30"/>
      <c r="P206" s="30"/>
      <c r="Q206" s="30"/>
      <c r="R206" s="30"/>
      <c r="S206" s="195"/>
      <c r="T206" s="195"/>
      <c r="U206" s="195"/>
      <c r="V206" s="195"/>
      <c r="W206" s="30"/>
      <c r="X206" s="30"/>
      <c r="Y206" s="30"/>
      <c r="Z206" s="30"/>
      <c r="AA206" s="30"/>
      <c r="AB206" s="30"/>
    </row>
    <row r="207">
      <c r="A207" s="30"/>
      <c r="B207" s="30"/>
      <c r="C207" s="30"/>
      <c r="D207" s="30"/>
      <c r="E207" s="30"/>
      <c r="F207" s="292"/>
      <c r="G207" s="30"/>
      <c r="H207" s="30"/>
      <c r="I207" s="30"/>
      <c r="J207" s="30"/>
      <c r="K207" s="30"/>
      <c r="L207" s="30"/>
      <c r="M207" s="30"/>
      <c r="N207" s="30"/>
      <c r="O207" s="30"/>
      <c r="P207" s="30"/>
      <c r="Q207" s="30"/>
      <c r="R207" s="30"/>
      <c r="S207" s="195"/>
      <c r="T207" s="195"/>
      <c r="U207" s="195"/>
      <c r="V207" s="195"/>
      <c r="W207" s="30"/>
      <c r="X207" s="30"/>
      <c r="Y207" s="30"/>
      <c r="Z207" s="30"/>
      <c r="AA207" s="30"/>
      <c r="AB207" s="30"/>
    </row>
    <row r="208">
      <c r="A208" s="30"/>
      <c r="B208" s="30"/>
      <c r="C208" s="30"/>
      <c r="D208" s="30"/>
      <c r="E208" s="30"/>
      <c r="F208" s="292"/>
      <c r="G208" s="30"/>
      <c r="H208" s="30"/>
      <c r="I208" s="30"/>
      <c r="J208" s="30"/>
      <c r="K208" s="30"/>
      <c r="L208" s="30"/>
      <c r="M208" s="30"/>
      <c r="N208" s="30"/>
      <c r="O208" s="30"/>
      <c r="P208" s="30"/>
      <c r="Q208" s="30"/>
      <c r="R208" s="30"/>
      <c r="S208" s="195"/>
      <c r="T208" s="195"/>
      <c r="U208" s="195"/>
      <c r="V208" s="195"/>
      <c r="W208" s="30"/>
      <c r="X208" s="30"/>
      <c r="Y208" s="30"/>
      <c r="Z208" s="30"/>
      <c r="AA208" s="30"/>
      <c r="AB208" s="30"/>
    </row>
    <row r="209">
      <c r="A209" s="30"/>
      <c r="B209" s="30"/>
      <c r="C209" s="30"/>
      <c r="D209" s="30"/>
      <c r="E209" s="30"/>
      <c r="F209" s="292"/>
      <c r="G209" s="30"/>
      <c r="H209" s="30"/>
      <c r="I209" s="30"/>
      <c r="J209" s="30"/>
      <c r="K209" s="30"/>
      <c r="L209" s="30"/>
      <c r="M209" s="30"/>
      <c r="N209" s="30"/>
      <c r="O209" s="30"/>
      <c r="P209" s="30"/>
      <c r="Q209" s="30"/>
      <c r="R209" s="30"/>
      <c r="S209" s="195"/>
      <c r="T209" s="195"/>
      <c r="U209" s="195"/>
      <c r="V209" s="195"/>
      <c r="W209" s="30"/>
      <c r="X209" s="30"/>
      <c r="Y209" s="30"/>
      <c r="Z209" s="30"/>
      <c r="AA209" s="30"/>
      <c r="AB209" s="30"/>
    </row>
    <row r="210">
      <c r="A210" s="30"/>
      <c r="B210" s="30"/>
      <c r="C210" s="30"/>
      <c r="D210" s="30"/>
      <c r="E210" s="30"/>
      <c r="F210" s="292"/>
      <c r="G210" s="30"/>
      <c r="H210" s="30"/>
      <c r="I210" s="30"/>
      <c r="J210" s="30"/>
      <c r="K210" s="30"/>
      <c r="L210" s="30"/>
      <c r="M210" s="30"/>
      <c r="N210" s="30"/>
      <c r="O210" s="30"/>
      <c r="P210" s="30"/>
      <c r="Q210" s="30"/>
      <c r="R210" s="30"/>
      <c r="S210" s="195"/>
      <c r="T210" s="195"/>
      <c r="U210" s="195"/>
      <c r="V210" s="195"/>
      <c r="W210" s="30"/>
      <c r="X210" s="30"/>
      <c r="Y210" s="30"/>
      <c r="Z210" s="30"/>
      <c r="AA210" s="30"/>
      <c r="AB210" s="30"/>
    </row>
    <row r="211">
      <c r="A211" s="30"/>
      <c r="B211" s="30"/>
      <c r="C211" s="30"/>
      <c r="D211" s="30"/>
      <c r="E211" s="30"/>
      <c r="F211" s="292"/>
      <c r="G211" s="30"/>
      <c r="H211" s="30"/>
      <c r="I211" s="30"/>
      <c r="J211" s="30"/>
      <c r="K211" s="30"/>
      <c r="L211" s="30"/>
      <c r="M211" s="30"/>
      <c r="N211" s="30"/>
      <c r="O211" s="30"/>
      <c r="P211" s="30"/>
      <c r="Q211" s="30"/>
      <c r="R211" s="30"/>
      <c r="S211" s="195"/>
      <c r="T211" s="195"/>
      <c r="U211" s="195"/>
      <c r="V211" s="195"/>
      <c r="W211" s="30"/>
      <c r="X211" s="30"/>
      <c r="Y211" s="30"/>
      <c r="Z211" s="30"/>
      <c r="AA211" s="30"/>
      <c r="AB211" s="30"/>
    </row>
    <row r="212">
      <c r="A212" s="30"/>
      <c r="B212" s="30"/>
      <c r="C212" s="30"/>
      <c r="D212" s="30"/>
      <c r="E212" s="30"/>
      <c r="F212" s="292"/>
      <c r="G212" s="30"/>
      <c r="H212" s="30"/>
      <c r="I212" s="30"/>
      <c r="J212" s="30"/>
      <c r="K212" s="30"/>
      <c r="L212" s="30"/>
      <c r="M212" s="30"/>
      <c r="N212" s="30"/>
      <c r="O212" s="30"/>
      <c r="P212" s="30"/>
      <c r="Q212" s="30"/>
      <c r="R212" s="30"/>
      <c r="S212" s="195"/>
      <c r="T212" s="195"/>
      <c r="U212" s="195"/>
      <c r="V212" s="195"/>
      <c r="W212" s="30"/>
      <c r="X212" s="30"/>
      <c r="Y212" s="30"/>
      <c r="Z212" s="30"/>
      <c r="AA212" s="30"/>
      <c r="AB212" s="30"/>
    </row>
    <row r="213">
      <c r="A213" s="30"/>
      <c r="B213" s="30"/>
      <c r="C213" s="30"/>
      <c r="D213" s="30"/>
      <c r="E213" s="30"/>
      <c r="F213" s="292"/>
      <c r="G213" s="30"/>
      <c r="H213" s="30"/>
      <c r="I213" s="30"/>
      <c r="J213" s="30"/>
      <c r="K213" s="30"/>
      <c r="L213" s="30"/>
      <c r="M213" s="30"/>
      <c r="N213" s="30"/>
      <c r="O213" s="30"/>
      <c r="P213" s="30"/>
      <c r="Q213" s="30"/>
      <c r="R213" s="30"/>
      <c r="S213" s="195"/>
      <c r="T213" s="195"/>
      <c r="U213" s="195"/>
      <c r="V213" s="195"/>
      <c r="W213" s="30"/>
      <c r="X213" s="30"/>
      <c r="Y213" s="30"/>
      <c r="Z213" s="30"/>
      <c r="AA213" s="30"/>
      <c r="AB213" s="30"/>
    </row>
    <row r="214">
      <c r="A214" s="30"/>
      <c r="B214" s="30"/>
      <c r="C214" s="30"/>
      <c r="D214" s="30"/>
      <c r="E214" s="30"/>
      <c r="F214" s="292"/>
      <c r="G214" s="30"/>
      <c r="H214" s="30"/>
      <c r="I214" s="30"/>
      <c r="J214" s="30"/>
      <c r="K214" s="30"/>
      <c r="L214" s="30"/>
      <c r="M214" s="30"/>
      <c r="N214" s="30"/>
      <c r="O214" s="30"/>
      <c r="P214" s="30"/>
      <c r="Q214" s="30"/>
      <c r="R214" s="30"/>
      <c r="S214" s="195"/>
      <c r="T214" s="195"/>
      <c r="U214" s="195"/>
      <c r="V214" s="195"/>
      <c r="W214" s="30"/>
      <c r="X214" s="30"/>
      <c r="Y214" s="30"/>
      <c r="Z214" s="30"/>
      <c r="AA214" s="30"/>
      <c r="AB214" s="30"/>
    </row>
    <row r="215">
      <c r="A215" s="30"/>
      <c r="B215" s="30"/>
      <c r="C215" s="30"/>
      <c r="D215" s="30"/>
      <c r="E215" s="30"/>
      <c r="F215" s="292"/>
      <c r="G215" s="30"/>
      <c r="H215" s="30"/>
      <c r="I215" s="30"/>
      <c r="J215" s="30"/>
      <c r="K215" s="30"/>
      <c r="L215" s="30"/>
      <c r="M215" s="30"/>
      <c r="N215" s="30"/>
      <c r="O215" s="30"/>
      <c r="P215" s="30"/>
      <c r="Q215" s="30"/>
      <c r="R215" s="30"/>
      <c r="S215" s="195"/>
      <c r="T215" s="195"/>
      <c r="U215" s="195"/>
      <c r="V215" s="195"/>
      <c r="W215" s="30"/>
      <c r="X215" s="30"/>
      <c r="Y215" s="30"/>
      <c r="Z215" s="30"/>
      <c r="AA215" s="30"/>
      <c r="AB215" s="30"/>
    </row>
    <row r="216">
      <c r="A216" s="30"/>
      <c r="B216" s="30"/>
      <c r="C216" s="30"/>
      <c r="D216" s="30"/>
      <c r="E216" s="30"/>
      <c r="F216" s="292"/>
      <c r="G216" s="30"/>
      <c r="H216" s="30"/>
      <c r="I216" s="30"/>
      <c r="J216" s="30"/>
      <c r="K216" s="30"/>
      <c r="L216" s="30"/>
      <c r="M216" s="30"/>
      <c r="N216" s="30"/>
      <c r="O216" s="30"/>
      <c r="P216" s="30"/>
      <c r="Q216" s="30"/>
      <c r="R216" s="30"/>
      <c r="S216" s="195"/>
      <c r="T216" s="195"/>
      <c r="U216" s="195"/>
      <c r="V216" s="195"/>
      <c r="W216" s="30"/>
      <c r="X216" s="30"/>
      <c r="Y216" s="30"/>
      <c r="Z216" s="30"/>
      <c r="AA216" s="30"/>
      <c r="AB216" s="30"/>
    </row>
    <row r="217">
      <c r="A217" s="30"/>
      <c r="B217" s="30"/>
      <c r="C217" s="30"/>
      <c r="D217" s="30"/>
      <c r="E217" s="30"/>
      <c r="F217" s="292"/>
      <c r="G217" s="30"/>
      <c r="H217" s="30"/>
      <c r="I217" s="30"/>
      <c r="J217" s="30"/>
      <c r="K217" s="30"/>
      <c r="L217" s="30"/>
      <c r="M217" s="30"/>
      <c r="N217" s="30"/>
      <c r="O217" s="30"/>
      <c r="P217" s="30"/>
      <c r="Q217" s="30"/>
      <c r="R217" s="30"/>
      <c r="S217" s="195"/>
      <c r="T217" s="195"/>
      <c r="U217" s="195"/>
      <c r="V217" s="195"/>
      <c r="W217" s="30"/>
      <c r="X217" s="30"/>
      <c r="Y217" s="30"/>
      <c r="Z217" s="30"/>
      <c r="AA217" s="30"/>
      <c r="AB217" s="30"/>
    </row>
    <row r="218">
      <c r="A218" s="30"/>
      <c r="B218" s="30"/>
      <c r="C218" s="30"/>
      <c r="D218" s="30"/>
      <c r="E218" s="30"/>
      <c r="F218" s="292"/>
      <c r="G218" s="30"/>
      <c r="H218" s="30"/>
      <c r="I218" s="30"/>
      <c r="J218" s="30"/>
      <c r="K218" s="30"/>
      <c r="L218" s="30"/>
      <c r="M218" s="30"/>
      <c r="N218" s="30"/>
      <c r="O218" s="30"/>
      <c r="P218" s="30"/>
      <c r="Q218" s="30"/>
      <c r="R218" s="30"/>
      <c r="S218" s="195"/>
      <c r="T218" s="195"/>
      <c r="U218" s="195"/>
      <c r="V218" s="195"/>
      <c r="W218" s="30"/>
      <c r="X218" s="30"/>
      <c r="Y218" s="30"/>
      <c r="Z218" s="30"/>
      <c r="AA218" s="30"/>
      <c r="AB218" s="30"/>
    </row>
    <row r="219">
      <c r="A219" s="30"/>
      <c r="B219" s="30"/>
      <c r="C219" s="30"/>
      <c r="D219" s="30"/>
      <c r="E219" s="30"/>
      <c r="F219" s="292"/>
      <c r="G219" s="30"/>
      <c r="H219" s="30"/>
      <c r="I219" s="30"/>
      <c r="J219" s="30"/>
      <c r="K219" s="30"/>
      <c r="L219" s="30"/>
      <c r="M219" s="30"/>
      <c r="N219" s="30"/>
      <c r="O219" s="30"/>
      <c r="P219" s="30"/>
      <c r="Q219" s="30"/>
      <c r="R219" s="30"/>
      <c r="S219" s="195"/>
      <c r="T219" s="195"/>
      <c r="U219" s="195"/>
      <c r="V219" s="195"/>
      <c r="W219" s="30"/>
      <c r="X219" s="30"/>
      <c r="Y219" s="30"/>
      <c r="Z219" s="30"/>
      <c r="AA219" s="30"/>
      <c r="AB219" s="30"/>
    </row>
    <row r="220">
      <c r="A220" s="30"/>
      <c r="B220" s="30"/>
      <c r="C220" s="30"/>
      <c r="D220" s="30"/>
      <c r="E220" s="30"/>
      <c r="F220" s="292"/>
      <c r="G220" s="30"/>
      <c r="H220" s="30"/>
      <c r="I220" s="30"/>
      <c r="J220" s="30"/>
      <c r="K220" s="30"/>
      <c r="L220" s="30"/>
      <c r="M220" s="30"/>
      <c r="N220" s="30"/>
      <c r="O220" s="30"/>
      <c r="P220" s="30"/>
      <c r="Q220" s="30"/>
      <c r="R220" s="30"/>
      <c r="S220" s="195"/>
      <c r="T220" s="195"/>
      <c r="U220" s="195"/>
      <c r="V220" s="195"/>
      <c r="W220" s="30"/>
      <c r="X220" s="30"/>
      <c r="Y220" s="30"/>
      <c r="Z220" s="30"/>
      <c r="AA220" s="30"/>
      <c r="AB220" s="30"/>
    </row>
    <row r="221">
      <c r="A221" s="30"/>
      <c r="B221" s="30"/>
      <c r="C221" s="30"/>
      <c r="D221" s="30"/>
      <c r="E221" s="30"/>
      <c r="F221" s="292"/>
      <c r="G221" s="30"/>
      <c r="H221" s="30"/>
      <c r="I221" s="30"/>
      <c r="J221" s="30"/>
      <c r="K221" s="30"/>
      <c r="L221" s="30"/>
      <c r="M221" s="30"/>
      <c r="N221" s="30"/>
      <c r="O221" s="30"/>
      <c r="P221" s="30"/>
      <c r="Q221" s="30"/>
      <c r="R221" s="30"/>
      <c r="S221" s="195"/>
      <c r="T221" s="195"/>
      <c r="U221" s="195"/>
      <c r="V221" s="195"/>
      <c r="W221" s="30"/>
      <c r="X221" s="30"/>
      <c r="Y221" s="30"/>
      <c r="Z221" s="30"/>
      <c r="AA221" s="30"/>
      <c r="AB221" s="30"/>
    </row>
    <row r="222">
      <c r="A222" s="30"/>
      <c r="B222" s="30"/>
      <c r="C222" s="30"/>
      <c r="D222" s="30"/>
      <c r="E222" s="30"/>
      <c r="F222" s="292"/>
      <c r="G222" s="30"/>
      <c r="H222" s="30"/>
      <c r="I222" s="30"/>
      <c r="J222" s="30"/>
      <c r="K222" s="30"/>
      <c r="L222" s="30"/>
      <c r="M222" s="30"/>
      <c r="N222" s="30"/>
      <c r="O222" s="30"/>
      <c r="P222" s="30"/>
      <c r="Q222" s="30"/>
      <c r="R222" s="30"/>
      <c r="S222" s="195"/>
      <c r="T222" s="195"/>
      <c r="U222" s="195"/>
      <c r="V222" s="195"/>
      <c r="W222" s="30"/>
      <c r="X222" s="30"/>
      <c r="Y222" s="30"/>
      <c r="Z222" s="30"/>
      <c r="AA222" s="30"/>
      <c r="AB222" s="30"/>
    </row>
    <row r="223">
      <c r="A223" s="30"/>
      <c r="B223" s="30"/>
      <c r="C223" s="30"/>
      <c r="D223" s="30"/>
      <c r="E223" s="30"/>
      <c r="F223" s="292"/>
      <c r="G223" s="30"/>
      <c r="H223" s="30"/>
      <c r="I223" s="30"/>
      <c r="J223" s="30"/>
      <c r="K223" s="30"/>
      <c r="L223" s="30"/>
      <c r="M223" s="30"/>
      <c r="N223" s="30"/>
      <c r="O223" s="30"/>
      <c r="P223" s="30"/>
      <c r="Q223" s="30"/>
      <c r="R223" s="30"/>
      <c r="S223" s="195"/>
      <c r="T223" s="195"/>
      <c r="U223" s="195"/>
      <c r="V223" s="195"/>
      <c r="W223" s="30"/>
      <c r="X223" s="30"/>
      <c r="Y223" s="30"/>
      <c r="Z223" s="30"/>
      <c r="AA223" s="30"/>
      <c r="AB223" s="30"/>
    </row>
    <row r="224">
      <c r="A224" s="30"/>
      <c r="B224" s="30"/>
      <c r="C224" s="30"/>
      <c r="D224" s="30"/>
      <c r="E224" s="30"/>
      <c r="F224" s="292"/>
      <c r="G224" s="30"/>
      <c r="H224" s="30"/>
      <c r="I224" s="30"/>
      <c r="J224" s="30"/>
      <c r="K224" s="30"/>
      <c r="L224" s="30"/>
      <c r="M224" s="30"/>
      <c r="N224" s="30"/>
      <c r="O224" s="30"/>
      <c r="P224" s="30"/>
      <c r="Q224" s="30"/>
      <c r="R224" s="30"/>
      <c r="S224" s="195"/>
      <c r="T224" s="195"/>
      <c r="U224" s="195"/>
      <c r="V224" s="195"/>
      <c r="W224" s="30"/>
      <c r="X224" s="30"/>
      <c r="Y224" s="30"/>
      <c r="Z224" s="30"/>
      <c r="AA224" s="30"/>
      <c r="AB224" s="30"/>
    </row>
    <row r="225">
      <c r="A225" s="30"/>
      <c r="B225" s="30"/>
      <c r="C225" s="30"/>
      <c r="D225" s="30"/>
      <c r="E225" s="30"/>
      <c r="F225" s="292"/>
      <c r="G225" s="30"/>
      <c r="H225" s="30"/>
      <c r="I225" s="30"/>
      <c r="J225" s="30"/>
      <c r="K225" s="30"/>
      <c r="L225" s="30"/>
      <c r="M225" s="30"/>
      <c r="N225" s="30"/>
      <c r="O225" s="30"/>
      <c r="P225" s="30"/>
      <c r="Q225" s="30"/>
      <c r="R225" s="30"/>
      <c r="S225" s="195"/>
      <c r="T225" s="195"/>
      <c r="U225" s="195"/>
      <c r="V225" s="195"/>
      <c r="W225" s="30"/>
      <c r="X225" s="30"/>
      <c r="Y225" s="30"/>
      <c r="Z225" s="30"/>
      <c r="AA225" s="30"/>
      <c r="AB225" s="30"/>
    </row>
    <row r="226">
      <c r="A226" s="30"/>
      <c r="B226" s="30"/>
      <c r="C226" s="30"/>
      <c r="D226" s="30"/>
      <c r="E226" s="30"/>
      <c r="F226" s="292"/>
      <c r="G226" s="30"/>
      <c r="H226" s="30"/>
      <c r="I226" s="30"/>
      <c r="J226" s="30"/>
      <c r="K226" s="30"/>
      <c r="L226" s="30"/>
      <c r="M226" s="30"/>
      <c r="N226" s="30"/>
      <c r="O226" s="30"/>
      <c r="P226" s="30"/>
      <c r="Q226" s="30"/>
      <c r="R226" s="30"/>
      <c r="S226" s="195"/>
      <c r="T226" s="195"/>
      <c r="U226" s="195"/>
      <c r="V226" s="195"/>
      <c r="W226" s="30"/>
      <c r="X226" s="30"/>
      <c r="Y226" s="30"/>
      <c r="Z226" s="30"/>
      <c r="AA226" s="30"/>
      <c r="AB226" s="30"/>
    </row>
    <row r="227">
      <c r="A227" s="30"/>
      <c r="B227" s="30"/>
      <c r="C227" s="30"/>
      <c r="D227" s="30"/>
      <c r="E227" s="30"/>
      <c r="F227" s="292"/>
      <c r="G227" s="30"/>
      <c r="H227" s="30"/>
      <c r="I227" s="30"/>
      <c r="J227" s="30"/>
      <c r="K227" s="30"/>
      <c r="L227" s="30"/>
      <c r="M227" s="30"/>
      <c r="N227" s="30"/>
      <c r="O227" s="30"/>
      <c r="P227" s="30"/>
      <c r="Q227" s="30"/>
      <c r="R227" s="30"/>
      <c r="S227" s="195"/>
      <c r="T227" s="195"/>
      <c r="U227" s="195"/>
      <c r="V227" s="195"/>
      <c r="W227" s="30"/>
      <c r="X227" s="30"/>
      <c r="Y227" s="30"/>
      <c r="Z227" s="30"/>
      <c r="AA227" s="30"/>
      <c r="AB227" s="30"/>
    </row>
    <row r="228">
      <c r="A228" s="30"/>
      <c r="B228" s="30"/>
      <c r="C228" s="30"/>
      <c r="D228" s="30"/>
      <c r="E228" s="30"/>
      <c r="F228" s="292"/>
      <c r="G228" s="30"/>
      <c r="H228" s="30"/>
      <c r="I228" s="30"/>
      <c r="J228" s="30"/>
      <c r="K228" s="30"/>
      <c r="L228" s="30"/>
      <c r="M228" s="30"/>
      <c r="N228" s="30"/>
      <c r="O228" s="30"/>
      <c r="P228" s="30"/>
      <c r="Q228" s="30"/>
      <c r="R228" s="30"/>
      <c r="S228" s="195"/>
      <c r="T228" s="195"/>
      <c r="U228" s="195"/>
      <c r="V228" s="195"/>
      <c r="W228" s="30"/>
      <c r="X228" s="30"/>
      <c r="Y228" s="30"/>
      <c r="Z228" s="30"/>
      <c r="AA228" s="30"/>
      <c r="AB228" s="30"/>
    </row>
    <row r="229">
      <c r="A229" s="30"/>
      <c r="B229" s="30"/>
      <c r="C229" s="30"/>
      <c r="D229" s="30"/>
      <c r="E229" s="30"/>
      <c r="F229" s="292"/>
      <c r="G229" s="30"/>
      <c r="H229" s="30"/>
      <c r="I229" s="30"/>
      <c r="J229" s="30"/>
      <c r="K229" s="30"/>
      <c r="L229" s="30"/>
      <c r="M229" s="30"/>
      <c r="N229" s="30"/>
      <c r="O229" s="30"/>
      <c r="P229" s="30"/>
      <c r="Q229" s="30"/>
      <c r="R229" s="30"/>
      <c r="S229" s="195"/>
      <c r="T229" s="195"/>
      <c r="U229" s="195"/>
      <c r="V229" s="195"/>
      <c r="W229" s="30"/>
      <c r="X229" s="30"/>
      <c r="Y229" s="30"/>
      <c r="Z229" s="30"/>
      <c r="AA229" s="30"/>
      <c r="AB229" s="30"/>
    </row>
    <row r="230">
      <c r="A230" s="30"/>
      <c r="B230" s="30"/>
      <c r="C230" s="30"/>
      <c r="D230" s="30"/>
      <c r="E230" s="30"/>
      <c r="F230" s="292"/>
      <c r="G230" s="30"/>
      <c r="H230" s="30"/>
      <c r="I230" s="30"/>
      <c r="J230" s="30"/>
      <c r="K230" s="30"/>
      <c r="L230" s="30"/>
      <c r="M230" s="30"/>
      <c r="N230" s="30"/>
      <c r="O230" s="30"/>
      <c r="P230" s="30"/>
      <c r="Q230" s="30"/>
      <c r="R230" s="30"/>
      <c r="S230" s="195"/>
      <c r="T230" s="195"/>
      <c r="U230" s="195"/>
      <c r="V230" s="195"/>
      <c r="W230" s="30"/>
      <c r="X230" s="30"/>
      <c r="Y230" s="30"/>
      <c r="Z230" s="30"/>
      <c r="AA230" s="30"/>
      <c r="AB230" s="30"/>
    </row>
    <row r="231">
      <c r="A231" s="30"/>
      <c r="B231" s="30"/>
      <c r="C231" s="30"/>
      <c r="D231" s="30"/>
      <c r="E231" s="30"/>
      <c r="F231" s="292"/>
      <c r="G231" s="30"/>
      <c r="H231" s="30"/>
      <c r="I231" s="30"/>
      <c r="J231" s="30"/>
      <c r="K231" s="30"/>
      <c r="L231" s="30"/>
      <c r="M231" s="30"/>
      <c r="N231" s="30"/>
      <c r="O231" s="30"/>
      <c r="P231" s="30"/>
      <c r="Q231" s="30"/>
      <c r="R231" s="30"/>
      <c r="S231" s="195"/>
      <c r="T231" s="195"/>
      <c r="U231" s="195"/>
      <c r="V231" s="195"/>
      <c r="W231" s="30"/>
      <c r="X231" s="30"/>
      <c r="Y231" s="30"/>
      <c r="Z231" s="30"/>
      <c r="AA231" s="30"/>
      <c r="AB231" s="30"/>
    </row>
    <row r="232">
      <c r="A232" s="30"/>
      <c r="B232" s="30"/>
      <c r="C232" s="30"/>
      <c r="D232" s="30"/>
      <c r="E232" s="30"/>
      <c r="F232" s="292"/>
      <c r="G232" s="30"/>
      <c r="H232" s="30"/>
      <c r="I232" s="30"/>
      <c r="J232" s="30"/>
      <c r="K232" s="30"/>
      <c r="L232" s="30"/>
      <c r="M232" s="30"/>
      <c r="N232" s="30"/>
      <c r="O232" s="30"/>
      <c r="P232" s="30"/>
      <c r="Q232" s="30"/>
      <c r="R232" s="30"/>
      <c r="S232" s="195"/>
      <c r="T232" s="195"/>
      <c r="U232" s="195"/>
      <c r="V232" s="195"/>
      <c r="W232" s="30"/>
      <c r="X232" s="30"/>
      <c r="Y232" s="30"/>
      <c r="Z232" s="30"/>
      <c r="AA232" s="30"/>
      <c r="AB232" s="30"/>
    </row>
    <row r="233">
      <c r="A233" s="30"/>
      <c r="B233" s="30"/>
      <c r="C233" s="30"/>
      <c r="D233" s="30"/>
      <c r="E233" s="30"/>
      <c r="F233" s="292"/>
      <c r="G233" s="30"/>
      <c r="H233" s="30"/>
      <c r="I233" s="30"/>
      <c r="J233" s="30"/>
      <c r="K233" s="30"/>
      <c r="L233" s="30"/>
      <c r="M233" s="30"/>
      <c r="N233" s="30"/>
      <c r="O233" s="30"/>
      <c r="P233" s="30"/>
      <c r="Q233" s="30"/>
      <c r="R233" s="30"/>
      <c r="S233" s="195"/>
      <c r="T233" s="195"/>
      <c r="U233" s="195"/>
      <c r="V233" s="195"/>
      <c r="W233" s="30"/>
      <c r="X233" s="30"/>
      <c r="Y233" s="30"/>
      <c r="Z233" s="30"/>
      <c r="AA233" s="30"/>
      <c r="AB233" s="30"/>
    </row>
    <row r="234">
      <c r="A234" s="30"/>
      <c r="B234" s="30"/>
      <c r="C234" s="30"/>
      <c r="D234" s="30"/>
      <c r="E234" s="30"/>
      <c r="F234" s="292"/>
      <c r="G234" s="30"/>
      <c r="H234" s="30"/>
      <c r="I234" s="30"/>
      <c r="J234" s="30"/>
      <c r="K234" s="30"/>
      <c r="L234" s="30"/>
      <c r="M234" s="30"/>
      <c r="N234" s="30"/>
      <c r="O234" s="30"/>
      <c r="P234" s="30"/>
      <c r="Q234" s="30"/>
      <c r="R234" s="30"/>
      <c r="S234" s="195"/>
      <c r="T234" s="195"/>
      <c r="U234" s="195"/>
      <c r="V234" s="195"/>
      <c r="W234" s="30"/>
      <c r="X234" s="30"/>
      <c r="Y234" s="30"/>
      <c r="Z234" s="30"/>
      <c r="AA234" s="30"/>
      <c r="AB234" s="30"/>
    </row>
    <row r="235">
      <c r="A235" s="30"/>
      <c r="B235" s="30"/>
      <c r="C235" s="30"/>
      <c r="D235" s="30"/>
      <c r="E235" s="30"/>
      <c r="F235" s="292"/>
      <c r="G235" s="30"/>
      <c r="H235" s="30"/>
      <c r="I235" s="30"/>
      <c r="J235" s="30"/>
      <c r="K235" s="30"/>
      <c r="L235" s="30"/>
      <c r="M235" s="30"/>
      <c r="N235" s="30"/>
      <c r="O235" s="30"/>
      <c r="P235" s="30"/>
      <c r="Q235" s="30"/>
      <c r="R235" s="30"/>
      <c r="S235" s="195"/>
      <c r="T235" s="195"/>
      <c r="U235" s="195"/>
      <c r="V235" s="195"/>
      <c r="W235" s="30"/>
      <c r="X235" s="30"/>
      <c r="Y235" s="30"/>
      <c r="Z235" s="30"/>
      <c r="AA235" s="30"/>
      <c r="AB235" s="30"/>
    </row>
    <row r="236">
      <c r="A236" s="30"/>
      <c r="B236" s="30"/>
      <c r="C236" s="30"/>
      <c r="D236" s="30"/>
      <c r="E236" s="30"/>
      <c r="F236" s="292"/>
      <c r="G236" s="30"/>
      <c r="H236" s="30"/>
      <c r="I236" s="30"/>
      <c r="J236" s="30"/>
      <c r="K236" s="30"/>
      <c r="L236" s="30"/>
      <c r="M236" s="30"/>
      <c r="N236" s="30"/>
      <c r="O236" s="30"/>
      <c r="P236" s="30"/>
      <c r="Q236" s="30"/>
      <c r="R236" s="30"/>
      <c r="S236" s="195"/>
      <c r="T236" s="195"/>
      <c r="U236" s="195"/>
      <c r="V236" s="195"/>
      <c r="W236" s="30"/>
      <c r="X236" s="30"/>
      <c r="Y236" s="30"/>
      <c r="Z236" s="30"/>
      <c r="AA236" s="30"/>
      <c r="AB236" s="30"/>
    </row>
    <row r="237">
      <c r="A237" s="30"/>
      <c r="B237" s="30"/>
      <c r="C237" s="30"/>
      <c r="D237" s="30"/>
      <c r="E237" s="30"/>
      <c r="F237" s="292"/>
      <c r="G237" s="30"/>
      <c r="H237" s="30"/>
      <c r="I237" s="30"/>
      <c r="J237" s="30"/>
      <c r="K237" s="30"/>
      <c r="L237" s="30"/>
      <c r="M237" s="30"/>
      <c r="N237" s="30"/>
      <c r="O237" s="30"/>
      <c r="P237" s="30"/>
      <c r="Q237" s="30"/>
      <c r="R237" s="30"/>
      <c r="S237" s="195"/>
      <c r="T237" s="195"/>
      <c r="U237" s="195"/>
      <c r="V237" s="195"/>
      <c r="W237" s="30"/>
      <c r="X237" s="30"/>
      <c r="Y237" s="30"/>
      <c r="Z237" s="30"/>
      <c r="AA237" s="30"/>
      <c r="AB237" s="30"/>
    </row>
    <row r="238">
      <c r="A238" s="30"/>
      <c r="B238" s="30"/>
      <c r="C238" s="30"/>
      <c r="D238" s="30"/>
      <c r="E238" s="30"/>
      <c r="F238" s="292"/>
      <c r="G238" s="30"/>
      <c r="H238" s="30"/>
      <c r="I238" s="30"/>
      <c r="J238" s="30"/>
      <c r="K238" s="30"/>
      <c r="L238" s="30"/>
      <c r="M238" s="30"/>
      <c r="N238" s="30"/>
      <c r="O238" s="30"/>
      <c r="P238" s="30"/>
      <c r="Q238" s="30"/>
      <c r="R238" s="30"/>
      <c r="S238" s="195"/>
      <c r="T238" s="195"/>
      <c r="U238" s="195"/>
      <c r="V238" s="195"/>
      <c r="W238" s="30"/>
      <c r="X238" s="30"/>
      <c r="Y238" s="30"/>
      <c r="Z238" s="30"/>
      <c r="AA238" s="30"/>
      <c r="AB238" s="30"/>
    </row>
    <row r="239">
      <c r="A239" s="30"/>
      <c r="B239" s="30"/>
      <c r="C239" s="30"/>
      <c r="D239" s="30"/>
      <c r="E239" s="30"/>
      <c r="F239" s="292"/>
      <c r="G239" s="30"/>
      <c r="H239" s="30"/>
      <c r="I239" s="30"/>
      <c r="J239" s="30"/>
      <c r="K239" s="30"/>
      <c r="L239" s="30"/>
      <c r="M239" s="30"/>
      <c r="N239" s="30"/>
      <c r="O239" s="30"/>
      <c r="P239" s="30"/>
      <c r="Q239" s="30"/>
      <c r="R239" s="30"/>
      <c r="S239" s="195"/>
      <c r="T239" s="195"/>
      <c r="U239" s="195"/>
      <c r="V239" s="195"/>
      <c r="W239" s="30"/>
      <c r="X239" s="30"/>
      <c r="Y239" s="30"/>
      <c r="Z239" s="30"/>
      <c r="AA239" s="30"/>
      <c r="AB239" s="30"/>
    </row>
    <row r="240">
      <c r="A240" s="30"/>
      <c r="B240" s="30"/>
      <c r="C240" s="30"/>
      <c r="D240" s="30"/>
      <c r="E240" s="30"/>
      <c r="F240" s="292"/>
      <c r="G240" s="30"/>
      <c r="H240" s="30"/>
      <c r="I240" s="30"/>
      <c r="J240" s="30"/>
      <c r="K240" s="30"/>
      <c r="L240" s="30"/>
      <c r="M240" s="30"/>
      <c r="N240" s="30"/>
      <c r="O240" s="30"/>
      <c r="P240" s="30"/>
      <c r="Q240" s="30"/>
      <c r="R240" s="30"/>
      <c r="S240" s="195"/>
      <c r="T240" s="195"/>
      <c r="U240" s="195"/>
      <c r="V240" s="195"/>
      <c r="W240" s="30"/>
      <c r="X240" s="30"/>
      <c r="Y240" s="30"/>
      <c r="Z240" s="30"/>
      <c r="AA240" s="30"/>
      <c r="AB240" s="30"/>
    </row>
    <row r="241">
      <c r="A241" s="30"/>
      <c r="B241" s="30"/>
      <c r="C241" s="30"/>
      <c r="D241" s="30"/>
      <c r="E241" s="30"/>
      <c r="F241" s="292"/>
      <c r="G241" s="30"/>
      <c r="H241" s="30"/>
      <c r="I241" s="30"/>
      <c r="J241" s="30"/>
      <c r="K241" s="30"/>
      <c r="L241" s="30"/>
      <c r="M241" s="30"/>
      <c r="N241" s="30"/>
      <c r="O241" s="30"/>
      <c r="P241" s="30"/>
      <c r="Q241" s="30"/>
      <c r="R241" s="30"/>
      <c r="S241" s="195"/>
      <c r="T241" s="195"/>
      <c r="U241" s="195"/>
      <c r="V241" s="195"/>
      <c r="W241" s="30"/>
      <c r="X241" s="30"/>
      <c r="Y241" s="30"/>
      <c r="Z241" s="30"/>
      <c r="AA241" s="30"/>
      <c r="AB241" s="30"/>
    </row>
    <row r="242">
      <c r="A242" s="30"/>
      <c r="B242" s="30"/>
      <c r="C242" s="30"/>
      <c r="D242" s="30"/>
      <c r="E242" s="30"/>
      <c r="F242" s="292"/>
      <c r="G242" s="30"/>
      <c r="H242" s="30"/>
      <c r="I242" s="30"/>
      <c r="J242" s="30"/>
      <c r="K242" s="30"/>
      <c r="L242" s="30"/>
      <c r="M242" s="30"/>
      <c r="N242" s="30"/>
      <c r="O242" s="30"/>
      <c r="P242" s="30"/>
      <c r="Q242" s="30"/>
      <c r="R242" s="30"/>
      <c r="S242" s="195"/>
      <c r="T242" s="195"/>
      <c r="U242" s="195"/>
      <c r="V242" s="195"/>
      <c r="W242" s="30"/>
      <c r="X242" s="30"/>
      <c r="Y242" s="30"/>
      <c r="Z242" s="30"/>
      <c r="AA242" s="30"/>
      <c r="AB242" s="30"/>
    </row>
    <row r="243">
      <c r="A243" s="30"/>
      <c r="B243" s="30"/>
      <c r="C243" s="30"/>
      <c r="D243" s="30"/>
      <c r="E243" s="30"/>
      <c r="F243" s="292"/>
      <c r="G243" s="30"/>
      <c r="H243" s="30"/>
      <c r="I243" s="30"/>
      <c r="J243" s="30"/>
      <c r="K243" s="30"/>
      <c r="L243" s="30"/>
      <c r="M243" s="30"/>
      <c r="N243" s="30"/>
      <c r="O243" s="30"/>
      <c r="P243" s="30"/>
      <c r="Q243" s="30"/>
      <c r="R243" s="30"/>
      <c r="S243" s="195"/>
      <c r="T243" s="195"/>
      <c r="U243" s="195"/>
      <c r="V243" s="195"/>
      <c r="W243" s="30"/>
      <c r="X243" s="30"/>
      <c r="Y243" s="30"/>
      <c r="Z243" s="30"/>
      <c r="AA243" s="30"/>
      <c r="AB243" s="30"/>
    </row>
    <row r="244">
      <c r="A244" s="30"/>
      <c r="B244" s="30"/>
      <c r="C244" s="30"/>
      <c r="D244" s="30"/>
      <c r="E244" s="30"/>
      <c r="F244" s="292"/>
      <c r="G244" s="30"/>
      <c r="H244" s="30"/>
      <c r="I244" s="30"/>
      <c r="J244" s="30"/>
      <c r="K244" s="30"/>
      <c r="L244" s="30"/>
      <c r="M244" s="30"/>
      <c r="N244" s="30"/>
      <c r="O244" s="30"/>
      <c r="P244" s="30"/>
      <c r="Q244" s="30"/>
      <c r="R244" s="30"/>
      <c r="S244" s="195"/>
      <c r="T244" s="195"/>
      <c r="U244" s="195"/>
      <c r="V244" s="195"/>
      <c r="W244" s="30"/>
      <c r="X244" s="30"/>
      <c r="Y244" s="30"/>
      <c r="Z244" s="30"/>
      <c r="AA244" s="30"/>
      <c r="AB244" s="30"/>
    </row>
    <row r="245">
      <c r="A245" s="30"/>
      <c r="B245" s="30"/>
      <c r="C245" s="30"/>
      <c r="D245" s="30"/>
      <c r="E245" s="30"/>
      <c r="F245" s="292"/>
      <c r="G245" s="30"/>
      <c r="H245" s="30"/>
      <c r="I245" s="30"/>
      <c r="J245" s="30"/>
      <c r="K245" s="30"/>
      <c r="L245" s="30"/>
      <c r="M245" s="30"/>
      <c r="N245" s="30"/>
      <c r="O245" s="30"/>
      <c r="P245" s="30"/>
      <c r="Q245" s="30"/>
      <c r="R245" s="30"/>
      <c r="S245" s="195"/>
      <c r="T245" s="195"/>
      <c r="U245" s="195"/>
      <c r="V245" s="195"/>
      <c r="W245" s="30"/>
      <c r="X245" s="30"/>
      <c r="Y245" s="30"/>
      <c r="Z245" s="30"/>
      <c r="AA245" s="30"/>
      <c r="AB245" s="30"/>
    </row>
    <row r="246">
      <c r="A246" s="30"/>
      <c r="B246" s="30"/>
      <c r="C246" s="30"/>
      <c r="D246" s="30"/>
      <c r="E246" s="30"/>
      <c r="F246" s="292"/>
      <c r="G246" s="30"/>
      <c r="H246" s="30"/>
      <c r="I246" s="30"/>
      <c r="J246" s="30"/>
      <c r="K246" s="30"/>
      <c r="L246" s="30"/>
      <c r="M246" s="30"/>
      <c r="N246" s="30"/>
      <c r="O246" s="30"/>
      <c r="P246" s="30"/>
      <c r="Q246" s="30"/>
      <c r="R246" s="30"/>
      <c r="S246" s="195"/>
      <c r="T246" s="195"/>
      <c r="U246" s="195"/>
      <c r="V246" s="195"/>
      <c r="W246" s="30"/>
      <c r="X246" s="30"/>
      <c r="Y246" s="30"/>
      <c r="Z246" s="30"/>
      <c r="AA246" s="30"/>
      <c r="AB246" s="30"/>
    </row>
    <row r="247">
      <c r="A247" s="30"/>
      <c r="B247" s="30"/>
      <c r="C247" s="30"/>
      <c r="D247" s="30"/>
      <c r="E247" s="30"/>
      <c r="F247" s="292"/>
      <c r="G247" s="30"/>
      <c r="H247" s="30"/>
      <c r="I247" s="30"/>
      <c r="J247" s="30"/>
      <c r="K247" s="30"/>
      <c r="L247" s="30"/>
      <c r="M247" s="30"/>
      <c r="N247" s="30"/>
      <c r="O247" s="30"/>
      <c r="P247" s="30"/>
      <c r="Q247" s="30"/>
      <c r="R247" s="30"/>
      <c r="S247" s="195"/>
      <c r="T247" s="195"/>
      <c r="U247" s="195"/>
      <c r="V247" s="195"/>
      <c r="W247" s="30"/>
      <c r="X247" s="30"/>
      <c r="Y247" s="30"/>
      <c r="Z247" s="30"/>
      <c r="AA247" s="30"/>
      <c r="AB247" s="30"/>
    </row>
    <row r="248">
      <c r="A248" s="30"/>
      <c r="B248" s="30"/>
      <c r="C248" s="30"/>
      <c r="D248" s="30"/>
      <c r="E248" s="30"/>
      <c r="F248" s="292"/>
      <c r="G248" s="30"/>
      <c r="H248" s="30"/>
      <c r="I248" s="30"/>
      <c r="J248" s="30"/>
      <c r="K248" s="30"/>
      <c r="L248" s="30"/>
      <c r="M248" s="30"/>
      <c r="N248" s="30"/>
      <c r="O248" s="30"/>
      <c r="P248" s="30"/>
      <c r="Q248" s="30"/>
      <c r="R248" s="30"/>
      <c r="S248" s="195"/>
      <c r="T248" s="195"/>
      <c r="U248" s="195"/>
      <c r="V248" s="195"/>
      <c r="W248" s="30"/>
      <c r="X248" s="30"/>
      <c r="Y248" s="30"/>
      <c r="Z248" s="30"/>
      <c r="AA248" s="30"/>
      <c r="AB248" s="30"/>
    </row>
    <row r="249">
      <c r="A249" s="30"/>
      <c r="B249" s="30"/>
      <c r="C249" s="30"/>
      <c r="D249" s="30"/>
      <c r="E249" s="30"/>
      <c r="F249" s="292"/>
      <c r="G249" s="30"/>
      <c r="H249" s="30"/>
      <c r="I249" s="30"/>
      <c r="J249" s="30"/>
      <c r="K249" s="30"/>
      <c r="L249" s="30"/>
      <c r="M249" s="30"/>
      <c r="N249" s="30"/>
      <c r="O249" s="30"/>
      <c r="P249" s="30"/>
      <c r="Q249" s="30"/>
      <c r="R249" s="30"/>
      <c r="S249" s="195"/>
      <c r="T249" s="195"/>
      <c r="U249" s="195"/>
      <c r="V249" s="195"/>
      <c r="W249" s="30"/>
      <c r="X249" s="30"/>
      <c r="Y249" s="30"/>
      <c r="Z249" s="30"/>
      <c r="AA249" s="30"/>
      <c r="AB249" s="30"/>
    </row>
    <row r="250">
      <c r="A250" s="30"/>
      <c r="B250" s="30"/>
      <c r="C250" s="30"/>
      <c r="D250" s="30"/>
      <c r="E250" s="30"/>
      <c r="F250" s="292"/>
      <c r="G250" s="30"/>
      <c r="H250" s="30"/>
      <c r="I250" s="30"/>
      <c r="J250" s="30"/>
      <c r="K250" s="30"/>
      <c r="L250" s="30"/>
      <c r="M250" s="30"/>
      <c r="N250" s="30"/>
      <c r="O250" s="30"/>
      <c r="P250" s="30"/>
      <c r="Q250" s="30"/>
      <c r="R250" s="30"/>
      <c r="S250" s="195"/>
      <c r="T250" s="195"/>
      <c r="U250" s="195"/>
      <c r="V250" s="195"/>
      <c r="W250" s="30"/>
      <c r="X250" s="30"/>
      <c r="Y250" s="30"/>
      <c r="Z250" s="30"/>
      <c r="AA250" s="30"/>
      <c r="AB250" s="30"/>
    </row>
    <row r="251">
      <c r="A251" s="30"/>
      <c r="B251" s="30"/>
      <c r="C251" s="30"/>
      <c r="D251" s="30"/>
      <c r="E251" s="30"/>
      <c r="F251" s="292"/>
      <c r="G251" s="30"/>
      <c r="H251" s="30"/>
      <c r="I251" s="30"/>
      <c r="J251" s="30"/>
      <c r="K251" s="30"/>
      <c r="L251" s="30"/>
      <c r="M251" s="30"/>
      <c r="N251" s="30"/>
      <c r="O251" s="30"/>
      <c r="P251" s="30"/>
      <c r="Q251" s="30"/>
      <c r="R251" s="30"/>
      <c r="S251" s="195"/>
      <c r="T251" s="195"/>
      <c r="U251" s="195"/>
      <c r="V251" s="195"/>
      <c r="W251" s="30"/>
      <c r="X251" s="30"/>
      <c r="Y251" s="30"/>
      <c r="Z251" s="30"/>
      <c r="AA251" s="30"/>
      <c r="AB251" s="30"/>
    </row>
    <row r="252">
      <c r="A252" s="30"/>
      <c r="B252" s="30"/>
      <c r="C252" s="30"/>
      <c r="D252" s="30"/>
      <c r="E252" s="30"/>
      <c r="F252" s="292"/>
      <c r="G252" s="30"/>
      <c r="H252" s="30"/>
      <c r="I252" s="30"/>
      <c r="J252" s="30"/>
      <c r="K252" s="30"/>
      <c r="L252" s="30"/>
      <c r="M252" s="30"/>
      <c r="N252" s="30"/>
      <c r="O252" s="30"/>
      <c r="P252" s="30"/>
      <c r="Q252" s="30"/>
      <c r="R252" s="30"/>
      <c r="S252" s="195"/>
      <c r="T252" s="195"/>
      <c r="U252" s="195"/>
      <c r="V252" s="195"/>
      <c r="W252" s="30"/>
      <c r="X252" s="30"/>
      <c r="Y252" s="30"/>
      <c r="Z252" s="30"/>
      <c r="AA252" s="30"/>
      <c r="AB252" s="30"/>
    </row>
    <row r="253">
      <c r="A253" s="30"/>
      <c r="B253" s="30"/>
      <c r="C253" s="30"/>
      <c r="D253" s="30"/>
      <c r="E253" s="30"/>
      <c r="F253" s="292"/>
      <c r="G253" s="30"/>
      <c r="H253" s="30"/>
      <c r="I253" s="30"/>
      <c r="J253" s="30"/>
      <c r="K253" s="30"/>
      <c r="L253" s="30"/>
      <c r="M253" s="30"/>
      <c r="N253" s="30"/>
      <c r="O253" s="30"/>
      <c r="P253" s="30"/>
      <c r="Q253" s="30"/>
      <c r="R253" s="30"/>
      <c r="S253" s="195"/>
      <c r="T253" s="195"/>
      <c r="U253" s="195"/>
      <c r="V253" s="195"/>
      <c r="W253" s="30"/>
      <c r="X253" s="30"/>
      <c r="Y253" s="30"/>
      <c r="Z253" s="30"/>
      <c r="AA253" s="30"/>
      <c r="AB253" s="30"/>
    </row>
    <row r="254">
      <c r="A254" s="30"/>
      <c r="B254" s="30"/>
      <c r="C254" s="30"/>
      <c r="D254" s="30"/>
      <c r="E254" s="30"/>
      <c r="F254" s="292"/>
      <c r="G254" s="30"/>
      <c r="H254" s="30"/>
      <c r="I254" s="30"/>
      <c r="J254" s="30"/>
      <c r="K254" s="30"/>
      <c r="L254" s="30"/>
      <c r="M254" s="30"/>
      <c r="N254" s="30"/>
      <c r="O254" s="30"/>
      <c r="P254" s="30"/>
      <c r="Q254" s="30"/>
      <c r="R254" s="30"/>
      <c r="S254" s="195"/>
      <c r="T254" s="195"/>
      <c r="U254" s="195"/>
      <c r="V254" s="195"/>
      <c r="W254" s="30"/>
      <c r="X254" s="30"/>
      <c r="Y254" s="30"/>
      <c r="Z254" s="30"/>
      <c r="AA254" s="30"/>
      <c r="AB254" s="30"/>
    </row>
    <row r="255">
      <c r="A255" s="30"/>
      <c r="B255" s="30"/>
      <c r="C255" s="30"/>
      <c r="D255" s="30"/>
      <c r="E255" s="30"/>
      <c r="F255" s="292"/>
      <c r="G255" s="30"/>
      <c r="H255" s="30"/>
      <c r="I255" s="30"/>
      <c r="J255" s="30"/>
      <c r="K255" s="30"/>
      <c r="L255" s="30"/>
      <c r="M255" s="30"/>
      <c r="N255" s="30"/>
      <c r="O255" s="30"/>
      <c r="P255" s="30"/>
      <c r="Q255" s="30"/>
      <c r="R255" s="30"/>
      <c r="S255" s="195"/>
      <c r="T255" s="195"/>
      <c r="U255" s="195"/>
      <c r="V255" s="195"/>
      <c r="W255" s="30"/>
      <c r="X255" s="30"/>
      <c r="Y255" s="30"/>
      <c r="Z255" s="30"/>
      <c r="AA255" s="30"/>
      <c r="AB255" s="30"/>
    </row>
    <row r="256">
      <c r="A256" s="30"/>
      <c r="B256" s="30"/>
      <c r="C256" s="30"/>
      <c r="D256" s="30"/>
      <c r="E256" s="30"/>
      <c r="F256" s="292"/>
      <c r="G256" s="30"/>
      <c r="H256" s="30"/>
      <c r="I256" s="30"/>
      <c r="J256" s="30"/>
      <c r="K256" s="30"/>
      <c r="L256" s="30"/>
      <c r="M256" s="30"/>
      <c r="N256" s="30"/>
      <c r="O256" s="30"/>
      <c r="P256" s="30"/>
      <c r="Q256" s="30"/>
      <c r="R256" s="30"/>
      <c r="S256" s="195"/>
      <c r="T256" s="195"/>
      <c r="U256" s="195"/>
      <c r="V256" s="195"/>
      <c r="W256" s="30"/>
      <c r="X256" s="30"/>
      <c r="Y256" s="30"/>
      <c r="Z256" s="30"/>
      <c r="AA256" s="30"/>
      <c r="AB256" s="30"/>
    </row>
    <row r="257">
      <c r="A257" s="30"/>
      <c r="B257" s="30"/>
      <c r="C257" s="30"/>
      <c r="D257" s="30"/>
      <c r="E257" s="30"/>
      <c r="F257" s="292"/>
      <c r="G257" s="30"/>
      <c r="H257" s="30"/>
      <c r="I257" s="30"/>
      <c r="J257" s="30"/>
      <c r="K257" s="30"/>
      <c r="L257" s="30"/>
      <c r="M257" s="30"/>
      <c r="N257" s="30"/>
      <c r="O257" s="30"/>
      <c r="P257" s="30"/>
      <c r="Q257" s="30"/>
      <c r="R257" s="30"/>
      <c r="S257" s="195"/>
      <c r="T257" s="195"/>
      <c r="U257" s="195"/>
      <c r="V257" s="195"/>
      <c r="W257" s="30"/>
      <c r="X257" s="30"/>
      <c r="Y257" s="30"/>
      <c r="Z257" s="30"/>
      <c r="AA257" s="30"/>
      <c r="AB257" s="30"/>
    </row>
    <row r="258">
      <c r="A258" s="30"/>
      <c r="B258" s="30"/>
      <c r="C258" s="30"/>
      <c r="D258" s="30"/>
      <c r="E258" s="30"/>
      <c r="F258" s="292"/>
      <c r="G258" s="30"/>
      <c r="H258" s="30"/>
      <c r="I258" s="30"/>
      <c r="J258" s="30"/>
      <c r="K258" s="30"/>
      <c r="L258" s="30"/>
      <c r="M258" s="30"/>
      <c r="N258" s="30"/>
      <c r="O258" s="30"/>
      <c r="P258" s="30"/>
      <c r="Q258" s="30"/>
      <c r="R258" s="30"/>
      <c r="S258" s="195"/>
      <c r="T258" s="195"/>
      <c r="U258" s="195"/>
      <c r="V258" s="195"/>
      <c r="W258" s="30"/>
      <c r="X258" s="30"/>
      <c r="Y258" s="30"/>
      <c r="Z258" s="30"/>
      <c r="AA258" s="30"/>
      <c r="AB258" s="30"/>
    </row>
    <row r="259">
      <c r="A259" s="30"/>
      <c r="B259" s="30"/>
      <c r="C259" s="30"/>
      <c r="D259" s="30"/>
      <c r="E259" s="30"/>
      <c r="F259" s="292"/>
      <c r="G259" s="30"/>
      <c r="H259" s="30"/>
      <c r="I259" s="30"/>
      <c r="J259" s="30"/>
      <c r="K259" s="30"/>
      <c r="L259" s="30"/>
      <c r="M259" s="30"/>
      <c r="N259" s="30"/>
      <c r="O259" s="30"/>
      <c r="P259" s="30"/>
      <c r="Q259" s="30"/>
      <c r="R259" s="30"/>
      <c r="S259" s="195"/>
      <c r="T259" s="195"/>
      <c r="U259" s="195"/>
      <c r="V259" s="195"/>
      <c r="W259" s="30"/>
      <c r="X259" s="30"/>
      <c r="Y259" s="30"/>
      <c r="Z259" s="30"/>
      <c r="AA259" s="30"/>
      <c r="AB259" s="30"/>
    </row>
    <row r="260">
      <c r="A260" s="30"/>
      <c r="B260" s="30"/>
      <c r="C260" s="30"/>
      <c r="D260" s="30"/>
      <c r="E260" s="30"/>
      <c r="F260" s="292"/>
      <c r="G260" s="30"/>
      <c r="H260" s="30"/>
      <c r="I260" s="30"/>
      <c r="J260" s="30"/>
      <c r="K260" s="30"/>
      <c r="L260" s="30"/>
      <c r="M260" s="30"/>
      <c r="N260" s="30"/>
      <c r="O260" s="30"/>
      <c r="P260" s="30"/>
      <c r="Q260" s="30"/>
      <c r="R260" s="30"/>
      <c r="S260" s="195"/>
      <c r="T260" s="195"/>
      <c r="U260" s="195"/>
      <c r="V260" s="195"/>
      <c r="W260" s="30"/>
      <c r="X260" s="30"/>
      <c r="Y260" s="30"/>
      <c r="Z260" s="30"/>
      <c r="AA260" s="30"/>
      <c r="AB260" s="30"/>
    </row>
    <row r="261">
      <c r="A261" s="30"/>
      <c r="B261" s="30"/>
      <c r="C261" s="30"/>
      <c r="D261" s="30"/>
      <c r="E261" s="30"/>
      <c r="F261" s="292"/>
      <c r="G261" s="30"/>
      <c r="H261" s="30"/>
      <c r="I261" s="30"/>
      <c r="J261" s="30"/>
      <c r="K261" s="30"/>
      <c r="L261" s="30"/>
      <c r="M261" s="30"/>
      <c r="N261" s="30"/>
      <c r="O261" s="30"/>
      <c r="P261" s="30"/>
      <c r="Q261" s="30"/>
      <c r="R261" s="30"/>
      <c r="S261" s="195"/>
      <c r="T261" s="195"/>
      <c r="U261" s="195"/>
      <c r="V261" s="195"/>
      <c r="W261" s="30"/>
      <c r="X261" s="30"/>
      <c r="Y261" s="30"/>
      <c r="Z261" s="30"/>
      <c r="AA261" s="30"/>
      <c r="AB261" s="30"/>
    </row>
    <row r="262">
      <c r="A262" s="30"/>
      <c r="B262" s="30"/>
      <c r="C262" s="30"/>
      <c r="D262" s="30"/>
      <c r="E262" s="30"/>
      <c r="F262" s="292"/>
      <c r="G262" s="30"/>
      <c r="H262" s="30"/>
      <c r="I262" s="30"/>
      <c r="J262" s="30"/>
      <c r="K262" s="30"/>
      <c r="L262" s="30"/>
      <c r="M262" s="30"/>
      <c r="N262" s="30"/>
      <c r="O262" s="30"/>
      <c r="P262" s="30"/>
      <c r="Q262" s="30"/>
      <c r="R262" s="30"/>
      <c r="S262" s="195"/>
      <c r="T262" s="195"/>
      <c r="U262" s="195"/>
      <c r="V262" s="195"/>
      <c r="W262" s="30"/>
      <c r="X262" s="30"/>
      <c r="Y262" s="30"/>
      <c r="Z262" s="30"/>
      <c r="AA262" s="30"/>
      <c r="AB262" s="30"/>
    </row>
    <row r="263">
      <c r="A263" s="30"/>
      <c r="B263" s="30"/>
      <c r="C263" s="30"/>
      <c r="D263" s="30"/>
      <c r="E263" s="30"/>
      <c r="F263" s="292"/>
      <c r="G263" s="30"/>
      <c r="H263" s="30"/>
      <c r="I263" s="30"/>
      <c r="J263" s="30"/>
      <c r="K263" s="30"/>
      <c r="L263" s="30"/>
      <c r="M263" s="30"/>
      <c r="N263" s="30"/>
      <c r="O263" s="30"/>
      <c r="P263" s="30"/>
      <c r="Q263" s="30"/>
      <c r="R263" s="30"/>
      <c r="S263" s="195"/>
      <c r="T263" s="195"/>
      <c r="U263" s="195"/>
      <c r="V263" s="195"/>
      <c r="W263" s="30"/>
      <c r="X263" s="30"/>
      <c r="Y263" s="30"/>
      <c r="Z263" s="30"/>
      <c r="AA263" s="30"/>
      <c r="AB263" s="30"/>
    </row>
    <row r="264">
      <c r="A264" s="30"/>
      <c r="B264" s="30"/>
      <c r="C264" s="30"/>
      <c r="D264" s="30"/>
      <c r="E264" s="30"/>
      <c r="F264" s="292"/>
      <c r="G264" s="30"/>
      <c r="H264" s="30"/>
      <c r="I264" s="30"/>
      <c r="J264" s="30"/>
      <c r="K264" s="30"/>
      <c r="L264" s="30"/>
      <c r="M264" s="30"/>
      <c r="N264" s="30"/>
      <c r="O264" s="30"/>
      <c r="P264" s="30"/>
      <c r="Q264" s="30"/>
      <c r="R264" s="30"/>
      <c r="S264" s="195"/>
      <c r="T264" s="195"/>
      <c r="U264" s="195"/>
      <c r="V264" s="195"/>
      <c r="W264" s="30"/>
      <c r="X264" s="30"/>
      <c r="Y264" s="30"/>
      <c r="Z264" s="30"/>
      <c r="AA264" s="30"/>
      <c r="AB264" s="30"/>
    </row>
    <row r="265">
      <c r="A265" s="30"/>
      <c r="B265" s="30"/>
      <c r="C265" s="30"/>
      <c r="D265" s="30"/>
      <c r="E265" s="30"/>
      <c r="F265" s="292"/>
      <c r="G265" s="30"/>
      <c r="H265" s="30"/>
      <c r="I265" s="30"/>
      <c r="J265" s="30"/>
      <c r="K265" s="30"/>
      <c r="L265" s="30"/>
      <c r="M265" s="30"/>
      <c r="N265" s="30"/>
      <c r="O265" s="30"/>
      <c r="P265" s="30"/>
      <c r="Q265" s="30"/>
      <c r="R265" s="30"/>
      <c r="S265" s="195"/>
      <c r="T265" s="195"/>
      <c r="U265" s="195"/>
      <c r="V265" s="195"/>
      <c r="W265" s="30"/>
      <c r="X265" s="30"/>
      <c r="Y265" s="30"/>
      <c r="Z265" s="30"/>
      <c r="AA265" s="30"/>
      <c r="AB265" s="30"/>
    </row>
    <row r="266">
      <c r="A266" s="30"/>
      <c r="B266" s="30"/>
      <c r="C266" s="30"/>
      <c r="D266" s="30"/>
      <c r="E266" s="30"/>
      <c r="F266" s="292"/>
      <c r="G266" s="30"/>
      <c r="H266" s="30"/>
      <c r="I266" s="30"/>
      <c r="J266" s="30"/>
      <c r="K266" s="30"/>
      <c r="L266" s="30"/>
      <c r="M266" s="30"/>
      <c r="N266" s="30"/>
      <c r="O266" s="30"/>
      <c r="P266" s="30"/>
      <c r="Q266" s="30"/>
      <c r="R266" s="30"/>
      <c r="S266" s="195"/>
      <c r="T266" s="195"/>
      <c r="U266" s="195"/>
      <c r="V266" s="195"/>
      <c r="W266" s="30"/>
      <c r="X266" s="30"/>
      <c r="Y266" s="30"/>
      <c r="Z266" s="30"/>
      <c r="AA266" s="30"/>
      <c r="AB266" s="30"/>
    </row>
    <row r="267">
      <c r="A267" s="30"/>
      <c r="B267" s="30"/>
      <c r="C267" s="30"/>
      <c r="D267" s="30"/>
      <c r="E267" s="30"/>
      <c r="F267" s="292"/>
      <c r="G267" s="30"/>
      <c r="H267" s="30"/>
      <c r="I267" s="30"/>
      <c r="J267" s="30"/>
      <c r="K267" s="30"/>
      <c r="L267" s="30"/>
      <c r="M267" s="30"/>
      <c r="N267" s="30"/>
      <c r="O267" s="30"/>
      <c r="P267" s="30"/>
      <c r="Q267" s="30"/>
      <c r="R267" s="30"/>
      <c r="S267" s="195"/>
      <c r="T267" s="195"/>
      <c r="U267" s="195"/>
      <c r="V267" s="195"/>
      <c r="W267" s="30"/>
      <c r="X267" s="30"/>
      <c r="Y267" s="30"/>
      <c r="Z267" s="30"/>
      <c r="AA267" s="30"/>
      <c r="AB267" s="30"/>
    </row>
    <row r="268">
      <c r="A268" s="30"/>
      <c r="B268" s="30"/>
      <c r="C268" s="30"/>
      <c r="D268" s="30"/>
      <c r="E268" s="30"/>
      <c r="F268" s="292"/>
      <c r="G268" s="30"/>
      <c r="H268" s="30"/>
      <c r="I268" s="30"/>
      <c r="J268" s="30"/>
      <c r="K268" s="30"/>
      <c r="L268" s="30"/>
      <c r="M268" s="30"/>
      <c r="N268" s="30"/>
      <c r="O268" s="30"/>
      <c r="P268" s="30"/>
      <c r="Q268" s="30"/>
      <c r="R268" s="30"/>
      <c r="S268" s="195"/>
      <c r="T268" s="195"/>
      <c r="U268" s="195"/>
      <c r="V268" s="195"/>
      <c r="W268" s="30"/>
      <c r="X268" s="30"/>
      <c r="Y268" s="30"/>
      <c r="Z268" s="30"/>
      <c r="AA268" s="30"/>
      <c r="AB268" s="30"/>
    </row>
    <row r="269">
      <c r="A269" s="30"/>
      <c r="B269" s="30"/>
      <c r="C269" s="30"/>
      <c r="D269" s="30"/>
      <c r="E269" s="30"/>
      <c r="F269" s="292"/>
      <c r="G269" s="30"/>
      <c r="H269" s="30"/>
      <c r="I269" s="30"/>
      <c r="J269" s="30"/>
      <c r="K269" s="30"/>
      <c r="L269" s="30"/>
      <c r="M269" s="30"/>
      <c r="N269" s="30"/>
      <c r="O269" s="30"/>
      <c r="P269" s="30"/>
      <c r="Q269" s="30"/>
      <c r="R269" s="30"/>
      <c r="S269" s="195"/>
      <c r="T269" s="195"/>
      <c r="U269" s="195"/>
      <c r="V269" s="195"/>
      <c r="W269" s="30"/>
      <c r="X269" s="30"/>
      <c r="Y269" s="30"/>
      <c r="Z269" s="30"/>
      <c r="AA269" s="30"/>
      <c r="AB269" s="30"/>
    </row>
    <row r="270">
      <c r="A270" s="30"/>
      <c r="B270" s="30"/>
      <c r="C270" s="30"/>
      <c r="D270" s="30"/>
      <c r="E270" s="30"/>
      <c r="F270" s="292"/>
      <c r="G270" s="30"/>
      <c r="H270" s="30"/>
      <c r="I270" s="30"/>
      <c r="J270" s="30"/>
      <c r="K270" s="30"/>
      <c r="L270" s="30"/>
      <c r="M270" s="30"/>
      <c r="N270" s="30"/>
      <c r="O270" s="30"/>
      <c r="P270" s="30"/>
      <c r="Q270" s="30"/>
      <c r="R270" s="30"/>
      <c r="S270" s="195"/>
      <c r="T270" s="195"/>
      <c r="U270" s="195"/>
      <c r="V270" s="195"/>
      <c r="W270" s="30"/>
      <c r="X270" s="30"/>
      <c r="Y270" s="30"/>
      <c r="Z270" s="30"/>
      <c r="AA270" s="30"/>
      <c r="AB270" s="30"/>
    </row>
    <row r="271">
      <c r="A271" s="30"/>
      <c r="B271" s="30"/>
      <c r="C271" s="30"/>
      <c r="D271" s="30"/>
      <c r="E271" s="30"/>
      <c r="F271" s="292"/>
      <c r="G271" s="30"/>
      <c r="H271" s="30"/>
      <c r="I271" s="30"/>
      <c r="J271" s="30"/>
      <c r="K271" s="30"/>
      <c r="L271" s="30"/>
      <c r="M271" s="30"/>
      <c r="N271" s="30"/>
      <c r="O271" s="30"/>
      <c r="P271" s="30"/>
      <c r="Q271" s="30"/>
      <c r="R271" s="30"/>
      <c r="S271" s="195"/>
      <c r="T271" s="195"/>
      <c r="U271" s="195"/>
      <c r="V271" s="195"/>
      <c r="W271" s="30"/>
      <c r="X271" s="30"/>
      <c r="Y271" s="30"/>
      <c r="Z271" s="30"/>
      <c r="AA271" s="30"/>
      <c r="AB271" s="30"/>
    </row>
    <row r="272">
      <c r="A272" s="30"/>
      <c r="B272" s="30"/>
      <c r="C272" s="30"/>
      <c r="D272" s="30"/>
      <c r="E272" s="30"/>
      <c r="F272" s="292"/>
      <c r="G272" s="30"/>
      <c r="H272" s="30"/>
      <c r="I272" s="30"/>
      <c r="J272" s="30"/>
      <c r="K272" s="30"/>
      <c r="L272" s="30"/>
      <c r="M272" s="30"/>
      <c r="N272" s="30"/>
      <c r="O272" s="30"/>
      <c r="P272" s="30"/>
      <c r="Q272" s="30"/>
      <c r="R272" s="30"/>
      <c r="S272" s="195"/>
      <c r="T272" s="195"/>
      <c r="U272" s="195"/>
      <c r="V272" s="195"/>
      <c r="W272" s="30"/>
      <c r="X272" s="30"/>
      <c r="Y272" s="30"/>
      <c r="Z272" s="30"/>
      <c r="AA272" s="30"/>
      <c r="AB272" s="30"/>
    </row>
    <row r="273">
      <c r="A273" s="30"/>
      <c r="B273" s="30"/>
      <c r="C273" s="30"/>
      <c r="D273" s="30"/>
      <c r="E273" s="30"/>
      <c r="F273" s="292"/>
      <c r="G273" s="30"/>
      <c r="H273" s="30"/>
      <c r="I273" s="30"/>
      <c r="J273" s="30"/>
      <c r="K273" s="30"/>
      <c r="L273" s="30"/>
      <c r="M273" s="30"/>
      <c r="N273" s="30"/>
      <c r="O273" s="30"/>
      <c r="P273" s="30"/>
      <c r="Q273" s="30"/>
      <c r="R273" s="30"/>
      <c r="S273" s="195"/>
      <c r="T273" s="195"/>
      <c r="U273" s="195"/>
      <c r="V273" s="195"/>
      <c r="W273" s="30"/>
      <c r="X273" s="30"/>
      <c r="Y273" s="30"/>
      <c r="Z273" s="30"/>
      <c r="AA273" s="30"/>
      <c r="AB273" s="30"/>
    </row>
    <row r="274">
      <c r="A274" s="30"/>
      <c r="B274" s="30"/>
      <c r="C274" s="30"/>
      <c r="D274" s="30"/>
      <c r="E274" s="30"/>
      <c r="F274" s="292"/>
      <c r="G274" s="30"/>
      <c r="H274" s="30"/>
      <c r="I274" s="30"/>
      <c r="J274" s="30"/>
      <c r="K274" s="30"/>
      <c r="L274" s="30"/>
      <c r="M274" s="30"/>
      <c r="N274" s="30"/>
      <c r="O274" s="30"/>
      <c r="P274" s="30"/>
      <c r="Q274" s="30"/>
      <c r="R274" s="30"/>
      <c r="S274" s="195"/>
      <c r="T274" s="195"/>
      <c r="U274" s="195"/>
      <c r="V274" s="195"/>
      <c r="W274" s="30"/>
      <c r="X274" s="30"/>
      <c r="Y274" s="30"/>
      <c r="Z274" s="30"/>
      <c r="AA274" s="30"/>
      <c r="AB274" s="30"/>
    </row>
    <row r="275">
      <c r="A275" s="30"/>
      <c r="B275" s="30"/>
      <c r="C275" s="30"/>
      <c r="D275" s="30"/>
      <c r="E275" s="30"/>
      <c r="F275" s="292"/>
      <c r="G275" s="30"/>
      <c r="H275" s="30"/>
      <c r="I275" s="30"/>
      <c r="J275" s="30"/>
      <c r="K275" s="30"/>
      <c r="L275" s="30"/>
      <c r="M275" s="30"/>
      <c r="N275" s="30"/>
      <c r="O275" s="30"/>
      <c r="P275" s="30"/>
      <c r="Q275" s="30"/>
      <c r="R275" s="30"/>
      <c r="S275" s="195"/>
      <c r="T275" s="195"/>
      <c r="U275" s="195"/>
      <c r="V275" s="195"/>
      <c r="W275" s="30"/>
      <c r="X275" s="30"/>
      <c r="Y275" s="30"/>
      <c r="Z275" s="30"/>
      <c r="AA275" s="30"/>
      <c r="AB275" s="30"/>
    </row>
    <row r="276">
      <c r="A276" s="30"/>
      <c r="B276" s="30"/>
      <c r="C276" s="30"/>
      <c r="D276" s="30"/>
      <c r="E276" s="30"/>
      <c r="F276" s="292"/>
      <c r="G276" s="30"/>
      <c r="H276" s="30"/>
      <c r="I276" s="30"/>
      <c r="J276" s="30"/>
      <c r="K276" s="30"/>
      <c r="L276" s="30"/>
      <c r="M276" s="30"/>
      <c r="N276" s="30"/>
      <c r="O276" s="30"/>
      <c r="P276" s="30"/>
      <c r="Q276" s="30"/>
      <c r="R276" s="30"/>
      <c r="S276" s="195"/>
      <c r="T276" s="195"/>
      <c r="U276" s="195"/>
      <c r="V276" s="195"/>
      <c r="W276" s="30"/>
      <c r="X276" s="30"/>
      <c r="Y276" s="30"/>
      <c r="Z276" s="30"/>
      <c r="AA276" s="30"/>
      <c r="AB276" s="30"/>
    </row>
    <row r="277">
      <c r="A277" s="30"/>
      <c r="B277" s="30"/>
      <c r="C277" s="30"/>
      <c r="D277" s="30"/>
      <c r="E277" s="30"/>
      <c r="F277" s="292"/>
      <c r="G277" s="30"/>
      <c r="H277" s="30"/>
      <c r="I277" s="30"/>
      <c r="J277" s="30"/>
      <c r="K277" s="30"/>
      <c r="L277" s="30"/>
      <c r="M277" s="30"/>
      <c r="N277" s="30"/>
      <c r="O277" s="30"/>
      <c r="P277" s="30"/>
      <c r="Q277" s="30"/>
      <c r="R277" s="30"/>
      <c r="S277" s="195"/>
      <c r="T277" s="195"/>
      <c r="U277" s="195"/>
      <c r="V277" s="195"/>
      <c r="W277" s="30"/>
      <c r="X277" s="30"/>
      <c r="Y277" s="30"/>
      <c r="Z277" s="30"/>
      <c r="AA277" s="30"/>
      <c r="AB277" s="30"/>
    </row>
    <row r="278">
      <c r="A278" s="30"/>
      <c r="B278" s="30"/>
      <c r="C278" s="30"/>
      <c r="D278" s="30"/>
      <c r="E278" s="30"/>
      <c r="F278" s="292"/>
      <c r="G278" s="30"/>
      <c r="H278" s="30"/>
      <c r="I278" s="30"/>
      <c r="J278" s="30"/>
      <c r="K278" s="30"/>
      <c r="L278" s="30"/>
      <c r="M278" s="30"/>
      <c r="N278" s="30"/>
      <c r="O278" s="30"/>
      <c r="P278" s="30"/>
      <c r="Q278" s="30"/>
      <c r="R278" s="30"/>
      <c r="S278" s="195"/>
      <c r="T278" s="195"/>
      <c r="U278" s="195"/>
      <c r="V278" s="195"/>
      <c r="W278" s="30"/>
      <c r="X278" s="30"/>
      <c r="Y278" s="30"/>
      <c r="Z278" s="30"/>
      <c r="AA278" s="30"/>
      <c r="AB278" s="30"/>
    </row>
    <row r="279">
      <c r="A279" s="30"/>
      <c r="B279" s="30"/>
      <c r="C279" s="30"/>
      <c r="D279" s="30"/>
      <c r="E279" s="30"/>
      <c r="F279" s="292"/>
      <c r="G279" s="30"/>
      <c r="H279" s="30"/>
      <c r="I279" s="30"/>
      <c r="J279" s="30"/>
      <c r="K279" s="30"/>
      <c r="L279" s="30"/>
      <c r="M279" s="30"/>
      <c r="N279" s="30"/>
      <c r="O279" s="30"/>
      <c r="P279" s="30"/>
      <c r="Q279" s="30"/>
      <c r="R279" s="30"/>
      <c r="S279" s="195"/>
      <c r="T279" s="195"/>
      <c r="U279" s="195"/>
      <c r="V279" s="195"/>
      <c r="W279" s="30"/>
      <c r="X279" s="30"/>
      <c r="Y279" s="30"/>
      <c r="Z279" s="30"/>
      <c r="AA279" s="30"/>
      <c r="AB279" s="30"/>
    </row>
    <row r="280">
      <c r="A280" s="30"/>
      <c r="B280" s="30"/>
      <c r="C280" s="30"/>
      <c r="D280" s="30"/>
      <c r="E280" s="30"/>
      <c r="F280" s="292"/>
      <c r="G280" s="30"/>
      <c r="H280" s="30"/>
      <c r="I280" s="30"/>
      <c r="J280" s="30"/>
      <c r="K280" s="30"/>
      <c r="L280" s="30"/>
      <c r="M280" s="30"/>
      <c r="N280" s="30"/>
      <c r="O280" s="30"/>
      <c r="P280" s="30"/>
      <c r="Q280" s="30"/>
      <c r="R280" s="30"/>
      <c r="S280" s="195"/>
      <c r="T280" s="195"/>
      <c r="U280" s="195"/>
      <c r="V280" s="195"/>
      <c r="W280" s="30"/>
      <c r="X280" s="30"/>
      <c r="Y280" s="30"/>
      <c r="Z280" s="30"/>
      <c r="AA280" s="30"/>
      <c r="AB280" s="30"/>
    </row>
    <row r="281">
      <c r="A281" s="30"/>
      <c r="B281" s="30"/>
      <c r="C281" s="30"/>
      <c r="D281" s="30"/>
      <c r="E281" s="30"/>
      <c r="F281" s="292"/>
      <c r="G281" s="30"/>
      <c r="H281" s="30"/>
      <c r="I281" s="30"/>
      <c r="J281" s="30"/>
      <c r="K281" s="30"/>
      <c r="L281" s="30"/>
      <c r="M281" s="30"/>
      <c r="N281" s="30"/>
      <c r="O281" s="30"/>
      <c r="P281" s="30"/>
      <c r="Q281" s="30"/>
      <c r="R281" s="30"/>
      <c r="S281" s="195"/>
      <c r="T281" s="195"/>
      <c r="U281" s="195"/>
      <c r="V281" s="195"/>
      <c r="W281" s="30"/>
      <c r="X281" s="30"/>
      <c r="Y281" s="30"/>
      <c r="Z281" s="30"/>
      <c r="AA281" s="30"/>
      <c r="AB281" s="30"/>
    </row>
    <row r="282">
      <c r="A282" s="30"/>
      <c r="B282" s="30"/>
      <c r="C282" s="30"/>
      <c r="D282" s="30"/>
      <c r="E282" s="30"/>
      <c r="F282" s="292"/>
      <c r="G282" s="30"/>
      <c r="H282" s="30"/>
      <c r="I282" s="30"/>
      <c r="J282" s="30"/>
      <c r="K282" s="30"/>
      <c r="L282" s="30"/>
      <c r="M282" s="30"/>
      <c r="N282" s="30"/>
      <c r="O282" s="30"/>
      <c r="P282" s="30"/>
      <c r="Q282" s="30"/>
      <c r="R282" s="30"/>
      <c r="S282" s="195"/>
      <c r="T282" s="195"/>
      <c r="U282" s="195"/>
      <c r="V282" s="195"/>
      <c r="W282" s="30"/>
      <c r="X282" s="30"/>
      <c r="Y282" s="30"/>
      <c r="Z282" s="30"/>
      <c r="AA282" s="30"/>
      <c r="AB282" s="30"/>
    </row>
    <row r="283">
      <c r="A283" s="30"/>
      <c r="B283" s="30"/>
      <c r="C283" s="30"/>
      <c r="D283" s="30"/>
      <c r="E283" s="30"/>
      <c r="F283" s="292"/>
      <c r="G283" s="30"/>
      <c r="H283" s="30"/>
      <c r="I283" s="30"/>
      <c r="J283" s="30"/>
      <c r="K283" s="30"/>
      <c r="L283" s="30"/>
      <c r="M283" s="30"/>
      <c r="N283" s="30"/>
      <c r="O283" s="30"/>
      <c r="P283" s="30"/>
      <c r="Q283" s="30"/>
      <c r="R283" s="30"/>
      <c r="S283" s="195"/>
      <c r="T283" s="195"/>
      <c r="U283" s="195"/>
      <c r="V283" s="195"/>
      <c r="W283" s="30"/>
      <c r="X283" s="30"/>
      <c r="Y283" s="30"/>
      <c r="Z283" s="30"/>
      <c r="AA283" s="30"/>
      <c r="AB283" s="30"/>
    </row>
    <row r="284">
      <c r="A284" s="30"/>
      <c r="B284" s="30"/>
      <c r="C284" s="30"/>
      <c r="D284" s="30"/>
      <c r="E284" s="30"/>
      <c r="F284" s="292"/>
      <c r="G284" s="30"/>
      <c r="H284" s="30"/>
      <c r="I284" s="30"/>
      <c r="J284" s="30"/>
      <c r="K284" s="30"/>
      <c r="L284" s="30"/>
      <c r="M284" s="30"/>
      <c r="N284" s="30"/>
      <c r="O284" s="30"/>
      <c r="P284" s="30"/>
      <c r="Q284" s="30"/>
      <c r="R284" s="30"/>
      <c r="S284" s="195"/>
      <c r="T284" s="195"/>
      <c r="U284" s="195"/>
      <c r="V284" s="195"/>
      <c r="W284" s="30"/>
      <c r="X284" s="30"/>
      <c r="Y284" s="30"/>
      <c r="Z284" s="30"/>
      <c r="AA284" s="30"/>
      <c r="AB284" s="30"/>
    </row>
    <row r="285">
      <c r="A285" s="30"/>
      <c r="B285" s="30"/>
      <c r="C285" s="30"/>
      <c r="D285" s="30"/>
      <c r="E285" s="30"/>
      <c r="F285" s="292"/>
      <c r="G285" s="30"/>
      <c r="H285" s="30"/>
      <c r="I285" s="30"/>
      <c r="J285" s="30"/>
      <c r="K285" s="30"/>
      <c r="L285" s="30"/>
      <c r="M285" s="30"/>
      <c r="N285" s="30"/>
      <c r="O285" s="30"/>
      <c r="P285" s="30"/>
      <c r="Q285" s="30"/>
      <c r="R285" s="30"/>
      <c r="S285" s="195"/>
      <c r="T285" s="195"/>
      <c r="U285" s="195"/>
      <c r="V285" s="195"/>
      <c r="W285" s="30"/>
      <c r="X285" s="30"/>
      <c r="Y285" s="30"/>
      <c r="Z285" s="30"/>
      <c r="AA285" s="30"/>
      <c r="AB285" s="30"/>
    </row>
    <row r="286">
      <c r="A286" s="30"/>
      <c r="B286" s="30"/>
      <c r="C286" s="30"/>
      <c r="D286" s="30"/>
      <c r="E286" s="30"/>
      <c r="F286" s="292"/>
      <c r="G286" s="30"/>
      <c r="H286" s="30"/>
      <c r="I286" s="30"/>
      <c r="J286" s="30"/>
      <c r="K286" s="30"/>
      <c r="L286" s="30"/>
      <c r="M286" s="30"/>
      <c r="N286" s="30"/>
      <c r="O286" s="30"/>
      <c r="P286" s="30"/>
      <c r="Q286" s="30"/>
      <c r="R286" s="30"/>
      <c r="S286" s="195"/>
      <c r="T286" s="195"/>
      <c r="U286" s="195"/>
      <c r="V286" s="195"/>
      <c r="W286" s="30"/>
      <c r="X286" s="30"/>
      <c r="Y286" s="30"/>
      <c r="Z286" s="30"/>
      <c r="AA286" s="30"/>
      <c r="AB286" s="30"/>
    </row>
    <row r="287">
      <c r="A287" s="30"/>
      <c r="B287" s="30"/>
      <c r="C287" s="30"/>
      <c r="D287" s="30"/>
      <c r="E287" s="30"/>
      <c r="F287" s="292"/>
      <c r="G287" s="30"/>
      <c r="H287" s="30"/>
      <c r="I287" s="30"/>
      <c r="J287" s="30"/>
      <c r="K287" s="30"/>
      <c r="L287" s="30"/>
      <c r="M287" s="30"/>
      <c r="N287" s="30"/>
      <c r="O287" s="30"/>
      <c r="P287" s="30"/>
      <c r="Q287" s="30"/>
      <c r="R287" s="30"/>
      <c r="S287" s="195"/>
      <c r="T287" s="195"/>
      <c r="U287" s="195"/>
      <c r="V287" s="195"/>
      <c r="W287" s="30"/>
      <c r="X287" s="30"/>
      <c r="Y287" s="30"/>
      <c r="Z287" s="30"/>
      <c r="AA287" s="30"/>
      <c r="AB287" s="30"/>
    </row>
    <row r="288">
      <c r="A288" s="30"/>
      <c r="B288" s="30"/>
      <c r="C288" s="30"/>
      <c r="D288" s="30"/>
      <c r="E288" s="30"/>
      <c r="F288" s="292"/>
      <c r="G288" s="30"/>
      <c r="H288" s="30"/>
      <c r="I288" s="30"/>
      <c r="J288" s="30"/>
      <c r="K288" s="30"/>
      <c r="L288" s="30"/>
      <c r="M288" s="30"/>
      <c r="N288" s="30"/>
      <c r="O288" s="30"/>
      <c r="P288" s="30"/>
      <c r="Q288" s="30"/>
      <c r="R288" s="30"/>
      <c r="S288" s="195"/>
      <c r="T288" s="195"/>
      <c r="U288" s="195"/>
      <c r="V288" s="195"/>
      <c r="W288" s="30"/>
      <c r="X288" s="30"/>
      <c r="Y288" s="30"/>
      <c r="Z288" s="30"/>
      <c r="AA288" s="30"/>
      <c r="AB288" s="30"/>
    </row>
    <row r="289">
      <c r="A289" s="30"/>
      <c r="B289" s="30"/>
      <c r="C289" s="30"/>
      <c r="D289" s="30"/>
      <c r="E289" s="30"/>
      <c r="F289" s="292"/>
      <c r="G289" s="30"/>
      <c r="H289" s="30"/>
      <c r="I289" s="30"/>
      <c r="J289" s="30"/>
      <c r="K289" s="30"/>
      <c r="L289" s="30"/>
      <c r="M289" s="30"/>
      <c r="N289" s="30"/>
      <c r="O289" s="30"/>
      <c r="P289" s="30"/>
      <c r="Q289" s="30"/>
      <c r="R289" s="30"/>
      <c r="S289" s="195"/>
      <c r="T289" s="195"/>
      <c r="U289" s="195"/>
      <c r="V289" s="195"/>
      <c r="W289" s="30"/>
      <c r="X289" s="30"/>
      <c r="Y289" s="30"/>
      <c r="Z289" s="30"/>
      <c r="AA289" s="30"/>
      <c r="AB289" s="30"/>
    </row>
    <row r="290">
      <c r="A290" s="30"/>
      <c r="B290" s="30"/>
      <c r="C290" s="30"/>
      <c r="D290" s="30"/>
      <c r="E290" s="30"/>
      <c r="F290" s="292"/>
      <c r="G290" s="30"/>
      <c r="H290" s="30"/>
      <c r="I290" s="30"/>
      <c r="J290" s="30"/>
      <c r="K290" s="30"/>
      <c r="L290" s="30"/>
      <c r="M290" s="30"/>
      <c r="N290" s="30"/>
      <c r="O290" s="30"/>
      <c r="P290" s="30"/>
      <c r="Q290" s="30"/>
      <c r="R290" s="30"/>
      <c r="S290" s="195"/>
      <c r="T290" s="195"/>
      <c r="U290" s="195"/>
      <c r="V290" s="195"/>
      <c r="W290" s="30"/>
      <c r="X290" s="30"/>
      <c r="Y290" s="30"/>
      <c r="Z290" s="30"/>
      <c r="AA290" s="30"/>
      <c r="AB290" s="30"/>
    </row>
    <row r="291">
      <c r="A291" s="30"/>
      <c r="B291" s="30"/>
      <c r="C291" s="30"/>
      <c r="D291" s="30"/>
      <c r="E291" s="30"/>
      <c r="F291" s="292"/>
      <c r="G291" s="30"/>
      <c r="H291" s="30"/>
      <c r="I291" s="30"/>
      <c r="J291" s="30"/>
      <c r="K291" s="30"/>
      <c r="L291" s="30"/>
      <c r="M291" s="30"/>
      <c r="N291" s="30"/>
      <c r="O291" s="30"/>
      <c r="P291" s="30"/>
      <c r="Q291" s="30"/>
      <c r="R291" s="30"/>
      <c r="S291" s="195"/>
      <c r="T291" s="195"/>
      <c r="U291" s="195"/>
      <c r="V291" s="195"/>
      <c r="W291" s="30"/>
      <c r="X291" s="30"/>
      <c r="Y291" s="30"/>
      <c r="Z291" s="30"/>
      <c r="AA291" s="30"/>
      <c r="AB291" s="30"/>
    </row>
    <row r="292">
      <c r="A292" s="30"/>
      <c r="B292" s="30"/>
      <c r="C292" s="30"/>
      <c r="D292" s="30"/>
      <c r="E292" s="30"/>
      <c r="F292" s="292"/>
      <c r="G292" s="30"/>
      <c r="H292" s="30"/>
      <c r="I292" s="30"/>
      <c r="J292" s="30"/>
      <c r="K292" s="30"/>
      <c r="L292" s="30"/>
      <c r="M292" s="30"/>
      <c r="N292" s="30"/>
      <c r="O292" s="30"/>
      <c r="P292" s="30"/>
      <c r="Q292" s="30"/>
      <c r="R292" s="30"/>
      <c r="S292" s="195"/>
      <c r="T292" s="195"/>
      <c r="U292" s="195"/>
      <c r="V292" s="195"/>
      <c r="W292" s="30"/>
      <c r="X292" s="30"/>
      <c r="Y292" s="30"/>
      <c r="Z292" s="30"/>
      <c r="AA292" s="30"/>
      <c r="AB292" s="30"/>
    </row>
    <row r="293">
      <c r="A293" s="30"/>
      <c r="B293" s="30"/>
      <c r="C293" s="30"/>
      <c r="D293" s="30"/>
      <c r="E293" s="30"/>
      <c r="F293" s="292"/>
      <c r="G293" s="30"/>
      <c r="H293" s="30"/>
      <c r="I293" s="30"/>
      <c r="J293" s="30"/>
      <c r="K293" s="30"/>
      <c r="L293" s="30"/>
      <c r="M293" s="30"/>
      <c r="N293" s="30"/>
      <c r="O293" s="30"/>
      <c r="P293" s="30"/>
      <c r="Q293" s="30"/>
      <c r="R293" s="30"/>
      <c r="S293" s="195"/>
      <c r="T293" s="195"/>
      <c r="U293" s="195"/>
      <c r="V293" s="195"/>
      <c r="W293" s="30"/>
      <c r="X293" s="30"/>
      <c r="Y293" s="30"/>
      <c r="Z293" s="30"/>
      <c r="AA293" s="30"/>
      <c r="AB293" s="30"/>
    </row>
    <row r="294">
      <c r="A294" s="30"/>
      <c r="B294" s="30"/>
      <c r="C294" s="30"/>
      <c r="D294" s="30"/>
      <c r="E294" s="30"/>
      <c r="F294" s="292"/>
      <c r="G294" s="30"/>
      <c r="H294" s="30"/>
      <c r="I294" s="30"/>
      <c r="J294" s="30"/>
      <c r="K294" s="30"/>
      <c r="L294" s="30"/>
      <c r="M294" s="30"/>
      <c r="N294" s="30"/>
      <c r="O294" s="30"/>
      <c r="P294" s="30"/>
      <c r="Q294" s="30"/>
      <c r="R294" s="30"/>
      <c r="S294" s="195"/>
      <c r="T294" s="195"/>
      <c r="U294" s="195"/>
      <c r="V294" s="195"/>
      <c r="W294" s="30"/>
      <c r="X294" s="30"/>
      <c r="Y294" s="30"/>
      <c r="Z294" s="30"/>
      <c r="AA294" s="30"/>
      <c r="AB294" s="30"/>
    </row>
    <row r="295">
      <c r="A295" s="30"/>
      <c r="B295" s="30"/>
      <c r="C295" s="30"/>
      <c r="D295" s="30"/>
      <c r="E295" s="30"/>
      <c r="F295" s="292"/>
      <c r="G295" s="30"/>
      <c r="H295" s="30"/>
      <c r="I295" s="30"/>
      <c r="J295" s="30"/>
      <c r="K295" s="30"/>
      <c r="L295" s="30"/>
      <c r="M295" s="30"/>
      <c r="N295" s="30"/>
      <c r="O295" s="30"/>
      <c r="P295" s="30"/>
      <c r="Q295" s="30"/>
      <c r="R295" s="30"/>
      <c r="S295" s="195"/>
      <c r="T295" s="195"/>
      <c r="U295" s="195"/>
      <c r="V295" s="195"/>
      <c r="W295" s="30"/>
      <c r="X295" s="30"/>
      <c r="Y295" s="30"/>
      <c r="Z295" s="30"/>
      <c r="AA295" s="30"/>
      <c r="AB295" s="30"/>
    </row>
    <row r="296">
      <c r="A296" s="30"/>
      <c r="B296" s="30"/>
      <c r="C296" s="30"/>
      <c r="D296" s="30"/>
      <c r="E296" s="30"/>
      <c r="F296" s="292"/>
      <c r="G296" s="30"/>
      <c r="H296" s="30"/>
      <c r="I296" s="30"/>
      <c r="J296" s="30"/>
      <c r="K296" s="30"/>
      <c r="L296" s="30"/>
      <c r="M296" s="30"/>
      <c r="N296" s="30"/>
      <c r="O296" s="30"/>
      <c r="P296" s="30"/>
      <c r="Q296" s="30"/>
      <c r="R296" s="30"/>
      <c r="S296" s="195"/>
      <c r="T296" s="195"/>
      <c r="U296" s="195"/>
      <c r="V296" s="195"/>
      <c r="W296" s="30"/>
      <c r="X296" s="30"/>
      <c r="Y296" s="30"/>
      <c r="Z296" s="30"/>
      <c r="AA296" s="30"/>
      <c r="AB296" s="30"/>
    </row>
    <row r="297">
      <c r="A297" s="30"/>
      <c r="B297" s="30"/>
      <c r="C297" s="30"/>
      <c r="D297" s="30"/>
      <c r="E297" s="30"/>
      <c r="F297" s="292"/>
      <c r="G297" s="30"/>
      <c r="H297" s="30"/>
      <c r="I297" s="30"/>
      <c r="J297" s="30"/>
      <c r="K297" s="30"/>
      <c r="L297" s="30"/>
      <c r="M297" s="30"/>
      <c r="N297" s="30"/>
      <c r="O297" s="30"/>
      <c r="P297" s="30"/>
      <c r="Q297" s="30"/>
      <c r="R297" s="30"/>
      <c r="S297" s="195"/>
      <c r="T297" s="195"/>
      <c r="U297" s="195"/>
      <c r="V297" s="195"/>
      <c r="W297" s="30"/>
      <c r="X297" s="30"/>
      <c r="Y297" s="30"/>
      <c r="Z297" s="30"/>
      <c r="AA297" s="30"/>
      <c r="AB297" s="30"/>
    </row>
    <row r="298">
      <c r="A298" s="30"/>
      <c r="B298" s="30"/>
      <c r="C298" s="30"/>
      <c r="D298" s="30"/>
      <c r="E298" s="30"/>
      <c r="F298" s="292"/>
      <c r="G298" s="30"/>
      <c r="H298" s="30"/>
      <c r="I298" s="30"/>
      <c r="J298" s="30"/>
      <c r="K298" s="30"/>
      <c r="L298" s="30"/>
      <c r="M298" s="30"/>
      <c r="N298" s="30"/>
      <c r="O298" s="30"/>
      <c r="P298" s="30"/>
      <c r="Q298" s="30"/>
      <c r="R298" s="30"/>
      <c r="S298" s="195"/>
      <c r="T298" s="195"/>
      <c r="U298" s="195"/>
      <c r="V298" s="195"/>
      <c r="W298" s="30"/>
      <c r="X298" s="30"/>
      <c r="Y298" s="30"/>
      <c r="Z298" s="30"/>
      <c r="AA298" s="30"/>
      <c r="AB298" s="30"/>
    </row>
    <row r="299">
      <c r="A299" s="30"/>
      <c r="B299" s="30"/>
      <c r="C299" s="30"/>
      <c r="D299" s="30"/>
      <c r="E299" s="30"/>
      <c r="F299" s="292"/>
      <c r="G299" s="30"/>
      <c r="H299" s="30"/>
      <c r="I299" s="30"/>
      <c r="J299" s="30"/>
      <c r="K299" s="30"/>
      <c r="L299" s="30"/>
      <c r="M299" s="30"/>
      <c r="N299" s="30"/>
      <c r="O299" s="30"/>
      <c r="P299" s="30"/>
      <c r="Q299" s="30"/>
      <c r="R299" s="30"/>
      <c r="S299" s="195"/>
      <c r="T299" s="195"/>
      <c r="U299" s="195"/>
      <c r="V299" s="195"/>
      <c r="W299" s="30"/>
      <c r="X299" s="30"/>
      <c r="Y299" s="30"/>
      <c r="Z299" s="30"/>
      <c r="AA299" s="30"/>
      <c r="AB299" s="30"/>
    </row>
    <row r="300">
      <c r="A300" s="30"/>
      <c r="B300" s="30"/>
      <c r="C300" s="30"/>
      <c r="D300" s="30"/>
      <c r="E300" s="30"/>
      <c r="F300" s="292"/>
      <c r="G300" s="30"/>
      <c r="H300" s="30"/>
      <c r="I300" s="30"/>
      <c r="J300" s="30"/>
      <c r="K300" s="30"/>
      <c r="L300" s="30"/>
      <c r="M300" s="30"/>
      <c r="N300" s="30"/>
      <c r="O300" s="30"/>
      <c r="P300" s="30"/>
      <c r="Q300" s="30"/>
      <c r="R300" s="30"/>
      <c r="S300" s="195"/>
      <c r="T300" s="195"/>
      <c r="U300" s="195"/>
      <c r="V300" s="195"/>
      <c r="W300" s="30"/>
      <c r="X300" s="30"/>
      <c r="Y300" s="30"/>
      <c r="Z300" s="30"/>
      <c r="AA300" s="30"/>
      <c r="AB300" s="30"/>
    </row>
    <row r="301">
      <c r="A301" s="30"/>
      <c r="B301" s="30"/>
      <c r="C301" s="30"/>
      <c r="D301" s="30"/>
      <c r="E301" s="30"/>
      <c r="F301" s="292"/>
      <c r="G301" s="30"/>
      <c r="H301" s="30"/>
      <c r="I301" s="30"/>
      <c r="J301" s="30"/>
      <c r="K301" s="30"/>
      <c r="L301" s="30"/>
      <c r="M301" s="30"/>
      <c r="N301" s="30"/>
      <c r="O301" s="30"/>
      <c r="P301" s="30"/>
      <c r="Q301" s="30"/>
      <c r="R301" s="30"/>
      <c r="S301" s="195"/>
      <c r="T301" s="195"/>
      <c r="U301" s="195"/>
      <c r="V301" s="195"/>
      <c r="W301" s="30"/>
      <c r="X301" s="30"/>
      <c r="Y301" s="30"/>
      <c r="Z301" s="30"/>
      <c r="AA301" s="30"/>
      <c r="AB301" s="30"/>
    </row>
    <row r="302">
      <c r="A302" s="30"/>
      <c r="B302" s="30"/>
      <c r="C302" s="30"/>
      <c r="D302" s="30"/>
      <c r="E302" s="30"/>
      <c r="F302" s="292"/>
      <c r="G302" s="30"/>
      <c r="H302" s="30"/>
      <c r="I302" s="30"/>
      <c r="J302" s="30"/>
      <c r="K302" s="30"/>
      <c r="L302" s="30"/>
      <c r="M302" s="30"/>
      <c r="N302" s="30"/>
      <c r="O302" s="30"/>
      <c r="P302" s="30"/>
      <c r="Q302" s="30"/>
      <c r="R302" s="30"/>
      <c r="S302" s="195"/>
      <c r="T302" s="195"/>
      <c r="U302" s="195"/>
      <c r="V302" s="195"/>
      <c r="W302" s="30"/>
      <c r="X302" s="30"/>
      <c r="Y302" s="30"/>
      <c r="Z302" s="30"/>
      <c r="AA302" s="30"/>
      <c r="AB302" s="30"/>
    </row>
    <row r="303">
      <c r="A303" s="30"/>
      <c r="B303" s="30"/>
      <c r="C303" s="30"/>
      <c r="D303" s="30"/>
      <c r="E303" s="30"/>
      <c r="F303" s="292"/>
      <c r="G303" s="30"/>
      <c r="H303" s="30"/>
      <c r="I303" s="30"/>
      <c r="J303" s="30"/>
      <c r="K303" s="30"/>
      <c r="L303" s="30"/>
      <c r="M303" s="30"/>
      <c r="N303" s="30"/>
      <c r="O303" s="30"/>
      <c r="P303" s="30"/>
      <c r="Q303" s="30"/>
      <c r="R303" s="30"/>
      <c r="S303" s="195"/>
      <c r="T303" s="195"/>
      <c r="U303" s="195"/>
      <c r="V303" s="195"/>
      <c r="W303" s="30"/>
      <c r="X303" s="30"/>
      <c r="Y303" s="30"/>
      <c r="Z303" s="30"/>
      <c r="AA303" s="30"/>
      <c r="AB303" s="30"/>
    </row>
    <row r="304">
      <c r="A304" s="30"/>
      <c r="B304" s="30"/>
      <c r="C304" s="30"/>
      <c r="D304" s="30"/>
      <c r="E304" s="30"/>
      <c r="F304" s="292"/>
      <c r="G304" s="30"/>
      <c r="H304" s="30"/>
      <c r="I304" s="30"/>
      <c r="J304" s="30"/>
      <c r="K304" s="30"/>
      <c r="L304" s="30"/>
      <c r="M304" s="30"/>
      <c r="N304" s="30"/>
      <c r="O304" s="30"/>
      <c r="P304" s="30"/>
      <c r="Q304" s="30"/>
      <c r="R304" s="30"/>
      <c r="S304" s="195"/>
      <c r="T304" s="195"/>
      <c r="U304" s="195"/>
      <c r="V304" s="195"/>
      <c r="W304" s="30"/>
      <c r="X304" s="30"/>
      <c r="Y304" s="30"/>
      <c r="Z304" s="30"/>
      <c r="AA304" s="30"/>
      <c r="AB304" s="30"/>
    </row>
    <row r="305">
      <c r="A305" s="30"/>
      <c r="B305" s="30"/>
      <c r="C305" s="30"/>
      <c r="D305" s="30"/>
      <c r="E305" s="30"/>
      <c r="F305" s="292"/>
      <c r="G305" s="30"/>
      <c r="H305" s="30"/>
      <c r="I305" s="30"/>
      <c r="J305" s="30"/>
      <c r="K305" s="30"/>
      <c r="L305" s="30"/>
      <c r="M305" s="30"/>
      <c r="N305" s="30"/>
      <c r="O305" s="30"/>
      <c r="P305" s="30"/>
      <c r="Q305" s="30"/>
      <c r="R305" s="30"/>
      <c r="S305" s="195"/>
      <c r="T305" s="195"/>
      <c r="U305" s="195"/>
      <c r="V305" s="195"/>
      <c r="W305" s="30"/>
      <c r="X305" s="30"/>
      <c r="Y305" s="30"/>
      <c r="Z305" s="30"/>
      <c r="AA305" s="30"/>
      <c r="AB305" s="30"/>
    </row>
    <row r="306">
      <c r="A306" s="30"/>
      <c r="B306" s="30"/>
      <c r="C306" s="30"/>
      <c r="D306" s="30"/>
      <c r="E306" s="30"/>
      <c r="F306" s="292"/>
      <c r="G306" s="30"/>
      <c r="H306" s="30"/>
      <c r="I306" s="30"/>
      <c r="J306" s="30"/>
      <c r="K306" s="30"/>
      <c r="L306" s="30"/>
      <c r="M306" s="30"/>
      <c r="N306" s="30"/>
      <c r="O306" s="30"/>
      <c r="P306" s="30"/>
      <c r="Q306" s="30"/>
      <c r="R306" s="30"/>
      <c r="S306" s="195"/>
      <c r="T306" s="195"/>
      <c r="U306" s="195"/>
      <c r="V306" s="195"/>
      <c r="W306" s="30"/>
      <c r="X306" s="30"/>
      <c r="Y306" s="30"/>
      <c r="Z306" s="30"/>
      <c r="AA306" s="30"/>
      <c r="AB306" s="30"/>
    </row>
    <row r="307">
      <c r="A307" s="30"/>
      <c r="B307" s="30"/>
      <c r="C307" s="30"/>
      <c r="D307" s="30"/>
      <c r="E307" s="30"/>
      <c r="F307" s="292"/>
      <c r="G307" s="30"/>
      <c r="H307" s="30"/>
      <c r="I307" s="30"/>
      <c r="J307" s="30"/>
      <c r="K307" s="30"/>
      <c r="L307" s="30"/>
      <c r="M307" s="30"/>
      <c r="N307" s="30"/>
      <c r="O307" s="30"/>
      <c r="P307" s="30"/>
      <c r="Q307" s="30"/>
      <c r="R307" s="30"/>
      <c r="S307" s="195"/>
      <c r="T307" s="195"/>
      <c r="U307" s="195"/>
      <c r="V307" s="195"/>
      <c r="W307" s="30"/>
      <c r="X307" s="30"/>
      <c r="Y307" s="30"/>
      <c r="Z307" s="30"/>
      <c r="AA307" s="30"/>
      <c r="AB307" s="30"/>
    </row>
    <row r="308">
      <c r="A308" s="30"/>
      <c r="B308" s="30"/>
      <c r="C308" s="30"/>
      <c r="D308" s="30"/>
      <c r="E308" s="30"/>
      <c r="F308" s="292"/>
      <c r="G308" s="30"/>
      <c r="H308" s="30"/>
      <c r="I308" s="30"/>
      <c r="J308" s="30"/>
      <c r="K308" s="30"/>
      <c r="L308" s="30"/>
      <c r="M308" s="30"/>
      <c r="N308" s="30"/>
      <c r="O308" s="30"/>
      <c r="P308" s="30"/>
      <c r="Q308" s="30"/>
      <c r="R308" s="30"/>
      <c r="S308" s="195"/>
      <c r="T308" s="195"/>
      <c r="U308" s="195"/>
      <c r="V308" s="195"/>
      <c r="W308" s="30"/>
      <c r="X308" s="30"/>
      <c r="Y308" s="30"/>
      <c r="Z308" s="30"/>
      <c r="AA308" s="30"/>
      <c r="AB308" s="30"/>
    </row>
    <row r="309">
      <c r="A309" s="30"/>
      <c r="B309" s="30"/>
      <c r="C309" s="30"/>
      <c r="D309" s="30"/>
      <c r="E309" s="30"/>
      <c r="F309" s="292"/>
      <c r="G309" s="30"/>
      <c r="H309" s="30"/>
      <c r="I309" s="30"/>
      <c r="J309" s="30"/>
      <c r="K309" s="30"/>
      <c r="L309" s="30"/>
      <c r="M309" s="30"/>
      <c r="N309" s="30"/>
      <c r="O309" s="30"/>
      <c r="P309" s="30"/>
      <c r="Q309" s="30"/>
      <c r="R309" s="30"/>
      <c r="S309" s="195"/>
      <c r="T309" s="195"/>
      <c r="U309" s="195"/>
      <c r="V309" s="195"/>
      <c r="W309" s="30"/>
      <c r="X309" s="30"/>
      <c r="Y309" s="30"/>
      <c r="Z309" s="30"/>
      <c r="AA309" s="30"/>
      <c r="AB309" s="30"/>
    </row>
    <row r="310">
      <c r="A310" s="30"/>
      <c r="B310" s="30"/>
      <c r="C310" s="30"/>
      <c r="D310" s="30"/>
      <c r="E310" s="30"/>
      <c r="F310" s="292"/>
      <c r="G310" s="30"/>
      <c r="H310" s="30"/>
      <c r="I310" s="30"/>
      <c r="J310" s="30"/>
      <c r="K310" s="30"/>
      <c r="L310" s="30"/>
      <c r="M310" s="30"/>
      <c r="N310" s="30"/>
      <c r="O310" s="30"/>
      <c r="P310" s="30"/>
      <c r="Q310" s="30"/>
      <c r="R310" s="30"/>
      <c r="S310" s="195"/>
      <c r="T310" s="195"/>
      <c r="U310" s="195"/>
      <c r="V310" s="195"/>
      <c r="W310" s="30"/>
      <c r="X310" s="30"/>
      <c r="Y310" s="30"/>
      <c r="Z310" s="30"/>
      <c r="AA310" s="30"/>
      <c r="AB310" s="30"/>
    </row>
    <row r="311">
      <c r="A311" s="30"/>
      <c r="B311" s="30"/>
      <c r="C311" s="30"/>
      <c r="D311" s="30"/>
      <c r="E311" s="30"/>
      <c r="F311" s="292"/>
      <c r="G311" s="30"/>
      <c r="H311" s="30"/>
      <c r="I311" s="30"/>
      <c r="J311" s="30"/>
      <c r="K311" s="30"/>
      <c r="L311" s="30"/>
      <c r="M311" s="30"/>
      <c r="N311" s="30"/>
      <c r="O311" s="30"/>
      <c r="P311" s="30"/>
      <c r="Q311" s="30"/>
      <c r="R311" s="30"/>
      <c r="S311" s="195"/>
      <c r="T311" s="195"/>
      <c r="U311" s="195"/>
      <c r="V311" s="195"/>
      <c r="W311" s="30"/>
      <c r="X311" s="30"/>
      <c r="Y311" s="30"/>
      <c r="Z311" s="30"/>
      <c r="AA311" s="30"/>
      <c r="AB311" s="30"/>
    </row>
    <row r="312">
      <c r="A312" s="30"/>
      <c r="B312" s="30"/>
      <c r="C312" s="30"/>
      <c r="D312" s="30"/>
      <c r="E312" s="30"/>
      <c r="F312" s="292"/>
      <c r="G312" s="30"/>
      <c r="H312" s="30"/>
      <c r="I312" s="30"/>
      <c r="J312" s="30"/>
      <c r="K312" s="30"/>
      <c r="L312" s="30"/>
      <c r="M312" s="30"/>
      <c r="N312" s="30"/>
      <c r="O312" s="30"/>
      <c r="P312" s="30"/>
      <c r="Q312" s="30"/>
      <c r="R312" s="30"/>
      <c r="S312" s="195"/>
      <c r="T312" s="195"/>
      <c r="U312" s="195"/>
      <c r="V312" s="195"/>
      <c r="W312" s="30"/>
      <c r="X312" s="30"/>
      <c r="Y312" s="30"/>
      <c r="Z312" s="30"/>
      <c r="AA312" s="30"/>
      <c r="AB312" s="30"/>
    </row>
    <row r="313">
      <c r="A313" s="30"/>
      <c r="B313" s="30"/>
      <c r="C313" s="30"/>
      <c r="D313" s="30"/>
      <c r="E313" s="30"/>
      <c r="F313" s="292"/>
      <c r="G313" s="30"/>
      <c r="H313" s="30"/>
      <c r="I313" s="30"/>
      <c r="J313" s="30"/>
      <c r="K313" s="30"/>
      <c r="L313" s="30"/>
      <c r="M313" s="30"/>
      <c r="N313" s="30"/>
      <c r="O313" s="30"/>
      <c r="P313" s="30"/>
      <c r="Q313" s="30"/>
      <c r="R313" s="30"/>
      <c r="S313" s="195"/>
      <c r="T313" s="195"/>
      <c r="U313" s="195"/>
      <c r="V313" s="195"/>
      <c r="W313" s="30"/>
      <c r="X313" s="30"/>
      <c r="Y313" s="30"/>
      <c r="Z313" s="30"/>
      <c r="AA313" s="30"/>
      <c r="AB313" s="30"/>
    </row>
    <row r="314">
      <c r="A314" s="30"/>
      <c r="B314" s="30"/>
      <c r="C314" s="30"/>
      <c r="D314" s="30"/>
      <c r="E314" s="30"/>
      <c r="F314" s="292"/>
      <c r="G314" s="30"/>
      <c r="H314" s="30"/>
      <c r="I314" s="30"/>
      <c r="J314" s="30"/>
      <c r="K314" s="30"/>
      <c r="L314" s="30"/>
      <c r="M314" s="30"/>
      <c r="N314" s="30"/>
      <c r="O314" s="30"/>
      <c r="P314" s="30"/>
      <c r="Q314" s="30"/>
      <c r="R314" s="30"/>
      <c r="S314" s="195"/>
      <c r="T314" s="195"/>
      <c r="U314" s="195"/>
      <c r="V314" s="195"/>
      <c r="W314" s="30"/>
      <c r="X314" s="30"/>
      <c r="Y314" s="30"/>
      <c r="Z314" s="30"/>
      <c r="AA314" s="30"/>
      <c r="AB314" s="30"/>
    </row>
    <row r="315">
      <c r="A315" s="30"/>
      <c r="B315" s="30"/>
      <c r="C315" s="30"/>
      <c r="D315" s="30"/>
      <c r="E315" s="30"/>
      <c r="F315" s="292"/>
      <c r="G315" s="30"/>
      <c r="H315" s="30"/>
      <c r="I315" s="30"/>
      <c r="J315" s="30"/>
      <c r="K315" s="30"/>
      <c r="L315" s="30"/>
      <c r="M315" s="30"/>
      <c r="N315" s="30"/>
      <c r="O315" s="30"/>
      <c r="P315" s="30"/>
      <c r="Q315" s="30"/>
      <c r="R315" s="30"/>
      <c r="S315" s="195"/>
      <c r="T315" s="195"/>
      <c r="U315" s="195"/>
      <c r="V315" s="195"/>
      <c r="W315" s="30"/>
      <c r="X315" s="30"/>
      <c r="Y315" s="30"/>
      <c r="Z315" s="30"/>
      <c r="AA315" s="30"/>
      <c r="AB315" s="30"/>
    </row>
    <row r="316">
      <c r="A316" s="30"/>
      <c r="B316" s="30"/>
      <c r="C316" s="30"/>
      <c r="D316" s="30"/>
      <c r="E316" s="30"/>
      <c r="F316" s="292"/>
      <c r="G316" s="30"/>
      <c r="H316" s="30"/>
      <c r="I316" s="30"/>
      <c r="J316" s="30"/>
      <c r="K316" s="30"/>
      <c r="L316" s="30"/>
      <c r="M316" s="30"/>
      <c r="N316" s="30"/>
      <c r="O316" s="30"/>
      <c r="P316" s="30"/>
      <c r="Q316" s="30"/>
      <c r="R316" s="30"/>
      <c r="S316" s="195"/>
      <c r="T316" s="195"/>
      <c r="U316" s="195"/>
      <c r="V316" s="195"/>
      <c r="W316" s="30"/>
      <c r="X316" s="30"/>
      <c r="Y316" s="30"/>
      <c r="Z316" s="30"/>
      <c r="AA316" s="30"/>
      <c r="AB316" s="30"/>
    </row>
    <row r="317">
      <c r="A317" s="30"/>
      <c r="B317" s="30"/>
      <c r="C317" s="30"/>
      <c r="D317" s="30"/>
      <c r="E317" s="30"/>
      <c r="F317" s="292"/>
      <c r="G317" s="30"/>
      <c r="H317" s="30"/>
      <c r="I317" s="30"/>
      <c r="J317" s="30"/>
      <c r="K317" s="30"/>
      <c r="L317" s="30"/>
      <c r="M317" s="30"/>
      <c r="N317" s="30"/>
      <c r="O317" s="30"/>
      <c r="P317" s="30"/>
      <c r="Q317" s="30"/>
      <c r="R317" s="30"/>
      <c r="S317" s="195"/>
      <c r="T317" s="195"/>
      <c r="U317" s="195"/>
      <c r="V317" s="195"/>
      <c r="W317" s="30"/>
      <c r="X317" s="30"/>
      <c r="Y317" s="30"/>
      <c r="Z317" s="30"/>
      <c r="AA317" s="30"/>
      <c r="AB317" s="30"/>
    </row>
    <row r="318">
      <c r="A318" s="30"/>
      <c r="B318" s="30"/>
      <c r="C318" s="30"/>
      <c r="D318" s="30"/>
      <c r="E318" s="30"/>
      <c r="F318" s="292"/>
      <c r="G318" s="30"/>
      <c r="H318" s="30"/>
      <c r="I318" s="30"/>
      <c r="J318" s="30"/>
      <c r="K318" s="30"/>
      <c r="L318" s="30"/>
      <c r="M318" s="30"/>
      <c r="N318" s="30"/>
      <c r="O318" s="30"/>
      <c r="P318" s="30"/>
      <c r="Q318" s="30"/>
      <c r="R318" s="30"/>
      <c r="S318" s="195"/>
      <c r="T318" s="195"/>
      <c r="U318" s="195"/>
      <c r="V318" s="195"/>
      <c r="W318" s="30"/>
      <c r="X318" s="30"/>
      <c r="Y318" s="30"/>
      <c r="Z318" s="30"/>
      <c r="AA318" s="30"/>
      <c r="AB318" s="30"/>
    </row>
    <row r="319">
      <c r="A319" s="30"/>
      <c r="B319" s="30"/>
      <c r="C319" s="30"/>
      <c r="D319" s="30"/>
      <c r="E319" s="30"/>
      <c r="F319" s="292"/>
      <c r="G319" s="30"/>
      <c r="H319" s="30"/>
      <c r="I319" s="30"/>
      <c r="J319" s="30"/>
      <c r="K319" s="30"/>
      <c r="L319" s="30"/>
      <c r="M319" s="30"/>
      <c r="N319" s="30"/>
      <c r="O319" s="30"/>
      <c r="P319" s="30"/>
      <c r="Q319" s="30"/>
      <c r="R319" s="30"/>
      <c r="S319" s="195"/>
      <c r="T319" s="195"/>
      <c r="U319" s="195"/>
      <c r="V319" s="195"/>
      <c r="W319" s="30"/>
      <c r="X319" s="30"/>
      <c r="Y319" s="30"/>
      <c r="Z319" s="30"/>
      <c r="AA319" s="30"/>
      <c r="AB319" s="30"/>
    </row>
    <row r="320">
      <c r="A320" s="30"/>
      <c r="B320" s="30"/>
      <c r="C320" s="30"/>
      <c r="D320" s="30"/>
      <c r="E320" s="30"/>
      <c r="F320" s="292"/>
      <c r="G320" s="30"/>
      <c r="H320" s="30"/>
      <c r="I320" s="30"/>
      <c r="J320" s="30"/>
      <c r="K320" s="30"/>
      <c r="L320" s="30"/>
      <c r="M320" s="30"/>
      <c r="N320" s="30"/>
      <c r="O320" s="30"/>
      <c r="P320" s="30"/>
      <c r="Q320" s="30"/>
      <c r="R320" s="30"/>
      <c r="S320" s="195"/>
      <c r="T320" s="195"/>
      <c r="U320" s="195"/>
      <c r="V320" s="195"/>
      <c r="W320" s="30"/>
      <c r="X320" s="30"/>
      <c r="Y320" s="30"/>
      <c r="Z320" s="30"/>
      <c r="AA320" s="30"/>
      <c r="AB320" s="30"/>
    </row>
    <row r="321">
      <c r="A321" s="30"/>
      <c r="B321" s="30"/>
      <c r="C321" s="30"/>
      <c r="D321" s="30"/>
      <c r="E321" s="30"/>
      <c r="F321" s="292"/>
      <c r="G321" s="30"/>
      <c r="H321" s="30"/>
      <c r="I321" s="30"/>
      <c r="J321" s="30"/>
      <c r="K321" s="30"/>
      <c r="L321" s="30"/>
      <c r="M321" s="30"/>
      <c r="N321" s="30"/>
      <c r="O321" s="30"/>
      <c r="P321" s="30"/>
      <c r="Q321" s="30"/>
      <c r="R321" s="30"/>
      <c r="S321" s="195"/>
      <c r="T321" s="195"/>
      <c r="U321" s="195"/>
      <c r="V321" s="195"/>
      <c r="W321" s="30"/>
      <c r="X321" s="30"/>
      <c r="Y321" s="30"/>
      <c r="Z321" s="30"/>
      <c r="AA321" s="30"/>
      <c r="AB321" s="30"/>
    </row>
    <row r="322">
      <c r="A322" s="30"/>
      <c r="B322" s="30"/>
      <c r="C322" s="30"/>
      <c r="D322" s="30"/>
      <c r="E322" s="30"/>
      <c r="F322" s="292"/>
      <c r="G322" s="30"/>
      <c r="H322" s="30"/>
      <c r="I322" s="30"/>
      <c r="J322" s="30"/>
      <c r="K322" s="30"/>
      <c r="L322" s="30"/>
      <c r="M322" s="30"/>
      <c r="N322" s="30"/>
      <c r="O322" s="30"/>
      <c r="P322" s="30"/>
      <c r="Q322" s="30"/>
      <c r="R322" s="30"/>
      <c r="S322" s="195"/>
      <c r="T322" s="195"/>
      <c r="U322" s="195"/>
      <c r="V322" s="195"/>
      <c r="W322" s="30"/>
      <c r="X322" s="30"/>
      <c r="Y322" s="30"/>
      <c r="Z322" s="30"/>
      <c r="AA322" s="30"/>
      <c r="AB322" s="30"/>
    </row>
    <row r="323">
      <c r="A323" s="30"/>
      <c r="B323" s="30"/>
      <c r="C323" s="30"/>
      <c r="D323" s="30"/>
      <c r="E323" s="30"/>
      <c r="F323" s="292"/>
      <c r="G323" s="30"/>
      <c r="H323" s="30"/>
      <c r="I323" s="30"/>
      <c r="J323" s="30"/>
      <c r="K323" s="30"/>
      <c r="L323" s="30"/>
      <c r="M323" s="30"/>
      <c r="N323" s="30"/>
      <c r="O323" s="30"/>
      <c r="P323" s="30"/>
      <c r="Q323" s="30"/>
      <c r="R323" s="30"/>
      <c r="S323" s="195"/>
      <c r="T323" s="195"/>
      <c r="U323" s="195"/>
      <c r="V323" s="195"/>
      <c r="W323" s="30"/>
      <c r="X323" s="30"/>
      <c r="Y323" s="30"/>
      <c r="Z323" s="30"/>
      <c r="AA323" s="30"/>
      <c r="AB323" s="30"/>
    </row>
    <row r="324">
      <c r="A324" s="30"/>
      <c r="B324" s="30"/>
      <c r="C324" s="30"/>
      <c r="D324" s="30"/>
      <c r="E324" s="30"/>
      <c r="F324" s="292"/>
      <c r="G324" s="30"/>
      <c r="H324" s="30"/>
      <c r="I324" s="30"/>
      <c r="J324" s="30"/>
      <c r="K324" s="30"/>
      <c r="L324" s="30"/>
      <c r="M324" s="30"/>
      <c r="N324" s="30"/>
      <c r="O324" s="30"/>
      <c r="P324" s="30"/>
      <c r="Q324" s="30"/>
      <c r="R324" s="30"/>
      <c r="S324" s="195"/>
      <c r="T324" s="195"/>
      <c r="U324" s="195"/>
      <c r="V324" s="195"/>
      <c r="W324" s="30"/>
      <c r="X324" s="30"/>
      <c r="Y324" s="30"/>
      <c r="Z324" s="30"/>
      <c r="AA324" s="30"/>
      <c r="AB324" s="30"/>
    </row>
    <row r="325">
      <c r="A325" s="30"/>
      <c r="B325" s="30"/>
      <c r="C325" s="30"/>
      <c r="D325" s="30"/>
      <c r="E325" s="30"/>
      <c r="F325" s="292"/>
      <c r="G325" s="30"/>
      <c r="H325" s="30"/>
      <c r="I325" s="30"/>
      <c r="J325" s="30"/>
      <c r="K325" s="30"/>
      <c r="L325" s="30"/>
      <c r="M325" s="30"/>
      <c r="N325" s="30"/>
      <c r="O325" s="30"/>
      <c r="P325" s="30"/>
      <c r="Q325" s="30"/>
      <c r="R325" s="30"/>
      <c r="S325" s="195"/>
      <c r="T325" s="195"/>
      <c r="U325" s="195"/>
      <c r="V325" s="195"/>
      <c r="W325" s="30"/>
      <c r="X325" s="30"/>
      <c r="Y325" s="30"/>
      <c r="Z325" s="30"/>
      <c r="AA325" s="30"/>
      <c r="AB325" s="30"/>
    </row>
    <row r="326">
      <c r="A326" s="30"/>
      <c r="B326" s="30"/>
      <c r="C326" s="30"/>
      <c r="D326" s="30"/>
      <c r="E326" s="30"/>
      <c r="F326" s="292"/>
      <c r="G326" s="30"/>
      <c r="H326" s="30"/>
      <c r="I326" s="30"/>
      <c r="J326" s="30"/>
      <c r="K326" s="30"/>
      <c r="L326" s="30"/>
      <c r="M326" s="30"/>
      <c r="N326" s="30"/>
      <c r="O326" s="30"/>
      <c r="P326" s="30"/>
      <c r="Q326" s="30"/>
      <c r="R326" s="30"/>
      <c r="S326" s="195"/>
      <c r="T326" s="195"/>
      <c r="U326" s="195"/>
      <c r="V326" s="195"/>
      <c r="W326" s="30"/>
      <c r="X326" s="30"/>
      <c r="Y326" s="30"/>
      <c r="Z326" s="30"/>
      <c r="AA326" s="30"/>
      <c r="AB326" s="30"/>
    </row>
    <row r="327">
      <c r="A327" s="30"/>
      <c r="B327" s="30"/>
      <c r="C327" s="30"/>
      <c r="D327" s="30"/>
      <c r="E327" s="30"/>
      <c r="F327" s="292"/>
      <c r="G327" s="30"/>
      <c r="H327" s="30"/>
      <c r="I327" s="30"/>
      <c r="J327" s="30"/>
      <c r="K327" s="30"/>
      <c r="L327" s="30"/>
      <c r="M327" s="30"/>
      <c r="N327" s="30"/>
      <c r="O327" s="30"/>
      <c r="P327" s="30"/>
      <c r="Q327" s="30"/>
      <c r="R327" s="30"/>
      <c r="S327" s="195"/>
      <c r="T327" s="195"/>
      <c r="U327" s="195"/>
      <c r="V327" s="195"/>
      <c r="W327" s="30"/>
      <c r="X327" s="30"/>
      <c r="Y327" s="30"/>
      <c r="Z327" s="30"/>
      <c r="AA327" s="30"/>
      <c r="AB327" s="30"/>
    </row>
    <row r="328">
      <c r="A328" s="30"/>
      <c r="B328" s="30"/>
      <c r="C328" s="30"/>
      <c r="D328" s="30"/>
      <c r="E328" s="30"/>
      <c r="F328" s="292"/>
      <c r="G328" s="30"/>
      <c r="H328" s="30"/>
      <c r="I328" s="30"/>
      <c r="J328" s="30"/>
      <c r="K328" s="30"/>
      <c r="L328" s="30"/>
      <c r="M328" s="30"/>
      <c r="N328" s="30"/>
      <c r="O328" s="30"/>
      <c r="P328" s="30"/>
      <c r="Q328" s="30"/>
      <c r="R328" s="30"/>
      <c r="S328" s="195"/>
      <c r="T328" s="195"/>
      <c r="U328" s="195"/>
      <c r="V328" s="195"/>
      <c r="W328" s="30"/>
      <c r="X328" s="30"/>
      <c r="Y328" s="30"/>
      <c r="Z328" s="30"/>
      <c r="AA328" s="30"/>
      <c r="AB328" s="30"/>
    </row>
    <row r="329">
      <c r="A329" s="30"/>
      <c r="B329" s="30"/>
      <c r="C329" s="30"/>
      <c r="D329" s="30"/>
      <c r="E329" s="30"/>
      <c r="F329" s="292"/>
      <c r="G329" s="30"/>
      <c r="H329" s="30"/>
      <c r="I329" s="30"/>
      <c r="J329" s="30"/>
      <c r="K329" s="30"/>
      <c r="L329" s="30"/>
      <c r="M329" s="30"/>
      <c r="N329" s="30"/>
      <c r="O329" s="30"/>
      <c r="P329" s="30"/>
      <c r="Q329" s="30"/>
      <c r="R329" s="30"/>
      <c r="S329" s="195"/>
      <c r="T329" s="195"/>
      <c r="U329" s="195"/>
      <c r="V329" s="195"/>
      <c r="W329" s="30"/>
      <c r="X329" s="30"/>
      <c r="Y329" s="30"/>
      <c r="Z329" s="30"/>
      <c r="AA329" s="30"/>
      <c r="AB329" s="30"/>
    </row>
    <row r="330">
      <c r="A330" s="30"/>
      <c r="B330" s="30"/>
      <c r="C330" s="30"/>
      <c r="D330" s="30"/>
      <c r="E330" s="30"/>
      <c r="F330" s="292"/>
      <c r="G330" s="30"/>
      <c r="H330" s="30"/>
      <c r="I330" s="30"/>
      <c r="J330" s="30"/>
      <c r="K330" s="30"/>
      <c r="L330" s="30"/>
      <c r="M330" s="30"/>
      <c r="N330" s="30"/>
      <c r="O330" s="30"/>
      <c r="P330" s="30"/>
      <c r="Q330" s="30"/>
      <c r="R330" s="30"/>
      <c r="S330" s="195"/>
      <c r="T330" s="195"/>
      <c r="U330" s="195"/>
      <c r="V330" s="195"/>
      <c r="W330" s="30"/>
      <c r="X330" s="30"/>
      <c r="Y330" s="30"/>
      <c r="Z330" s="30"/>
      <c r="AA330" s="30"/>
      <c r="AB330" s="30"/>
    </row>
    <row r="331">
      <c r="A331" s="30"/>
      <c r="B331" s="30"/>
      <c r="C331" s="30"/>
      <c r="D331" s="30"/>
      <c r="E331" s="30"/>
      <c r="F331" s="292"/>
      <c r="G331" s="30"/>
      <c r="H331" s="30"/>
      <c r="I331" s="30"/>
      <c r="J331" s="30"/>
      <c r="K331" s="30"/>
      <c r="L331" s="30"/>
      <c r="M331" s="30"/>
      <c r="N331" s="30"/>
      <c r="O331" s="30"/>
      <c r="P331" s="30"/>
      <c r="Q331" s="30"/>
      <c r="R331" s="30"/>
      <c r="S331" s="195"/>
      <c r="T331" s="195"/>
      <c r="U331" s="195"/>
      <c r="V331" s="195"/>
      <c r="W331" s="30"/>
      <c r="X331" s="30"/>
      <c r="Y331" s="30"/>
      <c r="Z331" s="30"/>
      <c r="AA331" s="30"/>
      <c r="AB331" s="30"/>
    </row>
    <row r="332">
      <c r="A332" s="30"/>
      <c r="B332" s="30"/>
      <c r="C332" s="30"/>
      <c r="D332" s="30"/>
      <c r="E332" s="30"/>
      <c r="F332" s="292"/>
      <c r="G332" s="30"/>
      <c r="H332" s="30"/>
      <c r="I332" s="30"/>
      <c r="J332" s="30"/>
      <c r="K332" s="30"/>
      <c r="L332" s="30"/>
      <c r="M332" s="30"/>
      <c r="N332" s="30"/>
      <c r="O332" s="30"/>
      <c r="P332" s="30"/>
      <c r="Q332" s="30"/>
      <c r="R332" s="30"/>
      <c r="S332" s="195"/>
      <c r="T332" s="195"/>
      <c r="U332" s="195"/>
      <c r="V332" s="195"/>
      <c r="W332" s="30"/>
      <c r="X332" s="30"/>
      <c r="Y332" s="30"/>
      <c r="Z332" s="30"/>
      <c r="AA332" s="30"/>
      <c r="AB332" s="30"/>
    </row>
    <row r="333">
      <c r="A333" s="30"/>
      <c r="B333" s="30"/>
      <c r="C333" s="30"/>
      <c r="D333" s="30"/>
      <c r="E333" s="30"/>
      <c r="F333" s="292"/>
      <c r="G333" s="30"/>
      <c r="H333" s="30"/>
      <c r="I333" s="30"/>
      <c r="J333" s="30"/>
      <c r="K333" s="30"/>
      <c r="L333" s="30"/>
      <c r="M333" s="30"/>
      <c r="N333" s="30"/>
      <c r="O333" s="30"/>
      <c r="P333" s="30"/>
      <c r="Q333" s="30"/>
      <c r="R333" s="30"/>
      <c r="S333" s="195"/>
      <c r="T333" s="195"/>
      <c r="U333" s="195"/>
      <c r="V333" s="195"/>
      <c r="W333" s="30"/>
      <c r="X333" s="30"/>
      <c r="Y333" s="30"/>
      <c r="Z333" s="30"/>
      <c r="AA333" s="30"/>
      <c r="AB333" s="30"/>
    </row>
    <row r="334">
      <c r="A334" s="30"/>
      <c r="B334" s="30"/>
      <c r="C334" s="30"/>
      <c r="D334" s="30"/>
      <c r="E334" s="30"/>
      <c r="F334" s="292"/>
      <c r="G334" s="30"/>
      <c r="H334" s="30"/>
      <c r="I334" s="30"/>
      <c r="J334" s="30"/>
      <c r="K334" s="30"/>
      <c r="L334" s="30"/>
      <c r="M334" s="30"/>
      <c r="N334" s="30"/>
      <c r="O334" s="30"/>
      <c r="P334" s="30"/>
      <c r="Q334" s="30"/>
      <c r="R334" s="30"/>
      <c r="S334" s="195"/>
      <c r="T334" s="195"/>
      <c r="U334" s="195"/>
      <c r="V334" s="195"/>
      <c r="W334" s="30"/>
      <c r="X334" s="30"/>
      <c r="Y334" s="30"/>
      <c r="Z334" s="30"/>
      <c r="AA334" s="30"/>
      <c r="AB334" s="30"/>
    </row>
    <row r="335">
      <c r="A335" s="30"/>
      <c r="B335" s="30"/>
      <c r="C335" s="30"/>
      <c r="D335" s="30"/>
      <c r="E335" s="30"/>
      <c r="F335" s="292"/>
      <c r="G335" s="30"/>
      <c r="H335" s="30"/>
      <c r="I335" s="30"/>
      <c r="J335" s="30"/>
      <c r="K335" s="30"/>
      <c r="L335" s="30"/>
      <c r="M335" s="30"/>
      <c r="N335" s="30"/>
      <c r="O335" s="30"/>
      <c r="P335" s="30"/>
      <c r="Q335" s="30"/>
      <c r="R335" s="30"/>
      <c r="S335" s="195"/>
      <c r="T335" s="195"/>
      <c r="U335" s="195"/>
      <c r="V335" s="195"/>
      <c r="W335" s="30"/>
      <c r="X335" s="30"/>
      <c r="Y335" s="30"/>
      <c r="Z335" s="30"/>
      <c r="AA335" s="30"/>
      <c r="AB335" s="30"/>
    </row>
    <row r="336">
      <c r="A336" s="30"/>
      <c r="B336" s="30"/>
      <c r="C336" s="30"/>
      <c r="D336" s="30"/>
      <c r="E336" s="30"/>
      <c r="F336" s="292"/>
      <c r="G336" s="30"/>
      <c r="H336" s="30"/>
      <c r="I336" s="30"/>
      <c r="J336" s="30"/>
      <c r="K336" s="30"/>
      <c r="L336" s="30"/>
      <c r="M336" s="30"/>
      <c r="N336" s="30"/>
      <c r="O336" s="30"/>
      <c r="P336" s="30"/>
      <c r="Q336" s="30"/>
      <c r="R336" s="30"/>
      <c r="S336" s="195"/>
      <c r="T336" s="195"/>
      <c r="U336" s="195"/>
      <c r="V336" s="195"/>
      <c r="W336" s="30"/>
      <c r="X336" s="30"/>
      <c r="Y336" s="30"/>
      <c r="Z336" s="30"/>
      <c r="AA336" s="30"/>
      <c r="AB336" s="30"/>
    </row>
    <row r="337">
      <c r="A337" s="30"/>
      <c r="B337" s="30"/>
      <c r="C337" s="30"/>
      <c r="D337" s="30"/>
      <c r="E337" s="30"/>
      <c r="F337" s="292"/>
      <c r="G337" s="30"/>
      <c r="H337" s="30"/>
      <c r="I337" s="30"/>
      <c r="J337" s="30"/>
      <c r="K337" s="30"/>
      <c r="L337" s="30"/>
      <c r="M337" s="30"/>
      <c r="N337" s="30"/>
      <c r="O337" s="30"/>
      <c r="P337" s="30"/>
      <c r="Q337" s="30"/>
      <c r="R337" s="30"/>
      <c r="S337" s="195"/>
      <c r="T337" s="195"/>
      <c r="U337" s="195"/>
      <c r="V337" s="195"/>
      <c r="W337" s="30"/>
      <c r="X337" s="30"/>
      <c r="Y337" s="30"/>
      <c r="Z337" s="30"/>
      <c r="AA337" s="30"/>
      <c r="AB337" s="30"/>
    </row>
    <row r="338">
      <c r="A338" s="30"/>
      <c r="B338" s="30"/>
      <c r="C338" s="30"/>
      <c r="D338" s="30"/>
      <c r="E338" s="30"/>
      <c r="F338" s="292"/>
      <c r="G338" s="30"/>
      <c r="H338" s="30"/>
      <c r="I338" s="30"/>
      <c r="J338" s="30"/>
      <c r="K338" s="30"/>
      <c r="L338" s="30"/>
      <c r="M338" s="30"/>
      <c r="N338" s="30"/>
      <c r="O338" s="30"/>
      <c r="P338" s="30"/>
      <c r="Q338" s="30"/>
      <c r="R338" s="30"/>
      <c r="S338" s="195"/>
      <c r="T338" s="195"/>
      <c r="U338" s="195"/>
      <c r="V338" s="195"/>
      <c r="W338" s="30"/>
      <c r="X338" s="30"/>
      <c r="Y338" s="30"/>
      <c r="Z338" s="30"/>
      <c r="AA338" s="30"/>
      <c r="AB338" s="30"/>
    </row>
    <row r="339">
      <c r="A339" s="30"/>
      <c r="B339" s="30"/>
      <c r="C339" s="30"/>
      <c r="D339" s="30"/>
      <c r="E339" s="30"/>
      <c r="F339" s="292"/>
      <c r="G339" s="30"/>
      <c r="H339" s="30"/>
      <c r="I339" s="30"/>
      <c r="J339" s="30"/>
      <c r="K339" s="30"/>
      <c r="L339" s="30"/>
      <c r="M339" s="30"/>
      <c r="N339" s="30"/>
      <c r="O339" s="30"/>
      <c r="P339" s="30"/>
      <c r="Q339" s="30"/>
      <c r="R339" s="30"/>
      <c r="S339" s="195"/>
      <c r="T339" s="195"/>
      <c r="U339" s="195"/>
      <c r="V339" s="195"/>
      <c r="W339" s="30"/>
      <c r="X339" s="30"/>
      <c r="Y339" s="30"/>
      <c r="Z339" s="30"/>
      <c r="AA339" s="30"/>
      <c r="AB339" s="30"/>
    </row>
    <row r="340">
      <c r="A340" s="30"/>
      <c r="B340" s="30"/>
      <c r="C340" s="30"/>
      <c r="D340" s="30"/>
      <c r="E340" s="30"/>
      <c r="F340" s="292"/>
      <c r="G340" s="30"/>
      <c r="H340" s="30"/>
      <c r="I340" s="30"/>
      <c r="J340" s="30"/>
      <c r="K340" s="30"/>
      <c r="L340" s="30"/>
      <c r="M340" s="30"/>
      <c r="N340" s="30"/>
      <c r="O340" s="30"/>
      <c r="P340" s="30"/>
      <c r="Q340" s="30"/>
      <c r="R340" s="30"/>
      <c r="S340" s="195"/>
      <c r="T340" s="195"/>
      <c r="U340" s="195"/>
      <c r="V340" s="195"/>
      <c r="W340" s="30"/>
      <c r="X340" s="30"/>
      <c r="Y340" s="30"/>
      <c r="Z340" s="30"/>
      <c r="AA340" s="30"/>
      <c r="AB340" s="30"/>
    </row>
    <row r="341">
      <c r="A341" s="30"/>
      <c r="B341" s="30"/>
      <c r="C341" s="30"/>
      <c r="D341" s="30"/>
      <c r="E341" s="30"/>
      <c r="F341" s="292"/>
      <c r="G341" s="30"/>
      <c r="H341" s="30"/>
      <c r="I341" s="30"/>
      <c r="J341" s="30"/>
      <c r="K341" s="30"/>
      <c r="L341" s="30"/>
      <c r="M341" s="30"/>
      <c r="N341" s="30"/>
      <c r="O341" s="30"/>
      <c r="P341" s="30"/>
      <c r="Q341" s="30"/>
      <c r="R341" s="30"/>
      <c r="S341" s="195"/>
      <c r="T341" s="195"/>
      <c r="U341" s="195"/>
      <c r="V341" s="195"/>
      <c r="W341" s="30"/>
      <c r="X341" s="30"/>
      <c r="Y341" s="30"/>
      <c r="Z341" s="30"/>
      <c r="AA341" s="30"/>
      <c r="AB341" s="30"/>
    </row>
    <row r="342">
      <c r="A342" s="30"/>
      <c r="B342" s="30"/>
      <c r="C342" s="30"/>
      <c r="D342" s="30"/>
      <c r="E342" s="30"/>
      <c r="F342" s="292"/>
      <c r="G342" s="30"/>
      <c r="H342" s="30"/>
      <c r="I342" s="30"/>
      <c r="J342" s="30"/>
      <c r="K342" s="30"/>
      <c r="L342" s="30"/>
      <c r="M342" s="30"/>
      <c r="N342" s="30"/>
      <c r="O342" s="30"/>
      <c r="P342" s="30"/>
      <c r="Q342" s="30"/>
      <c r="R342" s="30"/>
      <c r="S342" s="195"/>
      <c r="T342" s="195"/>
      <c r="U342" s="195"/>
      <c r="V342" s="195"/>
      <c r="W342" s="30"/>
      <c r="X342" s="30"/>
      <c r="Y342" s="30"/>
      <c r="Z342" s="30"/>
      <c r="AA342" s="30"/>
      <c r="AB342" s="30"/>
    </row>
    <row r="343">
      <c r="A343" s="30"/>
      <c r="B343" s="30"/>
      <c r="C343" s="30"/>
      <c r="D343" s="30"/>
      <c r="E343" s="30"/>
      <c r="F343" s="292"/>
      <c r="G343" s="30"/>
      <c r="H343" s="30"/>
      <c r="I343" s="30"/>
      <c r="J343" s="30"/>
      <c r="K343" s="30"/>
      <c r="L343" s="30"/>
      <c r="M343" s="30"/>
      <c r="N343" s="30"/>
      <c r="O343" s="30"/>
      <c r="P343" s="30"/>
      <c r="Q343" s="30"/>
      <c r="R343" s="30"/>
      <c r="S343" s="195"/>
      <c r="T343" s="195"/>
      <c r="U343" s="195"/>
      <c r="V343" s="195"/>
      <c r="W343" s="30"/>
      <c r="X343" s="30"/>
      <c r="Y343" s="30"/>
      <c r="Z343" s="30"/>
      <c r="AA343" s="30"/>
      <c r="AB343" s="30"/>
    </row>
    <row r="344">
      <c r="A344" s="30"/>
      <c r="B344" s="30"/>
      <c r="C344" s="30"/>
      <c r="D344" s="30"/>
      <c r="E344" s="30"/>
      <c r="F344" s="292"/>
      <c r="G344" s="30"/>
      <c r="H344" s="30"/>
      <c r="I344" s="30"/>
      <c r="J344" s="30"/>
      <c r="K344" s="30"/>
      <c r="L344" s="30"/>
      <c r="M344" s="30"/>
      <c r="N344" s="30"/>
      <c r="O344" s="30"/>
      <c r="P344" s="30"/>
      <c r="Q344" s="30"/>
      <c r="R344" s="30"/>
      <c r="S344" s="195"/>
      <c r="T344" s="195"/>
      <c r="U344" s="195"/>
      <c r="V344" s="195"/>
      <c r="W344" s="30"/>
      <c r="X344" s="30"/>
      <c r="Y344" s="30"/>
      <c r="Z344" s="30"/>
      <c r="AA344" s="30"/>
      <c r="AB344" s="30"/>
    </row>
    <row r="345">
      <c r="A345" s="30"/>
      <c r="B345" s="30"/>
      <c r="C345" s="30"/>
      <c r="D345" s="30"/>
      <c r="E345" s="30"/>
      <c r="F345" s="292"/>
      <c r="G345" s="30"/>
      <c r="H345" s="30"/>
      <c r="I345" s="30"/>
      <c r="J345" s="30"/>
      <c r="K345" s="30"/>
      <c r="L345" s="30"/>
      <c r="M345" s="30"/>
      <c r="N345" s="30"/>
      <c r="O345" s="30"/>
      <c r="P345" s="30"/>
      <c r="Q345" s="30"/>
      <c r="R345" s="30"/>
      <c r="S345" s="195"/>
      <c r="T345" s="195"/>
      <c r="U345" s="195"/>
      <c r="V345" s="195"/>
      <c r="W345" s="30"/>
      <c r="X345" s="30"/>
      <c r="Y345" s="30"/>
      <c r="Z345" s="30"/>
      <c r="AA345" s="30"/>
      <c r="AB345" s="30"/>
    </row>
    <row r="346">
      <c r="A346" s="30"/>
      <c r="B346" s="30"/>
      <c r="C346" s="30"/>
      <c r="D346" s="30"/>
      <c r="E346" s="30"/>
      <c r="F346" s="292"/>
      <c r="G346" s="30"/>
      <c r="H346" s="30"/>
      <c r="I346" s="30"/>
      <c r="J346" s="30"/>
      <c r="K346" s="30"/>
      <c r="L346" s="30"/>
      <c r="M346" s="30"/>
      <c r="N346" s="30"/>
      <c r="O346" s="30"/>
      <c r="P346" s="30"/>
      <c r="Q346" s="30"/>
      <c r="R346" s="30"/>
      <c r="S346" s="195"/>
      <c r="T346" s="195"/>
      <c r="U346" s="195"/>
      <c r="V346" s="195"/>
      <c r="W346" s="30"/>
      <c r="X346" s="30"/>
      <c r="Y346" s="30"/>
      <c r="Z346" s="30"/>
      <c r="AA346" s="30"/>
      <c r="AB346" s="30"/>
    </row>
    <row r="347">
      <c r="A347" s="30"/>
      <c r="B347" s="30"/>
      <c r="C347" s="30"/>
      <c r="D347" s="30"/>
      <c r="E347" s="30"/>
      <c r="F347" s="292"/>
      <c r="G347" s="30"/>
      <c r="H347" s="30"/>
      <c r="I347" s="30"/>
      <c r="J347" s="30"/>
      <c r="K347" s="30"/>
      <c r="L347" s="30"/>
      <c r="M347" s="30"/>
      <c r="N347" s="30"/>
      <c r="O347" s="30"/>
      <c r="P347" s="30"/>
      <c r="Q347" s="30"/>
      <c r="R347" s="30"/>
      <c r="S347" s="195"/>
      <c r="T347" s="195"/>
      <c r="U347" s="195"/>
      <c r="V347" s="195"/>
      <c r="W347" s="30"/>
      <c r="X347" s="30"/>
      <c r="Y347" s="30"/>
      <c r="Z347" s="30"/>
      <c r="AA347" s="30"/>
      <c r="AB347" s="30"/>
    </row>
    <row r="348">
      <c r="A348" s="30"/>
      <c r="B348" s="30"/>
      <c r="C348" s="30"/>
      <c r="D348" s="30"/>
      <c r="E348" s="30"/>
      <c r="F348" s="292"/>
      <c r="G348" s="30"/>
      <c r="H348" s="30"/>
      <c r="I348" s="30"/>
      <c r="J348" s="30"/>
      <c r="K348" s="30"/>
      <c r="L348" s="30"/>
      <c r="M348" s="30"/>
      <c r="N348" s="30"/>
      <c r="O348" s="30"/>
      <c r="P348" s="30"/>
      <c r="Q348" s="30"/>
      <c r="R348" s="30"/>
      <c r="S348" s="195"/>
      <c r="T348" s="195"/>
      <c r="U348" s="195"/>
      <c r="V348" s="195"/>
      <c r="W348" s="30"/>
      <c r="X348" s="30"/>
      <c r="Y348" s="30"/>
      <c r="Z348" s="30"/>
      <c r="AA348" s="30"/>
      <c r="AB348" s="30"/>
    </row>
    <row r="349">
      <c r="A349" s="30"/>
      <c r="B349" s="30"/>
      <c r="C349" s="30"/>
      <c r="D349" s="30"/>
      <c r="E349" s="30"/>
      <c r="F349" s="292"/>
      <c r="G349" s="30"/>
      <c r="H349" s="30"/>
      <c r="I349" s="30"/>
      <c r="J349" s="30"/>
      <c r="K349" s="30"/>
      <c r="L349" s="30"/>
      <c r="M349" s="30"/>
      <c r="N349" s="30"/>
      <c r="O349" s="30"/>
      <c r="P349" s="30"/>
      <c r="Q349" s="30"/>
      <c r="R349" s="30"/>
      <c r="S349" s="195"/>
      <c r="T349" s="195"/>
      <c r="U349" s="195"/>
      <c r="V349" s="195"/>
      <c r="W349" s="30"/>
      <c r="X349" s="30"/>
      <c r="Y349" s="30"/>
      <c r="Z349" s="30"/>
      <c r="AA349" s="30"/>
      <c r="AB349" s="30"/>
    </row>
    <row r="350">
      <c r="A350" s="30"/>
      <c r="B350" s="30"/>
      <c r="C350" s="30"/>
      <c r="D350" s="30"/>
      <c r="E350" s="30"/>
      <c r="F350" s="292"/>
      <c r="G350" s="30"/>
      <c r="H350" s="30"/>
      <c r="I350" s="30"/>
      <c r="J350" s="30"/>
      <c r="K350" s="30"/>
      <c r="L350" s="30"/>
      <c r="M350" s="30"/>
      <c r="N350" s="30"/>
      <c r="O350" s="30"/>
      <c r="P350" s="30"/>
      <c r="Q350" s="30"/>
      <c r="R350" s="30"/>
      <c r="S350" s="195"/>
      <c r="T350" s="195"/>
      <c r="U350" s="195"/>
      <c r="V350" s="195"/>
      <c r="W350" s="30"/>
      <c r="X350" s="30"/>
      <c r="Y350" s="30"/>
      <c r="Z350" s="30"/>
      <c r="AA350" s="30"/>
      <c r="AB350" s="30"/>
    </row>
    <row r="351">
      <c r="A351" s="30"/>
      <c r="B351" s="30"/>
      <c r="C351" s="30"/>
      <c r="D351" s="30"/>
      <c r="E351" s="30"/>
      <c r="F351" s="292"/>
      <c r="G351" s="30"/>
      <c r="H351" s="30"/>
      <c r="I351" s="30"/>
      <c r="J351" s="30"/>
      <c r="K351" s="30"/>
      <c r="L351" s="30"/>
      <c r="M351" s="30"/>
      <c r="N351" s="30"/>
      <c r="O351" s="30"/>
      <c r="P351" s="30"/>
      <c r="Q351" s="30"/>
      <c r="R351" s="30"/>
      <c r="S351" s="195"/>
      <c r="T351" s="195"/>
      <c r="U351" s="195"/>
      <c r="V351" s="195"/>
      <c r="W351" s="30"/>
      <c r="X351" s="30"/>
      <c r="Y351" s="30"/>
      <c r="Z351" s="30"/>
      <c r="AA351" s="30"/>
      <c r="AB351" s="30"/>
    </row>
    <row r="352">
      <c r="A352" s="30"/>
      <c r="B352" s="30"/>
      <c r="C352" s="30"/>
      <c r="D352" s="30"/>
      <c r="E352" s="30"/>
      <c r="F352" s="292"/>
      <c r="G352" s="30"/>
      <c r="H352" s="30"/>
      <c r="I352" s="30"/>
      <c r="J352" s="30"/>
      <c r="K352" s="30"/>
      <c r="L352" s="30"/>
      <c r="M352" s="30"/>
      <c r="N352" s="30"/>
      <c r="O352" s="30"/>
      <c r="P352" s="30"/>
      <c r="Q352" s="30"/>
      <c r="R352" s="30"/>
      <c r="S352" s="195"/>
      <c r="T352" s="195"/>
      <c r="U352" s="195"/>
      <c r="V352" s="195"/>
      <c r="W352" s="30"/>
      <c r="X352" s="30"/>
      <c r="Y352" s="30"/>
      <c r="Z352" s="30"/>
      <c r="AA352" s="30"/>
      <c r="AB352" s="30"/>
    </row>
    <row r="353">
      <c r="A353" s="30"/>
      <c r="B353" s="30"/>
      <c r="C353" s="30"/>
      <c r="D353" s="30"/>
      <c r="E353" s="30"/>
      <c r="F353" s="292"/>
      <c r="G353" s="30"/>
      <c r="H353" s="30"/>
      <c r="I353" s="30"/>
      <c r="J353" s="30"/>
      <c r="K353" s="30"/>
      <c r="L353" s="30"/>
      <c r="M353" s="30"/>
      <c r="N353" s="30"/>
      <c r="O353" s="30"/>
      <c r="P353" s="30"/>
      <c r="Q353" s="30"/>
      <c r="R353" s="30"/>
      <c r="S353" s="195"/>
      <c r="T353" s="195"/>
      <c r="U353" s="195"/>
      <c r="V353" s="195"/>
      <c r="W353" s="30"/>
      <c r="X353" s="30"/>
      <c r="Y353" s="30"/>
      <c r="Z353" s="30"/>
      <c r="AA353" s="30"/>
      <c r="AB353" s="30"/>
    </row>
    <row r="354">
      <c r="A354" s="30"/>
      <c r="B354" s="30"/>
      <c r="C354" s="30"/>
      <c r="D354" s="30"/>
      <c r="E354" s="30"/>
      <c r="F354" s="292"/>
      <c r="G354" s="30"/>
      <c r="H354" s="30"/>
      <c r="I354" s="30"/>
      <c r="J354" s="30"/>
      <c r="K354" s="30"/>
      <c r="L354" s="30"/>
      <c r="M354" s="30"/>
      <c r="N354" s="30"/>
      <c r="O354" s="30"/>
      <c r="P354" s="30"/>
      <c r="Q354" s="30"/>
      <c r="R354" s="30"/>
      <c r="S354" s="195"/>
      <c r="T354" s="195"/>
      <c r="U354" s="195"/>
      <c r="V354" s="195"/>
      <c r="W354" s="30"/>
      <c r="X354" s="30"/>
      <c r="Y354" s="30"/>
      <c r="Z354" s="30"/>
      <c r="AA354" s="30"/>
      <c r="AB354" s="30"/>
    </row>
    <row r="355">
      <c r="A355" s="30"/>
      <c r="B355" s="30"/>
      <c r="C355" s="30"/>
      <c r="D355" s="30"/>
      <c r="E355" s="30"/>
      <c r="F355" s="292"/>
      <c r="G355" s="30"/>
      <c r="H355" s="30"/>
      <c r="I355" s="30"/>
      <c r="J355" s="30"/>
      <c r="K355" s="30"/>
      <c r="L355" s="30"/>
      <c r="M355" s="30"/>
      <c r="N355" s="30"/>
      <c r="O355" s="30"/>
      <c r="P355" s="30"/>
      <c r="Q355" s="30"/>
      <c r="R355" s="30"/>
      <c r="S355" s="195"/>
      <c r="T355" s="195"/>
      <c r="U355" s="195"/>
      <c r="V355" s="195"/>
      <c r="W355" s="30"/>
      <c r="X355" s="30"/>
      <c r="Y355" s="30"/>
      <c r="Z355" s="30"/>
      <c r="AA355" s="30"/>
      <c r="AB355" s="30"/>
    </row>
    <row r="356">
      <c r="A356" s="30"/>
      <c r="B356" s="30"/>
      <c r="C356" s="30"/>
      <c r="D356" s="30"/>
      <c r="E356" s="30"/>
      <c r="F356" s="292"/>
      <c r="G356" s="30"/>
      <c r="H356" s="30"/>
      <c r="I356" s="30"/>
      <c r="J356" s="30"/>
      <c r="K356" s="30"/>
      <c r="L356" s="30"/>
      <c r="M356" s="30"/>
      <c r="N356" s="30"/>
      <c r="O356" s="30"/>
      <c r="P356" s="30"/>
      <c r="Q356" s="30"/>
      <c r="R356" s="30"/>
      <c r="S356" s="195"/>
      <c r="T356" s="195"/>
      <c r="U356" s="195"/>
      <c r="V356" s="195"/>
      <c r="W356" s="30"/>
      <c r="X356" s="30"/>
      <c r="Y356" s="30"/>
      <c r="Z356" s="30"/>
      <c r="AA356" s="30"/>
      <c r="AB356" s="30"/>
    </row>
    <row r="357">
      <c r="A357" s="30"/>
      <c r="B357" s="30"/>
      <c r="C357" s="30"/>
      <c r="D357" s="30"/>
      <c r="E357" s="30"/>
      <c r="F357" s="292"/>
      <c r="G357" s="30"/>
      <c r="H357" s="30"/>
      <c r="I357" s="30"/>
      <c r="J357" s="30"/>
      <c r="K357" s="30"/>
      <c r="L357" s="30"/>
      <c r="M357" s="30"/>
      <c r="N357" s="30"/>
      <c r="O357" s="30"/>
      <c r="P357" s="30"/>
      <c r="Q357" s="30"/>
      <c r="R357" s="30"/>
      <c r="S357" s="195"/>
      <c r="T357" s="195"/>
      <c r="U357" s="195"/>
      <c r="V357" s="195"/>
      <c r="W357" s="30"/>
      <c r="X357" s="30"/>
      <c r="Y357" s="30"/>
      <c r="Z357" s="30"/>
      <c r="AA357" s="30"/>
      <c r="AB357" s="30"/>
    </row>
    <row r="358">
      <c r="A358" s="30"/>
      <c r="B358" s="30"/>
      <c r="C358" s="30"/>
      <c r="D358" s="30"/>
      <c r="E358" s="30"/>
      <c r="F358" s="292"/>
      <c r="G358" s="30"/>
      <c r="H358" s="30"/>
      <c r="I358" s="30"/>
      <c r="J358" s="30"/>
      <c r="K358" s="30"/>
      <c r="L358" s="30"/>
      <c r="M358" s="30"/>
      <c r="N358" s="30"/>
      <c r="O358" s="30"/>
      <c r="P358" s="30"/>
      <c r="Q358" s="30"/>
      <c r="R358" s="30"/>
      <c r="S358" s="195"/>
      <c r="T358" s="195"/>
      <c r="U358" s="195"/>
      <c r="V358" s="195"/>
      <c r="W358" s="30"/>
      <c r="X358" s="30"/>
      <c r="Y358" s="30"/>
      <c r="Z358" s="30"/>
      <c r="AA358" s="30"/>
      <c r="AB358" s="30"/>
    </row>
    <row r="359">
      <c r="A359" s="30"/>
      <c r="B359" s="30"/>
      <c r="C359" s="30"/>
      <c r="D359" s="30"/>
      <c r="E359" s="30"/>
      <c r="F359" s="292"/>
      <c r="G359" s="30"/>
      <c r="H359" s="30"/>
      <c r="I359" s="30"/>
      <c r="J359" s="30"/>
      <c r="K359" s="30"/>
      <c r="L359" s="30"/>
      <c r="M359" s="30"/>
      <c r="N359" s="30"/>
      <c r="O359" s="30"/>
      <c r="P359" s="30"/>
      <c r="Q359" s="30"/>
      <c r="R359" s="30"/>
      <c r="S359" s="195"/>
      <c r="T359" s="195"/>
      <c r="U359" s="195"/>
      <c r="V359" s="195"/>
      <c r="W359" s="30"/>
      <c r="X359" s="30"/>
      <c r="Y359" s="30"/>
      <c r="Z359" s="30"/>
      <c r="AA359" s="30"/>
      <c r="AB359" s="30"/>
    </row>
    <row r="360">
      <c r="A360" s="30"/>
      <c r="B360" s="30"/>
      <c r="C360" s="30"/>
      <c r="D360" s="30"/>
      <c r="E360" s="30"/>
      <c r="F360" s="292"/>
      <c r="G360" s="30"/>
      <c r="H360" s="30"/>
      <c r="I360" s="30"/>
      <c r="J360" s="30"/>
      <c r="K360" s="30"/>
      <c r="L360" s="30"/>
      <c r="M360" s="30"/>
      <c r="N360" s="30"/>
      <c r="O360" s="30"/>
      <c r="P360" s="30"/>
      <c r="Q360" s="30"/>
      <c r="R360" s="30"/>
      <c r="S360" s="195"/>
      <c r="T360" s="195"/>
      <c r="U360" s="195"/>
      <c r="V360" s="195"/>
      <c r="W360" s="30"/>
      <c r="X360" s="30"/>
      <c r="Y360" s="30"/>
      <c r="Z360" s="30"/>
      <c r="AA360" s="30"/>
      <c r="AB360" s="30"/>
    </row>
    <row r="361">
      <c r="A361" s="30"/>
      <c r="B361" s="30"/>
      <c r="C361" s="30"/>
      <c r="D361" s="30"/>
      <c r="E361" s="30"/>
      <c r="F361" s="292"/>
      <c r="G361" s="30"/>
      <c r="H361" s="30"/>
      <c r="I361" s="30"/>
      <c r="J361" s="30"/>
      <c r="K361" s="30"/>
      <c r="L361" s="30"/>
      <c r="M361" s="30"/>
      <c r="N361" s="30"/>
      <c r="O361" s="30"/>
      <c r="P361" s="30"/>
      <c r="Q361" s="30"/>
      <c r="R361" s="30"/>
      <c r="S361" s="195"/>
      <c r="T361" s="195"/>
      <c r="U361" s="195"/>
      <c r="V361" s="195"/>
      <c r="W361" s="30"/>
      <c r="X361" s="30"/>
      <c r="Y361" s="30"/>
      <c r="Z361" s="30"/>
      <c r="AA361" s="30"/>
      <c r="AB361" s="30"/>
    </row>
    <row r="362">
      <c r="A362" s="30"/>
      <c r="B362" s="30"/>
      <c r="C362" s="30"/>
      <c r="D362" s="30"/>
      <c r="E362" s="30"/>
      <c r="F362" s="292"/>
      <c r="G362" s="30"/>
      <c r="H362" s="30"/>
      <c r="I362" s="30"/>
      <c r="J362" s="30"/>
      <c r="K362" s="30"/>
      <c r="L362" s="30"/>
      <c r="M362" s="30"/>
      <c r="N362" s="30"/>
      <c r="O362" s="30"/>
      <c r="P362" s="30"/>
      <c r="Q362" s="30"/>
      <c r="R362" s="30"/>
      <c r="S362" s="195"/>
      <c r="T362" s="195"/>
      <c r="U362" s="195"/>
      <c r="V362" s="195"/>
      <c r="W362" s="30"/>
      <c r="X362" s="30"/>
      <c r="Y362" s="30"/>
      <c r="Z362" s="30"/>
      <c r="AA362" s="30"/>
      <c r="AB362" s="30"/>
    </row>
    <row r="363">
      <c r="A363" s="30"/>
      <c r="B363" s="30"/>
      <c r="C363" s="30"/>
      <c r="D363" s="30"/>
      <c r="E363" s="30"/>
      <c r="F363" s="292"/>
      <c r="G363" s="30"/>
      <c r="H363" s="30"/>
      <c r="I363" s="30"/>
      <c r="J363" s="30"/>
      <c r="K363" s="30"/>
      <c r="L363" s="30"/>
      <c r="M363" s="30"/>
      <c r="N363" s="30"/>
      <c r="O363" s="30"/>
      <c r="P363" s="30"/>
      <c r="Q363" s="30"/>
      <c r="R363" s="30"/>
      <c r="S363" s="195"/>
      <c r="T363" s="195"/>
      <c r="U363" s="195"/>
      <c r="V363" s="195"/>
      <c r="W363" s="30"/>
      <c r="X363" s="30"/>
      <c r="Y363" s="30"/>
      <c r="Z363" s="30"/>
      <c r="AA363" s="30"/>
      <c r="AB363" s="30"/>
    </row>
    <row r="364">
      <c r="A364" s="30"/>
      <c r="B364" s="30"/>
      <c r="C364" s="30"/>
      <c r="D364" s="30"/>
      <c r="E364" s="30"/>
      <c r="F364" s="292"/>
      <c r="G364" s="30"/>
      <c r="H364" s="30"/>
      <c r="I364" s="30"/>
      <c r="J364" s="30"/>
      <c r="K364" s="30"/>
      <c r="L364" s="30"/>
      <c r="M364" s="30"/>
      <c r="N364" s="30"/>
      <c r="O364" s="30"/>
      <c r="P364" s="30"/>
      <c r="Q364" s="30"/>
      <c r="R364" s="30"/>
      <c r="S364" s="195"/>
      <c r="T364" s="195"/>
      <c r="U364" s="195"/>
      <c r="V364" s="195"/>
      <c r="W364" s="30"/>
      <c r="X364" s="30"/>
      <c r="Y364" s="30"/>
      <c r="Z364" s="30"/>
      <c r="AA364" s="30"/>
      <c r="AB364" s="30"/>
    </row>
    <row r="365">
      <c r="A365" s="30"/>
      <c r="B365" s="30"/>
      <c r="C365" s="30"/>
      <c r="D365" s="30"/>
      <c r="E365" s="30"/>
      <c r="F365" s="292"/>
      <c r="G365" s="30"/>
      <c r="H365" s="30"/>
      <c r="I365" s="30"/>
      <c r="J365" s="30"/>
      <c r="K365" s="30"/>
      <c r="L365" s="30"/>
      <c r="M365" s="30"/>
      <c r="N365" s="30"/>
      <c r="O365" s="30"/>
      <c r="P365" s="30"/>
      <c r="Q365" s="30"/>
      <c r="R365" s="30"/>
      <c r="S365" s="195"/>
      <c r="T365" s="195"/>
      <c r="U365" s="195"/>
      <c r="V365" s="195"/>
      <c r="W365" s="30"/>
      <c r="X365" s="30"/>
      <c r="Y365" s="30"/>
      <c r="Z365" s="30"/>
      <c r="AA365" s="30"/>
      <c r="AB365" s="30"/>
    </row>
    <row r="366">
      <c r="A366" s="30"/>
      <c r="B366" s="30"/>
      <c r="C366" s="30"/>
      <c r="D366" s="30"/>
      <c r="E366" s="30"/>
      <c r="F366" s="292"/>
      <c r="G366" s="30"/>
      <c r="H366" s="30"/>
      <c r="I366" s="30"/>
      <c r="J366" s="30"/>
      <c r="K366" s="30"/>
      <c r="L366" s="30"/>
      <c r="M366" s="30"/>
      <c r="N366" s="30"/>
      <c r="O366" s="30"/>
      <c r="P366" s="30"/>
      <c r="Q366" s="30"/>
      <c r="R366" s="30"/>
      <c r="S366" s="195"/>
      <c r="T366" s="195"/>
      <c r="U366" s="195"/>
      <c r="V366" s="195"/>
      <c r="W366" s="30"/>
      <c r="X366" s="30"/>
      <c r="Y366" s="30"/>
      <c r="Z366" s="30"/>
      <c r="AA366" s="30"/>
      <c r="AB366" s="30"/>
    </row>
    <row r="367">
      <c r="A367" s="30"/>
      <c r="B367" s="30"/>
      <c r="C367" s="30"/>
      <c r="D367" s="30"/>
      <c r="E367" s="30"/>
      <c r="F367" s="292"/>
      <c r="G367" s="30"/>
      <c r="H367" s="30"/>
      <c r="I367" s="30"/>
      <c r="J367" s="30"/>
      <c r="K367" s="30"/>
      <c r="L367" s="30"/>
      <c r="M367" s="30"/>
      <c r="N367" s="30"/>
      <c r="O367" s="30"/>
      <c r="P367" s="30"/>
      <c r="Q367" s="30"/>
      <c r="R367" s="30"/>
      <c r="S367" s="195"/>
      <c r="T367" s="195"/>
      <c r="U367" s="195"/>
      <c r="V367" s="195"/>
      <c r="W367" s="30"/>
      <c r="X367" s="30"/>
      <c r="Y367" s="30"/>
      <c r="Z367" s="30"/>
      <c r="AA367" s="30"/>
      <c r="AB367" s="30"/>
    </row>
    <row r="368">
      <c r="A368" s="30"/>
      <c r="B368" s="30"/>
      <c r="C368" s="30"/>
      <c r="D368" s="30"/>
      <c r="E368" s="30"/>
      <c r="F368" s="292"/>
      <c r="G368" s="30"/>
      <c r="H368" s="30"/>
      <c r="I368" s="30"/>
      <c r="J368" s="30"/>
      <c r="K368" s="30"/>
      <c r="L368" s="30"/>
      <c r="M368" s="30"/>
      <c r="N368" s="30"/>
      <c r="O368" s="30"/>
      <c r="P368" s="30"/>
      <c r="Q368" s="30"/>
      <c r="R368" s="30"/>
      <c r="S368" s="195"/>
      <c r="T368" s="195"/>
      <c r="U368" s="195"/>
      <c r="V368" s="195"/>
      <c r="W368" s="30"/>
      <c r="X368" s="30"/>
      <c r="Y368" s="30"/>
      <c r="Z368" s="30"/>
      <c r="AA368" s="30"/>
      <c r="AB368" s="30"/>
    </row>
    <row r="369">
      <c r="A369" s="30"/>
      <c r="B369" s="30"/>
      <c r="C369" s="30"/>
      <c r="D369" s="30"/>
      <c r="E369" s="30"/>
      <c r="F369" s="292"/>
      <c r="G369" s="30"/>
      <c r="H369" s="30"/>
      <c r="I369" s="30"/>
      <c r="J369" s="30"/>
      <c r="K369" s="30"/>
      <c r="L369" s="30"/>
      <c r="M369" s="30"/>
      <c r="N369" s="30"/>
      <c r="O369" s="30"/>
      <c r="P369" s="30"/>
      <c r="Q369" s="30"/>
      <c r="R369" s="30"/>
      <c r="S369" s="195"/>
      <c r="T369" s="195"/>
      <c r="U369" s="195"/>
      <c r="V369" s="195"/>
      <c r="W369" s="30"/>
      <c r="X369" s="30"/>
      <c r="Y369" s="30"/>
      <c r="Z369" s="30"/>
      <c r="AA369" s="30"/>
      <c r="AB369" s="30"/>
    </row>
    <row r="370">
      <c r="A370" s="30"/>
      <c r="B370" s="30"/>
      <c r="C370" s="30"/>
      <c r="D370" s="30"/>
      <c r="E370" s="30"/>
      <c r="F370" s="292"/>
      <c r="G370" s="30"/>
      <c r="H370" s="30"/>
      <c r="I370" s="30"/>
      <c r="J370" s="30"/>
      <c r="K370" s="30"/>
      <c r="L370" s="30"/>
      <c r="M370" s="30"/>
      <c r="N370" s="30"/>
      <c r="O370" s="30"/>
      <c r="P370" s="30"/>
      <c r="Q370" s="30"/>
      <c r="R370" s="30"/>
      <c r="S370" s="195"/>
      <c r="T370" s="195"/>
      <c r="U370" s="195"/>
      <c r="V370" s="195"/>
      <c r="W370" s="30"/>
      <c r="X370" s="30"/>
      <c r="Y370" s="30"/>
      <c r="Z370" s="30"/>
      <c r="AA370" s="30"/>
      <c r="AB370" s="30"/>
    </row>
    <row r="371">
      <c r="A371" s="30"/>
      <c r="B371" s="30"/>
      <c r="C371" s="30"/>
      <c r="D371" s="30"/>
      <c r="E371" s="30"/>
      <c r="F371" s="292"/>
      <c r="G371" s="30"/>
      <c r="H371" s="30"/>
      <c r="I371" s="30"/>
      <c r="J371" s="30"/>
      <c r="K371" s="30"/>
      <c r="L371" s="30"/>
      <c r="M371" s="30"/>
      <c r="N371" s="30"/>
      <c r="O371" s="30"/>
      <c r="P371" s="30"/>
      <c r="Q371" s="30"/>
      <c r="R371" s="30"/>
      <c r="S371" s="195"/>
      <c r="T371" s="195"/>
      <c r="U371" s="195"/>
      <c r="V371" s="195"/>
      <c r="W371" s="30"/>
      <c r="X371" s="30"/>
      <c r="Y371" s="30"/>
      <c r="Z371" s="30"/>
      <c r="AA371" s="30"/>
      <c r="AB371" s="30"/>
    </row>
    <row r="372">
      <c r="A372" s="30"/>
      <c r="B372" s="30"/>
      <c r="C372" s="30"/>
      <c r="D372" s="30"/>
      <c r="E372" s="30"/>
      <c r="F372" s="292"/>
      <c r="G372" s="30"/>
      <c r="H372" s="30"/>
      <c r="I372" s="30"/>
      <c r="J372" s="30"/>
      <c r="K372" s="30"/>
      <c r="L372" s="30"/>
      <c r="M372" s="30"/>
      <c r="N372" s="30"/>
      <c r="O372" s="30"/>
      <c r="P372" s="30"/>
      <c r="Q372" s="30"/>
      <c r="R372" s="30"/>
      <c r="S372" s="195"/>
      <c r="T372" s="195"/>
      <c r="U372" s="195"/>
      <c r="V372" s="195"/>
      <c r="W372" s="30"/>
      <c r="X372" s="30"/>
      <c r="Y372" s="30"/>
      <c r="Z372" s="30"/>
      <c r="AA372" s="30"/>
      <c r="AB372" s="30"/>
    </row>
    <row r="373">
      <c r="A373" s="30"/>
      <c r="B373" s="30"/>
      <c r="C373" s="30"/>
      <c r="D373" s="30"/>
      <c r="E373" s="30"/>
      <c r="F373" s="292"/>
      <c r="G373" s="30"/>
      <c r="H373" s="30"/>
      <c r="I373" s="30"/>
      <c r="J373" s="30"/>
      <c r="K373" s="30"/>
      <c r="L373" s="30"/>
      <c r="M373" s="30"/>
      <c r="N373" s="30"/>
      <c r="O373" s="30"/>
      <c r="P373" s="30"/>
      <c r="Q373" s="30"/>
      <c r="R373" s="30"/>
      <c r="S373" s="195"/>
      <c r="T373" s="195"/>
      <c r="U373" s="195"/>
      <c r="V373" s="195"/>
      <c r="W373" s="30"/>
      <c r="X373" s="30"/>
      <c r="Y373" s="30"/>
      <c r="Z373" s="30"/>
      <c r="AA373" s="30"/>
      <c r="AB373" s="30"/>
    </row>
    <row r="374">
      <c r="A374" s="30"/>
      <c r="B374" s="30"/>
      <c r="C374" s="30"/>
      <c r="D374" s="30"/>
      <c r="E374" s="30"/>
      <c r="F374" s="292"/>
      <c r="G374" s="30"/>
      <c r="H374" s="30"/>
      <c r="I374" s="30"/>
      <c r="J374" s="30"/>
      <c r="K374" s="30"/>
      <c r="L374" s="30"/>
      <c r="M374" s="30"/>
      <c r="N374" s="30"/>
      <c r="O374" s="30"/>
      <c r="P374" s="30"/>
      <c r="Q374" s="30"/>
      <c r="R374" s="30"/>
      <c r="S374" s="195"/>
      <c r="T374" s="195"/>
      <c r="U374" s="195"/>
      <c r="V374" s="195"/>
      <c r="W374" s="30"/>
      <c r="X374" s="30"/>
      <c r="Y374" s="30"/>
      <c r="Z374" s="30"/>
      <c r="AA374" s="30"/>
      <c r="AB374" s="30"/>
    </row>
    <row r="375">
      <c r="A375" s="30"/>
      <c r="B375" s="30"/>
      <c r="C375" s="30"/>
      <c r="D375" s="30"/>
      <c r="E375" s="30"/>
      <c r="F375" s="292"/>
      <c r="G375" s="30"/>
      <c r="H375" s="30"/>
      <c r="I375" s="30"/>
      <c r="J375" s="30"/>
      <c r="K375" s="30"/>
      <c r="L375" s="30"/>
      <c r="M375" s="30"/>
      <c r="N375" s="30"/>
      <c r="O375" s="30"/>
      <c r="P375" s="30"/>
      <c r="Q375" s="30"/>
      <c r="R375" s="30"/>
      <c r="S375" s="195"/>
      <c r="T375" s="195"/>
      <c r="U375" s="195"/>
      <c r="V375" s="195"/>
      <c r="W375" s="30"/>
      <c r="X375" s="30"/>
      <c r="Y375" s="30"/>
      <c r="Z375" s="30"/>
      <c r="AA375" s="30"/>
      <c r="AB375" s="30"/>
    </row>
    <row r="376">
      <c r="A376" s="30"/>
      <c r="B376" s="30"/>
      <c r="C376" s="30"/>
      <c r="D376" s="30"/>
      <c r="E376" s="30"/>
      <c r="F376" s="292"/>
      <c r="G376" s="30"/>
      <c r="H376" s="30"/>
      <c r="I376" s="30"/>
      <c r="J376" s="30"/>
      <c r="K376" s="30"/>
      <c r="L376" s="30"/>
      <c r="M376" s="30"/>
      <c r="N376" s="30"/>
      <c r="O376" s="30"/>
      <c r="P376" s="30"/>
      <c r="Q376" s="30"/>
      <c r="R376" s="30"/>
      <c r="S376" s="195"/>
      <c r="T376" s="195"/>
      <c r="U376" s="195"/>
      <c r="V376" s="195"/>
      <c r="W376" s="30"/>
      <c r="X376" s="30"/>
      <c r="Y376" s="30"/>
      <c r="Z376" s="30"/>
      <c r="AA376" s="30"/>
      <c r="AB376" s="30"/>
    </row>
    <row r="377">
      <c r="A377" s="30"/>
      <c r="B377" s="30"/>
      <c r="C377" s="30"/>
      <c r="D377" s="30"/>
      <c r="E377" s="30"/>
      <c r="F377" s="292"/>
      <c r="G377" s="30"/>
      <c r="H377" s="30"/>
      <c r="I377" s="30"/>
      <c r="J377" s="30"/>
      <c r="K377" s="30"/>
      <c r="L377" s="30"/>
      <c r="M377" s="30"/>
      <c r="N377" s="30"/>
      <c r="O377" s="30"/>
      <c r="P377" s="30"/>
      <c r="Q377" s="30"/>
      <c r="R377" s="30"/>
      <c r="S377" s="195"/>
      <c r="T377" s="195"/>
      <c r="U377" s="195"/>
      <c r="V377" s="195"/>
      <c r="W377" s="30"/>
      <c r="X377" s="30"/>
      <c r="Y377" s="30"/>
      <c r="Z377" s="30"/>
      <c r="AA377" s="30"/>
      <c r="AB377" s="30"/>
    </row>
    <row r="378">
      <c r="A378" s="30"/>
      <c r="B378" s="30"/>
      <c r="C378" s="30"/>
      <c r="D378" s="30"/>
      <c r="E378" s="30"/>
      <c r="F378" s="292"/>
      <c r="G378" s="30"/>
      <c r="H378" s="30"/>
      <c r="I378" s="30"/>
      <c r="J378" s="30"/>
      <c r="K378" s="30"/>
      <c r="L378" s="30"/>
      <c r="M378" s="30"/>
      <c r="N378" s="30"/>
      <c r="O378" s="30"/>
      <c r="P378" s="30"/>
      <c r="Q378" s="30"/>
      <c r="R378" s="30"/>
      <c r="S378" s="195"/>
      <c r="T378" s="195"/>
      <c r="U378" s="195"/>
      <c r="V378" s="195"/>
      <c r="W378" s="30"/>
      <c r="X378" s="30"/>
      <c r="Y378" s="30"/>
      <c r="Z378" s="30"/>
      <c r="AA378" s="30"/>
      <c r="AB378" s="30"/>
    </row>
    <row r="379">
      <c r="A379" s="30"/>
      <c r="B379" s="30"/>
      <c r="C379" s="30"/>
      <c r="D379" s="30"/>
      <c r="E379" s="30"/>
      <c r="F379" s="292"/>
      <c r="G379" s="30"/>
      <c r="H379" s="30"/>
      <c r="I379" s="30"/>
      <c r="J379" s="30"/>
      <c r="K379" s="30"/>
      <c r="L379" s="30"/>
      <c r="M379" s="30"/>
      <c r="N379" s="30"/>
      <c r="O379" s="30"/>
      <c r="P379" s="30"/>
      <c r="Q379" s="30"/>
      <c r="R379" s="30"/>
      <c r="S379" s="195"/>
      <c r="T379" s="195"/>
      <c r="U379" s="195"/>
      <c r="V379" s="195"/>
      <c r="W379" s="30"/>
      <c r="X379" s="30"/>
      <c r="Y379" s="30"/>
      <c r="Z379" s="30"/>
      <c r="AA379" s="30"/>
      <c r="AB379" s="30"/>
    </row>
    <row r="380">
      <c r="A380" s="30"/>
      <c r="B380" s="30"/>
      <c r="C380" s="30"/>
      <c r="D380" s="30"/>
      <c r="E380" s="30"/>
      <c r="F380" s="292"/>
      <c r="G380" s="30"/>
      <c r="H380" s="30"/>
      <c r="I380" s="30"/>
      <c r="J380" s="30"/>
      <c r="K380" s="30"/>
      <c r="L380" s="30"/>
      <c r="M380" s="30"/>
      <c r="N380" s="30"/>
      <c r="O380" s="30"/>
      <c r="P380" s="30"/>
      <c r="Q380" s="30"/>
      <c r="R380" s="30"/>
      <c r="S380" s="195"/>
      <c r="T380" s="195"/>
      <c r="U380" s="195"/>
      <c r="V380" s="195"/>
      <c r="W380" s="30"/>
      <c r="X380" s="30"/>
      <c r="Y380" s="30"/>
      <c r="Z380" s="30"/>
      <c r="AA380" s="30"/>
      <c r="AB380" s="30"/>
    </row>
    <row r="381">
      <c r="A381" s="30"/>
      <c r="B381" s="30"/>
      <c r="C381" s="30"/>
      <c r="D381" s="30"/>
      <c r="E381" s="30"/>
      <c r="F381" s="292"/>
      <c r="G381" s="30"/>
      <c r="H381" s="30"/>
      <c r="I381" s="30"/>
      <c r="J381" s="30"/>
      <c r="K381" s="30"/>
      <c r="L381" s="30"/>
      <c r="M381" s="30"/>
      <c r="N381" s="30"/>
      <c r="O381" s="30"/>
      <c r="P381" s="30"/>
      <c r="Q381" s="30"/>
      <c r="R381" s="30"/>
      <c r="S381" s="195"/>
      <c r="T381" s="195"/>
      <c r="U381" s="195"/>
      <c r="V381" s="195"/>
      <c r="W381" s="30"/>
      <c r="X381" s="30"/>
      <c r="Y381" s="30"/>
      <c r="Z381" s="30"/>
      <c r="AA381" s="30"/>
      <c r="AB381" s="30"/>
    </row>
    <row r="382">
      <c r="A382" s="30"/>
      <c r="B382" s="30"/>
      <c r="C382" s="30"/>
      <c r="D382" s="30"/>
      <c r="E382" s="30"/>
      <c r="F382" s="292"/>
      <c r="G382" s="30"/>
      <c r="H382" s="30"/>
      <c r="I382" s="30"/>
      <c r="J382" s="30"/>
      <c r="K382" s="30"/>
      <c r="L382" s="30"/>
      <c r="M382" s="30"/>
      <c r="N382" s="30"/>
      <c r="O382" s="30"/>
      <c r="P382" s="30"/>
      <c r="Q382" s="30"/>
      <c r="R382" s="30"/>
      <c r="S382" s="195"/>
      <c r="T382" s="195"/>
      <c r="U382" s="195"/>
      <c r="V382" s="195"/>
      <c r="W382" s="30"/>
      <c r="X382" s="30"/>
      <c r="Y382" s="30"/>
      <c r="Z382" s="30"/>
      <c r="AA382" s="30"/>
      <c r="AB382" s="30"/>
    </row>
    <row r="383">
      <c r="A383" s="30"/>
      <c r="B383" s="30"/>
      <c r="C383" s="30"/>
      <c r="D383" s="30"/>
      <c r="E383" s="30"/>
      <c r="F383" s="292"/>
      <c r="G383" s="30"/>
      <c r="H383" s="30"/>
      <c r="I383" s="30"/>
      <c r="J383" s="30"/>
      <c r="K383" s="30"/>
      <c r="L383" s="30"/>
      <c r="M383" s="30"/>
      <c r="N383" s="30"/>
      <c r="O383" s="30"/>
      <c r="P383" s="30"/>
      <c r="Q383" s="30"/>
      <c r="R383" s="30"/>
      <c r="S383" s="195"/>
      <c r="T383" s="195"/>
      <c r="U383" s="195"/>
      <c r="V383" s="195"/>
      <c r="W383" s="30"/>
      <c r="X383" s="30"/>
      <c r="Y383" s="30"/>
      <c r="Z383" s="30"/>
      <c r="AA383" s="30"/>
      <c r="AB383" s="30"/>
    </row>
    <row r="384">
      <c r="A384" s="30"/>
      <c r="B384" s="30"/>
      <c r="C384" s="30"/>
      <c r="D384" s="30"/>
      <c r="E384" s="30"/>
      <c r="F384" s="292"/>
      <c r="G384" s="30"/>
      <c r="H384" s="30"/>
      <c r="I384" s="30"/>
      <c r="J384" s="30"/>
      <c r="K384" s="30"/>
      <c r="L384" s="30"/>
      <c r="M384" s="30"/>
      <c r="N384" s="30"/>
      <c r="O384" s="30"/>
      <c r="P384" s="30"/>
      <c r="Q384" s="30"/>
      <c r="R384" s="30"/>
      <c r="S384" s="195"/>
      <c r="T384" s="195"/>
      <c r="U384" s="195"/>
      <c r="V384" s="195"/>
      <c r="W384" s="30"/>
      <c r="X384" s="30"/>
      <c r="Y384" s="30"/>
      <c r="Z384" s="30"/>
      <c r="AA384" s="30"/>
      <c r="AB384" s="30"/>
    </row>
    <row r="385">
      <c r="A385" s="30"/>
      <c r="B385" s="30"/>
      <c r="C385" s="30"/>
      <c r="D385" s="30"/>
      <c r="E385" s="30"/>
      <c r="F385" s="292"/>
      <c r="G385" s="30"/>
      <c r="H385" s="30"/>
      <c r="I385" s="30"/>
      <c r="J385" s="30"/>
      <c r="K385" s="30"/>
      <c r="L385" s="30"/>
      <c r="M385" s="30"/>
      <c r="N385" s="30"/>
      <c r="O385" s="30"/>
      <c r="P385" s="30"/>
      <c r="Q385" s="30"/>
      <c r="R385" s="30"/>
      <c r="S385" s="195"/>
      <c r="T385" s="195"/>
      <c r="U385" s="195"/>
      <c r="V385" s="195"/>
      <c r="W385" s="30"/>
      <c r="X385" s="30"/>
      <c r="Y385" s="30"/>
      <c r="Z385" s="30"/>
      <c r="AA385" s="30"/>
      <c r="AB385" s="30"/>
    </row>
    <row r="386">
      <c r="A386" s="30"/>
      <c r="B386" s="30"/>
      <c r="C386" s="30"/>
      <c r="D386" s="30"/>
      <c r="E386" s="30"/>
      <c r="F386" s="292"/>
      <c r="G386" s="30"/>
      <c r="H386" s="30"/>
      <c r="I386" s="30"/>
      <c r="J386" s="30"/>
      <c r="K386" s="30"/>
      <c r="L386" s="30"/>
      <c r="M386" s="30"/>
      <c r="N386" s="30"/>
      <c r="O386" s="30"/>
      <c r="P386" s="30"/>
      <c r="Q386" s="30"/>
      <c r="R386" s="30"/>
      <c r="S386" s="195"/>
      <c r="T386" s="195"/>
      <c r="U386" s="195"/>
      <c r="V386" s="195"/>
      <c r="W386" s="30"/>
      <c r="X386" s="30"/>
      <c r="Y386" s="30"/>
      <c r="Z386" s="30"/>
      <c r="AA386" s="30"/>
      <c r="AB386" s="30"/>
    </row>
    <row r="387">
      <c r="A387" s="30"/>
      <c r="B387" s="30"/>
      <c r="C387" s="30"/>
      <c r="D387" s="30"/>
      <c r="E387" s="30"/>
      <c r="F387" s="292"/>
      <c r="G387" s="30"/>
      <c r="H387" s="30"/>
      <c r="I387" s="30"/>
      <c r="J387" s="30"/>
      <c r="K387" s="30"/>
      <c r="L387" s="30"/>
      <c r="M387" s="30"/>
      <c r="N387" s="30"/>
      <c r="O387" s="30"/>
      <c r="P387" s="30"/>
      <c r="Q387" s="30"/>
      <c r="R387" s="30"/>
      <c r="S387" s="195"/>
      <c r="T387" s="195"/>
      <c r="U387" s="195"/>
      <c r="V387" s="195"/>
      <c r="W387" s="30"/>
      <c r="X387" s="30"/>
      <c r="Y387" s="30"/>
      <c r="Z387" s="30"/>
      <c r="AA387" s="30"/>
      <c r="AB387" s="30"/>
    </row>
    <row r="388">
      <c r="A388" s="30"/>
      <c r="B388" s="30"/>
      <c r="C388" s="30"/>
      <c r="D388" s="30"/>
      <c r="E388" s="30"/>
      <c r="F388" s="292"/>
      <c r="G388" s="30"/>
      <c r="H388" s="30"/>
      <c r="I388" s="30"/>
      <c r="J388" s="30"/>
      <c r="K388" s="30"/>
      <c r="L388" s="30"/>
      <c r="M388" s="30"/>
      <c r="N388" s="30"/>
      <c r="O388" s="30"/>
      <c r="P388" s="30"/>
      <c r="Q388" s="30"/>
      <c r="R388" s="30"/>
      <c r="S388" s="195"/>
      <c r="T388" s="195"/>
      <c r="U388" s="195"/>
      <c r="V388" s="195"/>
      <c r="W388" s="30"/>
      <c r="X388" s="30"/>
      <c r="Y388" s="30"/>
      <c r="Z388" s="30"/>
      <c r="AA388" s="30"/>
      <c r="AB388" s="30"/>
    </row>
    <row r="389">
      <c r="A389" s="30"/>
      <c r="B389" s="30"/>
      <c r="C389" s="30"/>
      <c r="D389" s="30"/>
      <c r="E389" s="30"/>
      <c r="F389" s="292"/>
      <c r="G389" s="30"/>
      <c r="H389" s="30"/>
      <c r="I389" s="30"/>
      <c r="J389" s="30"/>
      <c r="K389" s="30"/>
      <c r="L389" s="30"/>
      <c r="M389" s="30"/>
      <c r="N389" s="30"/>
      <c r="O389" s="30"/>
      <c r="P389" s="30"/>
      <c r="Q389" s="30"/>
      <c r="R389" s="30"/>
      <c r="S389" s="195"/>
      <c r="T389" s="195"/>
      <c r="U389" s="195"/>
      <c r="V389" s="195"/>
      <c r="W389" s="30"/>
      <c r="X389" s="30"/>
      <c r="Y389" s="30"/>
      <c r="Z389" s="30"/>
      <c r="AA389" s="30"/>
      <c r="AB389" s="30"/>
    </row>
    <row r="390">
      <c r="A390" s="30"/>
      <c r="B390" s="30"/>
      <c r="C390" s="30"/>
      <c r="D390" s="30"/>
      <c r="E390" s="30"/>
      <c r="F390" s="292"/>
      <c r="G390" s="30"/>
      <c r="H390" s="30"/>
      <c r="I390" s="30"/>
      <c r="J390" s="30"/>
      <c r="K390" s="30"/>
      <c r="L390" s="30"/>
      <c r="M390" s="30"/>
      <c r="N390" s="30"/>
      <c r="O390" s="30"/>
      <c r="P390" s="30"/>
      <c r="Q390" s="30"/>
      <c r="R390" s="30"/>
      <c r="S390" s="195"/>
      <c r="T390" s="195"/>
      <c r="U390" s="195"/>
      <c r="V390" s="195"/>
      <c r="W390" s="30"/>
      <c r="X390" s="30"/>
      <c r="Y390" s="30"/>
      <c r="Z390" s="30"/>
      <c r="AA390" s="30"/>
      <c r="AB390" s="30"/>
    </row>
    <row r="391">
      <c r="A391" s="30"/>
      <c r="B391" s="30"/>
      <c r="C391" s="30"/>
      <c r="D391" s="30"/>
      <c r="E391" s="30"/>
      <c r="F391" s="292"/>
      <c r="G391" s="30"/>
      <c r="H391" s="30"/>
      <c r="I391" s="30"/>
      <c r="J391" s="30"/>
      <c r="K391" s="30"/>
      <c r="L391" s="30"/>
      <c r="M391" s="30"/>
      <c r="N391" s="30"/>
      <c r="O391" s="30"/>
      <c r="P391" s="30"/>
      <c r="Q391" s="30"/>
      <c r="R391" s="30"/>
      <c r="S391" s="195"/>
      <c r="T391" s="195"/>
      <c r="U391" s="195"/>
      <c r="V391" s="195"/>
      <c r="W391" s="30"/>
      <c r="X391" s="30"/>
      <c r="Y391" s="30"/>
      <c r="Z391" s="30"/>
      <c r="AA391" s="30"/>
      <c r="AB391" s="30"/>
    </row>
    <row r="392">
      <c r="A392" s="30"/>
      <c r="B392" s="30"/>
      <c r="C392" s="30"/>
      <c r="D392" s="30"/>
      <c r="E392" s="30"/>
      <c r="F392" s="292"/>
      <c r="G392" s="30"/>
      <c r="H392" s="30"/>
      <c r="I392" s="30"/>
      <c r="J392" s="30"/>
      <c r="K392" s="30"/>
      <c r="L392" s="30"/>
      <c r="M392" s="30"/>
      <c r="N392" s="30"/>
      <c r="O392" s="30"/>
      <c r="P392" s="30"/>
      <c r="Q392" s="30"/>
      <c r="R392" s="30"/>
      <c r="S392" s="195"/>
      <c r="T392" s="195"/>
      <c r="U392" s="195"/>
      <c r="V392" s="195"/>
      <c r="W392" s="30"/>
      <c r="X392" s="30"/>
      <c r="Y392" s="30"/>
      <c r="Z392" s="30"/>
      <c r="AA392" s="30"/>
      <c r="AB392" s="30"/>
    </row>
    <row r="393">
      <c r="A393" s="30"/>
      <c r="B393" s="30"/>
      <c r="C393" s="30"/>
      <c r="D393" s="30"/>
      <c r="E393" s="30"/>
      <c r="F393" s="292"/>
      <c r="G393" s="30"/>
      <c r="H393" s="30"/>
      <c r="I393" s="30"/>
      <c r="J393" s="30"/>
      <c r="K393" s="30"/>
      <c r="L393" s="30"/>
      <c r="M393" s="30"/>
      <c r="N393" s="30"/>
      <c r="O393" s="30"/>
      <c r="P393" s="30"/>
      <c r="Q393" s="30"/>
      <c r="R393" s="30"/>
      <c r="S393" s="195"/>
      <c r="T393" s="195"/>
      <c r="U393" s="195"/>
      <c r="V393" s="195"/>
      <c r="W393" s="30"/>
      <c r="X393" s="30"/>
      <c r="Y393" s="30"/>
      <c r="Z393" s="30"/>
      <c r="AA393" s="30"/>
      <c r="AB393" s="30"/>
    </row>
    <row r="394">
      <c r="A394" s="30"/>
      <c r="B394" s="30"/>
      <c r="C394" s="30"/>
      <c r="D394" s="30"/>
      <c r="E394" s="30"/>
      <c r="F394" s="292"/>
      <c r="G394" s="30"/>
      <c r="H394" s="30"/>
      <c r="I394" s="30"/>
      <c r="J394" s="30"/>
      <c r="K394" s="30"/>
      <c r="L394" s="30"/>
      <c r="M394" s="30"/>
      <c r="N394" s="30"/>
      <c r="O394" s="30"/>
      <c r="P394" s="30"/>
      <c r="Q394" s="30"/>
      <c r="R394" s="30"/>
      <c r="S394" s="195"/>
      <c r="T394" s="195"/>
      <c r="U394" s="195"/>
      <c r="V394" s="195"/>
      <c r="W394" s="30"/>
      <c r="X394" s="30"/>
      <c r="Y394" s="30"/>
      <c r="Z394" s="30"/>
      <c r="AA394" s="30"/>
      <c r="AB394" s="30"/>
    </row>
    <row r="395">
      <c r="A395" s="30"/>
      <c r="B395" s="30"/>
      <c r="C395" s="30"/>
      <c r="D395" s="30"/>
      <c r="E395" s="30"/>
      <c r="F395" s="292"/>
      <c r="G395" s="30"/>
      <c r="H395" s="30"/>
      <c r="I395" s="30"/>
      <c r="J395" s="30"/>
      <c r="K395" s="30"/>
      <c r="L395" s="30"/>
      <c r="M395" s="30"/>
      <c r="N395" s="30"/>
      <c r="O395" s="30"/>
      <c r="P395" s="30"/>
      <c r="Q395" s="30"/>
      <c r="R395" s="30"/>
      <c r="S395" s="195"/>
      <c r="T395" s="195"/>
      <c r="U395" s="195"/>
      <c r="V395" s="195"/>
      <c r="W395" s="30"/>
      <c r="X395" s="30"/>
      <c r="Y395" s="30"/>
      <c r="Z395" s="30"/>
      <c r="AA395" s="30"/>
      <c r="AB395" s="30"/>
    </row>
    <row r="396">
      <c r="A396" s="30"/>
      <c r="B396" s="30"/>
      <c r="C396" s="30"/>
      <c r="D396" s="30"/>
      <c r="E396" s="30"/>
      <c r="F396" s="292"/>
      <c r="G396" s="30"/>
      <c r="H396" s="30"/>
      <c r="I396" s="30"/>
      <c r="J396" s="30"/>
      <c r="K396" s="30"/>
      <c r="L396" s="30"/>
      <c r="M396" s="30"/>
      <c r="N396" s="30"/>
      <c r="O396" s="30"/>
      <c r="P396" s="30"/>
      <c r="Q396" s="30"/>
      <c r="R396" s="30"/>
      <c r="S396" s="195"/>
      <c r="T396" s="195"/>
      <c r="U396" s="195"/>
      <c r="V396" s="195"/>
      <c r="W396" s="30"/>
      <c r="X396" s="30"/>
      <c r="Y396" s="30"/>
      <c r="Z396" s="30"/>
      <c r="AA396" s="30"/>
      <c r="AB396" s="30"/>
    </row>
    <row r="397">
      <c r="A397" s="30"/>
      <c r="B397" s="30"/>
      <c r="C397" s="30"/>
      <c r="D397" s="30"/>
      <c r="E397" s="30"/>
      <c r="F397" s="292"/>
      <c r="G397" s="30"/>
      <c r="H397" s="30"/>
      <c r="I397" s="30"/>
      <c r="J397" s="30"/>
      <c r="K397" s="30"/>
      <c r="L397" s="30"/>
      <c r="M397" s="30"/>
      <c r="N397" s="30"/>
      <c r="O397" s="30"/>
      <c r="P397" s="30"/>
      <c r="Q397" s="30"/>
      <c r="R397" s="30"/>
      <c r="S397" s="195"/>
      <c r="T397" s="195"/>
      <c r="U397" s="195"/>
      <c r="V397" s="195"/>
      <c r="W397" s="30"/>
      <c r="X397" s="30"/>
      <c r="Y397" s="30"/>
      <c r="Z397" s="30"/>
      <c r="AA397" s="30"/>
      <c r="AB397" s="30"/>
    </row>
    <row r="398">
      <c r="A398" s="30"/>
      <c r="B398" s="30"/>
      <c r="C398" s="30"/>
      <c r="D398" s="30"/>
      <c r="E398" s="30"/>
      <c r="F398" s="292"/>
      <c r="G398" s="30"/>
      <c r="H398" s="30"/>
      <c r="I398" s="30"/>
      <c r="J398" s="30"/>
      <c r="K398" s="30"/>
      <c r="L398" s="30"/>
      <c r="M398" s="30"/>
      <c r="N398" s="30"/>
      <c r="O398" s="30"/>
      <c r="P398" s="30"/>
      <c r="Q398" s="30"/>
      <c r="R398" s="30"/>
      <c r="S398" s="195"/>
      <c r="T398" s="195"/>
      <c r="U398" s="195"/>
      <c r="V398" s="195"/>
      <c r="W398" s="30"/>
      <c r="X398" s="30"/>
      <c r="Y398" s="30"/>
      <c r="Z398" s="30"/>
      <c r="AA398" s="30"/>
      <c r="AB398" s="30"/>
    </row>
    <row r="399">
      <c r="A399" s="30"/>
      <c r="B399" s="30"/>
      <c r="C399" s="30"/>
      <c r="D399" s="30"/>
      <c r="E399" s="30"/>
      <c r="F399" s="292"/>
      <c r="G399" s="30"/>
      <c r="H399" s="30"/>
      <c r="I399" s="30"/>
      <c r="J399" s="30"/>
      <c r="K399" s="30"/>
      <c r="L399" s="30"/>
      <c r="M399" s="30"/>
      <c r="N399" s="30"/>
      <c r="O399" s="30"/>
      <c r="P399" s="30"/>
      <c r="Q399" s="30"/>
      <c r="R399" s="30"/>
      <c r="S399" s="195"/>
      <c r="T399" s="195"/>
      <c r="U399" s="195"/>
      <c r="V399" s="195"/>
      <c r="W399" s="30"/>
      <c r="X399" s="30"/>
      <c r="Y399" s="30"/>
      <c r="Z399" s="30"/>
      <c r="AA399" s="30"/>
      <c r="AB399" s="30"/>
    </row>
    <row r="400">
      <c r="A400" s="30"/>
      <c r="B400" s="30"/>
      <c r="C400" s="30"/>
      <c r="D400" s="30"/>
      <c r="E400" s="30"/>
      <c r="F400" s="292"/>
      <c r="G400" s="30"/>
      <c r="H400" s="30"/>
      <c r="I400" s="30"/>
      <c r="J400" s="30"/>
      <c r="K400" s="30"/>
      <c r="L400" s="30"/>
      <c r="M400" s="30"/>
      <c r="N400" s="30"/>
      <c r="O400" s="30"/>
      <c r="P400" s="30"/>
      <c r="Q400" s="30"/>
      <c r="R400" s="30"/>
      <c r="S400" s="195"/>
      <c r="T400" s="195"/>
      <c r="U400" s="195"/>
      <c r="V400" s="195"/>
      <c r="W400" s="30"/>
      <c r="X400" s="30"/>
      <c r="Y400" s="30"/>
      <c r="Z400" s="30"/>
      <c r="AA400" s="30"/>
      <c r="AB400" s="30"/>
    </row>
    <row r="401">
      <c r="A401" s="30"/>
      <c r="B401" s="30"/>
      <c r="C401" s="30"/>
      <c r="D401" s="30"/>
      <c r="E401" s="30"/>
      <c r="F401" s="292"/>
      <c r="G401" s="30"/>
      <c r="H401" s="30"/>
      <c r="I401" s="30"/>
      <c r="J401" s="30"/>
      <c r="K401" s="30"/>
      <c r="L401" s="30"/>
      <c r="M401" s="30"/>
      <c r="N401" s="30"/>
      <c r="O401" s="30"/>
      <c r="P401" s="30"/>
      <c r="Q401" s="30"/>
      <c r="R401" s="30"/>
      <c r="S401" s="195"/>
      <c r="T401" s="195"/>
      <c r="U401" s="195"/>
      <c r="V401" s="195"/>
      <c r="W401" s="30"/>
      <c r="X401" s="30"/>
      <c r="Y401" s="30"/>
      <c r="Z401" s="30"/>
      <c r="AA401" s="30"/>
      <c r="AB401" s="30"/>
    </row>
    <row r="402">
      <c r="A402" s="30"/>
      <c r="B402" s="30"/>
      <c r="C402" s="30"/>
      <c r="D402" s="30"/>
      <c r="E402" s="30"/>
      <c r="F402" s="292"/>
      <c r="G402" s="30"/>
      <c r="H402" s="30"/>
      <c r="I402" s="30"/>
      <c r="J402" s="30"/>
      <c r="K402" s="30"/>
      <c r="L402" s="30"/>
      <c r="M402" s="30"/>
      <c r="N402" s="30"/>
      <c r="O402" s="30"/>
      <c r="P402" s="30"/>
      <c r="Q402" s="30"/>
      <c r="R402" s="30"/>
      <c r="S402" s="195"/>
      <c r="T402" s="195"/>
      <c r="U402" s="195"/>
      <c r="V402" s="195"/>
      <c r="W402" s="30"/>
      <c r="X402" s="30"/>
      <c r="Y402" s="30"/>
      <c r="Z402" s="30"/>
      <c r="AA402" s="30"/>
      <c r="AB402" s="30"/>
    </row>
    <row r="403">
      <c r="A403" s="30"/>
      <c r="B403" s="30"/>
      <c r="C403" s="30"/>
      <c r="D403" s="30"/>
      <c r="E403" s="30"/>
      <c r="F403" s="292"/>
      <c r="G403" s="30"/>
      <c r="H403" s="30"/>
      <c r="I403" s="30"/>
      <c r="J403" s="30"/>
      <c r="K403" s="30"/>
      <c r="L403" s="30"/>
      <c r="M403" s="30"/>
      <c r="N403" s="30"/>
      <c r="O403" s="30"/>
      <c r="P403" s="30"/>
      <c r="Q403" s="30"/>
      <c r="R403" s="30"/>
      <c r="S403" s="195"/>
      <c r="T403" s="195"/>
      <c r="U403" s="195"/>
      <c r="V403" s="195"/>
      <c r="W403" s="30"/>
      <c r="X403" s="30"/>
      <c r="Y403" s="30"/>
      <c r="Z403" s="30"/>
      <c r="AA403" s="30"/>
      <c r="AB403" s="30"/>
    </row>
    <row r="404">
      <c r="A404" s="30"/>
      <c r="B404" s="30"/>
      <c r="C404" s="30"/>
      <c r="D404" s="30"/>
      <c r="E404" s="30"/>
      <c r="F404" s="292"/>
      <c r="G404" s="30"/>
      <c r="H404" s="30"/>
      <c r="I404" s="30"/>
      <c r="J404" s="30"/>
      <c r="K404" s="30"/>
      <c r="L404" s="30"/>
      <c r="M404" s="30"/>
      <c r="N404" s="30"/>
      <c r="O404" s="30"/>
      <c r="P404" s="30"/>
      <c r="Q404" s="30"/>
      <c r="R404" s="30"/>
      <c r="S404" s="195"/>
      <c r="T404" s="195"/>
      <c r="U404" s="195"/>
      <c r="V404" s="195"/>
      <c r="W404" s="30"/>
      <c r="X404" s="30"/>
      <c r="Y404" s="30"/>
      <c r="Z404" s="30"/>
      <c r="AA404" s="30"/>
      <c r="AB404" s="30"/>
    </row>
    <row r="405">
      <c r="A405" s="30"/>
      <c r="B405" s="30"/>
      <c r="C405" s="30"/>
      <c r="D405" s="30"/>
      <c r="E405" s="30"/>
      <c r="F405" s="292"/>
      <c r="G405" s="30"/>
      <c r="H405" s="30"/>
      <c r="I405" s="30"/>
      <c r="J405" s="30"/>
      <c r="K405" s="30"/>
      <c r="L405" s="30"/>
      <c r="M405" s="30"/>
      <c r="N405" s="30"/>
      <c r="O405" s="30"/>
      <c r="P405" s="30"/>
      <c r="Q405" s="30"/>
      <c r="R405" s="30"/>
      <c r="S405" s="195"/>
      <c r="T405" s="195"/>
      <c r="U405" s="195"/>
      <c r="V405" s="195"/>
      <c r="W405" s="30"/>
      <c r="X405" s="30"/>
      <c r="Y405" s="30"/>
      <c r="Z405" s="30"/>
      <c r="AA405" s="30"/>
      <c r="AB405" s="30"/>
    </row>
    <row r="406">
      <c r="A406" s="30"/>
      <c r="B406" s="30"/>
      <c r="C406" s="30"/>
      <c r="D406" s="30"/>
      <c r="E406" s="30"/>
      <c r="F406" s="292"/>
      <c r="G406" s="30"/>
      <c r="H406" s="30"/>
      <c r="I406" s="30"/>
      <c r="J406" s="30"/>
      <c r="K406" s="30"/>
      <c r="L406" s="30"/>
      <c r="M406" s="30"/>
      <c r="N406" s="30"/>
      <c r="O406" s="30"/>
      <c r="P406" s="30"/>
      <c r="Q406" s="30"/>
      <c r="R406" s="30"/>
      <c r="S406" s="195"/>
      <c r="T406" s="195"/>
      <c r="U406" s="195"/>
      <c r="V406" s="195"/>
      <c r="W406" s="30"/>
      <c r="X406" s="30"/>
      <c r="Y406" s="30"/>
      <c r="Z406" s="30"/>
      <c r="AA406" s="30"/>
      <c r="AB406" s="30"/>
    </row>
    <row r="407">
      <c r="A407" s="30"/>
      <c r="B407" s="30"/>
      <c r="C407" s="30"/>
      <c r="D407" s="30"/>
      <c r="E407" s="30"/>
      <c r="F407" s="292"/>
      <c r="G407" s="30"/>
      <c r="H407" s="30"/>
      <c r="I407" s="30"/>
      <c r="J407" s="30"/>
      <c r="K407" s="30"/>
      <c r="L407" s="30"/>
      <c r="M407" s="30"/>
      <c r="N407" s="30"/>
      <c r="O407" s="30"/>
      <c r="P407" s="30"/>
      <c r="Q407" s="30"/>
      <c r="R407" s="30"/>
      <c r="S407" s="195"/>
      <c r="T407" s="195"/>
      <c r="U407" s="195"/>
      <c r="V407" s="195"/>
      <c r="W407" s="30"/>
      <c r="X407" s="30"/>
      <c r="Y407" s="30"/>
      <c r="Z407" s="30"/>
      <c r="AA407" s="30"/>
      <c r="AB407" s="30"/>
    </row>
    <row r="408">
      <c r="A408" s="30"/>
      <c r="B408" s="30"/>
      <c r="C408" s="30"/>
      <c r="D408" s="30"/>
      <c r="E408" s="30"/>
      <c r="F408" s="292"/>
      <c r="G408" s="30"/>
      <c r="H408" s="30"/>
      <c r="I408" s="30"/>
      <c r="J408" s="30"/>
      <c r="K408" s="30"/>
      <c r="L408" s="30"/>
      <c r="M408" s="30"/>
      <c r="N408" s="30"/>
      <c r="O408" s="30"/>
      <c r="P408" s="30"/>
      <c r="Q408" s="30"/>
      <c r="R408" s="30"/>
      <c r="S408" s="195"/>
      <c r="T408" s="195"/>
      <c r="U408" s="195"/>
      <c r="V408" s="195"/>
      <c r="W408" s="30"/>
      <c r="X408" s="30"/>
      <c r="Y408" s="30"/>
      <c r="Z408" s="30"/>
      <c r="AA408" s="30"/>
      <c r="AB408" s="30"/>
    </row>
    <row r="409">
      <c r="A409" s="30"/>
      <c r="B409" s="30"/>
      <c r="C409" s="30"/>
      <c r="D409" s="30"/>
      <c r="E409" s="30"/>
      <c r="F409" s="292"/>
      <c r="G409" s="30"/>
      <c r="H409" s="30"/>
      <c r="I409" s="30"/>
      <c r="J409" s="30"/>
      <c r="K409" s="30"/>
      <c r="L409" s="30"/>
      <c r="M409" s="30"/>
      <c r="N409" s="30"/>
      <c r="O409" s="30"/>
      <c r="P409" s="30"/>
      <c r="Q409" s="30"/>
      <c r="R409" s="30"/>
      <c r="S409" s="195"/>
      <c r="T409" s="195"/>
      <c r="U409" s="195"/>
      <c r="V409" s="195"/>
      <c r="W409" s="30"/>
      <c r="X409" s="30"/>
      <c r="Y409" s="30"/>
      <c r="Z409" s="30"/>
      <c r="AA409" s="30"/>
      <c r="AB409" s="30"/>
    </row>
    <row r="410">
      <c r="A410" s="30"/>
      <c r="B410" s="30"/>
      <c r="C410" s="30"/>
      <c r="D410" s="30"/>
      <c r="E410" s="30"/>
      <c r="F410" s="292"/>
      <c r="G410" s="30"/>
      <c r="H410" s="30"/>
      <c r="I410" s="30"/>
      <c r="J410" s="30"/>
      <c r="K410" s="30"/>
      <c r="L410" s="30"/>
      <c r="M410" s="30"/>
      <c r="N410" s="30"/>
      <c r="O410" s="30"/>
      <c r="P410" s="30"/>
      <c r="Q410" s="30"/>
      <c r="R410" s="30"/>
      <c r="S410" s="195"/>
      <c r="T410" s="195"/>
      <c r="U410" s="195"/>
      <c r="V410" s="195"/>
      <c r="W410" s="30"/>
      <c r="X410" s="30"/>
      <c r="Y410" s="30"/>
      <c r="Z410" s="30"/>
      <c r="AA410" s="30"/>
      <c r="AB410" s="30"/>
    </row>
    <row r="411">
      <c r="A411" s="30"/>
      <c r="B411" s="30"/>
      <c r="C411" s="30"/>
      <c r="D411" s="30"/>
      <c r="E411" s="30"/>
      <c r="F411" s="292"/>
      <c r="G411" s="30"/>
      <c r="H411" s="30"/>
      <c r="I411" s="30"/>
      <c r="J411" s="30"/>
      <c r="K411" s="30"/>
      <c r="L411" s="30"/>
      <c r="M411" s="30"/>
      <c r="N411" s="30"/>
      <c r="O411" s="30"/>
      <c r="P411" s="30"/>
      <c r="Q411" s="30"/>
      <c r="R411" s="30"/>
      <c r="S411" s="195"/>
      <c r="T411" s="195"/>
      <c r="U411" s="195"/>
      <c r="V411" s="195"/>
      <c r="W411" s="30"/>
      <c r="X411" s="30"/>
      <c r="Y411" s="30"/>
      <c r="Z411" s="30"/>
      <c r="AA411" s="30"/>
      <c r="AB411" s="30"/>
    </row>
    <row r="412">
      <c r="A412" s="30"/>
      <c r="B412" s="30"/>
      <c r="C412" s="30"/>
      <c r="D412" s="30"/>
      <c r="E412" s="30"/>
      <c r="F412" s="292"/>
      <c r="G412" s="30"/>
      <c r="H412" s="30"/>
      <c r="I412" s="30"/>
      <c r="J412" s="30"/>
      <c r="K412" s="30"/>
      <c r="L412" s="30"/>
      <c r="M412" s="30"/>
      <c r="N412" s="30"/>
      <c r="O412" s="30"/>
      <c r="P412" s="30"/>
      <c r="Q412" s="30"/>
      <c r="R412" s="30"/>
      <c r="S412" s="195"/>
      <c r="T412" s="195"/>
      <c r="U412" s="195"/>
      <c r="V412" s="195"/>
      <c r="W412" s="30"/>
      <c r="X412" s="30"/>
      <c r="Y412" s="30"/>
      <c r="Z412" s="30"/>
      <c r="AA412" s="30"/>
      <c r="AB412" s="30"/>
    </row>
    <row r="413">
      <c r="A413" s="30"/>
      <c r="B413" s="30"/>
      <c r="C413" s="30"/>
      <c r="D413" s="30"/>
      <c r="E413" s="30"/>
      <c r="F413" s="292"/>
      <c r="G413" s="30"/>
      <c r="H413" s="30"/>
      <c r="I413" s="30"/>
      <c r="J413" s="30"/>
      <c r="K413" s="30"/>
      <c r="L413" s="30"/>
      <c r="M413" s="30"/>
      <c r="N413" s="30"/>
      <c r="O413" s="30"/>
      <c r="P413" s="30"/>
      <c r="Q413" s="30"/>
      <c r="R413" s="30"/>
      <c r="S413" s="195"/>
      <c r="T413" s="195"/>
      <c r="U413" s="195"/>
      <c r="V413" s="195"/>
      <c r="W413" s="30"/>
      <c r="X413" s="30"/>
      <c r="Y413" s="30"/>
      <c r="Z413" s="30"/>
      <c r="AA413" s="30"/>
      <c r="AB413" s="30"/>
    </row>
    <row r="414">
      <c r="A414" s="30"/>
      <c r="B414" s="30"/>
      <c r="C414" s="30"/>
      <c r="D414" s="30"/>
      <c r="E414" s="30"/>
      <c r="F414" s="292"/>
      <c r="G414" s="30"/>
      <c r="H414" s="30"/>
      <c r="I414" s="30"/>
      <c r="J414" s="30"/>
      <c r="K414" s="30"/>
      <c r="L414" s="30"/>
      <c r="M414" s="30"/>
      <c r="N414" s="30"/>
      <c r="O414" s="30"/>
      <c r="P414" s="30"/>
      <c r="Q414" s="30"/>
      <c r="R414" s="30"/>
      <c r="S414" s="195"/>
      <c r="T414" s="195"/>
      <c r="U414" s="195"/>
      <c r="V414" s="195"/>
      <c r="W414" s="30"/>
      <c r="X414" s="30"/>
      <c r="Y414" s="30"/>
      <c r="Z414" s="30"/>
      <c r="AA414" s="30"/>
      <c r="AB414" s="30"/>
    </row>
    <row r="415">
      <c r="A415" s="30"/>
      <c r="B415" s="30"/>
      <c r="C415" s="30"/>
      <c r="D415" s="30"/>
      <c r="E415" s="30"/>
      <c r="F415" s="292"/>
      <c r="G415" s="30"/>
      <c r="H415" s="30"/>
      <c r="I415" s="30"/>
      <c r="J415" s="30"/>
      <c r="K415" s="30"/>
      <c r="L415" s="30"/>
      <c r="M415" s="30"/>
      <c r="N415" s="30"/>
      <c r="O415" s="30"/>
      <c r="P415" s="30"/>
      <c r="Q415" s="30"/>
      <c r="R415" s="30"/>
      <c r="S415" s="195"/>
      <c r="T415" s="195"/>
      <c r="U415" s="195"/>
      <c r="V415" s="195"/>
      <c r="W415" s="30"/>
      <c r="X415" s="30"/>
      <c r="Y415" s="30"/>
      <c r="Z415" s="30"/>
      <c r="AA415" s="30"/>
      <c r="AB415" s="30"/>
    </row>
    <row r="416">
      <c r="A416" s="30"/>
      <c r="B416" s="30"/>
      <c r="C416" s="30"/>
      <c r="D416" s="30"/>
      <c r="E416" s="30"/>
      <c r="F416" s="292"/>
      <c r="G416" s="30"/>
      <c r="H416" s="30"/>
      <c r="I416" s="30"/>
      <c r="J416" s="30"/>
      <c r="K416" s="30"/>
      <c r="L416" s="30"/>
      <c r="M416" s="30"/>
      <c r="N416" s="30"/>
      <c r="O416" s="30"/>
      <c r="P416" s="30"/>
      <c r="Q416" s="30"/>
      <c r="R416" s="30"/>
      <c r="S416" s="195"/>
      <c r="T416" s="195"/>
      <c r="U416" s="195"/>
      <c r="V416" s="195"/>
      <c r="W416" s="30"/>
      <c r="X416" s="30"/>
      <c r="Y416" s="30"/>
      <c r="Z416" s="30"/>
      <c r="AA416" s="30"/>
      <c r="AB416" s="30"/>
    </row>
    <row r="417">
      <c r="A417" s="30"/>
      <c r="B417" s="30"/>
      <c r="C417" s="30"/>
      <c r="D417" s="30"/>
      <c r="E417" s="30"/>
      <c r="F417" s="292"/>
      <c r="G417" s="30"/>
      <c r="H417" s="30"/>
      <c r="I417" s="30"/>
      <c r="J417" s="30"/>
      <c r="K417" s="30"/>
      <c r="L417" s="30"/>
      <c r="M417" s="30"/>
      <c r="N417" s="30"/>
      <c r="O417" s="30"/>
      <c r="P417" s="30"/>
      <c r="Q417" s="30"/>
      <c r="R417" s="30"/>
      <c r="S417" s="195"/>
      <c r="T417" s="195"/>
      <c r="U417" s="195"/>
      <c r="V417" s="195"/>
      <c r="W417" s="30"/>
      <c r="X417" s="30"/>
      <c r="Y417" s="30"/>
      <c r="Z417" s="30"/>
      <c r="AA417" s="30"/>
      <c r="AB417" s="30"/>
    </row>
    <row r="418">
      <c r="A418" s="30"/>
      <c r="B418" s="30"/>
      <c r="C418" s="30"/>
      <c r="D418" s="30"/>
      <c r="E418" s="30"/>
      <c r="F418" s="292"/>
      <c r="G418" s="30"/>
      <c r="H418" s="30"/>
      <c r="I418" s="30"/>
      <c r="J418" s="30"/>
      <c r="K418" s="30"/>
      <c r="L418" s="30"/>
      <c r="M418" s="30"/>
      <c r="N418" s="30"/>
      <c r="O418" s="30"/>
      <c r="P418" s="30"/>
      <c r="Q418" s="30"/>
      <c r="R418" s="30"/>
      <c r="S418" s="195"/>
      <c r="T418" s="195"/>
      <c r="U418" s="195"/>
      <c r="V418" s="195"/>
      <c r="W418" s="30"/>
      <c r="X418" s="30"/>
      <c r="Y418" s="30"/>
      <c r="Z418" s="30"/>
      <c r="AA418" s="30"/>
      <c r="AB418" s="30"/>
    </row>
    <row r="419">
      <c r="A419" s="30"/>
      <c r="B419" s="30"/>
      <c r="C419" s="30"/>
      <c r="D419" s="30"/>
      <c r="E419" s="30"/>
      <c r="F419" s="292"/>
      <c r="G419" s="30"/>
      <c r="H419" s="30"/>
      <c r="I419" s="30"/>
      <c r="J419" s="30"/>
      <c r="K419" s="30"/>
      <c r="L419" s="30"/>
      <c r="M419" s="30"/>
      <c r="N419" s="30"/>
      <c r="O419" s="30"/>
      <c r="P419" s="30"/>
      <c r="Q419" s="30"/>
      <c r="R419" s="30"/>
      <c r="S419" s="195"/>
      <c r="T419" s="195"/>
      <c r="U419" s="195"/>
      <c r="V419" s="195"/>
      <c r="W419" s="30"/>
      <c r="X419" s="30"/>
      <c r="Y419" s="30"/>
      <c r="Z419" s="30"/>
      <c r="AA419" s="30"/>
      <c r="AB419" s="30"/>
    </row>
    <row r="420">
      <c r="A420" s="30"/>
      <c r="B420" s="30"/>
      <c r="C420" s="30"/>
      <c r="D420" s="30"/>
      <c r="E420" s="30"/>
      <c r="F420" s="292"/>
      <c r="G420" s="30"/>
      <c r="H420" s="30"/>
      <c r="I420" s="30"/>
      <c r="J420" s="30"/>
      <c r="K420" s="30"/>
      <c r="L420" s="30"/>
      <c r="M420" s="30"/>
      <c r="N420" s="30"/>
      <c r="O420" s="30"/>
      <c r="P420" s="30"/>
      <c r="Q420" s="30"/>
      <c r="R420" s="30"/>
      <c r="S420" s="195"/>
      <c r="T420" s="195"/>
      <c r="U420" s="195"/>
      <c r="V420" s="195"/>
      <c r="W420" s="30"/>
      <c r="X420" s="30"/>
      <c r="Y420" s="30"/>
      <c r="Z420" s="30"/>
      <c r="AA420" s="30"/>
      <c r="AB420" s="30"/>
    </row>
    <row r="421">
      <c r="A421" s="30"/>
      <c r="B421" s="30"/>
      <c r="C421" s="30"/>
      <c r="D421" s="30"/>
      <c r="E421" s="30"/>
      <c r="F421" s="292"/>
      <c r="G421" s="30"/>
      <c r="H421" s="30"/>
      <c r="I421" s="30"/>
      <c r="J421" s="30"/>
      <c r="K421" s="30"/>
      <c r="L421" s="30"/>
      <c r="M421" s="30"/>
      <c r="N421" s="30"/>
      <c r="O421" s="30"/>
      <c r="P421" s="30"/>
      <c r="Q421" s="30"/>
      <c r="R421" s="30"/>
      <c r="S421" s="195"/>
      <c r="T421" s="195"/>
      <c r="U421" s="195"/>
      <c r="V421" s="195"/>
      <c r="W421" s="30"/>
      <c r="X421" s="30"/>
      <c r="Y421" s="30"/>
      <c r="Z421" s="30"/>
      <c r="AA421" s="30"/>
      <c r="AB421" s="30"/>
    </row>
    <row r="422">
      <c r="A422" s="30"/>
      <c r="B422" s="30"/>
      <c r="C422" s="30"/>
      <c r="D422" s="30"/>
      <c r="E422" s="30"/>
      <c r="F422" s="292"/>
      <c r="G422" s="30"/>
      <c r="H422" s="30"/>
      <c r="I422" s="30"/>
      <c r="J422" s="30"/>
      <c r="K422" s="30"/>
      <c r="L422" s="30"/>
      <c r="M422" s="30"/>
      <c r="N422" s="30"/>
      <c r="O422" s="30"/>
      <c r="P422" s="30"/>
      <c r="Q422" s="30"/>
      <c r="R422" s="30"/>
      <c r="S422" s="195"/>
      <c r="T422" s="195"/>
      <c r="U422" s="195"/>
      <c r="V422" s="195"/>
      <c r="W422" s="30"/>
      <c r="X422" s="30"/>
      <c r="Y422" s="30"/>
      <c r="Z422" s="30"/>
      <c r="AA422" s="30"/>
      <c r="AB422" s="30"/>
    </row>
    <row r="423">
      <c r="A423" s="30"/>
      <c r="B423" s="30"/>
      <c r="C423" s="30"/>
      <c r="D423" s="30"/>
      <c r="E423" s="30"/>
      <c r="F423" s="292"/>
      <c r="G423" s="30"/>
      <c r="H423" s="30"/>
      <c r="I423" s="30"/>
      <c r="J423" s="30"/>
      <c r="K423" s="30"/>
      <c r="L423" s="30"/>
      <c r="M423" s="30"/>
      <c r="N423" s="30"/>
      <c r="O423" s="30"/>
      <c r="P423" s="30"/>
      <c r="Q423" s="30"/>
      <c r="R423" s="30"/>
      <c r="S423" s="195"/>
      <c r="T423" s="195"/>
      <c r="U423" s="195"/>
      <c r="V423" s="195"/>
      <c r="W423" s="30"/>
      <c r="X423" s="30"/>
      <c r="Y423" s="30"/>
      <c r="Z423" s="30"/>
      <c r="AA423" s="30"/>
      <c r="AB423" s="30"/>
    </row>
    <row r="424">
      <c r="A424" s="30"/>
      <c r="B424" s="30"/>
      <c r="C424" s="30"/>
      <c r="D424" s="30"/>
      <c r="E424" s="30"/>
      <c r="F424" s="292"/>
      <c r="G424" s="30"/>
      <c r="H424" s="30"/>
      <c r="I424" s="30"/>
      <c r="J424" s="30"/>
      <c r="K424" s="30"/>
      <c r="L424" s="30"/>
      <c r="M424" s="30"/>
      <c r="N424" s="30"/>
      <c r="O424" s="30"/>
      <c r="P424" s="30"/>
      <c r="Q424" s="30"/>
      <c r="R424" s="30"/>
      <c r="S424" s="195"/>
      <c r="T424" s="195"/>
      <c r="U424" s="195"/>
      <c r="V424" s="195"/>
      <c r="W424" s="30"/>
      <c r="X424" s="30"/>
      <c r="Y424" s="30"/>
      <c r="Z424" s="30"/>
      <c r="AA424" s="30"/>
      <c r="AB424" s="30"/>
    </row>
    <row r="425">
      <c r="A425" s="30"/>
      <c r="B425" s="30"/>
      <c r="C425" s="30"/>
      <c r="D425" s="30"/>
      <c r="E425" s="30"/>
      <c r="F425" s="292"/>
      <c r="G425" s="30"/>
      <c r="H425" s="30"/>
      <c r="I425" s="30"/>
      <c r="J425" s="30"/>
      <c r="K425" s="30"/>
      <c r="L425" s="30"/>
      <c r="M425" s="30"/>
      <c r="N425" s="30"/>
      <c r="O425" s="30"/>
      <c r="P425" s="30"/>
      <c r="Q425" s="30"/>
      <c r="R425" s="30"/>
      <c r="S425" s="195"/>
      <c r="T425" s="195"/>
      <c r="U425" s="195"/>
      <c r="V425" s="195"/>
      <c r="W425" s="30"/>
      <c r="X425" s="30"/>
      <c r="Y425" s="30"/>
      <c r="Z425" s="30"/>
      <c r="AA425" s="30"/>
      <c r="AB425" s="30"/>
    </row>
    <row r="426">
      <c r="A426" s="30"/>
      <c r="B426" s="30"/>
      <c r="C426" s="30"/>
      <c r="D426" s="30"/>
      <c r="E426" s="30"/>
      <c r="F426" s="292"/>
      <c r="G426" s="30"/>
      <c r="H426" s="30"/>
      <c r="I426" s="30"/>
      <c r="J426" s="30"/>
      <c r="K426" s="30"/>
      <c r="L426" s="30"/>
      <c r="M426" s="30"/>
      <c r="N426" s="30"/>
      <c r="O426" s="30"/>
      <c r="P426" s="30"/>
      <c r="Q426" s="30"/>
      <c r="R426" s="30"/>
      <c r="S426" s="195"/>
      <c r="T426" s="195"/>
      <c r="U426" s="195"/>
      <c r="V426" s="195"/>
      <c r="W426" s="30"/>
      <c r="X426" s="30"/>
      <c r="Y426" s="30"/>
      <c r="Z426" s="30"/>
      <c r="AA426" s="30"/>
      <c r="AB426" s="30"/>
    </row>
    <row r="427">
      <c r="A427" s="30"/>
      <c r="B427" s="30"/>
      <c r="C427" s="30"/>
      <c r="D427" s="30"/>
      <c r="E427" s="30"/>
      <c r="F427" s="292"/>
      <c r="G427" s="30"/>
      <c r="H427" s="30"/>
      <c r="I427" s="30"/>
      <c r="J427" s="30"/>
      <c r="K427" s="30"/>
      <c r="L427" s="30"/>
      <c r="M427" s="30"/>
      <c r="N427" s="30"/>
      <c r="O427" s="30"/>
      <c r="P427" s="30"/>
      <c r="Q427" s="30"/>
      <c r="R427" s="30"/>
      <c r="S427" s="195"/>
      <c r="T427" s="195"/>
      <c r="U427" s="195"/>
      <c r="V427" s="195"/>
      <c r="W427" s="30"/>
      <c r="X427" s="30"/>
      <c r="Y427" s="30"/>
      <c r="Z427" s="30"/>
      <c r="AA427" s="30"/>
      <c r="AB427" s="30"/>
    </row>
    <row r="428">
      <c r="A428" s="30"/>
      <c r="B428" s="30"/>
      <c r="C428" s="30"/>
      <c r="D428" s="30"/>
      <c r="E428" s="30"/>
      <c r="F428" s="292"/>
      <c r="G428" s="30"/>
      <c r="H428" s="30"/>
      <c r="I428" s="30"/>
      <c r="J428" s="30"/>
      <c r="K428" s="30"/>
      <c r="L428" s="30"/>
      <c r="M428" s="30"/>
      <c r="N428" s="30"/>
      <c r="O428" s="30"/>
      <c r="P428" s="30"/>
      <c r="Q428" s="30"/>
      <c r="R428" s="30"/>
      <c r="S428" s="195"/>
      <c r="T428" s="195"/>
      <c r="U428" s="195"/>
      <c r="V428" s="195"/>
      <c r="W428" s="30"/>
      <c r="X428" s="30"/>
      <c r="Y428" s="30"/>
      <c r="Z428" s="30"/>
      <c r="AA428" s="30"/>
      <c r="AB428" s="30"/>
    </row>
    <row r="429">
      <c r="A429" s="30"/>
      <c r="B429" s="30"/>
      <c r="C429" s="30"/>
      <c r="D429" s="30"/>
      <c r="E429" s="30"/>
      <c r="F429" s="292"/>
      <c r="G429" s="30"/>
      <c r="H429" s="30"/>
      <c r="I429" s="30"/>
      <c r="J429" s="30"/>
      <c r="K429" s="30"/>
      <c r="L429" s="30"/>
      <c r="M429" s="30"/>
      <c r="N429" s="30"/>
      <c r="O429" s="30"/>
      <c r="P429" s="30"/>
      <c r="Q429" s="30"/>
      <c r="R429" s="30"/>
      <c r="S429" s="195"/>
      <c r="T429" s="195"/>
      <c r="U429" s="195"/>
      <c r="V429" s="195"/>
      <c r="W429" s="30"/>
      <c r="X429" s="30"/>
      <c r="Y429" s="30"/>
      <c r="Z429" s="30"/>
      <c r="AA429" s="30"/>
      <c r="AB429" s="30"/>
    </row>
    <row r="430">
      <c r="A430" s="30"/>
      <c r="B430" s="30"/>
      <c r="C430" s="30"/>
      <c r="D430" s="30"/>
      <c r="E430" s="30"/>
      <c r="F430" s="292"/>
      <c r="G430" s="30"/>
      <c r="H430" s="30"/>
      <c r="I430" s="30"/>
      <c r="J430" s="30"/>
      <c r="K430" s="30"/>
      <c r="L430" s="30"/>
      <c r="M430" s="30"/>
      <c r="N430" s="30"/>
      <c r="O430" s="30"/>
      <c r="P430" s="30"/>
      <c r="Q430" s="30"/>
      <c r="R430" s="30"/>
      <c r="S430" s="195"/>
      <c r="T430" s="195"/>
      <c r="U430" s="195"/>
      <c r="V430" s="195"/>
      <c r="W430" s="30"/>
      <c r="X430" s="30"/>
      <c r="Y430" s="30"/>
      <c r="Z430" s="30"/>
      <c r="AA430" s="30"/>
      <c r="AB430" s="30"/>
    </row>
    <row r="431">
      <c r="A431" s="30"/>
      <c r="B431" s="30"/>
      <c r="C431" s="30"/>
      <c r="D431" s="30"/>
      <c r="E431" s="30"/>
      <c r="F431" s="292"/>
      <c r="G431" s="30"/>
      <c r="H431" s="30"/>
      <c r="I431" s="30"/>
      <c r="J431" s="30"/>
      <c r="K431" s="30"/>
      <c r="L431" s="30"/>
      <c r="M431" s="30"/>
      <c r="N431" s="30"/>
      <c r="O431" s="30"/>
      <c r="P431" s="30"/>
      <c r="Q431" s="30"/>
      <c r="R431" s="30"/>
      <c r="S431" s="195"/>
      <c r="T431" s="195"/>
      <c r="U431" s="195"/>
      <c r="V431" s="195"/>
      <c r="W431" s="30"/>
      <c r="X431" s="30"/>
      <c r="Y431" s="30"/>
      <c r="Z431" s="30"/>
      <c r="AA431" s="30"/>
      <c r="AB431" s="30"/>
    </row>
    <row r="432">
      <c r="A432" s="30"/>
      <c r="B432" s="30"/>
      <c r="C432" s="30"/>
      <c r="D432" s="30"/>
      <c r="E432" s="30"/>
      <c r="F432" s="292"/>
      <c r="G432" s="30"/>
      <c r="H432" s="30"/>
      <c r="I432" s="30"/>
      <c r="J432" s="30"/>
      <c r="K432" s="30"/>
      <c r="L432" s="30"/>
      <c r="M432" s="30"/>
      <c r="N432" s="30"/>
      <c r="O432" s="30"/>
      <c r="P432" s="30"/>
      <c r="Q432" s="30"/>
      <c r="R432" s="30"/>
      <c r="S432" s="195"/>
      <c r="T432" s="195"/>
      <c r="U432" s="195"/>
      <c r="V432" s="195"/>
      <c r="W432" s="30"/>
      <c r="X432" s="30"/>
      <c r="Y432" s="30"/>
      <c r="Z432" s="30"/>
      <c r="AA432" s="30"/>
      <c r="AB432" s="30"/>
    </row>
    <row r="433">
      <c r="A433" s="30"/>
      <c r="B433" s="30"/>
      <c r="C433" s="30"/>
      <c r="D433" s="30"/>
      <c r="E433" s="30"/>
      <c r="F433" s="292"/>
      <c r="G433" s="30"/>
      <c r="H433" s="30"/>
      <c r="I433" s="30"/>
      <c r="J433" s="30"/>
      <c r="K433" s="30"/>
      <c r="L433" s="30"/>
      <c r="M433" s="30"/>
      <c r="N433" s="30"/>
      <c r="O433" s="30"/>
      <c r="P433" s="30"/>
      <c r="Q433" s="30"/>
      <c r="R433" s="30"/>
      <c r="S433" s="195"/>
      <c r="T433" s="195"/>
      <c r="U433" s="195"/>
      <c r="V433" s="195"/>
      <c r="W433" s="30"/>
      <c r="X433" s="30"/>
      <c r="Y433" s="30"/>
      <c r="Z433" s="30"/>
      <c r="AA433" s="30"/>
      <c r="AB433" s="30"/>
    </row>
    <row r="434">
      <c r="A434" s="30"/>
      <c r="B434" s="30"/>
      <c r="C434" s="30"/>
      <c r="D434" s="30"/>
      <c r="E434" s="30"/>
      <c r="F434" s="292"/>
      <c r="G434" s="30"/>
      <c r="H434" s="30"/>
      <c r="I434" s="30"/>
      <c r="J434" s="30"/>
      <c r="K434" s="30"/>
      <c r="L434" s="30"/>
      <c r="M434" s="30"/>
      <c r="N434" s="30"/>
      <c r="O434" s="30"/>
      <c r="P434" s="30"/>
      <c r="Q434" s="30"/>
      <c r="R434" s="30"/>
      <c r="S434" s="195"/>
      <c r="T434" s="195"/>
      <c r="U434" s="195"/>
      <c r="V434" s="195"/>
      <c r="W434" s="30"/>
      <c r="X434" s="30"/>
      <c r="Y434" s="30"/>
      <c r="Z434" s="30"/>
      <c r="AA434" s="30"/>
      <c r="AB434" s="30"/>
    </row>
    <row r="435">
      <c r="A435" s="30"/>
      <c r="B435" s="30"/>
      <c r="C435" s="30"/>
      <c r="D435" s="30"/>
      <c r="E435" s="30"/>
      <c r="F435" s="292"/>
      <c r="G435" s="30"/>
      <c r="H435" s="30"/>
      <c r="I435" s="30"/>
      <c r="J435" s="30"/>
      <c r="K435" s="30"/>
      <c r="L435" s="30"/>
      <c r="M435" s="30"/>
      <c r="N435" s="30"/>
      <c r="O435" s="30"/>
      <c r="P435" s="30"/>
      <c r="Q435" s="30"/>
      <c r="R435" s="30"/>
      <c r="S435" s="195"/>
      <c r="T435" s="195"/>
      <c r="U435" s="195"/>
      <c r="V435" s="195"/>
      <c r="W435" s="30"/>
      <c r="X435" s="30"/>
      <c r="Y435" s="30"/>
      <c r="Z435" s="30"/>
      <c r="AA435" s="30"/>
      <c r="AB435" s="30"/>
    </row>
    <row r="436">
      <c r="A436" s="30"/>
      <c r="B436" s="30"/>
      <c r="C436" s="30"/>
      <c r="D436" s="30"/>
      <c r="E436" s="30"/>
      <c r="F436" s="292"/>
      <c r="G436" s="30"/>
      <c r="H436" s="30"/>
      <c r="I436" s="30"/>
      <c r="J436" s="30"/>
      <c r="K436" s="30"/>
      <c r="L436" s="30"/>
      <c r="M436" s="30"/>
      <c r="N436" s="30"/>
      <c r="O436" s="30"/>
      <c r="P436" s="30"/>
      <c r="Q436" s="30"/>
      <c r="R436" s="30"/>
      <c r="S436" s="195"/>
      <c r="T436" s="195"/>
      <c r="U436" s="195"/>
      <c r="V436" s="195"/>
      <c r="W436" s="30"/>
      <c r="X436" s="30"/>
      <c r="Y436" s="30"/>
      <c r="Z436" s="30"/>
      <c r="AA436" s="30"/>
      <c r="AB436" s="30"/>
    </row>
    <row r="437">
      <c r="A437" s="30"/>
      <c r="B437" s="30"/>
      <c r="C437" s="30"/>
      <c r="D437" s="30"/>
      <c r="E437" s="30"/>
      <c r="F437" s="292"/>
      <c r="G437" s="30"/>
      <c r="H437" s="30"/>
      <c r="I437" s="30"/>
      <c r="J437" s="30"/>
      <c r="K437" s="30"/>
      <c r="L437" s="30"/>
      <c r="M437" s="30"/>
      <c r="N437" s="30"/>
      <c r="O437" s="30"/>
      <c r="P437" s="30"/>
      <c r="Q437" s="30"/>
      <c r="R437" s="30"/>
      <c r="S437" s="195"/>
      <c r="T437" s="195"/>
      <c r="U437" s="195"/>
      <c r="V437" s="195"/>
      <c r="W437" s="30"/>
      <c r="X437" s="30"/>
      <c r="Y437" s="30"/>
      <c r="Z437" s="30"/>
      <c r="AA437" s="30"/>
      <c r="AB437" s="30"/>
    </row>
    <row r="438">
      <c r="A438" s="30"/>
      <c r="B438" s="30"/>
      <c r="C438" s="30"/>
      <c r="D438" s="30"/>
      <c r="E438" s="30"/>
      <c r="F438" s="292"/>
      <c r="G438" s="30"/>
      <c r="H438" s="30"/>
      <c r="I438" s="30"/>
      <c r="J438" s="30"/>
      <c r="K438" s="30"/>
      <c r="L438" s="30"/>
      <c r="M438" s="30"/>
      <c r="N438" s="30"/>
      <c r="O438" s="30"/>
      <c r="P438" s="30"/>
      <c r="Q438" s="30"/>
      <c r="R438" s="30"/>
      <c r="S438" s="195"/>
      <c r="T438" s="195"/>
      <c r="U438" s="195"/>
      <c r="V438" s="195"/>
      <c r="W438" s="30"/>
      <c r="X438" s="30"/>
      <c r="Y438" s="30"/>
      <c r="Z438" s="30"/>
      <c r="AA438" s="30"/>
      <c r="AB438" s="30"/>
    </row>
    <row r="439">
      <c r="A439" s="30"/>
      <c r="B439" s="30"/>
      <c r="C439" s="30"/>
      <c r="D439" s="30"/>
      <c r="E439" s="30"/>
      <c r="F439" s="292"/>
      <c r="G439" s="30"/>
      <c r="H439" s="30"/>
      <c r="I439" s="30"/>
      <c r="J439" s="30"/>
      <c r="K439" s="30"/>
      <c r="L439" s="30"/>
      <c r="M439" s="30"/>
      <c r="N439" s="30"/>
      <c r="O439" s="30"/>
      <c r="P439" s="30"/>
      <c r="Q439" s="30"/>
      <c r="R439" s="30"/>
      <c r="S439" s="195"/>
      <c r="T439" s="195"/>
      <c r="U439" s="195"/>
      <c r="V439" s="195"/>
      <c r="W439" s="30"/>
      <c r="X439" s="30"/>
      <c r="Y439" s="30"/>
      <c r="Z439" s="30"/>
      <c r="AA439" s="30"/>
      <c r="AB439" s="30"/>
    </row>
    <row r="440">
      <c r="A440" s="30"/>
      <c r="B440" s="30"/>
      <c r="C440" s="30"/>
      <c r="D440" s="30"/>
      <c r="E440" s="30"/>
      <c r="F440" s="292"/>
      <c r="G440" s="30"/>
      <c r="H440" s="30"/>
      <c r="I440" s="30"/>
      <c r="J440" s="30"/>
      <c r="K440" s="30"/>
      <c r="L440" s="30"/>
      <c r="M440" s="30"/>
      <c r="N440" s="30"/>
      <c r="O440" s="30"/>
      <c r="P440" s="30"/>
      <c r="Q440" s="30"/>
      <c r="R440" s="30"/>
      <c r="S440" s="195"/>
      <c r="T440" s="195"/>
      <c r="U440" s="195"/>
      <c r="V440" s="195"/>
      <c r="W440" s="30"/>
      <c r="X440" s="30"/>
      <c r="Y440" s="30"/>
      <c r="Z440" s="30"/>
      <c r="AA440" s="30"/>
      <c r="AB440" s="30"/>
    </row>
    <row r="441">
      <c r="A441" s="30"/>
      <c r="B441" s="30"/>
      <c r="C441" s="30"/>
      <c r="D441" s="30"/>
      <c r="E441" s="30"/>
      <c r="F441" s="292"/>
      <c r="G441" s="30"/>
      <c r="H441" s="30"/>
      <c r="I441" s="30"/>
      <c r="J441" s="30"/>
      <c r="K441" s="30"/>
      <c r="L441" s="30"/>
      <c r="M441" s="30"/>
      <c r="N441" s="30"/>
      <c r="O441" s="30"/>
      <c r="P441" s="30"/>
      <c r="Q441" s="30"/>
      <c r="R441" s="30"/>
      <c r="S441" s="195"/>
      <c r="T441" s="195"/>
      <c r="U441" s="195"/>
      <c r="V441" s="195"/>
      <c r="W441" s="30"/>
      <c r="X441" s="30"/>
      <c r="Y441" s="30"/>
      <c r="Z441" s="30"/>
      <c r="AA441" s="30"/>
      <c r="AB441" s="30"/>
    </row>
    <row r="442">
      <c r="A442" s="30"/>
      <c r="B442" s="30"/>
      <c r="C442" s="30"/>
      <c r="D442" s="30"/>
      <c r="E442" s="30"/>
      <c r="F442" s="292"/>
      <c r="G442" s="30"/>
      <c r="H442" s="30"/>
      <c r="I442" s="30"/>
      <c r="J442" s="30"/>
      <c r="K442" s="30"/>
      <c r="L442" s="30"/>
      <c r="M442" s="30"/>
      <c r="N442" s="30"/>
      <c r="O442" s="30"/>
      <c r="P442" s="30"/>
      <c r="Q442" s="30"/>
      <c r="R442" s="30"/>
      <c r="S442" s="195"/>
      <c r="T442" s="195"/>
      <c r="U442" s="195"/>
      <c r="V442" s="195"/>
      <c r="W442" s="30"/>
      <c r="X442" s="30"/>
      <c r="Y442" s="30"/>
      <c r="Z442" s="30"/>
      <c r="AA442" s="30"/>
      <c r="AB442" s="30"/>
    </row>
    <row r="443">
      <c r="A443" s="30"/>
      <c r="B443" s="30"/>
      <c r="C443" s="30"/>
      <c r="D443" s="30"/>
      <c r="E443" s="30"/>
      <c r="F443" s="292"/>
      <c r="G443" s="30"/>
      <c r="H443" s="30"/>
      <c r="I443" s="30"/>
      <c r="J443" s="30"/>
      <c r="K443" s="30"/>
      <c r="L443" s="30"/>
      <c r="M443" s="30"/>
      <c r="N443" s="30"/>
      <c r="O443" s="30"/>
      <c r="P443" s="30"/>
      <c r="Q443" s="30"/>
      <c r="R443" s="30"/>
      <c r="S443" s="195"/>
      <c r="T443" s="195"/>
      <c r="U443" s="195"/>
      <c r="V443" s="195"/>
      <c r="W443" s="30"/>
      <c r="X443" s="30"/>
      <c r="Y443" s="30"/>
      <c r="Z443" s="30"/>
      <c r="AA443" s="30"/>
      <c r="AB443" s="30"/>
    </row>
    <row r="444">
      <c r="A444" s="30"/>
      <c r="B444" s="30"/>
      <c r="C444" s="30"/>
      <c r="D444" s="30"/>
      <c r="E444" s="30"/>
      <c r="F444" s="292"/>
      <c r="G444" s="30"/>
      <c r="H444" s="30"/>
      <c r="I444" s="30"/>
      <c r="J444" s="30"/>
      <c r="K444" s="30"/>
      <c r="L444" s="30"/>
      <c r="M444" s="30"/>
      <c r="N444" s="30"/>
      <c r="O444" s="30"/>
      <c r="P444" s="30"/>
      <c r="Q444" s="30"/>
      <c r="R444" s="30"/>
      <c r="S444" s="195"/>
      <c r="T444" s="195"/>
      <c r="U444" s="195"/>
      <c r="V444" s="195"/>
      <c r="W444" s="30"/>
      <c r="X444" s="30"/>
      <c r="Y444" s="30"/>
      <c r="Z444" s="30"/>
      <c r="AA444" s="30"/>
      <c r="AB444" s="30"/>
    </row>
    <row r="445">
      <c r="A445" s="30"/>
      <c r="B445" s="30"/>
      <c r="C445" s="30"/>
      <c r="D445" s="30"/>
      <c r="E445" s="30"/>
      <c r="F445" s="292"/>
      <c r="G445" s="30"/>
      <c r="H445" s="30"/>
      <c r="I445" s="30"/>
      <c r="J445" s="30"/>
      <c r="K445" s="30"/>
      <c r="L445" s="30"/>
      <c r="M445" s="30"/>
      <c r="N445" s="30"/>
      <c r="O445" s="30"/>
      <c r="P445" s="30"/>
      <c r="Q445" s="30"/>
      <c r="R445" s="30"/>
      <c r="S445" s="195"/>
      <c r="T445" s="195"/>
      <c r="U445" s="195"/>
      <c r="V445" s="195"/>
      <c r="W445" s="30"/>
      <c r="X445" s="30"/>
      <c r="Y445" s="30"/>
      <c r="Z445" s="30"/>
      <c r="AA445" s="30"/>
      <c r="AB445" s="30"/>
    </row>
    <row r="446">
      <c r="A446" s="30"/>
      <c r="B446" s="30"/>
      <c r="C446" s="30"/>
      <c r="D446" s="30"/>
      <c r="E446" s="30"/>
      <c r="F446" s="292"/>
      <c r="G446" s="30"/>
      <c r="H446" s="30"/>
      <c r="I446" s="30"/>
      <c r="J446" s="30"/>
      <c r="K446" s="30"/>
      <c r="L446" s="30"/>
      <c r="M446" s="30"/>
      <c r="N446" s="30"/>
      <c r="O446" s="30"/>
      <c r="P446" s="30"/>
      <c r="Q446" s="30"/>
      <c r="R446" s="30"/>
      <c r="S446" s="195"/>
      <c r="T446" s="195"/>
      <c r="U446" s="195"/>
      <c r="V446" s="195"/>
      <c r="W446" s="30"/>
      <c r="X446" s="30"/>
      <c r="Y446" s="30"/>
      <c r="Z446" s="30"/>
      <c r="AA446" s="30"/>
      <c r="AB446" s="30"/>
    </row>
    <row r="447">
      <c r="A447" s="30"/>
      <c r="B447" s="30"/>
      <c r="C447" s="30"/>
      <c r="D447" s="30"/>
      <c r="E447" s="30"/>
      <c r="F447" s="292"/>
      <c r="G447" s="30"/>
      <c r="H447" s="30"/>
      <c r="I447" s="30"/>
      <c r="J447" s="30"/>
      <c r="K447" s="30"/>
      <c r="L447" s="30"/>
      <c r="M447" s="30"/>
      <c r="N447" s="30"/>
      <c r="O447" s="30"/>
      <c r="P447" s="30"/>
      <c r="Q447" s="30"/>
      <c r="R447" s="30"/>
      <c r="S447" s="195"/>
      <c r="T447" s="195"/>
      <c r="U447" s="195"/>
      <c r="V447" s="195"/>
      <c r="W447" s="30"/>
      <c r="X447" s="30"/>
      <c r="Y447" s="30"/>
      <c r="Z447" s="30"/>
      <c r="AA447" s="30"/>
      <c r="AB447" s="30"/>
    </row>
    <row r="448">
      <c r="A448" s="30"/>
      <c r="B448" s="30"/>
      <c r="C448" s="30"/>
      <c r="D448" s="30"/>
      <c r="E448" s="30"/>
      <c r="F448" s="292"/>
      <c r="G448" s="30"/>
      <c r="H448" s="30"/>
      <c r="I448" s="30"/>
      <c r="J448" s="30"/>
      <c r="K448" s="30"/>
      <c r="L448" s="30"/>
      <c r="M448" s="30"/>
      <c r="N448" s="30"/>
      <c r="O448" s="30"/>
      <c r="P448" s="30"/>
      <c r="Q448" s="30"/>
      <c r="R448" s="30"/>
      <c r="S448" s="195"/>
      <c r="T448" s="195"/>
      <c r="U448" s="195"/>
      <c r="V448" s="195"/>
      <c r="W448" s="30"/>
      <c r="X448" s="30"/>
      <c r="Y448" s="30"/>
      <c r="Z448" s="30"/>
      <c r="AA448" s="30"/>
      <c r="AB448" s="30"/>
    </row>
    <row r="449">
      <c r="A449" s="30"/>
      <c r="B449" s="30"/>
      <c r="C449" s="30"/>
      <c r="D449" s="30"/>
      <c r="E449" s="30"/>
      <c r="F449" s="292"/>
      <c r="G449" s="30"/>
      <c r="H449" s="30"/>
      <c r="I449" s="30"/>
      <c r="J449" s="30"/>
      <c r="K449" s="30"/>
      <c r="L449" s="30"/>
      <c r="M449" s="30"/>
      <c r="N449" s="30"/>
      <c r="O449" s="30"/>
      <c r="P449" s="30"/>
      <c r="Q449" s="30"/>
      <c r="R449" s="30"/>
      <c r="S449" s="195"/>
      <c r="T449" s="195"/>
      <c r="U449" s="195"/>
      <c r="V449" s="195"/>
      <c r="W449" s="30"/>
      <c r="X449" s="30"/>
      <c r="Y449" s="30"/>
      <c r="Z449" s="30"/>
      <c r="AA449" s="30"/>
      <c r="AB449" s="30"/>
    </row>
    <row r="450">
      <c r="A450" s="30"/>
      <c r="B450" s="30"/>
      <c r="C450" s="30"/>
      <c r="D450" s="30"/>
      <c r="E450" s="30"/>
      <c r="F450" s="292"/>
      <c r="G450" s="30"/>
      <c r="H450" s="30"/>
      <c r="I450" s="30"/>
      <c r="J450" s="30"/>
      <c r="K450" s="30"/>
      <c r="L450" s="30"/>
      <c r="M450" s="30"/>
      <c r="N450" s="30"/>
      <c r="O450" s="30"/>
      <c r="P450" s="30"/>
      <c r="Q450" s="30"/>
      <c r="R450" s="30"/>
      <c r="S450" s="195"/>
      <c r="T450" s="195"/>
      <c r="U450" s="195"/>
      <c r="V450" s="195"/>
      <c r="W450" s="30"/>
      <c r="X450" s="30"/>
      <c r="Y450" s="30"/>
      <c r="Z450" s="30"/>
      <c r="AA450" s="30"/>
      <c r="AB450" s="30"/>
    </row>
    <row r="451">
      <c r="A451" s="30"/>
      <c r="B451" s="30"/>
      <c r="C451" s="30"/>
      <c r="D451" s="30"/>
      <c r="E451" s="30"/>
      <c r="F451" s="292"/>
      <c r="G451" s="30"/>
      <c r="H451" s="30"/>
      <c r="I451" s="30"/>
      <c r="J451" s="30"/>
      <c r="K451" s="30"/>
      <c r="L451" s="30"/>
      <c r="M451" s="30"/>
      <c r="N451" s="30"/>
      <c r="O451" s="30"/>
      <c r="P451" s="30"/>
      <c r="Q451" s="30"/>
      <c r="R451" s="30"/>
      <c r="S451" s="195"/>
      <c r="T451" s="195"/>
      <c r="U451" s="195"/>
      <c r="V451" s="195"/>
      <c r="W451" s="30"/>
      <c r="X451" s="30"/>
      <c r="Y451" s="30"/>
      <c r="Z451" s="30"/>
      <c r="AA451" s="30"/>
      <c r="AB451" s="30"/>
    </row>
    <row r="452">
      <c r="A452" s="30"/>
      <c r="B452" s="30"/>
      <c r="C452" s="30"/>
      <c r="D452" s="30"/>
      <c r="E452" s="30"/>
      <c r="F452" s="292"/>
      <c r="G452" s="30"/>
      <c r="H452" s="30"/>
      <c r="I452" s="30"/>
      <c r="J452" s="30"/>
      <c r="K452" s="30"/>
      <c r="L452" s="30"/>
      <c r="M452" s="30"/>
      <c r="N452" s="30"/>
      <c r="O452" s="30"/>
      <c r="P452" s="30"/>
      <c r="Q452" s="30"/>
      <c r="R452" s="30"/>
      <c r="S452" s="195"/>
      <c r="T452" s="195"/>
      <c r="U452" s="195"/>
      <c r="V452" s="195"/>
      <c r="W452" s="30"/>
      <c r="X452" s="30"/>
      <c r="Y452" s="30"/>
      <c r="Z452" s="30"/>
      <c r="AA452" s="30"/>
      <c r="AB452" s="30"/>
    </row>
    <row r="453">
      <c r="A453" s="30"/>
      <c r="B453" s="30"/>
      <c r="C453" s="30"/>
      <c r="D453" s="30"/>
      <c r="E453" s="30"/>
      <c r="F453" s="292"/>
      <c r="G453" s="30"/>
      <c r="H453" s="30"/>
      <c r="I453" s="30"/>
      <c r="J453" s="30"/>
      <c r="K453" s="30"/>
      <c r="L453" s="30"/>
      <c r="M453" s="30"/>
      <c r="N453" s="30"/>
      <c r="O453" s="30"/>
      <c r="P453" s="30"/>
      <c r="Q453" s="30"/>
      <c r="R453" s="30"/>
      <c r="S453" s="195"/>
      <c r="T453" s="195"/>
      <c r="U453" s="195"/>
      <c r="V453" s="195"/>
      <c r="W453" s="30"/>
      <c r="X453" s="30"/>
      <c r="Y453" s="30"/>
      <c r="Z453" s="30"/>
      <c r="AA453" s="30"/>
      <c r="AB453" s="30"/>
    </row>
    <row r="454">
      <c r="A454" s="30"/>
      <c r="B454" s="30"/>
      <c r="C454" s="30"/>
      <c r="D454" s="30"/>
      <c r="E454" s="30"/>
      <c r="F454" s="292"/>
      <c r="G454" s="30"/>
      <c r="H454" s="30"/>
      <c r="I454" s="30"/>
      <c r="J454" s="30"/>
      <c r="K454" s="30"/>
      <c r="L454" s="30"/>
      <c r="M454" s="30"/>
      <c r="N454" s="30"/>
      <c r="O454" s="30"/>
      <c r="P454" s="30"/>
      <c r="Q454" s="30"/>
      <c r="R454" s="30"/>
      <c r="S454" s="195"/>
      <c r="T454" s="195"/>
      <c r="U454" s="195"/>
      <c r="V454" s="195"/>
      <c r="W454" s="30"/>
      <c r="X454" s="30"/>
      <c r="Y454" s="30"/>
      <c r="Z454" s="30"/>
      <c r="AA454" s="30"/>
      <c r="AB454" s="30"/>
    </row>
    <row r="455">
      <c r="A455" s="30"/>
      <c r="B455" s="30"/>
      <c r="C455" s="30"/>
      <c r="D455" s="30"/>
      <c r="E455" s="30"/>
      <c r="F455" s="292"/>
      <c r="G455" s="30"/>
      <c r="H455" s="30"/>
      <c r="I455" s="30"/>
      <c r="J455" s="30"/>
      <c r="K455" s="30"/>
      <c r="L455" s="30"/>
      <c r="M455" s="30"/>
      <c r="N455" s="30"/>
      <c r="O455" s="30"/>
      <c r="P455" s="30"/>
      <c r="Q455" s="30"/>
      <c r="R455" s="30"/>
      <c r="S455" s="195"/>
      <c r="T455" s="195"/>
      <c r="U455" s="195"/>
      <c r="V455" s="195"/>
      <c r="W455" s="30"/>
      <c r="X455" s="30"/>
      <c r="Y455" s="30"/>
      <c r="Z455" s="30"/>
      <c r="AA455" s="30"/>
      <c r="AB455" s="30"/>
    </row>
    <row r="456">
      <c r="A456" s="30"/>
      <c r="B456" s="30"/>
      <c r="C456" s="30"/>
      <c r="D456" s="30"/>
      <c r="E456" s="30"/>
      <c r="F456" s="292"/>
      <c r="G456" s="30"/>
      <c r="H456" s="30"/>
      <c r="I456" s="30"/>
      <c r="J456" s="30"/>
      <c r="K456" s="30"/>
      <c r="L456" s="30"/>
      <c r="M456" s="30"/>
      <c r="N456" s="30"/>
      <c r="O456" s="30"/>
      <c r="P456" s="30"/>
      <c r="Q456" s="30"/>
      <c r="R456" s="30"/>
      <c r="S456" s="195"/>
      <c r="T456" s="195"/>
      <c r="U456" s="195"/>
      <c r="V456" s="195"/>
      <c r="W456" s="30"/>
      <c r="X456" s="30"/>
      <c r="Y456" s="30"/>
      <c r="Z456" s="30"/>
      <c r="AA456" s="30"/>
      <c r="AB456" s="30"/>
    </row>
    <row r="457">
      <c r="A457" s="30"/>
      <c r="B457" s="30"/>
      <c r="C457" s="30"/>
      <c r="D457" s="30"/>
      <c r="E457" s="30"/>
      <c r="F457" s="292"/>
      <c r="G457" s="30"/>
      <c r="H457" s="30"/>
      <c r="I457" s="30"/>
      <c r="J457" s="30"/>
      <c r="K457" s="30"/>
      <c r="L457" s="30"/>
      <c r="M457" s="30"/>
      <c r="N457" s="30"/>
      <c r="O457" s="30"/>
      <c r="P457" s="30"/>
      <c r="Q457" s="30"/>
      <c r="R457" s="30"/>
      <c r="S457" s="195"/>
      <c r="T457" s="195"/>
      <c r="U457" s="195"/>
      <c r="V457" s="195"/>
      <c r="W457" s="30"/>
      <c r="X457" s="30"/>
      <c r="Y457" s="30"/>
      <c r="Z457" s="30"/>
      <c r="AA457" s="30"/>
      <c r="AB457" s="30"/>
    </row>
    <row r="458">
      <c r="A458" s="30"/>
      <c r="B458" s="30"/>
      <c r="C458" s="30"/>
      <c r="D458" s="30"/>
      <c r="E458" s="30"/>
      <c r="F458" s="292"/>
      <c r="G458" s="30"/>
      <c r="H458" s="30"/>
      <c r="I458" s="30"/>
      <c r="J458" s="30"/>
      <c r="K458" s="30"/>
      <c r="L458" s="30"/>
      <c r="M458" s="30"/>
      <c r="N458" s="30"/>
      <c r="O458" s="30"/>
      <c r="P458" s="30"/>
      <c r="Q458" s="30"/>
      <c r="R458" s="30"/>
      <c r="S458" s="195"/>
      <c r="T458" s="195"/>
      <c r="U458" s="195"/>
      <c r="V458" s="195"/>
      <c r="W458" s="30"/>
      <c r="X458" s="30"/>
      <c r="Y458" s="30"/>
      <c r="Z458" s="30"/>
      <c r="AA458" s="30"/>
      <c r="AB458" s="30"/>
    </row>
    <row r="459">
      <c r="A459" s="30"/>
      <c r="B459" s="30"/>
      <c r="C459" s="30"/>
      <c r="D459" s="30"/>
      <c r="E459" s="30"/>
      <c r="F459" s="292"/>
      <c r="G459" s="30"/>
      <c r="H459" s="30"/>
      <c r="I459" s="30"/>
      <c r="J459" s="30"/>
      <c r="K459" s="30"/>
      <c r="L459" s="30"/>
      <c r="M459" s="30"/>
      <c r="N459" s="30"/>
      <c r="O459" s="30"/>
      <c r="P459" s="30"/>
      <c r="Q459" s="30"/>
      <c r="R459" s="30"/>
      <c r="S459" s="195"/>
      <c r="T459" s="195"/>
      <c r="U459" s="195"/>
      <c r="V459" s="195"/>
      <c r="W459" s="30"/>
      <c r="X459" s="30"/>
      <c r="Y459" s="30"/>
      <c r="Z459" s="30"/>
      <c r="AA459" s="30"/>
      <c r="AB459" s="30"/>
    </row>
    <row r="460">
      <c r="A460" s="30"/>
      <c r="B460" s="30"/>
      <c r="C460" s="30"/>
      <c r="D460" s="30"/>
      <c r="E460" s="30"/>
      <c r="F460" s="292"/>
      <c r="G460" s="30"/>
      <c r="H460" s="30"/>
      <c r="I460" s="30"/>
      <c r="J460" s="30"/>
      <c r="K460" s="30"/>
      <c r="L460" s="30"/>
      <c r="M460" s="30"/>
      <c r="N460" s="30"/>
      <c r="O460" s="30"/>
      <c r="P460" s="30"/>
      <c r="Q460" s="30"/>
      <c r="R460" s="30"/>
      <c r="S460" s="195"/>
      <c r="T460" s="195"/>
      <c r="U460" s="195"/>
      <c r="V460" s="195"/>
      <c r="W460" s="30"/>
      <c r="X460" s="30"/>
      <c r="Y460" s="30"/>
      <c r="Z460" s="30"/>
      <c r="AA460" s="30"/>
      <c r="AB460" s="30"/>
    </row>
    <row r="461">
      <c r="A461" s="30"/>
      <c r="B461" s="30"/>
      <c r="C461" s="30"/>
      <c r="D461" s="30"/>
      <c r="E461" s="30"/>
      <c r="F461" s="292"/>
      <c r="G461" s="30"/>
      <c r="H461" s="30"/>
      <c r="I461" s="30"/>
      <c r="J461" s="30"/>
      <c r="K461" s="30"/>
      <c r="L461" s="30"/>
      <c r="M461" s="30"/>
      <c r="N461" s="30"/>
      <c r="O461" s="30"/>
      <c r="P461" s="30"/>
      <c r="Q461" s="30"/>
      <c r="R461" s="30"/>
      <c r="S461" s="195"/>
      <c r="T461" s="195"/>
      <c r="U461" s="195"/>
      <c r="V461" s="195"/>
      <c r="W461" s="30"/>
      <c r="X461" s="30"/>
      <c r="Y461" s="30"/>
      <c r="Z461" s="30"/>
      <c r="AA461" s="30"/>
      <c r="AB461" s="30"/>
    </row>
    <row r="462">
      <c r="A462" s="30"/>
      <c r="B462" s="30"/>
      <c r="C462" s="30"/>
      <c r="D462" s="30"/>
      <c r="E462" s="30"/>
      <c r="F462" s="292"/>
      <c r="G462" s="30"/>
      <c r="H462" s="30"/>
      <c r="I462" s="30"/>
      <c r="J462" s="30"/>
      <c r="K462" s="30"/>
      <c r="L462" s="30"/>
      <c r="M462" s="30"/>
      <c r="N462" s="30"/>
      <c r="O462" s="30"/>
      <c r="P462" s="30"/>
      <c r="Q462" s="30"/>
      <c r="R462" s="30"/>
      <c r="S462" s="195"/>
      <c r="T462" s="195"/>
      <c r="U462" s="195"/>
      <c r="V462" s="195"/>
      <c r="W462" s="30"/>
      <c r="X462" s="30"/>
      <c r="Y462" s="30"/>
      <c r="Z462" s="30"/>
      <c r="AA462" s="30"/>
      <c r="AB462" s="30"/>
    </row>
    <row r="463">
      <c r="A463" s="30"/>
      <c r="B463" s="30"/>
      <c r="C463" s="30"/>
      <c r="D463" s="30"/>
      <c r="E463" s="30"/>
      <c r="F463" s="292"/>
      <c r="G463" s="30"/>
      <c r="H463" s="30"/>
      <c r="I463" s="30"/>
      <c r="J463" s="30"/>
      <c r="K463" s="30"/>
      <c r="L463" s="30"/>
      <c r="M463" s="30"/>
      <c r="N463" s="30"/>
      <c r="O463" s="30"/>
      <c r="P463" s="30"/>
      <c r="Q463" s="30"/>
      <c r="R463" s="30"/>
      <c r="S463" s="195"/>
      <c r="T463" s="195"/>
      <c r="U463" s="195"/>
      <c r="V463" s="195"/>
      <c r="W463" s="30"/>
      <c r="X463" s="30"/>
      <c r="Y463" s="30"/>
      <c r="Z463" s="30"/>
      <c r="AA463" s="30"/>
      <c r="AB463" s="30"/>
    </row>
    <row r="464">
      <c r="A464" s="30"/>
      <c r="B464" s="30"/>
      <c r="C464" s="30"/>
      <c r="D464" s="30"/>
      <c r="E464" s="30"/>
      <c r="F464" s="292"/>
      <c r="G464" s="30"/>
      <c r="H464" s="30"/>
      <c r="I464" s="30"/>
      <c r="J464" s="30"/>
      <c r="K464" s="30"/>
      <c r="L464" s="30"/>
      <c r="M464" s="30"/>
      <c r="N464" s="30"/>
      <c r="O464" s="30"/>
      <c r="P464" s="30"/>
      <c r="Q464" s="30"/>
      <c r="R464" s="30"/>
      <c r="S464" s="195"/>
      <c r="T464" s="195"/>
      <c r="U464" s="195"/>
      <c r="V464" s="195"/>
      <c r="W464" s="30"/>
      <c r="X464" s="30"/>
      <c r="Y464" s="30"/>
      <c r="Z464" s="30"/>
      <c r="AA464" s="30"/>
      <c r="AB464" s="30"/>
    </row>
    <row r="465">
      <c r="A465" s="30"/>
      <c r="B465" s="30"/>
      <c r="C465" s="30"/>
      <c r="D465" s="30"/>
      <c r="E465" s="30"/>
      <c r="F465" s="292"/>
      <c r="G465" s="30"/>
      <c r="H465" s="30"/>
      <c r="I465" s="30"/>
      <c r="J465" s="30"/>
      <c r="K465" s="30"/>
      <c r="L465" s="30"/>
      <c r="M465" s="30"/>
      <c r="N465" s="30"/>
      <c r="O465" s="30"/>
      <c r="P465" s="30"/>
      <c r="Q465" s="30"/>
      <c r="R465" s="30"/>
      <c r="S465" s="195"/>
      <c r="T465" s="195"/>
      <c r="U465" s="195"/>
      <c r="V465" s="195"/>
      <c r="W465" s="30"/>
      <c r="X465" s="30"/>
      <c r="Y465" s="30"/>
      <c r="Z465" s="30"/>
      <c r="AA465" s="30"/>
      <c r="AB465" s="30"/>
    </row>
    <row r="466">
      <c r="A466" s="30"/>
      <c r="B466" s="30"/>
      <c r="C466" s="30"/>
      <c r="D466" s="30"/>
      <c r="E466" s="30"/>
      <c r="F466" s="292"/>
      <c r="G466" s="30"/>
      <c r="H466" s="30"/>
      <c r="I466" s="30"/>
      <c r="J466" s="30"/>
      <c r="K466" s="30"/>
      <c r="L466" s="30"/>
      <c r="M466" s="30"/>
      <c r="N466" s="30"/>
      <c r="O466" s="30"/>
      <c r="P466" s="30"/>
      <c r="Q466" s="30"/>
      <c r="R466" s="30"/>
      <c r="S466" s="195"/>
      <c r="T466" s="195"/>
      <c r="U466" s="195"/>
      <c r="V466" s="195"/>
      <c r="W466" s="30"/>
      <c r="X466" s="30"/>
      <c r="Y466" s="30"/>
      <c r="Z466" s="30"/>
      <c r="AA466" s="30"/>
      <c r="AB466" s="30"/>
    </row>
    <row r="467">
      <c r="A467" s="30"/>
      <c r="B467" s="30"/>
      <c r="C467" s="30"/>
      <c r="D467" s="30"/>
      <c r="E467" s="30"/>
      <c r="F467" s="292"/>
      <c r="G467" s="30"/>
      <c r="H467" s="30"/>
      <c r="I467" s="30"/>
      <c r="J467" s="30"/>
      <c r="K467" s="30"/>
      <c r="L467" s="30"/>
      <c r="M467" s="30"/>
      <c r="N467" s="30"/>
      <c r="O467" s="30"/>
      <c r="P467" s="30"/>
      <c r="Q467" s="30"/>
      <c r="R467" s="30"/>
      <c r="S467" s="195"/>
      <c r="T467" s="195"/>
      <c r="U467" s="195"/>
      <c r="V467" s="195"/>
      <c r="W467" s="30"/>
      <c r="X467" s="30"/>
      <c r="Y467" s="30"/>
      <c r="Z467" s="30"/>
      <c r="AA467" s="30"/>
      <c r="AB467" s="30"/>
    </row>
    <row r="468">
      <c r="A468" s="30"/>
      <c r="B468" s="30"/>
      <c r="C468" s="30"/>
      <c r="D468" s="30"/>
      <c r="E468" s="30"/>
      <c r="F468" s="292"/>
      <c r="G468" s="30"/>
      <c r="H468" s="30"/>
      <c r="I468" s="30"/>
      <c r="J468" s="30"/>
      <c r="K468" s="30"/>
      <c r="L468" s="30"/>
      <c r="M468" s="30"/>
      <c r="N468" s="30"/>
      <c r="O468" s="30"/>
      <c r="P468" s="30"/>
      <c r="Q468" s="30"/>
      <c r="R468" s="30"/>
      <c r="S468" s="195"/>
      <c r="T468" s="195"/>
      <c r="U468" s="195"/>
      <c r="V468" s="195"/>
      <c r="W468" s="30"/>
      <c r="X468" s="30"/>
      <c r="Y468" s="30"/>
      <c r="Z468" s="30"/>
      <c r="AA468" s="30"/>
      <c r="AB468" s="30"/>
    </row>
    <row r="469">
      <c r="A469" s="30"/>
      <c r="B469" s="30"/>
      <c r="C469" s="30"/>
      <c r="D469" s="30"/>
      <c r="E469" s="30"/>
      <c r="F469" s="292"/>
      <c r="G469" s="30"/>
      <c r="H469" s="30"/>
      <c r="I469" s="30"/>
      <c r="J469" s="30"/>
      <c r="K469" s="30"/>
      <c r="L469" s="30"/>
      <c r="M469" s="30"/>
      <c r="N469" s="30"/>
      <c r="O469" s="30"/>
      <c r="P469" s="30"/>
      <c r="Q469" s="30"/>
      <c r="R469" s="30"/>
      <c r="S469" s="195"/>
      <c r="T469" s="195"/>
      <c r="U469" s="195"/>
      <c r="V469" s="195"/>
      <c r="W469" s="30"/>
      <c r="X469" s="30"/>
      <c r="Y469" s="30"/>
      <c r="Z469" s="30"/>
      <c r="AA469" s="30"/>
      <c r="AB469" s="30"/>
    </row>
    <row r="470">
      <c r="A470" s="30"/>
      <c r="B470" s="30"/>
      <c r="C470" s="30"/>
      <c r="D470" s="30"/>
      <c r="E470" s="30"/>
      <c r="F470" s="292"/>
      <c r="G470" s="30"/>
      <c r="H470" s="30"/>
      <c r="I470" s="30"/>
      <c r="J470" s="30"/>
      <c r="K470" s="30"/>
      <c r="L470" s="30"/>
      <c r="M470" s="30"/>
      <c r="N470" s="30"/>
      <c r="O470" s="30"/>
      <c r="P470" s="30"/>
      <c r="Q470" s="30"/>
      <c r="R470" s="30"/>
      <c r="S470" s="195"/>
      <c r="T470" s="195"/>
      <c r="U470" s="195"/>
      <c r="V470" s="195"/>
      <c r="W470" s="30"/>
      <c r="X470" s="30"/>
      <c r="Y470" s="30"/>
      <c r="Z470" s="30"/>
      <c r="AA470" s="30"/>
      <c r="AB470" s="30"/>
    </row>
    <row r="471">
      <c r="A471" s="30"/>
      <c r="B471" s="30"/>
      <c r="C471" s="30"/>
      <c r="D471" s="30"/>
      <c r="E471" s="30"/>
      <c r="F471" s="292"/>
      <c r="G471" s="30"/>
      <c r="H471" s="30"/>
      <c r="I471" s="30"/>
      <c r="J471" s="30"/>
      <c r="K471" s="30"/>
      <c r="L471" s="30"/>
      <c r="M471" s="30"/>
      <c r="N471" s="30"/>
      <c r="O471" s="30"/>
      <c r="P471" s="30"/>
      <c r="Q471" s="30"/>
      <c r="R471" s="30"/>
      <c r="S471" s="195"/>
      <c r="T471" s="195"/>
      <c r="U471" s="195"/>
      <c r="V471" s="195"/>
      <c r="W471" s="30"/>
      <c r="X471" s="30"/>
      <c r="Y471" s="30"/>
      <c r="Z471" s="30"/>
      <c r="AA471" s="30"/>
      <c r="AB471" s="30"/>
    </row>
    <row r="472">
      <c r="A472" s="30"/>
      <c r="B472" s="30"/>
      <c r="C472" s="30"/>
      <c r="D472" s="30"/>
      <c r="E472" s="30"/>
      <c r="F472" s="292"/>
      <c r="G472" s="30"/>
      <c r="H472" s="30"/>
      <c r="I472" s="30"/>
      <c r="J472" s="30"/>
      <c r="K472" s="30"/>
      <c r="L472" s="30"/>
      <c r="M472" s="30"/>
      <c r="N472" s="30"/>
      <c r="O472" s="30"/>
      <c r="P472" s="30"/>
      <c r="Q472" s="30"/>
      <c r="R472" s="30"/>
      <c r="S472" s="195"/>
      <c r="T472" s="195"/>
      <c r="U472" s="195"/>
      <c r="V472" s="195"/>
      <c r="W472" s="30"/>
      <c r="X472" s="30"/>
      <c r="Y472" s="30"/>
      <c r="Z472" s="30"/>
      <c r="AA472" s="30"/>
      <c r="AB472" s="30"/>
    </row>
    <row r="473">
      <c r="A473" s="30"/>
      <c r="B473" s="30"/>
      <c r="C473" s="30"/>
      <c r="D473" s="30"/>
      <c r="E473" s="30"/>
      <c r="F473" s="292"/>
      <c r="G473" s="30"/>
      <c r="H473" s="30"/>
      <c r="I473" s="30"/>
      <c r="J473" s="30"/>
      <c r="K473" s="30"/>
      <c r="L473" s="30"/>
      <c r="M473" s="30"/>
      <c r="N473" s="30"/>
      <c r="O473" s="30"/>
      <c r="P473" s="30"/>
      <c r="Q473" s="30"/>
      <c r="R473" s="30"/>
      <c r="S473" s="195"/>
      <c r="T473" s="195"/>
      <c r="U473" s="195"/>
      <c r="V473" s="195"/>
      <c r="W473" s="30"/>
      <c r="X473" s="30"/>
      <c r="Y473" s="30"/>
      <c r="Z473" s="30"/>
      <c r="AA473" s="30"/>
      <c r="AB473" s="30"/>
    </row>
    <row r="474">
      <c r="A474" s="30"/>
      <c r="B474" s="30"/>
      <c r="C474" s="30"/>
      <c r="D474" s="30"/>
      <c r="E474" s="30"/>
      <c r="F474" s="292"/>
      <c r="G474" s="30"/>
      <c r="H474" s="30"/>
      <c r="I474" s="30"/>
      <c r="J474" s="30"/>
      <c r="K474" s="30"/>
      <c r="L474" s="30"/>
      <c r="M474" s="30"/>
      <c r="N474" s="30"/>
      <c r="O474" s="30"/>
      <c r="P474" s="30"/>
      <c r="Q474" s="30"/>
      <c r="R474" s="30"/>
      <c r="S474" s="195"/>
      <c r="T474" s="195"/>
      <c r="U474" s="195"/>
      <c r="V474" s="195"/>
      <c r="W474" s="30"/>
      <c r="X474" s="30"/>
      <c r="Y474" s="30"/>
      <c r="Z474" s="30"/>
      <c r="AA474" s="30"/>
      <c r="AB474" s="30"/>
    </row>
    <row r="475">
      <c r="A475" s="30"/>
      <c r="B475" s="30"/>
      <c r="C475" s="30"/>
      <c r="D475" s="30"/>
      <c r="E475" s="30"/>
      <c r="F475" s="292"/>
      <c r="G475" s="30"/>
      <c r="H475" s="30"/>
      <c r="I475" s="30"/>
      <c r="J475" s="30"/>
      <c r="K475" s="30"/>
      <c r="L475" s="30"/>
      <c r="M475" s="30"/>
      <c r="N475" s="30"/>
      <c r="O475" s="30"/>
      <c r="P475" s="30"/>
      <c r="Q475" s="30"/>
      <c r="R475" s="30"/>
      <c r="S475" s="195"/>
      <c r="T475" s="195"/>
      <c r="U475" s="195"/>
      <c r="V475" s="195"/>
      <c r="W475" s="30"/>
      <c r="X475" s="30"/>
      <c r="Y475" s="30"/>
      <c r="Z475" s="30"/>
      <c r="AA475" s="30"/>
      <c r="AB475" s="30"/>
    </row>
    <row r="476">
      <c r="A476" s="30"/>
      <c r="B476" s="30"/>
      <c r="C476" s="30"/>
      <c r="D476" s="30"/>
      <c r="E476" s="30"/>
      <c r="F476" s="292"/>
      <c r="G476" s="30"/>
      <c r="H476" s="30"/>
      <c r="I476" s="30"/>
      <c r="J476" s="30"/>
      <c r="K476" s="30"/>
      <c r="L476" s="30"/>
      <c r="M476" s="30"/>
      <c r="N476" s="30"/>
      <c r="O476" s="30"/>
      <c r="P476" s="30"/>
      <c r="Q476" s="30"/>
      <c r="R476" s="30"/>
      <c r="S476" s="195"/>
      <c r="T476" s="195"/>
      <c r="U476" s="195"/>
      <c r="V476" s="195"/>
      <c r="W476" s="30"/>
      <c r="X476" s="30"/>
      <c r="Y476" s="30"/>
      <c r="Z476" s="30"/>
      <c r="AA476" s="30"/>
      <c r="AB476" s="30"/>
    </row>
    <row r="477">
      <c r="A477" s="30"/>
      <c r="B477" s="30"/>
      <c r="C477" s="30"/>
      <c r="D477" s="30"/>
      <c r="E477" s="30"/>
      <c r="F477" s="292"/>
      <c r="G477" s="30"/>
      <c r="H477" s="30"/>
      <c r="I477" s="30"/>
      <c r="J477" s="30"/>
      <c r="K477" s="30"/>
      <c r="L477" s="30"/>
      <c r="M477" s="30"/>
      <c r="N477" s="30"/>
      <c r="O477" s="30"/>
      <c r="P477" s="30"/>
      <c r="Q477" s="30"/>
      <c r="R477" s="30"/>
      <c r="S477" s="195"/>
      <c r="T477" s="195"/>
      <c r="U477" s="195"/>
      <c r="V477" s="195"/>
      <c r="W477" s="30"/>
      <c r="X477" s="30"/>
      <c r="Y477" s="30"/>
      <c r="Z477" s="30"/>
      <c r="AA477" s="30"/>
      <c r="AB477" s="30"/>
    </row>
    <row r="478">
      <c r="A478" s="30"/>
      <c r="B478" s="30"/>
      <c r="C478" s="30"/>
      <c r="D478" s="30"/>
      <c r="E478" s="30"/>
      <c r="F478" s="292"/>
      <c r="G478" s="30"/>
      <c r="H478" s="30"/>
      <c r="I478" s="30"/>
      <c r="J478" s="30"/>
      <c r="K478" s="30"/>
      <c r="L478" s="30"/>
      <c r="M478" s="30"/>
      <c r="N478" s="30"/>
      <c r="O478" s="30"/>
      <c r="P478" s="30"/>
      <c r="Q478" s="30"/>
      <c r="R478" s="30"/>
      <c r="S478" s="195"/>
      <c r="T478" s="195"/>
      <c r="U478" s="195"/>
      <c r="V478" s="195"/>
      <c r="W478" s="30"/>
      <c r="X478" s="30"/>
      <c r="Y478" s="30"/>
      <c r="Z478" s="30"/>
      <c r="AA478" s="30"/>
      <c r="AB478" s="30"/>
    </row>
    <row r="479">
      <c r="A479" s="30"/>
      <c r="B479" s="30"/>
      <c r="C479" s="30"/>
      <c r="D479" s="30"/>
      <c r="E479" s="30"/>
      <c r="F479" s="292"/>
      <c r="G479" s="30"/>
      <c r="H479" s="30"/>
      <c r="I479" s="30"/>
      <c r="J479" s="30"/>
      <c r="K479" s="30"/>
      <c r="L479" s="30"/>
      <c r="M479" s="30"/>
      <c r="N479" s="30"/>
      <c r="O479" s="30"/>
      <c r="P479" s="30"/>
      <c r="Q479" s="30"/>
      <c r="R479" s="30"/>
      <c r="S479" s="195"/>
      <c r="T479" s="195"/>
      <c r="U479" s="195"/>
      <c r="V479" s="195"/>
      <c r="W479" s="30"/>
      <c r="X479" s="30"/>
      <c r="Y479" s="30"/>
      <c r="Z479" s="30"/>
      <c r="AA479" s="30"/>
      <c r="AB479" s="30"/>
    </row>
    <row r="480">
      <c r="A480" s="30"/>
      <c r="B480" s="30"/>
      <c r="C480" s="30"/>
      <c r="D480" s="30"/>
      <c r="E480" s="30"/>
      <c r="F480" s="292"/>
      <c r="G480" s="30"/>
      <c r="H480" s="30"/>
      <c r="I480" s="30"/>
      <c r="J480" s="30"/>
      <c r="K480" s="30"/>
      <c r="L480" s="30"/>
      <c r="M480" s="30"/>
      <c r="N480" s="30"/>
      <c r="O480" s="30"/>
      <c r="P480" s="30"/>
      <c r="Q480" s="30"/>
      <c r="R480" s="30"/>
      <c r="S480" s="195"/>
      <c r="T480" s="195"/>
      <c r="U480" s="195"/>
      <c r="V480" s="195"/>
      <c r="W480" s="30"/>
      <c r="X480" s="30"/>
      <c r="Y480" s="30"/>
      <c r="Z480" s="30"/>
      <c r="AA480" s="30"/>
      <c r="AB480" s="30"/>
    </row>
    <row r="481">
      <c r="A481" s="30"/>
      <c r="B481" s="30"/>
      <c r="C481" s="30"/>
      <c r="D481" s="30"/>
      <c r="E481" s="30"/>
      <c r="F481" s="292"/>
      <c r="G481" s="30"/>
      <c r="H481" s="30"/>
      <c r="I481" s="30"/>
      <c r="J481" s="30"/>
      <c r="K481" s="30"/>
      <c r="L481" s="30"/>
      <c r="M481" s="30"/>
      <c r="N481" s="30"/>
      <c r="O481" s="30"/>
      <c r="P481" s="30"/>
      <c r="Q481" s="30"/>
      <c r="R481" s="30"/>
      <c r="S481" s="195"/>
      <c r="T481" s="195"/>
      <c r="U481" s="195"/>
      <c r="V481" s="195"/>
      <c r="W481" s="30"/>
      <c r="X481" s="30"/>
      <c r="Y481" s="30"/>
      <c r="Z481" s="30"/>
      <c r="AA481" s="30"/>
      <c r="AB481" s="30"/>
    </row>
    <row r="482">
      <c r="A482" s="30"/>
      <c r="B482" s="30"/>
      <c r="C482" s="30"/>
      <c r="D482" s="30"/>
      <c r="E482" s="30"/>
      <c r="F482" s="292"/>
      <c r="G482" s="30"/>
      <c r="H482" s="30"/>
      <c r="I482" s="30"/>
      <c r="J482" s="30"/>
      <c r="K482" s="30"/>
      <c r="L482" s="30"/>
      <c r="M482" s="30"/>
      <c r="N482" s="30"/>
      <c r="O482" s="30"/>
      <c r="P482" s="30"/>
      <c r="Q482" s="30"/>
      <c r="R482" s="30"/>
      <c r="S482" s="195"/>
      <c r="T482" s="195"/>
      <c r="U482" s="195"/>
      <c r="V482" s="195"/>
      <c r="W482" s="30"/>
      <c r="X482" s="30"/>
      <c r="Y482" s="30"/>
      <c r="Z482" s="30"/>
      <c r="AA482" s="30"/>
      <c r="AB482" s="30"/>
    </row>
    <row r="483">
      <c r="A483" s="30"/>
      <c r="B483" s="30"/>
      <c r="C483" s="30"/>
      <c r="D483" s="30"/>
      <c r="E483" s="30"/>
      <c r="F483" s="292"/>
      <c r="G483" s="30"/>
      <c r="H483" s="30"/>
      <c r="I483" s="30"/>
      <c r="J483" s="30"/>
      <c r="K483" s="30"/>
      <c r="L483" s="30"/>
      <c r="M483" s="30"/>
      <c r="N483" s="30"/>
      <c r="O483" s="30"/>
      <c r="P483" s="30"/>
      <c r="Q483" s="30"/>
      <c r="R483" s="30"/>
      <c r="S483" s="195"/>
      <c r="T483" s="195"/>
      <c r="U483" s="195"/>
      <c r="V483" s="195"/>
      <c r="W483" s="30"/>
      <c r="X483" s="30"/>
      <c r="Y483" s="30"/>
      <c r="Z483" s="30"/>
      <c r="AA483" s="30"/>
      <c r="AB483" s="30"/>
    </row>
    <row r="484">
      <c r="A484" s="30"/>
      <c r="B484" s="30"/>
      <c r="C484" s="30"/>
      <c r="D484" s="30"/>
      <c r="E484" s="30"/>
      <c r="F484" s="292"/>
      <c r="G484" s="30"/>
      <c r="H484" s="30"/>
      <c r="I484" s="30"/>
      <c r="J484" s="30"/>
      <c r="K484" s="30"/>
      <c r="L484" s="30"/>
      <c r="M484" s="30"/>
      <c r="N484" s="30"/>
      <c r="O484" s="30"/>
      <c r="P484" s="30"/>
      <c r="Q484" s="30"/>
      <c r="R484" s="30"/>
      <c r="S484" s="195"/>
      <c r="T484" s="195"/>
      <c r="U484" s="195"/>
      <c r="V484" s="195"/>
      <c r="W484" s="30"/>
      <c r="X484" s="30"/>
      <c r="Y484" s="30"/>
      <c r="Z484" s="30"/>
      <c r="AA484" s="30"/>
      <c r="AB484" s="30"/>
    </row>
    <row r="485">
      <c r="A485" s="30"/>
      <c r="B485" s="30"/>
      <c r="C485" s="30"/>
      <c r="D485" s="30"/>
      <c r="E485" s="30"/>
      <c r="F485" s="292"/>
      <c r="G485" s="30"/>
      <c r="H485" s="30"/>
      <c r="I485" s="30"/>
      <c r="J485" s="30"/>
      <c r="K485" s="30"/>
      <c r="L485" s="30"/>
      <c r="M485" s="30"/>
      <c r="N485" s="30"/>
      <c r="O485" s="30"/>
      <c r="P485" s="30"/>
      <c r="Q485" s="30"/>
      <c r="R485" s="30"/>
      <c r="S485" s="195"/>
      <c r="T485" s="195"/>
      <c r="U485" s="195"/>
      <c r="V485" s="195"/>
      <c r="W485" s="30"/>
      <c r="X485" s="30"/>
      <c r="Y485" s="30"/>
      <c r="Z485" s="30"/>
      <c r="AA485" s="30"/>
      <c r="AB485" s="30"/>
    </row>
    <row r="486">
      <c r="A486" s="30"/>
      <c r="B486" s="30"/>
      <c r="C486" s="30"/>
      <c r="D486" s="30"/>
      <c r="E486" s="30"/>
      <c r="F486" s="292"/>
      <c r="G486" s="30"/>
      <c r="H486" s="30"/>
      <c r="I486" s="30"/>
      <c r="J486" s="30"/>
      <c r="K486" s="30"/>
      <c r="L486" s="30"/>
      <c r="M486" s="30"/>
      <c r="N486" s="30"/>
      <c r="O486" s="30"/>
      <c r="P486" s="30"/>
      <c r="Q486" s="30"/>
      <c r="R486" s="30"/>
      <c r="S486" s="195"/>
      <c r="T486" s="195"/>
      <c r="U486" s="195"/>
      <c r="V486" s="195"/>
      <c r="W486" s="30"/>
      <c r="X486" s="30"/>
      <c r="Y486" s="30"/>
      <c r="Z486" s="30"/>
      <c r="AA486" s="30"/>
      <c r="AB486" s="30"/>
    </row>
    <row r="487">
      <c r="A487" s="30"/>
      <c r="B487" s="30"/>
      <c r="C487" s="30"/>
      <c r="D487" s="30"/>
      <c r="E487" s="30"/>
      <c r="F487" s="292"/>
      <c r="G487" s="30"/>
      <c r="H487" s="30"/>
      <c r="I487" s="30"/>
      <c r="J487" s="30"/>
      <c r="K487" s="30"/>
      <c r="L487" s="30"/>
      <c r="M487" s="30"/>
      <c r="N487" s="30"/>
      <c r="O487" s="30"/>
      <c r="P487" s="30"/>
      <c r="Q487" s="30"/>
      <c r="R487" s="30"/>
      <c r="S487" s="195"/>
      <c r="T487" s="195"/>
      <c r="U487" s="195"/>
      <c r="V487" s="195"/>
      <c r="W487" s="30"/>
      <c r="X487" s="30"/>
      <c r="Y487" s="30"/>
      <c r="Z487" s="30"/>
      <c r="AA487" s="30"/>
      <c r="AB487" s="30"/>
    </row>
    <row r="488">
      <c r="A488" s="30"/>
      <c r="B488" s="30"/>
      <c r="C488" s="30"/>
      <c r="D488" s="30"/>
      <c r="E488" s="30"/>
      <c r="F488" s="292"/>
      <c r="G488" s="30"/>
      <c r="H488" s="30"/>
      <c r="I488" s="30"/>
      <c r="J488" s="30"/>
      <c r="K488" s="30"/>
      <c r="L488" s="30"/>
      <c r="M488" s="30"/>
      <c r="N488" s="30"/>
      <c r="O488" s="30"/>
      <c r="P488" s="30"/>
      <c r="Q488" s="30"/>
      <c r="R488" s="30"/>
      <c r="S488" s="195"/>
      <c r="T488" s="195"/>
      <c r="U488" s="195"/>
      <c r="V488" s="195"/>
      <c r="W488" s="30"/>
      <c r="X488" s="30"/>
      <c r="Y488" s="30"/>
      <c r="Z488" s="30"/>
      <c r="AA488" s="30"/>
      <c r="AB488" s="30"/>
    </row>
    <row r="489">
      <c r="A489" s="30"/>
      <c r="B489" s="30"/>
      <c r="C489" s="30"/>
      <c r="D489" s="30"/>
      <c r="E489" s="30"/>
      <c r="F489" s="292"/>
      <c r="G489" s="30"/>
      <c r="H489" s="30"/>
      <c r="I489" s="30"/>
      <c r="J489" s="30"/>
      <c r="K489" s="30"/>
      <c r="L489" s="30"/>
      <c r="M489" s="30"/>
      <c r="N489" s="30"/>
      <c r="O489" s="30"/>
      <c r="P489" s="30"/>
      <c r="Q489" s="30"/>
      <c r="R489" s="30"/>
      <c r="S489" s="195"/>
      <c r="T489" s="195"/>
      <c r="U489" s="195"/>
      <c r="V489" s="195"/>
      <c r="W489" s="30"/>
      <c r="X489" s="30"/>
      <c r="Y489" s="30"/>
      <c r="Z489" s="30"/>
      <c r="AA489" s="30"/>
      <c r="AB489" s="30"/>
    </row>
    <row r="490">
      <c r="A490" s="30"/>
      <c r="B490" s="30"/>
      <c r="C490" s="30"/>
      <c r="D490" s="30"/>
      <c r="E490" s="30"/>
      <c r="F490" s="292"/>
      <c r="G490" s="30"/>
      <c r="H490" s="30"/>
      <c r="I490" s="30"/>
      <c r="J490" s="30"/>
      <c r="K490" s="30"/>
      <c r="L490" s="30"/>
      <c r="M490" s="30"/>
      <c r="N490" s="30"/>
      <c r="O490" s="30"/>
      <c r="P490" s="30"/>
      <c r="Q490" s="30"/>
      <c r="R490" s="30"/>
      <c r="S490" s="195"/>
      <c r="T490" s="195"/>
      <c r="U490" s="195"/>
      <c r="V490" s="195"/>
      <c r="W490" s="30"/>
      <c r="X490" s="30"/>
      <c r="Y490" s="30"/>
      <c r="Z490" s="30"/>
      <c r="AA490" s="30"/>
      <c r="AB490" s="30"/>
    </row>
    <row r="491">
      <c r="A491" s="30"/>
      <c r="B491" s="30"/>
      <c r="C491" s="30"/>
      <c r="D491" s="30"/>
      <c r="E491" s="30"/>
      <c r="F491" s="292"/>
      <c r="G491" s="30"/>
      <c r="H491" s="30"/>
      <c r="I491" s="30"/>
      <c r="J491" s="30"/>
      <c r="K491" s="30"/>
      <c r="L491" s="30"/>
      <c r="M491" s="30"/>
      <c r="N491" s="30"/>
      <c r="O491" s="30"/>
      <c r="P491" s="30"/>
      <c r="Q491" s="30"/>
      <c r="R491" s="30"/>
      <c r="S491" s="195"/>
      <c r="T491" s="195"/>
      <c r="U491" s="195"/>
      <c r="V491" s="195"/>
      <c r="W491" s="30"/>
      <c r="X491" s="30"/>
      <c r="Y491" s="30"/>
      <c r="Z491" s="30"/>
      <c r="AA491" s="30"/>
      <c r="AB491" s="30"/>
    </row>
    <row r="492">
      <c r="A492" s="30"/>
      <c r="B492" s="30"/>
      <c r="C492" s="30"/>
      <c r="D492" s="30"/>
      <c r="E492" s="30"/>
      <c r="F492" s="292"/>
      <c r="G492" s="30"/>
      <c r="H492" s="30"/>
      <c r="I492" s="30"/>
      <c r="J492" s="30"/>
      <c r="K492" s="30"/>
      <c r="L492" s="30"/>
      <c r="M492" s="30"/>
      <c r="N492" s="30"/>
      <c r="O492" s="30"/>
      <c r="P492" s="30"/>
      <c r="Q492" s="30"/>
      <c r="R492" s="30"/>
      <c r="S492" s="195"/>
      <c r="T492" s="195"/>
      <c r="U492" s="195"/>
      <c r="V492" s="195"/>
      <c r="W492" s="30"/>
      <c r="X492" s="30"/>
      <c r="Y492" s="30"/>
      <c r="Z492" s="30"/>
      <c r="AA492" s="30"/>
      <c r="AB492" s="30"/>
    </row>
    <row r="493">
      <c r="A493" s="30"/>
      <c r="B493" s="30"/>
      <c r="C493" s="30"/>
      <c r="D493" s="30"/>
      <c r="E493" s="30"/>
      <c r="F493" s="292"/>
      <c r="G493" s="30"/>
      <c r="H493" s="30"/>
      <c r="I493" s="30"/>
      <c r="J493" s="30"/>
      <c r="K493" s="30"/>
      <c r="L493" s="30"/>
      <c r="M493" s="30"/>
      <c r="N493" s="30"/>
      <c r="O493" s="30"/>
      <c r="P493" s="30"/>
      <c r="Q493" s="30"/>
      <c r="R493" s="30"/>
      <c r="S493" s="195"/>
      <c r="T493" s="195"/>
      <c r="U493" s="195"/>
      <c r="V493" s="195"/>
      <c r="W493" s="30"/>
      <c r="X493" s="30"/>
      <c r="Y493" s="30"/>
      <c r="Z493" s="30"/>
      <c r="AA493" s="30"/>
      <c r="AB493" s="30"/>
    </row>
    <row r="494">
      <c r="A494" s="30"/>
      <c r="B494" s="30"/>
      <c r="C494" s="30"/>
      <c r="D494" s="30"/>
      <c r="E494" s="30"/>
      <c r="F494" s="292"/>
      <c r="G494" s="30"/>
      <c r="H494" s="30"/>
      <c r="I494" s="30"/>
      <c r="J494" s="30"/>
      <c r="K494" s="30"/>
      <c r="L494" s="30"/>
      <c r="M494" s="30"/>
      <c r="N494" s="30"/>
      <c r="O494" s="30"/>
      <c r="P494" s="30"/>
      <c r="Q494" s="30"/>
      <c r="R494" s="30"/>
      <c r="S494" s="195"/>
      <c r="T494" s="195"/>
      <c r="U494" s="195"/>
      <c r="V494" s="195"/>
      <c r="W494" s="30"/>
      <c r="X494" s="30"/>
      <c r="Y494" s="30"/>
      <c r="Z494" s="30"/>
      <c r="AA494" s="30"/>
      <c r="AB494" s="30"/>
    </row>
    <row r="495">
      <c r="A495" s="30"/>
      <c r="B495" s="30"/>
      <c r="C495" s="30"/>
      <c r="D495" s="30"/>
      <c r="E495" s="30"/>
      <c r="F495" s="292"/>
      <c r="G495" s="30"/>
      <c r="H495" s="30"/>
      <c r="I495" s="30"/>
      <c r="J495" s="30"/>
      <c r="K495" s="30"/>
      <c r="L495" s="30"/>
      <c r="M495" s="30"/>
      <c r="N495" s="30"/>
      <c r="O495" s="30"/>
      <c r="P495" s="30"/>
      <c r="Q495" s="30"/>
      <c r="R495" s="30"/>
      <c r="S495" s="195"/>
      <c r="T495" s="195"/>
      <c r="U495" s="195"/>
      <c r="V495" s="195"/>
      <c r="W495" s="30"/>
      <c r="X495" s="30"/>
      <c r="Y495" s="30"/>
      <c r="Z495" s="30"/>
      <c r="AA495" s="30"/>
      <c r="AB495" s="30"/>
    </row>
    <row r="496">
      <c r="A496" s="30"/>
      <c r="B496" s="30"/>
      <c r="C496" s="30"/>
      <c r="D496" s="30"/>
      <c r="E496" s="30"/>
      <c r="F496" s="292"/>
      <c r="G496" s="30"/>
      <c r="H496" s="30"/>
      <c r="I496" s="30"/>
      <c r="J496" s="30"/>
      <c r="K496" s="30"/>
      <c r="L496" s="30"/>
      <c r="M496" s="30"/>
      <c r="N496" s="30"/>
      <c r="O496" s="30"/>
      <c r="P496" s="30"/>
      <c r="Q496" s="30"/>
      <c r="R496" s="30"/>
      <c r="S496" s="195"/>
      <c r="T496" s="195"/>
      <c r="U496" s="195"/>
      <c r="V496" s="195"/>
      <c r="W496" s="30"/>
      <c r="X496" s="30"/>
      <c r="Y496" s="30"/>
      <c r="Z496" s="30"/>
      <c r="AA496" s="30"/>
      <c r="AB496" s="30"/>
    </row>
    <row r="497">
      <c r="A497" s="30"/>
      <c r="B497" s="30"/>
      <c r="C497" s="30"/>
      <c r="D497" s="30"/>
      <c r="E497" s="30"/>
      <c r="F497" s="292"/>
      <c r="G497" s="30"/>
      <c r="H497" s="30"/>
      <c r="I497" s="30"/>
      <c r="J497" s="30"/>
      <c r="K497" s="30"/>
      <c r="L497" s="30"/>
      <c r="M497" s="30"/>
      <c r="N497" s="30"/>
      <c r="O497" s="30"/>
      <c r="P497" s="30"/>
      <c r="Q497" s="30"/>
      <c r="R497" s="30"/>
      <c r="S497" s="195"/>
      <c r="T497" s="195"/>
      <c r="U497" s="195"/>
      <c r="V497" s="195"/>
      <c r="W497" s="30"/>
      <c r="X497" s="30"/>
      <c r="Y497" s="30"/>
      <c r="Z497" s="30"/>
      <c r="AA497" s="30"/>
      <c r="AB497" s="30"/>
    </row>
    <row r="498">
      <c r="A498" s="30"/>
      <c r="B498" s="30"/>
      <c r="C498" s="30"/>
      <c r="D498" s="30"/>
      <c r="E498" s="30"/>
      <c r="F498" s="292"/>
      <c r="G498" s="30"/>
      <c r="H498" s="30"/>
      <c r="I498" s="30"/>
      <c r="J498" s="30"/>
      <c r="K498" s="30"/>
      <c r="L498" s="30"/>
      <c r="M498" s="30"/>
      <c r="N498" s="30"/>
      <c r="O498" s="30"/>
      <c r="P498" s="30"/>
      <c r="Q498" s="30"/>
      <c r="R498" s="30"/>
      <c r="S498" s="195"/>
      <c r="T498" s="195"/>
      <c r="U498" s="195"/>
      <c r="V498" s="195"/>
      <c r="W498" s="30"/>
      <c r="X498" s="30"/>
      <c r="Y498" s="30"/>
      <c r="Z498" s="30"/>
      <c r="AA498" s="30"/>
      <c r="AB498" s="30"/>
    </row>
    <row r="499">
      <c r="A499" s="30"/>
      <c r="B499" s="30"/>
      <c r="C499" s="30"/>
      <c r="D499" s="30"/>
      <c r="E499" s="30"/>
      <c r="F499" s="292"/>
      <c r="G499" s="30"/>
      <c r="H499" s="30"/>
      <c r="I499" s="30"/>
      <c r="J499" s="30"/>
      <c r="K499" s="30"/>
      <c r="L499" s="30"/>
      <c r="M499" s="30"/>
      <c r="N499" s="30"/>
      <c r="O499" s="30"/>
      <c r="P499" s="30"/>
      <c r="Q499" s="30"/>
      <c r="R499" s="30"/>
      <c r="S499" s="195"/>
      <c r="T499" s="195"/>
      <c r="U499" s="195"/>
      <c r="V499" s="195"/>
      <c r="W499" s="30"/>
      <c r="X499" s="30"/>
      <c r="Y499" s="30"/>
      <c r="Z499" s="30"/>
      <c r="AA499" s="30"/>
      <c r="AB499" s="30"/>
    </row>
    <row r="500">
      <c r="A500" s="30"/>
      <c r="B500" s="30"/>
      <c r="C500" s="30"/>
      <c r="D500" s="30"/>
      <c r="E500" s="30"/>
      <c r="F500" s="292"/>
      <c r="G500" s="30"/>
      <c r="H500" s="30"/>
      <c r="I500" s="30"/>
      <c r="J500" s="30"/>
      <c r="K500" s="30"/>
      <c r="L500" s="30"/>
      <c r="M500" s="30"/>
      <c r="N500" s="30"/>
      <c r="O500" s="30"/>
      <c r="P500" s="30"/>
      <c r="Q500" s="30"/>
      <c r="R500" s="30"/>
      <c r="S500" s="195"/>
      <c r="T500" s="195"/>
      <c r="U500" s="195"/>
      <c r="V500" s="195"/>
      <c r="W500" s="30"/>
      <c r="X500" s="30"/>
      <c r="Y500" s="30"/>
      <c r="Z500" s="30"/>
      <c r="AA500" s="30"/>
      <c r="AB500" s="30"/>
    </row>
    <row r="501">
      <c r="A501" s="30"/>
      <c r="B501" s="30"/>
      <c r="C501" s="30"/>
      <c r="D501" s="30"/>
      <c r="E501" s="30"/>
      <c r="F501" s="292"/>
      <c r="G501" s="30"/>
      <c r="H501" s="30"/>
      <c r="I501" s="30"/>
      <c r="J501" s="30"/>
      <c r="K501" s="30"/>
      <c r="L501" s="30"/>
      <c r="M501" s="30"/>
      <c r="N501" s="30"/>
      <c r="O501" s="30"/>
      <c r="P501" s="30"/>
      <c r="Q501" s="30"/>
      <c r="R501" s="30"/>
      <c r="S501" s="195"/>
      <c r="T501" s="195"/>
      <c r="U501" s="195"/>
      <c r="V501" s="195"/>
      <c r="W501" s="30"/>
      <c r="X501" s="30"/>
      <c r="Y501" s="30"/>
      <c r="Z501" s="30"/>
      <c r="AA501" s="30"/>
      <c r="AB501" s="30"/>
    </row>
    <row r="502">
      <c r="A502" s="30"/>
      <c r="B502" s="30"/>
      <c r="C502" s="30"/>
      <c r="D502" s="30"/>
      <c r="E502" s="30"/>
      <c r="F502" s="292"/>
      <c r="G502" s="30"/>
      <c r="H502" s="30"/>
      <c r="I502" s="30"/>
      <c r="J502" s="30"/>
      <c r="K502" s="30"/>
      <c r="L502" s="30"/>
      <c r="M502" s="30"/>
      <c r="N502" s="30"/>
      <c r="O502" s="30"/>
      <c r="P502" s="30"/>
      <c r="Q502" s="30"/>
      <c r="R502" s="30"/>
      <c r="S502" s="195"/>
      <c r="T502" s="195"/>
      <c r="U502" s="195"/>
      <c r="V502" s="195"/>
      <c r="W502" s="30"/>
      <c r="X502" s="30"/>
      <c r="Y502" s="30"/>
      <c r="Z502" s="30"/>
      <c r="AA502" s="30"/>
      <c r="AB502" s="30"/>
    </row>
    <row r="503">
      <c r="A503" s="30"/>
      <c r="B503" s="30"/>
      <c r="C503" s="30"/>
      <c r="D503" s="30"/>
      <c r="E503" s="30"/>
      <c r="F503" s="292"/>
      <c r="G503" s="30"/>
      <c r="H503" s="30"/>
      <c r="I503" s="30"/>
      <c r="J503" s="30"/>
      <c r="K503" s="30"/>
      <c r="L503" s="30"/>
      <c r="M503" s="30"/>
      <c r="N503" s="30"/>
      <c r="O503" s="30"/>
      <c r="P503" s="30"/>
      <c r="Q503" s="30"/>
      <c r="R503" s="30"/>
      <c r="S503" s="195"/>
      <c r="T503" s="195"/>
      <c r="U503" s="195"/>
      <c r="V503" s="195"/>
      <c r="W503" s="30"/>
      <c r="X503" s="30"/>
      <c r="Y503" s="30"/>
      <c r="Z503" s="30"/>
      <c r="AA503" s="30"/>
      <c r="AB503" s="30"/>
    </row>
    <row r="504">
      <c r="A504" s="30"/>
      <c r="B504" s="30"/>
      <c r="C504" s="30"/>
      <c r="D504" s="30"/>
      <c r="E504" s="30"/>
      <c r="F504" s="292"/>
      <c r="G504" s="30"/>
      <c r="H504" s="30"/>
      <c r="I504" s="30"/>
      <c r="J504" s="30"/>
      <c r="K504" s="30"/>
      <c r="L504" s="30"/>
      <c r="M504" s="30"/>
      <c r="N504" s="30"/>
      <c r="O504" s="30"/>
      <c r="P504" s="30"/>
      <c r="Q504" s="30"/>
      <c r="R504" s="30"/>
      <c r="S504" s="195"/>
      <c r="T504" s="195"/>
      <c r="U504" s="195"/>
      <c r="V504" s="195"/>
      <c r="W504" s="30"/>
      <c r="X504" s="30"/>
      <c r="Y504" s="30"/>
      <c r="Z504" s="30"/>
      <c r="AA504" s="30"/>
      <c r="AB504" s="30"/>
    </row>
    <row r="505">
      <c r="A505" s="30"/>
      <c r="B505" s="30"/>
      <c r="C505" s="30"/>
      <c r="D505" s="30"/>
      <c r="E505" s="30"/>
      <c r="F505" s="292"/>
      <c r="G505" s="30"/>
      <c r="H505" s="30"/>
      <c r="I505" s="30"/>
      <c r="J505" s="30"/>
      <c r="K505" s="30"/>
      <c r="L505" s="30"/>
      <c r="M505" s="30"/>
      <c r="N505" s="30"/>
      <c r="O505" s="30"/>
      <c r="P505" s="30"/>
      <c r="Q505" s="30"/>
      <c r="R505" s="30"/>
      <c r="S505" s="195"/>
      <c r="T505" s="195"/>
      <c r="U505" s="195"/>
      <c r="V505" s="195"/>
      <c r="W505" s="30"/>
      <c r="X505" s="30"/>
      <c r="Y505" s="30"/>
      <c r="Z505" s="30"/>
      <c r="AA505" s="30"/>
      <c r="AB505" s="30"/>
    </row>
    <row r="506">
      <c r="A506" s="30"/>
      <c r="B506" s="30"/>
      <c r="C506" s="30"/>
      <c r="D506" s="30"/>
      <c r="E506" s="30"/>
      <c r="F506" s="292"/>
      <c r="G506" s="30"/>
      <c r="H506" s="30"/>
      <c r="I506" s="30"/>
      <c r="J506" s="30"/>
      <c r="K506" s="30"/>
      <c r="L506" s="30"/>
      <c r="M506" s="30"/>
      <c r="N506" s="30"/>
      <c r="O506" s="30"/>
      <c r="P506" s="30"/>
      <c r="Q506" s="30"/>
      <c r="R506" s="30"/>
      <c r="S506" s="195"/>
      <c r="T506" s="195"/>
      <c r="U506" s="195"/>
      <c r="V506" s="195"/>
      <c r="W506" s="30"/>
      <c r="X506" s="30"/>
      <c r="Y506" s="30"/>
      <c r="Z506" s="30"/>
      <c r="AA506" s="30"/>
      <c r="AB506" s="30"/>
    </row>
    <row r="507">
      <c r="A507" s="30"/>
      <c r="B507" s="30"/>
      <c r="C507" s="30"/>
      <c r="D507" s="30"/>
      <c r="E507" s="30"/>
      <c r="F507" s="292"/>
      <c r="G507" s="30"/>
      <c r="H507" s="30"/>
      <c r="I507" s="30"/>
      <c r="J507" s="30"/>
      <c r="K507" s="30"/>
      <c r="L507" s="30"/>
      <c r="M507" s="30"/>
      <c r="N507" s="30"/>
      <c r="O507" s="30"/>
      <c r="P507" s="30"/>
      <c r="Q507" s="30"/>
      <c r="R507" s="30"/>
      <c r="S507" s="195"/>
      <c r="T507" s="195"/>
      <c r="U507" s="195"/>
      <c r="V507" s="195"/>
      <c r="W507" s="30"/>
      <c r="X507" s="30"/>
      <c r="Y507" s="30"/>
      <c r="Z507" s="30"/>
      <c r="AA507" s="30"/>
      <c r="AB507" s="30"/>
    </row>
    <row r="508">
      <c r="A508" s="30"/>
      <c r="B508" s="30"/>
      <c r="C508" s="30"/>
      <c r="D508" s="30"/>
      <c r="E508" s="30"/>
      <c r="F508" s="292"/>
      <c r="G508" s="30"/>
      <c r="H508" s="30"/>
      <c r="I508" s="30"/>
      <c r="J508" s="30"/>
      <c r="K508" s="30"/>
      <c r="L508" s="30"/>
      <c r="M508" s="30"/>
      <c r="N508" s="30"/>
      <c r="O508" s="30"/>
      <c r="P508" s="30"/>
      <c r="Q508" s="30"/>
      <c r="R508" s="30"/>
      <c r="S508" s="195"/>
      <c r="T508" s="195"/>
      <c r="U508" s="195"/>
      <c r="V508" s="195"/>
      <c r="W508" s="30"/>
      <c r="X508" s="30"/>
      <c r="Y508" s="30"/>
      <c r="Z508" s="30"/>
      <c r="AA508" s="30"/>
      <c r="AB508" s="30"/>
    </row>
    <row r="509">
      <c r="A509" s="30"/>
      <c r="B509" s="30"/>
      <c r="C509" s="30"/>
      <c r="D509" s="30"/>
      <c r="E509" s="30"/>
      <c r="F509" s="292"/>
      <c r="G509" s="30"/>
      <c r="H509" s="30"/>
      <c r="I509" s="30"/>
      <c r="J509" s="30"/>
      <c r="K509" s="30"/>
      <c r="L509" s="30"/>
      <c r="M509" s="30"/>
      <c r="N509" s="30"/>
      <c r="O509" s="30"/>
      <c r="P509" s="30"/>
      <c r="Q509" s="30"/>
      <c r="R509" s="30"/>
      <c r="S509" s="195"/>
      <c r="T509" s="195"/>
      <c r="U509" s="195"/>
      <c r="V509" s="195"/>
      <c r="W509" s="30"/>
      <c r="X509" s="30"/>
      <c r="Y509" s="30"/>
      <c r="Z509" s="30"/>
      <c r="AA509" s="30"/>
      <c r="AB509" s="30"/>
    </row>
    <row r="510">
      <c r="A510" s="30"/>
      <c r="B510" s="30"/>
      <c r="C510" s="30"/>
      <c r="D510" s="30"/>
      <c r="E510" s="30"/>
      <c r="F510" s="292"/>
      <c r="G510" s="30"/>
      <c r="H510" s="30"/>
      <c r="I510" s="30"/>
      <c r="J510" s="30"/>
      <c r="K510" s="30"/>
      <c r="L510" s="30"/>
      <c r="M510" s="30"/>
      <c r="N510" s="30"/>
      <c r="O510" s="30"/>
      <c r="P510" s="30"/>
      <c r="Q510" s="30"/>
      <c r="R510" s="30"/>
      <c r="S510" s="195"/>
      <c r="T510" s="195"/>
      <c r="U510" s="195"/>
      <c r="V510" s="195"/>
      <c r="W510" s="30"/>
      <c r="X510" s="30"/>
      <c r="Y510" s="30"/>
      <c r="Z510" s="30"/>
      <c r="AA510" s="30"/>
      <c r="AB510" s="30"/>
    </row>
    <row r="511">
      <c r="A511" s="30"/>
      <c r="B511" s="30"/>
      <c r="C511" s="30"/>
      <c r="D511" s="30"/>
      <c r="E511" s="30"/>
      <c r="F511" s="292"/>
      <c r="G511" s="30"/>
      <c r="H511" s="30"/>
      <c r="I511" s="30"/>
      <c r="J511" s="30"/>
      <c r="K511" s="30"/>
      <c r="L511" s="30"/>
      <c r="M511" s="30"/>
      <c r="N511" s="30"/>
      <c r="O511" s="30"/>
      <c r="P511" s="30"/>
      <c r="Q511" s="30"/>
      <c r="R511" s="30"/>
      <c r="S511" s="195"/>
      <c r="T511" s="195"/>
      <c r="U511" s="195"/>
      <c r="V511" s="195"/>
      <c r="W511" s="30"/>
      <c r="X511" s="30"/>
      <c r="Y511" s="30"/>
      <c r="Z511" s="30"/>
      <c r="AA511" s="30"/>
      <c r="AB511" s="30"/>
    </row>
    <row r="512">
      <c r="A512" s="30"/>
      <c r="B512" s="30"/>
      <c r="C512" s="30"/>
      <c r="D512" s="30"/>
      <c r="E512" s="30"/>
      <c r="F512" s="292"/>
      <c r="G512" s="30"/>
      <c r="H512" s="30"/>
      <c r="I512" s="30"/>
      <c r="J512" s="30"/>
      <c r="K512" s="30"/>
      <c r="L512" s="30"/>
      <c r="M512" s="30"/>
      <c r="N512" s="30"/>
      <c r="O512" s="30"/>
      <c r="P512" s="30"/>
      <c r="Q512" s="30"/>
      <c r="R512" s="30"/>
      <c r="S512" s="195"/>
      <c r="T512" s="195"/>
      <c r="U512" s="195"/>
      <c r="V512" s="195"/>
      <c r="W512" s="30"/>
      <c r="X512" s="30"/>
      <c r="Y512" s="30"/>
      <c r="Z512" s="30"/>
      <c r="AA512" s="30"/>
      <c r="AB512" s="30"/>
    </row>
    <row r="513">
      <c r="A513" s="30"/>
      <c r="B513" s="30"/>
      <c r="C513" s="30"/>
      <c r="D513" s="30"/>
      <c r="E513" s="30"/>
      <c r="F513" s="292"/>
      <c r="G513" s="30"/>
      <c r="H513" s="30"/>
      <c r="I513" s="30"/>
      <c r="J513" s="30"/>
      <c r="K513" s="30"/>
      <c r="L513" s="30"/>
      <c r="M513" s="30"/>
      <c r="N513" s="30"/>
      <c r="O513" s="30"/>
      <c r="P513" s="30"/>
      <c r="Q513" s="30"/>
      <c r="R513" s="30"/>
      <c r="S513" s="195"/>
      <c r="T513" s="195"/>
      <c r="U513" s="195"/>
      <c r="V513" s="195"/>
      <c r="W513" s="30"/>
      <c r="X513" s="30"/>
      <c r="Y513" s="30"/>
      <c r="Z513" s="30"/>
      <c r="AA513" s="30"/>
      <c r="AB513" s="30"/>
    </row>
    <row r="514">
      <c r="A514" s="30"/>
      <c r="B514" s="30"/>
      <c r="C514" s="30"/>
      <c r="D514" s="30"/>
      <c r="E514" s="30"/>
      <c r="F514" s="292"/>
      <c r="G514" s="30"/>
      <c r="H514" s="30"/>
      <c r="I514" s="30"/>
      <c r="J514" s="30"/>
      <c r="K514" s="30"/>
      <c r="L514" s="30"/>
      <c r="M514" s="30"/>
      <c r="N514" s="30"/>
      <c r="O514" s="30"/>
      <c r="P514" s="30"/>
      <c r="Q514" s="30"/>
      <c r="R514" s="30"/>
      <c r="S514" s="195"/>
      <c r="T514" s="195"/>
      <c r="U514" s="195"/>
      <c r="V514" s="195"/>
      <c r="W514" s="30"/>
      <c r="X514" s="30"/>
      <c r="Y514" s="30"/>
      <c r="Z514" s="30"/>
      <c r="AA514" s="30"/>
      <c r="AB514" s="30"/>
    </row>
    <row r="515">
      <c r="A515" s="30"/>
      <c r="B515" s="30"/>
      <c r="C515" s="30"/>
      <c r="D515" s="30"/>
      <c r="E515" s="30"/>
      <c r="F515" s="292"/>
      <c r="G515" s="30"/>
      <c r="H515" s="30"/>
      <c r="I515" s="30"/>
      <c r="J515" s="30"/>
      <c r="K515" s="30"/>
      <c r="L515" s="30"/>
      <c r="M515" s="30"/>
      <c r="N515" s="30"/>
      <c r="O515" s="30"/>
      <c r="P515" s="30"/>
      <c r="Q515" s="30"/>
      <c r="R515" s="30"/>
      <c r="S515" s="195"/>
      <c r="T515" s="195"/>
      <c r="U515" s="195"/>
      <c r="V515" s="195"/>
      <c r="W515" s="30"/>
      <c r="X515" s="30"/>
      <c r="Y515" s="30"/>
      <c r="Z515" s="30"/>
      <c r="AA515" s="30"/>
      <c r="AB515" s="30"/>
    </row>
    <row r="516">
      <c r="A516" s="30"/>
      <c r="B516" s="30"/>
      <c r="C516" s="30"/>
      <c r="D516" s="30"/>
      <c r="E516" s="30"/>
      <c r="F516" s="292"/>
      <c r="G516" s="30"/>
      <c r="H516" s="30"/>
      <c r="I516" s="30"/>
      <c r="J516" s="30"/>
      <c r="K516" s="30"/>
      <c r="L516" s="30"/>
      <c r="M516" s="30"/>
      <c r="N516" s="30"/>
      <c r="O516" s="30"/>
      <c r="P516" s="30"/>
      <c r="Q516" s="30"/>
      <c r="R516" s="30"/>
      <c r="S516" s="195"/>
      <c r="T516" s="195"/>
      <c r="U516" s="195"/>
      <c r="V516" s="195"/>
      <c r="W516" s="30"/>
      <c r="X516" s="30"/>
      <c r="Y516" s="30"/>
      <c r="Z516" s="30"/>
      <c r="AA516" s="30"/>
      <c r="AB516" s="30"/>
    </row>
    <row r="517">
      <c r="A517" s="30"/>
      <c r="B517" s="30"/>
      <c r="C517" s="30"/>
      <c r="D517" s="30"/>
      <c r="E517" s="30"/>
      <c r="F517" s="292"/>
      <c r="G517" s="30"/>
      <c r="H517" s="30"/>
      <c r="I517" s="30"/>
      <c r="J517" s="30"/>
      <c r="K517" s="30"/>
      <c r="L517" s="30"/>
      <c r="M517" s="30"/>
      <c r="N517" s="30"/>
      <c r="O517" s="30"/>
      <c r="P517" s="30"/>
      <c r="Q517" s="30"/>
      <c r="R517" s="30"/>
      <c r="S517" s="195"/>
      <c r="T517" s="195"/>
      <c r="U517" s="195"/>
      <c r="V517" s="195"/>
      <c r="W517" s="30"/>
      <c r="X517" s="30"/>
      <c r="Y517" s="30"/>
      <c r="Z517" s="30"/>
      <c r="AA517" s="30"/>
      <c r="AB517" s="30"/>
    </row>
    <row r="518">
      <c r="A518" s="30"/>
      <c r="B518" s="30"/>
      <c r="C518" s="30"/>
      <c r="D518" s="30"/>
      <c r="E518" s="30"/>
      <c r="F518" s="292"/>
      <c r="G518" s="30"/>
      <c r="H518" s="30"/>
      <c r="I518" s="30"/>
      <c r="J518" s="30"/>
      <c r="K518" s="30"/>
      <c r="L518" s="30"/>
      <c r="M518" s="30"/>
      <c r="N518" s="30"/>
      <c r="O518" s="30"/>
      <c r="P518" s="30"/>
      <c r="Q518" s="30"/>
      <c r="R518" s="30"/>
      <c r="S518" s="195"/>
      <c r="T518" s="195"/>
      <c r="U518" s="195"/>
      <c r="V518" s="195"/>
      <c r="W518" s="30"/>
      <c r="X518" s="30"/>
      <c r="Y518" s="30"/>
      <c r="Z518" s="30"/>
      <c r="AA518" s="30"/>
      <c r="AB518" s="30"/>
    </row>
    <row r="519">
      <c r="A519" s="30"/>
      <c r="B519" s="30"/>
      <c r="C519" s="30"/>
      <c r="D519" s="30"/>
      <c r="E519" s="30"/>
      <c r="F519" s="292"/>
      <c r="G519" s="30"/>
      <c r="H519" s="30"/>
      <c r="I519" s="30"/>
      <c r="J519" s="30"/>
      <c r="K519" s="30"/>
      <c r="L519" s="30"/>
      <c r="M519" s="30"/>
      <c r="N519" s="30"/>
      <c r="O519" s="30"/>
      <c r="P519" s="30"/>
      <c r="Q519" s="30"/>
      <c r="R519" s="30"/>
      <c r="S519" s="195"/>
      <c r="T519" s="195"/>
      <c r="U519" s="195"/>
      <c r="V519" s="195"/>
      <c r="W519" s="30"/>
      <c r="X519" s="30"/>
      <c r="Y519" s="30"/>
      <c r="Z519" s="30"/>
      <c r="AA519" s="30"/>
      <c r="AB519" s="30"/>
    </row>
    <row r="520">
      <c r="A520" s="30"/>
      <c r="B520" s="30"/>
      <c r="C520" s="30"/>
      <c r="D520" s="30"/>
      <c r="E520" s="30"/>
      <c r="F520" s="292"/>
      <c r="G520" s="30"/>
      <c r="H520" s="30"/>
      <c r="I520" s="30"/>
      <c r="J520" s="30"/>
      <c r="K520" s="30"/>
      <c r="L520" s="30"/>
      <c r="M520" s="30"/>
      <c r="N520" s="30"/>
      <c r="O520" s="30"/>
      <c r="P520" s="30"/>
      <c r="Q520" s="30"/>
      <c r="R520" s="30"/>
      <c r="S520" s="195"/>
      <c r="T520" s="195"/>
      <c r="U520" s="195"/>
      <c r="V520" s="195"/>
      <c r="W520" s="30"/>
      <c r="X520" s="30"/>
      <c r="Y520" s="30"/>
      <c r="Z520" s="30"/>
      <c r="AA520" s="30"/>
      <c r="AB520" s="30"/>
    </row>
    <row r="521">
      <c r="A521" s="30"/>
      <c r="B521" s="30"/>
      <c r="C521" s="30"/>
      <c r="D521" s="30"/>
      <c r="E521" s="30"/>
      <c r="F521" s="292"/>
      <c r="G521" s="30"/>
      <c r="H521" s="30"/>
      <c r="I521" s="30"/>
      <c r="J521" s="30"/>
      <c r="K521" s="30"/>
      <c r="L521" s="30"/>
      <c r="M521" s="30"/>
      <c r="N521" s="30"/>
      <c r="O521" s="30"/>
      <c r="P521" s="30"/>
      <c r="Q521" s="30"/>
      <c r="R521" s="30"/>
      <c r="S521" s="195"/>
      <c r="T521" s="195"/>
      <c r="U521" s="195"/>
      <c r="V521" s="195"/>
      <c r="W521" s="30"/>
      <c r="X521" s="30"/>
      <c r="Y521" s="30"/>
      <c r="Z521" s="30"/>
      <c r="AA521" s="30"/>
      <c r="AB521" s="30"/>
    </row>
    <row r="522">
      <c r="A522" s="30"/>
      <c r="B522" s="30"/>
      <c r="C522" s="30"/>
      <c r="D522" s="30"/>
      <c r="E522" s="30"/>
      <c r="F522" s="292"/>
      <c r="G522" s="30"/>
      <c r="H522" s="30"/>
      <c r="I522" s="30"/>
      <c r="J522" s="30"/>
      <c r="K522" s="30"/>
      <c r="L522" s="30"/>
      <c r="M522" s="30"/>
      <c r="N522" s="30"/>
      <c r="O522" s="30"/>
      <c r="P522" s="30"/>
      <c r="Q522" s="30"/>
      <c r="R522" s="30"/>
      <c r="S522" s="195"/>
      <c r="T522" s="195"/>
      <c r="U522" s="195"/>
      <c r="V522" s="195"/>
      <c r="W522" s="30"/>
      <c r="X522" s="30"/>
      <c r="Y522" s="30"/>
      <c r="Z522" s="30"/>
      <c r="AA522" s="30"/>
      <c r="AB522" s="30"/>
    </row>
    <row r="523">
      <c r="A523" s="30"/>
      <c r="B523" s="30"/>
      <c r="C523" s="30"/>
      <c r="D523" s="30"/>
      <c r="E523" s="30"/>
      <c r="F523" s="292"/>
      <c r="G523" s="30"/>
      <c r="H523" s="30"/>
      <c r="I523" s="30"/>
      <c r="J523" s="30"/>
      <c r="K523" s="30"/>
      <c r="L523" s="30"/>
      <c r="M523" s="30"/>
      <c r="N523" s="30"/>
      <c r="O523" s="30"/>
      <c r="P523" s="30"/>
      <c r="Q523" s="30"/>
      <c r="R523" s="30"/>
      <c r="S523" s="195"/>
      <c r="T523" s="195"/>
      <c r="U523" s="195"/>
      <c r="V523" s="195"/>
      <c r="W523" s="30"/>
      <c r="X523" s="30"/>
      <c r="Y523" s="30"/>
      <c r="Z523" s="30"/>
      <c r="AA523" s="30"/>
      <c r="AB523" s="30"/>
    </row>
    <row r="524">
      <c r="A524" s="30"/>
      <c r="B524" s="30"/>
      <c r="C524" s="30"/>
      <c r="D524" s="30"/>
      <c r="E524" s="30"/>
      <c r="F524" s="292"/>
      <c r="G524" s="30"/>
      <c r="H524" s="30"/>
      <c r="I524" s="30"/>
      <c r="J524" s="30"/>
      <c r="K524" s="30"/>
      <c r="L524" s="30"/>
      <c r="M524" s="30"/>
      <c r="N524" s="30"/>
      <c r="O524" s="30"/>
      <c r="P524" s="30"/>
      <c r="Q524" s="30"/>
      <c r="R524" s="30"/>
      <c r="S524" s="195"/>
      <c r="T524" s="195"/>
      <c r="U524" s="195"/>
      <c r="V524" s="195"/>
      <c r="W524" s="30"/>
      <c r="X524" s="30"/>
      <c r="Y524" s="30"/>
      <c r="Z524" s="30"/>
      <c r="AA524" s="30"/>
      <c r="AB524" s="30"/>
    </row>
    <row r="525">
      <c r="A525" s="30"/>
      <c r="B525" s="30"/>
      <c r="C525" s="30"/>
      <c r="D525" s="30"/>
      <c r="E525" s="30"/>
      <c r="F525" s="292"/>
      <c r="G525" s="30"/>
      <c r="H525" s="30"/>
      <c r="I525" s="30"/>
      <c r="J525" s="30"/>
      <c r="K525" s="30"/>
      <c r="L525" s="30"/>
      <c r="M525" s="30"/>
      <c r="N525" s="30"/>
      <c r="O525" s="30"/>
      <c r="P525" s="30"/>
      <c r="Q525" s="30"/>
      <c r="R525" s="30"/>
      <c r="S525" s="195"/>
      <c r="T525" s="195"/>
      <c r="U525" s="195"/>
      <c r="V525" s="195"/>
      <c r="W525" s="30"/>
      <c r="X525" s="30"/>
      <c r="Y525" s="30"/>
      <c r="Z525" s="30"/>
      <c r="AA525" s="30"/>
      <c r="AB525" s="30"/>
    </row>
    <row r="526">
      <c r="A526" s="30"/>
      <c r="B526" s="30"/>
      <c r="C526" s="30"/>
      <c r="D526" s="30"/>
      <c r="E526" s="30"/>
      <c r="F526" s="292"/>
      <c r="G526" s="30"/>
      <c r="H526" s="30"/>
      <c r="I526" s="30"/>
      <c r="J526" s="30"/>
      <c r="K526" s="30"/>
      <c r="L526" s="30"/>
      <c r="M526" s="30"/>
      <c r="N526" s="30"/>
      <c r="O526" s="30"/>
      <c r="P526" s="30"/>
      <c r="Q526" s="30"/>
      <c r="R526" s="30"/>
      <c r="S526" s="195"/>
      <c r="T526" s="195"/>
      <c r="U526" s="195"/>
      <c r="V526" s="195"/>
      <c r="W526" s="30"/>
      <c r="X526" s="30"/>
      <c r="Y526" s="30"/>
      <c r="Z526" s="30"/>
      <c r="AA526" s="30"/>
      <c r="AB526" s="30"/>
    </row>
    <row r="527">
      <c r="A527" s="30"/>
      <c r="B527" s="30"/>
      <c r="C527" s="30"/>
      <c r="D527" s="30"/>
      <c r="E527" s="30"/>
      <c r="F527" s="292"/>
      <c r="G527" s="30"/>
      <c r="H527" s="30"/>
      <c r="I527" s="30"/>
      <c r="J527" s="30"/>
      <c r="K527" s="30"/>
      <c r="L527" s="30"/>
      <c r="M527" s="30"/>
      <c r="N527" s="30"/>
      <c r="O527" s="30"/>
      <c r="P527" s="30"/>
      <c r="Q527" s="30"/>
      <c r="R527" s="30"/>
      <c r="S527" s="195"/>
      <c r="T527" s="195"/>
      <c r="U527" s="195"/>
      <c r="V527" s="195"/>
      <c r="W527" s="30"/>
      <c r="X527" s="30"/>
      <c r="Y527" s="30"/>
      <c r="Z527" s="30"/>
      <c r="AA527" s="30"/>
      <c r="AB527" s="30"/>
    </row>
    <row r="528">
      <c r="A528" s="30"/>
      <c r="B528" s="30"/>
      <c r="C528" s="30"/>
      <c r="D528" s="30"/>
      <c r="E528" s="30"/>
      <c r="F528" s="292"/>
      <c r="G528" s="30"/>
      <c r="H528" s="30"/>
      <c r="I528" s="30"/>
      <c r="J528" s="30"/>
      <c r="K528" s="30"/>
      <c r="L528" s="30"/>
      <c r="M528" s="30"/>
      <c r="N528" s="30"/>
      <c r="O528" s="30"/>
      <c r="P528" s="30"/>
      <c r="Q528" s="30"/>
      <c r="R528" s="30"/>
      <c r="S528" s="195"/>
      <c r="T528" s="195"/>
      <c r="U528" s="195"/>
      <c r="V528" s="195"/>
      <c r="W528" s="30"/>
      <c r="X528" s="30"/>
      <c r="Y528" s="30"/>
      <c r="Z528" s="30"/>
      <c r="AA528" s="30"/>
      <c r="AB528" s="30"/>
    </row>
    <row r="529">
      <c r="A529" s="30"/>
      <c r="B529" s="30"/>
      <c r="C529" s="30"/>
      <c r="D529" s="30"/>
      <c r="E529" s="30"/>
      <c r="F529" s="292"/>
      <c r="G529" s="30"/>
      <c r="H529" s="30"/>
      <c r="I529" s="30"/>
      <c r="J529" s="30"/>
      <c r="K529" s="30"/>
      <c r="L529" s="30"/>
      <c r="M529" s="30"/>
      <c r="N529" s="30"/>
      <c r="O529" s="30"/>
      <c r="P529" s="30"/>
      <c r="Q529" s="30"/>
      <c r="R529" s="30"/>
      <c r="S529" s="195"/>
      <c r="T529" s="195"/>
      <c r="U529" s="195"/>
      <c r="V529" s="195"/>
      <c r="W529" s="30"/>
      <c r="X529" s="30"/>
      <c r="Y529" s="30"/>
      <c r="Z529" s="30"/>
      <c r="AA529" s="30"/>
      <c r="AB529" s="30"/>
    </row>
    <row r="530">
      <c r="A530" s="30"/>
      <c r="B530" s="30"/>
      <c r="C530" s="30"/>
      <c r="D530" s="30"/>
      <c r="E530" s="30"/>
      <c r="F530" s="292"/>
      <c r="G530" s="30"/>
      <c r="H530" s="30"/>
      <c r="I530" s="30"/>
      <c r="J530" s="30"/>
      <c r="K530" s="30"/>
      <c r="L530" s="30"/>
      <c r="M530" s="30"/>
      <c r="N530" s="30"/>
      <c r="O530" s="30"/>
      <c r="P530" s="30"/>
      <c r="Q530" s="30"/>
      <c r="R530" s="30"/>
      <c r="S530" s="195"/>
      <c r="T530" s="195"/>
      <c r="U530" s="195"/>
      <c r="V530" s="195"/>
      <c r="W530" s="30"/>
      <c r="X530" s="30"/>
      <c r="Y530" s="30"/>
      <c r="Z530" s="30"/>
      <c r="AA530" s="30"/>
      <c r="AB530" s="30"/>
    </row>
    <row r="531">
      <c r="A531" s="30"/>
      <c r="B531" s="30"/>
      <c r="C531" s="30"/>
      <c r="D531" s="30"/>
      <c r="E531" s="30"/>
      <c r="F531" s="292"/>
      <c r="G531" s="30"/>
      <c r="H531" s="30"/>
      <c r="I531" s="30"/>
      <c r="J531" s="30"/>
      <c r="K531" s="30"/>
      <c r="L531" s="30"/>
      <c r="M531" s="30"/>
      <c r="N531" s="30"/>
      <c r="O531" s="30"/>
      <c r="P531" s="30"/>
      <c r="Q531" s="30"/>
      <c r="R531" s="30"/>
      <c r="S531" s="195"/>
      <c r="T531" s="195"/>
      <c r="U531" s="195"/>
      <c r="V531" s="195"/>
      <c r="W531" s="30"/>
      <c r="X531" s="30"/>
      <c r="Y531" s="30"/>
      <c r="Z531" s="30"/>
      <c r="AA531" s="30"/>
      <c r="AB531" s="30"/>
    </row>
    <row r="532">
      <c r="A532" s="30"/>
      <c r="B532" s="30"/>
      <c r="C532" s="30"/>
      <c r="D532" s="30"/>
      <c r="E532" s="30"/>
      <c r="F532" s="292"/>
      <c r="G532" s="30"/>
      <c r="H532" s="30"/>
      <c r="I532" s="30"/>
      <c r="J532" s="30"/>
      <c r="K532" s="30"/>
      <c r="L532" s="30"/>
      <c r="M532" s="30"/>
      <c r="N532" s="30"/>
      <c r="O532" s="30"/>
      <c r="P532" s="30"/>
      <c r="Q532" s="30"/>
      <c r="R532" s="30"/>
      <c r="S532" s="195"/>
      <c r="T532" s="195"/>
      <c r="U532" s="195"/>
      <c r="V532" s="195"/>
      <c r="W532" s="30"/>
      <c r="X532" s="30"/>
      <c r="Y532" s="30"/>
      <c r="Z532" s="30"/>
      <c r="AA532" s="30"/>
      <c r="AB532" s="30"/>
    </row>
    <row r="533">
      <c r="A533" s="30"/>
      <c r="B533" s="30"/>
      <c r="C533" s="30"/>
      <c r="D533" s="30"/>
      <c r="E533" s="30"/>
      <c r="F533" s="292"/>
      <c r="G533" s="30"/>
      <c r="H533" s="30"/>
      <c r="I533" s="30"/>
      <c r="J533" s="30"/>
      <c r="K533" s="30"/>
      <c r="L533" s="30"/>
      <c r="M533" s="30"/>
      <c r="N533" s="30"/>
      <c r="O533" s="30"/>
      <c r="P533" s="30"/>
      <c r="Q533" s="30"/>
      <c r="R533" s="30"/>
      <c r="S533" s="195"/>
      <c r="T533" s="195"/>
      <c r="U533" s="195"/>
      <c r="V533" s="195"/>
      <c r="W533" s="30"/>
      <c r="X533" s="30"/>
      <c r="Y533" s="30"/>
      <c r="Z533" s="30"/>
      <c r="AA533" s="30"/>
      <c r="AB533" s="30"/>
    </row>
    <row r="534">
      <c r="A534" s="30"/>
      <c r="B534" s="30"/>
      <c r="C534" s="30"/>
      <c r="D534" s="30"/>
      <c r="E534" s="30"/>
      <c r="F534" s="292"/>
      <c r="G534" s="30"/>
      <c r="H534" s="30"/>
      <c r="I534" s="30"/>
      <c r="J534" s="30"/>
      <c r="K534" s="30"/>
      <c r="L534" s="30"/>
      <c r="M534" s="30"/>
      <c r="N534" s="30"/>
      <c r="O534" s="30"/>
      <c r="P534" s="30"/>
      <c r="Q534" s="30"/>
      <c r="R534" s="30"/>
      <c r="S534" s="195"/>
      <c r="T534" s="195"/>
      <c r="U534" s="195"/>
      <c r="V534" s="195"/>
      <c r="W534" s="30"/>
      <c r="X534" s="30"/>
      <c r="Y534" s="30"/>
      <c r="Z534" s="30"/>
      <c r="AA534" s="30"/>
      <c r="AB534" s="30"/>
    </row>
    <row r="535">
      <c r="A535" s="30"/>
      <c r="B535" s="30"/>
      <c r="C535" s="30"/>
      <c r="D535" s="30"/>
      <c r="E535" s="30"/>
      <c r="F535" s="292"/>
      <c r="G535" s="30"/>
      <c r="H535" s="30"/>
      <c r="I535" s="30"/>
      <c r="J535" s="30"/>
      <c r="K535" s="30"/>
      <c r="L535" s="30"/>
      <c r="M535" s="30"/>
      <c r="N535" s="30"/>
      <c r="O535" s="30"/>
      <c r="P535" s="30"/>
      <c r="Q535" s="30"/>
      <c r="R535" s="30"/>
      <c r="S535" s="195"/>
      <c r="T535" s="195"/>
      <c r="U535" s="195"/>
      <c r="V535" s="195"/>
      <c r="W535" s="30"/>
      <c r="X535" s="30"/>
      <c r="Y535" s="30"/>
      <c r="Z535" s="30"/>
      <c r="AA535" s="30"/>
      <c r="AB535" s="30"/>
    </row>
    <row r="536">
      <c r="A536" s="30"/>
      <c r="B536" s="30"/>
      <c r="C536" s="30"/>
      <c r="D536" s="30"/>
      <c r="E536" s="30"/>
      <c r="F536" s="292"/>
      <c r="G536" s="30"/>
      <c r="H536" s="30"/>
      <c r="I536" s="30"/>
      <c r="J536" s="30"/>
      <c r="K536" s="30"/>
      <c r="L536" s="30"/>
      <c r="M536" s="30"/>
      <c r="N536" s="30"/>
      <c r="O536" s="30"/>
      <c r="P536" s="30"/>
      <c r="Q536" s="30"/>
      <c r="R536" s="30"/>
      <c r="S536" s="195"/>
      <c r="T536" s="195"/>
      <c r="U536" s="195"/>
      <c r="V536" s="195"/>
      <c r="W536" s="30"/>
      <c r="X536" s="30"/>
      <c r="Y536" s="30"/>
      <c r="Z536" s="30"/>
      <c r="AA536" s="30"/>
      <c r="AB536" s="30"/>
    </row>
    <row r="537">
      <c r="A537" s="30"/>
      <c r="B537" s="30"/>
      <c r="C537" s="30"/>
      <c r="D537" s="30"/>
      <c r="E537" s="30"/>
      <c r="F537" s="292"/>
      <c r="G537" s="30"/>
      <c r="H537" s="30"/>
      <c r="I537" s="30"/>
      <c r="J537" s="30"/>
      <c r="K537" s="30"/>
      <c r="L537" s="30"/>
      <c r="M537" s="30"/>
      <c r="N537" s="30"/>
      <c r="O537" s="30"/>
      <c r="P537" s="30"/>
      <c r="Q537" s="30"/>
      <c r="R537" s="30"/>
      <c r="S537" s="195"/>
      <c r="T537" s="195"/>
      <c r="U537" s="195"/>
      <c r="V537" s="195"/>
      <c r="W537" s="30"/>
      <c r="X537" s="30"/>
      <c r="Y537" s="30"/>
      <c r="Z537" s="30"/>
      <c r="AA537" s="30"/>
      <c r="AB537" s="30"/>
    </row>
    <row r="538">
      <c r="A538" s="30"/>
      <c r="B538" s="30"/>
      <c r="C538" s="30"/>
      <c r="D538" s="30"/>
      <c r="E538" s="30"/>
      <c r="F538" s="292"/>
      <c r="G538" s="30"/>
      <c r="H538" s="30"/>
      <c r="I538" s="30"/>
      <c r="J538" s="30"/>
      <c r="K538" s="30"/>
      <c r="L538" s="30"/>
      <c r="M538" s="30"/>
      <c r="N538" s="30"/>
      <c r="O538" s="30"/>
      <c r="P538" s="30"/>
      <c r="Q538" s="30"/>
      <c r="R538" s="30"/>
      <c r="S538" s="195"/>
      <c r="T538" s="195"/>
      <c r="U538" s="195"/>
      <c r="V538" s="195"/>
      <c r="W538" s="30"/>
      <c r="X538" s="30"/>
      <c r="Y538" s="30"/>
      <c r="Z538" s="30"/>
      <c r="AA538" s="30"/>
      <c r="AB538" s="30"/>
    </row>
    <row r="539">
      <c r="A539" s="30"/>
      <c r="B539" s="30"/>
      <c r="C539" s="30"/>
      <c r="D539" s="30"/>
      <c r="E539" s="30"/>
      <c r="F539" s="292"/>
      <c r="G539" s="30"/>
      <c r="H539" s="30"/>
      <c r="I539" s="30"/>
      <c r="J539" s="30"/>
      <c r="K539" s="30"/>
      <c r="L539" s="30"/>
      <c r="M539" s="30"/>
      <c r="N539" s="30"/>
      <c r="O539" s="30"/>
      <c r="P539" s="30"/>
      <c r="Q539" s="30"/>
      <c r="R539" s="30"/>
      <c r="S539" s="195"/>
      <c r="T539" s="195"/>
      <c r="U539" s="195"/>
      <c r="V539" s="195"/>
      <c r="W539" s="30"/>
      <c r="X539" s="30"/>
      <c r="Y539" s="30"/>
      <c r="Z539" s="30"/>
      <c r="AA539" s="30"/>
      <c r="AB539" s="30"/>
    </row>
    <row r="540">
      <c r="A540" s="30"/>
      <c r="B540" s="30"/>
      <c r="C540" s="30"/>
      <c r="D540" s="30"/>
      <c r="E540" s="30"/>
      <c r="F540" s="292"/>
      <c r="G540" s="30"/>
      <c r="H540" s="30"/>
      <c r="I540" s="30"/>
      <c r="J540" s="30"/>
      <c r="K540" s="30"/>
      <c r="L540" s="30"/>
      <c r="M540" s="30"/>
      <c r="N540" s="30"/>
      <c r="O540" s="30"/>
      <c r="P540" s="30"/>
      <c r="Q540" s="30"/>
      <c r="R540" s="30"/>
      <c r="S540" s="195"/>
      <c r="T540" s="195"/>
      <c r="U540" s="195"/>
      <c r="V540" s="195"/>
      <c r="W540" s="30"/>
      <c r="X540" s="30"/>
      <c r="Y540" s="30"/>
      <c r="Z540" s="30"/>
      <c r="AA540" s="30"/>
      <c r="AB540" s="30"/>
    </row>
    <row r="541">
      <c r="A541" s="30"/>
      <c r="B541" s="30"/>
      <c r="C541" s="30"/>
      <c r="D541" s="30"/>
      <c r="E541" s="30"/>
      <c r="F541" s="292"/>
      <c r="G541" s="30"/>
      <c r="H541" s="30"/>
      <c r="I541" s="30"/>
      <c r="J541" s="30"/>
      <c r="K541" s="30"/>
      <c r="L541" s="30"/>
      <c r="M541" s="30"/>
      <c r="N541" s="30"/>
      <c r="O541" s="30"/>
      <c r="P541" s="30"/>
      <c r="Q541" s="30"/>
      <c r="R541" s="30"/>
      <c r="S541" s="195"/>
      <c r="T541" s="195"/>
      <c r="U541" s="195"/>
      <c r="V541" s="195"/>
      <c r="W541" s="30"/>
      <c r="X541" s="30"/>
      <c r="Y541" s="30"/>
      <c r="Z541" s="30"/>
      <c r="AA541" s="30"/>
      <c r="AB541" s="30"/>
    </row>
    <row r="542">
      <c r="A542" s="30"/>
      <c r="B542" s="30"/>
      <c r="C542" s="30"/>
      <c r="D542" s="30"/>
      <c r="E542" s="30"/>
      <c r="F542" s="292"/>
      <c r="G542" s="30"/>
      <c r="H542" s="30"/>
      <c r="I542" s="30"/>
      <c r="J542" s="30"/>
      <c r="K542" s="30"/>
      <c r="L542" s="30"/>
      <c r="M542" s="30"/>
      <c r="N542" s="30"/>
      <c r="O542" s="30"/>
      <c r="P542" s="30"/>
      <c r="Q542" s="30"/>
      <c r="R542" s="30"/>
      <c r="S542" s="195"/>
      <c r="T542" s="195"/>
      <c r="U542" s="195"/>
      <c r="V542" s="195"/>
      <c r="W542" s="30"/>
      <c r="X542" s="30"/>
      <c r="Y542" s="30"/>
      <c r="Z542" s="30"/>
      <c r="AA542" s="30"/>
      <c r="AB542" s="30"/>
    </row>
    <row r="543">
      <c r="A543" s="30"/>
      <c r="B543" s="30"/>
      <c r="C543" s="30"/>
      <c r="D543" s="30"/>
      <c r="E543" s="30"/>
      <c r="F543" s="292"/>
      <c r="G543" s="30"/>
      <c r="H543" s="30"/>
      <c r="I543" s="30"/>
      <c r="J543" s="30"/>
      <c r="K543" s="30"/>
      <c r="L543" s="30"/>
      <c r="M543" s="30"/>
      <c r="N543" s="30"/>
      <c r="O543" s="30"/>
      <c r="P543" s="30"/>
      <c r="Q543" s="30"/>
      <c r="R543" s="30"/>
      <c r="S543" s="195"/>
      <c r="T543" s="195"/>
      <c r="U543" s="195"/>
      <c r="V543" s="195"/>
      <c r="W543" s="30"/>
      <c r="X543" s="30"/>
      <c r="Y543" s="30"/>
      <c r="Z543" s="30"/>
      <c r="AA543" s="30"/>
      <c r="AB543" s="30"/>
    </row>
    <row r="544">
      <c r="A544" s="30"/>
      <c r="B544" s="30"/>
      <c r="C544" s="30"/>
      <c r="D544" s="30"/>
      <c r="E544" s="30"/>
      <c r="F544" s="292"/>
      <c r="G544" s="30"/>
      <c r="H544" s="30"/>
      <c r="I544" s="30"/>
      <c r="J544" s="30"/>
      <c r="K544" s="30"/>
      <c r="L544" s="30"/>
      <c r="M544" s="30"/>
      <c r="N544" s="30"/>
      <c r="O544" s="30"/>
      <c r="P544" s="30"/>
      <c r="Q544" s="30"/>
      <c r="R544" s="30"/>
      <c r="S544" s="195"/>
      <c r="T544" s="195"/>
      <c r="U544" s="195"/>
      <c r="V544" s="195"/>
      <c r="W544" s="30"/>
      <c r="X544" s="30"/>
      <c r="Y544" s="30"/>
      <c r="Z544" s="30"/>
      <c r="AA544" s="30"/>
      <c r="AB544" s="30"/>
    </row>
    <row r="545">
      <c r="A545" s="30"/>
      <c r="B545" s="30"/>
      <c r="C545" s="30"/>
      <c r="D545" s="30"/>
      <c r="E545" s="30"/>
      <c r="F545" s="292"/>
      <c r="G545" s="30"/>
      <c r="H545" s="30"/>
      <c r="I545" s="30"/>
      <c r="J545" s="30"/>
      <c r="K545" s="30"/>
      <c r="L545" s="30"/>
      <c r="M545" s="30"/>
      <c r="N545" s="30"/>
      <c r="O545" s="30"/>
      <c r="P545" s="30"/>
      <c r="Q545" s="30"/>
      <c r="R545" s="30"/>
      <c r="S545" s="195"/>
      <c r="T545" s="195"/>
      <c r="U545" s="195"/>
      <c r="V545" s="195"/>
      <c r="W545" s="30"/>
      <c r="X545" s="30"/>
      <c r="Y545" s="30"/>
      <c r="Z545" s="30"/>
      <c r="AA545" s="30"/>
      <c r="AB545" s="30"/>
    </row>
    <row r="546">
      <c r="A546" s="30"/>
      <c r="B546" s="30"/>
      <c r="C546" s="30"/>
      <c r="D546" s="30"/>
      <c r="E546" s="30"/>
      <c r="F546" s="292"/>
      <c r="G546" s="30"/>
      <c r="H546" s="30"/>
      <c r="I546" s="30"/>
      <c r="J546" s="30"/>
      <c r="K546" s="30"/>
      <c r="L546" s="30"/>
      <c r="M546" s="30"/>
      <c r="N546" s="30"/>
      <c r="O546" s="30"/>
      <c r="P546" s="30"/>
      <c r="Q546" s="30"/>
      <c r="R546" s="30"/>
      <c r="S546" s="195"/>
      <c r="T546" s="195"/>
      <c r="U546" s="195"/>
      <c r="V546" s="195"/>
      <c r="W546" s="30"/>
      <c r="X546" s="30"/>
      <c r="Y546" s="30"/>
      <c r="Z546" s="30"/>
      <c r="AA546" s="30"/>
      <c r="AB546" s="30"/>
    </row>
    <row r="547">
      <c r="A547" s="30"/>
      <c r="B547" s="30"/>
      <c r="C547" s="30"/>
      <c r="D547" s="30"/>
      <c r="E547" s="30"/>
      <c r="F547" s="292"/>
      <c r="G547" s="30"/>
      <c r="H547" s="30"/>
      <c r="I547" s="30"/>
      <c r="J547" s="30"/>
      <c r="K547" s="30"/>
      <c r="L547" s="30"/>
      <c r="M547" s="30"/>
      <c r="N547" s="30"/>
      <c r="O547" s="30"/>
      <c r="P547" s="30"/>
      <c r="Q547" s="30"/>
      <c r="R547" s="30"/>
      <c r="S547" s="195"/>
      <c r="T547" s="195"/>
      <c r="U547" s="195"/>
      <c r="V547" s="195"/>
      <c r="W547" s="30"/>
      <c r="X547" s="30"/>
      <c r="Y547" s="30"/>
      <c r="Z547" s="30"/>
      <c r="AA547" s="30"/>
      <c r="AB547" s="30"/>
    </row>
    <row r="548">
      <c r="A548" s="30"/>
      <c r="B548" s="30"/>
      <c r="C548" s="30"/>
      <c r="D548" s="30"/>
      <c r="E548" s="30"/>
      <c r="F548" s="292"/>
      <c r="G548" s="30"/>
      <c r="H548" s="30"/>
      <c r="I548" s="30"/>
      <c r="J548" s="30"/>
      <c r="K548" s="30"/>
      <c r="L548" s="30"/>
      <c r="M548" s="30"/>
      <c r="N548" s="30"/>
      <c r="O548" s="30"/>
      <c r="P548" s="30"/>
      <c r="Q548" s="30"/>
      <c r="R548" s="30"/>
      <c r="S548" s="195"/>
      <c r="T548" s="195"/>
      <c r="U548" s="195"/>
      <c r="V548" s="195"/>
      <c r="W548" s="30"/>
      <c r="X548" s="30"/>
      <c r="Y548" s="30"/>
      <c r="Z548" s="30"/>
      <c r="AA548" s="30"/>
      <c r="AB548" s="30"/>
    </row>
    <row r="549">
      <c r="A549" s="30"/>
      <c r="B549" s="30"/>
      <c r="C549" s="30"/>
      <c r="D549" s="30"/>
      <c r="E549" s="30"/>
      <c r="F549" s="292"/>
      <c r="G549" s="30"/>
      <c r="H549" s="30"/>
      <c r="I549" s="30"/>
      <c r="J549" s="30"/>
      <c r="K549" s="30"/>
      <c r="L549" s="30"/>
      <c r="M549" s="30"/>
      <c r="N549" s="30"/>
      <c r="O549" s="30"/>
      <c r="P549" s="30"/>
      <c r="Q549" s="30"/>
      <c r="R549" s="30"/>
      <c r="S549" s="195"/>
      <c r="T549" s="195"/>
      <c r="U549" s="195"/>
      <c r="V549" s="195"/>
      <c r="W549" s="30"/>
      <c r="X549" s="30"/>
      <c r="Y549" s="30"/>
      <c r="Z549" s="30"/>
      <c r="AA549" s="30"/>
      <c r="AB549" s="30"/>
    </row>
    <row r="550">
      <c r="A550" s="30"/>
      <c r="B550" s="30"/>
      <c r="C550" s="30"/>
      <c r="D550" s="30"/>
      <c r="E550" s="30"/>
      <c r="F550" s="292"/>
      <c r="G550" s="30"/>
      <c r="H550" s="30"/>
      <c r="I550" s="30"/>
      <c r="J550" s="30"/>
      <c r="K550" s="30"/>
      <c r="L550" s="30"/>
      <c r="M550" s="30"/>
      <c r="N550" s="30"/>
      <c r="O550" s="30"/>
      <c r="P550" s="30"/>
      <c r="Q550" s="30"/>
      <c r="R550" s="30"/>
      <c r="S550" s="195"/>
      <c r="T550" s="195"/>
      <c r="U550" s="195"/>
      <c r="V550" s="195"/>
      <c r="W550" s="30"/>
      <c r="X550" s="30"/>
      <c r="Y550" s="30"/>
      <c r="Z550" s="30"/>
      <c r="AA550" s="30"/>
      <c r="AB550" s="30"/>
    </row>
    <row r="551">
      <c r="A551" s="30"/>
      <c r="B551" s="30"/>
      <c r="C551" s="30"/>
      <c r="D551" s="30"/>
      <c r="E551" s="30"/>
      <c r="F551" s="292"/>
      <c r="G551" s="30"/>
      <c r="H551" s="30"/>
      <c r="I551" s="30"/>
      <c r="J551" s="30"/>
      <c r="K551" s="30"/>
      <c r="L551" s="30"/>
      <c r="M551" s="30"/>
      <c r="N551" s="30"/>
      <c r="O551" s="30"/>
      <c r="P551" s="30"/>
      <c r="Q551" s="30"/>
      <c r="R551" s="30"/>
      <c r="S551" s="195"/>
      <c r="T551" s="195"/>
      <c r="U551" s="195"/>
      <c r="V551" s="195"/>
      <c r="W551" s="30"/>
      <c r="X551" s="30"/>
      <c r="Y551" s="30"/>
      <c r="Z551" s="30"/>
      <c r="AA551" s="30"/>
      <c r="AB551" s="30"/>
    </row>
    <row r="552">
      <c r="A552" s="30"/>
      <c r="B552" s="30"/>
      <c r="C552" s="30"/>
      <c r="D552" s="30"/>
      <c r="E552" s="30"/>
      <c r="F552" s="292"/>
      <c r="G552" s="30"/>
      <c r="H552" s="30"/>
      <c r="I552" s="30"/>
      <c r="J552" s="30"/>
      <c r="K552" s="30"/>
      <c r="L552" s="30"/>
      <c r="M552" s="30"/>
      <c r="N552" s="30"/>
      <c r="O552" s="30"/>
      <c r="P552" s="30"/>
      <c r="Q552" s="30"/>
      <c r="R552" s="30"/>
      <c r="S552" s="195"/>
      <c r="T552" s="195"/>
      <c r="U552" s="195"/>
      <c r="V552" s="195"/>
      <c r="W552" s="30"/>
      <c r="X552" s="30"/>
      <c r="Y552" s="30"/>
      <c r="Z552" s="30"/>
      <c r="AA552" s="30"/>
      <c r="AB552" s="30"/>
    </row>
    <row r="553">
      <c r="A553" s="30"/>
      <c r="B553" s="30"/>
      <c r="C553" s="30"/>
      <c r="D553" s="30"/>
      <c r="E553" s="30"/>
      <c r="F553" s="292"/>
      <c r="G553" s="30"/>
      <c r="H553" s="30"/>
      <c r="I553" s="30"/>
      <c r="J553" s="30"/>
      <c r="K553" s="30"/>
      <c r="L553" s="30"/>
      <c r="M553" s="30"/>
      <c r="N553" s="30"/>
      <c r="O553" s="30"/>
      <c r="P553" s="30"/>
      <c r="Q553" s="30"/>
      <c r="R553" s="30"/>
      <c r="S553" s="195"/>
      <c r="T553" s="195"/>
      <c r="U553" s="195"/>
      <c r="V553" s="195"/>
      <c r="W553" s="30"/>
      <c r="X553" s="30"/>
      <c r="Y553" s="30"/>
      <c r="Z553" s="30"/>
      <c r="AA553" s="30"/>
      <c r="AB553" s="30"/>
    </row>
    <row r="554">
      <c r="A554" s="30"/>
      <c r="B554" s="30"/>
      <c r="C554" s="30"/>
      <c r="D554" s="30"/>
      <c r="E554" s="30"/>
      <c r="F554" s="292"/>
      <c r="G554" s="30"/>
      <c r="H554" s="30"/>
      <c r="I554" s="30"/>
      <c r="J554" s="30"/>
      <c r="K554" s="30"/>
      <c r="L554" s="30"/>
      <c r="M554" s="30"/>
      <c r="N554" s="30"/>
      <c r="O554" s="30"/>
      <c r="P554" s="30"/>
      <c r="Q554" s="30"/>
      <c r="R554" s="30"/>
      <c r="S554" s="195"/>
      <c r="T554" s="195"/>
      <c r="U554" s="195"/>
      <c r="V554" s="195"/>
      <c r="W554" s="30"/>
      <c r="X554" s="30"/>
      <c r="Y554" s="30"/>
      <c r="Z554" s="30"/>
      <c r="AA554" s="30"/>
      <c r="AB554" s="30"/>
    </row>
    <row r="555">
      <c r="A555" s="30"/>
      <c r="B555" s="30"/>
      <c r="C555" s="30"/>
      <c r="D555" s="30"/>
      <c r="E555" s="30"/>
      <c r="F555" s="292"/>
      <c r="G555" s="30"/>
      <c r="H555" s="30"/>
      <c r="I555" s="30"/>
      <c r="J555" s="30"/>
      <c r="K555" s="30"/>
      <c r="L555" s="30"/>
      <c r="M555" s="30"/>
      <c r="N555" s="30"/>
      <c r="O555" s="30"/>
      <c r="P555" s="30"/>
      <c r="Q555" s="30"/>
      <c r="R555" s="30"/>
      <c r="S555" s="195"/>
      <c r="T555" s="195"/>
      <c r="U555" s="195"/>
      <c r="V555" s="195"/>
      <c r="W555" s="30"/>
      <c r="X555" s="30"/>
      <c r="Y555" s="30"/>
      <c r="Z555" s="30"/>
      <c r="AA555" s="30"/>
      <c r="AB555" s="30"/>
    </row>
    <row r="556">
      <c r="A556" s="30"/>
      <c r="B556" s="30"/>
      <c r="C556" s="30"/>
      <c r="D556" s="30"/>
      <c r="E556" s="30"/>
      <c r="F556" s="292"/>
      <c r="G556" s="30"/>
      <c r="H556" s="30"/>
      <c r="I556" s="30"/>
      <c r="J556" s="30"/>
      <c r="K556" s="30"/>
      <c r="L556" s="30"/>
      <c r="M556" s="30"/>
      <c r="N556" s="30"/>
      <c r="O556" s="30"/>
      <c r="P556" s="30"/>
      <c r="Q556" s="30"/>
      <c r="R556" s="30"/>
      <c r="S556" s="195"/>
      <c r="T556" s="195"/>
      <c r="U556" s="195"/>
      <c r="V556" s="195"/>
      <c r="W556" s="30"/>
      <c r="X556" s="30"/>
      <c r="Y556" s="30"/>
      <c r="Z556" s="30"/>
      <c r="AA556" s="30"/>
      <c r="AB556" s="30"/>
    </row>
    <row r="557">
      <c r="A557" s="30"/>
      <c r="B557" s="30"/>
      <c r="C557" s="30"/>
      <c r="D557" s="30"/>
      <c r="E557" s="30"/>
      <c r="F557" s="292"/>
      <c r="G557" s="30"/>
      <c r="H557" s="30"/>
      <c r="I557" s="30"/>
      <c r="J557" s="30"/>
      <c r="K557" s="30"/>
      <c r="L557" s="30"/>
      <c r="M557" s="30"/>
      <c r="N557" s="30"/>
      <c r="O557" s="30"/>
      <c r="P557" s="30"/>
      <c r="Q557" s="30"/>
      <c r="R557" s="30"/>
      <c r="S557" s="195"/>
      <c r="T557" s="195"/>
      <c r="U557" s="195"/>
      <c r="V557" s="195"/>
      <c r="W557" s="30"/>
      <c r="X557" s="30"/>
      <c r="Y557" s="30"/>
      <c r="Z557" s="30"/>
      <c r="AA557" s="30"/>
      <c r="AB557" s="30"/>
    </row>
    <row r="558">
      <c r="A558" s="30"/>
      <c r="B558" s="30"/>
      <c r="C558" s="30"/>
      <c r="D558" s="30"/>
      <c r="E558" s="30"/>
      <c r="F558" s="292"/>
      <c r="G558" s="30"/>
      <c r="H558" s="30"/>
      <c r="I558" s="30"/>
      <c r="J558" s="30"/>
      <c r="K558" s="30"/>
      <c r="L558" s="30"/>
      <c r="M558" s="30"/>
      <c r="N558" s="30"/>
      <c r="O558" s="30"/>
      <c r="P558" s="30"/>
      <c r="Q558" s="30"/>
      <c r="R558" s="30"/>
      <c r="S558" s="195"/>
      <c r="T558" s="195"/>
      <c r="U558" s="195"/>
      <c r="V558" s="195"/>
      <c r="W558" s="30"/>
      <c r="X558" s="30"/>
      <c r="Y558" s="30"/>
      <c r="Z558" s="30"/>
      <c r="AA558" s="30"/>
      <c r="AB558" s="30"/>
    </row>
    <row r="559">
      <c r="A559" s="30"/>
      <c r="B559" s="30"/>
      <c r="C559" s="30"/>
      <c r="D559" s="30"/>
      <c r="E559" s="30"/>
      <c r="F559" s="292"/>
      <c r="G559" s="30"/>
      <c r="H559" s="30"/>
      <c r="I559" s="30"/>
      <c r="J559" s="30"/>
      <c r="K559" s="30"/>
      <c r="L559" s="30"/>
      <c r="M559" s="30"/>
      <c r="N559" s="30"/>
      <c r="O559" s="30"/>
      <c r="P559" s="30"/>
      <c r="Q559" s="30"/>
      <c r="R559" s="30"/>
      <c r="S559" s="195"/>
      <c r="T559" s="195"/>
      <c r="U559" s="195"/>
      <c r="V559" s="195"/>
      <c r="W559" s="30"/>
      <c r="X559" s="30"/>
      <c r="Y559" s="30"/>
      <c r="Z559" s="30"/>
      <c r="AA559" s="30"/>
      <c r="AB559" s="30"/>
    </row>
    <row r="560">
      <c r="A560" s="30"/>
      <c r="B560" s="30"/>
      <c r="C560" s="30"/>
      <c r="D560" s="30"/>
      <c r="E560" s="30"/>
      <c r="F560" s="292"/>
      <c r="G560" s="30"/>
      <c r="H560" s="30"/>
      <c r="I560" s="30"/>
      <c r="J560" s="30"/>
      <c r="K560" s="30"/>
      <c r="L560" s="30"/>
      <c r="M560" s="30"/>
      <c r="N560" s="30"/>
      <c r="O560" s="30"/>
      <c r="P560" s="30"/>
      <c r="Q560" s="30"/>
      <c r="R560" s="30"/>
      <c r="S560" s="195"/>
      <c r="T560" s="195"/>
      <c r="U560" s="195"/>
      <c r="V560" s="195"/>
      <c r="W560" s="30"/>
      <c r="X560" s="30"/>
      <c r="Y560" s="30"/>
      <c r="Z560" s="30"/>
      <c r="AA560" s="30"/>
      <c r="AB560" s="30"/>
    </row>
    <row r="561">
      <c r="A561" s="30"/>
      <c r="B561" s="30"/>
      <c r="C561" s="30"/>
      <c r="D561" s="30"/>
      <c r="E561" s="30"/>
      <c r="F561" s="292"/>
      <c r="G561" s="30"/>
      <c r="H561" s="30"/>
      <c r="I561" s="30"/>
      <c r="J561" s="30"/>
      <c r="K561" s="30"/>
      <c r="L561" s="30"/>
      <c r="M561" s="30"/>
      <c r="N561" s="30"/>
      <c r="O561" s="30"/>
      <c r="P561" s="30"/>
      <c r="Q561" s="30"/>
      <c r="R561" s="30"/>
      <c r="S561" s="195"/>
      <c r="T561" s="195"/>
      <c r="U561" s="195"/>
      <c r="V561" s="195"/>
      <c r="W561" s="30"/>
      <c r="X561" s="30"/>
      <c r="Y561" s="30"/>
      <c r="Z561" s="30"/>
      <c r="AA561" s="30"/>
      <c r="AB561" s="30"/>
    </row>
    <row r="562">
      <c r="A562" s="30"/>
      <c r="B562" s="30"/>
      <c r="C562" s="30"/>
      <c r="D562" s="30"/>
      <c r="E562" s="30"/>
      <c r="F562" s="292"/>
      <c r="G562" s="30"/>
      <c r="H562" s="30"/>
      <c r="I562" s="30"/>
      <c r="J562" s="30"/>
      <c r="K562" s="30"/>
      <c r="L562" s="30"/>
      <c r="M562" s="30"/>
      <c r="N562" s="30"/>
      <c r="O562" s="30"/>
      <c r="P562" s="30"/>
      <c r="Q562" s="30"/>
      <c r="R562" s="30"/>
      <c r="S562" s="195"/>
      <c r="T562" s="195"/>
      <c r="U562" s="195"/>
      <c r="V562" s="195"/>
      <c r="W562" s="30"/>
      <c r="X562" s="30"/>
      <c r="Y562" s="30"/>
      <c r="Z562" s="30"/>
      <c r="AA562" s="30"/>
      <c r="AB562" s="30"/>
    </row>
    <row r="563">
      <c r="A563" s="30"/>
      <c r="B563" s="30"/>
      <c r="C563" s="30"/>
      <c r="D563" s="30"/>
      <c r="E563" s="30"/>
      <c r="F563" s="292"/>
      <c r="G563" s="30"/>
      <c r="H563" s="30"/>
      <c r="I563" s="30"/>
      <c r="J563" s="30"/>
      <c r="K563" s="30"/>
      <c r="L563" s="30"/>
      <c r="M563" s="30"/>
      <c r="N563" s="30"/>
      <c r="O563" s="30"/>
      <c r="P563" s="30"/>
      <c r="Q563" s="30"/>
      <c r="R563" s="30"/>
      <c r="S563" s="195"/>
      <c r="T563" s="195"/>
      <c r="U563" s="195"/>
      <c r="V563" s="195"/>
      <c r="W563" s="30"/>
      <c r="X563" s="30"/>
      <c r="Y563" s="30"/>
      <c r="Z563" s="30"/>
      <c r="AA563" s="30"/>
      <c r="AB563" s="30"/>
    </row>
    <row r="564">
      <c r="A564" s="30"/>
      <c r="B564" s="30"/>
      <c r="C564" s="30"/>
      <c r="D564" s="30"/>
      <c r="E564" s="30"/>
      <c r="F564" s="292"/>
      <c r="G564" s="30"/>
      <c r="H564" s="30"/>
      <c r="I564" s="30"/>
      <c r="J564" s="30"/>
      <c r="K564" s="30"/>
      <c r="L564" s="30"/>
      <c r="M564" s="30"/>
      <c r="N564" s="30"/>
      <c r="O564" s="30"/>
      <c r="P564" s="30"/>
      <c r="Q564" s="30"/>
      <c r="R564" s="30"/>
      <c r="S564" s="195"/>
      <c r="T564" s="195"/>
      <c r="U564" s="195"/>
      <c r="V564" s="195"/>
      <c r="W564" s="30"/>
      <c r="X564" s="30"/>
      <c r="Y564" s="30"/>
      <c r="Z564" s="30"/>
      <c r="AA564" s="30"/>
      <c r="AB564" s="30"/>
    </row>
    <row r="565">
      <c r="A565" s="30"/>
      <c r="B565" s="30"/>
      <c r="C565" s="30"/>
      <c r="D565" s="30"/>
      <c r="E565" s="30"/>
      <c r="F565" s="292"/>
      <c r="G565" s="30"/>
      <c r="H565" s="30"/>
      <c r="I565" s="30"/>
      <c r="J565" s="30"/>
      <c r="K565" s="30"/>
      <c r="L565" s="30"/>
      <c r="M565" s="30"/>
      <c r="N565" s="30"/>
      <c r="O565" s="30"/>
      <c r="P565" s="30"/>
      <c r="Q565" s="30"/>
      <c r="R565" s="30"/>
      <c r="S565" s="195"/>
      <c r="T565" s="195"/>
      <c r="U565" s="195"/>
      <c r="V565" s="195"/>
      <c r="W565" s="30"/>
      <c r="X565" s="30"/>
      <c r="Y565" s="30"/>
      <c r="Z565" s="30"/>
      <c r="AA565" s="30"/>
      <c r="AB565" s="30"/>
    </row>
    <row r="566">
      <c r="A566" s="30"/>
      <c r="B566" s="30"/>
      <c r="C566" s="30"/>
      <c r="D566" s="30"/>
      <c r="E566" s="30"/>
      <c r="F566" s="292"/>
      <c r="G566" s="30"/>
      <c r="H566" s="30"/>
      <c r="I566" s="30"/>
      <c r="J566" s="30"/>
      <c r="K566" s="30"/>
      <c r="L566" s="30"/>
      <c r="M566" s="30"/>
      <c r="N566" s="30"/>
      <c r="O566" s="30"/>
      <c r="P566" s="30"/>
      <c r="Q566" s="30"/>
      <c r="R566" s="30"/>
      <c r="S566" s="195"/>
      <c r="T566" s="195"/>
      <c r="U566" s="195"/>
      <c r="V566" s="195"/>
      <c r="W566" s="30"/>
      <c r="X566" s="30"/>
      <c r="Y566" s="30"/>
      <c r="Z566" s="30"/>
      <c r="AA566" s="30"/>
      <c r="AB566" s="30"/>
    </row>
    <row r="567">
      <c r="A567" s="30"/>
      <c r="B567" s="30"/>
      <c r="C567" s="30"/>
      <c r="D567" s="30"/>
      <c r="E567" s="30"/>
      <c r="F567" s="292"/>
      <c r="G567" s="30"/>
      <c r="H567" s="30"/>
      <c r="I567" s="30"/>
      <c r="J567" s="30"/>
      <c r="K567" s="30"/>
      <c r="L567" s="30"/>
      <c r="M567" s="30"/>
      <c r="N567" s="30"/>
      <c r="O567" s="30"/>
      <c r="P567" s="30"/>
      <c r="Q567" s="30"/>
      <c r="R567" s="30"/>
      <c r="S567" s="195"/>
      <c r="T567" s="195"/>
      <c r="U567" s="195"/>
      <c r="V567" s="195"/>
      <c r="W567" s="30"/>
      <c r="X567" s="30"/>
      <c r="Y567" s="30"/>
      <c r="Z567" s="30"/>
      <c r="AA567" s="30"/>
      <c r="AB567" s="30"/>
    </row>
    <row r="568">
      <c r="A568" s="30"/>
      <c r="B568" s="30"/>
      <c r="C568" s="30"/>
      <c r="D568" s="30"/>
      <c r="E568" s="30"/>
      <c r="F568" s="292"/>
      <c r="G568" s="30"/>
      <c r="H568" s="30"/>
      <c r="I568" s="30"/>
      <c r="J568" s="30"/>
      <c r="K568" s="30"/>
      <c r="L568" s="30"/>
      <c r="M568" s="30"/>
      <c r="N568" s="30"/>
      <c r="O568" s="30"/>
      <c r="P568" s="30"/>
      <c r="Q568" s="30"/>
      <c r="R568" s="30"/>
      <c r="S568" s="195"/>
      <c r="T568" s="195"/>
      <c r="U568" s="195"/>
      <c r="V568" s="195"/>
      <c r="W568" s="30"/>
      <c r="X568" s="30"/>
      <c r="Y568" s="30"/>
      <c r="Z568" s="30"/>
      <c r="AA568" s="30"/>
      <c r="AB568" s="30"/>
    </row>
    <row r="569">
      <c r="A569" s="30"/>
      <c r="B569" s="30"/>
      <c r="C569" s="30"/>
      <c r="D569" s="30"/>
      <c r="E569" s="30"/>
      <c r="F569" s="292"/>
      <c r="G569" s="30"/>
      <c r="H569" s="30"/>
      <c r="I569" s="30"/>
      <c r="J569" s="30"/>
      <c r="K569" s="30"/>
      <c r="L569" s="30"/>
      <c r="M569" s="30"/>
      <c r="N569" s="30"/>
      <c r="O569" s="30"/>
      <c r="P569" s="30"/>
      <c r="Q569" s="30"/>
      <c r="R569" s="30"/>
      <c r="S569" s="195"/>
      <c r="T569" s="195"/>
      <c r="U569" s="195"/>
      <c r="V569" s="195"/>
      <c r="W569" s="30"/>
      <c r="X569" s="30"/>
      <c r="Y569" s="30"/>
      <c r="Z569" s="30"/>
      <c r="AA569" s="30"/>
      <c r="AB569" s="30"/>
    </row>
    <row r="570">
      <c r="A570" s="30"/>
      <c r="B570" s="30"/>
      <c r="C570" s="30"/>
      <c r="D570" s="30"/>
      <c r="E570" s="30"/>
      <c r="F570" s="292"/>
      <c r="G570" s="30"/>
      <c r="H570" s="30"/>
      <c r="I570" s="30"/>
      <c r="J570" s="30"/>
      <c r="K570" s="30"/>
      <c r="L570" s="30"/>
      <c r="M570" s="30"/>
      <c r="N570" s="30"/>
      <c r="O570" s="30"/>
      <c r="P570" s="30"/>
      <c r="Q570" s="30"/>
      <c r="R570" s="30"/>
      <c r="S570" s="195"/>
      <c r="T570" s="195"/>
      <c r="U570" s="195"/>
      <c r="V570" s="195"/>
      <c r="W570" s="30"/>
      <c r="X570" s="30"/>
      <c r="Y570" s="30"/>
      <c r="Z570" s="30"/>
      <c r="AA570" s="30"/>
      <c r="AB570" s="30"/>
    </row>
    <row r="571">
      <c r="A571" s="30"/>
      <c r="B571" s="30"/>
      <c r="C571" s="30"/>
      <c r="D571" s="30"/>
      <c r="E571" s="30"/>
      <c r="F571" s="292"/>
      <c r="G571" s="30"/>
      <c r="H571" s="30"/>
      <c r="I571" s="30"/>
      <c r="J571" s="30"/>
      <c r="K571" s="30"/>
      <c r="L571" s="30"/>
      <c r="M571" s="30"/>
      <c r="N571" s="30"/>
      <c r="O571" s="30"/>
      <c r="P571" s="30"/>
      <c r="Q571" s="30"/>
      <c r="R571" s="30"/>
      <c r="S571" s="195"/>
      <c r="T571" s="195"/>
      <c r="U571" s="195"/>
      <c r="V571" s="195"/>
      <c r="W571" s="30"/>
      <c r="X571" s="30"/>
      <c r="Y571" s="30"/>
      <c r="Z571" s="30"/>
      <c r="AA571" s="30"/>
      <c r="AB571" s="30"/>
    </row>
    <row r="572">
      <c r="A572" s="30"/>
      <c r="B572" s="30"/>
      <c r="C572" s="30"/>
      <c r="D572" s="30"/>
      <c r="E572" s="30"/>
      <c r="F572" s="292"/>
      <c r="G572" s="30"/>
      <c r="H572" s="30"/>
      <c r="I572" s="30"/>
      <c r="J572" s="30"/>
      <c r="K572" s="30"/>
      <c r="L572" s="30"/>
      <c r="M572" s="30"/>
      <c r="N572" s="30"/>
      <c r="O572" s="30"/>
      <c r="P572" s="30"/>
      <c r="Q572" s="30"/>
      <c r="R572" s="30"/>
      <c r="S572" s="195"/>
      <c r="T572" s="195"/>
      <c r="U572" s="195"/>
      <c r="V572" s="195"/>
      <c r="W572" s="30"/>
      <c r="X572" s="30"/>
      <c r="Y572" s="30"/>
      <c r="Z572" s="30"/>
      <c r="AA572" s="30"/>
      <c r="AB572" s="30"/>
    </row>
    <row r="573">
      <c r="A573" s="30"/>
      <c r="B573" s="30"/>
      <c r="C573" s="30"/>
      <c r="D573" s="30"/>
      <c r="E573" s="30"/>
      <c r="F573" s="292"/>
      <c r="G573" s="30"/>
      <c r="H573" s="30"/>
      <c r="I573" s="30"/>
      <c r="J573" s="30"/>
      <c r="K573" s="30"/>
      <c r="L573" s="30"/>
      <c r="M573" s="30"/>
      <c r="N573" s="30"/>
      <c r="O573" s="30"/>
      <c r="P573" s="30"/>
      <c r="Q573" s="30"/>
      <c r="R573" s="30"/>
      <c r="S573" s="195"/>
      <c r="T573" s="195"/>
      <c r="U573" s="195"/>
      <c r="V573" s="195"/>
      <c r="W573" s="30"/>
      <c r="X573" s="30"/>
      <c r="Y573" s="30"/>
      <c r="Z573" s="30"/>
      <c r="AA573" s="30"/>
      <c r="AB573" s="30"/>
    </row>
    <row r="574">
      <c r="A574" s="30"/>
      <c r="B574" s="30"/>
      <c r="C574" s="30"/>
      <c r="D574" s="30"/>
      <c r="E574" s="30"/>
      <c r="F574" s="292"/>
      <c r="G574" s="30"/>
      <c r="H574" s="30"/>
      <c r="I574" s="30"/>
      <c r="J574" s="30"/>
      <c r="K574" s="30"/>
      <c r="L574" s="30"/>
      <c r="M574" s="30"/>
      <c r="N574" s="30"/>
      <c r="O574" s="30"/>
      <c r="P574" s="30"/>
      <c r="Q574" s="30"/>
      <c r="R574" s="30"/>
      <c r="S574" s="195"/>
      <c r="T574" s="195"/>
      <c r="U574" s="195"/>
      <c r="V574" s="195"/>
      <c r="W574" s="30"/>
      <c r="X574" s="30"/>
      <c r="Y574" s="30"/>
      <c r="Z574" s="30"/>
      <c r="AA574" s="30"/>
      <c r="AB574" s="30"/>
    </row>
    <row r="575">
      <c r="A575" s="30"/>
      <c r="B575" s="30"/>
      <c r="C575" s="30"/>
      <c r="D575" s="30"/>
      <c r="E575" s="30"/>
      <c r="F575" s="292"/>
      <c r="G575" s="30"/>
      <c r="H575" s="30"/>
      <c r="I575" s="30"/>
      <c r="J575" s="30"/>
      <c r="K575" s="30"/>
      <c r="L575" s="30"/>
      <c r="M575" s="30"/>
      <c r="N575" s="30"/>
      <c r="O575" s="30"/>
      <c r="P575" s="30"/>
      <c r="Q575" s="30"/>
      <c r="R575" s="30"/>
      <c r="S575" s="195"/>
      <c r="T575" s="195"/>
      <c r="U575" s="195"/>
      <c r="V575" s="195"/>
      <c r="W575" s="30"/>
      <c r="X575" s="30"/>
      <c r="Y575" s="30"/>
      <c r="Z575" s="30"/>
      <c r="AA575" s="30"/>
      <c r="AB575" s="30"/>
    </row>
    <row r="576">
      <c r="A576" s="30"/>
      <c r="B576" s="30"/>
      <c r="C576" s="30"/>
      <c r="D576" s="30"/>
      <c r="E576" s="30"/>
      <c r="F576" s="292"/>
      <c r="G576" s="30"/>
      <c r="H576" s="30"/>
      <c r="I576" s="30"/>
      <c r="J576" s="30"/>
      <c r="K576" s="30"/>
      <c r="L576" s="30"/>
      <c r="M576" s="30"/>
      <c r="N576" s="30"/>
      <c r="O576" s="30"/>
      <c r="P576" s="30"/>
      <c r="Q576" s="30"/>
      <c r="R576" s="30"/>
      <c r="S576" s="195"/>
      <c r="T576" s="195"/>
      <c r="U576" s="195"/>
      <c r="V576" s="195"/>
      <c r="W576" s="30"/>
      <c r="X576" s="30"/>
      <c r="Y576" s="30"/>
      <c r="Z576" s="30"/>
      <c r="AA576" s="30"/>
      <c r="AB576" s="30"/>
    </row>
    <row r="577">
      <c r="A577" s="30"/>
      <c r="B577" s="30"/>
      <c r="C577" s="30"/>
      <c r="D577" s="30"/>
      <c r="E577" s="30"/>
      <c r="F577" s="292"/>
      <c r="G577" s="30"/>
      <c r="H577" s="30"/>
      <c r="I577" s="30"/>
      <c r="J577" s="30"/>
      <c r="K577" s="30"/>
      <c r="L577" s="30"/>
      <c r="M577" s="30"/>
      <c r="N577" s="30"/>
      <c r="O577" s="30"/>
      <c r="P577" s="30"/>
      <c r="Q577" s="30"/>
      <c r="R577" s="30"/>
      <c r="S577" s="195"/>
      <c r="T577" s="195"/>
      <c r="U577" s="195"/>
      <c r="V577" s="195"/>
      <c r="W577" s="30"/>
      <c r="X577" s="30"/>
      <c r="Y577" s="30"/>
      <c r="Z577" s="30"/>
      <c r="AA577" s="30"/>
      <c r="AB577" s="30"/>
    </row>
    <row r="578">
      <c r="A578" s="30"/>
      <c r="B578" s="30"/>
      <c r="C578" s="30"/>
      <c r="D578" s="30"/>
      <c r="E578" s="30"/>
      <c r="F578" s="292"/>
      <c r="G578" s="30"/>
      <c r="H578" s="30"/>
      <c r="I578" s="30"/>
      <c r="J578" s="30"/>
      <c r="K578" s="30"/>
      <c r="L578" s="30"/>
      <c r="M578" s="30"/>
      <c r="N578" s="30"/>
      <c r="O578" s="30"/>
      <c r="P578" s="30"/>
      <c r="Q578" s="30"/>
      <c r="R578" s="30"/>
      <c r="S578" s="195"/>
      <c r="T578" s="195"/>
      <c r="U578" s="195"/>
      <c r="V578" s="195"/>
      <c r="W578" s="30"/>
      <c r="X578" s="30"/>
      <c r="Y578" s="30"/>
      <c r="Z578" s="30"/>
      <c r="AA578" s="30"/>
      <c r="AB578" s="30"/>
    </row>
    <row r="579">
      <c r="A579" s="30"/>
      <c r="B579" s="30"/>
      <c r="C579" s="30"/>
      <c r="D579" s="30"/>
      <c r="E579" s="30"/>
      <c r="F579" s="292"/>
      <c r="G579" s="30"/>
      <c r="H579" s="30"/>
      <c r="I579" s="30"/>
      <c r="J579" s="30"/>
      <c r="K579" s="30"/>
      <c r="L579" s="30"/>
      <c r="M579" s="30"/>
      <c r="N579" s="30"/>
      <c r="O579" s="30"/>
      <c r="P579" s="30"/>
      <c r="Q579" s="30"/>
      <c r="R579" s="30"/>
      <c r="S579" s="195"/>
      <c r="T579" s="195"/>
      <c r="U579" s="195"/>
      <c r="V579" s="195"/>
      <c r="W579" s="30"/>
      <c r="X579" s="30"/>
      <c r="Y579" s="30"/>
      <c r="Z579" s="30"/>
      <c r="AA579" s="30"/>
      <c r="AB579" s="30"/>
    </row>
    <row r="580">
      <c r="A580" s="30"/>
      <c r="B580" s="30"/>
      <c r="C580" s="30"/>
      <c r="D580" s="30"/>
      <c r="E580" s="30"/>
      <c r="F580" s="292"/>
      <c r="G580" s="30"/>
      <c r="H580" s="30"/>
      <c r="I580" s="30"/>
      <c r="J580" s="30"/>
      <c r="K580" s="30"/>
      <c r="L580" s="30"/>
      <c r="M580" s="30"/>
      <c r="N580" s="30"/>
      <c r="O580" s="30"/>
      <c r="P580" s="30"/>
      <c r="Q580" s="30"/>
      <c r="R580" s="30"/>
      <c r="S580" s="195"/>
      <c r="T580" s="195"/>
      <c r="U580" s="195"/>
      <c r="V580" s="195"/>
      <c r="W580" s="30"/>
      <c r="X580" s="30"/>
      <c r="Y580" s="30"/>
      <c r="Z580" s="30"/>
      <c r="AA580" s="30"/>
      <c r="AB580" s="30"/>
    </row>
    <row r="581">
      <c r="A581" s="30"/>
      <c r="B581" s="30"/>
      <c r="C581" s="30"/>
      <c r="D581" s="30"/>
      <c r="E581" s="30"/>
      <c r="F581" s="292"/>
      <c r="G581" s="30"/>
      <c r="H581" s="30"/>
      <c r="I581" s="30"/>
      <c r="J581" s="30"/>
      <c r="K581" s="30"/>
      <c r="L581" s="30"/>
      <c r="M581" s="30"/>
      <c r="N581" s="30"/>
      <c r="O581" s="30"/>
      <c r="P581" s="30"/>
      <c r="Q581" s="30"/>
      <c r="R581" s="30"/>
      <c r="S581" s="195"/>
      <c r="T581" s="195"/>
      <c r="U581" s="195"/>
      <c r="V581" s="195"/>
      <c r="W581" s="30"/>
      <c r="X581" s="30"/>
      <c r="Y581" s="30"/>
      <c r="Z581" s="30"/>
      <c r="AA581" s="30"/>
      <c r="AB581" s="30"/>
    </row>
    <row r="582">
      <c r="A582" s="30"/>
      <c r="B582" s="30"/>
      <c r="C582" s="30"/>
      <c r="D582" s="30"/>
      <c r="E582" s="30"/>
      <c r="F582" s="292"/>
      <c r="G582" s="30"/>
      <c r="H582" s="30"/>
      <c r="I582" s="30"/>
      <c r="J582" s="30"/>
      <c r="K582" s="30"/>
      <c r="L582" s="30"/>
      <c r="M582" s="30"/>
      <c r="N582" s="30"/>
      <c r="O582" s="30"/>
      <c r="P582" s="30"/>
      <c r="Q582" s="30"/>
      <c r="R582" s="30"/>
      <c r="S582" s="195"/>
      <c r="T582" s="195"/>
      <c r="U582" s="195"/>
      <c r="V582" s="195"/>
      <c r="W582" s="30"/>
      <c r="X582" s="30"/>
      <c r="Y582" s="30"/>
      <c r="Z582" s="30"/>
      <c r="AA582" s="30"/>
      <c r="AB582" s="30"/>
    </row>
    <row r="583">
      <c r="A583" s="30"/>
      <c r="B583" s="30"/>
      <c r="C583" s="30"/>
      <c r="D583" s="30"/>
      <c r="E583" s="30"/>
      <c r="F583" s="292"/>
      <c r="G583" s="30"/>
      <c r="H583" s="30"/>
      <c r="I583" s="30"/>
      <c r="J583" s="30"/>
      <c r="K583" s="30"/>
      <c r="L583" s="30"/>
      <c r="M583" s="30"/>
      <c r="N583" s="30"/>
      <c r="O583" s="30"/>
      <c r="P583" s="30"/>
      <c r="Q583" s="30"/>
      <c r="R583" s="30"/>
      <c r="S583" s="195"/>
      <c r="T583" s="195"/>
      <c r="U583" s="195"/>
      <c r="V583" s="195"/>
      <c r="W583" s="30"/>
      <c r="X583" s="30"/>
      <c r="Y583" s="30"/>
      <c r="Z583" s="30"/>
      <c r="AA583" s="30"/>
      <c r="AB583" s="30"/>
    </row>
    <row r="584">
      <c r="A584" s="30"/>
      <c r="B584" s="30"/>
      <c r="C584" s="30"/>
      <c r="D584" s="30"/>
      <c r="E584" s="30"/>
      <c r="F584" s="292"/>
      <c r="G584" s="30"/>
      <c r="H584" s="30"/>
      <c r="I584" s="30"/>
      <c r="J584" s="30"/>
      <c r="K584" s="30"/>
      <c r="L584" s="30"/>
      <c r="M584" s="30"/>
      <c r="N584" s="30"/>
      <c r="O584" s="30"/>
      <c r="P584" s="30"/>
      <c r="Q584" s="30"/>
      <c r="R584" s="30"/>
      <c r="S584" s="195"/>
      <c r="T584" s="195"/>
      <c r="U584" s="195"/>
      <c r="V584" s="195"/>
      <c r="W584" s="30"/>
      <c r="X584" s="30"/>
      <c r="Y584" s="30"/>
      <c r="Z584" s="30"/>
      <c r="AA584" s="30"/>
      <c r="AB584" s="30"/>
    </row>
    <row r="585">
      <c r="A585" s="30"/>
      <c r="B585" s="30"/>
      <c r="C585" s="30"/>
      <c r="D585" s="30"/>
      <c r="E585" s="30"/>
      <c r="F585" s="292"/>
      <c r="G585" s="30"/>
      <c r="H585" s="30"/>
      <c r="I585" s="30"/>
      <c r="J585" s="30"/>
      <c r="K585" s="30"/>
      <c r="L585" s="30"/>
      <c r="M585" s="30"/>
      <c r="N585" s="30"/>
      <c r="O585" s="30"/>
      <c r="P585" s="30"/>
      <c r="Q585" s="30"/>
      <c r="R585" s="30"/>
      <c r="S585" s="195"/>
      <c r="T585" s="195"/>
      <c r="U585" s="195"/>
      <c r="V585" s="195"/>
      <c r="W585" s="30"/>
      <c r="X585" s="30"/>
      <c r="Y585" s="30"/>
      <c r="Z585" s="30"/>
      <c r="AA585" s="30"/>
      <c r="AB585" s="30"/>
    </row>
    <row r="586">
      <c r="A586" s="30"/>
      <c r="B586" s="30"/>
      <c r="C586" s="30"/>
      <c r="D586" s="30"/>
      <c r="E586" s="30"/>
      <c r="F586" s="292"/>
      <c r="G586" s="30"/>
      <c r="H586" s="30"/>
      <c r="I586" s="30"/>
      <c r="J586" s="30"/>
      <c r="K586" s="30"/>
      <c r="L586" s="30"/>
      <c r="M586" s="30"/>
      <c r="N586" s="30"/>
      <c r="O586" s="30"/>
      <c r="P586" s="30"/>
      <c r="Q586" s="30"/>
      <c r="R586" s="30"/>
      <c r="S586" s="195"/>
      <c r="T586" s="195"/>
      <c r="U586" s="195"/>
      <c r="V586" s="195"/>
      <c r="W586" s="30"/>
      <c r="X586" s="30"/>
      <c r="Y586" s="30"/>
      <c r="Z586" s="30"/>
      <c r="AA586" s="30"/>
      <c r="AB586" s="30"/>
    </row>
    <row r="587">
      <c r="A587" s="30"/>
      <c r="B587" s="30"/>
      <c r="C587" s="30"/>
      <c r="D587" s="30"/>
      <c r="E587" s="30"/>
      <c r="F587" s="292"/>
      <c r="G587" s="30"/>
      <c r="H587" s="30"/>
      <c r="I587" s="30"/>
      <c r="J587" s="30"/>
      <c r="K587" s="30"/>
      <c r="L587" s="30"/>
      <c r="M587" s="30"/>
      <c r="N587" s="30"/>
      <c r="O587" s="30"/>
      <c r="P587" s="30"/>
      <c r="Q587" s="30"/>
      <c r="R587" s="30"/>
      <c r="S587" s="195"/>
      <c r="T587" s="195"/>
      <c r="U587" s="195"/>
      <c r="V587" s="195"/>
      <c r="W587" s="30"/>
      <c r="X587" s="30"/>
      <c r="Y587" s="30"/>
      <c r="Z587" s="30"/>
      <c r="AA587" s="30"/>
      <c r="AB587" s="30"/>
    </row>
    <row r="588">
      <c r="A588" s="30"/>
      <c r="B588" s="30"/>
      <c r="C588" s="30"/>
      <c r="D588" s="30"/>
      <c r="E588" s="30"/>
      <c r="F588" s="292"/>
      <c r="G588" s="30"/>
      <c r="H588" s="30"/>
      <c r="I588" s="30"/>
      <c r="J588" s="30"/>
      <c r="K588" s="30"/>
      <c r="L588" s="30"/>
      <c r="M588" s="30"/>
      <c r="N588" s="30"/>
      <c r="O588" s="30"/>
      <c r="P588" s="30"/>
      <c r="Q588" s="30"/>
      <c r="R588" s="30"/>
      <c r="S588" s="195"/>
      <c r="T588" s="195"/>
      <c r="U588" s="195"/>
      <c r="V588" s="195"/>
      <c r="W588" s="30"/>
      <c r="X588" s="30"/>
      <c r="Y588" s="30"/>
      <c r="Z588" s="30"/>
      <c r="AA588" s="30"/>
      <c r="AB588" s="30"/>
    </row>
    <row r="589">
      <c r="A589" s="30"/>
      <c r="B589" s="30"/>
      <c r="C589" s="30"/>
      <c r="D589" s="30"/>
      <c r="E589" s="30"/>
      <c r="F589" s="292"/>
      <c r="G589" s="30"/>
      <c r="H589" s="30"/>
      <c r="I589" s="30"/>
      <c r="J589" s="30"/>
      <c r="K589" s="30"/>
      <c r="L589" s="30"/>
      <c r="M589" s="30"/>
      <c r="N589" s="30"/>
      <c r="O589" s="30"/>
      <c r="P589" s="30"/>
      <c r="Q589" s="30"/>
      <c r="R589" s="30"/>
      <c r="S589" s="195"/>
      <c r="T589" s="195"/>
      <c r="U589" s="195"/>
      <c r="V589" s="195"/>
      <c r="W589" s="30"/>
      <c r="X589" s="30"/>
      <c r="Y589" s="30"/>
      <c r="Z589" s="30"/>
      <c r="AA589" s="30"/>
      <c r="AB589" s="30"/>
    </row>
    <row r="590">
      <c r="A590" s="30"/>
      <c r="B590" s="30"/>
      <c r="C590" s="30"/>
      <c r="D590" s="30"/>
      <c r="E590" s="30"/>
      <c r="F590" s="292"/>
      <c r="G590" s="30"/>
      <c r="H590" s="30"/>
      <c r="I590" s="30"/>
      <c r="J590" s="30"/>
      <c r="K590" s="30"/>
      <c r="L590" s="30"/>
      <c r="M590" s="30"/>
      <c r="N590" s="30"/>
      <c r="O590" s="30"/>
      <c r="P590" s="30"/>
      <c r="Q590" s="30"/>
      <c r="R590" s="30"/>
      <c r="S590" s="195"/>
      <c r="T590" s="195"/>
      <c r="U590" s="195"/>
      <c r="V590" s="195"/>
      <c r="W590" s="30"/>
      <c r="X590" s="30"/>
      <c r="Y590" s="30"/>
      <c r="Z590" s="30"/>
      <c r="AA590" s="30"/>
      <c r="AB590" s="30"/>
    </row>
    <row r="591">
      <c r="A591" s="30"/>
      <c r="B591" s="30"/>
      <c r="C591" s="30"/>
      <c r="D591" s="30"/>
      <c r="E591" s="30"/>
      <c r="F591" s="292"/>
      <c r="G591" s="30"/>
      <c r="H591" s="30"/>
      <c r="I591" s="30"/>
      <c r="J591" s="30"/>
      <c r="K591" s="30"/>
      <c r="L591" s="30"/>
      <c r="M591" s="30"/>
      <c r="N591" s="30"/>
      <c r="O591" s="30"/>
      <c r="P591" s="30"/>
      <c r="Q591" s="30"/>
      <c r="R591" s="30"/>
      <c r="S591" s="195"/>
      <c r="T591" s="195"/>
      <c r="U591" s="195"/>
      <c r="V591" s="195"/>
      <c r="W591" s="30"/>
      <c r="X591" s="30"/>
      <c r="Y591" s="30"/>
      <c r="Z591" s="30"/>
      <c r="AA591" s="30"/>
      <c r="AB591" s="30"/>
    </row>
    <row r="592">
      <c r="A592" s="30"/>
      <c r="B592" s="30"/>
      <c r="C592" s="30"/>
      <c r="D592" s="30"/>
      <c r="E592" s="30"/>
      <c r="F592" s="292"/>
      <c r="G592" s="30"/>
      <c r="H592" s="30"/>
      <c r="I592" s="30"/>
      <c r="J592" s="30"/>
      <c r="K592" s="30"/>
      <c r="L592" s="30"/>
      <c r="M592" s="30"/>
      <c r="N592" s="30"/>
      <c r="O592" s="30"/>
      <c r="P592" s="30"/>
      <c r="Q592" s="30"/>
      <c r="R592" s="30"/>
      <c r="S592" s="195"/>
      <c r="T592" s="195"/>
      <c r="U592" s="195"/>
      <c r="V592" s="195"/>
      <c r="W592" s="30"/>
      <c r="X592" s="30"/>
      <c r="Y592" s="30"/>
      <c r="Z592" s="30"/>
      <c r="AA592" s="30"/>
      <c r="AB592" s="30"/>
    </row>
    <row r="593">
      <c r="A593" s="30"/>
      <c r="B593" s="30"/>
      <c r="C593" s="30"/>
      <c r="D593" s="30"/>
      <c r="E593" s="30"/>
      <c r="F593" s="292"/>
      <c r="G593" s="30"/>
      <c r="H593" s="30"/>
      <c r="I593" s="30"/>
      <c r="J593" s="30"/>
      <c r="K593" s="30"/>
      <c r="L593" s="30"/>
      <c r="M593" s="30"/>
      <c r="N593" s="30"/>
      <c r="O593" s="30"/>
      <c r="P593" s="30"/>
      <c r="Q593" s="30"/>
      <c r="R593" s="30"/>
      <c r="S593" s="195"/>
      <c r="T593" s="195"/>
      <c r="U593" s="195"/>
      <c r="V593" s="195"/>
      <c r="W593" s="30"/>
      <c r="X593" s="30"/>
      <c r="Y593" s="30"/>
      <c r="Z593" s="30"/>
      <c r="AA593" s="30"/>
      <c r="AB593" s="30"/>
    </row>
    <row r="594">
      <c r="A594" s="30"/>
      <c r="B594" s="30"/>
      <c r="C594" s="30"/>
      <c r="D594" s="30"/>
      <c r="E594" s="30"/>
      <c r="F594" s="292"/>
      <c r="G594" s="30"/>
      <c r="H594" s="30"/>
      <c r="I594" s="30"/>
      <c r="J594" s="30"/>
      <c r="K594" s="30"/>
      <c r="L594" s="30"/>
      <c r="M594" s="30"/>
      <c r="N594" s="30"/>
      <c r="O594" s="30"/>
      <c r="P594" s="30"/>
      <c r="Q594" s="30"/>
      <c r="R594" s="30"/>
      <c r="S594" s="195"/>
      <c r="T594" s="195"/>
      <c r="U594" s="195"/>
      <c r="V594" s="195"/>
      <c r="W594" s="30"/>
      <c r="X594" s="30"/>
      <c r="Y594" s="30"/>
      <c r="Z594" s="30"/>
      <c r="AA594" s="30"/>
      <c r="AB594" s="30"/>
    </row>
    <row r="595">
      <c r="A595" s="30"/>
      <c r="B595" s="30"/>
      <c r="C595" s="30"/>
      <c r="D595" s="30"/>
      <c r="E595" s="30"/>
      <c r="F595" s="292"/>
      <c r="G595" s="30"/>
      <c r="H595" s="30"/>
      <c r="I595" s="30"/>
      <c r="J595" s="30"/>
      <c r="K595" s="30"/>
      <c r="L595" s="30"/>
      <c r="M595" s="30"/>
      <c r="N595" s="30"/>
      <c r="O595" s="30"/>
      <c r="P595" s="30"/>
      <c r="Q595" s="30"/>
      <c r="R595" s="30"/>
      <c r="S595" s="195"/>
      <c r="T595" s="195"/>
      <c r="U595" s="195"/>
      <c r="V595" s="195"/>
      <c r="W595" s="30"/>
      <c r="X595" s="30"/>
      <c r="Y595" s="30"/>
      <c r="Z595" s="30"/>
      <c r="AA595" s="30"/>
      <c r="AB595" s="30"/>
    </row>
    <row r="596">
      <c r="A596" s="30"/>
      <c r="B596" s="30"/>
      <c r="C596" s="30"/>
      <c r="D596" s="30"/>
      <c r="E596" s="30"/>
      <c r="F596" s="292"/>
      <c r="G596" s="30"/>
      <c r="H596" s="30"/>
      <c r="I596" s="30"/>
      <c r="J596" s="30"/>
      <c r="K596" s="30"/>
      <c r="L596" s="30"/>
      <c r="M596" s="30"/>
      <c r="N596" s="30"/>
      <c r="O596" s="30"/>
      <c r="P596" s="30"/>
      <c r="Q596" s="30"/>
      <c r="R596" s="30"/>
      <c r="S596" s="195"/>
      <c r="T596" s="195"/>
      <c r="U596" s="195"/>
      <c r="V596" s="195"/>
      <c r="W596" s="30"/>
      <c r="X596" s="30"/>
      <c r="Y596" s="30"/>
      <c r="Z596" s="30"/>
      <c r="AA596" s="30"/>
      <c r="AB596" s="30"/>
    </row>
    <row r="597">
      <c r="A597" s="30"/>
      <c r="B597" s="30"/>
      <c r="C597" s="30"/>
      <c r="D597" s="30"/>
      <c r="E597" s="30"/>
      <c r="F597" s="292"/>
      <c r="G597" s="30"/>
      <c r="H597" s="30"/>
      <c r="I597" s="30"/>
      <c r="J597" s="30"/>
      <c r="K597" s="30"/>
      <c r="L597" s="30"/>
      <c r="M597" s="30"/>
      <c r="N597" s="30"/>
      <c r="O597" s="30"/>
      <c r="P597" s="30"/>
      <c r="Q597" s="30"/>
      <c r="R597" s="30"/>
      <c r="S597" s="195"/>
      <c r="T597" s="195"/>
      <c r="U597" s="195"/>
      <c r="V597" s="195"/>
      <c r="W597" s="30"/>
      <c r="X597" s="30"/>
      <c r="Y597" s="30"/>
      <c r="Z597" s="30"/>
      <c r="AA597" s="30"/>
      <c r="AB597" s="30"/>
    </row>
    <row r="598">
      <c r="A598" s="30"/>
      <c r="B598" s="30"/>
      <c r="C598" s="30"/>
      <c r="D598" s="30"/>
      <c r="E598" s="30"/>
      <c r="F598" s="292"/>
      <c r="G598" s="30"/>
      <c r="H598" s="30"/>
      <c r="I598" s="30"/>
      <c r="J598" s="30"/>
      <c r="K598" s="30"/>
      <c r="L598" s="30"/>
      <c r="M598" s="30"/>
      <c r="N598" s="30"/>
      <c r="O598" s="30"/>
      <c r="P598" s="30"/>
      <c r="Q598" s="30"/>
      <c r="R598" s="30"/>
      <c r="S598" s="195"/>
      <c r="T598" s="195"/>
      <c r="U598" s="195"/>
      <c r="V598" s="195"/>
      <c r="W598" s="30"/>
      <c r="X598" s="30"/>
      <c r="Y598" s="30"/>
      <c r="Z598" s="30"/>
      <c r="AA598" s="30"/>
      <c r="AB598" s="30"/>
    </row>
    <row r="599">
      <c r="A599" s="30"/>
      <c r="B599" s="30"/>
      <c r="C599" s="30"/>
      <c r="D599" s="30"/>
      <c r="E599" s="30"/>
      <c r="F599" s="292"/>
      <c r="G599" s="30"/>
      <c r="H599" s="30"/>
      <c r="I599" s="30"/>
      <c r="J599" s="30"/>
      <c r="K599" s="30"/>
      <c r="L599" s="30"/>
      <c r="M599" s="30"/>
      <c r="N599" s="30"/>
      <c r="O599" s="30"/>
      <c r="P599" s="30"/>
      <c r="Q599" s="30"/>
      <c r="R599" s="30"/>
      <c r="S599" s="195"/>
      <c r="T599" s="195"/>
      <c r="U599" s="195"/>
      <c r="V599" s="195"/>
      <c r="W599" s="30"/>
      <c r="X599" s="30"/>
      <c r="Y599" s="30"/>
      <c r="Z599" s="30"/>
      <c r="AA599" s="30"/>
      <c r="AB599" s="30"/>
    </row>
    <row r="600">
      <c r="A600" s="30"/>
      <c r="B600" s="30"/>
      <c r="C600" s="30"/>
      <c r="D600" s="30"/>
      <c r="E600" s="30"/>
      <c r="F600" s="292"/>
      <c r="G600" s="30"/>
      <c r="H600" s="30"/>
      <c r="I600" s="30"/>
      <c r="J600" s="30"/>
      <c r="K600" s="30"/>
      <c r="L600" s="30"/>
      <c r="M600" s="30"/>
      <c r="N600" s="30"/>
      <c r="O600" s="30"/>
      <c r="P600" s="30"/>
      <c r="Q600" s="30"/>
      <c r="R600" s="30"/>
      <c r="S600" s="195"/>
      <c r="T600" s="195"/>
      <c r="U600" s="195"/>
      <c r="V600" s="195"/>
      <c r="W600" s="30"/>
      <c r="X600" s="30"/>
      <c r="Y600" s="30"/>
      <c r="Z600" s="30"/>
      <c r="AA600" s="30"/>
      <c r="AB600" s="30"/>
    </row>
    <row r="601">
      <c r="A601" s="30"/>
      <c r="B601" s="30"/>
      <c r="C601" s="30"/>
      <c r="D601" s="30"/>
      <c r="E601" s="30"/>
      <c r="F601" s="292"/>
      <c r="G601" s="30"/>
      <c r="H601" s="30"/>
      <c r="I601" s="30"/>
      <c r="J601" s="30"/>
      <c r="K601" s="30"/>
      <c r="L601" s="30"/>
      <c r="M601" s="30"/>
      <c r="N601" s="30"/>
      <c r="O601" s="30"/>
      <c r="P601" s="30"/>
      <c r="Q601" s="30"/>
      <c r="R601" s="30"/>
      <c r="S601" s="195"/>
      <c r="T601" s="195"/>
      <c r="U601" s="195"/>
      <c r="V601" s="195"/>
      <c r="W601" s="30"/>
      <c r="X601" s="30"/>
      <c r="Y601" s="30"/>
      <c r="Z601" s="30"/>
      <c r="AA601" s="30"/>
      <c r="AB601" s="30"/>
    </row>
    <row r="602">
      <c r="A602" s="30"/>
      <c r="B602" s="30"/>
      <c r="C602" s="30"/>
      <c r="D602" s="30"/>
      <c r="E602" s="30"/>
      <c r="F602" s="292"/>
      <c r="G602" s="30"/>
      <c r="H602" s="30"/>
      <c r="I602" s="30"/>
      <c r="J602" s="30"/>
      <c r="K602" s="30"/>
      <c r="L602" s="30"/>
      <c r="M602" s="30"/>
      <c r="N602" s="30"/>
      <c r="O602" s="30"/>
      <c r="P602" s="30"/>
      <c r="Q602" s="30"/>
      <c r="R602" s="30"/>
      <c r="S602" s="195"/>
      <c r="T602" s="195"/>
      <c r="U602" s="195"/>
      <c r="V602" s="195"/>
      <c r="W602" s="30"/>
      <c r="X602" s="30"/>
      <c r="Y602" s="30"/>
      <c r="Z602" s="30"/>
      <c r="AA602" s="30"/>
      <c r="AB602" s="30"/>
    </row>
    <row r="603">
      <c r="A603" s="30"/>
      <c r="B603" s="30"/>
      <c r="C603" s="30"/>
      <c r="D603" s="30"/>
      <c r="E603" s="30"/>
      <c r="F603" s="292"/>
      <c r="G603" s="30"/>
      <c r="H603" s="30"/>
      <c r="I603" s="30"/>
      <c r="J603" s="30"/>
      <c r="K603" s="30"/>
      <c r="L603" s="30"/>
      <c r="M603" s="30"/>
      <c r="N603" s="30"/>
      <c r="O603" s="30"/>
      <c r="P603" s="30"/>
      <c r="Q603" s="30"/>
      <c r="R603" s="30"/>
      <c r="S603" s="195"/>
      <c r="T603" s="195"/>
      <c r="U603" s="195"/>
      <c r="V603" s="195"/>
      <c r="W603" s="30"/>
      <c r="X603" s="30"/>
      <c r="Y603" s="30"/>
      <c r="Z603" s="30"/>
      <c r="AA603" s="30"/>
      <c r="AB603" s="30"/>
    </row>
    <row r="604">
      <c r="A604" s="30"/>
      <c r="B604" s="30"/>
      <c r="C604" s="30"/>
      <c r="D604" s="30"/>
      <c r="E604" s="30"/>
      <c r="F604" s="292"/>
      <c r="G604" s="30"/>
      <c r="H604" s="30"/>
      <c r="I604" s="30"/>
      <c r="J604" s="30"/>
      <c r="K604" s="30"/>
      <c r="L604" s="30"/>
      <c r="M604" s="30"/>
      <c r="N604" s="30"/>
      <c r="O604" s="30"/>
      <c r="P604" s="30"/>
      <c r="Q604" s="30"/>
      <c r="R604" s="30"/>
      <c r="S604" s="195"/>
      <c r="T604" s="195"/>
      <c r="U604" s="195"/>
      <c r="V604" s="195"/>
      <c r="W604" s="30"/>
      <c r="X604" s="30"/>
      <c r="Y604" s="30"/>
      <c r="Z604" s="30"/>
      <c r="AA604" s="30"/>
      <c r="AB604" s="30"/>
    </row>
    <row r="605">
      <c r="A605" s="30"/>
      <c r="B605" s="30"/>
      <c r="C605" s="30"/>
      <c r="D605" s="30"/>
      <c r="E605" s="30"/>
      <c r="F605" s="292"/>
      <c r="G605" s="30"/>
      <c r="H605" s="30"/>
      <c r="I605" s="30"/>
      <c r="J605" s="30"/>
      <c r="K605" s="30"/>
      <c r="L605" s="30"/>
      <c r="M605" s="30"/>
      <c r="N605" s="30"/>
      <c r="O605" s="30"/>
      <c r="P605" s="30"/>
      <c r="Q605" s="30"/>
      <c r="R605" s="30"/>
      <c r="S605" s="195"/>
      <c r="T605" s="195"/>
      <c r="U605" s="195"/>
      <c r="V605" s="195"/>
      <c r="W605" s="30"/>
      <c r="X605" s="30"/>
      <c r="Y605" s="30"/>
      <c r="Z605" s="30"/>
      <c r="AA605" s="30"/>
      <c r="AB605" s="30"/>
    </row>
    <row r="606">
      <c r="A606" s="30"/>
      <c r="B606" s="30"/>
      <c r="C606" s="30"/>
      <c r="D606" s="30"/>
      <c r="E606" s="30"/>
      <c r="F606" s="292"/>
      <c r="G606" s="30"/>
      <c r="H606" s="30"/>
      <c r="I606" s="30"/>
      <c r="J606" s="30"/>
      <c r="K606" s="30"/>
      <c r="L606" s="30"/>
      <c r="M606" s="30"/>
      <c r="N606" s="30"/>
      <c r="O606" s="30"/>
      <c r="P606" s="30"/>
      <c r="Q606" s="30"/>
      <c r="R606" s="30"/>
      <c r="S606" s="195"/>
      <c r="T606" s="195"/>
      <c r="U606" s="195"/>
      <c r="V606" s="195"/>
      <c r="W606" s="30"/>
      <c r="X606" s="30"/>
      <c r="Y606" s="30"/>
      <c r="Z606" s="30"/>
      <c r="AA606" s="30"/>
      <c r="AB606" s="30"/>
    </row>
    <row r="607">
      <c r="A607" s="30"/>
      <c r="B607" s="30"/>
      <c r="C607" s="30"/>
      <c r="D607" s="30"/>
      <c r="E607" s="30"/>
      <c r="F607" s="292"/>
      <c r="G607" s="30"/>
      <c r="H607" s="30"/>
      <c r="I607" s="30"/>
      <c r="J607" s="30"/>
      <c r="K607" s="30"/>
      <c r="L607" s="30"/>
      <c r="M607" s="30"/>
      <c r="N607" s="30"/>
      <c r="O607" s="30"/>
      <c r="P607" s="30"/>
      <c r="Q607" s="30"/>
      <c r="R607" s="30"/>
      <c r="S607" s="195"/>
      <c r="T607" s="195"/>
      <c r="U607" s="195"/>
      <c r="V607" s="195"/>
      <c r="W607" s="30"/>
      <c r="X607" s="30"/>
      <c r="Y607" s="30"/>
      <c r="Z607" s="30"/>
      <c r="AA607" s="30"/>
      <c r="AB607" s="30"/>
    </row>
    <row r="608">
      <c r="A608" s="30"/>
      <c r="B608" s="30"/>
      <c r="C608" s="30"/>
      <c r="D608" s="30"/>
      <c r="E608" s="30"/>
      <c r="F608" s="292"/>
      <c r="G608" s="30"/>
      <c r="H608" s="30"/>
      <c r="I608" s="30"/>
      <c r="J608" s="30"/>
      <c r="K608" s="30"/>
      <c r="L608" s="30"/>
      <c r="M608" s="30"/>
      <c r="N608" s="30"/>
      <c r="O608" s="30"/>
      <c r="P608" s="30"/>
      <c r="Q608" s="30"/>
      <c r="R608" s="30"/>
      <c r="S608" s="195"/>
      <c r="T608" s="195"/>
      <c r="U608" s="195"/>
      <c r="V608" s="195"/>
      <c r="W608" s="30"/>
      <c r="X608" s="30"/>
      <c r="Y608" s="30"/>
      <c r="Z608" s="30"/>
      <c r="AA608" s="30"/>
      <c r="AB608" s="30"/>
    </row>
    <row r="609">
      <c r="A609" s="30"/>
      <c r="B609" s="30"/>
      <c r="C609" s="30"/>
      <c r="D609" s="30"/>
      <c r="E609" s="30"/>
      <c r="F609" s="292"/>
      <c r="G609" s="30"/>
      <c r="H609" s="30"/>
      <c r="I609" s="30"/>
      <c r="J609" s="30"/>
      <c r="K609" s="30"/>
      <c r="L609" s="30"/>
      <c r="M609" s="30"/>
      <c r="N609" s="30"/>
      <c r="O609" s="30"/>
      <c r="P609" s="30"/>
      <c r="Q609" s="30"/>
      <c r="R609" s="30"/>
      <c r="S609" s="195"/>
      <c r="T609" s="195"/>
      <c r="U609" s="195"/>
      <c r="V609" s="195"/>
      <c r="W609" s="30"/>
      <c r="X609" s="30"/>
      <c r="Y609" s="30"/>
      <c r="Z609" s="30"/>
      <c r="AA609" s="30"/>
      <c r="AB609" s="30"/>
    </row>
    <row r="610">
      <c r="A610" s="30"/>
      <c r="B610" s="30"/>
      <c r="C610" s="30"/>
      <c r="D610" s="30"/>
      <c r="E610" s="30"/>
      <c r="F610" s="292"/>
      <c r="G610" s="30"/>
      <c r="H610" s="30"/>
      <c r="I610" s="30"/>
      <c r="J610" s="30"/>
      <c r="K610" s="30"/>
      <c r="L610" s="30"/>
      <c r="M610" s="30"/>
      <c r="N610" s="30"/>
      <c r="O610" s="30"/>
      <c r="P610" s="30"/>
      <c r="Q610" s="30"/>
      <c r="R610" s="30"/>
      <c r="S610" s="195"/>
      <c r="T610" s="195"/>
      <c r="U610" s="195"/>
      <c r="V610" s="195"/>
      <c r="W610" s="30"/>
      <c r="X610" s="30"/>
      <c r="Y610" s="30"/>
      <c r="Z610" s="30"/>
      <c r="AA610" s="30"/>
      <c r="AB610" s="30"/>
    </row>
    <row r="611">
      <c r="A611" s="30"/>
      <c r="B611" s="30"/>
      <c r="C611" s="30"/>
      <c r="D611" s="30"/>
      <c r="E611" s="30"/>
      <c r="F611" s="292"/>
      <c r="G611" s="30"/>
      <c r="H611" s="30"/>
      <c r="I611" s="30"/>
      <c r="J611" s="30"/>
      <c r="K611" s="30"/>
      <c r="L611" s="30"/>
      <c r="M611" s="30"/>
      <c r="N611" s="30"/>
      <c r="O611" s="30"/>
      <c r="P611" s="30"/>
      <c r="Q611" s="30"/>
      <c r="R611" s="30"/>
      <c r="S611" s="195"/>
      <c r="T611" s="195"/>
      <c r="U611" s="195"/>
      <c r="V611" s="195"/>
      <c r="W611" s="30"/>
      <c r="X611" s="30"/>
      <c r="Y611" s="30"/>
      <c r="Z611" s="30"/>
      <c r="AA611" s="30"/>
      <c r="AB611" s="30"/>
    </row>
    <row r="612">
      <c r="A612" s="30"/>
      <c r="B612" s="30"/>
      <c r="C612" s="30"/>
      <c r="D612" s="30"/>
      <c r="E612" s="30"/>
      <c r="F612" s="292"/>
      <c r="G612" s="30"/>
      <c r="H612" s="30"/>
      <c r="I612" s="30"/>
      <c r="J612" s="30"/>
      <c r="K612" s="30"/>
      <c r="L612" s="30"/>
      <c r="M612" s="30"/>
      <c r="N612" s="30"/>
      <c r="O612" s="30"/>
      <c r="P612" s="30"/>
      <c r="Q612" s="30"/>
      <c r="R612" s="30"/>
      <c r="S612" s="195"/>
      <c r="T612" s="195"/>
      <c r="U612" s="195"/>
      <c r="V612" s="195"/>
      <c r="W612" s="30"/>
      <c r="X612" s="30"/>
      <c r="Y612" s="30"/>
      <c r="Z612" s="30"/>
      <c r="AA612" s="30"/>
      <c r="AB612" s="30"/>
    </row>
    <row r="613">
      <c r="A613" s="30"/>
      <c r="B613" s="30"/>
      <c r="C613" s="30"/>
      <c r="D613" s="30"/>
      <c r="E613" s="30"/>
      <c r="F613" s="292"/>
      <c r="G613" s="30"/>
      <c r="H613" s="30"/>
      <c r="I613" s="30"/>
      <c r="J613" s="30"/>
      <c r="K613" s="30"/>
      <c r="L613" s="30"/>
      <c r="M613" s="30"/>
      <c r="N613" s="30"/>
      <c r="O613" s="30"/>
      <c r="P613" s="30"/>
      <c r="Q613" s="30"/>
      <c r="R613" s="30"/>
      <c r="S613" s="195"/>
      <c r="T613" s="195"/>
      <c r="U613" s="195"/>
      <c r="V613" s="195"/>
      <c r="W613" s="30"/>
      <c r="X613" s="30"/>
      <c r="Y613" s="30"/>
      <c r="Z613" s="30"/>
      <c r="AA613" s="30"/>
      <c r="AB613" s="30"/>
    </row>
    <row r="614">
      <c r="A614" s="30"/>
      <c r="B614" s="30"/>
      <c r="C614" s="30"/>
      <c r="D614" s="30"/>
      <c r="E614" s="30"/>
      <c r="F614" s="292"/>
      <c r="G614" s="30"/>
      <c r="H614" s="30"/>
      <c r="I614" s="30"/>
      <c r="J614" s="30"/>
      <c r="K614" s="30"/>
      <c r="L614" s="30"/>
      <c r="M614" s="30"/>
      <c r="N614" s="30"/>
      <c r="O614" s="30"/>
      <c r="P614" s="30"/>
      <c r="Q614" s="30"/>
      <c r="R614" s="30"/>
      <c r="S614" s="195"/>
      <c r="T614" s="195"/>
      <c r="U614" s="195"/>
      <c r="V614" s="195"/>
      <c r="W614" s="30"/>
      <c r="X614" s="30"/>
      <c r="Y614" s="30"/>
      <c r="Z614" s="30"/>
      <c r="AA614" s="30"/>
      <c r="AB614" s="30"/>
    </row>
    <row r="615">
      <c r="A615" s="30"/>
      <c r="B615" s="30"/>
      <c r="C615" s="30"/>
      <c r="D615" s="30"/>
      <c r="E615" s="30"/>
      <c r="F615" s="292"/>
      <c r="G615" s="30"/>
      <c r="H615" s="30"/>
      <c r="I615" s="30"/>
      <c r="J615" s="30"/>
      <c r="K615" s="30"/>
      <c r="L615" s="30"/>
      <c r="M615" s="30"/>
      <c r="N615" s="30"/>
      <c r="O615" s="30"/>
      <c r="P615" s="30"/>
      <c r="Q615" s="30"/>
      <c r="R615" s="30"/>
      <c r="S615" s="195"/>
      <c r="T615" s="195"/>
      <c r="U615" s="195"/>
      <c r="V615" s="195"/>
      <c r="W615" s="30"/>
      <c r="X615" s="30"/>
      <c r="Y615" s="30"/>
      <c r="Z615" s="30"/>
      <c r="AA615" s="30"/>
      <c r="AB615" s="30"/>
    </row>
    <row r="616">
      <c r="A616" s="30"/>
      <c r="B616" s="30"/>
      <c r="C616" s="30"/>
      <c r="D616" s="30"/>
      <c r="E616" s="30"/>
      <c r="F616" s="292"/>
      <c r="G616" s="30"/>
      <c r="H616" s="30"/>
      <c r="I616" s="30"/>
      <c r="J616" s="30"/>
      <c r="K616" s="30"/>
      <c r="L616" s="30"/>
      <c r="M616" s="30"/>
      <c r="N616" s="30"/>
      <c r="O616" s="30"/>
      <c r="P616" s="30"/>
      <c r="Q616" s="30"/>
      <c r="R616" s="30"/>
      <c r="S616" s="195"/>
      <c r="T616" s="195"/>
      <c r="U616" s="195"/>
      <c r="V616" s="195"/>
      <c r="W616" s="30"/>
      <c r="X616" s="30"/>
      <c r="Y616" s="30"/>
      <c r="Z616" s="30"/>
      <c r="AA616" s="30"/>
      <c r="AB616" s="30"/>
    </row>
    <row r="617">
      <c r="A617" s="30"/>
      <c r="B617" s="30"/>
      <c r="C617" s="30"/>
      <c r="D617" s="30"/>
      <c r="E617" s="30"/>
      <c r="F617" s="292"/>
      <c r="G617" s="30"/>
      <c r="H617" s="30"/>
      <c r="I617" s="30"/>
      <c r="J617" s="30"/>
      <c r="K617" s="30"/>
      <c r="L617" s="30"/>
      <c r="M617" s="30"/>
      <c r="N617" s="30"/>
      <c r="O617" s="30"/>
      <c r="P617" s="30"/>
      <c r="Q617" s="30"/>
      <c r="R617" s="30"/>
      <c r="S617" s="195"/>
      <c r="T617" s="195"/>
      <c r="U617" s="195"/>
      <c r="V617" s="195"/>
      <c r="W617" s="30"/>
      <c r="X617" s="30"/>
      <c r="Y617" s="30"/>
      <c r="Z617" s="30"/>
      <c r="AA617" s="30"/>
      <c r="AB617" s="30"/>
    </row>
    <row r="618">
      <c r="A618" s="30"/>
      <c r="B618" s="30"/>
      <c r="C618" s="30"/>
      <c r="D618" s="30"/>
      <c r="E618" s="30"/>
      <c r="F618" s="292"/>
      <c r="G618" s="30"/>
      <c r="H618" s="30"/>
      <c r="I618" s="30"/>
      <c r="J618" s="30"/>
      <c r="K618" s="30"/>
      <c r="L618" s="30"/>
      <c r="M618" s="30"/>
      <c r="N618" s="30"/>
      <c r="O618" s="30"/>
      <c r="P618" s="30"/>
      <c r="Q618" s="30"/>
      <c r="R618" s="30"/>
      <c r="S618" s="195"/>
      <c r="T618" s="195"/>
      <c r="U618" s="195"/>
      <c r="V618" s="195"/>
      <c r="W618" s="30"/>
      <c r="X618" s="30"/>
      <c r="Y618" s="30"/>
      <c r="Z618" s="30"/>
      <c r="AA618" s="30"/>
      <c r="AB618" s="30"/>
    </row>
    <row r="619">
      <c r="A619" s="30"/>
      <c r="B619" s="30"/>
      <c r="C619" s="30"/>
      <c r="D619" s="30"/>
      <c r="E619" s="30"/>
      <c r="F619" s="292"/>
      <c r="G619" s="30"/>
      <c r="H619" s="30"/>
      <c r="I619" s="30"/>
      <c r="J619" s="30"/>
      <c r="K619" s="30"/>
      <c r="L619" s="30"/>
      <c r="M619" s="30"/>
      <c r="N619" s="30"/>
      <c r="O619" s="30"/>
      <c r="P619" s="30"/>
      <c r="Q619" s="30"/>
      <c r="R619" s="30"/>
      <c r="S619" s="195"/>
      <c r="T619" s="195"/>
      <c r="U619" s="195"/>
      <c r="V619" s="195"/>
      <c r="W619" s="30"/>
      <c r="X619" s="30"/>
      <c r="Y619" s="30"/>
      <c r="Z619" s="30"/>
      <c r="AA619" s="30"/>
      <c r="AB619" s="30"/>
    </row>
    <row r="620">
      <c r="A620" s="30"/>
      <c r="B620" s="30"/>
      <c r="C620" s="30"/>
      <c r="D620" s="30"/>
      <c r="E620" s="30"/>
      <c r="F620" s="292"/>
      <c r="G620" s="30"/>
      <c r="H620" s="30"/>
      <c r="I620" s="30"/>
      <c r="J620" s="30"/>
      <c r="K620" s="30"/>
      <c r="L620" s="30"/>
      <c r="M620" s="30"/>
      <c r="N620" s="30"/>
      <c r="O620" s="30"/>
      <c r="P620" s="30"/>
      <c r="Q620" s="30"/>
      <c r="R620" s="30"/>
      <c r="S620" s="195"/>
      <c r="T620" s="195"/>
      <c r="U620" s="195"/>
      <c r="V620" s="195"/>
      <c r="W620" s="30"/>
      <c r="X620" s="30"/>
      <c r="Y620" s="30"/>
      <c r="Z620" s="30"/>
      <c r="AA620" s="30"/>
      <c r="AB620" s="30"/>
    </row>
    <row r="621">
      <c r="A621" s="30"/>
      <c r="B621" s="30"/>
      <c r="C621" s="30"/>
      <c r="D621" s="30"/>
      <c r="E621" s="30"/>
      <c r="F621" s="292"/>
      <c r="G621" s="30"/>
      <c r="H621" s="30"/>
      <c r="I621" s="30"/>
      <c r="J621" s="30"/>
      <c r="K621" s="30"/>
      <c r="L621" s="30"/>
      <c r="M621" s="30"/>
      <c r="N621" s="30"/>
      <c r="O621" s="30"/>
      <c r="P621" s="30"/>
      <c r="Q621" s="30"/>
      <c r="R621" s="30"/>
      <c r="S621" s="195"/>
      <c r="T621" s="195"/>
      <c r="U621" s="195"/>
      <c r="V621" s="195"/>
      <c r="W621" s="30"/>
      <c r="X621" s="30"/>
      <c r="Y621" s="30"/>
      <c r="Z621" s="30"/>
      <c r="AA621" s="30"/>
      <c r="AB621" s="30"/>
    </row>
    <row r="622">
      <c r="A622" s="30"/>
      <c r="B622" s="30"/>
      <c r="C622" s="30"/>
      <c r="D622" s="30"/>
      <c r="E622" s="30"/>
      <c r="F622" s="292"/>
      <c r="G622" s="30"/>
      <c r="H622" s="30"/>
      <c r="I622" s="30"/>
      <c r="J622" s="30"/>
      <c r="K622" s="30"/>
      <c r="L622" s="30"/>
      <c r="M622" s="30"/>
      <c r="N622" s="30"/>
      <c r="O622" s="30"/>
      <c r="P622" s="30"/>
      <c r="Q622" s="30"/>
      <c r="R622" s="30"/>
      <c r="S622" s="195"/>
      <c r="T622" s="195"/>
      <c r="U622" s="195"/>
      <c r="V622" s="195"/>
      <c r="W622" s="30"/>
      <c r="X622" s="30"/>
      <c r="Y622" s="30"/>
      <c r="Z622" s="30"/>
      <c r="AA622" s="30"/>
      <c r="AB622" s="30"/>
    </row>
    <row r="623">
      <c r="A623" s="30"/>
      <c r="B623" s="30"/>
      <c r="C623" s="30"/>
      <c r="D623" s="30"/>
      <c r="E623" s="30"/>
      <c r="F623" s="292"/>
      <c r="G623" s="30"/>
      <c r="H623" s="30"/>
      <c r="I623" s="30"/>
      <c r="J623" s="30"/>
      <c r="K623" s="30"/>
      <c r="L623" s="30"/>
      <c r="M623" s="30"/>
      <c r="N623" s="30"/>
      <c r="O623" s="30"/>
      <c r="P623" s="30"/>
      <c r="Q623" s="30"/>
      <c r="R623" s="30"/>
      <c r="S623" s="195"/>
      <c r="T623" s="195"/>
      <c r="U623" s="195"/>
      <c r="V623" s="195"/>
      <c r="W623" s="30"/>
      <c r="X623" s="30"/>
      <c r="Y623" s="30"/>
      <c r="Z623" s="30"/>
      <c r="AA623" s="30"/>
      <c r="AB623" s="30"/>
    </row>
    <row r="624">
      <c r="A624" s="30"/>
      <c r="B624" s="30"/>
      <c r="C624" s="30"/>
      <c r="D624" s="30"/>
      <c r="E624" s="30"/>
      <c r="F624" s="292"/>
      <c r="G624" s="30"/>
      <c r="H624" s="30"/>
      <c r="I624" s="30"/>
      <c r="J624" s="30"/>
      <c r="K624" s="30"/>
      <c r="L624" s="30"/>
      <c r="M624" s="30"/>
      <c r="N624" s="30"/>
      <c r="O624" s="30"/>
      <c r="P624" s="30"/>
      <c r="Q624" s="30"/>
      <c r="R624" s="30"/>
      <c r="S624" s="195"/>
      <c r="T624" s="195"/>
      <c r="U624" s="195"/>
      <c r="V624" s="195"/>
      <c r="W624" s="30"/>
      <c r="X624" s="30"/>
      <c r="Y624" s="30"/>
      <c r="Z624" s="30"/>
      <c r="AA624" s="30"/>
      <c r="AB624" s="30"/>
    </row>
    <row r="625">
      <c r="A625" s="30"/>
      <c r="B625" s="30"/>
      <c r="C625" s="30"/>
      <c r="D625" s="30"/>
      <c r="E625" s="30"/>
      <c r="F625" s="292"/>
      <c r="G625" s="30"/>
      <c r="H625" s="30"/>
      <c r="I625" s="30"/>
      <c r="J625" s="30"/>
      <c r="K625" s="30"/>
      <c r="L625" s="30"/>
      <c r="M625" s="30"/>
      <c r="N625" s="30"/>
      <c r="O625" s="30"/>
      <c r="P625" s="30"/>
      <c r="Q625" s="30"/>
      <c r="R625" s="30"/>
      <c r="S625" s="195"/>
      <c r="T625" s="195"/>
      <c r="U625" s="195"/>
      <c r="V625" s="195"/>
      <c r="W625" s="30"/>
      <c r="X625" s="30"/>
      <c r="Y625" s="30"/>
      <c r="Z625" s="30"/>
      <c r="AA625" s="30"/>
      <c r="AB625" s="30"/>
    </row>
    <row r="626">
      <c r="A626" s="30"/>
      <c r="B626" s="30"/>
      <c r="C626" s="30"/>
      <c r="D626" s="30"/>
      <c r="E626" s="30"/>
      <c r="F626" s="292"/>
      <c r="G626" s="30"/>
      <c r="H626" s="30"/>
      <c r="I626" s="30"/>
      <c r="J626" s="30"/>
      <c r="K626" s="30"/>
      <c r="L626" s="30"/>
      <c r="M626" s="30"/>
      <c r="N626" s="30"/>
      <c r="O626" s="30"/>
      <c r="P626" s="30"/>
      <c r="Q626" s="30"/>
      <c r="R626" s="30"/>
      <c r="S626" s="195"/>
      <c r="T626" s="195"/>
      <c r="U626" s="195"/>
      <c r="V626" s="195"/>
      <c r="W626" s="30"/>
      <c r="X626" s="30"/>
      <c r="Y626" s="30"/>
      <c r="Z626" s="30"/>
      <c r="AA626" s="30"/>
      <c r="AB626" s="30"/>
    </row>
    <row r="627">
      <c r="A627" s="30"/>
      <c r="B627" s="30"/>
      <c r="C627" s="30"/>
      <c r="D627" s="30"/>
      <c r="E627" s="30"/>
      <c r="F627" s="292"/>
      <c r="G627" s="30"/>
      <c r="H627" s="30"/>
      <c r="I627" s="30"/>
      <c r="J627" s="30"/>
      <c r="K627" s="30"/>
      <c r="L627" s="30"/>
      <c r="M627" s="30"/>
      <c r="N627" s="30"/>
      <c r="O627" s="30"/>
      <c r="P627" s="30"/>
      <c r="Q627" s="30"/>
      <c r="R627" s="30"/>
      <c r="S627" s="195"/>
      <c r="T627" s="195"/>
      <c r="U627" s="195"/>
      <c r="V627" s="195"/>
      <c r="W627" s="30"/>
      <c r="X627" s="30"/>
      <c r="Y627" s="30"/>
      <c r="Z627" s="30"/>
      <c r="AA627" s="30"/>
      <c r="AB627" s="30"/>
    </row>
    <row r="628">
      <c r="A628" s="30"/>
      <c r="B628" s="30"/>
      <c r="C628" s="30"/>
      <c r="D628" s="30"/>
      <c r="E628" s="30"/>
      <c r="F628" s="292"/>
      <c r="G628" s="30"/>
      <c r="H628" s="30"/>
      <c r="I628" s="30"/>
      <c r="J628" s="30"/>
      <c r="K628" s="30"/>
      <c r="L628" s="30"/>
      <c r="M628" s="30"/>
      <c r="N628" s="30"/>
      <c r="O628" s="30"/>
      <c r="P628" s="30"/>
      <c r="Q628" s="30"/>
      <c r="R628" s="30"/>
      <c r="S628" s="195"/>
      <c r="T628" s="195"/>
      <c r="U628" s="195"/>
      <c r="V628" s="195"/>
      <c r="W628" s="30"/>
      <c r="X628" s="30"/>
      <c r="Y628" s="30"/>
      <c r="Z628" s="30"/>
      <c r="AA628" s="30"/>
      <c r="AB628" s="30"/>
    </row>
    <row r="629">
      <c r="A629" s="30"/>
      <c r="B629" s="30"/>
      <c r="C629" s="30"/>
      <c r="D629" s="30"/>
      <c r="E629" s="30"/>
      <c r="F629" s="292"/>
      <c r="G629" s="30"/>
      <c r="H629" s="30"/>
      <c r="I629" s="30"/>
      <c r="J629" s="30"/>
      <c r="K629" s="30"/>
      <c r="L629" s="30"/>
      <c r="M629" s="30"/>
      <c r="N629" s="30"/>
      <c r="O629" s="30"/>
      <c r="P629" s="30"/>
      <c r="Q629" s="30"/>
      <c r="R629" s="30"/>
      <c r="S629" s="195"/>
      <c r="T629" s="195"/>
      <c r="U629" s="195"/>
      <c r="V629" s="195"/>
      <c r="W629" s="30"/>
      <c r="X629" s="30"/>
      <c r="Y629" s="30"/>
      <c r="Z629" s="30"/>
      <c r="AA629" s="30"/>
      <c r="AB629" s="30"/>
    </row>
    <row r="630">
      <c r="A630" s="30"/>
      <c r="B630" s="30"/>
      <c r="C630" s="30"/>
      <c r="D630" s="30"/>
      <c r="E630" s="30"/>
      <c r="F630" s="292"/>
      <c r="G630" s="30"/>
      <c r="H630" s="30"/>
      <c r="I630" s="30"/>
      <c r="J630" s="30"/>
      <c r="K630" s="30"/>
      <c r="L630" s="30"/>
      <c r="M630" s="30"/>
      <c r="N630" s="30"/>
      <c r="O630" s="30"/>
      <c r="P630" s="30"/>
      <c r="Q630" s="30"/>
      <c r="R630" s="30"/>
      <c r="S630" s="195"/>
      <c r="T630" s="195"/>
      <c r="U630" s="195"/>
      <c r="V630" s="195"/>
      <c r="W630" s="30"/>
      <c r="X630" s="30"/>
      <c r="Y630" s="30"/>
      <c r="Z630" s="30"/>
      <c r="AA630" s="30"/>
      <c r="AB630" s="30"/>
    </row>
    <row r="631">
      <c r="A631" s="30"/>
      <c r="B631" s="30"/>
      <c r="C631" s="30"/>
      <c r="D631" s="30"/>
      <c r="E631" s="30"/>
      <c r="F631" s="292"/>
      <c r="G631" s="30"/>
      <c r="H631" s="30"/>
      <c r="I631" s="30"/>
      <c r="J631" s="30"/>
      <c r="K631" s="30"/>
      <c r="L631" s="30"/>
      <c r="M631" s="30"/>
      <c r="N631" s="30"/>
      <c r="O631" s="30"/>
      <c r="P631" s="30"/>
      <c r="Q631" s="30"/>
      <c r="R631" s="30"/>
      <c r="S631" s="195"/>
      <c r="T631" s="195"/>
      <c r="U631" s="195"/>
      <c r="V631" s="195"/>
      <c r="W631" s="30"/>
      <c r="X631" s="30"/>
      <c r="Y631" s="30"/>
      <c r="Z631" s="30"/>
      <c r="AA631" s="30"/>
      <c r="AB631" s="30"/>
    </row>
    <row r="632">
      <c r="A632" s="30"/>
      <c r="B632" s="30"/>
      <c r="C632" s="30"/>
      <c r="D632" s="30"/>
      <c r="E632" s="30"/>
      <c r="F632" s="292"/>
      <c r="G632" s="30"/>
      <c r="H632" s="30"/>
      <c r="I632" s="30"/>
      <c r="J632" s="30"/>
      <c r="K632" s="30"/>
      <c r="L632" s="30"/>
      <c r="M632" s="30"/>
      <c r="N632" s="30"/>
      <c r="O632" s="30"/>
      <c r="P632" s="30"/>
      <c r="Q632" s="30"/>
      <c r="R632" s="30"/>
      <c r="S632" s="195"/>
      <c r="T632" s="195"/>
      <c r="U632" s="195"/>
      <c r="V632" s="195"/>
      <c r="W632" s="30"/>
      <c r="X632" s="30"/>
      <c r="Y632" s="30"/>
      <c r="Z632" s="30"/>
      <c r="AA632" s="30"/>
      <c r="AB632" s="30"/>
    </row>
    <row r="633">
      <c r="A633" s="30"/>
      <c r="B633" s="30"/>
      <c r="C633" s="30"/>
      <c r="D633" s="30"/>
      <c r="E633" s="30"/>
      <c r="F633" s="292"/>
      <c r="G633" s="30"/>
      <c r="H633" s="30"/>
      <c r="I633" s="30"/>
      <c r="J633" s="30"/>
      <c r="K633" s="30"/>
      <c r="L633" s="30"/>
      <c r="M633" s="30"/>
      <c r="N633" s="30"/>
      <c r="O633" s="30"/>
      <c r="P633" s="30"/>
      <c r="Q633" s="30"/>
      <c r="R633" s="30"/>
      <c r="S633" s="195"/>
      <c r="T633" s="195"/>
      <c r="U633" s="195"/>
      <c r="V633" s="195"/>
      <c r="W633" s="30"/>
      <c r="X633" s="30"/>
      <c r="Y633" s="30"/>
      <c r="Z633" s="30"/>
      <c r="AA633" s="30"/>
      <c r="AB633" s="30"/>
    </row>
    <row r="634">
      <c r="A634" s="30"/>
      <c r="B634" s="30"/>
      <c r="C634" s="30"/>
      <c r="D634" s="30"/>
      <c r="E634" s="30"/>
      <c r="F634" s="292"/>
      <c r="G634" s="30"/>
      <c r="H634" s="30"/>
      <c r="I634" s="30"/>
      <c r="J634" s="30"/>
      <c r="K634" s="30"/>
      <c r="L634" s="30"/>
      <c r="M634" s="30"/>
      <c r="N634" s="30"/>
      <c r="O634" s="30"/>
      <c r="P634" s="30"/>
      <c r="Q634" s="30"/>
      <c r="R634" s="30"/>
      <c r="S634" s="195"/>
      <c r="T634" s="195"/>
      <c r="U634" s="195"/>
      <c r="V634" s="195"/>
      <c r="W634" s="30"/>
      <c r="X634" s="30"/>
      <c r="Y634" s="30"/>
      <c r="Z634" s="30"/>
      <c r="AA634" s="30"/>
      <c r="AB634" s="30"/>
    </row>
    <row r="635">
      <c r="A635" s="30"/>
      <c r="B635" s="30"/>
      <c r="C635" s="30"/>
      <c r="D635" s="30"/>
      <c r="E635" s="30"/>
      <c r="F635" s="292"/>
      <c r="G635" s="30"/>
      <c r="H635" s="30"/>
      <c r="I635" s="30"/>
      <c r="J635" s="30"/>
      <c r="K635" s="30"/>
      <c r="L635" s="30"/>
      <c r="M635" s="30"/>
      <c r="N635" s="30"/>
      <c r="O635" s="30"/>
      <c r="P635" s="30"/>
      <c r="Q635" s="30"/>
      <c r="R635" s="30"/>
      <c r="S635" s="195"/>
      <c r="T635" s="195"/>
      <c r="U635" s="195"/>
      <c r="V635" s="195"/>
      <c r="W635" s="30"/>
      <c r="X635" s="30"/>
      <c r="Y635" s="30"/>
      <c r="Z635" s="30"/>
      <c r="AA635" s="30"/>
      <c r="AB635" s="30"/>
    </row>
    <row r="636">
      <c r="A636" s="30"/>
      <c r="B636" s="30"/>
      <c r="C636" s="30"/>
      <c r="D636" s="30"/>
      <c r="E636" s="30"/>
      <c r="F636" s="292"/>
      <c r="G636" s="30"/>
      <c r="H636" s="30"/>
      <c r="I636" s="30"/>
      <c r="J636" s="30"/>
      <c r="K636" s="30"/>
      <c r="L636" s="30"/>
      <c r="M636" s="30"/>
      <c r="N636" s="30"/>
      <c r="O636" s="30"/>
      <c r="P636" s="30"/>
      <c r="Q636" s="30"/>
      <c r="R636" s="30"/>
      <c r="S636" s="195"/>
      <c r="T636" s="195"/>
      <c r="U636" s="195"/>
      <c r="V636" s="195"/>
      <c r="W636" s="30"/>
      <c r="X636" s="30"/>
      <c r="Y636" s="30"/>
      <c r="Z636" s="30"/>
      <c r="AA636" s="30"/>
      <c r="AB636" s="30"/>
    </row>
    <row r="637">
      <c r="A637" s="30"/>
      <c r="B637" s="30"/>
      <c r="C637" s="30"/>
      <c r="D637" s="30"/>
      <c r="E637" s="30"/>
      <c r="F637" s="292"/>
      <c r="G637" s="30"/>
      <c r="H637" s="30"/>
      <c r="I637" s="30"/>
      <c r="J637" s="30"/>
      <c r="K637" s="30"/>
      <c r="L637" s="30"/>
      <c r="M637" s="30"/>
      <c r="N637" s="30"/>
      <c r="O637" s="30"/>
      <c r="P637" s="30"/>
      <c r="Q637" s="30"/>
      <c r="R637" s="30"/>
      <c r="S637" s="195"/>
      <c r="T637" s="195"/>
      <c r="U637" s="195"/>
      <c r="V637" s="195"/>
      <c r="W637" s="30"/>
      <c r="X637" s="30"/>
      <c r="Y637" s="30"/>
      <c r="Z637" s="30"/>
      <c r="AA637" s="30"/>
      <c r="AB637" s="30"/>
    </row>
    <row r="638">
      <c r="A638" s="30"/>
      <c r="B638" s="30"/>
      <c r="C638" s="30"/>
      <c r="D638" s="30"/>
      <c r="E638" s="30"/>
      <c r="F638" s="292"/>
      <c r="G638" s="30"/>
      <c r="H638" s="30"/>
      <c r="I638" s="30"/>
      <c r="J638" s="30"/>
      <c r="K638" s="30"/>
      <c r="L638" s="30"/>
      <c r="M638" s="30"/>
      <c r="N638" s="30"/>
      <c r="O638" s="30"/>
      <c r="P638" s="30"/>
      <c r="Q638" s="30"/>
      <c r="R638" s="30"/>
      <c r="S638" s="195"/>
      <c r="T638" s="195"/>
      <c r="U638" s="195"/>
      <c r="V638" s="195"/>
      <c r="W638" s="30"/>
      <c r="X638" s="30"/>
      <c r="Y638" s="30"/>
      <c r="Z638" s="30"/>
      <c r="AA638" s="30"/>
      <c r="AB638" s="30"/>
    </row>
    <row r="639">
      <c r="A639" s="30"/>
      <c r="B639" s="30"/>
      <c r="C639" s="30"/>
      <c r="D639" s="30"/>
      <c r="E639" s="30"/>
      <c r="F639" s="292"/>
      <c r="G639" s="30"/>
      <c r="H639" s="30"/>
      <c r="I639" s="30"/>
      <c r="J639" s="30"/>
      <c r="K639" s="30"/>
      <c r="L639" s="30"/>
      <c r="M639" s="30"/>
      <c r="N639" s="30"/>
      <c r="O639" s="30"/>
      <c r="P639" s="30"/>
      <c r="Q639" s="30"/>
      <c r="R639" s="30"/>
      <c r="S639" s="195"/>
      <c r="T639" s="195"/>
      <c r="U639" s="195"/>
      <c r="V639" s="195"/>
      <c r="W639" s="30"/>
      <c r="X639" s="30"/>
      <c r="Y639" s="30"/>
      <c r="Z639" s="30"/>
      <c r="AA639" s="30"/>
      <c r="AB639" s="30"/>
    </row>
    <row r="640">
      <c r="A640" s="30"/>
      <c r="B640" s="30"/>
      <c r="C640" s="30"/>
      <c r="D640" s="30"/>
      <c r="E640" s="30"/>
      <c r="F640" s="292"/>
      <c r="G640" s="30"/>
      <c r="H640" s="30"/>
      <c r="I640" s="30"/>
      <c r="J640" s="30"/>
      <c r="K640" s="30"/>
      <c r="L640" s="30"/>
      <c r="M640" s="30"/>
      <c r="N640" s="30"/>
      <c r="O640" s="30"/>
      <c r="P640" s="30"/>
      <c r="Q640" s="30"/>
      <c r="R640" s="30"/>
      <c r="S640" s="195"/>
      <c r="T640" s="195"/>
      <c r="U640" s="195"/>
      <c r="V640" s="195"/>
      <c r="W640" s="30"/>
      <c r="X640" s="30"/>
      <c r="Y640" s="30"/>
      <c r="Z640" s="30"/>
      <c r="AA640" s="30"/>
      <c r="AB640" s="30"/>
    </row>
    <row r="641">
      <c r="A641" s="30"/>
      <c r="B641" s="30"/>
      <c r="C641" s="30"/>
      <c r="D641" s="30"/>
      <c r="E641" s="30"/>
      <c r="F641" s="292"/>
      <c r="G641" s="30"/>
      <c r="H641" s="30"/>
      <c r="I641" s="30"/>
      <c r="J641" s="30"/>
      <c r="K641" s="30"/>
      <c r="L641" s="30"/>
      <c r="M641" s="30"/>
      <c r="N641" s="30"/>
      <c r="O641" s="30"/>
      <c r="P641" s="30"/>
      <c r="Q641" s="30"/>
      <c r="R641" s="30"/>
      <c r="S641" s="195"/>
      <c r="T641" s="195"/>
      <c r="U641" s="195"/>
      <c r="V641" s="195"/>
      <c r="W641" s="30"/>
      <c r="X641" s="30"/>
      <c r="Y641" s="30"/>
      <c r="Z641" s="30"/>
      <c r="AA641" s="30"/>
      <c r="AB641" s="30"/>
    </row>
    <row r="642">
      <c r="A642" s="30"/>
      <c r="B642" s="30"/>
      <c r="C642" s="30"/>
      <c r="D642" s="30"/>
      <c r="E642" s="30"/>
      <c r="F642" s="292"/>
      <c r="G642" s="30"/>
      <c r="H642" s="30"/>
      <c r="I642" s="30"/>
      <c r="J642" s="30"/>
      <c r="K642" s="30"/>
      <c r="L642" s="30"/>
      <c r="M642" s="30"/>
      <c r="N642" s="30"/>
      <c r="O642" s="30"/>
      <c r="P642" s="30"/>
      <c r="Q642" s="30"/>
      <c r="R642" s="30"/>
      <c r="S642" s="195"/>
      <c r="T642" s="195"/>
      <c r="U642" s="195"/>
      <c r="V642" s="195"/>
      <c r="W642" s="30"/>
      <c r="X642" s="30"/>
      <c r="Y642" s="30"/>
      <c r="Z642" s="30"/>
      <c r="AA642" s="30"/>
      <c r="AB642" s="30"/>
    </row>
    <row r="643">
      <c r="A643" s="30"/>
      <c r="B643" s="30"/>
      <c r="C643" s="30"/>
      <c r="D643" s="30"/>
      <c r="E643" s="30"/>
      <c r="F643" s="292"/>
      <c r="G643" s="30"/>
      <c r="H643" s="30"/>
      <c r="I643" s="30"/>
      <c r="J643" s="30"/>
      <c r="K643" s="30"/>
      <c r="L643" s="30"/>
      <c r="M643" s="30"/>
      <c r="N643" s="30"/>
      <c r="O643" s="30"/>
      <c r="P643" s="30"/>
      <c r="Q643" s="30"/>
      <c r="R643" s="30"/>
      <c r="S643" s="195"/>
      <c r="T643" s="195"/>
      <c r="U643" s="195"/>
      <c r="V643" s="195"/>
      <c r="W643" s="30"/>
      <c r="X643" s="30"/>
      <c r="Y643" s="30"/>
      <c r="Z643" s="30"/>
      <c r="AA643" s="30"/>
      <c r="AB643" s="30"/>
    </row>
    <row r="644">
      <c r="A644" s="30"/>
      <c r="B644" s="30"/>
      <c r="C644" s="30"/>
      <c r="D644" s="30"/>
      <c r="E644" s="30"/>
      <c r="F644" s="292"/>
      <c r="G644" s="30"/>
      <c r="H644" s="30"/>
      <c r="I644" s="30"/>
      <c r="J644" s="30"/>
      <c r="K644" s="30"/>
      <c r="L644" s="30"/>
      <c r="M644" s="30"/>
      <c r="N644" s="30"/>
      <c r="O644" s="30"/>
      <c r="P644" s="30"/>
      <c r="Q644" s="30"/>
      <c r="R644" s="30"/>
      <c r="S644" s="195"/>
      <c r="T644" s="195"/>
      <c r="U644" s="195"/>
      <c r="V644" s="195"/>
      <c r="W644" s="30"/>
      <c r="X644" s="30"/>
      <c r="Y644" s="30"/>
      <c r="Z644" s="30"/>
      <c r="AA644" s="30"/>
      <c r="AB644" s="30"/>
    </row>
    <row r="645">
      <c r="A645" s="30"/>
      <c r="B645" s="30"/>
      <c r="C645" s="30"/>
      <c r="D645" s="30"/>
      <c r="E645" s="30"/>
      <c r="F645" s="292"/>
      <c r="G645" s="30"/>
      <c r="H645" s="30"/>
      <c r="I645" s="30"/>
      <c r="J645" s="30"/>
      <c r="K645" s="30"/>
      <c r="L645" s="30"/>
      <c r="M645" s="30"/>
      <c r="N645" s="30"/>
      <c r="O645" s="30"/>
      <c r="P645" s="30"/>
      <c r="Q645" s="30"/>
      <c r="R645" s="30"/>
      <c r="S645" s="195"/>
      <c r="T645" s="195"/>
      <c r="U645" s="195"/>
      <c r="V645" s="195"/>
      <c r="W645" s="30"/>
      <c r="X645" s="30"/>
      <c r="Y645" s="30"/>
      <c r="Z645" s="30"/>
      <c r="AA645" s="30"/>
      <c r="AB645" s="30"/>
    </row>
    <row r="646">
      <c r="A646" s="30"/>
      <c r="B646" s="30"/>
      <c r="C646" s="30"/>
      <c r="D646" s="30"/>
      <c r="E646" s="30"/>
      <c r="F646" s="292"/>
      <c r="G646" s="30"/>
      <c r="H646" s="30"/>
      <c r="I646" s="30"/>
      <c r="J646" s="30"/>
      <c r="K646" s="30"/>
      <c r="L646" s="30"/>
      <c r="M646" s="30"/>
      <c r="N646" s="30"/>
      <c r="O646" s="30"/>
      <c r="P646" s="30"/>
      <c r="Q646" s="30"/>
      <c r="R646" s="30"/>
      <c r="S646" s="195"/>
      <c r="T646" s="195"/>
      <c r="U646" s="195"/>
      <c r="V646" s="195"/>
      <c r="W646" s="30"/>
      <c r="X646" s="30"/>
      <c r="Y646" s="30"/>
      <c r="Z646" s="30"/>
      <c r="AA646" s="30"/>
      <c r="AB646" s="30"/>
    </row>
    <row r="647">
      <c r="A647" s="30"/>
      <c r="B647" s="30"/>
      <c r="C647" s="30"/>
      <c r="D647" s="30"/>
      <c r="E647" s="30"/>
      <c r="F647" s="292"/>
      <c r="G647" s="30"/>
      <c r="H647" s="30"/>
      <c r="I647" s="30"/>
      <c r="J647" s="30"/>
      <c r="K647" s="30"/>
      <c r="L647" s="30"/>
      <c r="M647" s="30"/>
      <c r="N647" s="30"/>
      <c r="O647" s="30"/>
      <c r="P647" s="30"/>
      <c r="Q647" s="30"/>
      <c r="R647" s="30"/>
      <c r="S647" s="195"/>
      <c r="T647" s="195"/>
      <c r="U647" s="195"/>
      <c r="V647" s="195"/>
      <c r="W647" s="30"/>
      <c r="X647" s="30"/>
      <c r="Y647" s="30"/>
      <c r="Z647" s="30"/>
      <c r="AA647" s="30"/>
      <c r="AB647" s="30"/>
    </row>
    <row r="648">
      <c r="A648" s="30"/>
      <c r="B648" s="30"/>
      <c r="C648" s="30"/>
      <c r="D648" s="30"/>
      <c r="E648" s="30"/>
      <c r="F648" s="292"/>
      <c r="G648" s="30"/>
      <c r="H648" s="30"/>
      <c r="I648" s="30"/>
      <c r="J648" s="30"/>
      <c r="K648" s="30"/>
      <c r="L648" s="30"/>
      <c r="M648" s="30"/>
      <c r="N648" s="30"/>
      <c r="O648" s="30"/>
      <c r="P648" s="30"/>
      <c r="Q648" s="30"/>
      <c r="R648" s="30"/>
      <c r="S648" s="195"/>
      <c r="T648" s="195"/>
      <c r="U648" s="195"/>
      <c r="V648" s="195"/>
      <c r="W648" s="30"/>
      <c r="X648" s="30"/>
      <c r="Y648" s="30"/>
      <c r="Z648" s="30"/>
      <c r="AA648" s="30"/>
      <c r="AB648" s="30"/>
    </row>
    <row r="649">
      <c r="A649" s="30"/>
      <c r="B649" s="30"/>
      <c r="C649" s="30"/>
      <c r="D649" s="30"/>
      <c r="E649" s="30"/>
      <c r="F649" s="292"/>
      <c r="G649" s="30"/>
      <c r="H649" s="30"/>
      <c r="I649" s="30"/>
      <c r="J649" s="30"/>
      <c r="K649" s="30"/>
      <c r="L649" s="30"/>
      <c r="M649" s="30"/>
      <c r="N649" s="30"/>
      <c r="O649" s="30"/>
      <c r="P649" s="30"/>
      <c r="Q649" s="30"/>
      <c r="R649" s="30"/>
      <c r="S649" s="195"/>
      <c r="T649" s="195"/>
      <c r="U649" s="195"/>
      <c r="V649" s="195"/>
      <c r="W649" s="30"/>
      <c r="X649" s="30"/>
      <c r="Y649" s="30"/>
      <c r="Z649" s="30"/>
      <c r="AA649" s="30"/>
      <c r="AB649" s="30"/>
    </row>
    <row r="650">
      <c r="A650" s="30"/>
      <c r="B650" s="30"/>
      <c r="C650" s="30"/>
      <c r="D650" s="30"/>
      <c r="E650" s="30"/>
      <c r="F650" s="292"/>
      <c r="G650" s="30"/>
      <c r="H650" s="30"/>
      <c r="I650" s="30"/>
      <c r="J650" s="30"/>
      <c r="K650" s="30"/>
      <c r="L650" s="30"/>
      <c r="M650" s="30"/>
      <c r="N650" s="30"/>
      <c r="O650" s="30"/>
      <c r="P650" s="30"/>
      <c r="Q650" s="30"/>
      <c r="R650" s="30"/>
      <c r="S650" s="195"/>
      <c r="T650" s="195"/>
      <c r="U650" s="195"/>
      <c r="V650" s="195"/>
      <c r="W650" s="30"/>
      <c r="X650" s="30"/>
      <c r="Y650" s="30"/>
      <c r="Z650" s="30"/>
      <c r="AA650" s="30"/>
      <c r="AB650" s="30"/>
    </row>
    <row r="651">
      <c r="A651" s="30"/>
      <c r="B651" s="30"/>
      <c r="C651" s="30"/>
      <c r="D651" s="30"/>
      <c r="E651" s="30"/>
      <c r="F651" s="292"/>
      <c r="G651" s="30"/>
      <c r="H651" s="30"/>
      <c r="I651" s="30"/>
      <c r="J651" s="30"/>
      <c r="K651" s="30"/>
      <c r="L651" s="30"/>
      <c r="M651" s="30"/>
      <c r="N651" s="30"/>
      <c r="O651" s="30"/>
      <c r="P651" s="30"/>
      <c r="Q651" s="30"/>
      <c r="R651" s="30"/>
      <c r="S651" s="195"/>
      <c r="T651" s="195"/>
      <c r="U651" s="195"/>
      <c r="V651" s="195"/>
      <c r="W651" s="30"/>
      <c r="X651" s="30"/>
      <c r="Y651" s="30"/>
      <c r="Z651" s="30"/>
      <c r="AA651" s="30"/>
      <c r="AB651" s="30"/>
    </row>
    <row r="652">
      <c r="A652" s="30"/>
      <c r="B652" s="30"/>
      <c r="C652" s="30"/>
      <c r="D652" s="30"/>
      <c r="E652" s="30"/>
      <c r="F652" s="292"/>
      <c r="G652" s="30"/>
      <c r="H652" s="30"/>
      <c r="I652" s="30"/>
      <c r="J652" s="30"/>
      <c r="K652" s="30"/>
      <c r="L652" s="30"/>
      <c r="M652" s="30"/>
      <c r="N652" s="30"/>
      <c r="O652" s="30"/>
      <c r="P652" s="30"/>
      <c r="Q652" s="30"/>
      <c r="R652" s="30"/>
      <c r="S652" s="195"/>
      <c r="T652" s="195"/>
      <c r="U652" s="195"/>
      <c r="V652" s="195"/>
      <c r="W652" s="30"/>
      <c r="X652" s="30"/>
      <c r="Y652" s="30"/>
      <c r="Z652" s="30"/>
      <c r="AA652" s="30"/>
      <c r="AB652" s="30"/>
    </row>
    <row r="653">
      <c r="A653" s="30"/>
      <c r="B653" s="30"/>
      <c r="C653" s="30"/>
      <c r="D653" s="30"/>
      <c r="E653" s="30"/>
      <c r="F653" s="292"/>
      <c r="G653" s="30"/>
      <c r="H653" s="30"/>
      <c r="I653" s="30"/>
      <c r="J653" s="30"/>
      <c r="K653" s="30"/>
      <c r="L653" s="30"/>
      <c r="M653" s="30"/>
      <c r="N653" s="30"/>
      <c r="O653" s="30"/>
      <c r="P653" s="30"/>
      <c r="Q653" s="30"/>
      <c r="R653" s="30"/>
      <c r="S653" s="195"/>
      <c r="T653" s="195"/>
      <c r="U653" s="195"/>
      <c r="V653" s="195"/>
      <c r="W653" s="30"/>
      <c r="X653" s="30"/>
      <c r="Y653" s="30"/>
      <c r="Z653" s="30"/>
      <c r="AA653" s="30"/>
      <c r="AB653" s="30"/>
    </row>
    <row r="654">
      <c r="A654" s="30"/>
      <c r="B654" s="30"/>
      <c r="C654" s="30"/>
      <c r="D654" s="30"/>
      <c r="E654" s="30"/>
      <c r="F654" s="292"/>
      <c r="G654" s="30"/>
      <c r="H654" s="30"/>
      <c r="I654" s="30"/>
      <c r="J654" s="30"/>
      <c r="K654" s="30"/>
      <c r="L654" s="30"/>
      <c r="M654" s="30"/>
      <c r="N654" s="30"/>
      <c r="O654" s="30"/>
      <c r="P654" s="30"/>
      <c r="Q654" s="30"/>
      <c r="R654" s="30"/>
      <c r="S654" s="195"/>
      <c r="T654" s="195"/>
      <c r="U654" s="195"/>
      <c r="V654" s="195"/>
      <c r="W654" s="30"/>
      <c r="X654" s="30"/>
      <c r="Y654" s="30"/>
      <c r="Z654" s="30"/>
      <c r="AA654" s="30"/>
      <c r="AB654" s="30"/>
    </row>
    <row r="655">
      <c r="A655" s="30"/>
      <c r="B655" s="30"/>
      <c r="C655" s="30"/>
      <c r="D655" s="30"/>
      <c r="E655" s="30"/>
      <c r="F655" s="292"/>
      <c r="G655" s="30"/>
      <c r="H655" s="30"/>
      <c r="I655" s="30"/>
      <c r="J655" s="30"/>
      <c r="K655" s="30"/>
      <c r="L655" s="30"/>
      <c r="M655" s="30"/>
      <c r="N655" s="30"/>
      <c r="O655" s="30"/>
      <c r="P655" s="30"/>
      <c r="Q655" s="30"/>
      <c r="R655" s="30"/>
      <c r="S655" s="195"/>
      <c r="T655" s="195"/>
      <c r="U655" s="195"/>
      <c r="V655" s="195"/>
      <c r="W655" s="30"/>
      <c r="X655" s="30"/>
      <c r="Y655" s="30"/>
      <c r="Z655" s="30"/>
      <c r="AA655" s="30"/>
      <c r="AB655" s="30"/>
    </row>
    <row r="656">
      <c r="A656" s="30"/>
      <c r="B656" s="30"/>
      <c r="C656" s="30"/>
      <c r="D656" s="30"/>
      <c r="E656" s="30"/>
      <c r="F656" s="292"/>
      <c r="G656" s="30"/>
      <c r="H656" s="30"/>
      <c r="I656" s="30"/>
      <c r="J656" s="30"/>
      <c r="K656" s="30"/>
      <c r="L656" s="30"/>
      <c r="M656" s="30"/>
      <c r="N656" s="30"/>
      <c r="O656" s="30"/>
      <c r="P656" s="30"/>
      <c r="Q656" s="30"/>
      <c r="R656" s="30"/>
      <c r="S656" s="195"/>
      <c r="T656" s="195"/>
      <c r="U656" s="195"/>
      <c r="V656" s="195"/>
      <c r="W656" s="30"/>
      <c r="X656" s="30"/>
      <c r="Y656" s="30"/>
      <c r="Z656" s="30"/>
      <c r="AA656" s="30"/>
      <c r="AB656" s="30"/>
    </row>
    <row r="657">
      <c r="A657" s="30"/>
      <c r="B657" s="30"/>
      <c r="C657" s="30"/>
      <c r="D657" s="30"/>
      <c r="E657" s="30"/>
      <c r="F657" s="292"/>
      <c r="G657" s="30"/>
      <c r="H657" s="30"/>
      <c r="I657" s="30"/>
      <c r="J657" s="30"/>
      <c r="K657" s="30"/>
      <c r="L657" s="30"/>
      <c r="M657" s="30"/>
      <c r="N657" s="30"/>
      <c r="O657" s="30"/>
      <c r="P657" s="30"/>
      <c r="Q657" s="30"/>
      <c r="R657" s="30"/>
      <c r="S657" s="195"/>
      <c r="T657" s="195"/>
      <c r="U657" s="195"/>
      <c r="V657" s="195"/>
      <c r="W657" s="30"/>
      <c r="X657" s="30"/>
      <c r="Y657" s="30"/>
      <c r="Z657" s="30"/>
      <c r="AA657" s="30"/>
      <c r="AB657" s="30"/>
    </row>
    <row r="658">
      <c r="A658" s="30"/>
      <c r="B658" s="30"/>
      <c r="C658" s="30"/>
      <c r="D658" s="30"/>
      <c r="E658" s="30"/>
      <c r="F658" s="292"/>
      <c r="G658" s="30"/>
      <c r="H658" s="30"/>
      <c r="I658" s="30"/>
      <c r="J658" s="30"/>
      <c r="K658" s="30"/>
      <c r="L658" s="30"/>
      <c r="M658" s="30"/>
      <c r="N658" s="30"/>
      <c r="O658" s="30"/>
      <c r="P658" s="30"/>
      <c r="Q658" s="30"/>
      <c r="R658" s="30"/>
      <c r="S658" s="195"/>
      <c r="T658" s="195"/>
      <c r="U658" s="195"/>
      <c r="V658" s="195"/>
      <c r="W658" s="30"/>
      <c r="X658" s="30"/>
      <c r="Y658" s="30"/>
      <c r="Z658" s="30"/>
      <c r="AA658" s="30"/>
      <c r="AB658" s="30"/>
    </row>
    <row r="659">
      <c r="A659" s="30"/>
      <c r="B659" s="30"/>
      <c r="C659" s="30"/>
      <c r="D659" s="30"/>
      <c r="E659" s="30"/>
      <c r="F659" s="292"/>
      <c r="G659" s="30"/>
      <c r="H659" s="30"/>
      <c r="I659" s="30"/>
      <c r="J659" s="30"/>
      <c r="K659" s="30"/>
      <c r="L659" s="30"/>
      <c r="M659" s="30"/>
      <c r="N659" s="30"/>
      <c r="O659" s="30"/>
      <c r="P659" s="30"/>
      <c r="Q659" s="30"/>
      <c r="R659" s="30"/>
      <c r="S659" s="195"/>
      <c r="T659" s="195"/>
      <c r="U659" s="195"/>
      <c r="V659" s="195"/>
      <c r="W659" s="30"/>
      <c r="X659" s="30"/>
      <c r="Y659" s="30"/>
      <c r="Z659" s="30"/>
      <c r="AA659" s="30"/>
      <c r="AB659" s="30"/>
    </row>
    <row r="660">
      <c r="A660" s="30"/>
      <c r="B660" s="30"/>
      <c r="C660" s="30"/>
      <c r="D660" s="30"/>
      <c r="E660" s="30"/>
      <c r="F660" s="292"/>
      <c r="G660" s="30"/>
      <c r="H660" s="30"/>
      <c r="I660" s="30"/>
      <c r="J660" s="30"/>
      <c r="K660" s="30"/>
      <c r="L660" s="30"/>
      <c r="M660" s="30"/>
      <c r="N660" s="30"/>
      <c r="O660" s="30"/>
      <c r="P660" s="30"/>
      <c r="Q660" s="30"/>
      <c r="R660" s="30"/>
      <c r="S660" s="195"/>
      <c r="T660" s="195"/>
      <c r="U660" s="195"/>
      <c r="V660" s="195"/>
      <c r="W660" s="30"/>
      <c r="X660" s="30"/>
      <c r="Y660" s="30"/>
      <c r="Z660" s="30"/>
      <c r="AA660" s="30"/>
      <c r="AB660" s="30"/>
    </row>
    <row r="661">
      <c r="A661" s="30"/>
      <c r="B661" s="30"/>
      <c r="C661" s="30"/>
      <c r="D661" s="30"/>
      <c r="E661" s="30"/>
      <c r="F661" s="292"/>
      <c r="G661" s="30"/>
      <c r="H661" s="30"/>
      <c r="I661" s="30"/>
      <c r="J661" s="30"/>
      <c r="K661" s="30"/>
      <c r="L661" s="30"/>
      <c r="M661" s="30"/>
      <c r="N661" s="30"/>
      <c r="O661" s="30"/>
      <c r="P661" s="30"/>
      <c r="Q661" s="30"/>
      <c r="R661" s="30"/>
      <c r="S661" s="195"/>
      <c r="T661" s="195"/>
      <c r="U661" s="195"/>
      <c r="V661" s="195"/>
      <c r="W661" s="30"/>
      <c r="X661" s="30"/>
      <c r="Y661" s="30"/>
      <c r="Z661" s="30"/>
      <c r="AA661" s="30"/>
      <c r="AB661" s="30"/>
    </row>
    <row r="662">
      <c r="A662" s="30"/>
      <c r="B662" s="30"/>
      <c r="C662" s="30"/>
      <c r="D662" s="30"/>
      <c r="E662" s="30"/>
      <c r="F662" s="292"/>
      <c r="G662" s="30"/>
      <c r="H662" s="30"/>
      <c r="I662" s="30"/>
      <c r="J662" s="30"/>
      <c r="K662" s="30"/>
      <c r="L662" s="30"/>
      <c r="M662" s="30"/>
      <c r="N662" s="30"/>
      <c r="O662" s="30"/>
      <c r="P662" s="30"/>
      <c r="Q662" s="30"/>
      <c r="R662" s="30"/>
      <c r="S662" s="195"/>
      <c r="T662" s="195"/>
      <c r="U662" s="195"/>
      <c r="V662" s="195"/>
      <c r="W662" s="30"/>
      <c r="X662" s="30"/>
      <c r="Y662" s="30"/>
      <c r="Z662" s="30"/>
      <c r="AA662" s="30"/>
      <c r="AB662" s="30"/>
    </row>
    <row r="663">
      <c r="A663" s="30"/>
      <c r="B663" s="30"/>
      <c r="C663" s="30"/>
      <c r="D663" s="30"/>
      <c r="E663" s="30"/>
      <c r="F663" s="292"/>
      <c r="G663" s="30"/>
      <c r="H663" s="30"/>
      <c r="I663" s="30"/>
      <c r="J663" s="30"/>
      <c r="K663" s="30"/>
      <c r="L663" s="30"/>
      <c r="M663" s="30"/>
      <c r="N663" s="30"/>
      <c r="O663" s="30"/>
      <c r="P663" s="30"/>
      <c r="Q663" s="30"/>
      <c r="R663" s="30"/>
      <c r="S663" s="195"/>
      <c r="T663" s="195"/>
      <c r="U663" s="195"/>
      <c r="V663" s="195"/>
      <c r="W663" s="30"/>
      <c r="X663" s="30"/>
      <c r="Y663" s="30"/>
      <c r="Z663" s="30"/>
      <c r="AA663" s="30"/>
      <c r="AB663" s="30"/>
    </row>
    <row r="664">
      <c r="A664" s="30"/>
      <c r="B664" s="30"/>
      <c r="C664" s="30"/>
      <c r="D664" s="30"/>
      <c r="E664" s="30"/>
      <c r="F664" s="292"/>
      <c r="G664" s="30"/>
      <c r="H664" s="30"/>
      <c r="I664" s="30"/>
      <c r="J664" s="30"/>
      <c r="K664" s="30"/>
      <c r="L664" s="30"/>
      <c r="M664" s="30"/>
      <c r="N664" s="30"/>
      <c r="O664" s="30"/>
      <c r="P664" s="30"/>
      <c r="Q664" s="30"/>
      <c r="R664" s="30"/>
      <c r="S664" s="195"/>
      <c r="T664" s="195"/>
      <c r="U664" s="195"/>
      <c r="V664" s="195"/>
      <c r="W664" s="30"/>
      <c r="X664" s="30"/>
      <c r="Y664" s="30"/>
      <c r="Z664" s="30"/>
      <c r="AA664" s="30"/>
      <c r="AB664" s="30"/>
    </row>
    <row r="665">
      <c r="A665" s="30"/>
      <c r="B665" s="30"/>
      <c r="C665" s="30"/>
      <c r="D665" s="30"/>
      <c r="E665" s="30"/>
      <c r="F665" s="292"/>
      <c r="G665" s="30"/>
      <c r="H665" s="30"/>
      <c r="I665" s="30"/>
      <c r="J665" s="30"/>
      <c r="K665" s="30"/>
      <c r="L665" s="30"/>
      <c r="M665" s="30"/>
      <c r="N665" s="30"/>
      <c r="O665" s="30"/>
      <c r="P665" s="30"/>
      <c r="Q665" s="30"/>
      <c r="R665" s="30"/>
      <c r="S665" s="195"/>
      <c r="T665" s="195"/>
      <c r="U665" s="195"/>
      <c r="V665" s="195"/>
      <c r="W665" s="30"/>
      <c r="X665" s="30"/>
      <c r="Y665" s="30"/>
      <c r="Z665" s="30"/>
      <c r="AA665" s="30"/>
      <c r="AB665" s="30"/>
    </row>
    <row r="666">
      <c r="A666" s="30"/>
      <c r="B666" s="30"/>
      <c r="C666" s="30"/>
      <c r="D666" s="30"/>
      <c r="E666" s="30"/>
      <c r="F666" s="292"/>
      <c r="G666" s="30"/>
      <c r="H666" s="30"/>
      <c r="I666" s="30"/>
      <c r="J666" s="30"/>
      <c r="K666" s="30"/>
      <c r="L666" s="30"/>
      <c r="M666" s="30"/>
      <c r="N666" s="30"/>
      <c r="O666" s="30"/>
      <c r="P666" s="30"/>
      <c r="Q666" s="30"/>
      <c r="R666" s="30"/>
      <c r="S666" s="195"/>
      <c r="T666" s="195"/>
      <c r="U666" s="195"/>
      <c r="V666" s="195"/>
      <c r="W666" s="30"/>
      <c r="X666" s="30"/>
      <c r="Y666" s="30"/>
      <c r="Z666" s="30"/>
      <c r="AA666" s="30"/>
      <c r="AB666" s="30"/>
    </row>
    <row r="667">
      <c r="A667" s="30"/>
      <c r="B667" s="30"/>
      <c r="C667" s="30"/>
      <c r="D667" s="30"/>
      <c r="E667" s="30"/>
      <c r="F667" s="292"/>
      <c r="G667" s="30"/>
      <c r="H667" s="30"/>
      <c r="I667" s="30"/>
      <c r="J667" s="30"/>
      <c r="K667" s="30"/>
      <c r="L667" s="30"/>
      <c r="M667" s="30"/>
      <c r="N667" s="30"/>
      <c r="O667" s="30"/>
      <c r="P667" s="30"/>
      <c r="Q667" s="30"/>
      <c r="R667" s="30"/>
      <c r="S667" s="195"/>
      <c r="T667" s="195"/>
      <c r="U667" s="195"/>
      <c r="V667" s="195"/>
      <c r="W667" s="30"/>
      <c r="X667" s="30"/>
      <c r="Y667" s="30"/>
      <c r="Z667" s="30"/>
      <c r="AA667" s="30"/>
      <c r="AB667" s="30"/>
    </row>
    <row r="668">
      <c r="A668" s="30"/>
      <c r="B668" s="30"/>
      <c r="C668" s="30"/>
      <c r="D668" s="30"/>
      <c r="E668" s="30"/>
      <c r="F668" s="292"/>
      <c r="G668" s="30"/>
      <c r="H668" s="30"/>
      <c r="I668" s="30"/>
      <c r="J668" s="30"/>
      <c r="K668" s="30"/>
      <c r="L668" s="30"/>
      <c r="M668" s="30"/>
      <c r="N668" s="30"/>
      <c r="O668" s="30"/>
      <c r="P668" s="30"/>
      <c r="Q668" s="30"/>
      <c r="R668" s="30"/>
      <c r="S668" s="195"/>
      <c r="T668" s="195"/>
      <c r="U668" s="195"/>
      <c r="V668" s="195"/>
      <c r="W668" s="30"/>
      <c r="X668" s="30"/>
      <c r="Y668" s="30"/>
      <c r="Z668" s="30"/>
      <c r="AA668" s="30"/>
      <c r="AB668" s="30"/>
    </row>
    <row r="669">
      <c r="A669" s="30"/>
      <c r="B669" s="30"/>
      <c r="C669" s="30"/>
      <c r="D669" s="30"/>
      <c r="E669" s="30"/>
      <c r="F669" s="292"/>
      <c r="G669" s="30"/>
      <c r="H669" s="30"/>
      <c r="I669" s="30"/>
      <c r="J669" s="30"/>
      <c r="K669" s="30"/>
      <c r="L669" s="30"/>
      <c r="M669" s="30"/>
      <c r="N669" s="30"/>
      <c r="O669" s="30"/>
      <c r="P669" s="30"/>
      <c r="Q669" s="30"/>
      <c r="R669" s="30"/>
      <c r="S669" s="195"/>
      <c r="T669" s="195"/>
      <c r="U669" s="195"/>
      <c r="V669" s="195"/>
      <c r="W669" s="30"/>
      <c r="X669" s="30"/>
      <c r="Y669" s="30"/>
      <c r="Z669" s="30"/>
      <c r="AA669" s="30"/>
      <c r="AB669" s="30"/>
    </row>
    <row r="670">
      <c r="A670" s="30"/>
      <c r="B670" s="30"/>
      <c r="C670" s="30"/>
      <c r="D670" s="30"/>
      <c r="E670" s="30"/>
      <c r="F670" s="292"/>
      <c r="G670" s="30"/>
      <c r="H670" s="30"/>
      <c r="I670" s="30"/>
      <c r="J670" s="30"/>
      <c r="K670" s="30"/>
      <c r="L670" s="30"/>
      <c r="M670" s="30"/>
      <c r="N670" s="30"/>
      <c r="O670" s="30"/>
      <c r="P670" s="30"/>
      <c r="Q670" s="30"/>
      <c r="R670" s="30"/>
      <c r="S670" s="195"/>
      <c r="T670" s="195"/>
      <c r="U670" s="195"/>
      <c r="V670" s="195"/>
      <c r="W670" s="30"/>
      <c r="X670" s="30"/>
      <c r="Y670" s="30"/>
      <c r="Z670" s="30"/>
      <c r="AA670" s="30"/>
      <c r="AB670" s="30"/>
    </row>
    <row r="671">
      <c r="A671" s="30"/>
      <c r="B671" s="30"/>
      <c r="C671" s="30"/>
      <c r="D671" s="30"/>
      <c r="E671" s="30"/>
      <c r="F671" s="292"/>
      <c r="G671" s="30"/>
      <c r="H671" s="30"/>
      <c r="I671" s="30"/>
      <c r="J671" s="30"/>
      <c r="K671" s="30"/>
      <c r="L671" s="30"/>
      <c r="M671" s="30"/>
      <c r="N671" s="30"/>
      <c r="O671" s="30"/>
      <c r="P671" s="30"/>
      <c r="Q671" s="30"/>
      <c r="R671" s="30"/>
      <c r="S671" s="195"/>
      <c r="T671" s="195"/>
      <c r="U671" s="195"/>
      <c r="V671" s="195"/>
      <c r="W671" s="30"/>
      <c r="X671" s="30"/>
      <c r="Y671" s="30"/>
      <c r="Z671" s="30"/>
      <c r="AA671" s="30"/>
      <c r="AB671" s="30"/>
    </row>
    <row r="672">
      <c r="A672" s="30"/>
      <c r="B672" s="30"/>
      <c r="C672" s="30"/>
      <c r="D672" s="30"/>
      <c r="E672" s="30"/>
      <c r="F672" s="292"/>
      <c r="G672" s="30"/>
      <c r="H672" s="30"/>
      <c r="I672" s="30"/>
      <c r="J672" s="30"/>
      <c r="K672" s="30"/>
      <c r="L672" s="30"/>
      <c r="M672" s="30"/>
      <c r="N672" s="30"/>
      <c r="O672" s="30"/>
      <c r="P672" s="30"/>
      <c r="Q672" s="30"/>
      <c r="R672" s="30"/>
      <c r="S672" s="195"/>
      <c r="T672" s="195"/>
      <c r="U672" s="195"/>
      <c r="V672" s="195"/>
      <c r="W672" s="30"/>
      <c r="X672" s="30"/>
      <c r="Y672" s="30"/>
      <c r="Z672" s="30"/>
      <c r="AA672" s="30"/>
      <c r="AB672" s="30"/>
    </row>
    <row r="673">
      <c r="A673" s="30"/>
      <c r="B673" s="30"/>
      <c r="C673" s="30"/>
      <c r="D673" s="30"/>
      <c r="E673" s="30"/>
      <c r="F673" s="292"/>
      <c r="G673" s="30"/>
      <c r="H673" s="30"/>
      <c r="I673" s="30"/>
      <c r="J673" s="30"/>
      <c r="K673" s="30"/>
      <c r="L673" s="30"/>
      <c r="M673" s="30"/>
      <c r="N673" s="30"/>
      <c r="O673" s="30"/>
      <c r="P673" s="30"/>
      <c r="Q673" s="30"/>
      <c r="R673" s="30"/>
      <c r="S673" s="195"/>
      <c r="T673" s="195"/>
      <c r="U673" s="195"/>
      <c r="V673" s="195"/>
      <c r="W673" s="30"/>
      <c r="X673" s="30"/>
      <c r="Y673" s="30"/>
      <c r="Z673" s="30"/>
      <c r="AA673" s="30"/>
      <c r="AB673" s="30"/>
    </row>
    <row r="674">
      <c r="A674" s="30"/>
      <c r="B674" s="30"/>
      <c r="C674" s="30"/>
      <c r="D674" s="30"/>
      <c r="E674" s="30"/>
      <c r="F674" s="292"/>
      <c r="G674" s="30"/>
      <c r="H674" s="30"/>
      <c r="I674" s="30"/>
      <c r="J674" s="30"/>
      <c r="K674" s="30"/>
      <c r="L674" s="30"/>
      <c r="M674" s="30"/>
      <c r="N674" s="30"/>
      <c r="O674" s="30"/>
      <c r="P674" s="30"/>
      <c r="Q674" s="30"/>
      <c r="R674" s="30"/>
      <c r="S674" s="195"/>
      <c r="T674" s="195"/>
      <c r="U674" s="195"/>
      <c r="V674" s="195"/>
      <c r="W674" s="30"/>
      <c r="X674" s="30"/>
      <c r="Y674" s="30"/>
      <c r="Z674" s="30"/>
      <c r="AA674" s="30"/>
      <c r="AB674" s="30"/>
    </row>
    <row r="675">
      <c r="A675" s="30"/>
      <c r="B675" s="30"/>
      <c r="C675" s="30"/>
      <c r="D675" s="30"/>
      <c r="E675" s="30"/>
      <c r="F675" s="292"/>
      <c r="G675" s="30"/>
      <c r="H675" s="30"/>
      <c r="I675" s="30"/>
      <c r="J675" s="30"/>
      <c r="K675" s="30"/>
      <c r="L675" s="30"/>
      <c r="M675" s="30"/>
      <c r="N675" s="30"/>
      <c r="O675" s="30"/>
      <c r="P675" s="30"/>
      <c r="Q675" s="30"/>
      <c r="R675" s="30"/>
      <c r="S675" s="195"/>
      <c r="T675" s="195"/>
      <c r="U675" s="195"/>
      <c r="V675" s="195"/>
      <c r="W675" s="30"/>
      <c r="X675" s="30"/>
      <c r="Y675" s="30"/>
      <c r="Z675" s="30"/>
      <c r="AA675" s="30"/>
      <c r="AB675" s="30"/>
    </row>
    <row r="676">
      <c r="A676" s="30"/>
      <c r="B676" s="30"/>
      <c r="C676" s="30"/>
      <c r="D676" s="30"/>
      <c r="E676" s="30"/>
      <c r="F676" s="292"/>
      <c r="G676" s="30"/>
      <c r="H676" s="30"/>
      <c r="I676" s="30"/>
      <c r="J676" s="30"/>
      <c r="K676" s="30"/>
      <c r="L676" s="30"/>
      <c r="M676" s="30"/>
      <c r="N676" s="30"/>
      <c r="O676" s="30"/>
      <c r="P676" s="30"/>
      <c r="Q676" s="30"/>
      <c r="R676" s="30"/>
      <c r="S676" s="195"/>
      <c r="T676" s="195"/>
      <c r="U676" s="195"/>
      <c r="V676" s="195"/>
      <c r="W676" s="30"/>
      <c r="X676" s="30"/>
      <c r="Y676" s="30"/>
      <c r="Z676" s="30"/>
      <c r="AA676" s="30"/>
      <c r="AB676" s="30"/>
    </row>
    <row r="677">
      <c r="A677" s="30"/>
      <c r="B677" s="30"/>
      <c r="C677" s="30"/>
      <c r="D677" s="30"/>
      <c r="E677" s="30"/>
      <c r="F677" s="292"/>
      <c r="G677" s="30"/>
      <c r="H677" s="30"/>
      <c r="I677" s="30"/>
      <c r="J677" s="30"/>
      <c r="K677" s="30"/>
      <c r="L677" s="30"/>
      <c r="M677" s="30"/>
      <c r="N677" s="30"/>
      <c r="O677" s="30"/>
      <c r="P677" s="30"/>
      <c r="Q677" s="30"/>
      <c r="R677" s="30"/>
      <c r="S677" s="195"/>
      <c r="T677" s="195"/>
      <c r="U677" s="195"/>
      <c r="V677" s="195"/>
      <c r="W677" s="30"/>
      <c r="X677" s="30"/>
      <c r="Y677" s="30"/>
      <c r="Z677" s="30"/>
      <c r="AA677" s="30"/>
      <c r="AB677" s="30"/>
    </row>
    <row r="678">
      <c r="A678" s="30"/>
      <c r="B678" s="30"/>
      <c r="C678" s="30"/>
      <c r="D678" s="30"/>
      <c r="E678" s="30"/>
      <c r="F678" s="292"/>
      <c r="G678" s="30"/>
      <c r="H678" s="30"/>
      <c r="I678" s="30"/>
      <c r="J678" s="30"/>
      <c r="K678" s="30"/>
      <c r="L678" s="30"/>
      <c r="M678" s="30"/>
      <c r="N678" s="30"/>
      <c r="O678" s="30"/>
      <c r="P678" s="30"/>
      <c r="Q678" s="30"/>
      <c r="R678" s="30"/>
      <c r="S678" s="195"/>
      <c r="T678" s="195"/>
      <c r="U678" s="195"/>
      <c r="V678" s="195"/>
      <c r="W678" s="30"/>
      <c r="X678" s="30"/>
      <c r="Y678" s="30"/>
      <c r="Z678" s="30"/>
      <c r="AA678" s="30"/>
      <c r="AB678" s="30"/>
    </row>
    <row r="679">
      <c r="A679" s="30"/>
      <c r="B679" s="30"/>
      <c r="C679" s="30"/>
      <c r="D679" s="30"/>
      <c r="E679" s="30"/>
      <c r="F679" s="292"/>
      <c r="G679" s="30"/>
      <c r="H679" s="30"/>
      <c r="I679" s="30"/>
      <c r="J679" s="30"/>
      <c r="K679" s="30"/>
      <c r="L679" s="30"/>
      <c r="M679" s="30"/>
      <c r="N679" s="30"/>
      <c r="O679" s="30"/>
      <c r="P679" s="30"/>
      <c r="Q679" s="30"/>
      <c r="R679" s="30"/>
      <c r="S679" s="195"/>
      <c r="T679" s="195"/>
      <c r="U679" s="195"/>
      <c r="V679" s="195"/>
      <c r="W679" s="30"/>
      <c r="X679" s="30"/>
      <c r="Y679" s="30"/>
      <c r="Z679" s="30"/>
      <c r="AA679" s="30"/>
      <c r="AB679" s="30"/>
    </row>
    <row r="680">
      <c r="A680" s="30"/>
      <c r="B680" s="30"/>
      <c r="C680" s="30"/>
      <c r="D680" s="30"/>
      <c r="E680" s="30"/>
      <c r="F680" s="292"/>
      <c r="G680" s="30"/>
      <c r="H680" s="30"/>
      <c r="I680" s="30"/>
      <c r="J680" s="30"/>
      <c r="K680" s="30"/>
      <c r="L680" s="30"/>
      <c r="M680" s="30"/>
      <c r="N680" s="30"/>
      <c r="O680" s="30"/>
      <c r="P680" s="30"/>
      <c r="Q680" s="30"/>
      <c r="R680" s="30"/>
      <c r="S680" s="195"/>
      <c r="T680" s="195"/>
      <c r="U680" s="195"/>
      <c r="V680" s="195"/>
      <c r="W680" s="30"/>
      <c r="X680" s="30"/>
      <c r="Y680" s="30"/>
      <c r="Z680" s="30"/>
      <c r="AA680" s="30"/>
      <c r="AB680" s="30"/>
    </row>
    <row r="681">
      <c r="A681" s="30"/>
      <c r="B681" s="30"/>
      <c r="C681" s="30"/>
      <c r="D681" s="30"/>
      <c r="E681" s="30"/>
      <c r="F681" s="292"/>
      <c r="G681" s="30"/>
      <c r="H681" s="30"/>
      <c r="I681" s="30"/>
      <c r="J681" s="30"/>
      <c r="K681" s="30"/>
      <c r="L681" s="30"/>
      <c r="M681" s="30"/>
      <c r="N681" s="30"/>
      <c r="O681" s="30"/>
      <c r="P681" s="30"/>
      <c r="Q681" s="30"/>
      <c r="R681" s="30"/>
      <c r="S681" s="195"/>
      <c r="T681" s="195"/>
      <c r="U681" s="195"/>
      <c r="V681" s="195"/>
      <c r="W681" s="30"/>
      <c r="X681" s="30"/>
      <c r="Y681" s="30"/>
      <c r="Z681" s="30"/>
      <c r="AA681" s="30"/>
      <c r="AB681" s="30"/>
    </row>
    <row r="682">
      <c r="A682" s="30"/>
      <c r="B682" s="30"/>
      <c r="C682" s="30"/>
      <c r="D682" s="30"/>
      <c r="E682" s="30"/>
      <c r="F682" s="292"/>
      <c r="G682" s="30"/>
      <c r="H682" s="30"/>
      <c r="I682" s="30"/>
      <c r="J682" s="30"/>
      <c r="K682" s="30"/>
      <c r="L682" s="30"/>
      <c r="M682" s="30"/>
      <c r="N682" s="30"/>
      <c r="O682" s="30"/>
      <c r="P682" s="30"/>
      <c r="Q682" s="30"/>
      <c r="R682" s="30"/>
      <c r="S682" s="195"/>
      <c r="T682" s="195"/>
      <c r="U682" s="195"/>
      <c r="V682" s="195"/>
      <c r="W682" s="30"/>
      <c r="X682" s="30"/>
      <c r="Y682" s="30"/>
      <c r="Z682" s="30"/>
      <c r="AA682" s="30"/>
      <c r="AB682" s="30"/>
    </row>
    <row r="683">
      <c r="A683" s="30"/>
      <c r="B683" s="30"/>
      <c r="C683" s="30"/>
      <c r="D683" s="30"/>
      <c r="E683" s="30"/>
      <c r="F683" s="292"/>
      <c r="G683" s="30"/>
      <c r="H683" s="30"/>
      <c r="I683" s="30"/>
      <c r="J683" s="30"/>
      <c r="K683" s="30"/>
      <c r="L683" s="30"/>
      <c r="M683" s="30"/>
      <c r="N683" s="30"/>
      <c r="O683" s="30"/>
      <c r="P683" s="30"/>
      <c r="Q683" s="30"/>
      <c r="R683" s="30"/>
      <c r="S683" s="195"/>
      <c r="T683" s="195"/>
      <c r="U683" s="195"/>
      <c r="V683" s="195"/>
      <c r="W683" s="30"/>
      <c r="X683" s="30"/>
      <c r="Y683" s="30"/>
      <c r="Z683" s="30"/>
      <c r="AA683" s="30"/>
      <c r="AB683" s="30"/>
    </row>
    <row r="684">
      <c r="A684" s="30"/>
      <c r="B684" s="30"/>
      <c r="C684" s="30"/>
      <c r="D684" s="30"/>
      <c r="E684" s="30"/>
      <c r="F684" s="292"/>
      <c r="G684" s="30"/>
      <c r="H684" s="30"/>
      <c r="I684" s="30"/>
      <c r="J684" s="30"/>
      <c r="K684" s="30"/>
      <c r="L684" s="30"/>
      <c r="M684" s="30"/>
      <c r="N684" s="30"/>
      <c r="O684" s="30"/>
      <c r="P684" s="30"/>
      <c r="Q684" s="30"/>
      <c r="R684" s="30"/>
      <c r="S684" s="195"/>
      <c r="T684" s="195"/>
      <c r="U684" s="195"/>
      <c r="V684" s="195"/>
      <c r="W684" s="30"/>
      <c r="X684" s="30"/>
      <c r="Y684" s="30"/>
      <c r="Z684" s="30"/>
      <c r="AA684" s="30"/>
      <c r="AB684" s="30"/>
    </row>
    <row r="685">
      <c r="A685" s="30"/>
      <c r="B685" s="30"/>
      <c r="C685" s="30"/>
      <c r="D685" s="30"/>
      <c r="E685" s="30"/>
      <c r="F685" s="292"/>
      <c r="G685" s="30"/>
      <c r="H685" s="30"/>
      <c r="I685" s="30"/>
      <c r="J685" s="30"/>
      <c r="K685" s="30"/>
      <c r="L685" s="30"/>
      <c r="M685" s="30"/>
      <c r="N685" s="30"/>
      <c r="O685" s="30"/>
      <c r="P685" s="30"/>
      <c r="Q685" s="30"/>
      <c r="R685" s="30"/>
      <c r="S685" s="195"/>
      <c r="T685" s="195"/>
      <c r="U685" s="195"/>
      <c r="V685" s="195"/>
      <c r="W685" s="30"/>
      <c r="X685" s="30"/>
      <c r="Y685" s="30"/>
      <c r="Z685" s="30"/>
      <c r="AA685" s="30"/>
      <c r="AB685" s="30"/>
    </row>
    <row r="686">
      <c r="A686" s="30"/>
      <c r="B686" s="30"/>
      <c r="C686" s="30"/>
      <c r="D686" s="30"/>
      <c r="E686" s="30"/>
      <c r="F686" s="292"/>
      <c r="G686" s="30"/>
      <c r="H686" s="30"/>
      <c r="I686" s="30"/>
      <c r="J686" s="30"/>
      <c r="K686" s="30"/>
      <c r="L686" s="30"/>
      <c r="M686" s="30"/>
      <c r="N686" s="30"/>
      <c r="O686" s="30"/>
      <c r="P686" s="30"/>
      <c r="Q686" s="30"/>
      <c r="R686" s="30"/>
      <c r="S686" s="195"/>
      <c r="T686" s="195"/>
      <c r="U686" s="195"/>
      <c r="V686" s="195"/>
      <c r="W686" s="30"/>
      <c r="X686" s="30"/>
      <c r="Y686" s="30"/>
      <c r="Z686" s="30"/>
      <c r="AA686" s="30"/>
      <c r="AB686" s="30"/>
    </row>
    <row r="687">
      <c r="A687" s="30"/>
      <c r="B687" s="30"/>
      <c r="C687" s="30"/>
      <c r="D687" s="30"/>
      <c r="E687" s="30"/>
      <c r="F687" s="292"/>
      <c r="G687" s="30"/>
      <c r="H687" s="30"/>
      <c r="I687" s="30"/>
      <c r="J687" s="30"/>
      <c r="K687" s="30"/>
      <c r="L687" s="30"/>
      <c r="M687" s="30"/>
      <c r="N687" s="30"/>
      <c r="O687" s="30"/>
      <c r="P687" s="30"/>
      <c r="Q687" s="30"/>
      <c r="R687" s="30"/>
      <c r="S687" s="195"/>
      <c r="T687" s="195"/>
      <c r="U687" s="195"/>
      <c r="V687" s="195"/>
      <c r="W687" s="30"/>
      <c r="X687" s="30"/>
      <c r="Y687" s="30"/>
      <c r="Z687" s="30"/>
      <c r="AA687" s="30"/>
      <c r="AB687" s="30"/>
    </row>
    <row r="688">
      <c r="A688" s="30"/>
      <c r="B688" s="30"/>
      <c r="C688" s="30"/>
      <c r="D688" s="30"/>
      <c r="E688" s="30"/>
      <c r="F688" s="292"/>
      <c r="G688" s="30"/>
      <c r="H688" s="30"/>
      <c r="I688" s="30"/>
      <c r="J688" s="30"/>
      <c r="K688" s="30"/>
      <c r="L688" s="30"/>
      <c r="M688" s="30"/>
      <c r="N688" s="30"/>
      <c r="O688" s="30"/>
      <c r="P688" s="30"/>
      <c r="Q688" s="30"/>
      <c r="R688" s="30"/>
      <c r="S688" s="195"/>
      <c r="T688" s="195"/>
      <c r="U688" s="195"/>
      <c r="V688" s="195"/>
      <c r="W688" s="30"/>
      <c r="X688" s="30"/>
      <c r="Y688" s="30"/>
      <c r="Z688" s="30"/>
      <c r="AA688" s="30"/>
      <c r="AB688" s="30"/>
    </row>
    <row r="689">
      <c r="A689" s="30"/>
      <c r="B689" s="30"/>
      <c r="C689" s="30"/>
      <c r="D689" s="30"/>
      <c r="E689" s="30"/>
      <c r="F689" s="292"/>
      <c r="G689" s="30"/>
      <c r="H689" s="30"/>
      <c r="I689" s="30"/>
      <c r="J689" s="30"/>
      <c r="K689" s="30"/>
      <c r="L689" s="30"/>
      <c r="M689" s="30"/>
      <c r="N689" s="30"/>
      <c r="O689" s="30"/>
      <c r="P689" s="30"/>
      <c r="Q689" s="30"/>
      <c r="R689" s="30"/>
      <c r="S689" s="195"/>
      <c r="T689" s="195"/>
      <c r="U689" s="195"/>
      <c r="V689" s="195"/>
      <c r="W689" s="30"/>
      <c r="X689" s="30"/>
      <c r="Y689" s="30"/>
      <c r="Z689" s="30"/>
      <c r="AA689" s="30"/>
      <c r="AB689" s="30"/>
    </row>
    <row r="690">
      <c r="A690" s="30"/>
      <c r="B690" s="30"/>
      <c r="C690" s="30"/>
      <c r="D690" s="30"/>
      <c r="E690" s="30"/>
      <c r="F690" s="292"/>
      <c r="G690" s="30"/>
      <c r="H690" s="30"/>
      <c r="I690" s="30"/>
      <c r="J690" s="30"/>
      <c r="K690" s="30"/>
      <c r="L690" s="30"/>
      <c r="M690" s="30"/>
      <c r="N690" s="30"/>
      <c r="O690" s="30"/>
      <c r="P690" s="30"/>
      <c r="Q690" s="30"/>
      <c r="R690" s="30"/>
      <c r="S690" s="195"/>
      <c r="T690" s="195"/>
      <c r="U690" s="195"/>
      <c r="V690" s="195"/>
      <c r="W690" s="30"/>
      <c r="X690" s="30"/>
      <c r="Y690" s="30"/>
      <c r="Z690" s="30"/>
      <c r="AA690" s="30"/>
      <c r="AB690" s="30"/>
    </row>
    <row r="691">
      <c r="A691" s="30"/>
      <c r="B691" s="30"/>
      <c r="C691" s="30"/>
      <c r="D691" s="30"/>
      <c r="E691" s="30"/>
      <c r="F691" s="292"/>
      <c r="G691" s="30"/>
      <c r="H691" s="30"/>
      <c r="I691" s="30"/>
      <c r="J691" s="30"/>
      <c r="K691" s="30"/>
      <c r="L691" s="30"/>
      <c r="M691" s="30"/>
      <c r="N691" s="30"/>
      <c r="O691" s="30"/>
      <c r="P691" s="30"/>
      <c r="Q691" s="30"/>
      <c r="R691" s="30"/>
      <c r="S691" s="195"/>
      <c r="T691" s="195"/>
      <c r="U691" s="195"/>
      <c r="V691" s="195"/>
      <c r="W691" s="30"/>
      <c r="X691" s="30"/>
      <c r="Y691" s="30"/>
      <c r="Z691" s="30"/>
      <c r="AA691" s="30"/>
      <c r="AB691" s="30"/>
    </row>
    <row r="692">
      <c r="A692" s="30"/>
      <c r="B692" s="30"/>
      <c r="C692" s="30"/>
      <c r="D692" s="30"/>
      <c r="E692" s="30"/>
      <c r="F692" s="292"/>
      <c r="G692" s="30"/>
      <c r="H692" s="30"/>
      <c r="I692" s="30"/>
      <c r="J692" s="30"/>
      <c r="K692" s="30"/>
      <c r="L692" s="30"/>
      <c r="M692" s="30"/>
      <c r="N692" s="30"/>
      <c r="O692" s="30"/>
      <c r="P692" s="30"/>
      <c r="Q692" s="30"/>
      <c r="R692" s="30"/>
      <c r="S692" s="195"/>
      <c r="T692" s="195"/>
      <c r="U692" s="195"/>
      <c r="V692" s="195"/>
      <c r="W692" s="30"/>
      <c r="X692" s="30"/>
      <c r="Y692" s="30"/>
      <c r="Z692" s="30"/>
      <c r="AA692" s="30"/>
      <c r="AB692" s="30"/>
    </row>
    <row r="693">
      <c r="A693" s="30"/>
      <c r="B693" s="30"/>
      <c r="C693" s="30"/>
      <c r="D693" s="30"/>
      <c r="E693" s="30"/>
      <c r="F693" s="292"/>
      <c r="G693" s="30"/>
      <c r="H693" s="30"/>
      <c r="I693" s="30"/>
      <c r="J693" s="30"/>
      <c r="K693" s="30"/>
      <c r="L693" s="30"/>
      <c r="M693" s="30"/>
      <c r="N693" s="30"/>
      <c r="O693" s="30"/>
      <c r="P693" s="30"/>
      <c r="Q693" s="30"/>
      <c r="R693" s="30"/>
      <c r="S693" s="195"/>
      <c r="T693" s="195"/>
      <c r="U693" s="195"/>
      <c r="V693" s="195"/>
      <c r="W693" s="30"/>
      <c r="X693" s="30"/>
      <c r="Y693" s="30"/>
      <c r="Z693" s="30"/>
      <c r="AA693" s="30"/>
      <c r="AB693" s="30"/>
    </row>
    <row r="694">
      <c r="A694" s="30"/>
      <c r="B694" s="30"/>
      <c r="C694" s="30"/>
      <c r="D694" s="30"/>
      <c r="E694" s="30"/>
      <c r="F694" s="292"/>
      <c r="G694" s="30"/>
      <c r="H694" s="30"/>
      <c r="I694" s="30"/>
      <c r="J694" s="30"/>
      <c r="K694" s="30"/>
      <c r="L694" s="30"/>
      <c r="M694" s="30"/>
      <c r="N694" s="30"/>
      <c r="O694" s="30"/>
      <c r="P694" s="30"/>
      <c r="Q694" s="30"/>
      <c r="R694" s="30"/>
      <c r="S694" s="195"/>
      <c r="T694" s="195"/>
      <c r="U694" s="195"/>
      <c r="V694" s="195"/>
      <c r="W694" s="30"/>
      <c r="X694" s="30"/>
      <c r="Y694" s="30"/>
      <c r="Z694" s="30"/>
      <c r="AA694" s="30"/>
      <c r="AB694" s="30"/>
    </row>
    <row r="695">
      <c r="A695" s="30"/>
      <c r="B695" s="30"/>
      <c r="C695" s="30"/>
      <c r="D695" s="30"/>
      <c r="E695" s="30"/>
      <c r="F695" s="292"/>
      <c r="G695" s="30"/>
      <c r="H695" s="30"/>
      <c r="I695" s="30"/>
      <c r="J695" s="30"/>
      <c r="K695" s="30"/>
      <c r="L695" s="30"/>
      <c r="M695" s="30"/>
      <c r="N695" s="30"/>
      <c r="O695" s="30"/>
      <c r="P695" s="30"/>
      <c r="Q695" s="30"/>
      <c r="R695" s="30"/>
      <c r="S695" s="195"/>
      <c r="T695" s="195"/>
      <c r="U695" s="195"/>
      <c r="V695" s="195"/>
      <c r="W695" s="30"/>
      <c r="X695" s="30"/>
      <c r="Y695" s="30"/>
      <c r="Z695" s="30"/>
      <c r="AA695" s="30"/>
      <c r="AB695" s="30"/>
    </row>
    <row r="696">
      <c r="A696" s="30"/>
      <c r="B696" s="30"/>
      <c r="C696" s="30"/>
      <c r="D696" s="30"/>
      <c r="E696" s="30"/>
      <c r="F696" s="292"/>
      <c r="G696" s="30"/>
      <c r="H696" s="30"/>
      <c r="I696" s="30"/>
      <c r="J696" s="30"/>
      <c r="K696" s="30"/>
      <c r="L696" s="30"/>
      <c r="M696" s="30"/>
      <c r="N696" s="30"/>
      <c r="O696" s="30"/>
      <c r="P696" s="30"/>
      <c r="Q696" s="30"/>
      <c r="R696" s="30"/>
      <c r="S696" s="195"/>
      <c r="T696" s="195"/>
      <c r="U696" s="195"/>
      <c r="V696" s="195"/>
      <c r="W696" s="30"/>
      <c r="X696" s="30"/>
      <c r="Y696" s="30"/>
      <c r="Z696" s="30"/>
      <c r="AA696" s="30"/>
      <c r="AB696" s="30"/>
    </row>
    <row r="697">
      <c r="A697" s="30"/>
      <c r="B697" s="30"/>
      <c r="C697" s="30"/>
      <c r="D697" s="30"/>
      <c r="E697" s="30"/>
      <c r="F697" s="292"/>
      <c r="G697" s="30"/>
      <c r="H697" s="30"/>
      <c r="I697" s="30"/>
      <c r="J697" s="30"/>
      <c r="K697" s="30"/>
      <c r="L697" s="30"/>
      <c r="M697" s="30"/>
      <c r="N697" s="30"/>
      <c r="O697" s="30"/>
      <c r="P697" s="30"/>
      <c r="Q697" s="30"/>
      <c r="R697" s="30"/>
      <c r="S697" s="195"/>
      <c r="T697" s="195"/>
      <c r="U697" s="195"/>
      <c r="V697" s="195"/>
      <c r="W697" s="30"/>
      <c r="X697" s="30"/>
      <c r="Y697" s="30"/>
      <c r="Z697" s="30"/>
      <c r="AA697" s="30"/>
      <c r="AB697" s="30"/>
    </row>
    <row r="698">
      <c r="A698" s="30"/>
      <c r="B698" s="30"/>
      <c r="C698" s="30"/>
      <c r="D698" s="30"/>
      <c r="E698" s="30"/>
      <c r="F698" s="292"/>
      <c r="G698" s="30"/>
      <c r="H698" s="30"/>
      <c r="I698" s="30"/>
      <c r="J698" s="30"/>
      <c r="K698" s="30"/>
      <c r="L698" s="30"/>
      <c r="M698" s="30"/>
      <c r="N698" s="30"/>
      <c r="O698" s="30"/>
      <c r="P698" s="30"/>
      <c r="Q698" s="30"/>
      <c r="R698" s="30"/>
      <c r="S698" s="195"/>
      <c r="T698" s="195"/>
      <c r="U698" s="195"/>
      <c r="V698" s="195"/>
      <c r="W698" s="30"/>
      <c r="X698" s="30"/>
      <c r="Y698" s="30"/>
      <c r="Z698" s="30"/>
      <c r="AA698" s="30"/>
      <c r="AB698" s="30"/>
    </row>
    <row r="699">
      <c r="A699" s="30"/>
      <c r="B699" s="30"/>
      <c r="C699" s="30"/>
      <c r="D699" s="30"/>
      <c r="E699" s="30"/>
      <c r="F699" s="292"/>
      <c r="G699" s="30"/>
      <c r="H699" s="30"/>
      <c r="I699" s="30"/>
      <c r="J699" s="30"/>
      <c r="K699" s="30"/>
      <c r="L699" s="30"/>
      <c r="M699" s="30"/>
      <c r="N699" s="30"/>
      <c r="O699" s="30"/>
      <c r="P699" s="30"/>
      <c r="Q699" s="30"/>
      <c r="R699" s="30"/>
      <c r="S699" s="195"/>
      <c r="T699" s="195"/>
      <c r="U699" s="195"/>
      <c r="V699" s="195"/>
      <c r="W699" s="30"/>
      <c r="X699" s="30"/>
      <c r="Y699" s="30"/>
      <c r="Z699" s="30"/>
      <c r="AA699" s="30"/>
      <c r="AB699" s="30"/>
    </row>
    <row r="700">
      <c r="A700" s="30"/>
      <c r="B700" s="30"/>
      <c r="C700" s="30"/>
      <c r="D700" s="30"/>
      <c r="E700" s="30"/>
      <c r="F700" s="292"/>
      <c r="G700" s="30"/>
      <c r="H700" s="30"/>
      <c r="I700" s="30"/>
      <c r="J700" s="30"/>
      <c r="K700" s="30"/>
      <c r="L700" s="30"/>
      <c r="M700" s="30"/>
      <c r="N700" s="30"/>
      <c r="O700" s="30"/>
      <c r="P700" s="30"/>
      <c r="Q700" s="30"/>
      <c r="R700" s="30"/>
      <c r="S700" s="195"/>
      <c r="T700" s="195"/>
      <c r="U700" s="195"/>
      <c r="V700" s="195"/>
      <c r="W700" s="30"/>
      <c r="X700" s="30"/>
      <c r="Y700" s="30"/>
      <c r="Z700" s="30"/>
      <c r="AA700" s="30"/>
      <c r="AB700" s="30"/>
    </row>
    <row r="701">
      <c r="A701" s="30"/>
      <c r="B701" s="30"/>
      <c r="C701" s="30"/>
      <c r="D701" s="30"/>
      <c r="E701" s="30"/>
      <c r="F701" s="292"/>
      <c r="G701" s="30"/>
      <c r="H701" s="30"/>
      <c r="I701" s="30"/>
      <c r="J701" s="30"/>
      <c r="K701" s="30"/>
      <c r="L701" s="30"/>
      <c r="M701" s="30"/>
      <c r="N701" s="30"/>
      <c r="O701" s="30"/>
      <c r="P701" s="30"/>
      <c r="Q701" s="30"/>
      <c r="R701" s="30"/>
      <c r="S701" s="195"/>
      <c r="T701" s="195"/>
      <c r="U701" s="195"/>
      <c r="V701" s="195"/>
      <c r="W701" s="30"/>
      <c r="X701" s="30"/>
      <c r="Y701" s="30"/>
      <c r="Z701" s="30"/>
      <c r="AA701" s="30"/>
      <c r="AB701" s="30"/>
    </row>
    <row r="702">
      <c r="A702" s="30"/>
      <c r="B702" s="30"/>
      <c r="C702" s="30"/>
      <c r="D702" s="30"/>
      <c r="E702" s="30"/>
      <c r="F702" s="292"/>
      <c r="G702" s="30"/>
      <c r="H702" s="30"/>
      <c r="I702" s="30"/>
      <c r="J702" s="30"/>
      <c r="K702" s="30"/>
      <c r="L702" s="30"/>
      <c r="M702" s="30"/>
      <c r="N702" s="30"/>
      <c r="O702" s="30"/>
      <c r="P702" s="30"/>
      <c r="Q702" s="30"/>
      <c r="R702" s="30"/>
      <c r="S702" s="195"/>
      <c r="T702" s="195"/>
      <c r="U702" s="195"/>
      <c r="V702" s="195"/>
      <c r="W702" s="30"/>
      <c r="X702" s="30"/>
      <c r="Y702" s="30"/>
      <c r="Z702" s="30"/>
      <c r="AA702" s="30"/>
      <c r="AB702" s="30"/>
    </row>
    <row r="703">
      <c r="A703" s="30"/>
      <c r="B703" s="30"/>
      <c r="C703" s="30"/>
      <c r="D703" s="30"/>
      <c r="E703" s="30"/>
      <c r="F703" s="292"/>
      <c r="G703" s="30"/>
      <c r="H703" s="30"/>
      <c r="I703" s="30"/>
      <c r="J703" s="30"/>
      <c r="K703" s="30"/>
      <c r="L703" s="30"/>
      <c r="M703" s="30"/>
      <c r="N703" s="30"/>
      <c r="O703" s="30"/>
      <c r="P703" s="30"/>
      <c r="Q703" s="30"/>
      <c r="R703" s="30"/>
      <c r="S703" s="195"/>
      <c r="T703" s="195"/>
      <c r="U703" s="195"/>
      <c r="V703" s="195"/>
      <c r="W703" s="30"/>
      <c r="X703" s="30"/>
      <c r="Y703" s="30"/>
      <c r="Z703" s="30"/>
      <c r="AA703" s="30"/>
      <c r="AB703" s="30"/>
    </row>
    <row r="704">
      <c r="A704" s="30"/>
      <c r="B704" s="30"/>
      <c r="C704" s="30"/>
      <c r="D704" s="30"/>
      <c r="E704" s="30"/>
      <c r="F704" s="292"/>
      <c r="G704" s="30"/>
      <c r="H704" s="30"/>
      <c r="I704" s="30"/>
      <c r="J704" s="30"/>
      <c r="K704" s="30"/>
      <c r="L704" s="30"/>
      <c r="M704" s="30"/>
      <c r="N704" s="30"/>
      <c r="O704" s="30"/>
      <c r="P704" s="30"/>
      <c r="Q704" s="30"/>
      <c r="R704" s="30"/>
      <c r="S704" s="195"/>
      <c r="T704" s="195"/>
      <c r="U704" s="195"/>
      <c r="V704" s="195"/>
      <c r="W704" s="30"/>
      <c r="X704" s="30"/>
      <c r="Y704" s="30"/>
      <c r="Z704" s="30"/>
      <c r="AA704" s="30"/>
      <c r="AB704" s="30"/>
    </row>
    <row r="705">
      <c r="A705" s="30"/>
      <c r="B705" s="30"/>
      <c r="C705" s="30"/>
      <c r="D705" s="30"/>
      <c r="E705" s="30"/>
      <c r="F705" s="292"/>
      <c r="G705" s="30"/>
      <c r="H705" s="30"/>
      <c r="I705" s="30"/>
      <c r="J705" s="30"/>
      <c r="K705" s="30"/>
      <c r="L705" s="30"/>
      <c r="M705" s="30"/>
      <c r="N705" s="30"/>
      <c r="O705" s="30"/>
      <c r="P705" s="30"/>
      <c r="Q705" s="30"/>
      <c r="R705" s="30"/>
      <c r="S705" s="195"/>
      <c r="T705" s="195"/>
      <c r="U705" s="195"/>
      <c r="V705" s="195"/>
      <c r="W705" s="30"/>
      <c r="X705" s="30"/>
      <c r="Y705" s="30"/>
      <c r="Z705" s="30"/>
      <c r="AA705" s="30"/>
      <c r="AB705" s="30"/>
    </row>
    <row r="706">
      <c r="A706" s="30"/>
      <c r="B706" s="30"/>
      <c r="C706" s="30"/>
      <c r="D706" s="30"/>
      <c r="E706" s="30"/>
      <c r="F706" s="292"/>
      <c r="G706" s="30"/>
      <c r="H706" s="30"/>
      <c r="I706" s="30"/>
      <c r="J706" s="30"/>
      <c r="K706" s="30"/>
      <c r="L706" s="30"/>
      <c r="M706" s="30"/>
      <c r="N706" s="30"/>
      <c r="O706" s="30"/>
      <c r="P706" s="30"/>
      <c r="Q706" s="30"/>
      <c r="R706" s="30"/>
      <c r="S706" s="195"/>
      <c r="T706" s="195"/>
      <c r="U706" s="195"/>
      <c r="V706" s="195"/>
      <c r="W706" s="30"/>
      <c r="X706" s="30"/>
      <c r="Y706" s="30"/>
      <c r="Z706" s="30"/>
      <c r="AA706" s="30"/>
      <c r="AB706" s="30"/>
    </row>
    <row r="707">
      <c r="A707" s="30"/>
      <c r="B707" s="30"/>
      <c r="C707" s="30"/>
      <c r="D707" s="30"/>
      <c r="E707" s="30"/>
      <c r="F707" s="292"/>
      <c r="G707" s="30"/>
      <c r="H707" s="30"/>
      <c r="I707" s="30"/>
      <c r="J707" s="30"/>
      <c r="K707" s="30"/>
      <c r="L707" s="30"/>
      <c r="M707" s="30"/>
      <c r="N707" s="30"/>
      <c r="O707" s="30"/>
      <c r="P707" s="30"/>
      <c r="Q707" s="30"/>
      <c r="R707" s="30"/>
      <c r="S707" s="195"/>
      <c r="T707" s="195"/>
      <c r="U707" s="195"/>
      <c r="V707" s="195"/>
      <c r="W707" s="30"/>
      <c r="X707" s="30"/>
      <c r="Y707" s="30"/>
      <c r="Z707" s="30"/>
      <c r="AA707" s="30"/>
      <c r="AB707" s="30"/>
    </row>
    <row r="708">
      <c r="A708" s="30"/>
      <c r="B708" s="30"/>
      <c r="C708" s="30"/>
      <c r="D708" s="30"/>
      <c r="E708" s="30"/>
      <c r="F708" s="292"/>
      <c r="G708" s="30"/>
      <c r="H708" s="30"/>
      <c r="I708" s="30"/>
      <c r="J708" s="30"/>
      <c r="K708" s="30"/>
      <c r="L708" s="30"/>
      <c r="M708" s="30"/>
      <c r="N708" s="30"/>
      <c r="O708" s="30"/>
      <c r="P708" s="30"/>
      <c r="Q708" s="30"/>
      <c r="R708" s="30"/>
      <c r="S708" s="195"/>
      <c r="T708" s="195"/>
      <c r="U708" s="195"/>
      <c r="V708" s="195"/>
      <c r="W708" s="30"/>
      <c r="X708" s="30"/>
      <c r="Y708" s="30"/>
      <c r="Z708" s="30"/>
      <c r="AA708" s="30"/>
      <c r="AB708" s="30"/>
    </row>
    <row r="709">
      <c r="A709" s="30"/>
      <c r="B709" s="30"/>
      <c r="C709" s="30"/>
      <c r="D709" s="30"/>
      <c r="E709" s="30"/>
      <c r="F709" s="292"/>
      <c r="G709" s="30"/>
      <c r="H709" s="30"/>
      <c r="I709" s="30"/>
      <c r="J709" s="30"/>
      <c r="K709" s="30"/>
      <c r="L709" s="30"/>
      <c r="M709" s="30"/>
      <c r="N709" s="30"/>
      <c r="O709" s="30"/>
      <c r="P709" s="30"/>
      <c r="Q709" s="30"/>
      <c r="R709" s="30"/>
      <c r="S709" s="195"/>
      <c r="T709" s="195"/>
      <c r="U709" s="195"/>
      <c r="V709" s="195"/>
      <c r="W709" s="30"/>
      <c r="X709" s="30"/>
      <c r="Y709" s="30"/>
      <c r="Z709" s="30"/>
      <c r="AA709" s="30"/>
      <c r="AB709" s="30"/>
    </row>
    <row r="710">
      <c r="A710" s="30"/>
      <c r="B710" s="30"/>
      <c r="C710" s="30"/>
      <c r="D710" s="30"/>
      <c r="E710" s="30"/>
      <c r="F710" s="292"/>
      <c r="G710" s="30"/>
      <c r="H710" s="30"/>
      <c r="I710" s="30"/>
      <c r="J710" s="30"/>
      <c r="K710" s="30"/>
      <c r="L710" s="30"/>
      <c r="M710" s="30"/>
      <c r="N710" s="30"/>
      <c r="O710" s="30"/>
      <c r="P710" s="30"/>
      <c r="Q710" s="30"/>
      <c r="R710" s="30"/>
      <c r="S710" s="195"/>
      <c r="T710" s="195"/>
      <c r="U710" s="195"/>
      <c r="V710" s="195"/>
      <c r="W710" s="30"/>
      <c r="X710" s="30"/>
      <c r="Y710" s="30"/>
      <c r="Z710" s="30"/>
      <c r="AA710" s="30"/>
      <c r="AB710" s="30"/>
    </row>
    <row r="711">
      <c r="A711" s="30"/>
      <c r="B711" s="30"/>
      <c r="C711" s="30"/>
      <c r="D711" s="30"/>
      <c r="E711" s="30"/>
      <c r="F711" s="292"/>
      <c r="G711" s="30"/>
      <c r="H711" s="30"/>
      <c r="I711" s="30"/>
      <c r="J711" s="30"/>
      <c r="K711" s="30"/>
      <c r="L711" s="30"/>
      <c r="M711" s="30"/>
      <c r="N711" s="30"/>
      <c r="O711" s="30"/>
      <c r="P711" s="30"/>
      <c r="Q711" s="30"/>
      <c r="R711" s="30"/>
      <c r="S711" s="195"/>
      <c r="T711" s="195"/>
      <c r="U711" s="195"/>
      <c r="V711" s="195"/>
      <c r="W711" s="30"/>
      <c r="X711" s="30"/>
      <c r="Y711" s="30"/>
      <c r="Z711" s="30"/>
      <c r="AA711" s="30"/>
      <c r="AB711" s="30"/>
    </row>
    <row r="712">
      <c r="A712" s="30"/>
      <c r="B712" s="30"/>
      <c r="C712" s="30"/>
      <c r="D712" s="30"/>
      <c r="E712" s="30"/>
      <c r="F712" s="292"/>
      <c r="G712" s="30"/>
      <c r="H712" s="30"/>
      <c r="I712" s="30"/>
      <c r="J712" s="30"/>
      <c r="K712" s="30"/>
      <c r="L712" s="30"/>
      <c r="M712" s="30"/>
      <c r="N712" s="30"/>
      <c r="O712" s="30"/>
      <c r="P712" s="30"/>
      <c r="Q712" s="30"/>
      <c r="R712" s="30"/>
      <c r="S712" s="195"/>
      <c r="T712" s="195"/>
      <c r="U712" s="195"/>
      <c r="V712" s="195"/>
      <c r="W712" s="30"/>
      <c r="X712" s="30"/>
      <c r="Y712" s="30"/>
      <c r="Z712" s="30"/>
      <c r="AA712" s="30"/>
      <c r="AB712" s="30"/>
    </row>
    <row r="713">
      <c r="A713" s="30"/>
      <c r="B713" s="30"/>
      <c r="C713" s="30"/>
      <c r="D713" s="30"/>
      <c r="E713" s="30"/>
      <c r="F713" s="292"/>
      <c r="G713" s="30"/>
      <c r="H713" s="30"/>
      <c r="I713" s="30"/>
      <c r="J713" s="30"/>
      <c r="K713" s="30"/>
      <c r="L713" s="30"/>
      <c r="M713" s="30"/>
      <c r="N713" s="30"/>
      <c r="O713" s="30"/>
      <c r="P713" s="30"/>
      <c r="Q713" s="30"/>
      <c r="R713" s="30"/>
      <c r="S713" s="195"/>
      <c r="T713" s="195"/>
      <c r="U713" s="195"/>
      <c r="V713" s="195"/>
      <c r="W713" s="30"/>
      <c r="X713" s="30"/>
      <c r="Y713" s="30"/>
      <c r="Z713" s="30"/>
      <c r="AA713" s="30"/>
      <c r="AB713" s="30"/>
    </row>
    <row r="714">
      <c r="A714" s="30"/>
      <c r="B714" s="30"/>
      <c r="C714" s="30"/>
      <c r="D714" s="30"/>
      <c r="E714" s="30"/>
      <c r="F714" s="292"/>
      <c r="G714" s="30"/>
      <c r="H714" s="30"/>
      <c r="I714" s="30"/>
      <c r="J714" s="30"/>
      <c r="K714" s="30"/>
      <c r="L714" s="30"/>
      <c r="M714" s="30"/>
      <c r="N714" s="30"/>
      <c r="O714" s="30"/>
      <c r="P714" s="30"/>
      <c r="Q714" s="30"/>
      <c r="R714" s="30"/>
      <c r="S714" s="195"/>
      <c r="T714" s="195"/>
      <c r="U714" s="195"/>
      <c r="V714" s="195"/>
      <c r="W714" s="30"/>
      <c r="X714" s="30"/>
      <c r="Y714" s="30"/>
      <c r="Z714" s="30"/>
      <c r="AA714" s="30"/>
      <c r="AB714" s="30"/>
    </row>
    <row r="715">
      <c r="A715" s="30"/>
      <c r="B715" s="30"/>
      <c r="C715" s="30"/>
      <c r="D715" s="30"/>
      <c r="E715" s="30"/>
      <c r="F715" s="292"/>
      <c r="G715" s="30"/>
      <c r="H715" s="30"/>
      <c r="I715" s="30"/>
      <c r="J715" s="30"/>
      <c r="K715" s="30"/>
      <c r="L715" s="30"/>
      <c r="M715" s="30"/>
      <c r="N715" s="30"/>
      <c r="O715" s="30"/>
      <c r="P715" s="30"/>
      <c r="Q715" s="30"/>
      <c r="R715" s="30"/>
      <c r="S715" s="195"/>
      <c r="T715" s="195"/>
      <c r="U715" s="195"/>
      <c r="V715" s="195"/>
      <c r="W715" s="30"/>
      <c r="X715" s="30"/>
      <c r="Y715" s="30"/>
      <c r="Z715" s="30"/>
      <c r="AA715" s="30"/>
      <c r="AB715" s="30"/>
    </row>
    <row r="716">
      <c r="A716" s="30"/>
      <c r="B716" s="30"/>
      <c r="C716" s="30"/>
      <c r="D716" s="30"/>
      <c r="E716" s="30"/>
      <c r="F716" s="292"/>
      <c r="G716" s="30"/>
      <c r="H716" s="30"/>
      <c r="I716" s="30"/>
      <c r="J716" s="30"/>
      <c r="K716" s="30"/>
      <c r="L716" s="30"/>
      <c r="M716" s="30"/>
      <c r="N716" s="30"/>
      <c r="O716" s="30"/>
      <c r="P716" s="30"/>
      <c r="Q716" s="30"/>
      <c r="R716" s="30"/>
      <c r="S716" s="195"/>
      <c r="T716" s="195"/>
      <c r="U716" s="195"/>
      <c r="V716" s="195"/>
      <c r="W716" s="30"/>
      <c r="X716" s="30"/>
      <c r="Y716" s="30"/>
      <c r="Z716" s="30"/>
      <c r="AA716" s="30"/>
      <c r="AB716" s="30"/>
    </row>
    <row r="717">
      <c r="A717" s="30"/>
      <c r="B717" s="30"/>
      <c r="C717" s="30"/>
      <c r="D717" s="30"/>
      <c r="E717" s="30"/>
      <c r="F717" s="292"/>
      <c r="G717" s="30"/>
      <c r="H717" s="30"/>
      <c r="I717" s="30"/>
      <c r="J717" s="30"/>
      <c r="K717" s="30"/>
      <c r="L717" s="30"/>
      <c r="M717" s="30"/>
      <c r="N717" s="30"/>
      <c r="O717" s="30"/>
      <c r="P717" s="30"/>
      <c r="Q717" s="30"/>
      <c r="R717" s="30"/>
      <c r="S717" s="195"/>
      <c r="T717" s="195"/>
      <c r="U717" s="195"/>
      <c r="V717" s="195"/>
      <c r="W717" s="30"/>
      <c r="X717" s="30"/>
      <c r="Y717" s="30"/>
      <c r="Z717" s="30"/>
      <c r="AA717" s="30"/>
      <c r="AB717" s="30"/>
    </row>
    <row r="718">
      <c r="A718" s="30"/>
      <c r="B718" s="30"/>
      <c r="C718" s="30"/>
      <c r="D718" s="30"/>
      <c r="E718" s="30"/>
      <c r="F718" s="292"/>
      <c r="G718" s="30"/>
      <c r="H718" s="30"/>
      <c r="I718" s="30"/>
      <c r="J718" s="30"/>
      <c r="K718" s="30"/>
      <c r="L718" s="30"/>
      <c r="M718" s="30"/>
      <c r="N718" s="30"/>
      <c r="O718" s="30"/>
      <c r="P718" s="30"/>
      <c r="Q718" s="30"/>
      <c r="R718" s="30"/>
      <c r="S718" s="195"/>
      <c r="T718" s="195"/>
      <c r="U718" s="195"/>
      <c r="V718" s="195"/>
      <c r="W718" s="30"/>
      <c r="X718" s="30"/>
      <c r="Y718" s="30"/>
      <c r="Z718" s="30"/>
      <c r="AA718" s="30"/>
      <c r="AB718" s="30"/>
    </row>
    <row r="719">
      <c r="A719" s="30"/>
      <c r="B719" s="30"/>
      <c r="C719" s="30"/>
      <c r="D719" s="30"/>
      <c r="E719" s="30"/>
      <c r="F719" s="292"/>
      <c r="G719" s="30"/>
      <c r="H719" s="30"/>
      <c r="I719" s="30"/>
      <c r="J719" s="30"/>
      <c r="K719" s="30"/>
      <c r="L719" s="30"/>
      <c r="M719" s="30"/>
      <c r="N719" s="30"/>
      <c r="O719" s="30"/>
      <c r="P719" s="30"/>
      <c r="Q719" s="30"/>
      <c r="R719" s="30"/>
      <c r="S719" s="195"/>
      <c r="T719" s="195"/>
      <c r="U719" s="195"/>
      <c r="V719" s="195"/>
      <c r="W719" s="30"/>
      <c r="X719" s="30"/>
      <c r="Y719" s="30"/>
      <c r="Z719" s="30"/>
      <c r="AA719" s="30"/>
      <c r="AB719" s="30"/>
    </row>
    <row r="720">
      <c r="A720" s="30"/>
      <c r="B720" s="30"/>
      <c r="C720" s="30"/>
      <c r="D720" s="30"/>
      <c r="E720" s="30"/>
      <c r="F720" s="292"/>
      <c r="G720" s="30"/>
      <c r="H720" s="30"/>
      <c r="I720" s="30"/>
      <c r="J720" s="30"/>
      <c r="K720" s="30"/>
      <c r="L720" s="30"/>
      <c r="M720" s="30"/>
      <c r="N720" s="30"/>
      <c r="O720" s="30"/>
      <c r="P720" s="30"/>
      <c r="Q720" s="30"/>
      <c r="R720" s="30"/>
      <c r="S720" s="195"/>
      <c r="T720" s="195"/>
      <c r="U720" s="195"/>
      <c r="V720" s="195"/>
      <c r="W720" s="30"/>
      <c r="X720" s="30"/>
      <c r="Y720" s="30"/>
      <c r="Z720" s="30"/>
      <c r="AA720" s="30"/>
      <c r="AB720" s="30"/>
    </row>
    <row r="721">
      <c r="A721" s="30"/>
      <c r="B721" s="30"/>
      <c r="C721" s="30"/>
      <c r="D721" s="30"/>
      <c r="E721" s="30"/>
      <c r="F721" s="292"/>
      <c r="G721" s="30"/>
      <c r="H721" s="30"/>
      <c r="I721" s="30"/>
      <c r="J721" s="30"/>
      <c r="K721" s="30"/>
      <c r="L721" s="30"/>
      <c r="M721" s="30"/>
      <c r="N721" s="30"/>
      <c r="O721" s="30"/>
      <c r="P721" s="30"/>
      <c r="Q721" s="30"/>
      <c r="R721" s="30"/>
      <c r="S721" s="195"/>
      <c r="T721" s="195"/>
      <c r="U721" s="195"/>
      <c r="V721" s="195"/>
      <c r="W721" s="30"/>
      <c r="X721" s="30"/>
      <c r="Y721" s="30"/>
      <c r="Z721" s="30"/>
      <c r="AA721" s="30"/>
      <c r="AB721" s="30"/>
    </row>
    <row r="722">
      <c r="A722" s="30"/>
      <c r="B722" s="30"/>
      <c r="C722" s="30"/>
      <c r="D722" s="30"/>
      <c r="E722" s="30"/>
      <c r="F722" s="292"/>
      <c r="G722" s="30"/>
      <c r="H722" s="30"/>
      <c r="I722" s="30"/>
      <c r="J722" s="30"/>
      <c r="K722" s="30"/>
      <c r="L722" s="30"/>
      <c r="M722" s="30"/>
      <c r="N722" s="30"/>
      <c r="O722" s="30"/>
      <c r="P722" s="30"/>
      <c r="Q722" s="30"/>
      <c r="R722" s="30"/>
      <c r="S722" s="195"/>
      <c r="T722" s="195"/>
      <c r="U722" s="195"/>
      <c r="V722" s="195"/>
      <c r="W722" s="30"/>
      <c r="X722" s="30"/>
      <c r="Y722" s="30"/>
      <c r="Z722" s="30"/>
      <c r="AA722" s="30"/>
      <c r="AB722" s="30"/>
    </row>
    <row r="723">
      <c r="A723" s="30"/>
      <c r="B723" s="30"/>
      <c r="C723" s="30"/>
      <c r="D723" s="30"/>
      <c r="E723" s="30"/>
      <c r="F723" s="292"/>
      <c r="G723" s="30"/>
      <c r="H723" s="30"/>
      <c r="I723" s="30"/>
      <c r="J723" s="30"/>
      <c r="K723" s="30"/>
      <c r="L723" s="30"/>
      <c r="M723" s="30"/>
      <c r="N723" s="30"/>
      <c r="O723" s="30"/>
      <c r="P723" s="30"/>
      <c r="Q723" s="30"/>
      <c r="R723" s="30"/>
      <c r="S723" s="195"/>
      <c r="T723" s="195"/>
      <c r="U723" s="195"/>
      <c r="V723" s="195"/>
      <c r="W723" s="30"/>
      <c r="X723" s="30"/>
      <c r="Y723" s="30"/>
      <c r="Z723" s="30"/>
      <c r="AA723" s="30"/>
      <c r="AB723" s="30"/>
    </row>
    <row r="724">
      <c r="A724" s="30"/>
      <c r="B724" s="30"/>
      <c r="C724" s="30"/>
      <c r="D724" s="30"/>
      <c r="E724" s="30"/>
      <c r="F724" s="292"/>
      <c r="G724" s="30"/>
      <c r="H724" s="30"/>
      <c r="I724" s="30"/>
      <c r="J724" s="30"/>
      <c r="K724" s="30"/>
      <c r="L724" s="30"/>
      <c r="M724" s="30"/>
      <c r="N724" s="30"/>
      <c r="O724" s="30"/>
      <c r="P724" s="30"/>
      <c r="Q724" s="30"/>
      <c r="R724" s="30"/>
      <c r="S724" s="195"/>
      <c r="T724" s="195"/>
      <c r="U724" s="195"/>
      <c r="V724" s="195"/>
      <c r="W724" s="30"/>
      <c r="X724" s="30"/>
      <c r="Y724" s="30"/>
      <c r="Z724" s="30"/>
      <c r="AA724" s="30"/>
      <c r="AB724" s="30"/>
    </row>
    <row r="725">
      <c r="A725" s="30"/>
      <c r="B725" s="30"/>
      <c r="C725" s="30"/>
      <c r="D725" s="30"/>
      <c r="E725" s="30"/>
      <c r="F725" s="292"/>
      <c r="G725" s="30"/>
      <c r="H725" s="30"/>
      <c r="I725" s="30"/>
      <c r="J725" s="30"/>
      <c r="K725" s="30"/>
      <c r="L725" s="30"/>
      <c r="M725" s="30"/>
      <c r="N725" s="30"/>
      <c r="O725" s="30"/>
      <c r="P725" s="30"/>
      <c r="Q725" s="30"/>
      <c r="R725" s="30"/>
      <c r="S725" s="195"/>
      <c r="T725" s="195"/>
      <c r="U725" s="195"/>
      <c r="V725" s="195"/>
      <c r="W725" s="30"/>
      <c r="X725" s="30"/>
      <c r="Y725" s="30"/>
      <c r="Z725" s="30"/>
      <c r="AA725" s="30"/>
      <c r="AB725" s="30"/>
    </row>
    <row r="726">
      <c r="A726" s="30"/>
      <c r="B726" s="30"/>
      <c r="C726" s="30"/>
      <c r="D726" s="30"/>
      <c r="E726" s="30"/>
      <c r="F726" s="292"/>
      <c r="G726" s="30"/>
      <c r="H726" s="30"/>
      <c r="I726" s="30"/>
      <c r="J726" s="30"/>
      <c r="K726" s="30"/>
      <c r="L726" s="30"/>
      <c r="M726" s="30"/>
      <c r="N726" s="30"/>
      <c r="O726" s="30"/>
      <c r="P726" s="30"/>
      <c r="Q726" s="30"/>
      <c r="R726" s="30"/>
      <c r="S726" s="195"/>
      <c r="T726" s="195"/>
      <c r="U726" s="195"/>
      <c r="V726" s="195"/>
      <c r="W726" s="30"/>
      <c r="X726" s="30"/>
      <c r="Y726" s="30"/>
      <c r="Z726" s="30"/>
      <c r="AA726" s="30"/>
      <c r="AB726" s="30"/>
    </row>
    <row r="727">
      <c r="A727" s="30"/>
      <c r="B727" s="30"/>
      <c r="C727" s="30"/>
      <c r="D727" s="30"/>
      <c r="E727" s="30"/>
      <c r="F727" s="292"/>
      <c r="G727" s="30"/>
      <c r="H727" s="30"/>
      <c r="I727" s="30"/>
      <c r="J727" s="30"/>
      <c r="K727" s="30"/>
      <c r="L727" s="30"/>
      <c r="M727" s="30"/>
      <c r="N727" s="30"/>
      <c r="O727" s="30"/>
      <c r="P727" s="30"/>
      <c r="Q727" s="30"/>
      <c r="R727" s="30"/>
      <c r="S727" s="195"/>
      <c r="T727" s="195"/>
      <c r="U727" s="195"/>
      <c r="V727" s="195"/>
      <c r="W727" s="30"/>
      <c r="X727" s="30"/>
      <c r="Y727" s="30"/>
      <c r="Z727" s="30"/>
      <c r="AA727" s="30"/>
      <c r="AB727" s="30"/>
    </row>
    <row r="728">
      <c r="A728" s="30"/>
      <c r="B728" s="30"/>
      <c r="C728" s="30"/>
      <c r="D728" s="30"/>
      <c r="E728" s="30"/>
      <c r="F728" s="292"/>
      <c r="G728" s="30"/>
      <c r="H728" s="30"/>
      <c r="I728" s="30"/>
      <c r="J728" s="30"/>
      <c r="K728" s="30"/>
      <c r="L728" s="30"/>
      <c r="M728" s="30"/>
      <c r="N728" s="30"/>
      <c r="O728" s="30"/>
      <c r="P728" s="30"/>
      <c r="Q728" s="30"/>
      <c r="R728" s="30"/>
      <c r="S728" s="195"/>
      <c r="T728" s="195"/>
      <c r="U728" s="195"/>
      <c r="V728" s="195"/>
      <c r="W728" s="30"/>
      <c r="X728" s="30"/>
      <c r="Y728" s="30"/>
      <c r="Z728" s="30"/>
      <c r="AA728" s="30"/>
      <c r="AB728" s="30"/>
    </row>
    <row r="729">
      <c r="A729" s="30"/>
      <c r="B729" s="30"/>
      <c r="C729" s="30"/>
      <c r="D729" s="30"/>
      <c r="E729" s="30"/>
      <c r="F729" s="292"/>
      <c r="G729" s="30"/>
      <c r="H729" s="30"/>
      <c r="I729" s="30"/>
      <c r="J729" s="30"/>
      <c r="K729" s="30"/>
      <c r="L729" s="30"/>
      <c r="M729" s="30"/>
      <c r="N729" s="30"/>
      <c r="O729" s="30"/>
      <c r="P729" s="30"/>
      <c r="Q729" s="30"/>
      <c r="R729" s="30"/>
      <c r="S729" s="195"/>
      <c r="T729" s="195"/>
      <c r="U729" s="195"/>
      <c r="V729" s="195"/>
      <c r="W729" s="30"/>
      <c r="X729" s="30"/>
      <c r="Y729" s="30"/>
      <c r="Z729" s="30"/>
      <c r="AA729" s="30"/>
      <c r="AB729" s="30"/>
    </row>
    <row r="730">
      <c r="A730" s="30"/>
      <c r="B730" s="30"/>
      <c r="C730" s="30"/>
      <c r="D730" s="30"/>
      <c r="E730" s="30"/>
      <c r="F730" s="292"/>
      <c r="G730" s="30"/>
      <c r="H730" s="30"/>
      <c r="I730" s="30"/>
      <c r="J730" s="30"/>
      <c r="K730" s="30"/>
      <c r="L730" s="30"/>
      <c r="M730" s="30"/>
      <c r="N730" s="30"/>
      <c r="O730" s="30"/>
      <c r="P730" s="30"/>
      <c r="Q730" s="30"/>
      <c r="R730" s="30"/>
      <c r="S730" s="195"/>
      <c r="T730" s="195"/>
      <c r="U730" s="195"/>
      <c r="V730" s="195"/>
      <c r="W730" s="30"/>
      <c r="X730" s="30"/>
      <c r="Y730" s="30"/>
      <c r="Z730" s="30"/>
      <c r="AA730" s="30"/>
      <c r="AB730" s="30"/>
    </row>
    <row r="731">
      <c r="A731" s="30"/>
      <c r="B731" s="30"/>
      <c r="C731" s="30"/>
      <c r="D731" s="30"/>
      <c r="E731" s="30"/>
      <c r="F731" s="292"/>
      <c r="G731" s="30"/>
      <c r="H731" s="30"/>
      <c r="I731" s="30"/>
      <c r="J731" s="30"/>
      <c r="K731" s="30"/>
      <c r="L731" s="30"/>
      <c r="M731" s="30"/>
      <c r="N731" s="30"/>
      <c r="O731" s="30"/>
      <c r="P731" s="30"/>
      <c r="Q731" s="30"/>
      <c r="R731" s="30"/>
      <c r="S731" s="195"/>
      <c r="T731" s="195"/>
      <c r="U731" s="195"/>
      <c r="V731" s="195"/>
      <c r="W731" s="30"/>
      <c r="X731" s="30"/>
      <c r="Y731" s="30"/>
      <c r="Z731" s="30"/>
      <c r="AA731" s="30"/>
      <c r="AB731" s="30"/>
    </row>
    <row r="732">
      <c r="A732" s="30"/>
      <c r="B732" s="30"/>
      <c r="C732" s="30"/>
      <c r="D732" s="30"/>
      <c r="E732" s="30"/>
      <c r="F732" s="292"/>
      <c r="G732" s="30"/>
      <c r="H732" s="30"/>
      <c r="I732" s="30"/>
      <c r="J732" s="30"/>
      <c r="K732" s="30"/>
      <c r="L732" s="30"/>
      <c r="M732" s="30"/>
      <c r="N732" s="30"/>
      <c r="O732" s="30"/>
      <c r="P732" s="30"/>
      <c r="Q732" s="30"/>
      <c r="R732" s="30"/>
      <c r="S732" s="195"/>
      <c r="T732" s="195"/>
      <c r="U732" s="195"/>
      <c r="V732" s="195"/>
      <c r="W732" s="30"/>
      <c r="X732" s="30"/>
      <c r="Y732" s="30"/>
      <c r="Z732" s="30"/>
      <c r="AA732" s="30"/>
      <c r="AB732" s="30"/>
    </row>
    <row r="733">
      <c r="A733" s="30"/>
      <c r="B733" s="30"/>
      <c r="C733" s="30"/>
      <c r="D733" s="30"/>
      <c r="E733" s="30"/>
      <c r="F733" s="292"/>
      <c r="G733" s="30"/>
      <c r="H733" s="30"/>
      <c r="I733" s="30"/>
      <c r="J733" s="30"/>
      <c r="K733" s="30"/>
      <c r="L733" s="30"/>
      <c r="M733" s="30"/>
      <c r="N733" s="30"/>
      <c r="O733" s="30"/>
      <c r="P733" s="30"/>
      <c r="Q733" s="30"/>
      <c r="R733" s="30"/>
      <c r="S733" s="195"/>
      <c r="T733" s="195"/>
      <c r="U733" s="195"/>
      <c r="V733" s="195"/>
      <c r="W733" s="30"/>
      <c r="X733" s="30"/>
      <c r="Y733" s="30"/>
      <c r="Z733" s="30"/>
      <c r="AA733" s="30"/>
      <c r="AB733" s="30"/>
    </row>
    <row r="734">
      <c r="A734" s="30"/>
      <c r="B734" s="30"/>
      <c r="C734" s="30"/>
      <c r="D734" s="30"/>
      <c r="E734" s="30"/>
      <c r="F734" s="292"/>
      <c r="G734" s="30"/>
      <c r="H734" s="30"/>
      <c r="I734" s="30"/>
      <c r="J734" s="30"/>
      <c r="K734" s="30"/>
      <c r="L734" s="30"/>
      <c r="M734" s="30"/>
      <c r="N734" s="30"/>
      <c r="O734" s="30"/>
      <c r="P734" s="30"/>
      <c r="Q734" s="30"/>
      <c r="R734" s="30"/>
      <c r="S734" s="195"/>
      <c r="T734" s="195"/>
      <c r="U734" s="195"/>
      <c r="V734" s="195"/>
      <c r="W734" s="30"/>
      <c r="X734" s="30"/>
      <c r="Y734" s="30"/>
      <c r="Z734" s="30"/>
      <c r="AA734" s="30"/>
      <c r="AB734" s="30"/>
    </row>
    <row r="735">
      <c r="A735" s="30"/>
      <c r="B735" s="30"/>
      <c r="C735" s="30"/>
      <c r="D735" s="30"/>
      <c r="E735" s="30"/>
      <c r="F735" s="292"/>
      <c r="G735" s="30"/>
      <c r="H735" s="30"/>
      <c r="I735" s="30"/>
      <c r="J735" s="30"/>
      <c r="K735" s="30"/>
      <c r="L735" s="30"/>
      <c r="M735" s="30"/>
      <c r="N735" s="30"/>
      <c r="O735" s="30"/>
      <c r="P735" s="30"/>
      <c r="Q735" s="30"/>
      <c r="R735" s="30"/>
      <c r="S735" s="195"/>
      <c r="T735" s="195"/>
      <c r="U735" s="195"/>
      <c r="V735" s="195"/>
      <c r="W735" s="30"/>
      <c r="X735" s="30"/>
      <c r="Y735" s="30"/>
      <c r="Z735" s="30"/>
      <c r="AA735" s="30"/>
      <c r="AB735" s="30"/>
    </row>
    <row r="736">
      <c r="A736" s="30"/>
      <c r="B736" s="30"/>
      <c r="C736" s="30"/>
      <c r="D736" s="30"/>
      <c r="E736" s="30"/>
      <c r="F736" s="292"/>
      <c r="G736" s="30"/>
      <c r="H736" s="30"/>
      <c r="I736" s="30"/>
      <c r="J736" s="30"/>
      <c r="K736" s="30"/>
      <c r="L736" s="30"/>
      <c r="M736" s="30"/>
      <c r="N736" s="30"/>
      <c r="O736" s="30"/>
      <c r="P736" s="30"/>
      <c r="Q736" s="30"/>
      <c r="R736" s="30"/>
      <c r="S736" s="195"/>
      <c r="T736" s="195"/>
      <c r="U736" s="195"/>
      <c r="V736" s="195"/>
      <c r="W736" s="30"/>
      <c r="X736" s="30"/>
      <c r="Y736" s="30"/>
      <c r="Z736" s="30"/>
      <c r="AA736" s="30"/>
      <c r="AB736" s="30"/>
    </row>
    <row r="737">
      <c r="A737" s="30"/>
      <c r="B737" s="30"/>
      <c r="C737" s="30"/>
      <c r="D737" s="30"/>
      <c r="E737" s="30"/>
      <c r="F737" s="292"/>
      <c r="G737" s="30"/>
      <c r="H737" s="30"/>
      <c r="I737" s="30"/>
      <c r="J737" s="30"/>
      <c r="K737" s="30"/>
      <c r="L737" s="30"/>
      <c r="M737" s="30"/>
      <c r="N737" s="30"/>
      <c r="O737" s="30"/>
      <c r="P737" s="30"/>
      <c r="Q737" s="30"/>
      <c r="R737" s="30"/>
      <c r="S737" s="195"/>
      <c r="T737" s="195"/>
      <c r="U737" s="195"/>
      <c r="V737" s="195"/>
      <c r="W737" s="30"/>
      <c r="X737" s="30"/>
      <c r="Y737" s="30"/>
      <c r="Z737" s="30"/>
      <c r="AA737" s="30"/>
      <c r="AB737" s="30"/>
    </row>
    <row r="738">
      <c r="A738" s="30"/>
      <c r="B738" s="30"/>
      <c r="C738" s="30"/>
      <c r="D738" s="30"/>
      <c r="E738" s="30"/>
      <c r="F738" s="292"/>
      <c r="G738" s="30"/>
      <c r="H738" s="30"/>
      <c r="I738" s="30"/>
      <c r="J738" s="30"/>
      <c r="K738" s="30"/>
      <c r="L738" s="30"/>
      <c r="M738" s="30"/>
      <c r="N738" s="30"/>
      <c r="O738" s="30"/>
      <c r="P738" s="30"/>
      <c r="Q738" s="30"/>
      <c r="R738" s="30"/>
      <c r="S738" s="195"/>
      <c r="T738" s="195"/>
      <c r="U738" s="195"/>
      <c r="V738" s="195"/>
      <c r="W738" s="30"/>
      <c r="X738" s="30"/>
      <c r="Y738" s="30"/>
      <c r="Z738" s="30"/>
      <c r="AA738" s="30"/>
      <c r="AB738" s="30"/>
    </row>
    <row r="739">
      <c r="A739" s="30"/>
      <c r="B739" s="30"/>
      <c r="C739" s="30"/>
      <c r="D739" s="30"/>
      <c r="E739" s="30"/>
      <c r="F739" s="292"/>
      <c r="G739" s="30"/>
      <c r="H739" s="30"/>
      <c r="I739" s="30"/>
      <c r="J739" s="30"/>
      <c r="K739" s="30"/>
      <c r="L739" s="30"/>
      <c r="M739" s="30"/>
      <c r="N739" s="30"/>
      <c r="O739" s="30"/>
      <c r="P739" s="30"/>
      <c r="Q739" s="30"/>
      <c r="R739" s="30"/>
      <c r="S739" s="195"/>
      <c r="T739" s="195"/>
      <c r="U739" s="195"/>
      <c r="V739" s="195"/>
      <c r="W739" s="30"/>
      <c r="X739" s="30"/>
      <c r="Y739" s="30"/>
      <c r="Z739" s="30"/>
      <c r="AA739" s="30"/>
      <c r="AB739" s="30"/>
    </row>
    <row r="740">
      <c r="A740" s="30"/>
      <c r="B740" s="30"/>
      <c r="C740" s="30"/>
      <c r="D740" s="30"/>
      <c r="E740" s="30"/>
      <c r="F740" s="292"/>
      <c r="G740" s="30"/>
      <c r="H740" s="30"/>
      <c r="I740" s="30"/>
      <c r="J740" s="30"/>
      <c r="K740" s="30"/>
      <c r="L740" s="30"/>
      <c r="M740" s="30"/>
      <c r="N740" s="30"/>
      <c r="O740" s="30"/>
      <c r="P740" s="30"/>
      <c r="Q740" s="30"/>
      <c r="R740" s="30"/>
      <c r="S740" s="195"/>
      <c r="T740" s="195"/>
      <c r="U740" s="195"/>
      <c r="V740" s="195"/>
      <c r="W740" s="30"/>
      <c r="X740" s="30"/>
      <c r="Y740" s="30"/>
      <c r="Z740" s="30"/>
      <c r="AA740" s="30"/>
      <c r="AB740" s="30"/>
    </row>
    <row r="741">
      <c r="A741" s="30"/>
      <c r="B741" s="30"/>
      <c r="C741" s="30"/>
      <c r="D741" s="30"/>
      <c r="E741" s="30"/>
      <c r="F741" s="292"/>
      <c r="G741" s="30"/>
      <c r="H741" s="30"/>
      <c r="I741" s="30"/>
      <c r="J741" s="30"/>
      <c r="K741" s="30"/>
      <c r="L741" s="30"/>
      <c r="M741" s="30"/>
      <c r="N741" s="30"/>
      <c r="O741" s="30"/>
      <c r="P741" s="30"/>
      <c r="Q741" s="30"/>
      <c r="R741" s="30"/>
      <c r="S741" s="195"/>
      <c r="T741" s="195"/>
      <c r="U741" s="195"/>
      <c r="V741" s="195"/>
      <c r="W741" s="30"/>
      <c r="X741" s="30"/>
      <c r="Y741" s="30"/>
      <c r="Z741" s="30"/>
      <c r="AA741" s="30"/>
      <c r="AB741" s="30"/>
    </row>
    <row r="742">
      <c r="A742" s="30"/>
      <c r="B742" s="30"/>
      <c r="C742" s="30"/>
      <c r="D742" s="30"/>
      <c r="E742" s="30"/>
      <c r="F742" s="292"/>
      <c r="G742" s="30"/>
      <c r="H742" s="30"/>
      <c r="I742" s="30"/>
      <c r="J742" s="30"/>
      <c r="K742" s="30"/>
      <c r="L742" s="30"/>
      <c r="M742" s="30"/>
      <c r="N742" s="30"/>
      <c r="O742" s="30"/>
      <c r="P742" s="30"/>
      <c r="Q742" s="30"/>
      <c r="R742" s="30"/>
      <c r="S742" s="195"/>
      <c r="T742" s="195"/>
      <c r="U742" s="195"/>
      <c r="V742" s="195"/>
      <c r="W742" s="30"/>
      <c r="X742" s="30"/>
      <c r="Y742" s="30"/>
      <c r="Z742" s="30"/>
      <c r="AA742" s="30"/>
      <c r="AB742" s="30"/>
    </row>
    <row r="743">
      <c r="A743" s="30"/>
      <c r="B743" s="30"/>
      <c r="C743" s="30"/>
      <c r="D743" s="30"/>
      <c r="E743" s="30"/>
      <c r="F743" s="292"/>
      <c r="G743" s="30"/>
      <c r="H743" s="30"/>
      <c r="I743" s="30"/>
      <c r="J743" s="30"/>
      <c r="K743" s="30"/>
      <c r="L743" s="30"/>
      <c r="M743" s="30"/>
      <c r="N743" s="30"/>
      <c r="O743" s="30"/>
      <c r="P743" s="30"/>
      <c r="Q743" s="30"/>
      <c r="R743" s="30"/>
      <c r="S743" s="195"/>
      <c r="T743" s="195"/>
      <c r="U743" s="195"/>
      <c r="V743" s="195"/>
      <c r="W743" s="30"/>
      <c r="X743" s="30"/>
      <c r="Y743" s="30"/>
      <c r="Z743" s="30"/>
      <c r="AA743" s="30"/>
      <c r="AB743" s="30"/>
    </row>
    <row r="744">
      <c r="A744" s="30"/>
      <c r="B744" s="30"/>
      <c r="C744" s="30"/>
      <c r="D744" s="30"/>
      <c r="E744" s="30"/>
      <c r="F744" s="292"/>
      <c r="G744" s="30"/>
      <c r="H744" s="30"/>
      <c r="I744" s="30"/>
      <c r="J744" s="30"/>
      <c r="K744" s="30"/>
      <c r="L744" s="30"/>
      <c r="M744" s="30"/>
      <c r="N744" s="30"/>
      <c r="O744" s="30"/>
      <c r="P744" s="30"/>
      <c r="Q744" s="30"/>
      <c r="R744" s="30"/>
      <c r="S744" s="195"/>
      <c r="T744" s="195"/>
      <c r="U744" s="195"/>
      <c r="V744" s="195"/>
      <c r="W744" s="30"/>
      <c r="X744" s="30"/>
      <c r="Y744" s="30"/>
      <c r="Z744" s="30"/>
      <c r="AA744" s="30"/>
      <c r="AB744" s="30"/>
    </row>
    <row r="745">
      <c r="A745" s="30"/>
      <c r="B745" s="30"/>
      <c r="C745" s="30"/>
      <c r="D745" s="30"/>
      <c r="E745" s="30"/>
      <c r="F745" s="292"/>
      <c r="G745" s="30"/>
      <c r="H745" s="30"/>
      <c r="I745" s="30"/>
      <c r="J745" s="30"/>
      <c r="K745" s="30"/>
      <c r="L745" s="30"/>
      <c r="M745" s="30"/>
      <c r="N745" s="30"/>
      <c r="O745" s="30"/>
      <c r="P745" s="30"/>
      <c r="Q745" s="30"/>
      <c r="R745" s="30"/>
      <c r="S745" s="195"/>
      <c r="T745" s="195"/>
      <c r="U745" s="195"/>
      <c r="V745" s="195"/>
      <c r="W745" s="30"/>
      <c r="X745" s="30"/>
      <c r="Y745" s="30"/>
      <c r="Z745" s="30"/>
      <c r="AA745" s="30"/>
      <c r="AB745" s="30"/>
    </row>
    <row r="746">
      <c r="A746" s="30"/>
      <c r="B746" s="30"/>
      <c r="C746" s="30"/>
      <c r="D746" s="30"/>
      <c r="E746" s="30"/>
      <c r="F746" s="292"/>
      <c r="G746" s="30"/>
      <c r="H746" s="30"/>
      <c r="I746" s="30"/>
      <c r="J746" s="30"/>
      <c r="K746" s="30"/>
      <c r="L746" s="30"/>
      <c r="M746" s="30"/>
      <c r="N746" s="30"/>
      <c r="O746" s="30"/>
      <c r="P746" s="30"/>
      <c r="Q746" s="30"/>
      <c r="R746" s="30"/>
      <c r="S746" s="195"/>
      <c r="T746" s="195"/>
      <c r="U746" s="195"/>
      <c r="V746" s="195"/>
      <c r="W746" s="30"/>
      <c r="X746" s="30"/>
      <c r="Y746" s="30"/>
      <c r="Z746" s="30"/>
      <c r="AA746" s="30"/>
      <c r="AB746" s="30"/>
    </row>
    <row r="747">
      <c r="A747" s="30"/>
      <c r="B747" s="30"/>
      <c r="C747" s="30"/>
      <c r="D747" s="30"/>
      <c r="E747" s="30"/>
      <c r="F747" s="292"/>
      <c r="G747" s="30"/>
      <c r="H747" s="30"/>
      <c r="I747" s="30"/>
      <c r="J747" s="30"/>
      <c r="K747" s="30"/>
      <c r="L747" s="30"/>
      <c r="M747" s="30"/>
      <c r="N747" s="30"/>
      <c r="O747" s="30"/>
      <c r="P747" s="30"/>
      <c r="Q747" s="30"/>
      <c r="R747" s="30"/>
      <c r="S747" s="195"/>
      <c r="T747" s="195"/>
      <c r="U747" s="195"/>
      <c r="V747" s="195"/>
      <c r="W747" s="30"/>
      <c r="X747" s="30"/>
      <c r="Y747" s="30"/>
      <c r="Z747" s="30"/>
      <c r="AA747" s="30"/>
      <c r="AB747" s="30"/>
    </row>
    <row r="748">
      <c r="A748" s="30"/>
      <c r="B748" s="30"/>
      <c r="C748" s="30"/>
      <c r="D748" s="30"/>
      <c r="E748" s="30"/>
      <c r="F748" s="292"/>
      <c r="G748" s="30"/>
      <c r="H748" s="30"/>
      <c r="I748" s="30"/>
      <c r="J748" s="30"/>
      <c r="K748" s="30"/>
      <c r="L748" s="30"/>
      <c r="M748" s="30"/>
      <c r="N748" s="30"/>
      <c r="O748" s="30"/>
      <c r="P748" s="30"/>
      <c r="Q748" s="30"/>
      <c r="R748" s="30"/>
      <c r="S748" s="195"/>
      <c r="T748" s="195"/>
      <c r="U748" s="195"/>
      <c r="V748" s="195"/>
      <c r="W748" s="30"/>
      <c r="X748" s="30"/>
      <c r="Y748" s="30"/>
      <c r="Z748" s="30"/>
      <c r="AA748" s="30"/>
      <c r="AB748" s="30"/>
    </row>
    <row r="749">
      <c r="A749" s="30"/>
      <c r="B749" s="30"/>
      <c r="C749" s="30"/>
      <c r="D749" s="30"/>
      <c r="E749" s="30"/>
      <c r="F749" s="292"/>
      <c r="G749" s="30"/>
      <c r="H749" s="30"/>
      <c r="I749" s="30"/>
      <c r="J749" s="30"/>
      <c r="K749" s="30"/>
      <c r="L749" s="30"/>
      <c r="M749" s="30"/>
      <c r="N749" s="30"/>
      <c r="O749" s="30"/>
      <c r="P749" s="30"/>
      <c r="Q749" s="30"/>
      <c r="R749" s="30"/>
      <c r="S749" s="195"/>
      <c r="T749" s="195"/>
      <c r="U749" s="195"/>
      <c r="V749" s="195"/>
      <c r="W749" s="30"/>
      <c r="X749" s="30"/>
      <c r="Y749" s="30"/>
      <c r="Z749" s="30"/>
      <c r="AA749" s="30"/>
      <c r="AB749" s="30"/>
    </row>
    <row r="750">
      <c r="A750" s="30"/>
      <c r="B750" s="30"/>
      <c r="C750" s="30"/>
      <c r="D750" s="30"/>
      <c r="E750" s="30"/>
      <c r="F750" s="292"/>
      <c r="G750" s="30"/>
      <c r="H750" s="30"/>
      <c r="I750" s="30"/>
      <c r="J750" s="30"/>
      <c r="K750" s="30"/>
      <c r="L750" s="30"/>
      <c r="M750" s="30"/>
      <c r="N750" s="30"/>
      <c r="O750" s="30"/>
      <c r="P750" s="30"/>
      <c r="Q750" s="30"/>
      <c r="R750" s="30"/>
      <c r="S750" s="195"/>
      <c r="T750" s="195"/>
      <c r="U750" s="195"/>
      <c r="V750" s="195"/>
      <c r="W750" s="30"/>
      <c r="X750" s="30"/>
      <c r="Y750" s="30"/>
      <c r="Z750" s="30"/>
      <c r="AA750" s="30"/>
      <c r="AB750" s="30"/>
    </row>
    <row r="751">
      <c r="A751" s="30"/>
      <c r="B751" s="30"/>
      <c r="C751" s="30"/>
      <c r="D751" s="30"/>
      <c r="E751" s="30"/>
      <c r="F751" s="292"/>
      <c r="G751" s="30"/>
      <c r="H751" s="30"/>
      <c r="I751" s="30"/>
      <c r="J751" s="30"/>
      <c r="K751" s="30"/>
      <c r="L751" s="30"/>
      <c r="M751" s="30"/>
      <c r="N751" s="30"/>
      <c r="O751" s="30"/>
      <c r="P751" s="30"/>
      <c r="Q751" s="30"/>
      <c r="R751" s="30"/>
      <c r="S751" s="195"/>
      <c r="T751" s="195"/>
      <c r="U751" s="195"/>
      <c r="V751" s="195"/>
      <c r="W751" s="30"/>
      <c r="X751" s="30"/>
      <c r="Y751" s="30"/>
      <c r="Z751" s="30"/>
      <c r="AA751" s="30"/>
      <c r="AB751" s="30"/>
    </row>
    <row r="752">
      <c r="A752" s="30"/>
      <c r="B752" s="30"/>
      <c r="C752" s="30"/>
      <c r="D752" s="30"/>
      <c r="E752" s="30"/>
      <c r="F752" s="292"/>
      <c r="G752" s="30"/>
      <c r="H752" s="30"/>
      <c r="I752" s="30"/>
      <c r="J752" s="30"/>
      <c r="K752" s="30"/>
      <c r="L752" s="30"/>
      <c r="M752" s="30"/>
      <c r="N752" s="30"/>
      <c r="O752" s="30"/>
      <c r="P752" s="30"/>
      <c r="Q752" s="30"/>
      <c r="R752" s="30"/>
      <c r="S752" s="195"/>
      <c r="T752" s="195"/>
      <c r="U752" s="195"/>
      <c r="V752" s="195"/>
      <c r="W752" s="30"/>
      <c r="X752" s="30"/>
      <c r="Y752" s="30"/>
      <c r="Z752" s="30"/>
      <c r="AA752" s="30"/>
      <c r="AB752" s="30"/>
    </row>
    <row r="753">
      <c r="A753" s="30"/>
      <c r="B753" s="30"/>
      <c r="C753" s="30"/>
      <c r="D753" s="30"/>
      <c r="E753" s="30"/>
      <c r="F753" s="292"/>
      <c r="G753" s="30"/>
      <c r="H753" s="30"/>
      <c r="I753" s="30"/>
      <c r="J753" s="30"/>
      <c r="K753" s="30"/>
      <c r="L753" s="30"/>
      <c r="M753" s="30"/>
      <c r="N753" s="30"/>
      <c r="O753" s="30"/>
      <c r="P753" s="30"/>
      <c r="Q753" s="30"/>
      <c r="R753" s="30"/>
      <c r="S753" s="195"/>
      <c r="T753" s="195"/>
      <c r="U753" s="195"/>
      <c r="V753" s="195"/>
      <c r="W753" s="30"/>
      <c r="X753" s="30"/>
      <c r="Y753" s="30"/>
      <c r="Z753" s="30"/>
      <c r="AA753" s="30"/>
      <c r="AB753" s="30"/>
    </row>
    <row r="754">
      <c r="A754" s="30"/>
      <c r="B754" s="30"/>
      <c r="C754" s="30"/>
      <c r="D754" s="30"/>
      <c r="E754" s="30"/>
      <c r="F754" s="292"/>
      <c r="G754" s="30"/>
      <c r="H754" s="30"/>
      <c r="I754" s="30"/>
      <c r="J754" s="30"/>
      <c r="K754" s="30"/>
      <c r="L754" s="30"/>
      <c r="M754" s="30"/>
      <c r="N754" s="30"/>
      <c r="O754" s="30"/>
      <c r="P754" s="30"/>
      <c r="Q754" s="30"/>
      <c r="R754" s="30"/>
      <c r="S754" s="195"/>
      <c r="T754" s="195"/>
      <c r="U754" s="195"/>
      <c r="V754" s="195"/>
      <c r="W754" s="30"/>
      <c r="X754" s="30"/>
      <c r="Y754" s="30"/>
      <c r="Z754" s="30"/>
      <c r="AA754" s="30"/>
      <c r="AB754" s="30"/>
    </row>
    <row r="755">
      <c r="A755" s="30"/>
      <c r="B755" s="30"/>
      <c r="C755" s="30"/>
      <c r="D755" s="30"/>
      <c r="E755" s="30"/>
      <c r="F755" s="292"/>
      <c r="G755" s="30"/>
      <c r="H755" s="30"/>
      <c r="I755" s="30"/>
      <c r="J755" s="30"/>
      <c r="K755" s="30"/>
      <c r="L755" s="30"/>
      <c r="M755" s="30"/>
      <c r="N755" s="30"/>
      <c r="O755" s="30"/>
      <c r="P755" s="30"/>
      <c r="Q755" s="30"/>
      <c r="R755" s="30"/>
      <c r="S755" s="195"/>
      <c r="T755" s="195"/>
      <c r="U755" s="195"/>
      <c r="V755" s="195"/>
      <c r="W755" s="30"/>
      <c r="X755" s="30"/>
      <c r="Y755" s="30"/>
      <c r="Z755" s="30"/>
      <c r="AA755" s="30"/>
      <c r="AB755" s="30"/>
    </row>
    <row r="756">
      <c r="A756" s="30"/>
      <c r="B756" s="30"/>
      <c r="C756" s="30"/>
      <c r="D756" s="30"/>
      <c r="E756" s="30"/>
      <c r="F756" s="292"/>
      <c r="G756" s="30"/>
      <c r="H756" s="30"/>
      <c r="I756" s="30"/>
      <c r="J756" s="30"/>
      <c r="K756" s="30"/>
      <c r="L756" s="30"/>
      <c r="M756" s="30"/>
      <c r="N756" s="30"/>
      <c r="O756" s="30"/>
      <c r="P756" s="30"/>
      <c r="Q756" s="30"/>
      <c r="R756" s="30"/>
      <c r="S756" s="195"/>
      <c r="T756" s="195"/>
      <c r="U756" s="195"/>
      <c r="V756" s="195"/>
      <c r="W756" s="30"/>
      <c r="X756" s="30"/>
      <c r="Y756" s="30"/>
      <c r="Z756" s="30"/>
      <c r="AA756" s="30"/>
      <c r="AB756" s="30"/>
    </row>
    <row r="757">
      <c r="A757" s="30"/>
      <c r="B757" s="30"/>
      <c r="C757" s="30"/>
      <c r="D757" s="30"/>
      <c r="E757" s="30"/>
      <c r="F757" s="292"/>
      <c r="G757" s="30"/>
      <c r="H757" s="30"/>
      <c r="I757" s="30"/>
      <c r="J757" s="30"/>
      <c r="K757" s="30"/>
      <c r="L757" s="30"/>
      <c r="M757" s="30"/>
      <c r="N757" s="30"/>
      <c r="O757" s="30"/>
      <c r="P757" s="30"/>
      <c r="Q757" s="30"/>
      <c r="R757" s="30"/>
      <c r="S757" s="195"/>
      <c r="T757" s="195"/>
      <c r="U757" s="195"/>
      <c r="V757" s="195"/>
      <c r="W757" s="30"/>
      <c r="X757" s="30"/>
      <c r="Y757" s="30"/>
      <c r="Z757" s="30"/>
      <c r="AA757" s="30"/>
      <c r="AB757" s="30"/>
    </row>
    <row r="758">
      <c r="A758" s="30"/>
      <c r="B758" s="30"/>
      <c r="C758" s="30"/>
      <c r="D758" s="30"/>
      <c r="E758" s="30"/>
      <c r="F758" s="292"/>
      <c r="G758" s="30"/>
      <c r="H758" s="30"/>
      <c r="I758" s="30"/>
      <c r="J758" s="30"/>
      <c r="K758" s="30"/>
      <c r="L758" s="30"/>
      <c r="M758" s="30"/>
      <c r="N758" s="30"/>
      <c r="O758" s="30"/>
      <c r="P758" s="30"/>
      <c r="Q758" s="30"/>
      <c r="R758" s="30"/>
      <c r="S758" s="195"/>
      <c r="T758" s="195"/>
      <c r="U758" s="195"/>
      <c r="V758" s="195"/>
      <c r="W758" s="30"/>
      <c r="X758" s="30"/>
      <c r="Y758" s="30"/>
      <c r="Z758" s="30"/>
      <c r="AA758" s="30"/>
      <c r="AB758" s="30"/>
    </row>
    <row r="759">
      <c r="A759" s="30"/>
      <c r="B759" s="30"/>
      <c r="C759" s="30"/>
      <c r="D759" s="30"/>
      <c r="E759" s="30"/>
      <c r="F759" s="292"/>
      <c r="G759" s="30"/>
      <c r="H759" s="30"/>
      <c r="I759" s="30"/>
      <c r="J759" s="30"/>
      <c r="K759" s="30"/>
      <c r="L759" s="30"/>
      <c r="M759" s="30"/>
      <c r="N759" s="30"/>
      <c r="O759" s="30"/>
      <c r="P759" s="30"/>
      <c r="Q759" s="30"/>
      <c r="R759" s="30"/>
      <c r="S759" s="195"/>
      <c r="T759" s="195"/>
      <c r="U759" s="195"/>
      <c r="V759" s="195"/>
      <c r="W759" s="30"/>
      <c r="X759" s="30"/>
      <c r="Y759" s="30"/>
      <c r="Z759" s="30"/>
      <c r="AA759" s="30"/>
      <c r="AB759" s="30"/>
    </row>
    <row r="760">
      <c r="A760" s="30"/>
      <c r="B760" s="30"/>
      <c r="C760" s="30"/>
      <c r="D760" s="30"/>
      <c r="E760" s="30"/>
      <c r="F760" s="292"/>
      <c r="G760" s="30"/>
      <c r="H760" s="30"/>
      <c r="I760" s="30"/>
      <c r="J760" s="30"/>
      <c r="K760" s="30"/>
      <c r="L760" s="30"/>
      <c r="M760" s="30"/>
      <c r="N760" s="30"/>
      <c r="O760" s="30"/>
      <c r="P760" s="30"/>
      <c r="Q760" s="30"/>
      <c r="R760" s="30"/>
      <c r="S760" s="195"/>
      <c r="T760" s="195"/>
      <c r="U760" s="195"/>
      <c r="V760" s="195"/>
      <c r="W760" s="30"/>
      <c r="X760" s="30"/>
      <c r="Y760" s="30"/>
      <c r="Z760" s="30"/>
      <c r="AA760" s="30"/>
      <c r="AB760" s="30"/>
    </row>
    <row r="761">
      <c r="A761" s="30"/>
      <c r="B761" s="30"/>
      <c r="C761" s="30"/>
      <c r="D761" s="30"/>
      <c r="E761" s="30"/>
      <c r="F761" s="292"/>
      <c r="G761" s="30"/>
      <c r="H761" s="30"/>
      <c r="I761" s="30"/>
      <c r="J761" s="30"/>
      <c r="K761" s="30"/>
      <c r="L761" s="30"/>
      <c r="M761" s="30"/>
      <c r="N761" s="30"/>
      <c r="O761" s="30"/>
      <c r="P761" s="30"/>
      <c r="Q761" s="30"/>
      <c r="R761" s="30"/>
      <c r="S761" s="195"/>
      <c r="T761" s="195"/>
      <c r="U761" s="195"/>
      <c r="V761" s="195"/>
      <c r="W761" s="30"/>
      <c r="X761" s="30"/>
      <c r="Y761" s="30"/>
      <c r="Z761" s="30"/>
      <c r="AA761" s="30"/>
      <c r="AB761" s="30"/>
    </row>
    <row r="762">
      <c r="A762" s="30"/>
      <c r="B762" s="30"/>
      <c r="C762" s="30"/>
      <c r="D762" s="30"/>
      <c r="E762" s="30"/>
      <c r="F762" s="292"/>
      <c r="G762" s="30"/>
      <c r="H762" s="30"/>
      <c r="I762" s="30"/>
      <c r="J762" s="30"/>
      <c r="K762" s="30"/>
      <c r="L762" s="30"/>
      <c r="M762" s="30"/>
      <c r="N762" s="30"/>
      <c r="O762" s="30"/>
      <c r="P762" s="30"/>
      <c r="Q762" s="30"/>
      <c r="R762" s="30"/>
      <c r="S762" s="195"/>
      <c r="T762" s="195"/>
      <c r="U762" s="195"/>
      <c r="V762" s="195"/>
      <c r="W762" s="30"/>
      <c r="X762" s="30"/>
      <c r="Y762" s="30"/>
      <c r="Z762" s="30"/>
      <c r="AA762" s="30"/>
      <c r="AB762" s="30"/>
    </row>
    <row r="763">
      <c r="A763" s="30"/>
      <c r="B763" s="30"/>
      <c r="C763" s="30"/>
      <c r="D763" s="30"/>
      <c r="E763" s="30"/>
      <c r="F763" s="292"/>
      <c r="G763" s="30"/>
      <c r="H763" s="30"/>
      <c r="I763" s="30"/>
      <c r="J763" s="30"/>
      <c r="K763" s="30"/>
      <c r="L763" s="30"/>
      <c r="M763" s="30"/>
      <c r="N763" s="30"/>
      <c r="O763" s="30"/>
      <c r="P763" s="30"/>
      <c r="Q763" s="30"/>
      <c r="R763" s="30"/>
      <c r="S763" s="195"/>
      <c r="T763" s="195"/>
      <c r="U763" s="195"/>
      <c r="V763" s="195"/>
      <c r="W763" s="30"/>
      <c r="X763" s="30"/>
      <c r="Y763" s="30"/>
      <c r="Z763" s="30"/>
      <c r="AA763" s="30"/>
      <c r="AB763" s="30"/>
    </row>
    <row r="764">
      <c r="A764" s="30"/>
      <c r="B764" s="30"/>
      <c r="C764" s="30"/>
      <c r="D764" s="30"/>
      <c r="E764" s="30"/>
      <c r="F764" s="292"/>
      <c r="G764" s="30"/>
      <c r="H764" s="30"/>
      <c r="I764" s="30"/>
      <c r="J764" s="30"/>
      <c r="K764" s="30"/>
      <c r="L764" s="30"/>
      <c r="M764" s="30"/>
      <c r="N764" s="30"/>
      <c r="O764" s="30"/>
      <c r="P764" s="30"/>
      <c r="Q764" s="30"/>
      <c r="R764" s="30"/>
      <c r="S764" s="195"/>
      <c r="T764" s="195"/>
      <c r="U764" s="195"/>
      <c r="V764" s="195"/>
      <c r="W764" s="30"/>
      <c r="X764" s="30"/>
      <c r="Y764" s="30"/>
      <c r="Z764" s="30"/>
      <c r="AA764" s="30"/>
      <c r="AB764" s="30"/>
    </row>
    <row r="765">
      <c r="A765" s="30"/>
      <c r="B765" s="30"/>
      <c r="C765" s="30"/>
      <c r="D765" s="30"/>
      <c r="E765" s="30"/>
      <c r="F765" s="292"/>
      <c r="G765" s="30"/>
      <c r="H765" s="30"/>
      <c r="I765" s="30"/>
      <c r="J765" s="30"/>
      <c r="K765" s="30"/>
      <c r="L765" s="30"/>
      <c r="M765" s="30"/>
      <c r="N765" s="30"/>
      <c r="O765" s="30"/>
      <c r="P765" s="30"/>
      <c r="Q765" s="30"/>
      <c r="R765" s="30"/>
      <c r="S765" s="195"/>
      <c r="T765" s="195"/>
      <c r="U765" s="195"/>
      <c r="V765" s="195"/>
      <c r="W765" s="30"/>
      <c r="X765" s="30"/>
      <c r="Y765" s="30"/>
      <c r="Z765" s="30"/>
      <c r="AA765" s="30"/>
      <c r="AB765" s="30"/>
    </row>
    <row r="766">
      <c r="A766" s="30"/>
      <c r="B766" s="30"/>
      <c r="C766" s="30"/>
      <c r="D766" s="30"/>
      <c r="E766" s="30"/>
      <c r="F766" s="292"/>
      <c r="G766" s="30"/>
      <c r="H766" s="30"/>
      <c r="I766" s="30"/>
      <c r="J766" s="30"/>
      <c r="K766" s="30"/>
      <c r="L766" s="30"/>
      <c r="M766" s="30"/>
      <c r="N766" s="30"/>
      <c r="O766" s="30"/>
      <c r="P766" s="30"/>
      <c r="Q766" s="30"/>
      <c r="R766" s="30"/>
      <c r="S766" s="195"/>
      <c r="T766" s="195"/>
      <c r="U766" s="195"/>
      <c r="V766" s="195"/>
      <c r="W766" s="30"/>
      <c r="X766" s="30"/>
      <c r="Y766" s="30"/>
      <c r="Z766" s="30"/>
      <c r="AA766" s="30"/>
      <c r="AB766" s="30"/>
    </row>
    <row r="767">
      <c r="A767" s="30"/>
      <c r="B767" s="30"/>
      <c r="C767" s="30"/>
      <c r="D767" s="30"/>
      <c r="E767" s="30"/>
      <c r="F767" s="292"/>
      <c r="G767" s="30"/>
      <c r="H767" s="30"/>
      <c r="I767" s="30"/>
      <c r="J767" s="30"/>
      <c r="K767" s="30"/>
      <c r="L767" s="30"/>
      <c r="M767" s="30"/>
      <c r="N767" s="30"/>
      <c r="O767" s="30"/>
      <c r="P767" s="30"/>
      <c r="Q767" s="30"/>
      <c r="R767" s="30"/>
      <c r="S767" s="195"/>
      <c r="T767" s="195"/>
      <c r="U767" s="195"/>
      <c r="V767" s="195"/>
      <c r="W767" s="30"/>
      <c r="X767" s="30"/>
      <c r="Y767" s="30"/>
      <c r="Z767" s="30"/>
      <c r="AA767" s="30"/>
      <c r="AB767" s="30"/>
    </row>
    <row r="768">
      <c r="A768" s="30"/>
      <c r="B768" s="30"/>
      <c r="C768" s="30"/>
      <c r="D768" s="30"/>
      <c r="E768" s="30"/>
      <c r="F768" s="292"/>
      <c r="G768" s="30"/>
      <c r="H768" s="30"/>
      <c r="I768" s="30"/>
      <c r="J768" s="30"/>
      <c r="K768" s="30"/>
      <c r="L768" s="30"/>
      <c r="M768" s="30"/>
      <c r="N768" s="30"/>
      <c r="O768" s="30"/>
      <c r="P768" s="30"/>
      <c r="Q768" s="30"/>
      <c r="R768" s="30"/>
      <c r="S768" s="195"/>
      <c r="T768" s="195"/>
      <c r="U768" s="195"/>
      <c r="V768" s="195"/>
      <c r="W768" s="30"/>
      <c r="X768" s="30"/>
      <c r="Y768" s="30"/>
      <c r="Z768" s="30"/>
      <c r="AA768" s="30"/>
      <c r="AB768" s="30"/>
    </row>
    <row r="769">
      <c r="A769" s="30"/>
      <c r="B769" s="30"/>
      <c r="C769" s="30"/>
      <c r="D769" s="30"/>
      <c r="E769" s="30"/>
      <c r="F769" s="292"/>
      <c r="G769" s="30"/>
      <c r="H769" s="30"/>
      <c r="I769" s="30"/>
      <c r="J769" s="30"/>
      <c r="K769" s="30"/>
      <c r="L769" s="30"/>
      <c r="M769" s="30"/>
      <c r="N769" s="30"/>
      <c r="O769" s="30"/>
      <c r="P769" s="30"/>
      <c r="Q769" s="30"/>
      <c r="R769" s="30"/>
      <c r="S769" s="195"/>
      <c r="T769" s="195"/>
      <c r="U769" s="195"/>
      <c r="V769" s="195"/>
      <c r="W769" s="30"/>
      <c r="X769" s="30"/>
      <c r="Y769" s="30"/>
      <c r="Z769" s="30"/>
      <c r="AA769" s="30"/>
      <c r="AB769" s="30"/>
    </row>
    <row r="770">
      <c r="A770" s="30"/>
      <c r="B770" s="30"/>
      <c r="C770" s="30"/>
      <c r="D770" s="30"/>
      <c r="E770" s="30"/>
      <c r="F770" s="292"/>
      <c r="G770" s="30"/>
      <c r="H770" s="30"/>
      <c r="I770" s="30"/>
      <c r="J770" s="30"/>
      <c r="K770" s="30"/>
      <c r="L770" s="30"/>
      <c r="M770" s="30"/>
      <c r="N770" s="30"/>
      <c r="O770" s="30"/>
      <c r="P770" s="30"/>
      <c r="Q770" s="30"/>
      <c r="R770" s="30"/>
      <c r="S770" s="195"/>
      <c r="T770" s="195"/>
      <c r="U770" s="195"/>
      <c r="V770" s="195"/>
      <c r="W770" s="30"/>
      <c r="X770" s="30"/>
      <c r="Y770" s="30"/>
      <c r="Z770" s="30"/>
      <c r="AA770" s="30"/>
      <c r="AB770" s="30"/>
    </row>
    <row r="771">
      <c r="A771" s="30"/>
      <c r="B771" s="30"/>
      <c r="C771" s="30"/>
      <c r="D771" s="30"/>
      <c r="E771" s="30"/>
      <c r="F771" s="292"/>
      <c r="G771" s="30"/>
      <c r="H771" s="30"/>
      <c r="I771" s="30"/>
      <c r="J771" s="30"/>
      <c r="K771" s="30"/>
      <c r="L771" s="30"/>
      <c r="M771" s="30"/>
      <c r="N771" s="30"/>
      <c r="O771" s="30"/>
      <c r="P771" s="30"/>
      <c r="Q771" s="30"/>
      <c r="R771" s="30"/>
      <c r="S771" s="195"/>
      <c r="T771" s="195"/>
      <c r="U771" s="195"/>
      <c r="V771" s="195"/>
      <c r="W771" s="30"/>
      <c r="X771" s="30"/>
      <c r="Y771" s="30"/>
      <c r="Z771" s="30"/>
      <c r="AA771" s="30"/>
      <c r="AB771" s="30"/>
    </row>
    <row r="772">
      <c r="A772" s="30"/>
      <c r="B772" s="30"/>
      <c r="C772" s="30"/>
      <c r="D772" s="30"/>
      <c r="E772" s="30"/>
      <c r="F772" s="292"/>
      <c r="G772" s="30"/>
      <c r="H772" s="30"/>
      <c r="I772" s="30"/>
      <c r="J772" s="30"/>
      <c r="K772" s="30"/>
      <c r="L772" s="30"/>
      <c r="M772" s="30"/>
      <c r="N772" s="30"/>
      <c r="O772" s="30"/>
      <c r="P772" s="30"/>
      <c r="Q772" s="30"/>
      <c r="R772" s="30"/>
      <c r="S772" s="195"/>
      <c r="T772" s="195"/>
      <c r="U772" s="195"/>
      <c r="V772" s="195"/>
      <c r="W772" s="30"/>
      <c r="X772" s="30"/>
      <c r="Y772" s="30"/>
      <c r="Z772" s="30"/>
      <c r="AA772" s="30"/>
      <c r="AB772" s="30"/>
    </row>
    <row r="773">
      <c r="A773" s="30"/>
      <c r="B773" s="30"/>
      <c r="C773" s="30"/>
      <c r="D773" s="30"/>
      <c r="E773" s="30"/>
      <c r="F773" s="292"/>
      <c r="G773" s="30"/>
      <c r="H773" s="30"/>
      <c r="I773" s="30"/>
      <c r="J773" s="30"/>
      <c r="K773" s="30"/>
      <c r="L773" s="30"/>
      <c r="M773" s="30"/>
      <c r="N773" s="30"/>
      <c r="O773" s="30"/>
      <c r="P773" s="30"/>
      <c r="Q773" s="30"/>
      <c r="R773" s="30"/>
      <c r="S773" s="195"/>
      <c r="T773" s="195"/>
      <c r="U773" s="195"/>
      <c r="V773" s="195"/>
      <c r="W773" s="30"/>
      <c r="X773" s="30"/>
      <c r="Y773" s="30"/>
      <c r="Z773" s="30"/>
      <c r="AA773" s="30"/>
      <c r="AB773" s="30"/>
    </row>
    <row r="774">
      <c r="A774" s="30"/>
      <c r="B774" s="30"/>
      <c r="C774" s="30"/>
      <c r="D774" s="30"/>
      <c r="E774" s="30"/>
      <c r="F774" s="292"/>
      <c r="G774" s="30"/>
      <c r="H774" s="30"/>
      <c r="I774" s="30"/>
      <c r="J774" s="30"/>
      <c r="K774" s="30"/>
      <c r="L774" s="30"/>
      <c r="M774" s="30"/>
      <c r="N774" s="30"/>
      <c r="O774" s="30"/>
      <c r="P774" s="30"/>
      <c r="Q774" s="30"/>
      <c r="R774" s="30"/>
      <c r="S774" s="195"/>
      <c r="T774" s="195"/>
      <c r="U774" s="195"/>
      <c r="V774" s="195"/>
      <c r="W774" s="30"/>
      <c r="X774" s="30"/>
      <c r="Y774" s="30"/>
      <c r="Z774" s="30"/>
      <c r="AA774" s="30"/>
      <c r="AB774" s="30"/>
    </row>
    <row r="775">
      <c r="A775" s="30"/>
      <c r="B775" s="30"/>
      <c r="C775" s="30"/>
      <c r="D775" s="30"/>
      <c r="E775" s="30"/>
      <c r="F775" s="292"/>
      <c r="G775" s="30"/>
      <c r="H775" s="30"/>
      <c r="I775" s="30"/>
      <c r="J775" s="30"/>
      <c r="K775" s="30"/>
      <c r="L775" s="30"/>
      <c r="M775" s="30"/>
      <c r="N775" s="30"/>
      <c r="O775" s="30"/>
      <c r="P775" s="30"/>
      <c r="Q775" s="30"/>
      <c r="R775" s="30"/>
      <c r="S775" s="195"/>
      <c r="T775" s="195"/>
      <c r="U775" s="195"/>
      <c r="V775" s="195"/>
      <c r="W775" s="30"/>
      <c r="X775" s="30"/>
      <c r="Y775" s="30"/>
      <c r="Z775" s="30"/>
      <c r="AA775" s="30"/>
      <c r="AB775" s="30"/>
    </row>
    <row r="776">
      <c r="A776" s="30"/>
      <c r="B776" s="30"/>
      <c r="C776" s="30"/>
      <c r="D776" s="30"/>
      <c r="E776" s="30"/>
      <c r="F776" s="292"/>
      <c r="G776" s="30"/>
      <c r="H776" s="30"/>
      <c r="I776" s="30"/>
      <c r="J776" s="30"/>
      <c r="K776" s="30"/>
      <c r="L776" s="30"/>
      <c r="M776" s="30"/>
      <c r="N776" s="30"/>
      <c r="O776" s="30"/>
      <c r="P776" s="30"/>
      <c r="Q776" s="30"/>
      <c r="R776" s="30"/>
      <c r="S776" s="195"/>
      <c r="T776" s="195"/>
      <c r="U776" s="195"/>
      <c r="V776" s="195"/>
      <c r="W776" s="30"/>
      <c r="X776" s="30"/>
      <c r="Y776" s="30"/>
      <c r="Z776" s="30"/>
      <c r="AA776" s="30"/>
      <c r="AB776" s="30"/>
    </row>
    <row r="777">
      <c r="A777" s="30"/>
      <c r="B777" s="30"/>
      <c r="C777" s="30"/>
      <c r="D777" s="30"/>
      <c r="E777" s="30"/>
      <c r="F777" s="292"/>
      <c r="G777" s="30"/>
      <c r="H777" s="30"/>
      <c r="I777" s="30"/>
      <c r="J777" s="30"/>
      <c r="K777" s="30"/>
      <c r="L777" s="30"/>
      <c r="M777" s="30"/>
      <c r="N777" s="30"/>
      <c r="O777" s="30"/>
      <c r="P777" s="30"/>
      <c r="Q777" s="30"/>
      <c r="R777" s="30"/>
      <c r="S777" s="195"/>
      <c r="T777" s="195"/>
      <c r="U777" s="195"/>
      <c r="V777" s="195"/>
      <c r="W777" s="30"/>
      <c r="X777" s="30"/>
      <c r="Y777" s="30"/>
      <c r="Z777" s="30"/>
      <c r="AA777" s="30"/>
      <c r="AB777" s="30"/>
    </row>
    <row r="778">
      <c r="A778" s="30"/>
      <c r="B778" s="30"/>
      <c r="C778" s="30"/>
      <c r="D778" s="30"/>
      <c r="E778" s="30"/>
      <c r="F778" s="292"/>
      <c r="G778" s="30"/>
      <c r="H778" s="30"/>
      <c r="I778" s="30"/>
      <c r="J778" s="30"/>
      <c r="K778" s="30"/>
      <c r="L778" s="30"/>
      <c r="M778" s="30"/>
      <c r="N778" s="30"/>
      <c r="O778" s="30"/>
      <c r="P778" s="30"/>
      <c r="Q778" s="30"/>
      <c r="R778" s="30"/>
      <c r="S778" s="195"/>
      <c r="T778" s="195"/>
      <c r="U778" s="195"/>
      <c r="V778" s="195"/>
      <c r="W778" s="30"/>
      <c r="X778" s="30"/>
      <c r="Y778" s="30"/>
      <c r="Z778" s="30"/>
      <c r="AA778" s="30"/>
      <c r="AB778" s="30"/>
    </row>
    <row r="779">
      <c r="A779" s="30"/>
      <c r="B779" s="30"/>
      <c r="C779" s="30"/>
      <c r="D779" s="30"/>
      <c r="E779" s="30"/>
      <c r="F779" s="292"/>
      <c r="G779" s="30"/>
      <c r="H779" s="30"/>
      <c r="I779" s="30"/>
      <c r="J779" s="30"/>
      <c r="K779" s="30"/>
      <c r="L779" s="30"/>
      <c r="M779" s="30"/>
      <c r="N779" s="30"/>
      <c r="O779" s="30"/>
      <c r="P779" s="30"/>
      <c r="Q779" s="30"/>
      <c r="R779" s="30"/>
      <c r="S779" s="195"/>
      <c r="T779" s="195"/>
      <c r="U779" s="195"/>
      <c r="V779" s="195"/>
      <c r="W779" s="30"/>
      <c r="X779" s="30"/>
      <c r="Y779" s="30"/>
      <c r="Z779" s="30"/>
      <c r="AA779" s="30"/>
      <c r="AB779" s="30"/>
    </row>
    <row r="780">
      <c r="A780" s="30"/>
      <c r="B780" s="30"/>
      <c r="C780" s="30"/>
      <c r="D780" s="30"/>
      <c r="E780" s="30"/>
      <c r="F780" s="292"/>
      <c r="G780" s="30"/>
      <c r="H780" s="30"/>
      <c r="I780" s="30"/>
      <c r="J780" s="30"/>
      <c r="K780" s="30"/>
      <c r="L780" s="30"/>
      <c r="M780" s="30"/>
      <c r="N780" s="30"/>
      <c r="O780" s="30"/>
      <c r="P780" s="30"/>
      <c r="Q780" s="30"/>
      <c r="R780" s="30"/>
      <c r="S780" s="195"/>
      <c r="T780" s="195"/>
      <c r="U780" s="195"/>
      <c r="V780" s="195"/>
      <c r="W780" s="30"/>
      <c r="X780" s="30"/>
      <c r="Y780" s="30"/>
      <c r="Z780" s="30"/>
      <c r="AA780" s="30"/>
      <c r="AB780" s="30"/>
    </row>
    <row r="781">
      <c r="A781" s="30"/>
      <c r="B781" s="30"/>
      <c r="C781" s="30"/>
      <c r="D781" s="30"/>
      <c r="E781" s="30"/>
      <c r="F781" s="292"/>
      <c r="G781" s="30"/>
      <c r="H781" s="30"/>
      <c r="I781" s="30"/>
      <c r="J781" s="30"/>
      <c r="K781" s="30"/>
      <c r="L781" s="30"/>
      <c r="M781" s="30"/>
      <c r="N781" s="30"/>
      <c r="O781" s="30"/>
      <c r="P781" s="30"/>
      <c r="Q781" s="30"/>
      <c r="R781" s="30"/>
      <c r="S781" s="195"/>
      <c r="T781" s="195"/>
      <c r="U781" s="195"/>
      <c r="V781" s="195"/>
      <c r="W781" s="30"/>
      <c r="X781" s="30"/>
      <c r="Y781" s="30"/>
      <c r="Z781" s="30"/>
      <c r="AA781" s="30"/>
      <c r="AB781" s="30"/>
    </row>
    <row r="782">
      <c r="A782" s="30"/>
      <c r="B782" s="30"/>
      <c r="C782" s="30"/>
      <c r="D782" s="30"/>
      <c r="E782" s="30"/>
      <c r="F782" s="292"/>
      <c r="G782" s="30"/>
      <c r="H782" s="30"/>
      <c r="I782" s="30"/>
      <c r="J782" s="30"/>
      <c r="K782" s="30"/>
      <c r="L782" s="30"/>
      <c r="M782" s="30"/>
      <c r="N782" s="30"/>
      <c r="O782" s="30"/>
      <c r="P782" s="30"/>
      <c r="Q782" s="30"/>
      <c r="R782" s="30"/>
      <c r="S782" s="195"/>
      <c r="T782" s="195"/>
      <c r="U782" s="195"/>
      <c r="V782" s="195"/>
      <c r="W782" s="30"/>
      <c r="X782" s="30"/>
      <c r="Y782" s="30"/>
      <c r="Z782" s="30"/>
      <c r="AA782" s="30"/>
      <c r="AB782" s="30"/>
    </row>
    <row r="783">
      <c r="A783" s="30"/>
      <c r="B783" s="30"/>
      <c r="C783" s="30"/>
      <c r="D783" s="30"/>
      <c r="E783" s="30"/>
      <c r="F783" s="292"/>
      <c r="G783" s="30"/>
      <c r="H783" s="30"/>
      <c r="I783" s="30"/>
      <c r="J783" s="30"/>
      <c r="K783" s="30"/>
      <c r="L783" s="30"/>
      <c r="M783" s="30"/>
      <c r="N783" s="30"/>
      <c r="O783" s="30"/>
      <c r="P783" s="30"/>
      <c r="Q783" s="30"/>
      <c r="R783" s="30"/>
      <c r="S783" s="195"/>
      <c r="T783" s="195"/>
      <c r="U783" s="195"/>
      <c r="V783" s="195"/>
      <c r="W783" s="30"/>
      <c r="X783" s="30"/>
      <c r="Y783" s="30"/>
      <c r="Z783" s="30"/>
      <c r="AA783" s="30"/>
      <c r="AB783" s="30"/>
    </row>
    <row r="784">
      <c r="A784" s="30"/>
      <c r="B784" s="30"/>
      <c r="C784" s="30"/>
      <c r="D784" s="30"/>
      <c r="E784" s="30"/>
      <c r="F784" s="292"/>
      <c r="G784" s="30"/>
      <c r="H784" s="30"/>
      <c r="I784" s="30"/>
      <c r="J784" s="30"/>
      <c r="K784" s="30"/>
      <c r="L784" s="30"/>
      <c r="M784" s="30"/>
      <c r="N784" s="30"/>
      <c r="O784" s="30"/>
      <c r="P784" s="30"/>
      <c r="Q784" s="30"/>
      <c r="R784" s="30"/>
      <c r="S784" s="195"/>
      <c r="T784" s="195"/>
      <c r="U784" s="195"/>
      <c r="V784" s="195"/>
      <c r="W784" s="30"/>
      <c r="X784" s="30"/>
      <c r="Y784" s="30"/>
      <c r="Z784" s="30"/>
      <c r="AA784" s="30"/>
      <c r="AB784" s="30"/>
    </row>
    <row r="785">
      <c r="A785" s="30"/>
      <c r="B785" s="30"/>
      <c r="C785" s="30"/>
      <c r="D785" s="30"/>
      <c r="E785" s="30"/>
      <c r="F785" s="292"/>
      <c r="G785" s="30"/>
      <c r="H785" s="30"/>
      <c r="I785" s="30"/>
      <c r="J785" s="30"/>
      <c r="K785" s="30"/>
      <c r="L785" s="30"/>
      <c r="M785" s="30"/>
      <c r="N785" s="30"/>
      <c r="O785" s="30"/>
      <c r="P785" s="30"/>
      <c r="Q785" s="30"/>
      <c r="R785" s="30"/>
      <c r="S785" s="195"/>
      <c r="T785" s="195"/>
      <c r="U785" s="195"/>
      <c r="V785" s="195"/>
      <c r="W785" s="30"/>
      <c r="X785" s="30"/>
      <c r="Y785" s="30"/>
      <c r="Z785" s="30"/>
      <c r="AA785" s="30"/>
      <c r="AB785" s="30"/>
    </row>
    <row r="786">
      <c r="A786" s="30"/>
      <c r="B786" s="30"/>
      <c r="C786" s="30"/>
      <c r="D786" s="30"/>
      <c r="E786" s="30"/>
      <c r="F786" s="292"/>
      <c r="G786" s="30"/>
      <c r="H786" s="30"/>
      <c r="I786" s="30"/>
      <c r="J786" s="30"/>
      <c r="K786" s="30"/>
      <c r="L786" s="30"/>
      <c r="M786" s="30"/>
      <c r="N786" s="30"/>
      <c r="O786" s="30"/>
      <c r="P786" s="30"/>
      <c r="Q786" s="30"/>
      <c r="R786" s="30"/>
      <c r="S786" s="195"/>
      <c r="T786" s="195"/>
      <c r="U786" s="195"/>
      <c r="V786" s="195"/>
      <c r="W786" s="30"/>
      <c r="X786" s="30"/>
      <c r="Y786" s="30"/>
      <c r="Z786" s="30"/>
      <c r="AA786" s="30"/>
      <c r="AB786" s="30"/>
    </row>
    <row r="787">
      <c r="A787" s="30"/>
      <c r="B787" s="30"/>
      <c r="C787" s="30"/>
      <c r="D787" s="30"/>
      <c r="E787" s="30"/>
      <c r="F787" s="292"/>
      <c r="G787" s="30"/>
      <c r="H787" s="30"/>
      <c r="I787" s="30"/>
      <c r="J787" s="30"/>
      <c r="K787" s="30"/>
      <c r="L787" s="30"/>
      <c r="M787" s="30"/>
      <c r="N787" s="30"/>
      <c r="O787" s="30"/>
      <c r="P787" s="30"/>
      <c r="Q787" s="30"/>
      <c r="R787" s="30"/>
      <c r="S787" s="195"/>
      <c r="T787" s="195"/>
      <c r="U787" s="195"/>
      <c r="V787" s="195"/>
      <c r="W787" s="30"/>
      <c r="X787" s="30"/>
      <c r="Y787" s="30"/>
      <c r="Z787" s="30"/>
      <c r="AA787" s="30"/>
      <c r="AB787" s="30"/>
    </row>
    <row r="788">
      <c r="A788" s="30"/>
      <c r="B788" s="30"/>
      <c r="C788" s="30"/>
      <c r="D788" s="30"/>
      <c r="E788" s="30"/>
      <c r="F788" s="292"/>
      <c r="G788" s="30"/>
      <c r="H788" s="30"/>
      <c r="I788" s="30"/>
      <c r="J788" s="30"/>
      <c r="K788" s="30"/>
      <c r="L788" s="30"/>
      <c r="M788" s="30"/>
      <c r="N788" s="30"/>
      <c r="O788" s="30"/>
      <c r="P788" s="30"/>
      <c r="Q788" s="30"/>
      <c r="R788" s="30"/>
      <c r="S788" s="195"/>
      <c r="T788" s="195"/>
      <c r="U788" s="195"/>
      <c r="V788" s="195"/>
      <c r="W788" s="30"/>
      <c r="X788" s="30"/>
      <c r="Y788" s="30"/>
      <c r="Z788" s="30"/>
      <c r="AA788" s="30"/>
      <c r="AB788" s="30"/>
    </row>
    <row r="789">
      <c r="A789" s="30"/>
      <c r="B789" s="30"/>
      <c r="C789" s="30"/>
      <c r="D789" s="30"/>
      <c r="E789" s="30"/>
      <c r="F789" s="292"/>
      <c r="G789" s="30"/>
      <c r="H789" s="30"/>
      <c r="I789" s="30"/>
      <c r="J789" s="30"/>
      <c r="K789" s="30"/>
      <c r="L789" s="30"/>
      <c r="M789" s="30"/>
      <c r="N789" s="30"/>
      <c r="O789" s="30"/>
      <c r="P789" s="30"/>
      <c r="Q789" s="30"/>
      <c r="R789" s="30"/>
      <c r="S789" s="195"/>
      <c r="T789" s="195"/>
      <c r="U789" s="195"/>
      <c r="V789" s="195"/>
      <c r="W789" s="30"/>
      <c r="X789" s="30"/>
      <c r="Y789" s="30"/>
      <c r="Z789" s="30"/>
      <c r="AA789" s="30"/>
      <c r="AB789" s="30"/>
    </row>
    <row r="790">
      <c r="A790" s="30"/>
      <c r="B790" s="30"/>
      <c r="C790" s="30"/>
      <c r="D790" s="30"/>
      <c r="E790" s="30"/>
      <c r="F790" s="292"/>
      <c r="G790" s="30"/>
      <c r="H790" s="30"/>
      <c r="I790" s="30"/>
      <c r="J790" s="30"/>
      <c r="K790" s="30"/>
      <c r="L790" s="30"/>
      <c r="M790" s="30"/>
      <c r="N790" s="30"/>
      <c r="O790" s="30"/>
      <c r="P790" s="30"/>
      <c r="Q790" s="30"/>
      <c r="R790" s="30"/>
      <c r="S790" s="195"/>
      <c r="T790" s="195"/>
      <c r="U790" s="195"/>
      <c r="V790" s="195"/>
      <c r="W790" s="30"/>
      <c r="X790" s="30"/>
      <c r="Y790" s="30"/>
      <c r="Z790" s="30"/>
      <c r="AA790" s="30"/>
      <c r="AB790" s="30"/>
    </row>
    <row r="791">
      <c r="A791" s="30"/>
      <c r="B791" s="30"/>
      <c r="C791" s="30"/>
      <c r="D791" s="30"/>
      <c r="E791" s="30"/>
      <c r="F791" s="292"/>
      <c r="G791" s="30"/>
      <c r="H791" s="30"/>
      <c r="I791" s="30"/>
      <c r="J791" s="30"/>
      <c r="K791" s="30"/>
      <c r="L791" s="30"/>
      <c r="M791" s="30"/>
      <c r="N791" s="30"/>
      <c r="O791" s="30"/>
      <c r="P791" s="30"/>
      <c r="Q791" s="30"/>
      <c r="R791" s="30"/>
      <c r="S791" s="195"/>
      <c r="T791" s="195"/>
      <c r="U791" s="195"/>
      <c r="V791" s="195"/>
      <c r="W791" s="30"/>
      <c r="X791" s="30"/>
      <c r="Y791" s="30"/>
      <c r="Z791" s="30"/>
      <c r="AA791" s="30"/>
      <c r="AB791" s="30"/>
    </row>
    <row r="792">
      <c r="A792" s="30"/>
      <c r="B792" s="30"/>
      <c r="C792" s="30"/>
      <c r="D792" s="30"/>
      <c r="E792" s="30"/>
      <c r="F792" s="292"/>
      <c r="G792" s="30"/>
      <c r="H792" s="30"/>
      <c r="I792" s="30"/>
      <c r="J792" s="30"/>
      <c r="K792" s="30"/>
      <c r="L792" s="30"/>
      <c r="M792" s="30"/>
      <c r="N792" s="30"/>
      <c r="O792" s="30"/>
      <c r="P792" s="30"/>
      <c r="Q792" s="30"/>
      <c r="R792" s="30"/>
      <c r="S792" s="195"/>
      <c r="T792" s="195"/>
      <c r="U792" s="195"/>
      <c r="V792" s="195"/>
      <c r="W792" s="30"/>
      <c r="X792" s="30"/>
      <c r="Y792" s="30"/>
      <c r="Z792" s="30"/>
      <c r="AA792" s="30"/>
      <c r="AB792" s="30"/>
    </row>
    <row r="793">
      <c r="A793" s="30"/>
      <c r="B793" s="30"/>
      <c r="C793" s="30"/>
      <c r="D793" s="30"/>
      <c r="E793" s="30"/>
      <c r="F793" s="292"/>
      <c r="G793" s="30"/>
      <c r="H793" s="30"/>
      <c r="I793" s="30"/>
      <c r="J793" s="30"/>
      <c r="K793" s="30"/>
      <c r="L793" s="30"/>
      <c r="M793" s="30"/>
      <c r="N793" s="30"/>
      <c r="O793" s="30"/>
      <c r="P793" s="30"/>
      <c r="Q793" s="30"/>
      <c r="R793" s="30"/>
      <c r="S793" s="195"/>
      <c r="T793" s="195"/>
      <c r="U793" s="195"/>
      <c r="V793" s="195"/>
      <c r="W793" s="30"/>
      <c r="X793" s="30"/>
      <c r="Y793" s="30"/>
      <c r="Z793" s="30"/>
      <c r="AA793" s="30"/>
      <c r="AB793" s="30"/>
    </row>
    <row r="794">
      <c r="A794" s="30"/>
      <c r="B794" s="30"/>
      <c r="C794" s="30"/>
      <c r="D794" s="30"/>
      <c r="E794" s="30"/>
      <c r="F794" s="292"/>
      <c r="G794" s="30"/>
      <c r="H794" s="30"/>
      <c r="I794" s="30"/>
      <c r="J794" s="30"/>
      <c r="K794" s="30"/>
      <c r="L794" s="30"/>
      <c r="M794" s="30"/>
      <c r="N794" s="30"/>
      <c r="O794" s="30"/>
      <c r="P794" s="30"/>
      <c r="Q794" s="30"/>
      <c r="R794" s="30"/>
      <c r="S794" s="195"/>
      <c r="T794" s="195"/>
      <c r="U794" s="195"/>
      <c r="V794" s="195"/>
      <c r="W794" s="30"/>
      <c r="X794" s="30"/>
      <c r="Y794" s="30"/>
      <c r="Z794" s="30"/>
      <c r="AA794" s="30"/>
      <c r="AB794" s="30"/>
    </row>
    <row r="795">
      <c r="A795" s="30"/>
      <c r="B795" s="30"/>
      <c r="C795" s="30"/>
      <c r="D795" s="30"/>
      <c r="E795" s="30"/>
      <c r="F795" s="292"/>
      <c r="G795" s="30"/>
      <c r="H795" s="30"/>
      <c r="I795" s="30"/>
      <c r="J795" s="30"/>
      <c r="K795" s="30"/>
      <c r="L795" s="30"/>
      <c r="M795" s="30"/>
      <c r="N795" s="30"/>
      <c r="O795" s="30"/>
      <c r="P795" s="30"/>
      <c r="Q795" s="30"/>
      <c r="R795" s="30"/>
      <c r="S795" s="195"/>
      <c r="T795" s="195"/>
      <c r="U795" s="195"/>
      <c r="V795" s="195"/>
      <c r="W795" s="30"/>
      <c r="X795" s="30"/>
      <c r="Y795" s="30"/>
      <c r="Z795" s="30"/>
      <c r="AA795" s="30"/>
      <c r="AB795" s="30"/>
    </row>
    <row r="796">
      <c r="A796" s="30"/>
      <c r="B796" s="30"/>
      <c r="C796" s="30"/>
      <c r="D796" s="30"/>
      <c r="E796" s="30"/>
      <c r="F796" s="292"/>
      <c r="G796" s="30"/>
      <c r="H796" s="30"/>
      <c r="I796" s="30"/>
      <c r="J796" s="30"/>
      <c r="K796" s="30"/>
      <c r="L796" s="30"/>
      <c r="M796" s="30"/>
      <c r="N796" s="30"/>
      <c r="O796" s="30"/>
      <c r="P796" s="30"/>
      <c r="Q796" s="30"/>
      <c r="R796" s="30"/>
      <c r="S796" s="195"/>
      <c r="T796" s="195"/>
      <c r="U796" s="195"/>
      <c r="V796" s="195"/>
      <c r="W796" s="30"/>
      <c r="X796" s="30"/>
      <c r="Y796" s="30"/>
      <c r="Z796" s="30"/>
      <c r="AA796" s="30"/>
      <c r="AB796" s="30"/>
    </row>
    <row r="797">
      <c r="A797" s="30"/>
      <c r="B797" s="30"/>
      <c r="C797" s="30"/>
      <c r="D797" s="30"/>
      <c r="E797" s="30"/>
      <c r="F797" s="292"/>
      <c r="G797" s="30"/>
      <c r="H797" s="30"/>
      <c r="I797" s="30"/>
      <c r="J797" s="30"/>
      <c r="K797" s="30"/>
      <c r="L797" s="30"/>
      <c r="M797" s="30"/>
      <c r="N797" s="30"/>
      <c r="O797" s="30"/>
      <c r="P797" s="30"/>
      <c r="Q797" s="30"/>
      <c r="R797" s="30"/>
      <c r="S797" s="195"/>
      <c r="T797" s="195"/>
      <c r="U797" s="195"/>
      <c r="V797" s="195"/>
      <c r="W797" s="30"/>
      <c r="X797" s="30"/>
      <c r="Y797" s="30"/>
      <c r="Z797" s="30"/>
      <c r="AA797" s="30"/>
      <c r="AB797" s="30"/>
    </row>
    <row r="798">
      <c r="A798" s="30"/>
      <c r="B798" s="30"/>
      <c r="C798" s="30"/>
      <c r="D798" s="30"/>
      <c r="E798" s="30"/>
      <c r="F798" s="292"/>
      <c r="G798" s="30"/>
      <c r="H798" s="30"/>
      <c r="I798" s="30"/>
      <c r="J798" s="30"/>
      <c r="K798" s="30"/>
      <c r="L798" s="30"/>
      <c r="M798" s="30"/>
      <c r="N798" s="30"/>
      <c r="O798" s="30"/>
      <c r="P798" s="30"/>
      <c r="Q798" s="30"/>
      <c r="R798" s="30"/>
      <c r="S798" s="195"/>
      <c r="T798" s="195"/>
      <c r="U798" s="195"/>
      <c r="V798" s="195"/>
      <c r="W798" s="30"/>
      <c r="X798" s="30"/>
      <c r="Y798" s="30"/>
      <c r="Z798" s="30"/>
      <c r="AA798" s="30"/>
      <c r="AB798" s="30"/>
    </row>
    <row r="799">
      <c r="A799" s="30"/>
      <c r="B799" s="30"/>
      <c r="C799" s="30"/>
      <c r="D799" s="30"/>
      <c r="E799" s="30"/>
      <c r="F799" s="292"/>
      <c r="G799" s="30"/>
      <c r="H799" s="30"/>
      <c r="I799" s="30"/>
      <c r="J799" s="30"/>
      <c r="K799" s="30"/>
      <c r="L799" s="30"/>
      <c r="M799" s="30"/>
      <c r="N799" s="30"/>
      <c r="O799" s="30"/>
      <c r="P799" s="30"/>
      <c r="Q799" s="30"/>
      <c r="R799" s="30"/>
      <c r="S799" s="195"/>
      <c r="T799" s="195"/>
      <c r="U799" s="195"/>
      <c r="V799" s="195"/>
      <c r="W799" s="30"/>
      <c r="X799" s="30"/>
      <c r="Y799" s="30"/>
      <c r="Z799" s="30"/>
      <c r="AA799" s="30"/>
      <c r="AB799" s="30"/>
    </row>
    <row r="800">
      <c r="A800" s="30"/>
      <c r="B800" s="30"/>
      <c r="C800" s="30"/>
      <c r="D800" s="30"/>
      <c r="E800" s="30"/>
      <c r="F800" s="292"/>
      <c r="G800" s="30"/>
      <c r="H800" s="30"/>
      <c r="I800" s="30"/>
      <c r="J800" s="30"/>
      <c r="K800" s="30"/>
      <c r="L800" s="30"/>
      <c r="M800" s="30"/>
      <c r="N800" s="30"/>
      <c r="O800" s="30"/>
      <c r="P800" s="30"/>
      <c r="Q800" s="30"/>
      <c r="R800" s="30"/>
      <c r="S800" s="195"/>
      <c r="T800" s="195"/>
      <c r="U800" s="195"/>
      <c r="V800" s="195"/>
      <c r="W800" s="30"/>
      <c r="X800" s="30"/>
      <c r="Y800" s="30"/>
      <c r="Z800" s="30"/>
      <c r="AA800" s="30"/>
      <c r="AB800" s="30"/>
    </row>
    <row r="801">
      <c r="A801" s="30"/>
      <c r="B801" s="30"/>
      <c r="C801" s="30"/>
      <c r="D801" s="30"/>
      <c r="E801" s="30"/>
      <c r="F801" s="292"/>
      <c r="G801" s="30"/>
      <c r="H801" s="30"/>
      <c r="I801" s="30"/>
      <c r="J801" s="30"/>
      <c r="K801" s="30"/>
      <c r="L801" s="30"/>
      <c r="M801" s="30"/>
      <c r="N801" s="30"/>
      <c r="O801" s="30"/>
      <c r="P801" s="30"/>
      <c r="Q801" s="30"/>
      <c r="R801" s="30"/>
      <c r="S801" s="195"/>
      <c r="T801" s="195"/>
      <c r="U801" s="195"/>
      <c r="V801" s="195"/>
      <c r="W801" s="30"/>
      <c r="X801" s="30"/>
      <c r="Y801" s="30"/>
      <c r="Z801" s="30"/>
      <c r="AA801" s="30"/>
      <c r="AB801" s="30"/>
    </row>
    <row r="802">
      <c r="A802" s="30"/>
      <c r="B802" s="30"/>
      <c r="C802" s="30"/>
      <c r="D802" s="30"/>
      <c r="E802" s="30"/>
      <c r="F802" s="292"/>
      <c r="G802" s="30"/>
      <c r="H802" s="30"/>
      <c r="I802" s="30"/>
      <c r="J802" s="30"/>
      <c r="K802" s="30"/>
      <c r="L802" s="30"/>
      <c r="M802" s="30"/>
      <c r="N802" s="30"/>
      <c r="O802" s="30"/>
      <c r="P802" s="30"/>
      <c r="Q802" s="30"/>
      <c r="R802" s="30"/>
      <c r="S802" s="195"/>
      <c r="T802" s="195"/>
      <c r="U802" s="195"/>
      <c r="V802" s="195"/>
      <c r="W802" s="30"/>
      <c r="X802" s="30"/>
      <c r="Y802" s="30"/>
      <c r="Z802" s="30"/>
      <c r="AA802" s="30"/>
      <c r="AB802" s="30"/>
    </row>
    <row r="803">
      <c r="A803" s="30"/>
      <c r="B803" s="30"/>
      <c r="C803" s="30"/>
      <c r="D803" s="30"/>
      <c r="E803" s="30"/>
      <c r="F803" s="292"/>
      <c r="G803" s="30"/>
      <c r="H803" s="30"/>
      <c r="I803" s="30"/>
      <c r="J803" s="30"/>
      <c r="K803" s="30"/>
      <c r="L803" s="30"/>
      <c r="M803" s="30"/>
      <c r="N803" s="30"/>
      <c r="O803" s="30"/>
      <c r="P803" s="30"/>
      <c r="Q803" s="30"/>
      <c r="R803" s="30"/>
      <c r="S803" s="195"/>
      <c r="T803" s="195"/>
      <c r="U803" s="195"/>
      <c r="V803" s="195"/>
      <c r="W803" s="30"/>
      <c r="X803" s="30"/>
      <c r="Y803" s="30"/>
      <c r="Z803" s="30"/>
      <c r="AA803" s="30"/>
      <c r="AB803" s="30"/>
    </row>
    <row r="804">
      <c r="A804" s="30"/>
      <c r="B804" s="30"/>
      <c r="C804" s="30"/>
      <c r="D804" s="30"/>
      <c r="E804" s="30"/>
      <c r="F804" s="292"/>
      <c r="G804" s="30"/>
      <c r="H804" s="30"/>
      <c r="I804" s="30"/>
      <c r="J804" s="30"/>
      <c r="K804" s="30"/>
      <c r="L804" s="30"/>
      <c r="M804" s="30"/>
      <c r="N804" s="30"/>
      <c r="O804" s="30"/>
      <c r="P804" s="30"/>
      <c r="Q804" s="30"/>
      <c r="R804" s="30"/>
      <c r="S804" s="195"/>
      <c r="T804" s="195"/>
      <c r="U804" s="195"/>
      <c r="V804" s="195"/>
      <c r="W804" s="30"/>
      <c r="X804" s="30"/>
      <c r="Y804" s="30"/>
      <c r="Z804" s="30"/>
      <c r="AA804" s="30"/>
      <c r="AB804" s="30"/>
    </row>
    <row r="805">
      <c r="A805" s="30"/>
      <c r="B805" s="30"/>
      <c r="C805" s="30"/>
      <c r="D805" s="30"/>
      <c r="E805" s="30"/>
      <c r="F805" s="292"/>
      <c r="G805" s="30"/>
      <c r="H805" s="30"/>
      <c r="I805" s="30"/>
      <c r="J805" s="30"/>
      <c r="K805" s="30"/>
      <c r="L805" s="30"/>
      <c r="M805" s="30"/>
      <c r="N805" s="30"/>
      <c r="O805" s="30"/>
      <c r="P805" s="30"/>
      <c r="Q805" s="30"/>
      <c r="R805" s="30"/>
      <c r="S805" s="195"/>
      <c r="T805" s="195"/>
      <c r="U805" s="195"/>
      <c r="V805" s="195"/>
      <c r="W805" s="30"/>
      <c r="X805" s="30"/>
      <c r="Y805" s="30"/>
      <c r="Z805" s="30"/>
      <c r="AA805" s="30"/>
      <c r="AB805" s="30"/>
    </row>
    <row r="806">
      <c r="A806" s="30"/>
      <c r="B806" s="30"/>
      <c r="C806" s="30"/>
      <c r="D806" s="30"/>
      <c r="E806" s="30"/>
      <c r="F806" s="292"/>
      <c r="G806" s="30"/>
      <c r="H806" s="30"/>
      <c r="I806" s="30"/>
      <c r="J806" s="30"/>
      <c r="K806" s="30"/>
      <c r="L806" s="30"/>
      <c r="M806" s="30"/>
      <c r="N806" s="30"/>
      <c r="O806" s="30"/>
      <c r="P806" s="30"/>
      <c r="Q806" s="30"/>
      <c r="R806" s="30"/>
      <c r="S806" s="195"/>
      <c r="T806" s="195"/>
      <c r="U806" s="195"/>
      <c r="V806" s="195"/>
      <c r="W806" s="30"/>
      <c r="X806" s="30"/>
      <c r="Y806" s="30"/>
      <c r="Z806" s="30"/>
      <c r="AA806" s="30"/>
      <c r="AB806" s="30"/>
    </row>
    <row r="807">
      <c r="A807" s="30"/>
      <c r="B807" s="30"/>
      <c r="C807" s="30"/>
      <c r="D807" s="30"/>
      <c r="E807" s="30"/>
      <c r="F807" s="292"/>
      <c r="G807" s="30"/>
      <c r="H807" s="30"/>
      <c r="I807" s="30"/>
      <c r="J807" s="30"/>
      <c r="K807" s="30"/>
      <c r="L807" s="30"/>
      <c r="M807" s="30"/>
      <c r="N807" s="30"/>
      <c r="O807" s="30"/>
      <c r="P807" s="30"/>
      <c r="Q807" s="30"/>
      <c r="R807" s="30"/>
      <c r="S807" s="195"/>
      <c r="T807" s="195"/>
      <c r="U807" s="195"/>
      <c r="V807" s="195"/>
      <c r="W807" s="30"/>
      <c r="X807" s="30"/>
      <c r="Y807" s="30"/>
      <c r="Z807" s="30"/>
      <c r="AA807" s="30"/>
      <c r="AB807" s="30"/>
    </row>
    <row r="808">
      <c r="A808" s="30"/>
      <c r="B808" s="30"/>
      <c r="C808" s="30"/>
      <c r="D808" s="30"/>
      <c r="E808" s="30"/>
      <c r="F808" s="292"/>
      <c r="G808" s="30"/>
      <c r="H808" s="30"/>
      <c r="I808" s="30"/>
      <c r="J808" s="30"/>
      <c r="K808" s="30"/>
      <c r="L808" s="30"/>
      <c r="M808" s="30"/>
      <c r="N808" s="30"/>
      <c r="O808" s="30"/>
      <c r="P808" s="30"/>
      <c r="Q808" s="30"/>
      <c r="R808" s="30"/>
      <c r="S808" s="195"/>
      <c r="T808" s="195"/>
      <c r="U808" s="195"/>
      <c r="V808" s="195"/>
      <c r="W808" s="30"/>
      <c r="X808" s="30"/>
      <c r="Y808" s="30"/>
      <c r="Z808" s="30"/>
      <c r="AA808" s="30"/>
      <c r="AB808" s="30"/>
    </row>
    <row r="809">
      <c r="A809" s="30"/>
      <c r="B809" s="30"/>
      <c r="C809" s="30"/>
      <c r="D809" s="30"/>
      <c r="E809" s="30"/>
      <c r="F809" s="292"/>
      <c r="G809" s="30"/>
      <c r="H809" s="30"/>
      <c r="I809" s="30"/>
      <c r="J809" s="30"/>
      <c r="K809" s="30"/>
      <c r="L809" s="30"/>
      <c r="M809" s="30"/>
      <c r="N809" s="30"/>
      <c r="O809" s="30"/>
      <c r="P809" s="30"/>
      <c r="Q809" s="30"/>
      <c r="R809" s="30"/>
      <c r="S809" s="195"/>
      <c r="T809" s="195"/>
      <c r="U809" s="195"/>
      <c r="V809" s="195"/>
      <c r="W809" s="30"/>
      <c r="X809" s="30"/>
      <c r="Y809" s="30"/>
      <c r="Z809" s="30"/>
      <c r="AA809" s="30"/>
      <c r="AB809" s="30"/>
    </row>
    <row r="810">
      <c r="A810" s="30"/>
      <c r="B810" s="30"/>
      <c r="C810" s="30"/>
      <c r="D810" s="30"/>
      <c r="E810" s="30"/>
      <c r="F810" s="292"/>
      <c r="G810" s="30"/>
      <c r="H810" s="30"/>
      <c r="I810" s="30"/>
      <c r="J810" s="30"/>
      <c r="K810" s="30"/>
      <c r="L810" s="30"/>
      <c r="M810" s="30"/>
      <c r="N810" s="30"/>
      <c r="O810" s="30"/>
      <c r="P810" s="30"/>
      <c r="Q810" s="30"/>
      <c r="R810" s="30"/>
      <c r="S810" s="195"/>
      <c r="T810" s="195"/>
      <c r="U810" s="195"/>
      <c r="V810" s="195"/>
      <c r="W810" s="30"/>
      <c r="X810" s="30"/>
      <c r="Y810" s="30"/>
      <c r="Z810" s="30"/>
      <c r="AA810" s="30"/>
      <c r="AB810" s="30"/>
    </row>
    <row r="811">
      <c r="A811" s="30"/>
      <c r="B811" s="30"/>
      <c r="C811" s="30"/>
      <c r="D811" s="30"/>
      <c r="E811" s="30"/>
      <c r="F811" s="292"/>
      <c r="G811" s="30"/>
      <c r="H811" s="30"/>
      <c r="I811" s="30"/>
      <c r="J811" s="30"/>
      <c r="K811" s="30"/>
      <c r="L811" s="30"/>
      <c r="M811" s="30"/>
      <c r="N811" s="30"/>
      <c r="O811" s="30"/>
      <c r="P811" s="30"/>
      <c r="Q811" s="30"/>
      <c r="R811" s="30"/>
      <c r="S811" s="195"/>
      <c r="T811" s="195"/>
      <c r="U811" s="195"/>
      <c r="V811" s="195"/>
      <c r="W811" s="30"/>
      <c r="X811" s="30"/>
      <c r="Y811" s="30"/>
      <c r="Z811" s="30"/>
      <c r="AA811" s="30"/>
      <c r="AB811" s="30"/>
    </row>
    <row r="812">
      <c r="A812" s="30"/>
      <c r="B812" s="30"/>
      <c r="C812" s="30"/>
      <c r="D812" s="30"/>
      <c r="E812" s="30"/>
      <c r="F812" s="292"/>
      <c r="G812" s="30"/>
      <c r="H812" s="30"/>
      <c r="I812" s="30"/>
      <c r="J812" s="30"/>
      <c r="K812" s="30"/>
      <c r="L812" s="30"/>
      <c r="M812" s="30"/>
      <c r="N812" s="30"/>
      <c r="O812" s="30"/>
      <c r="P812" s="30"/>
      <c r="Q812" s="30"/>
      <c r="R812" s="30"/>
      <c r="S812" s="195"/>
      <c r="T812" s="195"/>
      <c r="U812" s="195"/>
      <c r="V812" s="195"/>
      <c r="W812" s="30"/>
      <c r="X812" s="30"/>
      <c r="Y812" s="30"/>
      <c r="Z812" s="30"/>
      <c r="AA812" s="30"/>
      <c r="AB812" s="30"/>
    </row>
    <row r="813">
      <c r="A813" s="30"/>
      <c r="B813" s="30"/>
      <c r="C813" s="30"/>
      <c r="D813" s="30"/>
      <c r="E813" s="30"/>
      <c r="F813" s="292"/>
      <c r="G813" s="30"/>
      <c r="H813" s="30"/>
      <c r="I813" s="30"/>
      <c r="J813" s="30"/>
      <c r="K813" s="30"/>
      <c r="L813" s="30"/>
      <c r="M813" s="30"/>
      <c r="N813" s="30"/>
      <c r="O813" s="30"/>
      <c r="P813" s="30"/>
      <c r="Q813" s="30"/>
      <c r="R813" s="30"/>
      <c r="S813" s="195"/>
      <c r="T813" s="195"/>
      <c r="U813" s="195"/>
      <c r="V813" s="195"/>
      <c r="W813" s="30"/>
      <c r="X813" s="30"/>
      <c r="Y813" s="30"/>
      <c r="Z813" s="30"/>
      <c r="AA813" s="30"/>
      <c r="AB813" s="30"/>
    </row>
    <row r="814">
      <c r="A814" s="30"/>
      <c r="B814" s="30"/>
      <c r="C814" s="30"/>
      <c r="D814" s="30"/>
      <c r="E814" s="30"/>
      <c r="F814" s="292"/>
      <c r="G814" s="30"/>
      <c r="H814" s="30"/>
      <c r="I814" s="30"/>
      <c r="J814" s="30"/>
      <c r="K814" s="30"/>
      <c r="L814" s="30"/>
      <c r="M814" s="30"/>
      <c r="N814" s="30"/>
      <c r="O814" s="30"/>
      <c r="P814" s="30"/>
      <c r="Q814" s="30"/>
      <c r="R814" s="30"/>
      <c r="S814" s="195"/>
      <c r="T814" s="195"/>
      <c r="U814" s="195"/>
      <c r="V814" s="195"/>
      <c r="W814" s="30"/>
      <c r="X814" s="30"/>
      <c r="Y814" s="30"/>
      <c r="Z814" s="30"/>
      <c r="AA814" s="30"/>
      <c r="AB814" s="30"/>
    </row>
    <row r="815">
      <c r="A815" s="30"/>
      <c r="B815" s="30"/>
      <c r="C815" s="30"/>
      <c r="D815" s="30"/>
      <c r="E815" s="30"/>
      <c r="F815" s="292"/>
      <c r="G815" s="30"/>
      <c r="H815" s="30"/>
      <c r="I815" s="30"/>
      <c r="J815" s="30"/>
      <c r="K815" s="30"/>
      <c r="L815" s="30"/>
      <c r="M815" s="30"/>
      <c r="N815" s="30"/>
      <c r="O815" s="30"/>
      <c r="P815" s="30"/>
      <c r="Q815" s="30"/>
      <c r="R815" s="30"/>
      <c r="S815" s="195"/>
      <c r="T815" s="195"/>
      <c r="U815" s="195"/>
      <c r="V815" s="195"/>
      <c r="W815" s="30"/>
      <c r="X815" s="30"/>
      <c r="Y815" s="30"/>
      <c r="Z815" s="30"/>
      <c r="AA815" s="30"/>
      <c r="AB815" s="30"/>
    </row>
    <row r="816">
      <c r="A816" s="30"/>
      <c r="B816" s="30"/>
      <c r="C816" s="30"/>
      <c r="D816" s="30"/>
      <c r="E816" s="30"/>
      <c r="F816" s="292"/>
      <c r="G816" s="30"/>
      <c r="H816" s="30"/>
      <c r="I816" s="30"/>
      <c r="J816" s="30"/>
      <c r="K816" s="30"/>
      <c r="L816" s="30"/>
      <c r="M816" s="30"/>
      <c r="N816" s="30"/>
      <c r="O816" s="30"/>
      <c r="P816" s="30"/>
      <c r="Q816" s="30"/>
      <c r="R816" s="30"/>
      <c r="S816" s="195"/>
      <c r="T816" s="195"/>
      <c r="U816" s="195"/>
      <c r="V816" s="195"/>
      <c r="W816" s="30"/>
      <c r="X816" s="30"/>
      <c r="Y816" s="30"/>
      <c r="Z816" s="30"/>
      <c r="AA816" s="30"/>
      <c r="AB816" s="30"/>
    </row>
    <row r="817">
      <c r="A817" s="30"/>
      <c r="B817" s="30"/>
      <c r="C817" s="30"/>
      <c r="D817" s="30"/>
      <c r="E817" s="30"/>
      <c r="F817" s="292"/>
      <c r="G817" s="30"/>
      <c r="H817" s="30"/>
      <c r="I817" s="30"/>
      <c r="J817" s="30"/>
      <c r="K817" s="30"/>
      <c r="L817" s="30"/>
      <c r="M817" s="30"/>
      <c r="N817" s="30"/>
      <c r="O817" s="30"/>
      <c r="P817" s="30"/>
      <c r="Q817" s="30"/>
      <c r="R817" s="30"/>
      <c r="S817" s="195"/>
      <c r="T817" s="195"/>
      <c r="U817" s="195"/>
      <c r="V817" s="195"/>
      <c r="W817" s="30"/>
      <c r="X817" s="30"/>
      <c r="Y817" s="30"/>
      <c r="Z817" s="30"/>
      <c r="AA817" s="30"/>
      <c r="AB817" s="30"/>
    </row>
    <row r="818">
      <c r="A818" s="30"/>
      <c r="B818" s="30"/>
      <c r="C818" s="30"/>
      <c r="D818" s="30"/>
      <c r="E818" s="30"/>
      <c r="F818" s="292"/>
      <c r="G818" s="30"/>
      <c r="H818" s="30"/>
      <c r="I818" s="30"/>
      <c r="J818" s="30"/>
      <c r="K818" s="30"/>
      <c r="L818" s="30"/>
      <c r="M818" s="30"/>
      <c r="N818" s="30"/>
      <c r="O818" s="30"/>
      <c r="P818" s="30"/>
      <c r="Q818" s="30"/>
      <c r="R818" s="30"/>
      <c r="S818" s="195"/>
      <c r="T818" s="195"/>
      <c r="U818" s="195"/>
      <c r="V818" s="195"/>
      <c r="W818" s="30"/>
      <c r="X818" s="30"/>
      <c r="Y818" s="30"/>
      <c r="Z818" s="30"/>
      <c r="AA818" s="30"/>
      <c r="AB818" s="30"/>
    </row>
    <row r="819">
      <c r="A819" s="30"/>
      <c r="B819" s="30"/>
      <c r="C819" s="30"/>
      <c r="D819" s="30"/>
      <c r="E819" s="30"/>
      <c r="F819" s="292"/>
      <c r="G819" s="30"/>
      <c r="H819" s="30"/>
      <c r="I819" s="30"/>
      <c r="J819" s="30"/>
      <c r="K819" s="30"/>
      <c r="L819" s="30"/>
      <c r="M819" s="30"/>
      <c r="N819" s="30"/>
      <c r="O819" s="30"/>
      <c r="P819" s="30"/>
      <c r="Q819" s="30"/>
      <c r="R819" s="30"/>
      <c r="S819" s="195"/>
      <c r="T819" s="195"/>
      <c r="U819" s="195"/>
      <c r="V819" s="195"/>
      <c r="W819" s="30"/>
      <c r="X819" s="30"/>
      <c r="Y819" s="30"/>
      <c r="Z819" s="30"/>
      <c r="AA819" s="30"/>
      <c r="AB819" s="30"/>
    </row>
    <row r="820">
      <c r="A820" s="30"/>
      <c r="B820" s="30"/>
      <c r="C820" s="30"/>
      <c r="D820" s="30"/>
      <c r="E820" s="30"/>
      <c r="F820" s="292"/>
      <c r="G820" s="30"/>
      <c r="H820" s="30"/>
      <c r="I820" s="30"/>
      <c r="J820" s="30"/>
      <c r="K820" s="30"/>
      <c r="L820" s="30"/>
      <c r="M820" s="30"/>
      <c r="N820" s="30"/>
      <c r="O820" s="30"/>
      <c r="P820" s="30"/>
      <c r="Q820" s="30"/>
      <c r="R820" s="30"/>
      <c r="S820" s="195"/>
      <c r="T820" s="195"/>
      <c r="U820" s="195"/>
      <c r="V820" s="195"/>
      <c r="W820" s="30"/>
      <c r="X820" s="30"/>
      <c r="Y820" s="30"/>
      <c r="Z820" s="30"/>
      <c r="AA820" s="30"/>
      <c r="AB820" s="30"/>
    </row>
    <row r="821">
      <c r="A821" s="30"/>
      <c r="B821" s="30"/>
      <c r="C821" s="30"/>
      <c r="D821" s="30"/>
      <c r="E821" s="30"/>
      <c r="F821" s="292"/>
      <c r="G821" s="30"/>
      <c r="H821" s="30"/>
      <c r="I821" s="30"/>
      <c r="J821" s="30"/>
      <c r="K821" s="30"/>
      <c r="L821" s="30"/>
      <c r="M821" s="30"/>
      <c r="N821" s="30"/>
      <c r="O821" s="30"/>
      <c r="P821" s="30"/>
      <c r="Q821" s="30"/>
      <c r="R821" s="30"/>
      <c r="S821" s="195"/>
      <c r="T821" s="195"/>
      <c r="U821" s="195"/>
      <c r="V821" s="195"/>
      <c r="W821" s="30"/>
      <c r="X821" s="30"/>
      <c r="Y821" s="30"/>
      <c r="Z821" s="30"/>
      <c r="AA821" s="30"/>
      <c r="AB821" s="30"/>
    </row>
    <row r="822">
      <c r="A822" s="30"/>
      <c r="B822" s="30"/>
      <c r="C822" s="30"/>
      <c r="D822" s="30"/>
      <c r="E822" s="30"/>
      <c r="F822" s="292"/>
      <c r="G822" s="30"/>
      <c r="H822" s="30"/>
      <c r="I822" s="30"/>
      <c r="J822" s="30"/>
      <c r="K822" s="30"/>
      <c r="L822" s="30"/>
      <c r="M822" s="30"/>
      <c r="N822" s="30"/>
      <c r="O822" s="30"/>
      <c r="P822" s="30"/>
      <c r="Q822" s="30"/>
      <c r="R822" s="30"/>
      <c r="S822" s="195"/>
      <c r="T822" s="195"/>
      <c r="U822" s="195"/>
      <c r="V822" s="195"/>
      <c r="W822" s="30"/>
      <c r="X822" s="30"/>
      <c r="Y822" s="30"/>
      <c r="Z822" s="30"/>
      <c r="AA822" s="30"/>
      <c r="AB822" s="30"/>
    </row>
    <row r="823">
      <c r="A823" s="30"/>
      <c r="B823" s="30"/>
      <c r="C823" s="30"/>
      <c r="D823" s="30"/>
      <c r="E823" s="30"/>
      <c r="F823" s="292"/>
      <c r="G823" s="30"/>
      <c r="H823" s="30"/>
      <c r="I823" s="30"/>
      <c r="J823" s="30"/>
      <c r="K823" s="30"/>
      <c r="L823" s="30"/>
      <c r="M823" s="30"/>
      <c r="N823" s="30"/>
      <c r="O823" s="30"/>
      <c r="P823" s="30"/>
      <c r="Q823" s="30"/>
      <c r="R823" s="30"/>
      <c r="S823" s="195"/>
      <c r="T823" s="195"/>
      <c r="U823" s="195"/>
      <c r="V823" s="195"/>
      <c r="W823" s="30"/>
      <c r="X823" s="30"/>
      <c r="Y823" s="30"/>
      <c r="Z823" s="30"/>
      <c r="AA823" s="30"/>
      <c r="AB823" s="30"/>
    </row>
    <row r="824">
      <c r="A824" s="30"/>
      <c r="B824" s="30"/>
      <c r="C824" s="30"/>
      <c r="D824" s="30"/>
      <c r="E824" s="30"/>
      <c r="F824" s="292"/>
      <c r="G824" s="30"/>
      <c r="H824" s="30"/>
      <c r="I824" s="30"/>
      <c r="J824" s="30"/>
      <c r="K824" s="30"/>
      <c r="L824" s="30"/>
      <c r="M824" s="30"/>
      <c r="N824" s="30"/>
      <c r="O824" s="30"/>
      <c r="P824" s="30"/>
      <c r="Q824" s="30"/>
      <c r="R824" s="30"/>
      <c r="S824" s="195"/>
      <c r="T824" s="195"/>
      <c r="U824" s="195"/>
      <c r="V824" s="195"/>
      <c r="W824" s="30"/>
      <c r="X824" s="30"/>
      <c r="Y824" s="30"/>
      <c r="Z824" s="30"/>
      <c r="AA824" s="30"/>
      <c r="AB824" s="30"/>
    </row>
    <row r="825">
      <c r="A825" s="30"/>
      <c r="B825" s="30"/>
      <c r="C825" s="30"/>
      <c r="D825" s="30"/>
      <c r="E825" s="30"/>
      <c r="F825" s="292"/>
      <c r="G825" s="30"/>
      <c r="H825" s="30"/>
      <c r="I825" s="30"/>
      <c r="J825" s="30"/>
      <c r="K825" s="30"/>
      <c r="L825" s="30"/>
      <c r="M825" s="30"/>
      <c r="N825" s="30"/>
      <c r="O825" s="30"/>
      <c r="P825" s="30"/>
      <c r="Q825" s="30"/>
      <c r="R825" s="30"/>
      <c r="S825" s="195"/>
      <c r="T825" s="195"/>
      <c r="U825" s="195"/>
      <c r="V825" s="195"/>
      <c r="W825" s="30"/>
      <c r="X825" s="30"/>
      <c r="Y825" s="30"/>
      <c r="Z825" s="30"/>
      <c r="AA825" s="30"/>
      <c r="AB825" s="30"/>
    </row>
    <row r="826">
      <c r="A826" s="30"/>
      <c r="B826" s="30"/>
      <c r="C826" s="30"/>
      <c r="D826" s="30"/>
      <c r="E826" s="30"/>
      <c r="F826" s="292"/>
      <c r="G826" s="30"/>
      <c r="H826" s="30"/>
      <c r="I826" s="30"/>
      <c r="J826" s="30"/>
      <c r="K826" s="30"/>
      <c r="L826" s="30"/>
      <c r="M826" s="30"/>
      <c r="N826" s="30"/>
      <c r="O826" s="30"/>
      <c r="P826" s="30"/>
      <c r="Q826" s="30"/>
      <c r="R826" s="30"/>
      <c r="S826" s="195"/>
      <c r="T826" s="195"/>
      <c r="U826" s="195"/>
      <c r="V826" s="195"/>
      <c r="W826" s="30"/>
      <c r="X826" s="30"/>
      <c r="Y826" s="30"/>
      <c r="Z826" s="30"/>
      <c r="AA826" s="30"/>
      <c r="AB826" s="30"/>
    </row>
    <row r="827">
      <c r="A827" s="30"/>
      <c r="B827" s="30"/>
      <c r="C827" s="30"/>
      <c r="D827" s="30"/>
      <c r="E827" s="30"/>
      <c r="F827" s="292"/>
      <c r="G827" s="30"/>
      <c r="H827" s="30"/>
      <c r="I827" s="30"/>
      <c r="J827" s="30"/>
      <c r="K827" s="30"/>
      <c r="L827" s="30"/>
      <c r="M827" s="30"/>
      <c r="N827" s="30"/>
      <c r="O827" s="30"/>
      <c r="P827" s="30"/>
      <c r="Q827" s="30"/>
      <c r="R827" s="30"/>
      <c r="S827" s="195"/>
      <c r="T827" s="195"/>
      <c r="U827" s="195"/>
      <c r="V827" s="195"/>
      <c r="W827" s="30"/>
      <c r="X827" s="30"/>
      <c r="Y827" s="30"/>
      <c r="Z827" s="30"/>
      <c r="AA827" s="30"/>
      <c r="AB827" s="30"/>
    </row>
    <row r="828">
      <c r="A828" s="30"/>
      <c r="B828" s="30"/>
      <c r="C828" s="30"/>
      <c r="D828" s="30"/>
      <c r="E828" s="30"/>
      <c r="F828" s="292"/>
      <c r="G828" s="30"/>
      <c r="H828" s="30"/>
      <c r="I828" s="30"/>
      <c r="J828" s="30"/>
      <c r="K828" s="30"/>
      <c r="L828" s="30"/>
      <c r="M828" s="30"/>
      <c r="N828" s="30"/>
      <c r="O828" s="30"/>
      <c r="P828" s="30"/>
      <c r="Q828" s="30"/>
      <c r="R828" s="30"/>
      <c r="S828" s="195"/>
      <c r="T828" s="195"/>
      <c r="U828" s="195"/>
      <c r="V828" s="195"/>
      <c r="W828" s="30"/>
      <c r="X828" s="30"/>
      <c r="Y828" s="30"/>
      <c r="Z828" s="30"/>
      <c r="AA828" s="30"/>
      <c r="AB828" s="30"/>
    </row>
    <row r="829">
      <c r="A829" s="30"/>
      <c r="B829" s="30"/>
      <c r="C829" s="30"/>
      <c r="D829" s="30"/>
      <c r="E829" s="30"/>
      <c r="F829" s="292"/>
      <c r="G829" s="30"/>
      <c r="H829" s="30"/>
      <c r="I829" s="30"/>
      <c r="J829" s="30"/>
      <c r="K829" s="30"/>
      <c r="L829" s="30"/>
      <c r="M829" s="30"/>
      <c r="N829" s="30"/>
      <c r="O829" s="30"/>
      <c r="P829" s="30"/>
      <c r="Q829" s="30"/>
      <c r="R829" s="30"/>
      <c r="S829" s="195"/>
      <c r="T829" s="195"/>
      <c r="U829" s="195"/>
      <c r="V829" s="195"/>
      <c r="W829" s="30"/>
      <c r="X829" s="30"/>
      <c r="Y829" s="30"/>
      <c r="Z829" s="30"/>
      <c r="AA829" s="30"/>
      <c r="AB829" s="30"/>
    </row>
    <row r="830">
      <c r="A830" s="30"/>
      <c r="B830" s="30"/>
      <c r="C830" s="30"/>
      <c r="D830" s="30"/>
      <c r="E830" s="30"/>
      <c r="F830" s="292"/>
      <c r="G830" s="30"/>
      <c r="H830" s="30"/>
      <c r="I830" s="30"/>
      <c r="J830" s="30"/>
      <c r="K830" s="30"/>
      <c r="L830" s="30"/>
      <c r="M830" s="30"/>
      <c r="N830" s="30"/>
      <c r="O830" s="30"/>
      <c r="P830" s="30"/>
      <c r="Q830" s="30"/>
      <c r="R830" s="30"/>
      <c r="S830" s="195"/>
      <c r="T830" s="195"/>
      <c r="U830" s="195"/>
      <c r="V830" s="195"/>
      <c r="W830" s="30"/>
      <c r="X830" s="30"/>
      <c r="Y830" s="30"/>
      <c r="Z830" s="30"/>
      <c r="AA830" s="30"/>
      <c r="AB830" s="30"/>
    </row>
    <row r="831">
      <c r="A831" s="30"/>
      <c r="B831" s="30"/>
      <c r="C831" s="30"/>
      <c r="D831" s="30"/>
      <c r="E831" s="30"/>
      <c r="F831" s="292"/>
      <c r="G831" s="30"/>
      <c r="H831" s="30"/>
      <c r="I831" s="30"/>
      <c r="J831" s="30"/>
      <c r="K831" s="30"/>
      <c r="L831" s="30"/>
      <c r="M831" s="30"/>
      <c r="N831" s="30"/>
      <c r="O831" s="30"/>
      <c r="P831" s="30"/>
      <c r="Q831" s="30"/>
      <c r="R831" s="30"/>
      <c r="S831" s="195"/>
      <c r="T831" s="195"/>
      <c r="U831" s="195"/>
      <c r="V831" s="195"/>
      <c r="W831" s="30"/>
      <c r="X831" s="30"/>
      <c r="Y831" s="30"/>
      <c r="Z831" s="30"/>
      <c r="AA831" s="30"/>
      <c r="AB831" s="30"/>
    </row>
    <row r="832">
      <c r="A832" s="30"/>
      <c r="B832" s="30"/>
      <c r="C832" s="30"/>
      <c r="D832" s="30"/>
      <c r="E832" s="30"/>
      <c r="F832" s="292"/>
      <c r="G832" s="30"/>
      <c r="H832" s="30"/>
      <c r="I832" s="30"/>
      <c r="J832" s="30"/>
      <c r="K832" s="30"/>
      <c r="L832" s="30"/>
      <c r="M832" s="30"/>
      <c r="N832" s="30"/>
      <c r="O832" s="30"/>
      <c r="P832" s="30"/>
      <c r="Q832" s="30"/>
      <c r="R832" s="30"/>
      <c r="S832" s="195"/>
      <c r="T832" s="195"/>
      <c r="U832" s="195"/>
      <c r="V832" s="195"/>
      <c r="W832" s="30"/>
      <c r="X832" s="30"/>
      <c r="Y832" s="30"/>
      <c r="Z832" s="30"/>
      <c r="AA832" s="30"/>
      <c r="AB832" s="30"/>
    </row>
    <row r="833">
      <c r="A833" s="30"/>
      <c r="B833" s="30"/>
      <c r="C833" s="30"/>
      <c r="D833" s="30"/>
      <c r="E833" s="30"/>
      <c r="F833" s="292"/>
      <c r="G833" s="30"/>
      <c r="H833" s="30"/>
      <c r="I833" s="30"/>
      <c r="J833" s="30"/>
      <c r="K833" s="30"/>
      <c r="L833" s="30"/>
      <c r="M833" s="30"/>
      <c r="N833" s="30"/>
      <c r="O833" s="30"/>
      <c r="P833" s="30"/>
      <c r="Q833" s="30"/>
      <c r="R833" s="30"/>
      <c r="S833" s="195"/>
      <c r="T833" s="195"/>
      <c r="U833" s="195"/>
      <c r="V833" s="195"/>
      <c r="W833" s="30"/>
      <c r="X833" s="30"/>
      <c r="Y833" s="30"/>
      <c r="Z833" s="30"/>
      <c r="AA833" s="30"/>
      <c r="AB833" s="30"/>
    </row>
    <row r="834">
      <c r="A834" s="30"/>
      <c r="B834" s="30"/>
      <c r="C834" s="30"/>
      <c r="D834" s="30"/>
      <c r="E834" s="30"/>
      <c r="F834" s="292"/>
      <c r="G834" s="30"/>
      <c r="H834" s="30"/>
      <c r="I834" s="30"/>
      <c r="J834" s="30"/>
      <c r="K834" s="30"/>
      <c r="L834" s="30"/>
      <c r="M834" s="30"/>
      <c r="N834" s="30"/>
      <c r="O834" s="30"/>
      <c r="P834" s="30"/>
      <c r="Q834" s="30"/>
      <c r="R834" s="30"/>
      <c r="S834" s="195"/>
      <c r="T834" s="195"/>
      <c r="U834" s="195"/>
      <c r="V834" s="195"/>
      <c r="W834" s="30"/>
      <c r="X834" s="30"/>
      <c r="Y834" s="30"/>
      <c r="Z834" s="30"/>
      <c r="AA834" s="30"/>
      <c r="AB834" s="30"/>
    </row>
    <row r="835">
      <c r="A835" s="30"/>
      <c r="B835" s="30"/>
      <c r="C835" s="30"/>
      <c r="D835" s="30"/>
      <c r="E835" s="30"/>
      <c r="F835" s="292"/>
      <c r="G835" s="30"/>
      <c r="H835" s="30"/>
      <c r="I835" s="30"/>
      <c r="J835" s="30"/>
      <c r="K835" s="30"/>
      <c r="L835" s="30"/>
      <c r="M835" s="30"/>
      <c r="N835" s="30"/>
      <c r="O835" s="30"/>
      <c r="P835" s="30"/>
      <c r="Q835" s="30"/>
      <c r="R835" s="30"/>
      <c r="S835" s="195"/>
      <c r="T835" s="195"/>
      <c r="U835" s="195"/>
      <c r="V835" s="195"/>
      <c r="W835" s="30"/>
      <c r="X835" s="30"/>
      <c r="Y835" s="30"/>
      <c r="Z835" s="30"/>
      <c r="AA835" s="30"/>
      <c r="AB835" s="30"/>
    </row>
    <row r="836">
      <c r="A836" s="30"/>
      <c r="B836" s="30"/>
      <c r="C836" s="30"/>
      <c r="D836" s="30"/>
      <c r="E836" s="30"/>
      <c r="F836" s="292"/>
      <c r="G836" s="30"/>
      <c r="H836" s="30"/>
      <c r="I836" s="30"/>
      <c r="J836" s="30"/>
      <c r="K836" s="30"/>
      <c r="L836" s="30"/>
      <c r="M836" s="30"/>
      <c r="N836" s="30"/>
      <c r="O836" s="30"/>
      <c r="P836" s="30"/>
      <c r="Q836" s="30"/>
      <c r="R836" s="30"/>
      <c r="S836" s="195"/>
      <c r="T836" s="195"/>
      <c r="U836" s="195"/>
      <c r="V836" s="195"/>
      <c r="W836" s="30"/>
      <c r="X836" s="30"/>
      <c r="Y836" s="30"/>
      <c r="Z836" s="30"/>
      <c r="AA836" s="30"/>
      <c r="AB836" s="30"/>
    </row>
    <row r="837">
      <c r="A837" s="30"/>
      <c r="B837" s="30"/>
      <c r="C837" s="30"/>
      <c r="D837" s="30"/>
      <c r="E837" s="30"/>
      <c r="F837" s="292"/>
      <c r="G837" s="30"/>
      <c r="H837" s="30"/>
      <c r="I837" s="30"/>
      <c r="J837" s="30"/>
      <c r="K837" s="30"/>
      <c r="L837" s="30"/>
      <c r="M837" s="30"/>
      <c r="N837" s="30"/>
      <c r="O837" s="30"/>
      <c r="P837" s="30"/>
      <c r="Q837" s="30"/>
      <c r="R837" s="30"/>
      <c r="S837" s="195"/>
      <c r="T837" s="195"/>
      <c r="U837" s="195"/>
      <c r="V837" s="195"/>
      <c r="W837" s="30"/>
      <c r="X837" s="30"/>
      <c r="Y837" s="30"/>
      <c r="Z837" s="30"/>
      <c r="AA837" s="30"/>
      <c r="AB837" s="30"/>
    </row>
    <row r="838">
      <c r="A838" s="30"/>
      <c r="B838" s="30"/>
      <c r="C838" s="30"/>
      <c r="D838" s="30"/>
      <c r="E838" s="30"/>
      <c r="F838" s="292"/>
      <c r="G838" s="30"/>
      <c r="H838" s="30"/>
      <c r="I838" s="30"/>
      <c r="J838" s="30"/>
      <c r="K838" s="30"/>
      <c r="L838" s="30"/>
      <c r="M838" s="30"/>
      <c r="N838" s="30"/>
      <c r="O838" s="30"/>
      <c r="P838" s="30"/>
      <c r="Q838" s="30"/>
      <c r="R838" s="30"/>
      <c r="S838" s="195"/>
      <c r="T838" s="195"/>
      <c r="U838" s="195"/>
      <c r="V838" s="195"/>
      <c r="W838" s="30"/>
      <c r="X838" s="30"/>
      <c r="Y838" s="30"/>
      <c r="Z838" s="30"/>
      <c r="AA838" s="30"/>
      <c r="AB838" s="30"/>
    </row>
    <row r="839">
      <c r="A839" s="30"/>
      <c r="B839" s="30"/>
      <c r="C839" s="30"/>
      <c r="D839" s="30"/>
      <c r="E839" s="30"/>
      <c r="F839" s="292"/>
      <c r="G839" s="30"/>
      <c r="H839" s="30"/>
      <c r="I839" s="30"/>
      <c r="J839" s="30"/>
      <c r="K839" s="30"/>
      <c r="L839" s="30"/>
      <c r="M839" s="30"/>
      <c r="N839" s="30"/>
      <c r="O839" s="30"/>
      <c r="P839" s="30"/>
      <c r="Q839" s="30"/>
      <c r="R839" s="30"/>
      <c r="S839" s="195"/>
      <c r="T839" s="195"/>
      <c r="U839" s="195"/>
      <c r="V839" s="195"/>
      <c r="W839" s="30"/>
      <c r="X839" s="30"/>
      <c r="Y839" s="30"/>
      <c r="Z839" s="30"/>
      <c r="AA839" s="30"/>
      <c r="AB839" s="30"/>
    </row>
    <row r="840">
      <c r="A840" s="30"/>
      <c r="B840" s="30"/>
      <c r="C840" s="30"/>
      <c r="D840" s="30"/>
      <c r="E840" s="30"/>
      <c r="F840" s="292"/>
      <c r="G840" s="30"/>
      <c r="H840" s="30"/>
      <c r="I840" s="30"/>
      <c r="J840" s="30"/>
      <c r="K840" s="30"/>
      <c r="L840" s="30"/>
      <c r="M840" s="30"/>
      <c r="N840" s="30"/>
      <c r="O840" s="30"/>
      <c r="P840" s="30"/>
      <c r="Q840" s="30"/>
      <c r="R840" s="30"/>
      <c r="S840" s="195"/>
      <c r="T840" s="195"/>
      <c r="U840" s="195"/>
      <c r="V840" s="195"/>
      <c r="W840" s="30"/>
      <c r="X840" s="30"/>
      <c r="Y840" s="30"/>
      <c r="Z840" s="30"/>
      <c r="AA840" s="30"/>
      <c r="AB840" s="30"/>
    </row>
    <row r="841">
      <c r="A841" s="30"/>
      <c r="B841" s="30"/>
      <c r="C841" s="30"/>
      <c r="D841" s="30"/>
      <c r="E841" s="30"/>
      <c r="F841" s="292"/>
      <c r="G841" s="30"/>
      <c r="H841" s="30"/>
      <c r="I841" s="30"/>
      <c r="J841" s="30"/>
      <c r="K841" s="30"/>
      <c r="L841" s="30"/>
      <c r="M841" s="30"/>
      <c r="N841" s="30"/>
      <c r="O841" s="30"/>
      <c r="P841" s="30"/>
      <c r="Q841" s="30"/>
      <c r="R841" s="30"/>
      <c r="S841" s="195"/>
      <c r="T841" s="195"/>
      <c r="U841" s="195"/>
      <c r="V841" s="195"/>
      <c r="W841" s="30"/>
      <c r="X841" s="30"/>
      <c r="Y841" s="30"/>
      <c r="Z841" s="30"/>
      <c r="AA841" s="30"/>
      <c r="AB841" s="30"/>
    </row>
    <row r="842">
      <c r="A842" s="30"/>
      <c r="B842" s="30"/>
      <c r="C842" s="30"/>
      <c r="D842" s="30"/>
      <c r="E842" s="30"/>
      <c r="F842" s="292"/>
      <c r="G842" s="30"/>
      <c r="H842" s="30"/>
      <c r="I842" s="30"/>
      <c r="J842" s="30"/>
      <c r="K842" s="30"/>
      <c r="L842" s="30"/>
      <c r="M842" s="30"/>
      <c r="N842" s="30"/>
      <c r="O842" s="30"/>
      <c r="P842" s="30"/>
      <c r="Q842" s="30"/>
      <c r="R842" s="30"/>
      <c r="S842" s="195"/>
      <c r="T842" s="195"/>
      <c r="U842" s="195"/>
      <c r="V842" s="195"/>
      <c r="W842" s="30"/>
      <c r="X842" s="30"/>
      <c r="Y842" s="30"/>
      <c r="Z842" s="30"/>
      <c r="AA842" s="30"/>
      <c r="AB842" s="30"/>
    </row>
    <row r="843">
      <c r="A843" s="30"/>
      <c r="B843" s="30"/>
      <c r="C843" s="30"/>
      <c r="D843" s="30"/>
      <c r="E843" s="30"/>
      <c r="F843" s="292"/>
      <c r="G843" s="30"/>
      <c r="H843" s="30"/>
      <c r="I843" s="30"/>
      <c r="J843" s="30"/>
      <c r="K843" s="30"/>
      <c r="L843" s="30"/>
      <c r="M843" s="30"/>
      <c r="N843" s="30"/>
      <c r="O843" s="30"/>
      <c r="P843" s="30"/>
      <c r="Q843" s="30"/>
      <c r="R843" s="30"/>
      <c r="S843" s="195"/>
      <c r="T843" s="195"/>
      <c r="U843" s="195"/>
      <c r="V843" s="195"/>
      <c r="W843" s="30"/>
      <c r="X843" s="30"/>
      <c r="Y843" s="30"/>
      <c r="Z843" s="30"/>
      <c r="AA843" s="30"/>
      <c r="AB843" s="30"/>
    </row>
    <row r="844">
      <c r="A844" s="30"/>
      <c r="B844" s="30"/>
      <c r="C844" s="30"/>
      <c r="D844" s="30"/>
      <c r="E844" s="30"/>
      <c r="F844" s="292"/>
      <c r="G844" s="30"/>
      <c r="H844" s="30"/>
      <c r="I844" s="30"/>
      <c r="J844" s="30"/>
      <c r="K844" s="30"/>
      <c r="L844" s="30"/>
      <c r="M844" s="30"/>
      <c r="N844" s="30"/>
      <c r="O844" s="30"/>
      <c r="P844" s="30"/>
      <c r="Q844" s="30"/>
      <c r="R844" s="30"/>
      <c r="S844" s="195"/>
      <c r="T844" s="195"/>
      <c r="U844" s="195"/>
      <c r="V844" s="195"/>
      <c r="W844" s="30"/>
      <c r="X844" s="30"/>
      <c r="Y844" s="30"/>
      <c r="Z844" s="30"/>
      <c r="AA844" s="30"/>
      <c r="AB844" s="30"/>
    </row>
    <row r="845">
      <c r="A845" s="30"/>
      <c r="B845" s="30"/>
      <c r="C845" s="30"/>
      <c r="D845" s="30"/>
      <c r="E845" s="30"/>
      <c r="F845" s="292"/>
      <c r="G845" s="30"/>
      <c r="H845" s="30"/>
      <c r="I845" s="30"/>
      <c r="J845" s="30"/>
      <c r="K845" s="30"/>
      <c r="L845" s="30"/>
      <c r="M845" s="30"/>
      <c r="N845" s="30"/>
      <c r="O845" s="30"/>
      <c r="P845" s="30"/>
      <c r="Q845" s="30"/>
      <c r="R845" s="30"/>
      <c r="S845" s="195"/>
      <c r="T845" s="195"/>
      <c r="U845" s="195"/>
      <c r="V845" s="195"/>
      <c r="W845" s="30"/>
      <c r="X845" s="30"/>
      <c r="Y845" s="30"/>
      <c r="Z845" s="30"/>
      <c r="AA845" s="30"/>
      <c r="AB845" s="30"/>
    </row>
    <row r="846">
      <c r="A846" s="30"/>
      <c r="B846" s="30"/>
      <c r="C846" s="30"/>
      <c r="D846" s="30"/>
      <c r="E846" s="30"/>
      <c r="F846" s="292"/>
      <c r="G846" s="30"/>
      <c r="H846" s="30"/>
      <c r="I846" s="30"/>
      <c r="J846" s="30"/>
      <c r="K846" s="30"/>
      <c r="L846" s="30"/>
      <c r="M846" s="30"/>
      <c r="N846" s="30"/>
      <c r="O846" s="30"/>
      <c r="P846" s="30"/>
      <c r="Q846" s="30"/>
      <c r="R846" s="30"/>
      <c r="S846" s="195"/>
      <c r="T846" s="195"/>
      <c r="U846" s="195"/>
      <c r="V846" s="195"/>
      <c r="W846" s="30"/>
      <c r="X846" s="30"/>
      <c r="Y846" s="30"/>
      <c r="Z846" s="30"/>
      <c r="AA846" s="30"/>
      <c r="AB846" s="30"/>
    </row>
    <row r="847">
      <c r="A847" s="30"/>
      <c r="B847" s="30"/>
      <c r="C847" s="30"/>
      <c r="D847" s="30"/>
      <c r="E847" s="30"/>
      <c r="F847" s="292"/>
      <c r="G847" s="30"/>
      <c r="H847" s="30"/>
      <c r="I847" s="30"/>
      <c r="J847" s="30"/>
      <c r="K847" s="30"/>
      <c r="L847" s="30"/>
      <c r="M847" s="30"/>
      <c r="N847" s="30"/>
      <c r="O847" s="30"/>
      <c r="P847" s="30"/>
      <c r="Q847" s="30"/>
      <c r="R847" s="30"/>
      <c r="S847" s="195"/>
      <c r="T847" s="195"/>
      <c r="U847" s="195"/>
      <c r="V847" s="195"/>
      <c r="W847" s="30"/>
      <c r="X847" s="30"/>
      <c r="Y847" s="30"/>
      <c r="Z847" s="30"/>
      <c r="AA847" s="30"/>
      <c r="AB847" s="30"/>
    </row>
    <row r="848">
      <c r="A848" s="30"/>
      <c r="B848" s="30"/>
      <c r="C848" s="30"/>
      <c r="D848" s="30"/>
      <c r="E848" s="30"/>
      <c r="F848" s="292"/>
      <c r="G848" s="30"/>
      <c r="H848" s="30"/>
      <c r="I848" s="30"/>
      <c r="J848" s="30"/>
      <c r="K848" s="30"/>
      <c r="L848" s="30"/>
      <c r="M848" s="30"/>
      <c r="N848" s="30"/>
      <c r="O848" s="30"/>
      <c r="P848" s="30"/>
      <c r="Q848" s="30"/>
      <c r="R848" s="30"/>
      <c r="S848" s="195"/>
      <c r="T848" s="195"/>
      <c r="U848" s="195"/>
      <c r="V848" s="195"/>
      <c r="W848" s="30"/>
      <c r="X848" s="30"/>
      <c r="Y848" s="30"/>
      <c r="Z848" s="30"/>
      <c r="AA848" s="30"/>
      <c r="AB848" s="30"/>
    </row>
    <row r="849">
      <c r="A849" s="30"/>
      <c r="B849" s="30"/>
      <c r="C849" s="30"/>
      <c r="D849" s="30"/>
      <c r="E849" s="30"/>
      <c r="F849" s="292"/>
      <c r="G849" s="30"/>
      <c r="H849" s="30"/>
      <c r="I849" s="30"/>
      <c r="J849" s="30"/>
      <c r="K849" s="30"/>
      <c r="L849" s="30"/>
      <c r="M849" s="30"/>
      <c r="N849" s="30"/>
      <c r="O849" s="30"/>
      <c r="P849" s="30"/>
      <c r="Q849" s="30"/>
      <c r="R849" s="30"/>
      <c r="S849" s="195"/>
      <c r="T849" s="195"/>
      <c r="U849" s="195"/>
      <c r="V849" s="195"/>
      <c r="W849" s="30"/>
      <c r="X849" s="30"/>
      <c r="Y849" s="30"/>
      <c r="Z849" s="30"/>
      <c r="AA849" s="30"/>
      <c r="AB849" s="30"/>
    </row>
    <row r="850">
      <c r="A850" s="30"/>
      <c r="B850" s="30"/>
      <c r="C850" s="30"/>
      <c r="D850" s="30"/>
      <c r="E850" s="30"/>
      <c r="F850" s="292"/>
      <c r="G850" s="30"/>
      <c r="H850" s="30"/>
      <c r="I850" s="30"/>
      <c r="J850" s="30"/>
      <c r="K850" s="30"/>
      <c r="L850" s="30"/>
      <c r="M850" s="30"/>
      <c r="N850" s="30"/>
      <c r="O850" s="30"/>
      <c r="P850" s="30"/>
      <c r="Q850" s="30"/>
      <c r="R850" s="30"/>
      <c r="S850" s="195"/>
      <c r="T850" s="195"/>
      <c r="U850" s="195"/>
      <c r="V850" s="195"/>
      <c r="W850" s="30"/>
      <c r="X850" s="30"/>
      <c r="Y850" s="30"/>
      <c r="Z850" s="30"/>
      <c r="AA850" s="30"/>
      <c r="AB850" s="30"/>
    </row>
    <row r="851">
      <c r="A851" s="30"/>
      <c r="B851" s="30"/>
      <c r="C851" s="30"/>
      <c r="D851" s="30"/>
      <c r="E851" s="30"/>
      <c r="F851" s="292"/>
      <c r="G851" s="30"/>
      <c r="H851" s="30"/>
      <c r="I851" s="30"/>
      <c r="J851" s="30"/>
      <c r="K851" s="30"/>
      <c r="L851" s="30"/>
      <c r="M851" s="30"/>
      <c r="N851" s="30"/>
      <c r="O851" s="30"/>
      <c r="P851" s="30"/>
      <c r="Q851" s="30"/>
      <c r="R851" s="30"/>
      <c r="S851" s="195"/>
      <c r="T851" s="195"/>
      <c r="U851" s="195"/>
      <c r="V851" s="195"/>
      <c r="W851" s="30"/>
      <c r="X851" s="30"/>
      <c r="Y851" s="30"/>
      <c r="Z851" s="30"/>
      <c r="AA851" s="30"/>
      <c r="AB851" s="30"/>
    </row>
    <row r="852">
      <c r="A852" s="30"/>
      <c r="B852" s="30"/>
      <c r="C852" s="30"/>
      <c r="D852" s="30"/>
      <c r="E852" s="30"/>
      <c r="F852" s="292"/>
      <c r="G852" s="30"/>
      <c r="H852" s="30"/>
      <c r="I852" s="30"/>
      <c r="J852" s="30"/>
      <c r="K852" s="30"/>
      <c r="L852" s="30"/>
      <c r="M852" s="30"/>
      <c r="N852" s="30"/>
      <c r="O852" s="30"/>
      <c r="P852" s="30"/>
      <c r="Q852" s="30"/>
      <c r="R852" s="30"/>
      <c r="S852" s="195"/>
      <c r="T852" s="195"/>
      <c r="U852" s="195"/>
      <c r="V852" s="195"/>
      <c r="W852" s="30"/>
      <c r="X852" s="30"/>
      <c r="Y852" s="30"/>
      <c r="Z852" s="30"/>
      <c r="AA852" s="30"/>
      <c r="AB852" s="30"/>
    </row>
    <row r="853">
      <c r="A853" s="30"/>
      <c r="B853" s="30"/>
      <c r="C853" s="30"/>
      <c r="D853" s="30"/>
      <c r="E853" s="30"/>
      <c r="F853" s="292"/>
      <c r="G853" s="30"/>
      <c r="H853" s="30"/>
      <c r="I853" s="30"/>
      <c r="J853" s="30"/>
      <c r="K853" s="30"/>
      <c r="L853" s="30"/>
      <c r="M853" s="30"/>
      <c r="N853" s="30"/>
      <c r="O853" s="30"/>
      <c r="P853" s="30"/>
      <c r="Q853" s="30"/>
      <c r="R853" s="30"/>
      <c r="S853" s="195"/>
      <c r="T853" s="195"/>
      <c r="U853" s="195"/>
      <c r="V853" s="195"/>
      <c r="W853" s="30"/>
      <c r="X853" s="30"/>
      <c r="Y853" s="30"/>
      <c r="Z853" s="30"/>
      <c r="AA853" s="30"/>
      <c r="AB853" s="30"/>
    </row>
    <row r="854">
      <c r="A854" s="30"/>
      <c r="B854" s="30"/>
      <c r="C854" s="30"/>
      <c r="D854" s="30"/>
      <c r="E854" s="30"/>
      <c r="F854" s="292"/>
      <c r="G854" s="30"/>
      <c r="H854" s="30"/>
      <c r="I854" s="30"/>
      <c r="J854" s="30"/>
      <c r="K854" s="30"/>
      <c r="L854" s="30"/>
      <c r="M854" s="30"/>
      <c r="N854" s="30"/>
      <c r="O854" s="30"/>
      <c r="P854" s="30"/>
      <c r="Q854" s="30"/>
      <c r="R854" s="30"/>
      <c r="S854" s="195"/>
      <c r="T854" s="195"/>
      <c r="U854" s="195"/>
      <c r="V854" s="195"/>
      <c r="W854" s="30"/>
      <c r="X854" s="30"/>
      <c r="Y854" s="30"/>
      <c r="Z854" s="30"/>
      <c r="AA854" s="30"/>
      <c r="AB854" s="30"/>
    </row>
    <row r="855">
      <c r="A855" s="30"/>
      <c r="B855" s="30"/>
      <c r="C855" s="30"/>
      <c r="D855" s="30"/>
      <c r="E855" s="30"/>
      <c r="F855" s="292"/>
      <c r="G855" s="30"/>
      <c r="H855" s="30"/>
      <c r="I855" s="30"/>
      <c r="J855" s="30"/>
      <c r="K855" s="30"/>
      <c r="L855" s="30"/>
      <c r="M855" s="30"/>
      <c r="N855" s="30"/>
      <c r="O855" s="30"/>
      <c r="P855" s="30"/>
      <c r="Q855" s="30"/>
      <c r="R855" s="30"/>
      <c r="S855" s="195"/>
      <c r="T855" s="195"/>
      <c r="U855" s="195"/>
      <c r="V855" s="195"/>
      <c r="W855" s="30"/>
      <c r="X855" s="30"/>
      <c r="Y855" s="30"/>
      <c r="Z855" s="30"/>
      <c r="AA855" s="30"/>
      <c r="AB855" s="30"/>
    </row>
    <row r="856">
      <c r="A856" s="30"/>
      <c r="B856" s="30"/>
      <c r="C856" s="30"/>
      <c r="D856" s="30"/>
      <c r="E856" s="30"/>
      <c r="F856" s="292"/>
      <c r="G856" s="30"/>
      <c r="H856" s="30"/>
      <c r="I856" s="30"/>
      <c r="J856" s="30"/>
      <c r="K856" s="30"/>
      <c r="L856" s="30"/>
      <c r="M856" s="30"/>
      <c r="N856" s="30"/>
      <c r="O856" s="30"/>
      <c r="P856" s="30"/>
      <c r="Q856" s="30"/>
      <c r="R856" s="30"/>
      <c r="S856" s="195"/>
      <c r="T856" s="195"/>
      <c r="U856" s="195"/>
      <c r="V856" s="195"/>
      <c r="W856" s="30"/>
      <c r="X856" s="30"/>
      <c r="Y856" s="30"/>
      <c r="Z856" s="30"/>
      <c r="AA856" s="30"/>
      <c r="AB856" s="30"/>
    </row>
    <row r="857">
      <c r="A857" s="30"/>
      <c r="B857" s="30"/>
      <c r="C857" s="30"/>
      <c r="D857" s="30"/>
      <c r="E857" s="30"/>
      <c r="F857" s="292"/>
      <c r="G857" s="30"/>
      <c r="H857" s="30"/>
      <c r="I857" s="30"/>
      <c r="J857" s="30"/>
      <c r="K857" s="30"/>
      <c r="L857" s="30"/>
      <c r="M857" s="30"/>
      <c r="N857" s="30"/>
      <c r="O857" s="30"/>
      <c r="P857" s="30"/>
      <c r="Q857" s="30"/>
      <c r="R857" s="30"/>
      <c r="S857" s="195"/>
      <c r="T857" s="195"/>
      <c r="U857" s="195"/>
      <c r="V857" s="195"/>
      <c r="W857" s="30"/>
      <c r="X857" s="30"/>
      <c r="Y857" s="30"/>
      <c r="Z857" s="30"/>
      <c r="AA857" s="30"/>
      <c r="AB857" s="30"/>
    </row>
    <row r="858">
      <c r="A858" s="30"/>
      <c r="B858" s="30"/>
      <c r="C858" s="30"/>
      <c r="D858" s="30"/>
      <c r="E858" s="30"/>
      <c r="F858" s="292"/>
      <c r="G858" s="30"/>
      <c r="H858" s="30"/>
      <c r="I858" s="30"/>
      <c r="J858" s="30"/>
      <c r="K858" s="30"/>
      <c r="L858" s="30"/>
      <c r="M858" s="30"/>
      <c r="N858" s="30"/>
      <c r="O858" s="30"/>
      <c r="P858" s="30"/>
      <c r="Q858" s="30"/>
      <c r="R858" s="30"/>
      <c r="S858" s="195"/>
      <c r="T858" s="195"/>
      <c r="U858" s="195"/>
      <c r="V858" s="195"/>
      <c r="W858" s="30"/>
      <c r="X858" s="30"/>
      <c r="Y858" s="30"/>
      <c r="Z858" s="30"/>
      <c r="AA858" s="30"/>
      <c r="AB858" s="30"/>
    </row>
    <row r="859">
      <c r="A859" s="30"/>
      <c r="B859" s="30"/>
      <c r="C859" s="30"/>
      <c r="D859" s="30"/>
      <c r="E859" s="30"/>
      <c r="F859" s="292"/>
      <c r="G859" s="30"/>
      <c r="H859" s="30"/>
      <c r="I859" s="30"/>
      <c r="J859" s="30"/>
      <c r="K859" s="30"/>
      <c r="L859" s="30"/>
      <c r="M859" s="30"/>
      <c r="N859" s="30"/>
      <c r="O859" s="30"/>
      <c r="P859" s="30"/>
      <c r="Q859" s="30"/>
      <c r="R859" s="30"/>
      <c r="S859" s="195"/>
      <c r="T859" s="195"/>
      <c r="U859" s="195"/>
      <c r="V859" s="195"/>
      <c r="W859" s="30"/>
      <c r="X859" s="30"/>
      <c r="Y859" s="30"/>
      <c r="Z859" s="30"/>
      <c r="AA859" s="30"/>
      <c r="AB859" s="30"/>
    </row>
    <row r="860">
      <c r="A860" s="30"/>
      <c r="B860" s="30"/>
      <c r="C860" s="30"/>
      <c r="D860" s="30"/>
      <c r="E860" s="30"/>
      <c r="F860" s="292"/>
      <c r="G860" s="30"/>
      <c r="H860" s="30"/>
      <c r="I860" s="30"/>
      <c r="J860" s="30"/>
      <c r="K860" s="30"/>
      <c r="L860" s="30"/>
      <c r="M860" s="30"/>
      <c r="N860" s="30"/>
      <c r="O860" s="30"/>
      <c r="P860" s="30"/>
      <c r="Q860" s="30"/>
      <c r="R860" s="30"/>
      <c r="S860" s="195"/>
      <c r="T860" s="195"/>
      <c r="U860" s="195"/>
      <c r="V860" s="195"/>
      <c r="W860" s="30"/>
      <c r="X860" s="30"/>
      <c r="Y860" s="30"/>
      <c r="Z860" s="30"/>
      <c r="AA860" s="30"/>
      <c r="AB860" s="30"/>
    </row>
    <row r="861">
      <c r="A861" s="30"/>
      <c r="B861" s="30"/>
      <c r="C861" s="30"/>
      <c r="D861" s="30"/>
      <c r="E861" s="30"/>
      <c r="F861" s="292"/>
      <c r="G861" s="30"/>
      <c r="H861" s="30"/>
      <c r="I861" s="30"/>
      <c r="J861" s="30"/>
      <c r="K861" s="30"/>
      <c r="L861" s="30"/>
      <c r="M861" s="30"/>
      <c r="N861" s="30"/>
      <c r="O861" s="30"/>
      <c r="P861" s="30"/>
      <c r="Q861" s="30"/>
      <c r="R861" s="30"/>
      <c r="S861" s="195"/>
      <c r="T861" s="195"/>
      <c r="U861" s="195"/>
      <c r="V861" s="195"/>
      <c r="W861" s="30"/>
      <c r="X861" s="30"/>
      <c r="Y861" s="30"/>
      <c r="Z861" s="30"/>
      <c r="AA861" s="30"/>
      <c r="AB861" s="30"/>
    </row>
    <row r="862">
      <c r="A862" s="30"/>
      <c r="B862" s="30"/>
      <c r="C862" s="30"/>
      <c r="D862" s="30"/>
      <c r="E862" s="30"/>
      <c r="F862" s="292"/>
      <c r="G862" s="30"/>
      <c r="H862" s="30"/>
      <c r="I862" s="30"/>
      <c r="J862" s="30"/>
      <c r="K862" s="30"/>
      <c r="L862" s="30"/>
      <c r="M862" s="30"/>
      <c r="N862" s="30"/>
      <c r="O862" s="30"/>
      <c r="P862" s="30"/>
      <c r="Q862" s="30"/>
      <c r="R862" s="30"/>
      <c r="S862" s="195"/>
      <c r="T862" s="195"/>
      <c r="U862" s="195"/>
      <c r="V862" s="195"/>
      <c r="W862" s="30"/>
      <c r="X862" s="30"/>
      <c r="Y862" s="30"/>
      <c r="Z862" s="30"/>
      <c r="AA862" s="30"/>
      <c r="AB862" s="30"/>
    </row>
    <row r="863">
      <c r="A863" s="30"/>
      <c r="B863" s="30"/>
      <c r="C863" s="30"/>
      <c r="D863" s="30"/>
      <c r="E863" s="30"/>
      <c r="F863" s="292"/>
      <c r="G863" s="30"/>
      <c r="H863" s="30"/>
      <c r="I863" s="30"/>
      <c r="J863" s="30"/>
      <c r="K863" s="30"/>
      <c r="L863" s="30"/>
      <c r="M863" s="30"/>
      <c r="N863" s="30"/>
      <c r="O863" s="30"/>
      <c r="P863" s="30"/>
      <c r="Q863" s="30"/>
      <c r="R863" s="30"/>
      <c r="S863" s="195"/>
      <c r="T863" s="195"/>
      <c r="U863" s="195"/>
      <c r="V863" s="195"/>
      <c r="W863" s="30"/>
      <c r="X863" s="30"/>
      <c r="Y863" s="30"/>
      <c r="Z863" s="30"/>
      <c r="AA863" s="30"/>
      <c r="AB863" s="30"/>
    </row>
    <row r="864">
      <c r="A864" s="30"/>
      <c r="B864" s="30"/>
      <c r="C864" s="30"/>
      <c r="D864" s="30"/>
      <c r="E864" s="30"/>
      <c r="F864" s="292"/>
      <c r="G864" s="30"/>
      <c r="H864" s="30"/>
      <c r="I864" s="30"/>
      <c r="J864" s="30"/>
      <c r="K864" s="30"/>
      <c r="L864" s="30"/>
      <c r="M864" s="30"/>
      <c r="N864" s="30"/>
      <c r="O864" s="30"/>
      <c r="P864" s="30"/>
      <c r="Q864" s="30"/>
      <c r="R864" s="30"/>
      <c r="S864" s="195"/>
      <c r="T864" s="195"/>
      <c r="U864" s="195"/>
      <c r="V864" s="195"/>
      <c r="W864" s="30"/>
      <c r="X864" s="30"/>
      <c r="Y864" s="30"/>
      <c r="Z864" s="30"/>
      <c r="AA864" s="30"/>
      <c r="AB864" s="30"/>
    </row>
    <row r="865">
      <c r="A865" s="30"/>
      <c r="B865" s="30"/>
      <c r="C865" s="30"/>
      <c r="D865" s="30"/>
      <c r="E865" s="30"/>
      <c r="F865" s="292"/>
      <c r="G865" s="30"/>
      <c r="H865" s="30"/>
      <c r="I865" s="30"/>
      <c r="J865" s="30"/>
      <c r="K865" s="30"/>
      <c r="L865" s="30"/>
      <c r="M865" s="30"/>
      <c r="N865" s="30"/>
      <c r="O865" s="30"/>
      <c r="P865" s="30"/>
      <c r="Q865" s="30"/>
      <c r="R865" s="30"/>
      <c r="S865" s="195"/>
      <c r="T865" s="195"/>
      <c r="U865" s="195"/>
      <c r="V865" s="195"/>
      <c r="W865" s="30"/>
      <c r="X865" s="30"/>
      <c r="Y865" s="30"/>
      <c r="Z865" s="30"/>
      <c r="AA865" s="30"/>
      <c r="AB865" s="30"/>
    </row>
    <row r="866">
      <c r="A866" s="30"/>
      <c r="B866" s="30"/>
      <c r="C866" s="30"/>
      <c r="D866" s="30"/>
      <c r="E866" s="30"/>
      <c r="F866" s="292"/>
      <c r="G866" s="30"/>
      <c r="H866" s="30"/>
      <c r="I866" s="30"/>
      <c r="J866" s="30"/>
      <c r="K866" s="30"/>
      <c r="L866" s="30"/>
      <c r="M866" s="30"/>
      <c r="N866" s="30"/>
      <c r="O866" s="30"/>
      <c r="P866" s="30"/>
      <c r="Q866" s="30"/>
      <c r="R866" s="30"/>
      <c r="S866" s="195"/>
      <c r="T866" s="195"/>
      <c r="U866" s="195"/>
      <c r="V866" s="195"/>
      <c r="W866" s="30"/>
      <c r="X866" s="30"/>
      <c r="Y866" s="30"/>
      <c r="Z866" s="30"/>
      <c r="AA866" s="30"/>
      <c r="AB866" s="30"/>
    </row>
    <row r="867">
      <c r="A867" s="30"/>
      <c r="B867" s="30"/>
      <c r="C867" s="30"/>
      <c r="D867" s="30"/>
      <c r="E867" s="30"/>
      <c r="F867" s="292"/>
      <c r="G867" s="30"/>
      <c r="H867" s="30"/>
      <c r="I867" s="30"/>
      <c r="J867" s="30"/>
      <c r="K867" s="30"/>
      <c r="L867" s="30"/>
      <c r="M867" s="30"/>
      <c r="N867" s="30"/>
      <c r="O867" s="30"/>
      <c r="P867" s="30"/>
      <c r="Q867" s="30"/>
      <c r="R867" s="30"/>
      <c r="S867" s="195"/>
      <c r="T867" s="195"/>
      <c r="U867" s="195"/>
      <c r="V867" s="195"/>
      <c r="W867" s="30"/>
      <c r="X867" s="30"/>
      <c r="Y867" s="30"/>
      <c r="Z867" s="30"/>
      <c r="AA867" s="30"/>
      <c r="AB867" s="30"/>
    </row>
    <row r="868">
      <c r="A868" s="30"/>
      <c r="B868" s="30"/>
      <c r="C868" s="30"/>
      <c r="D868" s="30"/>
      <c r="E868" s="30"/>
      <c r="F868" s="292"/>
      <c r="G868" s="30"/>
      <c r="H868" s="30"/>
      <c r="I868" s="30"/>
      <c r="J868" s="30"/>
      <c r="K868" s="30"/>
      <c r="L868" s="30"/>
      <c r="M868" s="30"/>
      <c r="N868" s="30"/>
      <c r="O868" s="30"/>
      <c r="P868" s="30"/>
      <c r="Q868" s="30"/>
      <c r="R868" s="30"/>
      <c r="S868" s="195"/>
      <c r="T868" s="195"/>
      <c r="U868" s="195"/>
      <c r="V868" s="195"/>
      <c r="W868" s="30"/>
      <c r="X868" s="30"/>
      <c r="Y868" s="30"/>
      <c r="Z868" s="30"/>
      <c r="AA868" s="30"/>
      <c r="AB868" s="30"/>
    </row>
    <row r="869">
      <c r="A869" s="30"/>
      <c r="B869" s="30"/>
      <c r="C869" s="30"/>
      <c r="D869" s="30"/>
      <c r="E869" s="30"/>
      <c r="F869" s="292"/>
      <c r="G869" s="30"/>
      <c r="H869" s="30"/>
      <c r="I869" s="30"/>
      <c r="J869" s="30"/>
      <c r="K869" s="30"/>
      <c r="L869" s="30"/>
      <c r="M869" s="30"/>
      <c r="N869" s="30"/>
      <c r="O869" s="30"/>
      <c r="P869" s="30"/>
      <c r="Q869" s="30"/>
      <c r="R869" s="30"/>
      <c r="S869" s="195"/>
      <c r="T869" s="195"/>
      <c r="U869" s="195"/>
      <c r="V869" s="195"/>
      <c r="W869" s="30"/>
      <c r="X869" s="30"/>
      <c r="Y869" s="30"/>
      <c r="Z869" s="30"/>
      <c r="AA869" s="30"/>
      <c r="AB869" s="30"/>
    </row>
    <row r="870">
      <c r="A870" s="30"/>
      <c r="B870" s="30"/>
      <c r="C870" s="30"/>
      <c r="D870" s="30"/>
      <c r="E870" s="30"/>
      <c r="F870" s="292"/>
      <c r="G870" s="30"/>
      <c r="H870" s="30"/>
      <c r="I870" s="30"/>
      <c r="J870" s="30"/>
      <c r="K870" s="30"/>
      <c r="L870" s="30"/>
      <c r="M870" s="30"/>
      <c r="N870" s="30"/>
      <c r="O870" s="30"/>
      <c r="P870" s="30"/>
      <c r="Q870" s="30"/>
      <c r="R870" s="30"/>
      <c r="S870" s="195"/>
      <c r="T870" s="195"/>
      <c r="U870" s="195"/>
      <c r="V870" s="195"/>
      <c r="W870" s="30"/>
      <c r="X870" s="30"/>
      <c r="Y870" s="30"/>
      <c r="Z870" s="30"/>
      <c r="AA870" s="30"/>
      <c r="AB870" s="30"/>
    </row>
    <row r="871">
      <c r="A871" s="30"/>
      <c r="B871" s="30"/>
      <c r="C871" s="30"/>
      <c r="D871" s="30"/>
      <c r="E871" s="30"/>
      <c r="F871" s="292"/>
      <c r="G871" s="30"/>
      <c r="H871" s="30"/>
      <c r="I871" s="30"/>
      <c r="J871" s="30"/>
      <c r="K871" s="30"/>
      <c r="L871" s="30"/>
      <c r="M871" s="30"/>
      <c r="N871" s="30"/>
      <c r="O871" s="30"/>
      <c r="P871" s="30"/>
      <c r="Q871" s="30"/>
      <c r="R871" s="30"/>
      <c r="S871" s="195"/>
      <c r="T871" s="195"/>
      <c r="U871" s="195"/>
      <c r="V871" s="195"/>
      <c r="W871" s="30"/>
      <c r="X871" s="30"/>
      <c r="Y871" s="30"/>
      <c r="Z871" s="30"/>
      <c r="AA871" s="30"/>
      <c r="AB871" s="30"/>
    </row>
    <row r="872">
      <c r="A872" s="30"/>
      <c r="B872" s="30"/>
      <c r="C872" s="30"/>
      <c r="D872" s="30"/>
      <c r="E872" s="30"/>
      <c r="F872" s="292"/>
      <c r="G872" s="30"/>
      <c r="H872" s="30"/>
      <c r="I872" s="30"/>
      <c r="J872" s="30"/>
      <c r="K872" s="30"/>
      <c r="L872" s="30"/>
      <c r="M872" s="30"/>
      <c r="N872" s="30"/>
      <c r="O872" s="30"/>
      <c r="P872" s="30"/>
      <c r="Q872" s="30"/>
      <c r="R872" s="30"/>
      <c r="S872" s="195"/>
      <c r="T872" s="195"/>
      <c r="U872" s="195"/>
      <c r="V872" s="195"/>
      <c r="W872" s="30"/>
      <c r="X872" s="30"/>
      <c r="Y872" s="30"/>
      <c r="Z872" s="30"/>
      <c r="AA872" s="30"/>
      <c r="AB872" s="30"/>
    </row>
    <row r="873">
      <c r="A873" s="30"/>
      <c r="B873" s="30"/>
      <c r="C873" s="30"/>
      <c r="D873" s="30"/>
      <c r="E873" s="30"/>
      <c r="F873" s="292"/>
      <c r="G873" s="30"/>
      <c r="H873" s="30"/>
      <c r="I873" s="30"/>
      <c r="J873" s="30"/>
      <c r="K873" s="30"/>
      <c r="L873" s="30"/>
      <c r="M873" s="30"/>
      <c r="N873" s="30"/>
      <c r="O873" s="30"/>
      <c r="P873" s="30"/>
      <c r="Q873" s="30"/>
      <c r="R873" s="30"/>
      <c r="S873" s="195"/>
      <c r="T873" s="195"/>
      <c r="U873" s="195"/>
      <c r="V873" s="195"/>
      <c r="W873" s="30"/>
      <c r="X873" s="30"/>
      <c r="Y873" s="30"/>
      <c r="Z873" s="30"/>
      <c r="AA873" s="30"/>
      <c r="AB873" s="30"/>
    </row>
    <row r="874">
      <c r="A874" s="30"/>
      <c r="B874" s="30"/>
      <c r="C874" s="30"/>
      <c r="D874" s="30"/>
      <c r="E874" s="30"/>
      <c r="F874" s="292"/>
      <c r="G874" s="30"/>
      <c r="H874" s="30"/>
      <c r="I874" s="30"/>
      <c r="J874" s="30"/>
      <c r="K874" s="30"/>
      <c r="L874" s="30"/>
      <c r="M874" s="30"/>
      <c r="N874" s="30"/>
      <c r="O874" s="30"/>
      <c r="P874" s="30"/>
      <c r="Q874" s="30"/>
      <c r="R874" s="30"/>
      <c r="S874" s="195"/>
      <c r="T874" s="195"/>
      <c r="U874" s="195"/>
      <c r="V874" s="195"/>
      <c r="W874" s="30"/>
      <c r="X874" s="30"/>
      <c r="Y874" s="30"/>
      <c r="Z874" s="30"/>
      <c r="AA874" s="30"/>
      <c r="AB874" s="30"/>
    </row>
    <row r="875">
      <c r="A875" s="30"/>
      <c r="B875" s="30"/>
      <c r="C875" s="30"/>
      <c r="D875" s="30"/>
      <c r="E875" s="30"/>
      <c r="F875" s="292"/>
      <c r="G875" s="30"/>
      <c r="H875" s="30"/>
      <c r="I875" s="30"/>
      <c r="J875" s="30"/>
      <c r="K875" s="30"/>
      <c r="L875" s="30"/>
      <c r="M875" s="30"/>
      <c r="N875" s="30"/>
      <c r="O875" s="30"/>
      <c r="P875" s="30"/>
      <c r="Q875" s="30"/>
      <c r="R875" s="30"/>
      <c r="S875" s="195"/>
      <c r="T875" s="195"/>
      <c r="U875" s="195"/>
      <c r="V875" s="195"/>
      <c r="W875" s="30"/>
      <c r="X875" s="30"/>
      <c r="Y875" s="30"/>
      <c r="Z875" s="30"/>
      <c r="AA875" s="30"/>
      <c r="AB875" s="30"/>
    </row>
    <row r="876">
      <c r="A876" s="30"/>
      <c r="B876" s="30"/>
      <c r="C876" s="30"/>
      <c r="D876" s="30"/>
      <c r="E876" s="30"/>
      <c r="F876" s="292"/>
      <c r="G876" s="30"/>
      <c r="H876" s="30"/>
      <c r="I876" s="30"/>
      <c r="J876" s="30"/>
      <c r="K876" s="30"/>
      <c r="L876" s="30"/>
      <c r="M876" s="30"/>
      <c r="N876" s="30"/>
      <c r="O876" s="30"/>
      <c r="P876" s="30"/>
      <c r="Q876" s="30"/>
      <c r="R876" s="30"/>
      <c r="S876" s="195"/>
      <c r="T876" s="195"/>
      <c r="U876" s="195"/>
      <c r="V876" s="195"/>
      <c r="W876" s="30"/>
      <c r="X876" s="30"/>
      <c r="Y876" s="30"/>
      <c r="Z876" s="30"/>
      <c r="AA876" s="30"/>
      <c r="AB876" s="30"/>
    </row>
    <row r="877">
      <c r="A877" s="30"/>
      <c r="B877" s="30"/>
      <c r="C877" s="30"/>
      <c r="D877" s="30"/>
      <c r="E877" s="30"/>
      <c r="F877" s="292"/>
      <c r="G877" s="30"/>
      <c r="H877" s="30"/>
      <c r="I877" s="30"/>
      <c r="J877" s="30"/>
      <c r="K877" s="30"/>
      <c r="L877" s="30"/>
      <c r="M877" s="30"/>
      <c r="N877" s="30"/>
      <c r="O877" s="30"/>
      <c r="P877" s="30"/>
      <c r="Q877" s="30"/>
      <c r="R877" s="30"/>
      <c r="S877" s="195"/>
      <c r="T877" s="195"/>
      <c r="U877" s="195"/>
      <c r="V877" s="195"/>
      <c r="W877" s="30"/>
      <c r="X877" s="30"/>
      <c r="Y877" s="30"/>
      <c r="Z877" s="30"/>
      <c r="AA877" s="30"/>
      <c r="AB877" s="30"/>
    </row>
    <row r="878">
      <c r="A878" s="30"/>
      <c r="B878" s="30"/>
      <c r="C878" s="30"/>
      <c r="D878" s="30"/>
      <c r="E878" s="30"/>
      <c r="F878" s="292"/>
      <c r="G878" s="30"/>
      <c r="H878" s="30"/>
      <c r="I878" s="30"/>
      <c r="J878" s="30"/>
      <c r="K878" s="30"/>
      <c r="L878" s="30"/>
      <c r="M878" s="30"/>
      <c r="N878" s="30"/>
      <c r="O878" s="30"/>
      <c r="P878" s="30"/>
      <c r="Q878" s="30"/>
      <c r="R878" s="30"/>
      <c r="S878" s="195"/>
      <c r="T878" s="195"/>
      <c r="U878" s="195"/>
      <c r="V878" s="195"/>
      <c r="W878" s="30"/>
      <c r="X878" s="30"/>
      <c r="Y878" s="30"/>
      <c r="Z878" s="30"/>
      <c r="AA878" s="30"/>
      <c r="AB878" s="30"/>
    </row>
    <row r="879">
      <c r="A879" s="30"/>
      <c r="B879" s="30"/>
      <c r="C879" s="30"/>
      <c r="D879" s="30"/>
      <c r="E879" s="30"/>
      <c r="F879" s="292"/>
      <c r="G879" s="30"/>
      <c r="H879" s="30"/>
      <c r="I879" s="30"/>
      <c r="J879" s="30"/>
      <c r="K879" s="30"/>
      <c r="L879" s="30"/>
      <c r="M879" s="30"/>
      <c r="N879" s="30"/>
      <c r="O879" s="30"/>
      <c r="P879" s="30"/>
      <c r="Q879" s="30"/>
      <c r="R879" s="30"/>
      <c r="S879" s="195"/>
      <c r="T879" s="195"/>
      <c r="U879" s="195"/>
      <c r="V879" s="195"/>
      <c r="W879" s="30"/>
      <c r="X879" s="30"/>
      <c r="Y879" s="30"/>
      <c r="Z879" s="30"/>
      <c r="AA879" s="30"/>
      <c r="AB879" s="30"/>
    </row>
    <row r="880">
      <c r="A880" s="30"/>
      <c r="B880" s="30"/>
      <c r="C880" s="30"/>
      <c r="D880" s="30"/>
      <c r="E880" s="30"/>
      <c r="F880" s="292"/>
      <c r="G880" s="30"/>
      <c r="H880" s="30"/>
      <c r="I880" s="30"/>
      <c r="J880" s="30"/>
      <c r="K880" s="30"/>
      <c r="L880" s="30"/>
      <c r="M880" s="30"/>
      <c r="N880" s="30"/>
      <c r="O880" s="30"/>
      <c r="P880" s="30"/>
      <c r="Q880" s="30"/>
      <c r="R880" s="30"/>
      <c r="S880" s="195"/>
      <c r="T880" s="195"/>
      <c r="U880" s="195"/>
      <c r="V880" s="195"/>
      <c r="W880" s="30"/>
      <c r="X880" s="30"/>
      <c r="Y880" s="30"/>
      <c r="Z880" s="30"/>
      <c r="AA880" s="30"/>
      <c r="AB880" s="30"/>
    </row>
    <row r="881">
      <c r="A881" s="30"/>
      <c r="B881" s="30"/>
      <c r="C881" s="30"/>
      <c r="D881" s="30"/>
      <c r="E881" s="30"/>
      <c r="F881" s="292"/>
      <c r="G881" s="30"/>
      <c r="H881" s="30"/>
      <c r="I881" s="30"/>
      <c r="J881" s="30"/>
      <c r="K881" s="30"/>
      <c r="L881" s="30"/>
      <c r="M881" s="30"/>
      <c r="N881" s="30"/>
      <c r="O881" s="30"/>
      <c r="P881" s="30"/>
      <c r="Q881" s="30"/>
      <c r="R881" s="30"/>
      <c r="S881" s="195"/>
      <c r="T881" s="195"/>
      <c r="U881" s="195"/>
      <c r="V881" s="195"/>
      <c r="W881" s="30"/>
      <c r="X881" s="30"/>
      <c r="Y881" s="30"/>
      <c r="Z881" s="30"/>
      <c r="AA881" s="30"/>
      <c r="AB881" s="30"/>
    </row>
    <row r="882">
      <c r="A882" s="30"/>
      <c r="B882" s="30"/>
      <c r="C882" s="30"/>
      <c r="D882" s="30"/>
      <c r="E882" s="30"/>
      <c r="F882" s="292"/>
      <c r="G882" s="30"/>
      <c r="H882" s="30"/>
      <c r="I882" s="30"/>
      <c r="J882" s="30"/>
      <c r="K882" s="30"/>
      <c r="L882" s="30"/>
      <c r="M882" s="30"/>
      <c r="N882" s="30"/>
      <c r="O882" s="30"/>
      <c r="P882" s="30"/>
      <c r="Q882" s="30"/>
      <c r="R882" s="30"/>
      <c r="S882" s="195"/>
      <c r="T882" s="195"/>
      <c r="U882" s="195"/>
      <c r="V882" s="195"/>
      <c r="W882" s="30"/>
      <c r="X882" s="30"/>
      <c r="Y882" s="30"/>
      <c r="Z882" s="30"/>
      <c r="AA882" s="30"/>
      <c r="AB882" s="30"/>
    </row>
    <row r="883">
      <c r="A883" s="30"/>
      <c r="B883" s="30"/>
      <c r="C883" s="30"/>
      <c r="D883" s="30"/>
      <c r="E883" s="30"/>
      <c r="F883" s="292"/>
      <c r="G883" s="30"/>
      <c r="H883" s="30"/>
      <c r="I883" s="30"/>
      <c r="J883" s="30"/>
      <c r="K883" s="30"/>
      <c r="L883" s="30"/>
      <c r="M883" s="30"/>
      <c r="N883" s="30"/>
      <c r="O883" s="30"/>
      <c r="P883" s="30"/>
      <c r="Q883" s="30"/>
      <c r="R883" s="30"/>
      <c r="S883" s="195"/>
      <c r="T883" s="195"/>
      <c r="U883" s="195"/>
      <c r="V883" s="195"/>
      <c r="W883" s="30"/>
      <c r="X883" s="30"/>
      <c r="Y883" s="30"/>
      <c r="Z883" s="30"/>
      <c r="AA883" s="30"/>
      <c r="AB883" s="30"/>
    </row>
    <row r="884">
      <c r="A884" s="30"/>
      <c r="B884" s="30"/>
      <c r="C884" s="30"/>
      <c r="D884" s="30"/>
      <c r="E884" s="30"/>
      <c r="F884" s="292"/>
      <c r="G884" s="30"/>
      <c r="H884" s="30"/>
      <c r="I884" s="30"/>
      <c r="J884" s="30"/>
      <c r="K884" s="30"/>
      <c r="L884" s="30"/>
      <c r="M884" s="30"/>
      <c r="N884" s="30"/>
      <c r="O884" s="30"/>
      <c r="P884" s="30"/>
      <c r="Q884" s="30"/>
      <c r="R884" s="30"/>
      <c r="S884" s="195"/>
      <c r="T884" s="195"/>
      <c r="U884" s="195"/>
      <c r="V884" s="195"/>
      <c r="W884" s="30"/>
      <c r="X884" s="30"/>
      <c r="Y884" s="30"/>
      <c r="Z884" s="30"/>
      <c r="AA884" s="30"/>
      <c r="AB884" s="30"/>
    </row>
    <row r="885">
      <c r="A885" s="30"/>
      <c r="B885" s="30"/>
      <c r="C885" s="30"/>
      <c r="D885" s="30"/>
      <c r="E885" s="30"/>
      <c r="F885" s="292"/>
      <c r="G885" s="30"/>
      <c r="H885" s="30"/>
      <c r="I885" s="30"/>
      <c r="J885" s="30"/>
      <c r="K885" s="30"/>
      <c r="L885" s="30"/>
      <c r="M885" s="30"/>
      <c r="N885" s="30"/>
      <c r="O885" s="30"/>
      <c r="P885" s="30"/>
      <c r="Q885" s="30"/>
      <c r="R885" s="30"/>
      <c r="S885" s="195"/>
      <c r="T885" s="195"/>
      <c r="U885" s="195"/>
      <c r="V885" s="195"/>
      <c r="W885" s="30"/>
      <c r="X885" s="30"/>
      <c r="Y885" s="30"/>
      <c r="Z885" s="30"/>
      <c r="AA885" s="30"/>
      <c r="AB885" s="30"/>
    </row>
    <row r="886">
      <c r="A886" s="30"/>
      <c r="B886" s="30"/>
      <c r="C886" s="30"/>
      <c r="D886" s="30"/>
      <c r="E886" s="30"/>
      <c r="F886" s="292"/>
      <c r="G886" s="30"/>
      <c r="H886" s="30"/>
      <c r="I886" s="30"/>
      <c r="J886" s="30"/>
      <c r="K886" s="30"/>
      <c r="L886" s="30"/>
      <c r="M886" s="30"/>
      <c r="N886" s="30"/>
      <c r="O886" s="30"/>
      <c r="P886" s="30"/>
      <c r="Q886" s="30"/>
      <c r="R886" s="30"/>
      <c r="S886" s="195"/>
      <c r="T886" s="195"/>
      <c r="U886" s="195"/>
      <c r="V886" s="195"/>
      <c r="W886" s="30"/>
      <c r="X886" s="30"/>
      <c r="Y886" s="30"/>
      <c r="Z886" s="30"/>
      <c r="AA886" s="30"/>
      <c r="AB886" s="30"/>
    </row>
    <row r="887">
      <c r="A887" s="30"/>
      <c r="B887" s="30"/>
      <c r="C887" s="30"/>
      <c r="D887" s="30"/>
      <c r="E887" s="30"/>
      <c r="F887" s="292"/>
      <c r="G887" s="30"/>
      <c r="H887" s="30"/>
      <c r="I887" s="30"/>
      <c r="J887" s="30"/>
      <c r="K887" s="30"/>
      <c r="L887" s="30"/>
      <c r="M887" s="30"/>
      <c r="N887" s="30"/>
      <c r="O887" s="30"/>
      <c r="P887" s="30"/>
      <c r="Q887" s="30"/>
      <c r="R887" s="30"/>
      <c r="S887" s="195"/>
      <c r="T887" s="195"/>
      <c r="U887" s="195"/>
      <c r="V887" s="195"/>
      <c r="W887" s="30"/>
      <c r="X887" s="30"/>
      <c r="Y887" s="30"/>
      <c r="Z887" s="30"/>
      <c r="AA887" s="30"/>
      <c r="AB887" s="30"/>
    </row>
    <row r="888">
      <c r="A888" s="30"/>
      <c r="B888" s="30"/>
      <c r="C888" s="30"/>
      <c r="D888" s="30"/>
      <c r="E888" s="30"/>
      <c r="F888" s="292"/>
      <c r="G888" s="30"/>
      <c r="H888" s="30"/>
      <c r="I888" s="30"/>
      <c r="J888" s="30"/>
      <c r="K888" s="30"/>
      <c r="L888" s="30"/>
      <c r="M888" s="30"/>
      <c r="N888" s="30"/>
      <c r="O888" s="30"/>
      <c r="P888" s="30"/>
      <c r="Q888" s="30"/>
      <c r="R888" s="30"/>
      <c r="S888" s="195"/>
      <c r="T888" s="195"/>
      <c r="U888" s="195"/>
      <c r="V888" s="195"/>
      <c r="W888" s="30"/>
      <c r="X888" s="30"/>
      <c r="Y888" s="30"/>
      <c r="Z888" s="30"/>
      <c r="AA888" s="30"/>
      <c r="AB888" s="30"/>
    </row>
    <row r="889">
      <c r="A889" s="30"/>
      <c r="B889" s="30"/>
      <c r="C889" s="30"/>
      <c r="D889" s="30"/>
      <c r="E889" s="30"/>
      <c r="F889" s="292"/>
      <c r="G889" s="30"/>
      <c r="H889" s="30"/>
      <c r="I889" s="30"/>
      <c r="J889" s="30"/>
      <c r="K889" s="30"/>
      <c r="L889" s="30"/>
      <c r="M889" s="30"/>
      <c r="N889" s="30"/>
      <c r="O889" s="30"/>
      <c r="P889" s="30"/>
      <c r="Q889" s="30"/>
      <c r="R889" s="30"/>
      <c r="S889" s="195"/>
      <c r="T889" s="195"/>
      <c r="U889" s="195"/>
      <c r="V889" s="195"/>
      <c r="W889" s="30"/>
      <c r="X889" s="30"/>
      <c r="Y889" s="30"/>
      <c r="Z889" s="30"/>
      <c r="AA889" s="30"/>
      <c r="AB889" s="30"/>
    </row>
    <row r="890">
      <c r="A890" s="30"/>
      <c r="B890" s="30"/>
      <c r="C890" s="30"/>
      <c r="D890" s="30"/>
      <c r="E890" s="30"/>
      <c r="F890" s="292"/>
      <c r="G890" s="30"/>
      <c r="H890" s="30"/>
      <c r="I890" s="30"/>
      <c r="J890" s="30"/>
      <c r="K890" s="30"/>
      <c r="L890" s="30"/>
      <c r="M890" s="30"/>
      <c r="N890" s="30"/>
      <c r="O890" s="30"/>
      <c r="P890" s="30"/>
      <c r="Q890" s="30"/>
      <c r="R890" s="30"/>
      <c r="S890" s="195"/>
      <c r="T890" s="195"/>
      <c r="U890" s="195"/>
      <c r="V890" s="195"/>
      <c r="W890" s="30"/>
      <c r="X890" s="30"/>
      <c r="Y890" s="30"/>
      <c r="Z890" s="30"/>
      <c r="AA890" s="30"/>
      <c r="AB890" s="30"/>
    </row>
    <row r="891">
      <c r="A891" s="30"/>
      <c r="B891" s="30"/>
      <c r="C891" s="30"/>
      <c r="D891" s="30"/>
      <c r="E891" s="30"/>
      <c r="F891" s="292"/>
      <c r="G891" s="30"/>
      <c r="H891" s="30"/>
      <c r="I891" s="30"/>
      <c r="J891" s="30"/>
      <c r="K891" s="30"/>
      <c r="L891" s="30"/>
      <c r="M891" s="30"/>
      <c r="N891" s="30"/>
      <c r="O891" s="30"/>
      <c r="P891" s="30"/>
      <c r="Q891" s="30"/>
      <c r="R891" s="30"/>
      <c r="S891" s="195"/>
      <c r="T891" s="195"/>
      <c r="U891" s="195"/>
      <c r="V891" s="195"/>
      <c r="W891" s="30"/>
      <c r="X891" s="30"/>
      <c r="Y891" s="30"/>
      <c r="Z891" s="30"/>
      <c r="AA891" s="30"/>
      <c r="AB891" s="30"/>
    </row>
    <row r="892">
      <c r="A892" s="30"/>
      <c r="B892" s="30"/>
      <c r="C892" s="30"/>
      <c r="D892" s="30"/>
      <c r="E892" s="30"/>
      <c r="F892" s="292"/>
      <c r="G892" s="30"/>
      <c r="H892" s="30"/>
      <c r="I892" s="30"/>
      <c r="J892" s="30"/>
      <c r="K892" s="30"/>
      <c r="L892" s="30"/>
      <c r="M892" s="30"/>
      <c r="N892" s="30"/>
      <c r="O892" s="30"/>
      <c r="P892" s="30"/>
      <c r="Q892" s="30"/>
      <c r="R892" s="30"/>
      <c r="S892" s="195"/>
      <c r="T892" s="195"/>
      <c r="U892" s="195"/>
      <c r="V892" s="195"/>
      <c r="W892" s="30"/>
      <c r="X892" s="30"/>
      <c r="Y892" s="30"/>
      <c r="Z892" s="30"/>
      <c r="AA892" s="30"/>
      <c r="AB892" s="30"/>
    </row>
    <row r="893">
      <c r="A893" s="30"/>
      <c r="B893" s="30"/>
      <c r="C893" s="30"/>
      <c r="D893" s="30"/>
      <c r="E893" s="30"/>
      <c r="F893" s="292"/>
      <c r="G893" s="30"/>
      <c r="H893" s="30"/>
      <c r="I893" s="30"/>
      <c r="J893" s="30"/>
      <c r="K893" s="30"/>
      <c r="L893" s="30"/>
      <c r="M893" s="30"/>
      <c r="N893" s="30"/>
      <c r="O893" s="30"/>
      <c r="P893" s="30"/>
      <c r="Q893" s="30"/>
      <c r="R893" s="30"/>
      <c r="S893" s="195"/>
      <c r="T893" s="195"/>
      <c r="U893" s="195"/>
      <c r="V893" s="195"/>
      <c r="W893" s="30"/>
      <c r="X893" s="30"/>
      <c r="Y893" s="30"/>
      <c r="Z893" s="30"/>
      <c r="AA893" s="30"/>
      <c r="AB893" s="30"/>
    </row>
    <row r="894">
      <c r="A894" s="30"/>
      <c r="B894" s="30"/>
      <c r="C894" s="30"/>
      <c r="D894" s="30"/>
      <c r="E894" s="30"/>
      <c r="F894" s="292"/>
      <c r="G894" s="30"/>
      <c r="H894" s="30"/>
      <c r="I894" s="30"/>
      <c r="J894" s="30"/>
      <c r="K894" s="30"/>
      <c r="L894" s="30"/>
      <c r="M894" s="30"/>
      <c r="N894" s="30"/>
      <c r="O894" s="30"/>
      <c r="P894" s="30"/>
      <c r="Q894" s="30"/>
      <c r="R894" s="30"/>
      <c r="S894" s="195"/>
      <c r="T894" s="195"/>
      <c r="U894" s="195"/>
      <c r="V894" s="195"/>
      <c r="W894" s="30"/>
      <c r="X894" s="30"/>
      <c r="Y894" s="30"/>
      <c r="Z894" s="30"/>
      <c r="AA894" s="30"/>
      <c r="AB894" s="30"/>
    </row>
    <row r="895">
      <c r="A895" s="30"/>
      <c r="B895" s="30"/>
      <c r="C895" s="30"/>
      <c r="D895" s="30"/>
      <c r="E895" s="30"/>
      <c r="F895" s="292"/>
      <c r="G895" s="30"/>
      <c r="H895" s="30"/>
      <c r="I895" s="30"/>
      <c r="J895" s="30"/>
      <c r="K895" s="30"/>
      <c r="L895" s="30"/>
      <c r="M895" s="30"/>
      <c r="N895" s="30"/>
      <c r="O895" s="30"/>
      <c r="P895" s="30"/>
      <c r="Q895" s="30"/>
      <c r="R895" s="30"/>
      <c r="S895" s="195"/>
      <c r="T895" s="195"/>
      <c r="U895" s="195"/>
      <c r="V895" s="195"/>
      <c r="W895" s="30"/>
      <c r="X895" s="30"/>
      <c r="Y895" s="30"/>
      <c r="Z895" s="30"/>
      <c r="AA895" s="30"/>
      <c r="AB895" s="30"/>
    </row>
    <row r="896">
      <c r="A896" s="30"/>
      <c r="B896" s="30"/>
      <c r="C896" s="30"/>
      <c r="D896" s="30"/>
      <c r="E896" s="30"/>
      <c r="F896" s="292"/>
      <c r="G896" s="30"/>
      <c r="H896" s="30"/>
      <c r="I896" s="30"/>
      <c r="J896" s="30"/>
      <c r="K896" s="30"/>
      <c r="L896" s="30"/>
      <c r="M896" s="30"/>
      <c r="N896" s="30"/>
      <c r="O896" s="30"/>
      <c r="P896" s="30"/>
      <c r="Q896" s="30"/>
      <c r="R896" s="30"/>
      <c r="S896" s="195"/>
      <c r="T896" s="195"/>
      <c r="U896" s="195"/>
      <c r="V896" s="195"/>
      <c r="W896" s="30"/>
      <c r="X896" s="30"/>
      <c r="Y896" s="30"/>
      <c r="Z896" s="30"/>
      <c r="AA896" s="30"/>
      <c r="AB896" s="30"/>
    </row>
    <row r="897">
      <c r="A897" s="30"/>
      <c r="B897" s="30"/>
      <c r="C897" s="30"/>
      <c r="D897" s="30"/>
      <c r="E897" s="30"/>
      <c r="F897" s="292"/>
      <c r="G897" s="30"/>
      <c r="H897" s="30"/>
      <c r="I897" s="30"/>
      <c r="J897" s="30"/>
      <c r="K897" s="30"/>
      <c r="L897" s="30"/>
      <c r="M897" s="30"/>
      <c r="N897" s="30"/>
      <c r="O897" s="30"/>
      <c r="P897" s="30"/>
      <c r="Q897" s="30"/>
      <c r="R897" s="30"/>
      <c r="S897" s="195"/>
      <c r="T897" s="195"/>
      <c r="U897" s="195"/>
      <c r="V897" s="195"/>
      <c r="W897" s="30"/>
      <c r="X897" s="30"/>
      <c r="Y897" s="30"/>
      <c r="Z897" s="30"/>
      <c r="AA897" s="30"/>
      <c r="AB897" s="30"/>
    </row>
    <row r="898">
      <c r="A898" s="30"/>
      <c r="B898" s="30"/>
      <c r="C898" s="30"/>
      <c r="D898" s="30"/>
      <c r="E898" s="30"/>
      <c r="F898" s="292"/>
      <c r="G898" s="30"/>
      <c r="H898" s="30"/>
      <c r="I898" s="30"/>
      <c r="J898" s="30"/>
      <c r="K898" s="30"/>
      <c r="L898" s="30"/>
      <c r="M898" s="30"/>
      <c r="N898" s="30"/>
      <c r="O898" s="30"/>
      <c r="P898" s="30"/>
      <c r="Q898" s="30"/>
      <c r="R898" s="30"/>
      <c r="S898" s="195"/>
      <c r="T898" s="195"/>
      <c r="U898" s="195"/>
      <c r="V898" s="195"/>
      <c r="W898" s="30"/>
      <c r="X898" s="30"/>
      <c r="Y898" s="30"/>
      <c r="Z898" s="30"/>
      <c r="AA898" s="30"/>
      <c r="AB898" s="30"/>
    </row>
    <row r="899">
      <c r="A899" s="30"/>
      <c r="B899" s="30"/>
      <c r="C899" s="30"/>
      <c r="D899" s="30"/>
      <c r="E899" s="30"/>
      <c r="F899" s="292"/>
      <c r="G899" s="30"/>
      <c r="H899" s="30"/>
      <c r="I899" s="30"/>
      <c r="J899" s="30"/>
      <c r="K899" s="30"/>
      <c r="L899" s="30"/>
      <c r="M899" s="30"/>
      <c r="N899" s="30"/>
      <c r="O899" s="30"/>
      <c r="P899" s="30"/>
      <c r="Q899" s="30"/>
      <c r="R899" s="30"/>
      <c r="S899" s="195"/>
      <c r="T899" s="195"/>
      <c r="U899" s="195"/>
      <c r="V899" s="195"/>
      <c r="W899" s="30"/>
      <c r="X899" s="30"/>
      <c r="Y899" s="30"/>
      <c r="Z899" s="30"/>
      <c r="AA899" s="30"/>
      <c r="AB899" s="30"/>
    </row>
    <row r="900">
      <c r="A900" s="30"/>
      <c r="B900" s="30"/>
      <c r="C900" s="30"/>
      <c r="D900" s="30"/>
      <c r="E900" s="30"/>
      <c r="F900" s="292"/>
      <c r="G900" s="30"/>
      <c r="H900" s="30"/>
      <c r="I900" s="30"/>
      <c r="J900" s="30"/>
      <c r="K900" s="30"/>
      <c r="L900" s="30"/>
      <c r="M900" s="30"/>
      <c r="N900" s="30"/>
      <c r="O900" s="30"/>
      <c r="P900" s="30"/>
      <c r="Q900" s="30"/>
      <c r="R900" s="30"/>
      <c r="S900" s="195"/>
      <c r="T900" s="195"/>
      <c r="U900" s="195"/>
      <c r="V900" s="195"/>
      <c r="W900" s="30"/>
      <c r="X900" s="30"/>
      <c r="Y900" s="30"/>
      <c r="Z900" s="30"/>
      <c r="AA900" s="30"/>
      <c r="AB900" s="30"/>
    </row>
    <row r="901">
      <c r="A901" s="30"/>
      <c r="B901" s="30"/>
      <c r="C901" s="30"/>
      <c r="D901" s="30"/>
      <c r="E901" s="30"/>
      <c r="F901" s="292"/>
      <c r="G901" s="30"/>
      <c r="H901" s="30"/>
      <c r="I901" s="30"/>
      <c r="J901" s="30"/>
      <c r="K901" s="30"/>
      <c r="L901" s="30"/>
      <c r="M901" s="30"/>
      <c r="N901" s="30"/>
      <c r="O901" s="30"/>
      <c r="P901" s="30"/>
      <c r="Q901" s="30"/>
      <c r="R901" s="30"/>
      <c r="S901" s="195"/>
      <c r="T901" s="195"/>
      <c r="U901" s="195"/>
      <c r="V901" s="195"/>
      <c r="W901" s="30"/>
      <c r="X901" s="30"/>
      <c r="Y901" s="30"/>
      <c r="Z901" s="30"/>
      <c r="AA901" s="30"/>
      <c r="AB901" s="30"/>
    </row>
    <row r="902">
      <c r="A902" s="30"/>
      <c r="B902" s="30"/>
      <c r="C902" s="30"/>
      <c r="D902" s="30"/>
      <c r="E902" s="30"/>
      <c r="F902" s="292"/>
      <c r="G902" s="30"/>
      <c r="H902" s="30"/>
      <c r="I902" s="30"/>
      <c r="J902" s="30"/>
      <c r="K902" s="30"/>
      <c r="L902" s="30"/>
      <c r="M902" s="30"/>
      <c r="N902" s="30"/>
      <c r="O902" s="30"/>
      <c r="P902" s="30"/>
      <c r="Q902" s="30"/>
      <c r="R902" s="30"/>
      <c r="S902" s="195"/>
      <c r="T902" s="195"/>
      <c r="U902" s="195"/>
      <c r="V902" s="195"/>
      <c r="W902" s="30"/>
      <c r="X902" s="30"/>
      <c r="Y902" s="30"/>
      <c r="Z902" s="30"/>
      <c r="AA902" s="30"/>
      <c r="AB902" s="30"/>
    </row>
    <row r="903">
      <c r="A903" s="30"/>
      <c r="B903" s="30"/>
      <c r="C903" s="30"/>
      <c r="D903" s="30"/>
      <c r="E903" s="30"/>
      <c r="F903" s="292"/>
      <c r="G903" s="30"/>
      <c r="H903" s="30"/>
      <c r="I903" s="30"/>
      <c r="J903" s="30"/>
      <c r="K903" s="30"/>
      <c r="L903" s="30"/>
      <c r="M903" s="30"/>
      <c r="N903" s="30"/>
      <c r="O903" s="30"/>
      <c r="P903" s="30"/>
      <c r="Q903" s="30"/>
      <c r="R903" s="30"/>
      <c r="S903" s="195"/>
      <c r="T903" s="195"/>
      <c r="U903" s="195"/>
      <c r="V903" s="195"/>
      <c r="W903" s="30"/>
      <c r="X903" s="30"/>
      <c r="Y903" s="30"/>
      <c r="Z903" s="30"/>
      <c r="AA903" s="30"/>
      <c r="AB903" s="30"/>
    </row>
    <row r="904">
      <c r="A904" s="30"/>
      <c r="B904" s="30"/>
      <c r="C904" s="30"/>
      <c r="D904" s="30"/>
      <c r="E904" s="30"/>
      <c r="F904" s="292"/>
      <c r="G904" s="30"/>
      <c r="H904" s="30"/>
      <c r="I904" s="30"/>
      <c r="J904" s="30"/>
      <c r="K904" s="30"/>
      <c r="L904" s="30"/>
      <c r="M904" s="30"/>
      <c r="N904" s="30"/>
      <c r="O904" s="30"/>
      <c r="P904" s="30"/>
      <c r="Q904" s="30"/>
      <c r="R904" s="30"/>
      <c r="S904" s="195"/>
      <c r="T904" s="195"/>
      <c r="U904" s="195"/>
      <c r="V904" s="195"/>
      <c r="W904" s="30"/>
      <c r="X904" s="30"/>
      <c r="Y904" s="30"/>
      <c r="Z904" s="30"/>
      <c r="AA904" s="30"/>
      <c r="AB904" s="30"/>
    </row>
    <row r="905">
      <c r="A905" s="30"/>
      <c r="B905" s="30"/>
      <c r="C905" s="30"/>
      <c r="D905" s="30"/>
      <c r="E905" s="30"/>
      <c r="F905" s="292"/>
      <c r="G905" s="30"/>
      <c r="H905" s="30"/>
      <c r="I905" s="30"/>
      <c r="J905" s="30"/>
      <c r="K905" s="30"/>
      <c r="L905" s="30"/>
      <c r="M905" s="30"/>
      <c r="N905" s="30"/>
      <c r="O905" s="30"/>
      <c r="P905" s="30"/>
      <c r="Q905" s="30"/>
      <c r="R905" s="30"/>
      <c r="S905" s="195"/>
      <c r="T905" s="195"/>
      <c r="U905" s="195"/>
      <c r="V905" s="195"/>
      <c r="W905" s="30"/>
      <c r="X905" s="30"/>
      <c r="Y905" s="30"/>
      <c r="Z905" s="30"/>
      <c r="AA905" s="30"/>
      <c r="AB905" s="30"/>
    </row>
    <row r="906">
      <c r="A906" s="30"/>
      <c r="B906" s="30"/>
      <c r="C906" s="30"/>
      <c r="D906" s="30"/>
      <c r="E906" s="30"/>
      <c r="F906" s="292"/>
      <c r="G906" s="30"/>
      <c r="H906" s="30"/>
      <c r="I906" s="30"/>
      <c r="J906" s="30"/>
      <c r="K906" s="30"/>
      <c r="L906" s="30"/>
      <c r="M906" s="30"/>
      <c r="N906" s="30"/>
      <c r="O906" s="30"/>
      <c r="P906" s="30"/>
      <c r="Q906" s="30"/>
      <c r="R906" s="30"/>
      <c r="S906" s="195"/>
      <c r="T906" s="195"/>
      <c r="U906" s="195"/>
      <c r="V906" s="195"/>
      <c r="W906" s="30"/>
      <c r="X906" s="30"/>
      <c r="Y906" s="30"/>
      <c r="Z906" s="30"/>
      <c r="AA906" s="30"/>
      <c r="AB906" s="30"/>
    </row>
    <row r="907">
      <c r="A907" s="30"/>
      <c r="B907" s="30"/>
      <c r="C907" s="30"/>
      <c r="D907" s="30"/>
      <c r="E907" s="30"/>
      <c r="F907" s="292"/>
      <c r="G907" s="30"/>
      <c r="H907" s="30"/>
      <c r="I907" s="30"/>
      <c r="J907" s="30"/>
      <c r="K907" s="30"/>
      <c r="L907" s="30"/>
      <c r="M907" s="30"/>
      <c r="N907" s="30"/>
      <c r="O907" s="30"/>
      <c r="P907" s="30"/>
      <c r="Q907" s="30"/>
      <c r="R907" s="30"/>
      <c r="S907" s="195"/>
      <c r="T907" s="195"/>
      <c r="U907" s="195"/>
      <c r="V907" s="195"/>
      <c r="W907" s="30"/>
      <c r="X907" s="30"/>
      <c r="Y907" s="30"/>
      <c r="Z907" s="30"/>
      <c r="AA907" s="30"/>
      <c r="AB907" s="30"/>
    </row>
    <row r="908">
      <c r="A908" s="30"/>
      <c r="B908" s="30"/>
      <c r="C908" s="30"/>
      <c r="D908" s="30"/>
      <c r="E908" s="30"/>
      <c r="F908" s="292"/>
      <c r="G908" s="30"/>
      <c r="H908" s="30"/>
      <c r="I908" s="30"/>
      <c r="J908" s="30"/>
      <c r="K908" s="30"/>
      <c r="L908" s="30"/>
      <c r="M908" s="30"/>
      <c r="N908" s="30"/>
      <c r="O908" s="30"/>
      <c r="P908" s="30"/>
      <c r="Q908" s="30"/>
      <c r="R908" s="30"/>
      <c r="S908" s="195"/>
      <c r="T908" s="195"/>
      <c r="U908" s="195"/>
      <c r="V908" s="195"/>
      <c r="W908" s="30"/>
      <c r="X908" s="30"/>
      <c r="Y908" s="30"/>
      <c r="Z908" s="30"/>
      <c r="AA908" s="30"/>
      <c r="AB908" s="30"/>
    </row>
    <row r="909">
      <c r="A909" s="30"/>
      <c r="B909" s="30"/>
      <c r="C909" s="30"/>
      <c r="D909" s="30"/>
      <c r="E909" s="30"/>
      <c r="F909" s="292"/>
      <c r="G909" s="30"/>
      <c r="H909" s="30"/>
      <c r="I909" s="30"/>
      <c r="J909" s="30"/>
      <c r="K909" s="30"/>
      <c r="L909" s="30"/>
      <c r="M909" s="30"/>
      <c r="N909" s="30"/>
      <c r="O909" s="30"/>
      <c r="P909" s="30"/>
      <c r="Q909" s="30"/>
      <c r="R909" s="30"/>
      <c r="S909" s="195"/>
      <c r="T909" s="195"/>
      <c r="U909" s="195"/>
      <c r="V909" s="195"/>
      <c r="W909" s="30"/>
      <c r="X909" s="30"/>
      <c r="Y909" s="30"/>
      <c r="Z909" s="30"/>
      <c r="AA909" s="30"/>
      <c r="AB909" s="30"/>
    </row>
    <row r="910">
      <c r="A910" s="30"/>
      <c r="B910" s="30"/>
      <c r="C910" s="30"/>
      <c r="D910" s="30"/>
      <c r="E910" s="30"/>
      <c r="F910" s="292"/>
      <c r="G910" s="30"/>
      <c r="H910" s="30"/>
      <c r="I910" s="30"/>
      <c r="J910" s="30"/>
      <c r="K910" s="30"/>
      <c r="L910" s="30"/>
      <c r="M910" s="30"/>
      <c r="N910" s="30"/>
      <c r="O910" s="30"/>
      <c r="P910" s="30"/>
      <c r="Q910" s="30"/>
      <c r="R910" s="30"/>
      <c r="S910" s="195"/>
      <c r="T910" s="195"/>
      <c r="U910" s="195"/>
      <c r="V910" s="195"/>
      <c r="W910" s="30"/>
      <c r="X910" s="30"/>
      <c r="Y910" s="30"/>
      <c r="Z910" s="30"/>
      <c r="AA910" s="30"/>
      <c r="AB910" s="30"/>
    </row>
    <row r="911">
      <c r="A911" s="30"/>
      <c r="B911" s="30"/>
      <c r="C911" s="30"/>
      <c r="D911" s="30"/>
      <c r="E911" s="30"/>
      <c r="F911" s="292"/>
      <c r="G911" s="30"/>
      <c r="H911" s="30"/>
      <c r="I911" s="30"/>
      <c r="J911" s="30"/>
      <c r="K911" s="30"/>
      <c r="L911" s="30"/>
      <c r="M911" s="30"/>
      <c r="N911" s="30"/>
      <c r="O911" s="30"/>
      <c r="P911" s="30"/>
      <c r="Q911" s="30"/>
      <c r="R911" s="30"/>
      <c r="S911" s="195"/>
      <c r="T911" s="195"/>
      <c r="U911" s="195"/>
      <c r="V911" s="195"/>
      <c r="W911" s="30"/>
      <c r="X911" s="30"/>
      <c r="Y911" s="30"/>
      <c r="Z911" s="30"/>
      <c r="AA911" s="30"/>
      <c r="AB911" s="30"/>
    </row>
    <row r="912">
      <c r="A912" s="30"/>
      <c r="B912" s="30"/>
      <c r="C912" s="30"/>
      <c r="D912" s="30"/>
      <c r="E912" s="30"/>
      <c r="F912" s="292"/>
      <c r="G912" s="30"/>
      <c r="H912" s="30"/>
      <c r="I912" s="30"/>
      <c r="J912" s="30"/>
      <c r="K912" s="30"/>
      <c r="L912" s="30"/>
      <c r="M912" s="30"/>
      <c r="N912" s="30"/>
      <c r="O912" s="30"/>
      <c r="P912" s="30"/>
      <c r="Q912" s="30"/>
      <c r="R912" s="30"/>
      <c r="S912" s="195"/>
      <c r="T912" s="195"/>
      <c r="U912" s="195"/>
      <c r="V912" s="195"/>
      <c r="W912" s="30"/>
      <c r="X912" s="30"/>
      <c r="Y912" s="30"/>
      <c r="Z912" s="30"/>
      <c r="AA912" s="30"/>
      <c r="AB912" s="30"/>
    </row>
    <row r="913">
      <c r="A913" s="30"/>
      <c r="B913" s="30"/>
      <c r="C913" s="30"/>
      <c r="D913" s="30"/>
      <c r="E913" s="30"/>
      <c r="F913" s="292"/>
      <c r="G913" s="30"/>
      <c r="H913" s="30"/>
      <c r="I913" s="30"/>
      <c r="J913" s="30"/>
      <c r="K913" s="30"/>
      <c r="L913" s="30"/>
      <c r="M913" s="30"/>
      <c r="N913" s="30"/>
      <c r="O913" s="30"/>
      <c r="P913" s="30"/>
      <c r="Q913" s="30"/>
      <c r="R913" s="30"/>
      <c r="S913" s="195"/>
      <c r="T913" s="195"/>
      <c r="U913" s="195"/>
      <c r="V913" s="195"/>
      <c r="W913" s="30"/>
      <c r="X913" s="30"/>
      <c r="Y913" s="30"/>
      <c r="Z913" s="30"/>
      <c r="AA913" s="30"/>
      <c r="AB913" s="30"/>
    </row>
    <row r="914">
      <c r="A914" s="30"/>
      <c r="B914" s="30"/>
      <c r="C914" s="30"/>
      <c r="D914" s="30"/>
      <c r="E914" s="30"/>
      <c r="F914" s="292"/>
      <c r="G914" s="30"/>
      <c r="H914" s="30"/>
      <c r="I914" s="30"/>
      <c r="J914" s="30"/>
      <c r="K914" s="30"/>
      <c r="L914" s="30"/>
      <c r="M914" s="30"/>
      <c r="N914" s="30"/>
      <c r="O914" s="30"/>
      <c r="P914" s="30"/>
      <c r="Q914" s="30"/>
      <c r="R914" s="30"/>
      <c r="S914" s="195"/>
      <c r="T914" s="195"/>
      <c r="U914" s="195"/>
      <c r="V914" s="195"/>
      <c r="W914" s="30"/>
      <c r="X914" s="30"/>
      <c r="Y914" s="30"/>
      <c r="Z914" s="30"/>
      <c r="AA914" s="30"/>
      <c r="AB914" s="30"/>
    </row>
    <row r="915">
      <c r="A915" s="30"/>
      <c r="B915" s="30"/>
      <c r="C915" s="30"/>
      <c r="D915" s="30"/>
      <c r="E915" s="30"/>
      <c r="F915" s="292"/>
      <c r="G915" s="30"/>
      <c r="H915" s="30"/>
      <c r="I915" s="30"/>
      <c r="J915" s="30"/>
      <c r="K915" s="30"/>
      <c r="L915" s="30"/>
      <c r="M915" s="30"/>
      <c r="N915" s="30"/>
      <c r="O915" s="30"/>
      <c r="P915" s="30"/>
      <c r="Q915" s="30"/>
      <c r="R915" s="30"/>
      <c r="S915" s="195"/>
      <c r="T915" s="195"/>
      <c r="U915" s="195"/>
      <c r="V915" s="195"/>
      <c r="W915" s="30"/>
      <c r="X915" s="30"/>
      <c r="Y915" s="30"/>
      <c r="Z915" s="30"/>
      <c r="AA915" s="30"/>
      <c r="AB915" s="30"/>
    </row>
    <row r="916">
      <c r="A916" s="30"/>
      <c r="B916" s="30"/>
      <c r="C916" s="30"/>
      <c r="D916" s="30"/>
      <c r="E916" s="30"/>
      <c r="F916" s="292"/>
      <c r="G916" s="30"/>
      <c r="H916" s="30"/>
      <c r="I916" s="30"/>
      <c r="J916" s="30"/>
      <c r="K916" s="30"/>
      <c r="L916" s="30"/>
      <c r="M916" s="30"/>
      <c r="N916" s="30"/>
      <c r="O916" s="30"/>
      <c r="P916" s="30"/>
      <c r="Q916" s="30"/>
      <c r="R916" s="30"/>
      <c r="S916" s="195"/>
      <c r="T916" s="195"/>
      <c r="U916" s="195"/>
      <c r="V916" s="195"/>
      <c r="W916" s="30"/>
      <c r="X916" s="30"/>
      <c r="Y916" s="30"/>
      <c r="Z916" s="30"/>
      <c r="AA916" s="30"/>
      <c r="AB916" s="30"/>
    </row>
    <row r="917">
      <c r="A917" s="30"/>
      <c r="B917" s="30"/>
      <c r="C917" s="30"/>
      <c r="D917" s="30"/>
      <c r="E917" s="30"/>
      <c r="F917" s="292"/>
      <c r="G917" s="30"/>
      <c r="H917" s="30"/>
      <c r="I917" s="30"/>
      <c r="J917" s="30"/>
      <c r="K917" s="30"/>
      <c r="L917" s="30"/>
      <c r="M917" s="30"/>
      <c r="N917" s="30"/>
      <c r="O917" s="30"/>
      <c r="P917" s="30"/>
      <c r="Q917" s="30"/>
      <c r="R917" s="30"/>
      <c r="S917" s="195"/>
      <c r="T917" s="195"/>
      <c r="U917" s="195"/>
      <c r="V917" s="195"/>
      <c r="W917" s="30"/>
      <c r="X917" s="30"/>
      <c r="Y917" s="30"/>
      <c r="Z917" s="30"/>
      <c r="AA917" s="30"/>
      <c r="AB917" s="30"/>
    </row>
    <row r="918">
      <c r="A918" s="30"/>
      <c r="B918" s="30"/>
      <c r="C918" s="30"/>
      <c r="D918" s="30"/>
      <c r="E918" s="30"/>
      <c r="F918" s="292"/>
      <c r="G918" s="30"/>
      <c r="H918" s="30"/>
      <c r="I918" s="30"/>
      <c r="J918" s="30"/>
      <c r="K918" s="30"/>
      <c r="L918" s="30"/>
      <c r="M918" s="30"/>
      <c r="N918" s="30"/>
      <c r="O918" s="30"/>
      <c r="P918" s="30"/>
      <c r="Q918" s="30"/>
      <c r="R918" s="30"/>
      <c r="S918" s="195"/>
      <c r="T918" s="195"/>
      <c r="U918" s="195"/>
      <c r="V918" s="195"/>
      <c r="W918" s="30"/>
      <c r="X918" s="30"/>
      <c r="Y918" s="30"/>
      <c r="Z918" s="30"/>
      <c r="AA918" s="30"/>
      <c r="AB918" s="30"/>
    </row>
    <row r="919">
      <c r="A919" s="30"/>
      <c r="B919" s="30"/>
      <c r="C919" s="30"/>
      <c r="D919" s="30"/>
      <c r="E919" s="30"/>
      <c r="F919" s="292"/>
      <c r="G919" s="30"/>
      <c r="H919" s="30"/>
      <c r="I919" s="30"/>
      <c r="J919" s="30"/>
      <c r="K919" s="30"/>
      <c r="L919" s="30"/>
      <c r="M919" s="30"/>
      <c r="N919" s="30"/>
      <c r="O919" s="30"/>
      <c r="P919" s="30"/>
      <c r="Q919" s="30"/>
      <c r="R919" s="30"/>
      <c r="S919" s="195"/>
      <c r="T919" s="195"/>
      <c r="U919" s="195"/>
      <c r="V919" s="195"/>
      <c r="W919" s="30"/>
      <c r="X919" s="30"/>
      <c r="Y919" s="30"/>
      <c r="Z919" s="30"/>
      <c r="AA919" s="30"/>
      <c r="AB919" s="30"/>
    </row>
    <row r="920">
      <c r="A920" s="30"/>
      <c r="B920" s="30"/>
      <c r="C920" s="30"/>
      <c r="D920" s="30"/>
      <c r="E920" s="30"/>
      <c r="F920" s="292"/>
      <c r="G920" s="30"/>
      <c r="H920" s="30"/>
      <c r="I920" s="30"/>
      <c r="J920" s="30"/>
      <c r="K920" s="30"/>
      <c r="L920" s="30"/>
      <c r="M920" s="30"/>
      <c r="N920" s="30"/>
      <c r="O920" s="30"/>
      <c r="P920" s="30"/>
      <c r="Q920" s="30"/>
      <c r="R920" s="30"/>
      <c r="S920" s="195"/>
      <c r="T920" s="195"/>
      <c r="U920" s="195"/>
      <c r="V920" s="195"/>
      <c r="W920" s="30"/>
      <c r="X920" s="30"/>
      <c r="Y920" s="30"/>
      <c r="Z920" s="30"/>
      <c r="AA920" s="30"/>
      <c r="AB920" s="30"/>
    </row>
    <row r="921">
      <c r="A921" s="30"/>
      <c r="B921" s="30"/>
      <c r="C921" s="30"/>
      <c r="D921" s="30"/>
      <c r="E921" s="30"/>
      <c r="F921" s="292"/>
      <c r="G921" s="30"/>
      <c r="H921" s="30"/>
      <c r="I921" s="30"/>
      <c r="J921" s="30"/>
      <c r="K921" s="30"/>
      <c r="L921" s="30"/>
      <c r="M921" s="30"/>
      <c r="N921" s="30"/>
      <c r="O921" s="30"/>
      <c r="P921" s="30"/>
      <c r="Q921" s="30"/>
      <c r="R921" s="30"/>
      <c r="S921" s="195"/>
      <c r="T921" s="195"/>
      <c r="U921" s="195"/>
      <c r="V921" s="195"/>
      <c r="W921" s="30"/>
      <c r="X921" s="30"/>
      <c r="Y921" s="30"/>
      <c r="Z921" s="30"/>
      <c r="AA921" s="30"/>
      <c r="AB921" s="30"/>
    </row>
    <row r="922">
      <c r="A922" s="30"/>
      <c r="B922" s="30"/>
      <c r="C922" s="30"/>
      <c r="D922" s="30"/>
      <c r="E922" s="30"/>
      <c r="F922" s="292"/>
      <c r="G922" s="30"/>
      <c r="H922" s="30"/>
      <c r="I922" s="30"/>
      <c r="J922" s="30"/>
      <c r="K922" s="30"/>
      <c r="L922" s="30"/>
      <c r="M922" s="30"/>
      <c r="N922" s="30"/>
      <c r="O922" s="30"/>
      <c r="P922" s="30"/>
      <c r="Q922" s="30"/>
      <c r="R922" s="30"/>
      <c r="S922" s="195"/>
      <c r="T922" s="195"/>
      <c r="U922" s="195"/>
      <c r="V922" s="195"/>
      <c r="W922" s="30"/>
      <c r="X922" s="30"/>
      <c r="Y922" s="30"/>
      <c r="Z922" s="30"/>
      <c r="AA922" s="30"/>
      <c r="AB922" s="30"/>
    </row>
    <row r="923">
      <c r="A923" s="30"/>
      <c r="B923" s="30"/>
      <c r="C923" s="30"/>
      <c r="D923" s="30"/>
      <c r="E923" s="30"/>
      <c r="F923" s="292"/>
      <c r="G923" s="30"/>
      <c r="H923" s="30"/>
      <c r="I923" s="30"/>
      <c r="J923" s="30"/>
      <c r="K923" s="30"/>
      <c r="L923" s="30"/>
      <c r="M923" s="30"/>
      <c r="N923" s="30"/>
      <c r="O923" s="30"/>
      <c r="P923" s="30"/>
      <c r="Q923" s="30"/>
      <c r="R923" s="30"/>
      <c r="S923" s="195"/>
      <c r="T923" s="195"/>
      <c r="U923" s="195"/>
      <c r="V923" s="195"/>
      <c r="W923" s="30"/>
      <c r="X923" s="30"/>
      <c r="Y923" s="30"/>
      <c r="Z923" s="30"/>
      <c r="AA923" s="30"/>
      <c r="AB923" s="30"/>
    </row>
    <row r="924">
      <c r="A924" s="30"/>
      <c r="B924" s="30"/>
      <c r="C924" s="30"/>
      <c r="D924" s="30"/>
      <c r="E924" s="30"/>
      <c r="F924" s="292"/>
      <c r="G924" s="30"/>
      <c r="H924" s="30"/>
      <c r="I924" s="30"/>
      <c r="J924" s="30"/>
      <c r="K924" s="30"/>
      <c r="L924" s="30"/>
      <c r="M924" s="30"/>
      <c r="N924" s="30"/>
      <c r="O924" s="30"/>
      <c r="P924" s="30"/>
      <c r="Q924" s="30"/>
      <c r="R924" s="30"/>
      <c r="S924" s="195"/>
      <c r="T924" s="195"/>
      <c r="U924" s="195"/>
      <c r="V924" s="195"/>
      <c r="W924" s="30"/>
      <c r="X924" s="30"/>
      <c r="Y924" s="30"/>
      <c r="Z924" s="30"/>
      <c r="AA924" s="30"/>
      <c r="AB924" s="30"/>
    </row>
    <row r="925">
      <c r="A925" s="30"/>
      <c r="B925" s="30"/>
      <c r="C925" s="30"/>
      <c r="D925" s="30"/>
      <c r="E925" s="30"/>
      <c r="F925" s="292"/>
      <c r="G925" s="30"/>
      <c r="H925" s="30"/>
      <c r="I925" s="30"/>
      <c r="J925" s="30"/>
      <c r="K925" s="30"/>
      <c r="L925" s="30"/>
      <c r="M925" s="30"/>
      <c r="N925" s="30"/>
      <c r="O925" s="30"/>
      <c r="P925" s="30"/>
      <c r="Q925" s="30"/>
      <c r="R925" s="30"/>
      <c r="S925" s="195"/>
      <c r="T925" s="195"/>
      <c r="U925" s="195"/>
      <c r="V925" s="195"/>
      <c r="W925" s="30"/>
      <c r="X925" s="30"/>
      <c r="Y925" s="30"/>
      <c r="Z925" s="30"/>
      <c r="AA925" s="30"/>
      <c r="AB925" s="30"/>
    </row>
    <row r="926">
      <c r="A926" s="30"/>
      <c r="B926" s="30"/>
      <c r="C926" s="30"/>
      <c r="D926" s="30"/>
      <c r="E926" s="30"/>
      <c r="F926" s="292"/>
      <c r="G926" s="30"/>
      <c r="H926" s="30"/>
      <c r="I926" s="30"/>
      <c r="J926" s="30"/>
      <c r="K926" s="30"/>
      <c r="L926" s="30"/>
      <c r="M926" s="30"/>
      <c r="N926" s="30"/>
      <c r="O926" s="30"/>
      <c r="P926" s="30"/>
      <c r="Q926" s="30"/>
      <c r="R926" s="30"/>
      <c r="S926" s="195"/>
      <c r="T926" s="195"/>
      <c r="U926" s="195"/>
      <c r="V926" s="195"/>
      <c r="W926" s="30"/>
      <c r="X926" s="30"/>
      <c r="Y926" s="30"/>
      <c r="Z926" s="30"/>
      <c r="AA926" s="30"/>
      <c r="AB926" s="30"/>
    </row>
    <row r="927">
      <c r="A927" s="30"/>
      <c r="B927" s="30"/>
      <c r="C927" s="30"/>
      <c r="D927" s="30"/>
      <c r="E927" s="30"/>
      <c r="F927" s="292"/>
      <c r="G927" s="30"/>
      <c r="H927" s="30"/>
      <c r="I927" s="30"/>
      <c r="J927" s="30"/>
      <c r="K927" s="30"/>
      <c r="L927" s="30"/>
      <c r="M927" s="30"/>
      <c r="N927" s="30"/>
      <c r="O927" s="30"/>
      <c r="P927" s="30"/>
      <c r="Q927" s="30"/>
      <c r="R927" s="30"/>
      <c r="S927" s="195"/>
      <c r="T927" s="195"/>
      <c r="U927" s="195"/>
      <c r="V927" s="195"/>
      <c r="W927" s="30"/>
      <c r="X927" s="30"/>
      <c r="Y927" s="30"/>
      <c r="Z927" s="30"/>
      <c r="AA927" s="30"/>
      <c r="AB927" s="30"/>
    </row>
    <row r="928">
      <c r="A928" s="30"/>
      <c r="B928" s="30"/>
      <c r="C928" s="30"/>
      <c r="D928" s="30"/>
      <c r="E928" s="30"/>
      <c r="F928" s="292"/>
      <c r="G928" s="30"/>
      <c r="H928" s="30"/>
      <c r="I928" s="30"/>
      <c r="J928" s="30"/>
      <c r="K928" s="30"/>
      <c r="L928" s="30"/>
      <c r="M928" s="30"/>
      <c r="N928" s="30"/>
      <c r="O928" s="30"/>
      <c r="P928" s="30"/>
      <c r="Q928" s="30"/>
      <c r="R928" s="30"/>
      <c r="S928" s="195"/>
      <c r="T928" s="195"/>
      <c r="U928" s="195"/>
      <c r="V928" s="195"/>
      <c r="W928" s="30"/>
      <c r="X928" s="30"/>
      <c r="Y928" s="30"/>
      <c r="Z928" s="30"/>
      <c r="AA928" s="30"/>
      <c r="AB928" s="30"/>
    </row>
    <row r="929">
      <c r="A929" s="30"/>
      <c r="B929" s="30"/>
      <c r="C929" s="30"/>
      <c r="D929" s="30"/>
      <c r="E929" s="30"/>
      <c r="F929" s="292"/>
      <c r="G929" s="30"/>
      <c r="H929" s="30"/>
      <c r="I929" s="30"/>
      <c r="J929" s="30"/>
      <c r="K929" s="30"/>
      <c r="L929" s="30"/>
      <c r="M929" s="30"/>
      <c r="N929" s="30"/>
      <c r="O929" s="30"/>
      <c r="P929" s="30"/>
      <c r="Q929" s="30"/>
      <c r="R929" s="30"/>
      <c r="S929" s="195"/>
      <c r="T929" s="195"/>
      <c r="U929" s="195"/>
      <c r="V929" s="195"/>
      <c r="W929" s="30"/>
      <c r="X929" s="30"/>
      <c r="Y929" s="30"/>
      <c r="Z929" s="30"/>
      <c r="AA929" s="30"/>
      <c r="AB929" s="30"/>
    </row>
    <row r="930">
      <c r="A930" s="30"/>
      <c r="B930" s="30"/>
      <c r="C930" s="30"/>
      <c r="D930" s="30"/>
      <c r="E930" s="30"/>
      <c r="F930" s="292"/>
      <c r="G930" s="30"/>
      <c r="H930" s="30"/>
      <c r="I930" s="30"/>
      <c r="J930" s="30"/>
      <c r="K930" s="30"/>
      <c r="L930" s="30"/>
      <c r="M930" s="30"/>
      <c r="N930" s="30"/>
      <c r="O930" s="30"/>
      <c r="P930" s="30"/>
      <c r="Q930" s="30"/>
      <c r="R930" s="30"/>
      <c r="S930" s="195"/>
      <c r="T930" s="195"/>
      <c r="U930" s="195"/>
      <c r="V930" s="195"/>
      <c r="W930" s="30"/>
      <c r="X930" s="30"/>
      <c r="Y930" s="30"/>
      <c r="Z930" s="30"/>
      <c r="AA930" s="30"/>
      <c r="AB930" s="30"/>
    </row>
    <row r="931">
      <c r="A931" s="30"/>
      <c r="B931" s="30"/>
      <c r="C931" s="30"/>
      <c r="D931" s="30"/>
      <c r="E931" s="30"/>
      <c r="F931" s="292"/>
      <c r="G931" s="30"/>
      <c r="H931" s="30"/>
      <c r="I931" s="30"/>
      <c r="J931" s="30"/>
      <c r="K931" s="30"/>
      <c r="L931" s="30"/>
      <c r="M931" s="30"/>
      <c r="N931" s="30"/>
      <c r="O931" s="30"/>
      <c r="P931" s="30"/>
      <c r="Q931" s="30"/>
      <c r="R931" s="30"/>
      <c r="S931" s="195"/>
      <c r="T931" s="195"/>
      <c r="U931" s="195"/>
      <c r="V931" s="195"/>
      <c r="W931" s="30"/>
      <c r="X931" s="30"/>
      <c r="Y931" s="30"/>
      <c r="Z931" s="30"/>
      <c r="AA931" s="30"/>
      <c r="AB931" s="30"/>
    </row>
    <row r="932">
      <c r="A932" s="30"/>
      <c r="B932" s="30"/>
      <c r="C932" s="30"/>
      <c r="D932" s="30"/>
      <c r="E932" s="30"/>
      <c r="F932" s="292"/>
      <c r="G932" s="30"/>
      <c r="H932" s="30"/>
      <c r="I932" s="30"/>
      <c r="J932" s="30"/>
      <c r="K932" s="30"/>
      <c r="L932" s="30"/>
      <c r="M932" s="30"/>
      <c r="N932" s="30"/>
      <c r="O932" s="30"/>
      <c r="P932" s="30"/>
      <c r="Q932" s="30"/>
      <c r="R932" s="30"/>
      <c r="S932" s="195"/>
      <c r="T932" s="195"/>
      <c r="U932" s="195"/>
      <c r="V932" s="195"/>
      <c r="W932" s="30"/>
      <c r="X932" s="30"/>
      <c r="Y932" s="30"/>
      <c r="Z932" s="30"/>
      <c r="AA932" s="30"/>
      <c r="AB932" s="30"/>
    </row>
    <row r="933">
      <c r="A933" s="30"/>
      <c r="B933" s="30"/>
      <c r="C933" s="30"/>
      <c r="D933" s="30"/>
      <c r="E933" s="30"/>
      <c r="F933" s="292"/>
      <c r="G933" s="30"/>
      <c r="H933" s="30"/>
      <c r="I933" s="30"/>
      <c r="J933" s="30"/>
      <c r="K933" s="30"/>
      <c r="L933" s="30"/>
      <c r="M933" s="30"/>
      <c r="N933" s="30"/>
      <c r="O933" s="30"/>
      <c r="P933" s="30"/>
      <c r="Q933" s="30"/>
      <c r="R933" s="30"/>
      <c r="S933" s="195"/>
      <c r="T933" s="195"/>
      <c r="U933" s="195"/>
      <c r="V933" s="195"/>
      <c r="W933" s="30"/>
      <c r="X933" s="30"/>
      <c r="Y933" s="30"/>
      <c r="Z933" s="30"/>
      <c r="AA933" s="30"/>
      <c r="AB933" s="30"/>
    </row>
    <row r="934">
      <c r="A934" s="30"/>
      <c r="B934" s="30"/>
      <c r="C934" s="30"/>
      <c r="D934" s="30"/>
      <c r="E934" s="30"/>
      <c r="F934" s="292"/>
      <c r="G934" s="30"/>
      <c r="H934" s="30"/>
      <c r="I934" s="30"/>
      <c r="J934" s="30"/>
      <c r="K934" s="30"/>
      <c r="L934" s="30"/>
      <c r="M934" s="30"/>
      <c r="N934" s="30"/>
      <c r="O934" s="30"/>
      <c r="P934" s="30"/>
      <c r="Q934" s="30"/>
      <c r="R934" s="30"/>
      <c r="S934" s="195"/>
      <c r="T934" s="195"/>
      <c r="U934" s="195"/>
      <c r="V934" s="195"/>
      <c r="W934" s="30"/>
      <c r="X934" s="30"/>
      <c r="Y934" s="30"/>
      <c r="Z934" s="30"/>
      <c r="AA934" s="30"/>
      <c r="AB934" s="30"/>
    </row>
    <row r="935">
      <c r="A935" s="30"/>
      <c r="B935" s="30"/>
      <c r="C935" s="30"/>
      <c r="D935" s="30"/>
      <c r="E935" s="30"/>
      <c r="F935" s="292"/>
      <c r="G935" s="30"/>
      <c r="H935" s="30"/>
      <c r="I935" s="30"/>
      <c r="J935" s="30"/>
      <c r="K935" s="30"/>
      <c r="L935" s="30"/>
      <c r="M935" s="30"/>
      <c r="N935" s="30"/>
      <c r="O935" s="30"/>
      <c r="P935" s="30"/>
      <c r="Q935" s="30"/>
      <c r="R935" s="30"/>
      <c r="S935" s="195"/>
      <c r="T935" s="195"/>
      <c r="U935" s="195"/>
      <c r="V935" s="195"/>
      <c r="W935" s="30"/>
      <c r="X935" s="30"/>
      <c r="Y935" s="30"/>
      <c r="Z935" s="30"/>
      <c r="AA935" s="30"/>
      <c r="AB935" s="30"/>
    </row>
    <row r="936">
      <c r="A936" s="30"/>
      <c r="B936" s="30"/>
      <c r="C936" s="30"/>
      <c r="D936" s="30"/>
      <c r="E936" s="30"/>
      <c r="F936" s="292"/>
      <c r="G936" s="30"/>
      <c r="H936" s="30"/>
      <c r="I936" s="30"/>
      <c r="J936" s="30"/>
      <c r="K936" s="30"/>
      <c r="L936" s="30"/>
      <c r="M936" s="30"/>
      <c r="N936" s="30"/>
      <c r="O936" s="30"/>
      <c r="P936" s="30"/>
      <c r="Q936" s="30"/>
      <c r="R936" s="30"/>
      <c r="S936" s="195"/>
      <c r="T936" s="195"/>
      <c r="U936" s="195"/>
      <c r="V936" s="195"/>
      <c r="W936" s="30"/>
      <c r="X936" s="30"/>
      <c r="Y936" s="30"/>
      <c r="Z936" s="30"/>
      <c r="AA936" s="30"/>
      <c r="AB936" s="30"/>
    </row>
    <row r="937">
      <c r="A937" s="30"/>
      <c r="B937" s="30"/>
      <c r="C937" s="30"/>
      <c r="D937" s="30"/>
      <c r="E937" s="30"/>
      <c r="F937" s="292"/>
      <c r="G937" s="30"/>
      <c r="H937" s="30"/>
      <c r="I937" s="30"/>
      <c r="J937" s="30"/>
      <c r="K937" s="30"/>
      <c r="L937" s="30"/>
      <c r="M937" s="30"/>
      <c r="N937" s="30"/>
      <c r="O937" s="30"/>
      <c r="P937" s="30"/>
      <c r="Q937" s="30"/>
      <c r="R937" s="30"/>
      <c r="S937" s="195"/>
      <c r="T937" s="195"/>
      <c r="U937" s="195"/>
      <c r="V937" s="195"/>
      <c r="W937" s="30"/>
      <c r="X937" s="30"/>
      <c r="Y937" s="30"/>
      <c r="Z937" s="30"/>
      <c r="AA937" s="30"/>
      <c r="AB937" s="30"/>
    </row>
    <row r="938">
      <c r="A938" s="30"/>
      <c r="B938" s="30"/>
      <c r="C938" s="30"/>
      <c r="D938" s="30"/>
      <c r="E938" s="30"/>
      <c r="F938" s="292"/>
      <c r="G938" s="30"/>
      <c r="H938" s="30"/>
      <c r="I938" s="30"/>
      <c r="J938" s="30"/>
      <c r="K938" s="30"/>
      <c r="L938" s="30"/>
      <c r="M938" s="30"/>
      <c r="N938" s="30"/>
      <c r="O938" s="30"/>
      <c r="P938" s="30"/>
      <c r="Q938" s="30"/>
      <c r="R938" s="30"/>
      <c r="S938" s="195"/>
      <c r="T938" s="195"/>
      <c r="U938" s="195"/>
      <c r="V938" s="195"/>
      <c r="W938" s="30"/>
      <c r="X938" s="30"/>
      <c r="Y938" s="30"/>
      <c r="Z938" s="30"/>
      <c r="AA938" s="30"/>
      <c r="AB938" s="30"/>
    </row>
    <row r="939">
      <c r="A939" s="30"/>
      <c r="B939" s="30"/>
      <c r="C939" s="30"/>
      <c r="D939" s="30"/>
      <c r="E939" s="30"/>
      <c r="F939" s="292"/>
      <c r="G939" s="30"/>
      <c r="H939" s="30"/>
      <c r="I939" s="30"/>
      <c r="J939" s="30"/>
      <c r="K939" s="30"/>
      <c r="L939" s="30"/>
      <c r="M939" s="30"/>
      <c r="N939" s="30"/>
      <c r="O939" s="30"/>
      <c r="P939" s="30"/>
      <c r="Q939" s="30"/>
      <c r="R939" s="30"/>
      <c r="S939" s="195"/>
      <c r="T939" s="195"/>
      <c r="U939" s="195"/>
      <c r="V939" s="195"/>
      <c r="W939" s="30"/>
      <c r="X939" s="30"/>
      <c r="Y939" s="30"/>
      <c r="Z939" s="30"/>
      <c r="AA939" s="30"/>
      <c r="AB939" s="30"/>
    </row>
    <row r="940">
      <c r="A940" s="30"/>
      <c r="B940" s="30"/>
      <c r="C940" s="30"/>
      <c r="D940" s="30"/>
      <c r="E940" s="30"/>
      <c r="F940" s="292"/>
      <c r="G940" s="30"/>
      <c r="H940" s="30"/>
      <c r="I940" s="30"/>
      <c r="J940" s="30"/>
      <c r="K940" s="30"/>
      <c r="L940" s="30"/>
      <c r="M940" s="30"/>
      <c r="N940" s="30"/>
      <c r="O940" s="30"/>
      <c r="P940" s="30"/>
      <c r="Q940" s="30"/>
      <c r="R940" s="30"/>
      <c r="S940" s="195"/>
      <c r="T940" s="195"/>
      <c r="U940" s="195"/>
      <c r="V940" s="195"/>
      <c r="W940" s="30"/>
      <c r="X940" s="30"/>
      <c r="Y940" s="30"/>
      <c r="Z940" s="30"/>
      <c r="AA940" s="30"/>
      <c r="AB940" s="30"/>
    </row>
    <row r="941">
      <c r="A941" s="30"/>
      <c r="B941" s="30"/>
      <c r="C941" s="30"/>
      <c r="D941" s="30"/>
      <c r="E941" s="30"/>
      <c r="F941" s="292"/>
      <c r="G941" s="30"/>
      <c r="H941" s="30"/>
      <c r="I941" s="30"/>
      <c r="J941" s="30"/>
      <c r="K941" s="30"/>
      <c r="L941" s="30"/>
      <c r="M941" s="30"/>
      <c r="N941" s="30"/>
      <c r="O941" s="30"/>
      <c r="P941" s="30"/>
      <c r="Q941" s="30"/>
      <c r="R941" s="30"/>
      <c r="S941" s="195"/>
      <c r="T941" s="195"/>
      <c r="U941" s="195"/>
      <c r="V941" s="195"/>
      <c r="W941" s="30"/>
      <c r="X941" s="30"/>
      <c r="Y941" s="30"/>
      <c r="Z941" s="30"/>
      <c r="AA941" s="30"/>
      <c r="AB941" s="30"/>
    </row>
    <row r="942">
      <c r="A942" s="30"/>
      <c r="B942" s="30"/>
      <c r="C942" s="30"/>
      <c r="D942" s="30"/>
      <c r="E942" s="30"/>
      <c r="F942" s="292"/>
      <c r="G942" s="30"/>
      <c r="H942" s="30"/>
      <c r="I942" s="30"/>
      <c r="J942" s="30"/>
      <c r="K942" s="30"/>
      <c r="L942" s="30"/>
      <c r="M942" s="30"/>
      <c r="N942" s="30"/>
      <c r="O942" s="30"/>
      <c r="P942" s="30"/>
      <c r="Q942" s="30"/>
      <c r="R942" s="30"/>
      <c r="S942" s="195"/>
      <c r="T942" s="195"/>
      <c r="U942" s="195"/>
      <c r="V942" s="195"/>
      <c r="W942" s="30"/>
      <c r="X942" s="30"/>
      <c r="Y942" s="30"/>
      <c r="Z942" s="30"/>
      <c r="AA942" s="30"/>
      <c r="AB942" s="30"/>
    </row>
    <row r="943">
      <c r="A943" s="30"/>
      <c r="B943" s="30"/>
      <c r="C943" s="30"/>
      <c r="D943" s="30"/>
      <c r="E943" s="30"/>
      <c r="F943" s="292"/>
      <c r="G943" s="30"/>
      <c r="H943" s="30"/>
      <c r="I943" s="30"/>
      <c r="J943" s="30"/>
      <c r="K943" s="30"/>
      <c r="L943" s="30"/>
      <c r="M943" s="30"/>
      <c r="N943" s="30"/>
      <c r="O943" s="30"/>
      <c r="P943" s="30"/>
      <c r="Q943" s="30"/>
      <c r="R943" s="30"/>
      <c r="S943" s="195"/>
      <c r="T943" s="195"/>
      <c r="U943" s="195"/>
      <c r="V943" s="195"/>
      <c r="W943" s="30"/>
      <c r="X943" s="30"/>
      <c r="Y943" s="30"/>
      <c r="Z943" s="30"/>
      <c r="AA943" s="30"/>
      <c r="AB943" s="30"/>
    </row>
    <row r="944">
      <c r="A944" s="30"/>
      <c r="B944" s="30"/>
      <c r="C944" s="30"/>
      <c r="D944" s="30"/>
      <c r="E944" s="30"/>
      <c r="F944" s="292"/>
      <c r="G944" s="30"/>
      <c r="H944" s="30"/>
      <c r="I944" s="30"/>
      <c r="J944" s="30"/>
      <c r="K944" s="30"/>
      <c r="L944" s="30"/>
      <c r="M944" s="30"/>
      <c r="N944" s="30"/>
      <c r="O944" s="30"/>
      <c r="P944" s="30"/>
      <c r="Q944" s="30"/>
      <c r="R944" s="30"/>
      <c r="S944" s="195"/>
      <c r="T944" s="195"/>
      <c r="U944" s="195"/>
      <c r="V944" s="195"/>
      <c r="W944" s="30"/>
      <c r="X944" s="30"/>
      <c r="Y944" s="30"/>
      <c r="Z944" s="30"/>
      <c r="AA944" s="30"/>
      <c r="AB944" s="30"/>
    </row>
    <row r="945">
      <c r="A945" s="30"/>
      <c r="B945" s="30"/>
      <c r="C945" s="30"/>
      <c r="D945" s="30"/>
      <c r="E945" s="30"/>
      <c r="F945" s="292"/>
      <c r="G945" s="30"/>
      <c r="H945" s="30"/>
      <c r="I945" s="30"/>
      <c r="J945" s="30"/>
      <c r="K945" s="30"/>
      <c r="L945" s="30"/>
      <c r="M945" s="30"/>
      <c r="N945" s="30"/>
      <c r="O945" s="30"/>
      <c r="P945" s="30"/>
      <c r="Q945" s="30"/>
      <c r="R945" s="30"/>
      <c r="S945" s="195"/>
      <c r="T945" s="195"/>
      <c r="U945" s="195"/>
      <c r="V945" s="195"/>
      <c r="W945" s="30"/>
      <c r="X945" s="30"/>
      <c r="Y945" s="30"/>
      <c r="Z945" s="30"/>
      <c r="AA945" s="30"/>
      <c r="AB945" s="30"/>
    </row>
    <row r="946">
      <c r="A946" s="30"/>
      <c r="B946" s="30"/>
      <c r="C946" s="30"/>
      <c r="D946" s="30"/>
      <c r="E946" s="30"/>
      <c r="F946" s="292"/>
      <c r="G946" s="30"/>
      <c r="H946" s="30"/>
      <c r="I946" s="30"/>
      <c r="J946" s="30"/>
      <c r="K946" s="30"/>
      <c r="L946" s="30"/>
      <c r="M946" s="30"/>
      <c r="N946" s="30"/>
      <c r="O946" s="30"/>
      <c r="P946" s="30"/>
      <c r="Q946" s="30"/>
      <c r="R946" s="30"/>
      <c r="S946" s="195"/>
      <c r="T946" s="195"/>
      <c r="U946" s="195"/>
      <c r="V946" s="195"/>
      <c r="W946" s="30"/>
      <c r="X946" s="30"/>
      <c r="Y946" s="30"/>
      <c r="Z946" s="30"/>
      <c r="AA946" s="30"/>
      <c r="AB946" s="30"/>
    </row>
    <row r="947">
      <c r="A947" s="30"/>
      <c r="B947" s="30"/>
      <c r="C947" s="30"/>
      <c r="D947" s="30"/>
      <c r="E947" s="30"/>
      <c r="F947" s="292"/>
      <c r="G947" s="30"/>
      <c r="H947" s="30"/>
      <c r="I947" s="30"/>
      <c r="J947" s="30"/>
      <c r="K947" s="30"/>
      <c r="L947" s="30"/>
      <c r="M947" s="30"/>
      <c r="N947" s="30"/>
      <c r="O947" s="30"/>
      <c r="P947" s="30"/>
      <c r="Q947" s="30"/>
      <c r="R947" s="30"/>
      <c r="S947" s="195"/>
      <c r="T947" s="195"/>
      <c r="U947" s="195"/>
      <c r="V947" s="195"/>
      <c r="W947" s="30"/>
      <c r="X947" s="30"/>
      <c r="Y947" s="30"/>
      <c r="Z947" s="30"/>
      <c r="AA947" s="30"/>
      <c r="AB947" s="30"/>
    </row>
    <row r="948">
      <c r="A948" s="30"/>
      <c r="B948" s="30"/>
      <c r="C948" s="30"/>
      <c r="D948" s="30"/>
      <c r="E948" s="30"/>
      <c r="F948" s="292"/>
      <c r="G948" s="30"/>
      <c r="H948" s="30"/>
      <c r="I948" s="30"/>
      <c r="J948" s="30"/>
      <c r="K948" s="30"/>
      <c r="L948" s="30"/>
      <c r="M948" s="30"/>
      <c r="N948" s="30"/>
      <c r="O948" s="30"/>
      <c r="P948" s="30"/>
      <c r="Q948" s="30"/>
      <c r="R948" s="30"/>
      <c r="S948" s="195"/>
      <c r="T948" s="195"/>
      <c r="U948" s="195"/>
      <c r="V948" s="195"/>
      <c r="W948" s="30"/>
      <c r="X948" s="30"/>
      <c r="Y948" s="30"/>
      <c r="Z948" s="30"/>
      <c r="AA948" s="30"/>
      <c r="AB948" s="30"/>
    </row>
    <row r="949">
      <c r="A949" s="30"/>
      <c r="B949" s="30"/>
      <c r="C949" s="30"/>
      <c r="D949" s="30"/>
      <c r="E949" s="30"/>
      <c r="F949" s="292"/>
      <c r="G949" s="30"/>
      <c r="H949" s="30"/>
      <c r="I949" s="30"/>
      <c r="J949" s="30"/>
      <c r="K949" s="30"/>
      <c r="L949" s="30"/>
      <c r="M949" s="30"/>
      <c r="N949" s="30"/>
      <c r="O949" s="30"/>
      <c r="P949" s="30"/>
      <c r="Q949" s="30"/>
      <c r="R949" s="30"/>
      <c r="S949" s="195"/>
      <c r="T949" s="195"/>
      <c r="U949" s="195"/>
      <c r="V949" s="195"/>
      <c r="W949" s="30"/>
      <c r="X949" s="30"/>
      <c r="Y949" s="30"/>
      <c r="Z949" s="30"/>
      <c r="AA949" s="30"/>
      <c r="AB949" s="30"/>
    </row>
    <row r="950">
      <c r="A950" s="30"/>
      <c r="B950" s="30"/>
      <c r="C950" s="30"/>
      <c r="D950" s="30"/>
      <c r="E950" s="30"/>
      <c r="F950" s="292"/>
      <c r="G950" s="30"/>
      <c r="H950" s="30"/>
      <c r="I950" s="30"/>
      <c r="J950" s="30"/>
      <c r="K950" s="30"/>
      <c r="L950" s="30"/>
      <c r="M950" s="30"/>
      <c r="N950" s="30"/>
      <c r="O950" s="30"/>
      <c r="P950" s="30"/>
      <c r="Q950" s="30"/>
      <c r="R950" s="30"/>
      <c r="S950" s="195"/>
      <c r="T950" s="195"/>
      <c r="U950" s="195"/>
      <c r="V950" s="195"/>
      <c r="W950" s="30"/>
      <c r="X950" s="30"/>
      <c r="Y950" s="30"/>
      <c r="Z950" s="30"/>
      <c r="AA950" s="30"/>
      <c r="AB950" s="30"/>
    </row>
    <row r="951">
      <c r="A951" s="30"/>
      <c r="B951" s="30"/>
      <c r="C951" s="30"/>
      <c r="D951" s="30"/>
      <c r="E951" s="30"/>
      <c r="F951" s="292"/>
      <c r="G951" s="30"/>
      <c r="H951" s="30"/>
      <c r="I951" s="30"/>
      <c r="J951" s="30"/>
      <c r="K951" s="30"/>
      <c r="L951" s="30"/>
      <c r="M951" s="30"/>
      <c r="N951" s="30"/>
      <c r="O951" s="30"/>
      <c r="P951" s="30"/>
      <c r="Q951" s="30"/>
      <c r="R951" s="30"/>
      <c r="S951" s="195"/>
      <c r="T951" s="195"/>
      <c r="U951" s="195"/>
      <c r="V951" s="195"/>
      <c r="W951" s="30"/>
      <c r="X951" s="30"/>
      <c r="Y951" s="30"/>
      <c r="Z951" s="30"/>
      <c r="AA951" s="30"/>
      <c r="AB951" s="30"/>
    </row>
    <row r="952">
      <c r="A952" s="30"/>
      <c r="B952" s="30"/>
      <c r="C952" s="30"/>
      <c r="D952" s="30"/>
      <c r="E952" s="30"/>
      <c r="F952" s="292"/>
      <c r="G952" s="30"/>
      <c r="H952" s="30"/>
      <c r="I952" s="30"/>
      <c r="J952" s="30"/>
      <c r="K952" s="30"/>
      <c r="L952" s="30"/>
      <c r="M952" s="30"/>
      <c r="N952" s="30"/>
      <c r="O952" s="30"/>
      <c r="P952" s="30"/>
      <c r="Q952" s="30"/>
      <c r="R952" s="30"/>
      <c r="S952" s="195"/>
      <c r="T952" s="195"/>
      <c r="U952" s="195"/>
      <c r="V952" s="195"/>
      <c r="W952" s="30"/>
      <c r="X952" s="30"/>
      <c r="Y952" s="30"/>
      <c r="Z952" s="30"/>
      <c r="AA952" s="30"/>
      <c r="AB952" s="30"/>
    </row>
    <row r="953">
      <c r="A953" s="30"/>
      <c r="B953" s="30"/>
      <c r="C953" s="30"/>
      <c r="D953" s="30"/>
      <c r="E953" s="30"/>
      <c r="F953" s="292"/>
      <c r="G953" s="30"/>
      <c r="H953" s="30"/>
      <c r="I953" s="30"/>
      <c r="J953" s="30"/>
      <c r="K953" s="30"/>
      <c r="L953" s="30"/>
      <c r="M953" s="30"/>
      <c r="N953" s="30"/>
      <c r="O953" s="30"/>
      <c r="P953" s="30"/>
      <c r="Q953" s="30"/>
      <c r="R953" s="30"/>
      <c r="S953" s="195"/>
      <c r="T953" s="195"/>
      <c r="U953" s="195"/>
      <c r="V953" s="195"/>
      <c r="W953" s="30"/>
      <c r="X953" s="30"/>
      <c r="Y953" s="30"/>
      <c r="Z953" s="30"/>
      <c r="AA953" s="30"/>
      <c r="AB953" s="30"/>
    </row>
    <row r="954">
      <c r="A954" s="30"/>
      <c r="B954" s="30"/>
      <c r="C954" s="30"/>
      <c r="D954" s="30"/>
      <c r="E954" s="30"/>
      <c r="F954" s="292"/>
      <c r="G954" s="30"/>
      <c r="H954" s="30"/>
      <c r="I954" s="30"/>
      <c r="J954" s="30"/>
      <c r="K954" s="30"/>
      <c r="L954" s="30"/>
      <c r="M954" s="30"/>
      <c r="N954" s="30"/>
      <c r="O954" s="30"/>
      <c r="P954" s="30"/>
      <c r="Q954" s="30"/>
      <c r="R954" s="30"/>
      <c r="S954" s="195"/>
      <c r="T954" s="195"/>
      <c r="U954" s="195"/>
      <c r="V954" s="195"/>
      <c r="W954" s="30"/>
      <c r="X954" s="30"/>
      <c r="Y954" s="30"/>
      <c r="Z954" s="30"/>
      <c r="AA954" s="30"/>
      <c r="AB954" s="30"/>
    </row>
    <row r="955">
      <c r="A955" s="30"/>
      <c r="B955" s="30"/>
      <c r="C955" s="30"/>
      <c r="D955" s="30"/>
      <c r="E955" s="30"/>
      <c r="F955" s="292"/>
      <c r="G955" s="30"/>
      <c r="H955" s="30"/>
      <c r="I955" s="30"/>
      <c r="J955" s="30"/>
      <c r="K955" s="30"/>
      <c r="L955" s="30"/>
      <c r="M955" s="30"/>
      <c r="N955" s="30"/>
      <c r="O955" s="30"/>
      <c r="P955" s="30"/>
      <c r="Q955" s="30"/>
      <c r="R955" s="30"/>
      <c r="S955" s="195"/>
      <c r="T955" s="195"/>
      <c r="U955" s="195"/>
      <c r="V955" s="195"/>
      <c r="W955" s="30"/>
      <c r="X955" s="30"/>
      <c r="Y955" s="30"/>
      <c r="Z955" s="30"/>
      <c r="AA955" s="30"/>
      <c r="AB955" s="30"/>
    </row>
    <row r="956">
      <c r="A956" s="30"/>
      <c r="B956" s="30"/>
      <c r="C956" s="30"/>
      <c r="D956" s="30"/>
      <c r="E956" s="30"/>
      <c r="F956" s="292"/>
      <c r="G956" s="30"/>
      <c r="H956" s="30"/>
      <c r="I956" s="30"/>
      <c r="J956" s="30"/>
      <c r="K956" s="30"/>
      <c r="L956" s="30"/>
      <c r="M956" s="30"/>
      <c r="N956" s="30"/>
      <c r="O956" s="30"/>
      <c r="P956" s="30"/>
      <c r="Q956" s="30"/>
      <c r="R956" s="30"/>
      <c r="S956" s="195"/>
      <c r="T956" s="195"/>
      <c r="U956" s="195"/>
      <c r="V956" s="195"/>
      <c r="W956" s="30"/>
      <c r="X956" s="30"/>
      <c r="Y956" s="30"/>
      <c r="Z956" s="30"/>
      <c r="AA956" s="30"/>
      <c r="AB956" s="30"/>
    </row>
    <row r="957">
      <c r="A957" s="30"/>
      <c r="B957" s="30"/>
      <c r="C957" s="30"/>
      <c r="D957" s="30"/>
      <c r="E957" s="30"/>
      <c r="F957" s="292"/>
      <c r="G957" s="30"/>
      <c r="H957" s="30"/>
      <c r="I957" s="30"/>
      <c r="J957" s="30"/>
      <c r="K957" s="30"/>
      <c r="L957" s="30"/>
      <c r="M957" s="30"/>
      <c r="N957" s="30"/>
      <c r="O957" s="30"/>
      <c r="P957" s="30"/>
      <c r="Q957" s="30"/>
      <c r="R957" s="30"/>
      <c r="S957" s="195"/>
      <c r="T957" s="195"/>
      <c r="U957" s="195"/>
      <c r="V957" s="195"/>
      <c r="W957" s="30"/>
      <c r="X957" s="30"/>
      <c r="Y957" s="30"/>
      <c r="Z957" s="30"/>
      <c r="AA957" s="30"/>
      <c r="AB957" s="30"/>
    </row>
    <row r="958">
      <c r="A958" s="30"/>
      <c r="B958" s="30"/>
      <c r="C958" s="30"/>
      <c r="D958" s="30"/>
      <c r="E958" s="30"/>
      <c r="F958" s="292"/>
      <c r="G958" s="30"/>
      <c r="H958" s="30"/>
      <c r="I958" s="30"/>
      <c r="J958" s="30"/>
      <c r="K958" s="30"/>
      <c r="L958" s="30"/>
      <c r="M958" s="30"/>
      <c r="N958" s="30"/>
      <c r="O958" s="30"/>
      <c r="P958" s="30"/>
      <c r="Q958" s="30"/>
      <c r="R958" s="30"/>
      <c r="S958" s="195"/>
      <c r="T958" s="195"/>
      <c r="U958" s="195"/>
      <c r="V958" s="195"/>
      <c r="W958" s="30"/>
      <c r="X958" s="30"/>
      <c r="Y958" s="30"/>
      <c r="Z958" s="30"/>
      <c r="AA958" s="30"/>
      <c r="AB958" s="30"/>
    </row>
    <row r="959">
      <c r="A959" s="30"/>
      <c r="B959" s="30"/>
      <c r="C959" s="30"/>
      <c r="D959" s="30"/>
      <c r="E959" s="30"/>
      <c r="F959" s="292"/>
      <c r="G959" s="30"/>
      <c r="H959" s="30"/>
      <c r="I959" s="30"/>
      <c r="J959" s="30"/>
      <c r="K959" s="30"/>
      <c r="L959" s="30"/>
      <c r="M959" s="30"/>
      <c r="N959" s="30"/>
      <c r="O959" s="30"/>
      <c r="P959" s="30"/>
      <c r="Q959" s="30"/>
      <c r="R959" s="30"/>
      <c r="S959" s="195"/>
      <c r="T959" s="195"/>
      <c r="U959" s="195"/>
      <c r="V959" s="195"/>
      <c r="W959" s="30"/>
      <c r="X959" s="30"/>
      <c r="Y959" s="30"/>
      <c r="Z959" s="30"/>
      <c r="AA959" s="30"/>
      <c r="AB959" s="30"/>
    </row>
    <row r="960">
      <c r="A960" s="30"/>
      <c r="B960" s="30"/>
      <c r="C960" s="30"/>
      <c r="D960" s="30"/>
      <c r="E960" s="30"/>
      <c r="F960" s="292"/>
      <c r="G960" s="30"/>
      <c r="H960" s="30"/>
      <c r="I960" s="30"/>
      <c r="J960" s="30"/>
      <c r="K960" s="30"/>
      <c r="L960" s="30"/>
      <c r="M960" s="30"/>
      <c r="N960" s="30"/>
      <c r="O960" s="30"/>
      <c r="P960" s="30"/>
      <c r="Q960" s="30"/>
      <c r="R960" s="30"/>
      <c r="S960" s="195"/>
      <c r="T960" s="195"/>
      <c r="U960" s="195"/>
      <c r="V960" s="195"/>
      <c r="W960" s="30"/>
      <c r="X960" s="30"/>
      <c r="Y960" s="30"/>
      <c r="Z960" s="30"/>
      <c r="AA960" s="30"/>
      <c r="AB960" s="30"/>
    </row>
    <row r="961">
      <c r="A961" s="30"/>
      <c r="B961" s="30"/>
      <c r="C961" s="30"/>
      <c r="D961" s="30"/>
      <c r="E961" s="30"/>
      <c r="F961" s="292"/>
      <c r="G961" s="30"/>
      <c r="H961" s="30"/>
      <c r="I961" s="30"/>
      <c r="J961" s="30"/>
      <c r="K961" s="30"/>
      <c r="L961" s="30"/>
      <c r="M961" s="30"/>
      <c r="N961" s="30"/>
      <c r="O961" s="30"/>
      <c r="P961" s="30"/>
      <c r="Q961" s="30"/>
      <c r="R961" s="30"/>
      <c r="S961" s="195"/>
      <c r="T961" s="195"/>
      <c r="U961" s="195"/>
      <c r="V961" s="195"/>
      <c r="W961" s="30"/>
      <c r="X961" s="30"/>
      <c r="Y961" s="30"/>
      <c r="Z961" s="30"/>
      <c r="AA961" s="30"/>
      <c r="AB961" s="30"/>
    </row>
    <row r="962">
      <c r="A962" s="30"/>
      <c r="B962" s="30"/>
      <c r="C962" s="30"/>
      <c r="D962" s="30"/>
      <c r="E962" s="30"/>
      <c r="F962" s="292"/>
      <c r="G962" s="30"/>
      <c r="H962" s="30"/>
      <c r="I962" s="30"/>
      <c r="J962" s="30"/>
      <c r="K962" s="30"/>
      <c r="L962" s="30"/>
      <c r="M962" s="30"/>
      <c r="N962" s="30"/>
      <c r="O962" s="30"/>
      <c r="P962" s="30"/>
      <c r="Q962" s="30"/>
      <c r="R962" s="30"/>
      <c r="S962" s="195"/>
      <c r="T962" s="195"/>
      <c r="U962" s="195"/>
      <c r="V962" s="195"/>
      <c r="W962" s="30"/>
      <c r="X962" s="30"/>
      <c r="Y962" s="30"/>
      <c r="Z962" s="30"/>
      <c r="AA962" s="30"/>
      <c r="AB962" s="30"/>
    </row>
    <row r="963">
      <c r="A963" s="30"/>
      <c r="B963" s="30"/>
      <c r="C963" s="30"/>
      <c r="D963" s="30"/>
      <c r="E963" s="30"/>
      <c r="F963" s="292"/>
      <c r="G963" s="30"/>
      <c r="H963" s="30"/>
      <c r="I963" s="30"/>
      <c r="J963" s="30"/>
      <c r="K963" s="30"/>
      <c r="L963" s="30"/>
      <c r="M963" s="30"/>
      <c r="N963" s="30"/>
      <c r="O963" s="30"/>
      <c r="P963" s="30"/>
      <c r="Q963" s="30"/>
      <c r="R963" s="30"/>
      <c r="S963" s="195"/>
      <c r="T963" s="195"/>
      <c r="U963" s="195"/>
      <c r="V963" s="195"/>
      <c r="W963" s="30"/>
      <c r="X963" s="30"/>
      <c r="Y963" s="30"/>
      <c r="Z963" s="30"/>
      <c r="AA963" s="30"/>
      <c r="AB963" s="30"/>
    </row>
    <row r="964">
      <c r="A964" s="30"/>
      <c r="B964" s="30"/>
      <c r="C964" s="30"/>
      <c r="D964" s="30"/>
      <c r="E964" s="30"/>
      <c r="F964" s="292"/>
      <c r="G964" s="30"/>
      <c r="H964" s="30"/>
      <c r="I964" s="30"/>
      <c r="J964" s="30"/>
      <c r="K964" s="30"/>
      <c r="L964" s="30"/>
      <c r="M964" s="30"/>
      <c r="N964" s="30"/>
      <c r="O964" s="30"/>
      <c r="P964" s="30"/>
      <c r="Q964" s="30"/>
      <c r="R964" s="30"/>
      <c r="S964" s="195"/>
      <c r="T964" s="195"/>
      <c r="U964" s="195"/>
      <c r="V964" s="195"/>
      <c r="W964" s="30"/>
      <c r="X964" s="30"/>
      <c r="Y964" s="30"/>
      <c r="Z964" s="30"/>
      <c r="AA964" s="30"/>
      <c r="AB964" s="30"/>
    </row>
    <row r="965">
      <c r="A965" s="30"/>
      <c r="B965" s="30"/>
      <c r="C965" s="30"/>
      <c r="D965" s="30"/>
      <c r="E965" s="30"/>
      <c r="F965" s="292"/>
      <c r="G965" s="30"/>
      <c r="H965" s="30"/>
      <c r="I965" s="30"/>
      <c r="J965" s="30"/>
      <c r="K965" s="30"/>
      <c r="L965" s="30"/>
      <c r="M965" s="30"/>
      <c r="N965" s="30"/>
      <c r="O965" s="30"/>
      <c r="P965" s="30"/>
      <c r="Q965" s="30"/>
      <c r="R965" s="30"/>
      <c r="S965" s="195"/>
      <c r="T965" s="195"/>
      <c r="U965" s="195"/>
      <c r="V965" s="195"/>
      <c r="W965" s="30"/>
      <c r="X965" s="30"/>
      <c r="Y965" s="30"/>
      <c r="Z965" s="30"/>
      <c r="AA965" s="30"/>
      <c r="AB965" s="30"/>
    </row>
    <row r="966">
      <c r="A966" s="30"/>
      <c r="B966" s="30"/>
      <c r="C966" s="30"/>
      <c r="D966" s="30"/>
      <c r="E966" s="30"/>
      <c r="F966" s="292"/>
      <c r="G966" s="30"/>
      <c r="H966" s="30"/>
      <c r="I966" s="30"/>
      <c r="J966" s="30"/>
      <c r="K966" s="30"/>
      <c r="L966" s="30"/>
      <c r="M966" s="30"/>
      <c r="N966" s="30"/>
      <c r="O966" s="30"/>
      <c r="P966" s="30"/>
      <c r="Q966" s="30"/>
      <c r="R966" s="30"/>
      <c r="S966" s="195"/>
      <c r="T966" s="195"/>
      <c r="U966" s="195"/>
      <c r="V966" s="195"/>
      <c r="W966" s="30"/>
      <c r="X966" s="30"/>
      <c r="Y966" s="30"/>
      <c r="Z966" s="30"/>
      <c r="AA966" s="30"/>
      <c r="AB966" s="30"/>
    </row>
    <row r="967">
      <c r="A967" s="30"/>
      <c r="B967" s="30"/>
      <c r="C967" s="30"/>
      <c r="D967" s="30"/>
      <c r="E967" s="30"/>
      <c r="F967" s="292"/>
      <c r="G967" s="30"/>
      <c r="H967" s="30"/>
      <c r="I967" s="30"/>
      <c r="J967" s="30"/>
      <c r="K967" s="30"/>
      <c r="L967" s="30"/>
      <c r="M967" s="30"/>
      <c r="N967" s="30"/>
      <c r="O967" s="30"/>
      <c r="P967" s="30"/>
      <c r="Q967" s="30"/>
      <c r="R967" s="30"/>
      <c r="S967" s="195"/>
      <c r="T967" s="195"/>
      <c r="U967" s="195"/>
      <c r="V967" s="195"/>
      <c r="W967" s="30"/>
      <c r="X967" s="30"/>
      <c r="Y967" s="30"/>
      <c r="Z967" s="30"/>
      <c r="AA967" s="30"/>
      <c r="AB967" s="30"/>
    </row>
    <row r="968">
      <c r="A968" s="30"/>
      <c r="B968" s="30"/>
      <c r="C968" s="30"/>
      <c r="D968" s="30"/>
      <c r="E968" s="30"/>
      <c r="F968" s="292"/>
      <c r="G968" s="30"/>
      <c r="H968" s="30"/>
      <c r="I968" s="30"/>
      <c r="J968" s="30"/>
      <c r="K968" s="30"/>
      <c r="L968" s="30"/>
      <c r="M968" s="30"/>
      <c r="N968" s="30"/>
      <c r="O968" s="30"/>
      <c r="P968" s="30"/>
      <c r="Q968" s="30"/>
      <c r="R968" s="30"/>
      <c r="S968" s="195"/>
      <c r="T968" s="195"/>
      <c r="U968" s="195"/>
      <c r="V968" s="195"/>
      <c r="W968" s="30"/>
      <c r="X968" s="30"/>
      <c r="Y968" s="30"/>
      <c r="Z968" s="30"/>
      <c r="AA968" s="30"/>
      <c r="AB968" s="30"/>
    </row>
    <row r="969">
      <c r="A969" s="30"/>
      <c r="B969" s="30"/>
      <c r="C969" s="30"/>
      <c r="D969" s="30"/>
      <c r="E969" s="30"/>
      <c r="F969" s="292"/>
      <c r="G969" s="30"/>
      <c r="H969" s="30"/>
      <c r="I969" s="30"/>
      <c r="J969" s="30"/>
      <c r="K969" s="30"/>
      <c r="L969" s="30"/>
      <c r="M969" s="30"/>
      <c r="N969" s="30"/>
      <c r="O969" s="30"/>
      <c r="P969" s="30"/>
      <c r="Q969" s="30"/>
      <c r="R969" s="30"/>
      <c r="S969" s="195"/>
      <c r="T969" s="195"/>
      <c r="U969" s="195"/>
      <c r="V969" s="195"/>
      <c r="W969" s="30"/>
      <c r="X969" s="30"/>
      <c r="Y969" s="30"/>
      <c r="Z969" s="30"/>
      <c r="AA969" s="30"/>
      <c r="AB969" s="30"/>
    </row>
    <row r="970">
      <c r="A970" s="30"/>
      <c r="B970" s="30"/>
      <c r="C970" s="30"/>
      <c r="D970" s="30"/>
      <c r="E970" s="30"/>
      <c r="F970" s="292"/>
      <c r="G970" s="30"/>
      <c r="H970" s="30"/>
      <c r="I970" s="30"/>
      <c r="J970" s="30"/>
      <c r="K970" s="30"/>
      <c r="L970" s="30"/>
      <c r="M970" s="30"/>
      <c r="N970" s="30"/>
      <c r="O970" s="30"/>
      <c r="P970" s="30"/>
      <c r="Q970" s="30"/>
      <c r="R970" s="30"/>
      <c r="S970" s="195"/>
      <c r="T970" s="195"/>
      <c r="U970" s="195"/>
      <c r="V970" s="195"/>
      <c r="W970" s="30"/>
      <c r="X970" s="30"/>
      <c r="Y970" s="30"/>
      <c r="Z970" s="30"/>
      <c r="AA970" s="30"/>
      <c r="AB970" s="30"/>
    </row>
    <row r="971">
      <c r="A971" s="30"/>
      <c r="B971" s="30"/>
      <c r="C971" s="30"/>
      <c r="D971" s="30"/>
      <c r="E971" s="30"/>
      <c r="F971" s="292"/>
      <c r="G971" s="30"/>
      <c r="H971" s="30"/>
      <c r="I971" s="30"/>
      <c r="J971" s="30"/>
      <c r="K971" s="30"/>
      <c r="L971" s="30"/>
      <c r="M971" s="30"/>
      <c r="N971" s="30"/>
      <c r="O971" s="30"/>
      <c r="P971" s="30"/>
      <c r="Q971" s="30"/>
      <c r="R971" s="30"/>
      <c r="S971" s="195"/>
      <c r="T971" s="195"/>
      <c r="U971" s="195"/>
      <c r="V971" s="195"/>
      <c r="W971" s="30"/>
      <c r="X971" s="30"/>
      <c r="Y971" s="30"/>
      <c r="Z971" s="30"/>
      <c r="AA971" s="30"/>
      <c r="AB971" s="30"/>
    </row>
    <row r="972">
      <c r="A972" s="30"/>
      <c r="B972" s="30"/>
      <c r="C972" s="30"/>
      <c r="D972" s="30"/>
      <c r="E972" s="30"/>
      <c r="F972" s="292"/>
      <c r="G972" s="30"/>
      <c r="H972" s="30"/>
      <c r="I972" s="30"/>
      <c r="J972" s="30"/>
      <c r="K972" s="30"/>
      <c r="L972" s="30"/>
      <c r="M972" s="30"/>
      <c r="N972" s="30"/>
      <c r="O972" s="30"/>
      <c r="P972" s="30"/>
      <c r="Q972" s="30"/>
      <c r="R972" s="30"/>
      <c r="S972" s="195"/>
      <c r="T972" s="195"/>
      <c r="U972" s="195"/>
      <c r="V972" s="195"/>
      <c r="W972" s="30"/>
      <c r="X972" s="30"/>
      <c r="Y972" s="30"/>
      <c r="Z972" s="30"/>
      <c r="AA972" s="30"/>
      <c r="AB972" s="30"/>
    </row>
    <row r="973">
      <c r="A973" s="30"/>
      <c r="B973" s="30"/>
      <c r="C973" s="30"/>
      <c r="D973" s="30"/>
      <c r="E973" s="30"/>
      <c r="F973" s="292"/>
      <c r="G973" s="30"/>
      <c r="H973" s="30"/>
      <c r="I973" s="30"/>
      <c r="J973" s="30"/>
      <c r="K973" s="30"/>
      <c r="L973" s="30"/>
      <c r="M973" s="30"/>
      <c r="N973" s="30"/>
      <c r="O973" s="30"/>
      <c r="P973" s="30"/>
      <c r="Q973" s="30"/>
      <c r="R973" s="30"/>
      <c r="S973" s="195"/>
      <c r="T973" s="195"/>
      <c r="U973" s="195"/>
      <c r="V973" s="195"/>
      <c r="W973" s="30"/>
      <c r="X973" s="30"/>
      <c r="Y973" s="30"/>
      <c r="Z973" s="30"/>
      <c r="AA973" s="30"/>
      <c r="AB973" s="30"/>
    </row>
    <row r="974">
      <c r="A974" s="30"/>
      <c r="B974" s="30"/>
      <c r="C974" s="30"/>
      <c r="D974" s="30"/>
      <c r="E974" s="30"/>
      <c r="F974" s="292"/>
      <c r="G974" s="30"/>
      <c r="H974" s="30"/>
      <c r="I974" s="30"/>
      <c r="J974" s="30"/>
      <c r="K974" s="30"/>
      <c r="L974" s="30"/>
      <c r="M974" s="30"/>
      <c r="N974" s="30"/>
      <c r="O974" s="30"/>
      <c r="P974" s="30"/>
      <c r="Q974" s="30"/>
      <c r="R974" s="30"/>
      <c r="S974" s="195"/>
      <c r="T974" s="195"/>
      <c r="U974" s="195"/>
      <c r="V974" s="195"/>
      <c r="W974" s="30"/>
      <c r="X974" s="30"/>
      <c r="Y974" s="30"/>
      <c r="Z974" s="30"/>
      <c r="AA974" s="30"/>
      <c r="AB974" s="30"/>
    </row>
    <row r="975">
      <c r="A975" s="30"/>
      <c r="B975" s="30"/>
      <c r="C975" s="30"/>
      <c r="D975" s="30"/>
      <c r="E975" s="30"/>
      <c r="F975" s="292"/>
      <c r="G975" s="30"/>
      <c r="H975" s="30"/>
      <c r="I975" s="30"/>
      <c r="J975" s="30"/>
      <c r="K975" s="30"/>
      <c r="L975" s="30"/>
      <c r="M975" s="30"/>
      <c r="N975" s="30"/>
      <c r="O975" s="30"/>
      <c r="P975" s="30"/>
      <c r="Q975" s="30"/>
      <c r="R975" s="30"/>
      <c r="S975" s="195"/>
      <c r="T975" s="195"/>
      <c r="U975" s="195"/>
      <c r="V975" s="195"/>
      <c r="W975" s="30"/>
      <c r="X975" s="30"/>
      <c r="Y975" s="30"/>
      <c r="Z975" s="30"/>
      <c r="AA975" s="30"/>
      <c r="AB975" s="30"/>
    </row>
    <row r="976">
      <c r="A976" s="30"/>
      <c r="B976" s="30"/>
      <c r="C976" s="30"/>
      <c r="D976" s="30"/>
      <c r="E976" s="30"/>
      <c r="F976" s="292"/>
      <c r="G976" s="30"/>
      <c r="H976" s="30"/>
      <c r="I976" s="30"/>
      <c r="J976" s="30"/>
      <c r="K976" s="30"/>
      <c r="L976" s="30"/>
      <c r="M976" s="30"/>
      <c r="N976" s="30"/>
      <c r="O976" s="30"/>
      <c r="P976" s="30"/>
      <c r="Q976" s="30"/>
      <c r="R976" s="30"/>
      <c r="S976" s="195"/>
      <c r="T976" s="195"/>
      <c r="U976" s="195"/>
      <c r="V976" s="195"/>
      <c r="W976" s="30"/>
      <c r="X976" s="30"/>
      <c r="Y976" s="30"/>
      <c r="Z976" s="30"/>
      <c r="AA976" s="30"/>
      <c r="AB976" s="30"/>
    </row>
    <row r="977">
      <c r="A977" s="30"/>
      <c r="B977" s="30"/>
      <c r="C977" s="30"/>
      <c r="D977" s="30"/>
      <c r="E977" s="30"/>
      <c r="F977" s="292"/>
      <c r="G977" s="30"/>
      <c r="H977" s="30"/>
      <c r="I977" s="30"/>
      <c r="J977" s="30"/>
      <c r="K977" s="30"/>
      <c r="L977" s="30"/>
      <c r="M977" s="30"/>
      <c r="N977" s="30"/>
      <c r="O977" s="30"/>
      <c r="P977" s="30"/>
      <c r="Q977" s="30"/>
      <c r="R977" s="30"/>
      <c r="S977" s="195"/>
      <c r="T977" s="195"/>
      <c r="U977" s="195"/>
      <c r="V977" s="195"/>
      <c r="W977" s="30"/>
      <c r="X977" s="30"/>
      <c r="Y977" s="30"/>
      <c r="Z977" s="30"/>
      <c r="AA977" s="30"/>
      <c r="AB977" s="30"/>
    </row>
    <row r="978">
      <c r="A978" s="30"/>
      <c r="B978" s="30"/>
      <c r="C978" s="30"/>
      <c r="D978" s="30"/>
      <c r="E978" s="30"/>
      <c r="F978" s="292"/>
      <c r="G978" s="30"/>
      <c r="H978" s="30"/>
      <c r="I978" s="30"/>
      <c r="J978" s="30"/>
      <c r="K978" s="30"/>
      <c r="L978" s="30"/>
      <c r="M978" s="30"/>
      <c r="N978" s="30"/>
      <c r="O978" s="30"/>
      <c r="P978" s="30"/>
      <c r="Q978" s="30"/>
      <c r="R978" s="30"/>
      <c r="S978" s="195"/>
      <c r="T978" s="195"/>
      <c r="U978" s="195"/>
      <c r="V978" s="195"/>
      <c r="W978" s="30"/>
      <c r="X978" s="30"/>
      <c r="Y978" s="30"/>
      <c r="Z978" s="30"/>
      <c r="AA978" s="30"/>
      <c r="AB978" s="30"/>
    </row>
    <row r="979">
      <c r="A979" s="30"/>
      <c r="B979" s="30"/>
      <c r="C979" s="30"/>
      <c r="D979" s="30"/>
      <c r="E979" s="30"/>
      <c r="F979" s="292"/>
      <c r="G979" s="30"/>
      <c r="H979" s="30"/>
      <c r="I979" s="30"/>
      <c r="J979" s="30"/>
      <c r="K979" s="30"/>
      <c r="L979" s="30"/>
      <c r="M979" s="30"/>
      <c r="N979" s="30"/>
      <c r="O979" s="30"/>
      <c r="P979" s="30"/>
      <c r="Q979" s="30"/>
      <c r="R979" s="30"/>
      <c r="S979" s="195"/>
      <c r="T979" s="195"/>
      <c r="U979" s="195"/>
      <c r="V979" s="195"/>
      <c r="W979" s="30"/>
      <c r="X979" s="30"/>
      <c r="Y979" s="30"/>
      <c r="Z979" s="30"/>
      <c r="AA979" s="30"/>
      <c r="AB979" s="30"/>
    </row>
    <row r="980">
      <c r="A980" s="30"/>
      <c r="B980" s="30"/>
      <c r="C980" s="30"/>
      <c r="D980" s="30"/>
      <c r="E980" s="30"/>
      <c r="F980" s="292"/>
      <c r="G980" s="30"/>
      <c r="H980" s="30"/>
      <c r="I980" s="30"/>
      <c r="J980" s="30"/>
      <c r="K980" s="30"/>
      <c r="L980" s="30"/>
      <c r="M980" s="30"/>
      <c r="N980" s="30"/>
      <c r="O980" s="30"/>
      <c r="P980" s="30"/>
      <c r="Q980" s="30"/>
      <c r="R980" s="30"/>
      <c r="S980" s="195"/>
      <c r="T980" s="195"/>
      <c r="U980" s="195"/>
      <c r="V980" s="195"/>
      <c r="W980" s="30"/>
      <c r="X980" s="30"/>
      <c r="Y980" s="30"/>
      <c r="Z980" s="30"/>
      <c r="AA980" s="30"/>
      <c r="AB980" s="30"/>
    </row>
    <row r="981">
      <c r="A981" s="30"/>
      <c r="B981" s="30"/>
      <c r="C981" s="30"/>
      <c r="D981" s="30"/>
      <c r="E981" s="30"/>
      <c r="F981" s="292"/>
      <c r="G981" s="30"/>
      <c r="H981" s="30"/>
      <c r="I981" s="30"/>
      <c r="J981" s="30"/>
      <c r="K981" s="30"/>
      <c r="L981" s="30"/>
      <c r="M981" s="30"/>
      <c r="N981" s="30"/>
      <c r="O981" s="30"/>
      <c r="P981" s="30"/>
      <c r="Q981" s="30"/>
      <c r="R981" s="30"/>
      <c r="S981" s="195"/>
      <c r="T981" s="195"/>
      <c r="U981" s="195"/>
      <c r="V981" s="195"/>
      <c r="W981" s="30"/>
      <c r="X981" s="30"/>
      <c r="Y981" s="30"/>
      <c r="Z981" s="30"/>
      <c r="AA981" s="30"/>
      <c r="AB981" s="30"/>
    </row>
    <row r="982">
      <c r="A982" s="30"/>
      <c r="B982" s="30"/>
      <c r="C982" s="30"/>
      <c r="D982" s="30"/>
      <c r="E982" s="30"/>
      <c r="F982" s="292"/>
      <c r="G982" s="30"/>
      <c r="H982" s="30"/>
      <c r="I982" s="30"/>
      <c r="J982" s="30"/>
      <c r="K982" s="30"/>
      <c r="L982" s="30"/>
      <c r="M982" s="30"/>
      <c r="N982" s="30"/>
      <c r="O982" s="30"/>
      <c r="P982" s="30"/>
      <c r="Q982" s="30"/>
      <c r="R982" s="30"/>
      <c r="S982" s="195"/>
      <c r="T982" s="195"/>
      <c r="U982" s="195"/>
      <c r="V982" s="195"/>
      <c r="W982" s="30"/>
      <c r="X982" s="30"/>
      <c r="Y982" s="30"/>
      <c r="Z982" s="30"/>
      <c r="AA982" s="30"/>
      <c r="AB982" s="30"/>
    </row>
    <row r="983">
      <c r="A983" s="30"/>
      <c r="B983" s="30"/>
      <c r="C983" s="30"/>
      <c r="D983" s="30"/>
      <c r="E983" s="30"/>
      <c r="F983" s="292"/>
      <c r="G983" s="30"/>
      <c r="H983" s="30"/>
      <c r="I983" s="30"/>
      <c r="J983" s="30"/>
      <c r="K983" s="30"/>
      <c r="L983" s="30"/>
      <c r="M983" s="30"/>
      <c r="N983" s="30"/>
      <c r="O983" s="30"/>
      <c r="P983" s="30"/>
      <c r="Q983" s="30"/>
      <c r="R983" s="30"/>
      <c r="S983" s="195"/>
      <c r="T983" s="195"/>
      <c r="U983" s="195"/>
      <c r="V983" s="195"/>
      <c r="W983" s="30"/>
      <c r="X983" s="30"/>
      <c r="Y983" s="30"/>
      <c r="Z983" s="30"/>
      <c r="AA983" s="30"/>
      <c r="AB983" s="30"/>
    </row>
    <row r="984">
      <c r="A984" s="30"/>
      <c r="B984" s="30"/>
      <c r="C984" s="30"/>
      <c r="D984" s="30"/>
      <c r="E984" s="30"/>
      <c r="F984" s="292"/>
      <c r="G984" s="30"/>
      <c r="H984" s="30"/>
      <c r="I984" s="30"/>
      <c r="J984" s="30"/>
      <c r="K984" s="30"/>
      <c r="L984" s="30"/>
      <c r="M984" s="30"/>
      <c r="N984" s="30"/>
      <c r="O984" s="30"/>
      <c r="P984" s="30"/>
      <c r="Q984" s="30"/>
      <c r="R984" s="30"/>
      <c r="S984" s="195"/>
      <c r="T984" s="195"/>
      <c r="U984" s="195"/>
      <c r="V984" s="195"/>
      <c r="W984" s="30"/>
      <c r="X984" s="30"/>
      <c r="Y984" s="30"/>
      <c r="Z984" s="30"/>
      <c r="AA984" s="30"/>
      <c r="AB984" s="30"/>
    </row>
    <row r="985">
      <c r="A985" s="30"/>
      <c r="B985" s="30"/>
      <c r="C985" s="30"/>
      <c r="D985" s="30"/>
      <c r="E985" s="30"/>
      <c r="F985" s="292"/>
      <c r="G985" s="30"/>
      <c r="H985" s="30"/>
      <c r="I985" s="30"/>
      <c r="J985" s="30"/>
      <c r="K985" s="30"/>
      <c r="L985" s="30"/>
      <c r="M985" s="30"/>
      <c r="N985" s="30"/>
      <c r="O985" s="30"/>
      <c r="P985" s="30"/>
      <c r="Q985" s="30"/>
      <c r="R985" s="30"/>
      <c r="S985" s="195"/>
      <c r="T985" s="195"/>
      <c r="U985" s="195"/>
      <c r="V985" s="195"/>
      <c r="W985" s="30"/>
      <c r="X985" s="30"/>
      <c r="Y985" s="30"/>
      <c r="Z985" s="30"/>
      <c r="AA985" s="30"/>
      <c r="AB985" s="30"/>
    </row>
    <row r="986">
      <c r="A986" s="30"/>
      <c r="B986" s="30"/>
      <c r="C986" s="30"/>
      <c r="D986" s="30"/>
      <c r="E986" s="30"/>
      <c r="F986" s="292"/>
      <c r="G986" s="30"/>
      <c r="H986" s="30"/>
      <c r="I986" s="30"/>
      <c r="J986" s="30"/>
      <c r="K986" s="30"/>
      <c r="L986" s="30"/>
      <c r="M986" s="30"/>
      <c r="N986" s="30"/>
      <c r="O986" s="30"/>
      <c r="P986" s="30"/>
      <c r="Q986" s="30"/>
      <c r="R986" s="30"/>
      <c r="S986" s="195"/>
      <c r="T986" s="195"/>
      <c r="U986" s="195"/>
      <c r="V986" s="195"/>
      <c r="W986" s="30"/>
      <c r="X986" s="30"/>
      <c r="Y986" s="30"/>
      <c r="Z986" s="30"/>
      <c r="AA986" s="30"/>
      <c r="AB986" s="30"/>
    </row>
    <row r="987">
      <c r="A987" s="30"/>
      <c r="B987" s="30"/>
      <c r="C987" s="30"/>
      <c r="D987" s="30"/>
      <c r="E987" s="30"/>
      <c r="F987" s="292"/>
      <c r="G987" s="30"/>
      <c r="H987" s="30"/>
      <c r="I987" s="30"/>
      <c r="J987" s="30"/>
      <c r="K987" s="30"/>
      <c r="L987" s="30"/>
      <c r="M987" s="30"/>
      <c r="N987" s="30"/>
      <c r="O987" s="30"/>
      <c r="P987" s="30"/>
      <c r="Q987" s="30"/>
      <c r="R987" s="30"/>
      <c r="S987" s="195"/>
      <c r="T987" s="195"/>
      <c r="U987" s="195"/>
      <c r="V987" s="195"/>
      <c r="W987" s="30"/>
      <c r="X987" s="30"/>
      <c r="Y987" s="30"/>
      <c r="Z987" s="30"/>
      <c r="AA987" s="30"/>
      <c r="AB987" s="30"/>
    </row>
    <row r="988">
      <c r="A988" s="293"/>
      <c r="B988" s="30"/>
      <c r="C988" s="30"/>
      <c r="D988" s="30"/>
      <c r="E988" s="30"/>
      <c r="F988" s="292"/>
      <c r="G988" s="30"/>
      <c r="H988" s="30"/>
      <c r="I988" s="30"/>
      <c r="J988" s="30"/>
      <c r="K988" s="30"/>
      <c r="L988" s="30"/>
      <c r="M988" s="30"/>
      <c r="N988" s="30"/>
      <c r="O988" s="30"/>
      <c r="P988" s="30"/>
      <c r="Q988" s="30"/>
      <c r="R988" s="30"/>
      <c r="S988" s="195"/>
      <c r="T988" s="195"/>
      <c r="U988" s="195"/>
      <c r="V988" s="195"/>
      <c r="W988" s="30"/>
      <c r="X988" s="30"/>
      <c r="Y988" s="30"/>
      <c r="Z988" s="30"/>
      <c r="AA988" s="30"/>
      <c r="AB988" s="30"/>
    </row>
    <row r="989">
      <c r="A989" s="294"/>
      <c r="B989" s="30"/>
      <c r="C989" s="30"/>
      <c r="D989" s="30"/>
      <c r="E989" s="30"/>
      <c r="F989" s="292"/>
      <c r="G989" s="30"/>
      <c r="H989" s="30"/>
      <c r="I989" s="30"/>
      <c r="J989" s="30"/>
      <c r="K989" s="30"/>
      <c r="L989" s="30"/>
      <c r="M989" s="30"/>
      <c r="N989" s="30"/>
      <c r="O989" s="30"/>
      <c r="P989" s="30"/>
      <c r="Q989" s="30"/>
      <c r="R989" s="30"/>
      <c r="S989" s="195"/>
      <c r="T989" s="195"/>
      <c r="U989" s="195"/>
      <c r="V989" s="195"/>
      <c r="W989" s="30"/>
      <c r="X989" s="30"/>
      <c r="Y989" s="30"/>
      <c r="Z989" s="30"/>
      <c r="AA989" s="30"/>
      <c r="AB989" s="30"/>
    </row>
    <row r="990">
      <c r="A990" s="294"/>
      <c r="B990" s="30"/>
      <c r="C990" s="30"/>
      <c r="D990" s="30"/>
      <c r="E990" s="30"/>
      <c r="F990" s="292"/>
      <c r="G990" s="30"/>
      <c r="H990" s="30"/>
      <c r="I990" s="30"/>
      <c r="J990" s="30"/>
      <c r="K990" s="30"/>
      <c r="L990" s="30"/>
      <c r="M990" s="30"/>
      <c r="N990" s="30"/>
      <c r="O990" s="30"/>
      <c r="P990" s="30"/>
      <c r="Q990" s="30"/>
      <c r="R990" s="30"/>
      <c r="S990" s="195"/>
      <c r="T990" s="195"/>
      <c r="U990" s="195"/>
      <c r="V990" s="195"/>
      <c r="W990" s="30"/>
      <c r="X990" s="30"/>
      <c r="Y990" s="30"/>
      <c r="Z990" s="30"/>
      <c r="AA990" s="30"/>
      <c r="AB990" s="30"/>
    </row>
    <row r="991">
      <c r="A991" s="294"/>
      <c r="B991" s="30"/>
      <c r="C991" s="30"/>
      <c r="D991" s="30"/>
      <c r="E991" s="30"/>
      <c r="F991" s="292"/>
      <c r="G991" s="30"/>
      <c r="H991" s="30"/>
      <c r="I991" s="30"/>
      <c r="J991" s="30"/>
      <c r="K991" s="30"/>
      <c r="L991" s="30"/>
      <c r="M991" s="30"/>
      <c r="N991" s="30"/>
      <c r="O991" s="30"/>
      <c r="P991" s="30"/>
      <c r="Q991" s="30"/>
      <c r="R991" s="30"/>
      <c r="S991" s="195"/>
      <c r="T991" s="195"/>
      <c r="U991" s="195"/>
      <c r="V991" s="195"/>
      <c r="W991" s="30"/>
      <c r="X991" s="30"/>
      <c r="Y991" s="30"/>
      <c r="Z991" s="30"/>
      <c r="AA991" s="30"/>
      <c r="AB991" s="30"/>
    </row>
    <row r="992">
      <c r="A992" s="294"/>
      <c r="B992" s="30"/>
      <c r="C992" s="30"/>
      <c r="D992" s="30"/>
      <c r="E992" s="30"/>
      <c r="F992" s="292"/>
      <c r="G992" s="30"/>
      <c r="H992" s="30"/>
      <c r="I992" s="30"/>
      <c r="J992" s="30"/>
      <c r="K992" s="30"/>
      <c r="L992" s="30"/>
      <c r="M992" s="30"/>
      <c r="N992" s="30"/>
      <c r="O992" s="30"/>
      <c r="P992" s="30"/>
      <c r="Q992" s="30"/>
      <c r="R992" s="30"/>
      <c r="S992" s="195"/>
      <c r="T992" s="195"/>
      <c r="U992" s="195"/>
      <c r="V992" s="195"/>
      <c r="W992" s="30"/>
      <c r="X992" s="30"/>
      <c r="Y992" s="30"/>
      <c r="Z992" s="30"/>
      <c r="AA992" s="30"/>
      <c r="AB992" s="30"/>
    </row>
    <row r="993">
      <c r="A993" s="294"/>
      <c r="B993" s="30"/>
      <c r="C993" s="30"/>
      <c r="D993" s="30"/>
      <c r="E993" s="30"/>
      <c r="F993" s="292"/>
      <c r="G993" s="30"/>
      <c r="H993" s="30"/>
      <c r="I993" s="30"/>
      <c r="J993" s="30"/>
      <c r="K993" s="30"/>
      <c r="L993" s="30"/>
      <c r="M993" s="30"/>
      <c r="N993" s="30"/>
      <c r="O993" s="30"/>
      <c r="P993" s="30"/>
      <c r="Q993" s="30"/>
      <c r="R993" s="30"/>
      <c r="S993" s="195"/>
      <c r="T993" s="195"/>
      <c r="U993" s="195"/>
      <c r="V993" s="195"/>
      <c r="W993" s="30"/>
      <c r="X993" s="30"/>
      <c r="Y993" s="30"/>
      <c r="Z993" s="30"/>
      <c r="AA993" s="30"/>
      <c r="AB993" s="30"/>
    </row>
    <row r="994">
      <c r="A994" s="294"/>
      <c r="B994" s="30"/>
      <c r="C994" s="30"/>
      <c r="D994" s="30"/>
      <c r="E994" s="30"/>
      <c r="F994" s="292"/>
      <c r="G994" s="30"/>
      <c r="H994" s="30"/>
      <c r="I994" s="30"/>
      <c r="J994" s="30"/>
      <c r="K994" s="30"/>
      <c r="L994" s="30"/>
      <c r="M994" s="30"/>
      <c r="N994" s="30"/>
      <c r="O994" s="30"/>
      <c r="P994" s="30"/>
      <c r="Q994" s="30"/>
      <c r="R994" s="30"/>
      <c r="S994" s="195"/>
      <c r="T994" s="195"/>
      <c r="U994" s="195"/>
      <c r="V994" s="195"/>
      <c r="W994" s="30"/>
      <c r="X994" s="30"/>
      <c r="Y994" s="30"/>
      <c r="Z994" s="30"/>
      <c r="AA994" s="30"/>
      <c r="AB994" s="30"/>
    </row>
    <row r="995">
      <c r="A995" s="294"/>
      <c r="B995" s="30"/>
      <c r="C995" s="30"/>
      <c r="D995" s="30"/>
      <c r="E995" s="30"/>
      <c r="F995" s="292"/>
      <c r="G995" s="30"/>
      <c r="H995" s="30"/>
      <c r="I995" s="30"/>
      <c r="J995" s="30"/>
      <c r="K995" s="30"/>
      <c r="L995" s="30"/>
      <c r="M995" s="30"/>
      <c r="N995" s="30"/>
      <c r="O995" s="30"/>
      <c r="P995" s="30"/>
      <c r="Q995" s="30"/>
      <c r="R995" s="30"/>
      <c r="S995" s="195"/>
      <c r="T995" s="195"/>
      <c r="U995" s="195"/>
      <c r="V995" s="195"/>
      <c r="W995" s="30"/>
      <c r="X995" s="30"/>
      <c r="Y995" s="30"/>
      <c r="Z995" s="30"/>
      <c r="AA995" s="30"/>
      <c r="AB995" s="30"/>
    </row>
    <row r="996">
      <c r="A996" s="294"/>
      <c r="B996" s="30"/>
      <c r="C996" s="30"/>
      <c r="D996" s="30"/>
      <c r="E996" s="30"/>
      <c r="F996" s="292"/>
      <c r="G996" s="30"/>
      <c r="H996" s="30"/>
      <c r="I996" s="30"/>
      <c r="J996" s="30"/>
      <c r="K996" s="30"/>
      <c r="L996" s="30"/>
      <c r="M996" s="30"/>
      <c r="N996" s="30"/>
      <c r="O996" s="30"/>
      <c r="P996" s="30"/>
      <c r="Q996" s="30"/>
      <c r="R996" s="30"/>
      <c r="S996" s="195"/>
      <c r="T996" s="195"/>
      <c r="U996" s="195"/>
      <c r="V996" s="195"/>
      <c r="W996" s="30"/>
      <c r="X996" s="30"/>
      <c r="Y996" s="30"/>
      <c r="Z996" s="30"/>
      <c r="AA996" s="30"/>
      <c r="AB996" s="30"/>
    </row>
    <row r="997">
      <c r="A997" s="294"/>
      <c r="B997" s="30"/>
      <c r="C997" s="30"/>
      <c r="D997" s="30"/>
      <c r="E997" s="30"/>
      <c r="F997" s="292"/>
      <c r="G997" s="30"/>
      <c r="H997" s="30"/>
      <c r="I997" s="30"/>
      <c r="J997" s="30"/>
      <c r="K997" s="30"/>
      <c r="L997" s="30"/>
      <c r="M997" s="30"/>
      <c r="N997" s="30"/>
      <c r="O997" s="30"/>
      <c r="P997" s="30"/>
      <c r="Q997" s="30"/>
      <c r="R997" s="30"/>
      <c r="S997" s="195"/>
      <c r="T997" s="195"/>
      <c r="U997" s="195"/>
      <c r="V997" s="195"/>
      <c r="W997" s="30"/>
      <c r="X997" s="30"/>
      <c r="Y997" s="30"/>
      <c r="Z997" s="30"/>
      <c r="AA997" s="30"/>
      <c r="AB997" s="30"/>
    </row>
    <row r="998">
      <c r="A998" s="294"/>
      <c r="B998" s="30"/>
      <c r="C998" s="30"/>
      <c r="D998" s="30"/>
      <c r="E998" s="30"/>
      <c r="F998" s="292"/>
      <c r="G998" s="30"/>
      <c r="H998" s="30"/>
      <c r="I998" s="30"/>
      <c r="J998" s="30"/>
      <c r="K998" s="30"/>
      <c r="L998" s="30"/>
      <c r="M998" s="30"/>
      <c r="N998" s="30"/>
      <c r="O998" s="30"/>
      <c r="P998" s="30"/>
      <c r="Q998" s="30"/>
      <c r="R998" s="30"/>
      <c r="S998" s="195"/>
      <c r="T998" s="195"/>
      <c r="U998" s="195"/>
      <c r="V998" s="195"/>
      <c r="W998" s="30"/>
      <c r="X998" s="30"/>
      <c r="Y998" s="30"/>
      <c r="Z998" s="30"/>
      <c r="AA998" s="30"/>
      <c r="AB998" s="30"/>
    </row>
    <row r="999">
      <c r="A999" s="294"/>
      <c r="B999" s="30"/>
      <c r="C999" s="30"/>
      <c r="D999" s="30"/>
      <c r="E999" s="30"/>
      <c r="F999" s="292"/>
      <c r="G999" s="30"/>
      <c r="H999" s="30"/>
      <c r="I999" s="30"/>
      <c r="J999" s="30"/>
      <c r="K999" s="30"/>
      <c r="L999" s="30"/>
      <c r="M999" s="30"/>
      <c r="N999" s="30"/>
      <c r="O999" s="30"/>
      <c r="P999" s="30"/>
      <c r="Q999" s="30"/>
      <c r="R999" s="30"/>
      <c r="S999" s="195"/>
      <c r="T999" s="195"/>
      <c r="U999" s="195"/>
      <c r="V999" s="195"/>
      <c r="W999" s="30"/>
      <c r="X999" s="30"/>
      <c r="Y999" s="30"/>
      <c r="Z999" s="30"/>
      <c r="AA999" s="30"/>
      <c r="AB999" s="30"/>
    </row>
    <row r="1000">
      <c r="A1000" s="294"/>
      <c r="B1000" s="30"/>
      <c r="C1000" s="30"/>
      <c r="D1000" s="30"/>
      <c r="E1000" s="30"/>
      <c r="F1000" s="292"/>
      <c r="G1000" s="30"/>
      <c r="H1000" s="30"/>
      <c r="I1000" s="30"/>
      <c r="J1000" s="30"/>
      <c r="K1000" s="30"/>
      <c r="L1000" s="30"/>
      <c r="M1000" s="30"/>
      <c r="N1000" s="30"/>
      <c r="O1000" s="30"/>
      <c r="P1000" s="30"/>
      <c r="Q1000" s="30"/>
      <c r="R1000" s="30"/>
      <c r="S1000" s="195"/>
      <c r="T1000" s="195"/>
      <c r="U1000" s="195"/>
      <c r="V1000" s="195"/>
      <c r="W1000" s="30"/>
      <c r="X1000" s="30"/>
      <c r="Y1000" s="30"/>
      <c r="Z1000" s="30"/>
      <c r="AA1000" s="30"/>
      <c r="AB1000" s="30"/>
    </row>
    <row r="1001">
      <c r="A1001" s="294"/>
      <c r="B1001" s="30"/>
      <c r="C1001" s="30"/>
      <c r="D1001" s="30"/>
      <c r="E1001" s="30"/>
      <c r="F1001" s="292"/>
      <c r="G1001" s="30"/>
      <c r="H1001" s="30"/>
      <c r="I1001" s="30"/>
      <c r="J1001" s="30"/>
      <c r="K1001" s="30"/>
      <c r="L1001" s="30"/>
      <c r="M1001" s="30"/>
      <c r="N1001" s="30"/>
      <c r="O1001" s="30"/>
      <c r="P1001" s="30"/>
      <c r="Q1001" s="30"/>
      <c r="R1001" s="30"/>
      <c r="S1001" s="195"/>
      <c r="T1001" s="195"/>
      <c r="U1001" s="195"/>
      <c r="V1001" s="195"/>
      <c r="W1001" s="30"/>
      <c r="X1001" s="30"/>
      <c r="Y1001" s="30"/>
      <c r="Z1001" s="30"/>
      <c r="AA1001" s="30"/>
      <c r="AB1001" s="30"/>
    </row>
    <row r="1002">
      <c r="A1002" s="294"/>
      <c r="B1002" s="30"/>
      <c r="C1002" s="30"/>
      <c r="D1002" s="30"/>
      <c r="E1002" s="30"/>
      <c r="F1002" s="292"/>
      <c r="G1002" s="30"/>
      <c r="H1002" s="30"/>
      <c r="I1002" s="30"/>
      <c r="J1002" s="30"/>
      <c r="K1002" s="30"/>
      <c r="L1002" s="30"/>
      <c r="M1002" s="30"/>
      <c r="N1002" s="30"/>
      <c r="O1002" s="30"/>
      <c r="P1002" s="30"/>
      <c r="Q1002" s="30"/>
      <c r="R1002" s="30"/>
      <c r="S1002" s="195"/>
      <c r="T1002" s="195"/>
      <c r="U1002" s="195"/>
      <c r="V1002" s="195"/>
      <c r="W1002" s="30"/>
      <c r="X1002" s="30"/>
      <c r="Y1002" s="30"/>
      <c r="Z1002" s="30"/>
      <c r="AA1002" s="30"/>
      <c r="AB1002" s="30"/>
    </row>
    <row r="1003">
      <c r="A1003" s="294"/>
      <c r="B1003" s="30"/>
      <c r="C1003" s="30"/>
      <c r="D1003" s="30"/>
      <c r="E1003" s="30"/>
      <c r="F1003" s="292"/>
      <c r="G1003" s="30"/>
      <c r="H1003" s="30"/>
      <c r="I1003" s="30"/>
      <c r="J1003" s="30"/>
      <c r="K1003" s="30"/>
      <c r="L1003" s="30"/>
      <c r="M1003" s="30"/>
      <c r="N1003" s="30"/>
      <c r="O1003" s="30"/>
      <c r="P1003" s="30"/>
      <c r="Q1003" s="30"/>
      <c r="R1003" s="30"/>
      <c r="S1003" s="195"/>
      <c r="T1003" s="195"/>
      <c r="U1003" s="195"/>
      <c r="V1003" s="195"/>
      <c r="W1003" s="30"/>
      <c r="X1003" s="30"/>
      <c r="Y1003" s="30"/>
      <c r="Z1003" s="30"/>
      <c r="AA1003" s="30"/>
      <c r="AB1003" s="30"/>
    </row>
    <row r="1004">
      <c r="A1004" s="294"/>
      <c r="B1004" s="30"/>
      <c r="C1004" s="30"/>
      <c r="D1004" s="30"/>
      <c r="E1004" s="30"/>
      <c r="F1004" s="292"/>
      <c r="G1004" s="30"/>
      <c r="H1004" s="30"/>
      <c r="I1004" s="30"/>
      <c r="J1004" s="30"/>
      <c r="K1004" s="30"/>
      <c r="L1004" s="30"/>
      <c r="M1004" s="30"/>
      <c r="N1004" s="30"/>
      <c r="O1004" s="30"/>
      <c r="P1004" s="30"/>
      <c r="Q1004" s="30"/>
      <c r="R1004" s="30"/>
      <c r="S1004" s="195"/>
      <c r="T1004" s="195"/>
      <c r="U1004" s="195"/>
      <c r="V1004" s="195"/>
      <c r="W1004" s="30"/>
      <c r="X1004" s="30"/>
      <c r="Y1004" s="30"/>
      <c r="Z1004" s="30"/>
      <c r="AA1004" s="30"/>
      <c r="AB1004" s="30"/>
    </row>
    <row r="1005">
      <c r="A1005" s="294"/>
      <c r="B1005" s="30"/>
      <c r="C1005" s="30"/>
      <c r="D1005" s="30"/>
      <c r="E1005" s="30"/>
      <c r="F1005" s="292"/>
      <c r="G1005" s="30"/>
      <c r="H1005" s="30"/>
      <c r="I1005" s="30"/>
      <c r="J1005" s="30"/>
      <c r="K1005" s="30"/>
      <c r="L1005" s="30"/>
      <c r="M1005" s="30"/>
      <c r="N1005" s="30"/>
      <c r="O1005" s="30"/>
      <c r="P1005" s="30"/>
      <c r="Q1005" s="30"/>
      <c r="R1005" s="30"/>
      <c r="S1005" s="195"/>
      <c r="T1005" s="195"/>
      <c r="U1005" s="195"/>
      <c r="V1005" s="195"/>
      <c r="W1005" s="30"/>
      <c r="X1005" s="30"/>
      <c r="Y1005" s="30"/>
      <c r="Z1005" s="30"/>
      <c r="AA1005" s="30"/>
      <c r="AB1005" s="30"/>
    </row>
    <row r="1006">
      <c r="A1006" s="294"/>
      <c r="B1006" s="30"/>
      <c r="C1006" s="30"/>
      <c r="D1006" s="30"/>
      <c r="E1006" s="30"/>
      <c r="F1006" s="292"/>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row>
    <row r="1007">
      <c r="A1007" s="294"/>
      <c r="B1007" s="30"/>
      <c r="C1007" s="30"/>
      <c r="D1007" s="30"/>
      <c r="E1007" s="30"/>
      <c r="F1007" s="292"/>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row>
    <row r="1008">
      <c r="A1008" s="294"/>
      <c r="B1008" s="30"/>
      <c r="C1008" s="30"/>
      <c r="D1008" s="30"/>
      <c r="E1008" s="30"/>
      <c r="F1008" s="292"/>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row>
    <row r="1009">
      <c r="A1009" s="294"/>
      <c r="B1009" s="30"/>
      <c r="C1009" s="30"/>
      <c r="D1009" s="30"/>
      <c r="E1009" s="30"/>
      <c r="F1009" s="292"/>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row>
    <row r="1010">
      <c r="A1010" s="294"/>
      <c r="B1010" s="30"/>
      <c r="C1010" s="30"/>
      <c r="D1010" s="30"/>
      <c r="E1010" s="30"/>
      <c r="F1010" s="292"/>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row>
    <row r="1011">
      <c r="A1011" s="294"/>
      <c r="B1011" s="30"/>
      <c r="C1011" s="30"/>
      <c r="D1011" s="30"/>
      <c r="E1011" s="30"/>
      <c r="F1011" s="292"/>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row>
    <row r="1012">
      <c r="A1012" s="294"/>
      <c r="B1012" s="30"/>
      <c r="C1012" s="30"/>
      <c r="D1012" s="30"/>
      <c r="E1012" s="30"/>
      <c r="F1012" s="292"/>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row>
    <row r="1013">
      <c r="A1013" s="294"/>
      <c r="B1013" s="30"/>
      <c r="C1013" s="30"/>
      <c r="D1013" s="30"/>
      <c r="E1013" s="30"/>
      <c r="F1013" s="292"/>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row>
    <row r="1014">
      <c r="A1014" s="294"/>
      <c r="B1014" s="30"/>
      <c r="C1014" s="30"/>
      <c r="D1014" s="30"/>
      <c r="E1014" s="30"/>
      <c r="F1014" s="292"/>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row>
    <row r="1015">
      <c r="A1015" s="294"/>
      <c r="B1015" s="30"/>
      <c r="C1015" s="30"/>
      <c r="D1015" s="30"/>
      <c r="E1015" s="30"/>
      <c r="F1015" s="292"/>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row>
    <row r="1016">
      <c r="A1016" s="294"/>
      <c r="B1016" s="30"/>
      <c r="C1016" s="30"/>
      <c r="D1016" s="30"/>
      <c r="E1016" s="30"/>
      <c r="F1016" s="292"/>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2.5"/>
    <col customWidth="1" min="40" max="40" width="39.13"/>
  </cols>
  <sheetData>
    <row r="1" ht="41.25" customHeight="1">
      <c r="A1" s="72" t="s">
        <v>233</v>
      </c>
      <c r="E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72" t="s">
        <v>234</v>
      </c>
      <c r="M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4"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74"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75" t="s">
        <v>2355</v>
      </c>
      <c r="AK1" s="76" t="s">
        <v>237</v>
      </c>
    </row>
    <row r="2" ht="41.25" customHeight="1"/>
    <row r="3" ht="103.5" customHeight="1">
      <c r="A3" s="295" t="s">
        <v>4794</v>
      </c>
      <c r="E3" s="296" t="str">
        <f>IFERROR(__xludf.DUMMYFUNCTION("GOOGLETRANSLATE(A3,""zh-tw"",""ja"")"),"汎用ドロップは含まれません。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3" s="295" t="s">
        <v>4795</v>
      </c>
      <c r="M3" s="296" t="str">
        <f>IFERROR(__xludf.DUMMYFUNCTION("GOOGLETRANSLATE(A3,""zh-tw"",""zh"")"),"通用掉落物不列入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3" s="296" t="str">
        <f>IFERROR(__xludf.DUMMYFUNCTION("GOOGLETRANSLATE(A3,""zh-tw"",""es-MX"")"),"No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3" s="296" t="str">
        <f>IFERROR(__xludf.DUMMYFUNCTION("GOOGLETRANSLATE(A3,""zh-tw"",""KO"")"),"일반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f>
        <v>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v>
      </c>
      <c r="Y3" s="297" t="str">
        <f>IFERROR(__xludf.DUMMYFUNCTION("GOOGLETRANSLATE(A3,""zh-tw"",""ru"")"),"Обычные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повторн"&amp;"о из одного и того же монстра. Вероятность повторного выпадения уменьшится и не будет равна изначальной.")</f>
        <v>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повторно из одного и того же монстра. Вероятность повторного выпадения уменьшится и не будет равна изначальной.</v>
      </c>
      <c r="AC3" s="296" t="str">
        <f>IFERROR(__xludf.DUMMYFUNCTION("GOOGLETRANSLATE(A3,""zh-tw"",""DE"")"),"Allgemeine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3" s="296" t="str">
        <f>IFERROR(__xludf.DUMMYFUNCTION("GOOGLETRANSLATE(A3,""zh-tw"",""VI"")"),"Không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"&amp;"ra nhiều lần sẽ giảm dần và không còn giữ nguyên như ban đầu.")</f>
        <v>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ra nhiều lần sẽ giảm dần và không còn giữ nguyên như ban đầu.</v>
      </c>
      <c r="AK3" s="295" t="s">
        <v>4796</v>
      </c>
    </row>
    <row r="4" ht="69.75" customHeight="1">
      <c r="A4" s="78" t="s">
        <v>4797</v>
      </c>
      <c r="B4" s="87" t="s">
        <v>4798</v>
      </c>
      <c r="C4" s="80" t="s">
        <v>4799</v>
      </c>
      <c r="D4" s="298" t="s">
        <v>4800</v>
      </c>
      <c r="E4" s="82" t="str">
        <f>IFERROR(__xludf.DUMMYFUNCTION("GOOGLETRANSLATE(A4,""zh-tw"",""ja"")"),"プロジェクト")</f>
        <v>プロジェクト</v>
      </c>
      <c r="F4" s="84" t="str">
        <f>IFERROR(__xludf.DUMMYFUNCTION("GOOGLETRANSLATE(B4,""zh-tw"",""ja"")"),"スペシャルドロップ")</f>
        <v>スペシャルドロップ</v>
      </c>
      <c r="G4" s="80" t="s">
        <v>4799</v>
      </c>
      <c r="H4" s="299" t="str">
        <f>IFERROR(__xludf.DUMMYFUNCTION("GOOGLETRANSLATE(D4,""zh-tw"",""ja"")"),"述べる")</f>
        <v>述べる</v>
      </c>
      <c r="I4" s="82" t="s">
        <v>4801</v>
      </c>
      <c r="J4" s="87" t="s">
        <v>4802</v>
      </c>
      <c r="K4" s="84" t="s">
        <v>4803</v>
      </c>
      <c r="L4" s="298" t="str">
        <f>IFERROR(__xludf.DUMMYFUNCTION("GOOGLETRANSLATE(D4,""zh-tw"",""en"")"),"Remark")</f>
        <v>Remark</v>
      </c>
      <c r="M4" s="82" t="str">
        <f>IFERROR(__xludf.DUMMYFUNCTION("GOOGLETRANSLATE(A4,""zh-tw"",""zh"")"),"项目")</f>
        <v>项目</v>
      </c>
      <c r="N4" s="84" t="str">
        <f>IFERROR(__xludf.DUMMYFUNCTION("GOOGLETRANSLATE(B4,""zh-tw"",""zh"")"),"特殊掉落")</f>
        <v>特殊掉落</v>
      </c>
      <c r="O4" s="84" t="str">
        <f>IFERROR(__xludf.DUMMYFUNCTION("GOOGLETRANSLATE(C4,""zh-tw"",""zh"")"),"机率(%)")</f>
        <v>机率(%)</v>
      </c>
      <c r="P4" s="298" t="str">
        <f>IFERROR(__xludf.DUMMYFUNCTION("GOOGLETRANSLATE(D4,""zh-tw"",""zh"")"),"备注")</f>
        <v>备注</v>
      </c>
      <c r="Q4" s="82" t="str">
        <f>IFERROR(__xludf.DUMMYFUNCTION("GOOGLETRANSLATE(A4,""zh-tw"",""es-MX"")"),"proyecto")</f>
        <v>proyecto</v>
      </c>
      <c r="R4" s="84" t="str">
        <f>IFERROR(__xludf.DUMMYFUNCTION("GOOGLETRANSLATE(B4,""zh-tw"",""es-MX"")"),"Gotas especiales")</f>
        <v>Gotas especiales</v>
      </c>
      <c r="S4" s="84" t="str">
        <f>IFERROR(__xludf.DUMMYFUNCTION("GOOGLETRANSLATE(C4,""zh-tw"",""es-MX"")"),"probabilidad (%)")</f>
        <v>probabilidad (%)</v>
      </c>
      <c r="T4" s="298" t="str">
        <f>IFERROR(__xludf.DUMMYFUNCTION("GOOGLETRANSLATE(D4,""zh-tw"",""es-MX"")"),"Observación")</f>
        <v>Observación</v>
      </c>
      <c r="U4" s="82" t="str">
        <f>IFERROR(__xludf.DUMMYFUNCTION("GOOGLETRANSLATE(A4,""zh-tw"",""KO"")"),"프로젝트")</f>
        <v>프로젝트</v>
      </c>
      <c r="V4" s="80" t="str">
        <f>IFERROR(__xludf.DUMMYFUNCTION("GOOGLETRANSLATE(B4,""zh-tw"",""KO"")"),"스페셜 드롭")</f>
        <v>스페셜 드롭</v>
      </c>
      <c r="W4" s="80" t="str">
        <f>IFERROR(__xludf.DUMMYFUNCTION("GOOGLETRANSLATE(C4,""zh-tw"",""KO"")"),"확률(%)")</f>
        <v>확률(%)</v>
      </c>
      <c r="X4" s="299" t="str">
        <f>IFERROR(__xludf.DUMMYFUNCTION("GOOGLETRANSLATE(D4,""zh-tw"",""KO"")"),"주목")</f>
        <v>주목</v>
      </c>
      <c r="Y4" s="78" t="s">
        <v>4804</v>
      </c>
      <c r="Z4" s="87" t="s">
        <v>4805</v>
      </c>
      <c r="AA4" s="80" t="s">
        <v>4806</v>
      </c>
      <c r="AB4" s="298" t="s">
        <v>4807</v>
      </c>
      <c r="AC4" s="300" t="s">
        <v>4808</v>
      </c>
      <c r="AD4" s="87" t="s">
        <v>4809</v>
      </c>
      <c r="AE4" s="301" t="str">
        <f>IFERROR(__xludf.DUMMYFUNCTION("GOOGLETRANSLATE(C4,""zh-tw"",""DE"")"),"Wahrscheinlichkeit (%)")</f>
        <v>Wahrscheinlichkeit (%)</v>
      </c>
      <c r="AF4" s="298" t="s">
        <v>4810</v>
      </c>
      <c r="AG4" s="82" t="s">
        <v>4811</v>
      </c>
      <c r="AH4" s="87" t="s">
        <v>4812</v>
      </c>
      <c r="AI4" s="84" t="s">
        <v>4813</v>
      </c>
      <c r="AJ4" s="298" t="s">
        <v>4814</v>
      </c>
      <c r="AK4" s="82" t="s">
        <v>4815</v>
      </c>
      <c r="AL4" s="87" t="s">
        <v>4816</v>
      </c>
      <c r="AM4" s="87" t="s">
        <v>4817</v>
      </c>
      <c r="AN4" s="298" t="s">
        <v>4818</v>
      </c>
    </row>
    <row r="5">
      <c r="A5" s="97" t="s">
        <v>4819</v>
      </c>
      <c r="E5" s="302" t="str">
        <f>IFERROR(__xludf.DUMMYFUNCTION("GOOGLETRANSLATE(A5,""zh-tw"",""ja"")"),"小さなモンスター")</f>
        <v>小さなモンスター</v>
      </c>
      <c r="I5" s="302" t="s">
        <v>4820</v>
      </c>
      <c r="M5" s="302" t="str">
        <f>IFERROR(__xludf.DUMMYFUNCTION("GOOGLETRANSLATE(A5,""zh-tw"",""zh"")"),"一般小型怪物")</f>
        <v>一般小型怪物</v>
      </c>
      <c r="Q5" s="302" t="str">
        <f>IFERROR(__xludf.DUMMYFUNCTION("GOOGLETRANSLATE(A5,""zh-tw"",""es-MX"")"),"Pequeños monstruos")</f>
        <v>Pequeños monstruos</v>
      </c>
      <c r="U5" s="302" t="str">
        <f>IFERROR(__xludf.DUMMYFUNCTION("GOOGLETRANSLATE(A5,""zh-tw"",""KO"")"),"작은 괴물들")</f>
        <v>작은 괴물들</v>
      </c>
      <c r="Y5" s="97" t="str">
        <f>IFERROR(__xludf.DUMMYFUNCTION("GOOGLETRANSLATE(A5,""zh-tw"",""ru"")"),"Маленькие монстры")</f>
        <v>Маленькие монстры</v>
      </c>
      <c r="AC5" s="302" t="str">
        <f>IFERROR(__xludf.DUMMYFUNCTION("GOOGLETRANSLATE(A4,""zh-tw"",""DE"")"),"Projekt")</f>
        <v>Projekt</v>
      </c>
      <c r="AG5" s="302" t="s">
        <v>4821</v>
      </c>
      <c r="AK5" s="302" t="s">
        <v>4822</v>
      </c>
    </row>
    <row r="6">
      <c r="A6" s="106" t="s">
        <v>4823</v>
      </c>
      <c r="B6" s="51" t="s">
        <v>4824</v>
      </c>
      <c r="C6" s="51" t="s">
        <v>4825</v>
      </c>
      <c r="D6" s="303" t="s">
        <v>813</v>
      </c>
      <c r="E6" s="138" t="str">
        <f>IFERROR(__xludf.DUMMYFUNCTION("GOOGLETRANSLATE(A6,""zh-tw"",""ja"")"),"バナナの妖精")</f>
        <v>バナナの妖精</v>
      </c>
      <c r="F6" s="142" t="s">
        <v>4826</v>
      </c>
      <c r="G6" s="51" t="s">
        <v>4825</v>
      </c>
      <c r="H6" s="304" t="str">
        <f>IFERROR(__xludf.DUMMYFUNCTION("GOOGLETRANSLATE(D6,""zh-tw"",""ja"")"),"-")</f>
        <v>-</v>
      </c>
      <c r="I6" s="138" t="s">
        <v>4827</v>
      </c>
      <c r="J6" s="142" t="s">
        <v>4828</v>
      </c>
      <c r="K6" s="142" t="s">
        <v>4825</v>
      </c>
      <c r="L6" s="303" t="str">
        <f>IFERROR(__xludf.DUMMYFUNCTION("GOOGLETRANSLATE(D6,""zh-tw"",""en"")"),"-")</f>
        <v>-</v>
      </c>
      <c r="M6" s="138" t="str">
        <f>IFERROR(__xludf.DUMMYFUNCTION("GOOGLETRANSLATE(A6,""zh-tw"",""zh"")"),"香蕉妖精")</f>
        <v>香蕉妖精</v>
      </c>
      <c r="N6" s="142" t="str">
        <f>IFERROR(__xludf.DUMMYFUNCTION("GOOGLETRANSLATE(B6,""zh-tw"",""zh"")"),"香蕉妖精
香蕉?")</f>
        <v>香蕉妖精
香蕉?</v>
      </c>
      <c r="O6" s="142" t="s">
        <v>4825</v>
      </c>
      <c r="P6" s="304" t="str">
        <f>IFERROR(__xludf.DUMMYFUNCTION("GOOGLETRANSLATE(D6,""zh-tw"",""zh"")"),"-")</f>
        <v>-</v>
      </c>
      <c r="Q6" s="106" t="str">
        <f>IFERROR(__xludf.DUMMYFUNCTION("GOOGLETRANSLATE(A6,""zh-tw"",""es-MX"")"),"Hada del plátano")</f>
        <v>Hada del plátano</v>
      </c>
      <c r="R6" s="142" t="str">
        <f>IFERROR(__xludf.DUMMYFUNCTION("GOOGLETRANSLATE(B6,""zh-tw"",""es-MX"")"),"Hada del Plátano
¿Plátano?")</f>
        <v>Hada del Plátano
¿Plátano?</v>
      </c>
      <c r="S6" s="142" t="s">
        <v>4825</v>
      </c>
      <c r="T6" s="303" t="str">
        <f>IFERROR(__xludf.DUMMYFUNCTION("GOOGLETRANSLATE(D6,""zh-tw"",""es-MX"")"),"-")</f>
        <v>-</v>
      </c>
      <c r="U6" s="138" t="str">
        <f>IFERROR(__xludf.DUMMYFUNCTION("GOOGLETRANSLATE(A6,""zh-tw"",""KO"")"),"바나나 요정")</f>
        <v>바나나 요정</v>
      </c>
      <c r="V6" s="51" t="str">
        <f>IFERROR(__xludf.DUMMYFUNCTION("GOOGLETRANSLATE(B6,""zh-tw"",""KO"")"),"바나나 요정
바나나?")</f>
        <v>바나나 요정
바나나?</v>
      </c>
      <c r="W6" s="51" t="s">
        <v>4825</v>
      </c>
      <c r="X6" s="304" t="str">
        <f>IFERROR(__xludf.DUMMYFUNCTION("GOOGLETRANSLATE(D6,""zh-tw"",""KO"")"),"-")</f>
        <v>-</v>
      </c>
      <c r="Y6" s="106" t="s">
        <v>4829</v>
      </c>
      <c r="Z6" s="51" t="str">
        <f>IFERROR(__xludf.DUMMYFUNCTION("GOOGLETRANSLATE(B6,""zh-tw"",""RU"")"),"Банановая фея
Банан?")</f>
        <v>Банановая фея
Банан?</v>
      </c>
      <c r="AA6" s="51" t="s">
        <v>4825</v>
      </c>
      <c r="AB6" s="303" t="s">
        <v>813</v>
      </c>
      <c r="AC6" s="138" t="s">
        <v>4830</v>
      </c>
      <c r="AD6" s="142" t="s">
        <v>4831</v>
      </c>
      <c r="AE6" s="142" t="s">
        <v>4825</v>
      </c>
      <c r="AF6" s="303" t="s">
        <v>813</v>
      </c>
      <c r="AG6" s="138" t="s">
        <v>4832</v>
      </c>
      <c r="AH6" s="142" t="s">
        <v>4833</v>
      </c>
      <c r="AI6" s="142" t="s">
        <v>4825</v>
      </c>
      <c r="AJ6" s="303" t="s">
        <v>813</v>
      </c>
      <c r="AK6" s="138" t="s">
        <v>4834</v>
      </c>
      <c r="AL6" s="142" t="s">
        <v>4835</v>
      </c>
      <c r="AM6" s="142" t="s">
        <v>4825</v>
      </c>
      <c r="AN6" s="303" t="s">
        <v>813</v>
      </c>
    </row>
    <row r="7">
      <c r="A7" s="106" t="s">
        <v>4836</v>
      </c>
      <c r="B7" s="51" t="s">
        <v>4837</v>
      </c>
      <c r="C7" s="51" t="s">
        <v>4838</v>
      </c>
      <c r="D7" s="303" t="s">
        <v>813</v>
      </c>
      <c r="E7" s="106" t="str">
        <f>IFERROR(__xludf.DUMMYFUNCTION("GOOGLETRANSLATE(A7,""zh-tw"",""ja"")"),"リンゴの妖精")</f>
        <v>リンゴの妖精</v>
      </c>
      <c r="F7" s="142" t="str">
        <f>IFERROR(__xludf.DUMMYFUNCTION("GOOGLETRANSLATE(B7,""zh-tw"",""ja"")"),"アップルフェアリー
アップルヘッドギア")</f>
        <v>アップルフェアリー
アップルヘッドギア</v>
      </c>
      <c r="G7" s="51" t="s">
        <v>4838</v>
      </c>
      <c r="H7" s="304" t="str">
        <f>IFERROR(__xludf.DUMMYFUNCTION("GOOGLETRANSLATE(D7,""zh-tw"",""ja"")"),"-")</f>
        <v>-</v>
      </c>
      <c r="I7" s="138" t="s">
        <v>4839</v>
      </c>
      <c r="J7" s="142" t="s">
        <v>4840</v>
      </c>
      <c r="K7" s="142" t="s">
        <v>4838</v>
      </c>
      <c r="L7" s="303" t="str">
        <f>IFERROR(__xludf.DUMMYFUNCTION("GOOGLETRANSLATE(D7,""zh-tw"",""en"")"),"-")</f>
        <v>-</v>
      </c>
      <c r="M7" s="138" t="str">
        <f>IFERROR(__xludf.DUMMYFUNCTION("GOOGLETRANSLATE(A7,""zh-tw"",""zh"")"),"苹果妖精")</f>
        <v>苹果妖精</v>
      </c>
      <c r="N7" s="142" t="str">
        <f>IFERROR(__xludf.DUMMYFUNCTION("GOOGLETRANSLATE(B7,""zh-tw"",""zh"")"),"苹果妖精
苹果头套")</f>
        <v>苹果妖精
苹果头套</v>
      </c>
      <c r="O7" s="142" t="s">
        <v>4838</v>
      </c>
      <c r="P7" s="303" t="str">
        <f>IFERROR(__xludf.DUMMYFUNCTION("GOOGLETRANSLATE(D7,""zh-tw"",""zh"")"),"-")</f>
        <v>-</v>
      </c>
      <c r="Q7" s="106" t="str">
        <f>IFERROR(__xludf.DUMMYFUNCTION("GOOGLETRANSLATE(A7,""zh-tw"",""es-MX"")"),"Hada de la manzana")</f>
        <v>Hada de la manzana</v>
      </c>
      <c r="R7" s="142" t="str">
        <f>IFERROR(__xludf.DUMMYFUNCTION("GOOGLETRANSLATE(B7,""zh-tw"",""es-MX"")"),"Hada de la Manzana
Cabeza de Manzana")</f>
        <v>Hada de la Manzana
Cabeza de Manzana</v>
      </c>
      <c r="S7" s="142" t="s">
        <v>4838</v>
      </c>
      <c r="T7" s="303" t="str">
        <f>IFERROR(__xludf.DUMMYFUNCTION("GOOGLETRANSLATE(D7,""zh-tw"",""es-MX"")"),"-")</f>
        <v>-</v>
      </c>
      <c r="U7" s="138" t="str">
        <f>IFERROR(__xludf.DUMMYFUNCTION("GOOGLETRANSLATE(A7,""zh-tw"",""KO"")"),"애플 페어리")</f>
        <v>애플 페어리</v>
      </c>
      <c r="V7" s="51" t="str">
        <f>IFERROR(__xludf.DUMMYFUNCTION("GOOGLETRANSLATE(B7,""zh-tw"",""KO"")"),"사과 요정
사과 머리 장식")</f>
        <v>사과 요정
사과 머리 장식</v>
      </c>
      <c r="W7" s="51" t="s">
        <v>4838</v>
      </c>
      <c r="X7" s="304" t="str">
        <f>IFERROR(__xludf.DUMMYFUNCTION("GOOGLETRANSLATE(D7,""zh-tw"",""KO"")"),"-")</f>
        <v>-</v>
      </c>
      <c r="Y7" s="106" t="s">
        <v>4841</v>
      </c>
      <c r="Z7" s="51" t="str">
        <f>IFERROR(__xludf.DUMMYFUNCTION("GOOGLETRANSLATE(B7,""zh-tw"",""RU"")"),"Яблочная Фея
Головной убор «Яблоко»")</f>
        <v>Яблочная Фея
Головной убор «Яблоко»</v>
      </c>
      <c r="AA7" s="51" t="s">
        <v>4838</v>
      </c>
      <c r="AB7" s="303" t="s">
        <v>813</v>
      </c>
      <c r="AC7" s="138" t="s">
        <v>4842</v>
      </c>
      <c r="AD7" s="142" t="s">
        <v>4843</v>
      </c>
      <c r="AE7" s="142" t="s">
        <v>4838</v>
      </c>
      <c r="AF7" s="303" t="s">
        <v>813</v>
      </c>
      <c r="AG7" s="138" t="s">
        <v>4844</v>
      </c>
      <c r="AH7" s="142" t="s">
        <v>4845</v>
      </c>
      <c r="AI7" s="142" t="s">
        <v>4838</v>
      </c>
      <c r="AJ7" s="303" t="s">
        <v>813</v>
      </c>
      <c r="AK7" s="138" t="s">
        <v>4846</v>
      </c>
      <c r="AL7" s="142" t="s">
        <v>4847</v>
      </c>
      <c r="AM7" s="142" t="s">
        <v>4838</v>
      </c>
      <c r="AN7" s="303" t="s">
        <v>813</v>
      </c>
    </row>
    <row r="8">
      <c r="A8" s="106" t="s">
        <v>4848</v>
      </c>
      <c r="B8" s="51" t="s">
        <v>4849</v>
      </c>
      <c r="C8" s="51" t="s">
        <v>4850</v>
      </c>
      <c r="D8" s="303" t="s">
        <v>813</v>
      </c>
      <c r="E8" s="106" t="str">
        <f>IFERROR(__xludf.DUMMYFUNCTION("GOOGLETRANSLATE(A8,""zh-tw"",""ja"")"),"猫スライム")</f>
        <v>猫スライム</v>
      </c>
      <c r="F8" s="142" t="s">
        <v>4851</v>
      </c>
      <c r="G8" s="51" t="s">
        <v>4850</v>
      </c>
      <c r="H8" s="304" t="str">
        <f>IFERROR(__xludf.DUMMYFUNCTION("GOOGLETRANSLATE(D8,""zh-tw"",""ja"")"),"-")</f>
        <v>-</v>
      </c>
      <c r="I8" s="138" t="s">
        <v>4852</v>
      </c>
      <c r="J8" s="142" t="s">
        <v>4853</v>
      </c>
      <c r="K8" s="142" t="s">
        <v>4850</v>
      </c>
      <c r="L8" s="303" t="str">
        <f>IFERROR(__xludf.DUMMYFUNCTION("GOOGLETRANSLATE(D8,""zh-tw"",""en"")"),"-")</f>
        <v>-</v>
      </c>
      <c r="M8" s="138" t="str">
        <f>IFERROR(__xludf.DUMMYFUNCTION("GOOGLETRANSLATE(A8,""zh-tw"",""zh"")"),"猫咪史莱姆")</f>
        <v>猫咪史莱姆</v>
      </c>
      <c r="N8" s="142" t="str">
        <f>IFERROR(__xludf.DUMMYFUNCTION("GOOGLETRANSLATE(B8,""zh-tw"",""zh"")"),"史莱姆的黏液
借来的猫爪
猫猫玩偶服
招财猫")</f>
        <v>史莱姆的黏液
借来的猫爪
猫猫玩偶服
招财猫</v>
      </c>
      <c r="O8" s="142" t="s">
        <v>4850</v>
      </c>
      <c r="P8" s="304" t="str">
        <f>IFERROR(__xludf.DUMMYFUNCTION("GOOGLETRANSLATE(D8,""zh-tw"",""zh"")"),"-")</f>
        <v>-</v>
      </c>
      <c r="Q8" s="106" t="str">
        <f>IFERROR(__xludf.DUMMYFUNCTION("GOOGLETRANSLATE(A8,""zh-tw"",""es-MX"")"),"Baba de gato")</f>
        <v>Baba de gato</v>
      </c>
      <c r="R8" s="142" t="str">
        <f>IFERROR(__xludf.DUMMYFUNCTION("GOOGLETRANSLATE(B8,""zh-tw"",""es-MX"")"),"Slime slime
Pata de gato prestada
Disfraz de gato
Gato de la suerte")</f>
        <v>Slime slime
Pata de gato prestada
Disfraz de gato
Gato de la suerte</v>
      </c>
      <c r="S8" s="142" t="s">
        <v>4850</v>
      </c>
      <c r="T8" s="303" t="str">
        <f>IFERROR(__xludf.DUMMYFUNCTION("GOOGLETRANSLATE(D8,""zh-tw"",""es-MX"")"),"-")</f>
        <v>-</v>
      </c>
      <c r="U8" s="138" t="str">
        <f>IFERROR(__xludf.DUMMYFUNCTION("GOOGLETRANSLATE(A8,""zh-tw"",""KO"")"),"고양이 슬라임")</f>
        <v>고양이 슬라임</v>
      </c>
      <c r="V8" s="51" t="str">
        <f>IFERROR(__xludf.DUMMYFUNCTION("GOOGLETRANSLATE(B8,""zh-tw"",""KO"")"),"슬라임 슬라임
빌린 고양이 발
고양이 의상
행운의 고양이")</f>
        <v>슬라임 슬라임
빌린 고양이 발
고양이 의상
행운의 고양이</v>
      </c>
      <c r="W8" s="51" t="s">
        <v>4850</v>
      </c>
      <c r="X8" s="304" t="str">
        <f>IFERROR(__xludf.DUMMYFUNCTION("GOOGLETRANSLATE(D8,""zh-tw"",""KO"")"),"-")</f>
        <v>-</v>
      </c>
      <c r="Y8" s="106" t="s">
        <v>4854</v>
      </c>
      <c r="Z8" s="51" t="str">
        <f>IFERROR(__xludf.DUMMYFUNCTION("GOOGLETRANSLATE(B8,""zh-tw"",""RU"")"),"Слайм-слайм
Кошачья лапка взаймы
Костюм кошки
Счастливый кот")</f>
        <v>Слайм-слайм
Кошачья лапка взаймы
Костюм кошки
Счастливый кот</v>
      </c>
      <c r="AA8" s="51" t="s">
        <v>4850</v>
      </c>
      <c r="AB8" s="303" t="s">
        <v>813</v>
      </c>
      <c r="AC8" s="138" t="s">
        <v>4855</v>
      </c>
      <c r="AD8" s="142" t="s">
        <v>4856</v>
      </c>
      <c r="AE8" s="142" t="s">
        <v>4850</v>
      </c>
      <c r="AF8" s="303" t="s">
        <v>813</v>
      </c>
      <c r="AG8" s="138" t="s">
        <v>4857</v>
      </c>
      <c r="AH8" s="142" t="s">
        <v>4858</v>
      </c>
      <c r="AI8" s="142" t="s">
        <v>4850</v>
      </c>
      <c r="AJ8" s="303" t="s">
        <v>813</v>
      </c>
      <c r="AK8" s="138" t="s">
        <v>4859</v>
      </c>
      <c r="AL8" s="142" t="s">
        <v>4860</v>
      </c>
      <c r="AM8" s="142" t="s">
        <v>4850</v>
      </c>
      <c r="AN8" s="303" t="s">
        <v>813</v>
      </c>
    </row>
    <row r="9">
      <c r="A9" s="106" t="s">
        <v>4861</v>
      </c>
      <c r="B9" s="51" t="s">
        <v>4862</v>
      </c>
      <c r="C9" s="51" t="s">
        <v>4863</v>
      </c>
      <c r="D9" s="304" t="s">
        <v>813</v>
      </c>
      <c r="E9" s="106" t="str">
        <f>IFERROR(__xludf.DUMMYFUNCTION("GOOGLETRANSLATE(A9,""zh-tw"",""ja"")"),"草食スライム")</f>
        <v>草食スライム</v>
      </c>
      <c r="F9" s="142" t="s">
        <v>4864</v>
      </c>
      <c r="G9" s="51" t="s">
        <v>4863</v>
      </c>
      <c r="H9" s="304" t="str">
        <f>IFERROR(__xludf.DUMMYFUNCTION("GOOGLETRANSLATE(D9,""zh-tw"",""ja"")"),"-")</f>
        <v>-</v>
      </c>
      <c r="I9" s="138" t="s">
        <v>4865</v>
      </c>
      <c r="J9" s="142" t="s">
        <v>4866</v>
      </c>
      <c r="K9" s="142" t="s">
        <v>4867</v>
      </c>
      <c r="L9" s="303" t="str">
        <f>IFERROR(__xludf.DUMMYFUNCTION("GOOGLETRANSLATE(D9,""zh-tw"",""en"")"),"-")</f>
        <v>-</v>
      </c>
      <c r="M9" s="138" t="str">
        <f>IFERROR(__xludf.DUMMYFUNCTION("GOOGLETRANSLATE(A9,""zh-tw"",""zh"")"),"草食史莱姆")</f>
        <v>草食史莱姆</v>
      </c>
      <c r="N9" s="142" t="str">
        <f>IFERROR(__xludf.DUMMYFUNCTION("GOOGLETRANSLATE(B9,""zh-tw"",""zh"")"),"史莱姆的黏液
芳草心
硬木棒
硬木剑
斩裂剑提尔锋")</f>
        <v>史莱姆的黏液
芳草心
硬木棒
硬木剑
斩裂剑提尔锋</v>
      </c>
      <c r="O9" s="142" t="s">
        <v>4863</v>
      </c>
      <c r="P9" s="304" t="str">
        <f>IFERROR(__xludf.DUMMYFUNCTION("GOOGLETRANSLATE(D9,""zh-tw"",""zh"")"),"-")</f>
        <v>-</v>
      </c>
      <c r="Q9" s="106" t="str">
        <f>IFERROR(__xludf.DUMMYFUNCTION("GOOGLETRANSLATE(A9,""zh-tw"",""es-MX"")"),"Limo herbívoro")</f>
        <v>Limo herbívoro</v>
      </c>
      <c r="R9" s="142" t="str">
        <f>IFERROR(__xludf.DUMMYFUNCTION("GOOGLETRANSLATE(B9,""zh-tw"",""es-MX"")"),"Slime de Slime
Corazón de Hierba Fragante
Palo de Madera Dura
Espada de Madera Dura
Filo de Tyr (Espada Cortante)")</f>
        <v>Slime de Slime
Corazón de Hierba Fragante
Palo de Madera Dura
Espada de Madera Dura
Filo de Tyr (Espada Cortante)</v>
      </c>
      <c r="S9" s="142" t="s">
        <v>4863</v>
      </c>
      <c r="T9" s="303" t="str">
        <f>IFERROR(__xludf.DUMMYFUNCTION("GOOGLETRANSLATE(D9,""zh-tw"",""es-MX"")"),"-")</f>
        <v>-</v>
      </c>
      <c r="U9" s="138" t="str">
        <f>IFERROR(__xludf.DUMMYFUNCTION("GOOGLETRANSLATE(A9,""zh-tw"",""KO"")"),"초식성 슬라임")</f>
        <v>초식성 슬라임</v>
      </c>
      <c r="V9" s="51" t="str">
        <f>IFERROR(__xludf.DUMMYFUNCTION("GOOGLETRANSLATE(B9,""zh-tw"",""KO"")"),"슬라임의 슬라임
향기로운 풀의 심장
단단한 나무 막대기
단단한 나무 검
티르의 칼날 (슬라이싱 검)")</f>
        <v>슬라임의 슬라임
향기로운 풀의 심장
단단한 나무 막대기
단단한 나무 검
티르의 칼날 (슬라이싱 검)</v>
      </c>
      <c r="W9" s="51" t="s">
        <v>4863</v>
      </c>
      <c r="X9" s="304" t="str">
        <f>IFERROR(__xludf.DUMMYFUNCTION("GOOGLETRANSLATE(D9,""zh-tw"",""KO"")"),"-")</f>
        <v>-</v>
      </c>
      <c r="Y9" s="106" t="s">
        <v>4868</v>
      </c>
      <c r="Z9" s="51" t="str">
        <f>IFERROR(__xludf.DUMMYFUNCTION("GOOGLETRANSLATE(B9,""zh-tw"",""RU"")"),"Слизь Слизи
Сердце душистой травы
Деревянная палка
Деревянный меч
Лезвие Тира (Разрубающий меч)")</f>
        <v>Слизь Слизи
Сердце душистой травы
Деревянная палка
Деревянный меч
Лезвие Тира (Разрубающий меч)</v>
      </c>
      <c r="AA9" s="51" t="s">
        <v>4863</v>
      </c>
      <c r="AB9" s="303" t="s">
        <v>813</v>
      </c>
      <c r="AC9" s="138" t="s">
        <v>4869</v>
      </c>
      <c r="AD9" s="142" t="s">
        <v>4870</v>
      </c>
      <c r="AE9" s="142" t="s">
        <v>4863</v>
      </c>
      <c r="AF9" s="303" t="s">
        <v>4871</v>
      </c>
      <c r="AG9" s="138" t="s">
        <v>4872</v>
      </c>
      <c r="AH9" s="142" t="s">
        <v>4873</v>
      </c>
      <c r="AI9" s="142" t="s">
        <v>4863</v>
      </c>
      <c r="AJ9" s="303" t="s">
        <v>813</v>
      </c>
      <c r="AK9" s="138" t="s">
        <v>4874</v>
      </c>
      <c r="AL9" s="142" t="s">
        <v>4875</v>
      </c>
      <c r="AM9" s="142" t="s">
        <v>4863</v>
      </c>
      <c r="AN9" s="303" t="s">
        <v>813</v>
      </c>
    </row>
    <row r="10">
      <c r="A10" s="106" t="s">
        <v>4876</v>
      </c>
      <c r="B10" s="51" t="s">
        <v>4877</v>
      </c>
      <c r="C10" s="51" t="s">
        <v>4878</v>
      </c>
      <c r="D10" s="303" t="s">
        <v>813</v>
      </c>
      <c r="E10" s="106" t="s">
        <v>4879</v>
      </c>
      <c r="F10" s="142" t="s">
        <v>4880</v>
      </c>
      <c r="G10" s="51" t="s">
        <v>4878</v>
      </c>
      <c r="H10" s="304" t="str">
        <f>IFERROR(__xludf.DUMMYFUNCTION("GOOGLETRANSLATE(D10,""zh-tw"",""ja"")"),"-")</f>
        <v>-</v>
      </c>
      <c r="I10" s="106" t="s">
        <v>4881</v>
      </c>
      <c r="J10" s="142" t="s">
        <v>4882</v>
      </c>
      <c r="K10" s="142" t="s">
        <v>4878</v>
      </c>
      <c r="L10" s="303" t="str">
        <f>IFERROR(__xludf.DUMMYFUNCTION("GOOGLETRANSLATE(D10,""zh-tw"",""en"")"),"-")</f>
        <v>-</v>
      </c>
      <c r="M10" s="138" t="str">
        <f>IFERROR(__xludf.DUMMYFUNCTION("GOOGLETRANSLATE(A10,""zh-tw"",""zh"")"),"急冻史莱姆")</f>
        <v>急冻史莱姆</v>
      </c>
      <c r="N10" s="142" t="str">
        <f>IFERROR(__xludf.DUMMYFUNCTION("GOOGLETRANSLATE(B10,""zh-tw"",""zh"")"),"史莱姆的黏液
魔力晶簇
雪见
霜月
寒冰杖")</f>
        <v>史莱姆的黏液
魔力晶簇
雪见
霜月
寒冰杖</v>
      </c>
      <c r="O10" s="142" t="s">
        <v>4878</v>
      </c>
      <c r="P10" s="303" t="str">
        <f>IFERROR(__xludf.DUMMYFUNCTION("GOOGLETRANSLATE(D10,""zh-tw"",""zh"")"),"-")</f>
        <v>-</v>
      </c>
      <c r="Q10" s="106" t="str">
        <f>IFERROR(__xludf.DUMMYFUNCTION("GOOGLETRANSLATE(A10,""zh-tw"",""es-MX"")"),"Slime congelado")</f>
        <v>Slime congelado</v>
      </c>
      <c r="R10" s="142" t="str">
        <f>IFERROR(__xludf.DUMMYFUNCTION("GOOGLETRANSLATE(B10,""zh-tw"",""es-MX"")"),"Slime Slime
Cúmulo de Cristales Mágicos
Visión de Nieve
Luna de Escarcha
Bastón de Hielo")</f>
        <v>Slime Slime
Cúmulo de Cristales Mágicos
Visión de Nieve
Luna de Escarcha
Bastón de Hielo</v>
      </c>
      <c r="S10" s="142" t="s">
        <v>4878</v>
      </c>
      <c r="T10" s="303" t="str">
        <f>IFERROR(__xludf.DUMMYFUNCTION("GOOGLETRANSLATE(D10,""zh-tw"",""es-MX"")"),"-")</f>
        <v>-</v>
      </c>
      <c r="U10" s="138" t="str">
        <f>IFERROR(__xludf.DUMMYFUNCTION("GOOGLETRANSLATE(A10,""zh-tw"",""KO"")"),"얼어붙은 슬라임")</f>
        <v>얼어붙은 슬라임</v>
      </c>
      <c r="V10" s="51" t="str">
        <f>IFERROR(__xludf.DUMMYFUNCTION("GOOGLETRANSLATE(B10,""zh-tw"",""KO"")"),"슬라임
마법 수정 클러스터
눈 구경
서리 달
얼음 지팡이")</f>
        <v>슬라임
마법 수정 클러스터
눈 구경
서리 달
얼음 지팡이</v>
      </c>
      <c r="W10" s="51" t="s">
        <v>4878</v>
      </c>
      <c r="X10" s="304" t="str">
        <f>IFERROR(__xludf.DUMMYFUNCTION("GOOGLETRANSLATE(D10,""zh-tw"",""KO"")"),"-")</f>
        <v>-</v>
      </c>
      <c r="Y10" s="106" t="s">
        <v>4883</v>
      </c>
      <c r="Z10" s="51" t="str">
        <f>IFERROR(__xludf.DUMMYFUNCTION("GOOGLETRANSLATE(B10,""zh-tw"",""RU"")"),"Слизь Слизь
Магический кристаллический кластер
Наблюдение за снегом
Морозная луна
Ледяной посох")</f>
        <v>Слизь Слизь
Магический кристаллический кластер
Наблюдение за снегом
Морозная луна
Ледяной посох</v>
      </c>
      <c r="AA10" s="51" t="s">
        <v>4878</v>
      </c>
      <c r="AB10" s="303" t="s">
        <v>813</v>
      </c>
      <c r="AC10" s="138" t="s">
        <v>4884</v>
      </c>
      <c r="AD10" s="142" t="s">
        <v>4885</v>
      </c>
      <c r="AE10" s="142" t="s">
        <v>4878</v>
      </c>
      <c r="AF10" s="303" t="s">
        <v>4886</v>
      </c>
      <c r="AG10" s="138" t="s">
        <v>4887</v>
      </c>
      <c r="AH10" s="142" t="s">
        <v>4888</v>
      </c>
      <c r="AI10" s="142" t="s">
        <v>4878</v>
      </c>
      <c r="AJ10" s="303" t="s">
        <v>813</v>
      </c>
      <c r="AK10" s="138" t="s">
        <v>4889</v>
      </c>
      <c r="AL10" s="136" t="s">
        <v>4890</v>
      </c>
      <c r="AM10" s="142" t="s">
        <v>4878</v>
      </c>
      <c r="AN10" s="303" t="s">
        <v>813</v>
      </c>
    </row>
    <row r="11" ht="41.25" customHeight="1">
      <c r="A11" s="106" t="s">
        <v>4891</v>
      </c>
      <c r="B11" s="51" t="s">
        <v>4892</v>
      </c>
      <c r="C11" s="51" t="s">
        <v>4893</v>
      </c>
      <c r="D11" s="304" t="s">
        <v>813</v>
      </c>
      <c r="E11" s="106" t="str">
        <f>IFERROR(__xludf.DUMMYFUNCTION("GOOGLETRANSLATE(A11,""zh-tw"",""ja"")"),"ビリビリスライム")</f>
        <v>ビリビリスライム</v>
      </c>
      <c r="F11" s="142" t="s">
        <v>4894</v>
      </c>
      <c r="G11" s="51" t="s">
        <v>4893</v>
      </c>
      <c r="H11" s="304" t="str">
        <f>IFERROR(__xludf.DUMMYFUNCTION("GOOGLETRANSLATE(D11,""zh-tw"",""ja"")"),"-")</f>
        <v>-</v>
      </c>
      <c r="I11" s="106" t="s">
        <v>4895</v>
      </c>
      <c r="J11" s="142" t="s">
        <v>4896</v>
      </c>
      <c r="K11" s="142" t="s">
        <v>4893</v>
      </c>
      <c r="L11" s="303" t="str">
        <f>IFERROR(__xludf.DUMMYFUNCTION("GOOGLETRANSLATE(D11,""zh-tw"",""en"")"),"-")</f>
        <v>-</v>
      </c>
      <c r="M11" s="138" t="str">
        <f>IFERROR(__xludf.DUMMYFUNCTION("GOOGLETRANSLATE(A11,""zh-tw"",""zh"")"),"哔哩哔哩史莱姆")</f>
        <v>哔哩哔哩史莱姆</v>
      </c>
      <c r="N11" s="142" t="str">
        <f>IFERROR(__xludf.DUMMYFUNCTION("GOOGLETRANSLATE(B11,""zh-tw"",""zh"")"),"史莱姆的黏液
会漏电的不良品
千鸟")</f>
        <v>史莱姆的黏液
会漏电的不良品
千鸟</v>
      </c>
      <c r="O11" s="142" t="s">
        <v>4893</v>
      </c>
      <c r="P11" s="304" t="str">
        <f>IFERROR(__xludf.DUMMYFUNCTION("GOOGLETRANSLATE(D11,""zh-tw"",""zh"")"),"-")</f>
        <v>-</v>
      </c>
      <c r="Q11" s="106" t="str">
        <f>IFERROR(__xludf.DUMMYFUNCTION("GOOGLETRANSLATE(A11,""zh-tw"",""es-MX"")"),"Slime Bilibili")</f>
        <v>Slime Bilibili</v>
      </c>
      <c r="R11" s="142" t="str">
        <f>IFERROR(__xludf.DUMMYFUNCTION("GOOGLETRANSLATE(B11,""zh-tw"",""es-MX"")"),"Slime de Slime
Producto defectuoso que pierde electricidad
Chidori")</f>
        <v>Slime de Slime
Producto defectuoso que pierde electricidad
Chidori</v>
      </c>
      <c r="S11" s="142" t="s">
        <v>4893</v>
      </c>
      <c r="T11" s="303" t="str">
        <f>IFERROR(__xludf.DUMMYFUNCTION("GOOGLETRANSLATE(D11,""zh-tw"",""es-MX"")"),"-")</f>
        <v>-</v>
      </c>
      <c r="U11" s="138" t="str">
        <f>IFERROR(__xludf.DUMMYFUNCTION("GOOGLETRANSLATE(A11,""zh-tw"",""KO"")"),"빌리빌리 슬라임")</f>
        <v>빌리빌리 슬라임</v>
      </c>
      <c r="V11" s="51" t="str">
        <f>IFERROR(__xludf.DUMMYFUNCTION("GOOGLETRANSLATE(B11,""zh-tw"",""KO"")"),"슬라임의 슬라임
전기가 새는 불량품
치도리")</f>
        <v>슬라임의 슬라임
전기가 새는 불량품
치도리</v>
      </c>
      <c r="W11" s="51" t="s">
        <v>4893</v>
      </c>
      <c r="X11" s="304" t="str">
        <f>IFERROR(__xludf.DUMMYFUNCTION("GOOGLETRANSLATE(D11,""zh-tw"",""KO"")"),"-")</f>
        <v>-</v>
      </c>
      <c r="Y11" s="106" t="s">
        <v>4897</v>
      </c>
      <c r="Z11" s="51" t="str">
        <f>IFERROR(__xludf.DUMMYFUNCTION("GOOGLETRANSLATE(B11,""zh-tw"",""RU"")"),"Слайм Слайм
Неисправный продукт, пропускающий электричество
Чидори")</f>
        <v>Слайм Слайм
Неисправный продукт, пропускающий электричество
Чидори</v>
      </c>
      <c r="AA11" s="51" t="s">
        <v>4893</v>
      </c>
      <c r="AB11" s="303" t="s">
        <v>813</v>
      </c>
      <c r="AC11" s="138" t="s">
        <v>4898</v>
      </c>
      <c r="AD11" s="142" t="s">
        <v>4899</v>
      </c>
      <c r="AE11" s="142" t="s">
        <v>4893</v>
      </c>
      <c r="AF11" s="303" t="s">
        <v>4900</v>
      </c>
      <c r="AG11" s="138" t="s">
        <v>4901</v>
      </c>
      <c r="AH11" s="142" t="s">
        <v>4902</v>
      </c>
      <c r="AI11" s="142" t="s">
        <v>4893</v>
      </c>
      <c r="AJ11" s="303" t="s">
        <v>813</v>
      </c>
      <c r="AK11" s="138" t="s">
        <v>4903</v>
      </c>
      <c r="AL11" s="136" t="s">
        <v>4904</v>
      </c>
      <c r="AM11" s="142" t="s">
        <v>4893</v>
      </c>
      <c r="AN11" s="303" t="s">
        <v>813</v>
      </c>
    </row>
    <row r="12">
      <c r="A12" s="106" t="s">
        <v>4905</v>
      </c>
      <c r="B12" s="51" t="s">
        <v>4906</v>
      </c>
      <c r="C12" s="51" t="s">
        <v>4907</v>
      </c>
      <c r="D12" s="303" t="s">
        <v>813</v>
      </c>
      <c r="E12" s="106" t="s">
        <v>4908</v>
      </c>
      <c r="F12" s="142" t="s">
        <v>4909</v>
      </c>
      <c r="G12" s="51" t="s">
        <v>4907</v>
      </c>
      <c r="H12" s="304" t="str">
        <f>IFERROR(__xludf.DUMMYFUNCTION("GOOGLETRANSLATE(D12,""zh-tw"",""ja"")"),"-")</f>
        <v>-</v>
      </c>
      <c r="I12" s="138" t="s">
        <v>4910</v>
      </c>
      <c r="J12" s="142" t="s">
        <v>4911</v>
      </c>
      <c r="K12" s="142" t="s">
        <v>4907</v>
      </c>
      <c r="L12" s="303" t="str">
        <f>IFERROR(__xludf.DUMMYFUNCTION("GOOGLETRANSLATE(D12,""zh-tw"",""en"")"),"-")</f>
        <v>-</v>
      </c>
      <c r="M12" s="138" t="str">
        <f>IFERROR(__xludf.DUMMYFUNCTION("GOOGLETRANSLATE(A12,""zh-tw"",""zh"")"),"角兔")</f>
        <v>角兔</v>
      </c>
      <c r="N12" s="142" t="str">
        <f>IFERROR(__xludf.DUMMYFUNCTION("GOOGLETRANSLATE(B12,""zh-tw"",""zh"")"),"小块兽肉")</f>
        <v>小块兽肉</v>
      </c>
      <c r="O12" s="142" t="s">
        <v>4907</v>
      </c>
      <c r="P12" s="304" t="str">
        <f>IFERROR(__xludf.DUMMYFUNCTION("GOOGLETRANSLATE(D12,""zh-tw"",""zh"")"),"-")</f>
        <v>-</v>
      </c>
      <c r="Q12" s="106" t="str">
        <f>IFERROR(__xludf.DUMMYFUNCTION("GOOGLETRANSLATE(A12,""zh-tw"",""es-MX"")"),"Conejo cornudo")</f>
        <v>Conejo cornudo</v>
      </c>
      <c r="R12" s="142" t="str">
        <f>IFERROR(__xludf.DUMMYFUNCTION("GOOGLETRANSLATE(B12,""zh-tw"",""es-MX"")"),"Pequeños trozos de carne")</f>
        <v>Pequeños trozos de carne</v>
      </c>
      <c r="S12" s="142" t="s">
        <v>4907</v>
      </c>
      <c r="T12" s="303" t="str">
        <f>IFERROR(__xludf.DUMMYFUNCTION("GOOGLETRANSLATE(D12,""zh-tw"",""es-MX"")"),"-")</f>
        <v>-</v>
      </c>
      <c r="U12" s="138" t="str">
        <f>IFERROR(__xludf.DUMMYFUNCTION("GOOGLETRANSLATE(A12,""zh-tw"",""KO"")"),"뿔토끼")</f>
        <v>뿔토끼</v>
      </c>
      <c r="V12" s="51" t="str">
        <f>IFERROR(__xludf.DUMMYFUNCTION("GOOGLETRANSLATE(B12,""zh-tw"",""KO"")"),"작은 고기 조각")</f>
        <v>작은 고기 조각</v>
      </c>
      <c r="W12" s="51" t="s">
        <v>4907</v>
      </c>
      <c r="X12" s="304" t="str">
        <f>IFERROR(__xludf.DUMMYFUNCTION("GOOGLETRANSLATE(D12,""zh-tw"",""KO"")"),"-")</f>
        <v>-</v>
      </c>
      <c r="Y12" s="106" t="s">
        <v>4912</v>
      </c>
      <c r="Z12" s="51" t="str">
        <f>IFERROR(__xludf.DUMMYFUNCTION("GOOGLETRANSLATE(B12,""zh-tw"",""RU"")"),"Небольшие кусочки мяса")</f>
        <v>Небольшие кусочки мяса</v>
      </c>
      <c r="AA12" s="51" t="s">
        <v>4907</v>
      </c>
      <c r="AB12" s="303" t="s">
        <v>813</v>
      </c>
      <c r="AC12" s="138" t="s">
        <v>4913</v>
      </c>
      <c r="AD12" s="142" t="s">
        <v>4914</v>
      </c>
      <c r="AE12" s="142" t="s">
        <v>4907</v>
      </c>
      <c r="AF12" s="303" t="s">
        <v>813</v>
      </c>
      <c r="AG12" s="138" t="s">
        <v>4915</v>
      </c>
      <c r="AH12" s="142" t="s">
        <v>4916</v>
      </c>
      <c r="AI12" s="142" t="s">
        <v>4907</v>
      </c>
      <c r="AJ12" s="303" t="s">
        <v>813</v>
      </c>
      <c r="AK12" s="138" t="s">
        <v>4917</v>
      </c>
      <c r="AL12" s="142" t="s">
        <v>4918</v>
      </c>
      <c r="AM12" s="142" t="s">
        <v>4907</v>
      </c>
      <c r="AN12" s="303" t="s">
        <v>813</v>
      </c>
    </row>
    <row r="13">
      <c r="A13" s="106" t="s">
        <v>4919</v>
      </c>
      <c r="B13" s="51" t="s">
        <v>4920</v>
      </c>
      <c r="C13" s="136" t="s">
        <v>4921</v>
      </c>
      <c r="D13" s="304" t="s">
        <v>4922</v>
      </c>
      <c r="E13" s="106" t="s">
        <v>4923</v>
      </c>
      <c r="F13" s="142" t="s">
        <v>4924</v>
      </c>
      <c r="G13" s="136" t="s">
        <v>4921</v>
      </c>
      <c r="H13" s="304" t="str">
        <f>IFERROR(__xludf.DUMMYFUNCTION("GOOGLETRANSLATE(D13,""zh-tw"",""ja"")"),"角ウサギを10匹倒すか、赤い獣を倒すと、この機能が解除されます。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3" s="138" t="s">
        <v>4925</v>
      </c>
      <c r="J13" s="142" t="s">
        <v>4926</v>
      </c>
      <c r="K13" s="136" t="s">
        <v>4921</v>
      </c>
      <c r="L13" s="303" t="s">
        <v>4927</v>
      </c>
      <c r="M13" s="138" t="str">
        <f>IFERROR(__xludf.DUMMYFUNCTION("GOOGLETRANSLATE(A13,""zh-tw"",""zh"")"),"鹿角兔")</f>
        <v>鹿角兔</v>
      </c>
      <c r="N13" s="142" t="str">
        <f>IFERROR(__xludf.DUMMYFUNCTION("GOOGLETRANSLATE(B13,""zh-tw"",""zh"")"),"小块兽肉
红色的角")</f>
        <v>小块兽肉
红色的角</v>
      </c>
      <c r="O13" s="136" t="s">
        <v>4921</v>
      </c>
      <c r="P13" s="304" t="str">
        <f>IFERROR(__xludf.DUMMYFUNCTION("GOOGLETRANSLATE(D13,""zh-tw"",""zh"")"),"击杀10只角兔/击杀红兽  可以解锁。
解锁鹿角兔后，每只刷新出来的角兔都有40%机率转换为鹿角兔")</f>
        <v>击杀10只角兔/击杀红兽  可以解锁。
解锁鹿角兔后，每只刷新出来的角兔都有40%机率转换为鹿角兔</v>
      </c>
      <c r="Q13" s="106" t="str">
        <f>IFERROR(__xludf.DUMMYFUNCTION("GOOGLETRANSLATE(A13,""zh-tw"",""es-MX"")"),"Conejo de asta de ciervo")</f>
        <v>Conejo de asta de ciervo</v>
      </c>
      <c r="R13" s="142" t="str">
        <f>IFERROR(__xludf.DUMMYFUNCTION("GOOGLETRANSLATE(B13,""zh-tw"",""es-MX"")"),"Pequeños trozos de carne; cuerno rojo")</f>
        <v>Pequeños trozos de carne; cuerno rojo</v>
      </c>
      <c r="S13" s="136" t="s">
        <v>4921</v>
      </c>
      <c r="T13" s="303" t="str">
        <f>IFERROR(__xludf.DUMMYFUNCTION("GOOGLETRANSLATE(D13,""zh-tw"",""es-MX"")"),"Matar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3" s="138" t="str">
        <f>IFERROR(__xludf.DUMMYFUNCTION("GOOGLETRANSLATE(A13,""zh-tw"",""KO"")"),"사슴 뿔 토끼")</f>
        <v>사슴 뿔 토끼</v>
      </c>
      <c r="V13" s="51" t="str">
        <f>IFERROR(__xludf.DUMMYFUNCTION("GOOGLETRANSLATE(B13,""zh-tw"",""KO"")"),"작은 고기 조각; 붉은 뿔")</f>
        <v>작은 고기 조각; 붉은 뿔</v>
      </c>
      <c r="W13" s="136" t="s">
        <v>4921</v>
      </c>
      <c r="X13" s="304" t="str">
        <f>IFERROR(__xludf.DUMMYFUNCTION("GOOGLETRANSLATE(D13,""zh-tw"",""KO"")"),"뿔토끼 10마리/붉은 짐승 1마리를 처치하면 이 기능이 잠금 해제됩니다.
뿔토끼를 잠금 해제한 후, 생성되는 뿔토끼는 각각 40% 확률로 사슴뿔토끼로 변신합니다.")</f>
        <v>뿔토끼 10마리/붉은 짐승 1마리를 처치하면 이 기능이 잠금 해제됩니다.
뿔토끼를 잠금 해제한 후, 생성되는 뿔토끼는 각각 40% 확률로 사슴뿔토끼로 변신합니다.</v>
      </c>
      <c r="Y13" s="106" t="str">
        <f>IFERROR(__xludf.DUMMYFUNCTION("GOOGLETRANSLATE(A13,""zh-tw"",""RU"")"),"Рога оленя Кролик")</f>
        <v>Рога оленя Кролик</v>
      </c>
      <c r="Z13" s="51" t="str">
        <f>IFERROR(__xludf.DUMMYFUNCTION("GOOGLETRANSLATE(B13,""zh-tw"",""RU"")"),"Небольшие кусочки мяса; красный рог")</f>
        <v>Небольшие кусочки мяса; красный рог</v>
      </c>
      <c r="AA13" s="136" t="s">
        <v>4921</v>
      </c>
      <c r="AB13" s="303" t="str">
        <f>IFERROR(__xludf.DUMMYFUNCTION("GOOGLETRANSLATE(D13,""zh-tw"",""RU"")"),"Эту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f>
        <v>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v>
      </c>
      <c r="AC13" s="138" t="str">
        <f>IFERROR(__xludf.DUMMYFUNCTION("GOOGLETRANSLATE(A13,""zh-tw"",""DE"")"),"Hirschgeweih Kaninchen")</f>
        <v>Hirschgeweih Kaninchen</v>
      </c>
      <c r="AD13" s="142" t="str">
        <f>IFERROR(__xludf.DUMMYFUNCTION("GOOGLETRANSLATE(B13,""zh-tw"",""DE"")"),"Kleine Fleischstücke; rotes Horn")</f>
        <v>Kleine Fleischstücke; rotes Horn</v>
      </c>
      <c r="AE13" s="136" t="s">
        <v>4921</v>
      </c>
      <c r="AF13" s="303" t="str">
        <f>IFERROR(__xludf.DUMMYFUNCTION("GOOGLETRANSLATE(D13,""zh-tw"",""DE"")"),"Das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3" s="118" t="s">
        <v>4928</v>
      </c>
      <c r="AH13" s="142" t="s">
        <v>4929</v>
      </c>
      <c r="AI13" s="136" t="s">
        <v>4921</v>
      </c>
      <c r="AJ13" s="303" t="s">
        <v>813</v>
      </c>
      <c r="AK13" s="138" t="s">
        <v>4928</v>
      </c>
      <c r="AL13" s="142" t="s">
        <v>4930</v>
      </c>
      <c r="AM13" s="136" t="s">
        <v>4921</v>
      </c>
      <c r="AN13" s="303" t="s">
        <v>4931</v>
      </c>
    </row>
    <row r="14">
      <c r="A14" s="106" t="s">
        <v>4932</v>
      </c>
      <c r="B14" s="51" t="s">
        <v>4933</v>
      </c>
      <c r="C14" s="136" t="s">
        <v>4934</v>
      </c>
      <c r="D14" s="304" t="s">
        <v>813</v>
      </c>
      <c r="E14" s="106" t="s">
        <v>4935</v>
      </c>
      <c r="F14" s="142" t="s">
        <v>4936</v>
      </c>
      <c r="G14" s="136" t="s">
        <v>4937</v>
      </c>
      <c r="H14" s="304" t="str">
        <f>IFERROR(__xludf.DUMMYFUNCTION("GOOGLETRANSLATE(D14,""zh-tw"",""ja"")"),"-")</f>
        <v>-</v>
      </c>
      <c r="I14" s="138" t="s">
        <v>4938</v>
      </c>
      <c r="J14" s="142" t="s">
        <v>4939</v>
      </c>
      <c r="K14" s="136" t="s">
        <v>4934</v>
      </c>
      <c r="L14" s="303"/>
      <c r="M14" s="138" t="str">
        <f>IFERROR(__xludf.DUMMYFUNCTION("GOOGLETRANSLATE(A14,""zh-tw"",""zh"")"),"""Z""
(蟑螂)")</f>
        <v>"Z"
(蟑螂)</v>
      </c>
      <c r="N14" s="142" t="str">
        <f>IFERROR(__xludf.DUMMYFUNCTION("GOOGLETRANSLATE(B14,""zh-tw"",""zh"")"),"垃圾
阴暗爬行者的馈赠")</f>
        <v>垃圾
阴暗爬行者的馈赠</v>
      </c>
      <c r="O14" s="136" t="s">
        <v>4934</v>
      </c>
      <c r="P14" s="304" t="str">
        <f>IFERROR(__xludf.DUMMYFUNCTION("GOOGLETRANSLATE(D14,""zh-tw"",""zh"")"),"-")</f>
        <v>-</v>
      </c>
      <c r="Q14" s="106" t="str">
        <f>IFERROR(__xludf.DUMMYFUNCTION("GOOGLETRANSLATE(A14,""zh-tw"",""es-MX"")"),"""Z"" (cucaracha)")</f>
        <v>"Z" (cucaracha)</v>
      </c>
      <c r="R14" s="142" t="str">
        <f>IFERROR(__xludf.DUMMYFUNCTION("GOOGLETRANSLATE(B14,""zh-tw"",""es-MX"")"),"Basura; un regalo de los rastreadores sombríos")</f>
        <v>Basura; un regalo de los rastreadores sombríos</v>
      </c>
      <c r="S14" s="136" t="s">
        <v>4934</v>
      </c>
      <c r="T14" s="303" t="str">
        <f>IFERROR(__xludf.DUMMYFUNCTION("GOOGLETRANSLATE(D14,""zh-tw"",""es-MX"")"),"-")</f>
        <v>-</v>
      </c>
      <c r="U14" s="138" t="str">
        <f>IFERROR(__xludf.DUMMYFUNCTION("GOOGLETRANSLATE(A14,""zh-tw"",""KO"")"),"""Z""(바퀴벌레)")</f>
        <v>"Z"(바퀴벌레)</v>
      </c>
      <c r="V14" s="51" t="str">
        <f>IFERROR(__xludf.DUMMYFUNCTION("GOOGLETRANSLATE(B14,""zh-tw"",""KO"")"),"쓰레기; 그림자 같은 크롤러들의 선물")</f>
        <v>쓰레기; 그림자 같은 크롤러들의 선물</v>
      </c>
      <c r="W14" s="136" t="s">
        <v>4934</v>
      </c>
      <c r="X14" s="304" t="str">
        <f>IFERROR(__xludf.DUMMYFUNCTION("GOOGLETRANSLATE(D14,""zh-tw"",""KO"")"),"-")</f>
        <v>-</v>
      </c>
      <c r="Y14" s="106" t="str">
        <f>IFERROR(__xludf.DUMMYFUNCTION("GOOGLETRANSLATE(A14,""zh-tw"",""RU"")"),"""З"" (таракан)")</f>
        <v>"З" (таракан)</v>
      </c>
      <c r="Z14" s="51" t="str">
        <f>IFERROR(__xludf.DUMMYFUNCTION("GOOGLETRANSLATE(B14,""zh-tw"",""RU"")"),"Мусор; подарок от тайных ползунов")</f>
        <v>Мусор; подарок от тайных ползунов</v>
      </c>
      <c r="AA14" s="136" t="s">
        <v>4934</v>
      </c>
      <c r="AB14" s="303" t="s">
        <v>813</v>
      </c>
      <c r="AC14" s="138" t="str">
        <f>IFERROR(__xludf.DUMMYFUNCTION("GOOGLETRANSLATE(A14,""zh-tw"",""DE"")"),"""Z"" (Kakerlake)")</f>
        <v>"Z" (Kakerlake)</v>
      </c>
      <c r="AD14" s="142" t="str">
        <f>IFERROR(__xludf.DUMMYFUNCTION("GOOGLETRANSLATE(B14,""zh-tw"",""DE"")"),"Müll; ein Geschenk der schattenhaften Kriecher")</f>
        <v>Müll; ein Geschenk der schattenhaften Kriecher</v>
      </c>
      <c r="AE14" s="136" t="s">
        <v>4934</v>
      </c>
      <c r="AF14" s="303" t="str">
        <f>IFERROR(__xludf.DUMMYFUNCTION("GOOGLETRANSLATE(D14,""zh-tw"",""DE"")"),"-")</f>
        <v>-</v>
      </c>
      <c r="AG14" s="138" t="s">
        <v>4940</v>
      </c>
      <c r="AH14" s="142" t="s">
        <v>4941</v>
      </c>
      <c r="AI14" s="136" t="s">
        <v>4934</v>
      </c>
      <c r="AJ14" s="303" t="s">
        <v>813</v>
      </c>
      <c r="AK14" s="138" t="s">
        <v>4942</v>
      </c>
      <c r="AL14" s="142" t="s">
        <v>4943</v>
      </c>
      <c r="AM14" s="136" t="s">
        <v>4934</v>
      </c>
      <c r="AN14" s="303" t="s">
        <v>813</v>
      </c>
    </row>
    <row r="15">
      <c r="A15" s="97" t="s">
        <v>4944</v>
      </c>
      <c r="E15" s="97" t="str">
        <f>IFERROR(__xludf.DUMMYFUNCTION("GOOGLETRANSLATE(A15,""zh-tw"",""ja"")"),"水に関連する")</f>
        <v>水に関連する</v>
      </c>
      <c r="I15" s="302" t="s">
        <v>4945</v>
      </c>
      <c r="M15" s="302" t="str">
        <f>IFERROR(__xludf.DUMMYFUNCTION("GOOGLETRANSLATE(A15,""zh-tw"",""zh"")"),"水中相关")</f>
        <v>水中相关</v>
      </c>
      <c r="Q15" s="302" t="str">
        <f>IFERROR(__xludf.DUMMYFUNCTION("GOOGLETRANSLATE(A15,""zh-tw"",""es-MX"")"),"Relacionado con el agua")</f>
        <v>Relacionado con el agua</v>
      </c>
      <c r="U15" s="302" t="str">
        <f>IFERROR(__xludf.DUMMYFUNCTION("GOOGLETRANSLATE(A15,""zh-tw"",""KO"")"),"물과 관련된")</f>
        <v>물과 관련된</v>
      </c>
      <c r="Y15" s="97" t="str">
        <f>IFERROR(__xludf.DUMMYFUNCTION("GOOGLETRANSLATE(A15,""zh-tw"",""ru"")"),"Связанные в воде")</f>
        <v>Связанные в воде</v>
      </c>
      <c r="AC15" s="302" t="str">
        <f>IFERROR(__xludf.DUMMYFUNCTION("GOOGLETRANSLATE(A14,""zh-tw"",""DE"")"),"""Z"" (Kakerlake)")</f>
        <v>"Z" (Kakerlake)</v>
      </c>
      <c r="AG15" s="302" t="s">
        <v>4946</v>
      </c>
      <c r="AK15" s="302" t="s">
        <v>4947</v>
      </c>
    </row>
    <row r="16">
      <c r="A16" s="106" t="s">
        <v>4948</v>
      </c>
      <c r="B16" s="51" t="s">
        <v>4949</v>
      </c>
      <c r="C16" s="51" t="s">
        <v>4950</v>
      </c>
      <c r="D16" s="304" t="s">
        <v>4951</v>
      </c>
      <c r="E16" s="106" t="s">
        <v>4948</v>
      </c>
      <c r="F16" s="142" t="str">
        <f>IFERROR(__xludf.DUMMYFUNCTION("GOOGLETRANSLATE(B16,""zh-tw"",""ja"")"),"マグロ
シマアジ
サンマ
ハタ
タイ
タコの足
甘エビ
ロブスター
ケガニ
サーモン
キングサーモン
カニの爪
アオウミガメの甲羅
◉▽◉(青)")</f>
        <v>マグロ
シマアジ
サンマ
ハタ
タイ
タコの足
甘エビ
ロブスター
ケガニ
サーモン
キングサーモン
カニの爪
アオウミガメの甲羅
◉▽◉(青)</v>
      </c>
      <c r="G16" s="51" t="s">
        <v>4950</v>
      </c>
      <c r="H16" s="304" t="s">
        <v>4952</v>
      </c>
      <c r="I16" s="138" t="s">
        <v>4953</v>
      </c>
      <c r="J16" s="142" t="s">
        <v>4954</v>
      </c>
      <c r="K16" s="142" t="s">
        <v>4950</v>
      </c>
      <c r="L16" s="303" t="s">
        <v>4955</v>
      </c>
      <c r="M16" s="138" t="str">
        <f>IFERROR(__xludf.DUMMYFUNCTION("GOOGLETRANSLATE(A16,""zh-tw"",""zh"")"),"●●●
(水面)")</f>
        <v>●●●
(水面)</v>
      </c>
      <c r="N16" s="142" t="str">
        <f>IFERROR(__xludf.DUMMYFUNCTION("GOOGLETRANSLATE(B16,""zh-tw"",""zh"")"),"金枪鱼
条石鲷
秋刀鱼
石斑鱼
鲷鱼
章鱼触手
甜虾
大龙虾
毛蟹
鲑鱼
帝王鲑
巨大蟹钳
绿龟壳
◉▽◉(蓝色)")</f>
        <v>金枪鱼
条石鲷
秋刀鱼
石斑鱼
鲷鱼
章鱼触手
甜虾
大龙虾
毛蟹
鲑鱼
帝王鲑
巨大蟹钳
绿龟壳
◉▽◉(蓝色)</v>
      </c>
      <c r="O16" s="142" t="s">
        <v>4950</v>
      </c>
      <c r="P16" s="304" t="str">
        <f>IFERROR(__xludf.DUMMYFUNCTION("GOOGLETRANSLATE(D16,""zh-tw"",""zh"")"),"使用炸弹炸水面
(最多三组掉落物)
(有机率出现敌方生物、河之主BOSS)")</f>
        <v>使用炸弹炸水面
(最多三组掉落物)
(有机率出现敌方生物、河之主BOSS)</v>
      </c>
      <c r="Q16" s="106" t="str">
        <f>IFERROR(__xludf.DUMMYFUNCTION("GOOGLETRANSLATE(A16,""zh-tw"",""es-MX"")"),"●●● (Superficie del agua)")</f>
        <v>●●● (Superficie del agua)</v>
      </c>
      <c r="R16" s="142" t="str">
        <f>IFERROR(__xludf.DUMMYFUNCTION("GOOGLETRANSLATE(B16,""zh-tw"",""es-MX"")"),"Atún
Pargo rayado
Papada del Pacífico
Mero
Dorada
Tentáculos de pulpo
Camarones dulces
Langosta
Cangrejo peludo
Salmón
Salmón real
Pinzas de cangrejo gigante
Caparazón de tortuga verde
◉▽◉(Azul)")</f>
        <v>Atún
Pargo rayado
Papada del Pacífico
Mero
Dorada
Tentáculos de pulpo
Camarones dulces
Langosta
Cangrejo peludo
Salmón
Salmón real
Pinzas de cangrejo gigante
Caparazón de tortuga verde
◉▽◉(Azul)</v>
      </c>
      <c r="S16" s="142" t="s">
        <v>4950</v>
      </c>
      <c r="T16" s="303" t="str">
        <f>IFERROR(__xludf.DUMMYFUNCTION("GOOGLETRANSLATE(D16,""zh-tw"",""es-MX"")"),"Usa bombas para destruir la superficie del agua.
(Máximo tres conjuntos de botín)
(Probabilidad de encontrar criaturas enemigas o al jefe Señor del Río)")</f>
        <v>Usa bombas para destruir la superficie del agua.
(Máximo tres conjuntos de botín)
(Probabilidad de encontrar criaturas enemigas o al jefe Señor del Río)</v>
      </c>
      <c r="U16" s="138" t="str">
        <f>IFERROR(__xludf.DUMMYFUNCTION("GOOGLETRANSLATE(A16,""zh-tw"",""KO"")"),"●●● (수면)")</f>
        <v>●●● (수면)</v>
      </c>
      <c r="V16" s="51" t="str">
        <f>IFERROR(__xludf.DUMMYFUNCTION("GOOGLETRANSLATE(B16,""zh-tw"",""KO"")"),"참치
줄무늬돌돔
꽁치
그루퍼
도미
문어 촉수
단새우
랍스터
털게
연어
왕연어
대왕게 집게발
푸른바다거북 등껍질
◉▽◉(파란색)")</f>
        <v>참치
줄무늬돌돔
꽁치
그루퍼
도미
문어 촉수
단새우
랍스터
털게
연어
왕연어
대왕게 집게발
푸른바다거북 등껍질
◉▽◉(파란색)</v>
      </c>
      <c r="W16" s="51" t="s">
        <v>4950</v>
      </c>
      <c r="X16" s="304" t="str">
        <f>IFERROR(__xludf.DUMMYFUNCTION("GOOGLETRANSLATE(D16,""zh-tw"",""KO"")"),"폭탄을 사용하여 수면을 폭파하세요.
(최대 3세트의 전리품 획득)
(적 생물이나 강의 군주 보스를 만날 확률)")</f>
        <v>폭탄을 사용하여 수면을 폭파하세요.
(최대 3세트의 전리품 획득)
(적 생물이나 강의 군주 보스를 만날 확률)</v>
      </c>
      <c r="Y16" s="106" t="str">
        <f>IFERROR(__xludf.DUMMYFUNCTION("GOOGLETRANSLATE(A16,""zh-tw"",""ru"")"),"●●● (Поверхность воды)")</f>
        <v>●●● (Поверхность воды)</v>
      </c>
      <c r="Z16" s="51" t="str">
        <f>IFERROR(__xludf.DUMMYFUNCTION("GOOGLETRANSLATE(B16,""zh-tw"",""ru"")"),"Тунец
Полосатый каменный люциан
Сайра
Окунь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f>
        <v>Тунец
Полосатый каменный люциан
Сайра
Окунь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v>
      </c>
      <c r="AA16" s="51" t="s">
        <v>4950</v>
      </c>
      <c r="AB16" s="303" t="str">
        <f>IFERROR(__xludf.DUMMYFUNCTION("GOOGLETRANSLATE(D16,""zh-tw"",""ru"")"),"Используйте бомбы, чтобы взорвать поверхность воды.
(Максимум три комплекта добычи)
(Вероятность встречи с вражескими существами или боссом — речным лордом)")</f>
        <v>Используйте бомбы, чтобы взорвать поверхность воды.
(Максимум три комплекта добычи)
(Вероятность встречи с вражескими существами или боссом — речным лордом)</v>
      </c>
      <c r="AC16" s="138" t="s">
        <v>4956</v>
      </c>
      <c r="AD16" s="142" t="s">
        <v>4957</v>
      </c>
      <c r="AE16" s="142" t="s">
        <v>4950</v>
      </c>
      <c r="AF16" s="303" t="s">
        <v>4958</v>
      </c>
      <c r="AG16" s="138" t="s">
        <v>4959</v>
      </c>
      <c r="AH16" s="142" t="s">
        <v>4960</v>
      </c>
      <c r="AI16" s="142" t="s">
        <v>4950</v>
      </c>
      <c r="AJ16" s="303" t="s">
        <v>4961</v>
      </c>
      <c r="AK16" s="138" t="s">
        <v>4962</v>
      </c>
      <c r="AL16" s="142" t="s">
        <v>4963</v>
      </c>
      <c r="AM16" s="142" t="s">
        <v>4950</v>
      </c>
      <c r="AN16" s="303" t="s">
        <v>4964</v>
      </c>
    </row>
    <row r="17">
      <c r="A17" s="106" t="s">
        <v>4965</v>
      </c>
      <c r="B17" s="51" t="s">
        <v>4966</v>
      </c>
      <c r="C17" s="51" t="s">
        <v>4967</v>
      </c>
      <c r="D17" s="304" t="s">
        <v>4968</v>
      </c>
      <c r="E17" s="106" t="s">
        <v>4969</v>
      </c>
      <c r="F17" s="142" t="s">
        <v>4970</v>
      </c>
      <c r="G17" s="51" t="s">
        <v>4967</v>
      </c>
      <c r="H17" s="304" t="s">
        <v>4971</v>
      </c>
      <c r="I17" s="138" t="s">
        <v>4972</v>
      </c>
      <c r="J17" s="142" t="s">
        <v>4973</v>
      </c>
      <c r="K17" s="142" t="s">
        <v>4967</v>
      </c>
      <c r="L17" s="303" t="s">
        <v>4974</v>
      </c>
      <c r="M17" s="138" t="str">
        <f>IFERROR(__xludf.DUMMYFUNCTION("GOOGLETRANSLATE(A17,""zh-tw"",""zh"")"),"神秘的气泡
(水面)")</f>
        <v>神秘的气泡
(水面)</v>
      </c>
      <c r="N17" s="142" t="str">
        <f>IFERROR(__xludf.DUMMYFUNCTION("GOOGLETRANSLATE(B17,""zh-tw"",""zh"")"),"随机鱼类
垃圾
随机符文
绿龟壳
巨大蟹钳
◉▽◉(蓝色)")</f>
        <v>随机鱼类
垃圾
随机符文
绿龟壳
巨大蟹钳
◉▽◉(蓝色)</v>
      </c>
      <c r="O17" s="142" t="s">
        <v>4967</v>
      </c>
      <c r="P17" s="304" t="str">
        <f>IFERROR(__xludf.DUMMYFUNCTION("GOOGLETRANSLATE(D17,""zh-tw"",""zh"")"),"使用炸弹炸水面
(最多一组掉落物)
(目前无敌方生物、无BOSS)")</f>
        <v>使用炸弹炸水面
(最多一组掉落物)
(目前无敌方生物、无BOSS)</v>
      </c>
      <c r="Q17" s="106" t="str">
        <f>IFERROR(__xludf.DUMMYFUNCTION("GOOGLETRANSLATE(A17,""zh-tw"",""es-MX"")"),"Burbujas misteriosas
(en la superficie del agua)")</f>
        <v>Burbujas misteriosas
(en la superficie del agua)</v>
      </c>
      <c r="R17" s="142" t="str">
        <f>IFERROR(__xludf.DUMMYFUNCTION("GOOGLETRANSLATE(B17,""zh-tw"",""es-MX"")"),"Pescado al Azar
Basura
Runas al Azar
Caparazón de Tortuga Verde
Pinza de Cangrejo Gigante
◉▽◉(Azul)")</f>
        <v>Pescado al Azar
Basura
Runas al Azar
Caparazón de Tortuga Verde
Pinza de Cangrejo Gigante
◉▽◉(Azul)</v>
      </c>
      <c r="S17" s="142" t="s">
        <v>4967</v>
      </c>
      <c r="T17" s="303" t="str">
        <f>IFERROR(__xludf.DUMMYFUNCTION("GOOGLETRANSLATE(D17,""zh-tw"",""es-MX"")"),"Usa bombas para destruir la superficie del agua.
(Máximo un conjunto de botín)
(Actualmente sin enemigos ni jefes)")</f>
        <v>Usa bombas para destruir la superficie del agua.
(Máximo un conjunto de botín)
(Actualmente sin enemigos ni jefes)</v>
      </c>
      <c r="U17" s="138" t="str">
        <f>IFERROR(__xludf.DUMMYFUNCTION("GOOGLETRANSLATE(A17,""zh-tw"",""KO"")"),"신비로운 거품
(물 표면 위)")</f>
        <v>신비로운 거품
(물 표면 위)</v>
      </c>
      <c r="V17" s="51" t="str">
        <f>IFERROR(__xludf.DUMMYFUNCTION("GOOGLETRANSLATE(B17,""zh-tw"",""KO"")"),"무작위 물고기
쓰레기
무작위 룬
초록거북 등껍질
거대 게 발톱
◉▽◉(파란색)")</f>
        <v>무작위 물고기
쓰레기
무작위 룬
초록거북 등껍질
거대 게 발톱
◉▽◉(파란색)</v>
      </c>
      <c r="W17" s="51" t="s">
        <v>4967</v>
      </c>
      <c r="X17" s="304" t="str">
        <f>IFERROR(__xludf.DUMMYFUNCTION("GOOGLETRANSLATE(D17,""zh-tw"",""KO"")"),"폭탄을 사용하여 수면을 폭파하세요.
(최대 한 세트의 전리품 획득 가능)
(현재 적 몬스터 및 보스 몬스터 없음)")</f>
        <v>폭탄을 사용하여 수면을 폭파하세요.
(최대 한 세트의 전리품 획득 가능)
(현재 적 몬스터 및 보스 몬스터 없음)</v>
      </c>
      <c r="Y17" s="106" t="str">
        <f>IFERROR(__xludf.DUMMYFUNCTION("GOOGLETRANSLATE(A17,""zh-tw"",""ru"")"),"Загадочные пузырьки
(на поверхности воды)")</f>
        <v>Загадочные пузырьки
(на поверхности воды)</v>
      </c>
      <c r="Z17" s="51" t="str">
        <f>IFERROR(__xludf.DUMMYFUNCTION("GOOGLETRANSLATE(B17,""zh-tw"",""ru"")"),"Случайная рыба
Хлам
Случайные руны
Панцирь зелёной черепахи
Клешня гигантского краба
◉▽◉(Синий)")</f>
        <v>Случайная рыба
Хлам
Случайные руны
Панцирь зелёной черепахи
Клешня гигантского краба
◉▽◉(Синий)</v>
      </c>
      <c r="AA17" s="51" t="s">
        <v>4967</v>
      </c>
      <c r="AB17" s="303" t="str">
        <f>IFERROR(__xludf.DUMMYFUNCTION("GOOGLETRANSLATE(D17,""zh-tw"",""ru"")"),"Используйте бомбы, чтобы взорвать поверхность воды.
(Максимум один набор добычи)
(В настоящее время нет ни вражеских существ, ни босса)")</f>
        <v>Используйте бомбы, чтобы взорвать поверхность воды.
(Максимум один набор добычи)
(В настоящее время нет ни вражеских существ, ни босса)</v>
      </c>
      <c r="AC17" s="138" t="s">
        <v>4975</v>
      </c>
      <c r="AD17" s="142" t="s">
        <v>4976</v>
      </c>
      <c r="AE17" s="142" t="s">
        <v>4967</v>
      </c>
      <c r="AF17" s="303" t="s">
        <v>4977</v>
      </c>
      <c r="AG17" s="138" t="s">
        <v>4978</v>
      </c>
      <c r="AH17" s="142" t="s">
        <v>4979</v>
      </c>
      <c r="AI17" s="142" t="s">
        <v>4967</v>
      </c>
      <c r="AJ17" s="303" t="s">
        <v>4980</v>
      </c>
      <c r="AK17" s="138" t="s">
        <v>4981</v>
      </c>
      <c r="AL17" s="142" t="s">
        <v>4982</v>
      </c>
      <c r="AM17" s="142" t="s">
        <v>4967</v>
      </c>
      <c r="AN17" s="303" t="s">
        <v>4983</v>
      </c>
    </row>
    <row r="18">
      <c r="A18" s="106" t="s">
        <v>4984</v>
      </c>
      <c r="B18" s="51" t="s">
        <v>4985</v>
      </c>
      <c r="C18" s="51" t="s">
        <v>4986</v>
      </c>
      <c r="D18" s="304" t="s">
        <v>4987</v>
      </c>
      <c r="E18" s="138" t="s">
        <v>4984</v>
      </c>
      <c r="F18" s="142" t="s">
        <v>4988</v>
      </c>
      <c r="G18" s="51" t="s">
        <v>4986</v>
      </c>
      <c r="H18" s="304" t="s">
        <v>4989</v>
      </c>
      <c r="I18" s="138" t="s">
        <v>4990</v>
      </c>
      <c r="J18" s="142" t="s">
        <v>4991</v>
      </c>
      <c r="K18" s="142" t="s">
        <v>4986</v>
      </c>
      <c r="L18" s="303" t="s">
        <v>4992</v>
      </c>
      <c r="M18" s="138" t="str">
        <f>IFERROR(__xludf.DUMMYFUNCTION("GOOGLETRANSLATE(A18,""zh-tw"",""zh"")"),"鱼影
(水面)")</f>
        <v>鱼影
(水面)</v>
      </c>
      <c r="N18" s="142" t="str">
        <f>IFERROR(__xludf.DUMMYFUNCTION("GOOGLETRANSLATE(B18,""zh-tw"",""zh"")"),"金枪鱼
条石鲷
秋刀鱼
鲷鱼
鲑鱼
帝王鲑")</f>
        <v>金枪鱼
条石鲷
秋刀鱼
鲷鱼
鲑鱼
帝王鲑</v>
      </c>
      <c r="O18" s="142" t="s">
        <v>4986</v>
      </c>
      <c r="P18" s="304" t="str">
        <f>IFERROR(__xludf.DUMMYFUNCTION("GOOGLETRANSLATE(D18,""zh-tw"",""zh"")"),"使用攻击或者触碰捕捉
(仅掉落食材)")</f>
        <v>使用攻击或者触碰捕捉
(仅掉落食材)</v>
      </c>
      <c r="Q18" s="106" t="str">
        <f>IFERROR(__xludf.DUMMYFUNCTION("GOOGLETRANSLATE(A18,""zh-tw"",""es-MX"")"),"Sombras de peces (en la superficie del agua)")</f>
        <v>Sombras de peces (en la superficie del agua)</v>
      </c>
      <c r="R18" s="142" t="str">
        <f>IFERROR(__xludf.DUMMYFUNCTION("GOOGLETRANSLATE(B18,""zh-tw"",""es-MX"")"),"Atún, dorada rayada, paparda del Pacífico, dorada, salmón, salmón real")</f>
        <v>Atún, dorada rayada, paparda del Pacífico, dorada, salmón, salmón real</v>
      </c>
      <c r="S18" s="142" t="s">
        <v>4986</v>
      </c>
      <c r="T18" s="303" t="str">
        <f>IFERROR(__xludf.DUMMYFUNCTION("GOOGLETRANSLATE(D18,""zh-tw"",""es-MX"")"),"Usa ataques o toca para capturar (solo caerán los ingredientes).")</f>
        <v>Usa ataques o toca para capturar (solo caerán los ingredientes).</v>
      </c>
      <c r="U18" s="138" t="str">
        <f>IFERROR(__xludf.DUMMYFUNCTION("GOOGLETRANSLATE(A18,""zh-tw"",""KO"")"),"물고기 그림자(물 표면 위)")</f>
        <v>물고기 그림자(물 표면 위)</v>
      </c>
      <c r="V18" s="51" t="str">
        <f>IFERROR(__xludf.DUMMYFUNCTION("GOOGLETRANSLATE(B18,""zh-tw"",""KO"")"),"참치, 줄무늬 바위 도미, 태평양 꽁치, 도미, 연어, 왕연어")</f>
        <v>참치, 줄무늬 바위 도미, 태평양 꽁치, 도미, 연어, 왕연어</v>
      </c>
      <c r="W18" s="51" t="s">
        <v>4986</v>
      </c>
      <c r="X18" s="304" t="str">
        <f>IFERROR(__xludf.DUMMYFUNCTION("GOOGLETRANSLATE(D18,""zh-tw"",""KO"")"),"공격이나 터치를 사용해 포획하세요(재료만 떨어집니다).")</f>
        <v>공격이나 터치를 사용해 포획하세요(재료만 떨어집니다).</v>
      </c>
      <c r="Y18" s="106" t="str">
        <f>IFERROR(__xludf.DUMMYFUNCTION("GOOGLETRANSLATE(A18,""zh-tw"",""ru"")"),"Тени рыб (на поверхности воды)")</f>
        <v>Тени рыб (на поверхности воды)</v>
      </c>
      <c r="Z18" s="51" t="str">
        <f>IFERROR(__xludf.DUMMYFUNCTION("GOOGLETRANSLATE(B18,""zh-tw"",""ru"")"),"Тунец,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8" s="51" t="s">
        <v>4986</v>
      </c>
      <c r="AB18" s="303" t="str">
        <f>IFERROR(__xludf.DUMMYFUNCTION("GOOGLETRANSLATE(D18,""zh-tw"",""ru"")"),"Используйте атаки или прикосновения для захвата (выпадут только ингредиенты).")</f>
        <v>Используйте атаки или прикосновения для захвата (выпадут только ингредиенты).</v>
      </c>
      <c r="AC18" s="138" t="s">
        <v>4993</v>
      </c>
      <c r="AD18" s="142" t="s">
        <v>4994</v>
      </c>
      <c r="AE18" s="142" t="s">
        <v>4986</v>
      </c>
      <c r="AF18" s="303" t="s">
        <v>4995</v>
      </c>
      <c r="AG18" s="138" t="s">
        <v>4996</v>
      </c>
      <c r="AH18" s="142" t="s">
        <v>4997</v>
      </c>
      <c r="AI18" s="142" t="s">
        <v>4986</v>
      </c>
      <c r="AJ18" s="303" t="s">
        <v>4998</v>
      </c>
      <c r="AK18" s="138" t="s">
        <v>4999</v>
      </c>
      <c r="AL18" s="142" t="s">
        <v>5000</v>
      </c>
      <c r="AM18" s="142" t="s">
        <v>4986</v>
      </c>
      <c r="AN18" s="303" t="s">
        <v>5001</v>
      </c>
    </row>
    <row r="19">
      <c r="A19" s="106" t="s">
        <v>5002</v>
      </c>
      <c r="B19" s="51" t="s">
        <v>5003</v>
      </c>
      <c r="C19" s="51" t="s">
        <v>5004</v>
      </c>
      <c r="D19" s="303" t="s">
        <v>813</v>
      </c>
      <c r="E19" s="138" t="s">
        <v>5002</v>
      </c>
      <c r="F19" s="51" t="str">
        <f>IFERROR(__xludf.DUMMYFUNCTION("GOOGLETRANSLATE(B19,""zh-tw"",""ja"")"),"ウォーターモンスタースライム
魔法の水晶クラスター
潮汐の詩")</f>
        <v>ウォーターモンスタースライム
魔法の水晶クラスター
潮汐の詩</v>
      </c>
      <c r="G19" s="51" t="s">
        <v>5004</v>
      </c>
      <c r="H19" s="304" t="str">
        <f>IFERROR(__xludf.DUMMYFUNCTION("GOOGLETRANSLATE(D19,""zh-tw"",""ja"")"),"-")</f>
        <v>-</v>
      </c>
      <c r="I19" s="106" t="s">
        <v>5005</v>
      </c>
      <c r="J19" s="136" t="s">
        <v>5006</v>
      </c>
      <c r="K19" s="142" t="s">
        <v>5004</v>
      </c>
      <c r="L19" s="303" t="str">
        <f>IFERROR(__xludf.DUMMYFUNCTION("GOOGLETRANSLATE(D19,""zh-tw"",""en"")"),"-")</f>
        <v>-</v>
      </c>
      <c r="M19" s="138" t="str">
        <f>IFERROR(__xludf.DUMMYFUNCTION("GOOGLETRANSLATE(A19,""zh-tw"",""zh"")"),"水怪")</f>
        <v>水怪</v>
      </c>
      <c r="N19" s="142" t="str">
        <f>IFERROR(__xludf.DUMMYFUNCTION("GOOGLETRANSLATE(B19,""zh-tw"",""zh"")"),"水怪黏液
魔力晶簇
潮汐之诗")</f>
        <v>水怪黏液
魔力晶簇
潮汐之诗</v>
      </c>
      <c r="O19" s="142" t="s">
        <v>5004</v>
      </c>
      <c r="P19" s="304" t="str">
        <f>IFERROR(__xludf.DUMMYFUNCTION("GOOGLETRANSLATE(D19,""zh-tw"",""zh"")"),"-")</f>
        <v>-</v>
      </c>
      <c r="Q19" s="106" t="str">
        <f>IFERROR(__xludf.DUMMYFUNCTION("GOOGLETRANSLATE(A19,""zh-tw"",""es-MX"")"),"Monstruo de agua")</f>
        <v>Monstruo de agua</v>
      </c>
      <c r="R19" s="51" t="str">
        <f>IFERROR(__xludf.DUMMYFUNCTION("GOOGLETRANSLATE(B19,""zh-tw"",""es-MX"")"),"Slime Monstruo Acuático
Cúmulo de Cristales Mágicos
Poema de las Mareas")</f>
        <v>Slime Monstruo Acuático
Cúmulo de Cristales Mágicos
Poema de las Mareas</v>
      </c>
      <c r="S19" s="142" t="s">
        <v>5004</v>
      </c>
      <c r="T19" s="303" t="str">
        <f>IFERROR(__xludf.DUMMYFUNCTION("GOOGLETRANSLATE(D19,""zh-tw"",""es-MX"")"),"-")</f>
        <v>-</v>
      </c>
      <c r="U19" s="138" t="str">
        <f>IFERROR(__xludf.DUMMYFUNCTION("GOOGLETRANSLATE(A19,""zh-tw"",""KO"")"),"물 괴물")</f>
        <v>물 괴물</v>
      </c>
      <c r="V19" s="51" t="str">
        <f>IFERROR(__xludf.DUMMYFUNCTION("GOOGLETRANSLATE(B19,""zh-tw"",""KO"")"),"물 괴물 슬라임
마법 수정 클러스터
조수 시")</f>
        <v>물 괴물 슬라임
마법 수정 클러스터
조수 시</v>
      </c>
      <c r="W19" s="51" t="s">
        <v>5004</v>
      </c>
      <c r="X19" s="304" t="str">
        <f>IFERROR(__xludf.DUMMYFUNCTION("GOOGLETRANSLATE(D19,""zh-tw"",""KO"")"),"-")</f>
        <v>-</v>
      </c>
      <c r="Y19" s="106" t="str">
        <f>IFERROR(__xludf.DUMMYFUNCTION("GOOGLETRANSLATE(A19,""zh-tw"",""ru"")"),"Водный монстр")</f>
        <v>Водный монстр</v>
      </c>
      <c r="Z19" s="51" t="str">
        <f>IFERROR(__xludf.DUMMYFUNCTION("GOOGLETRANSLATE(B19,""zh-tw"",""ru"")"),"Слайм водяного монстра
Магический кристалл
Приливная поэма")</f>
        <v>Слайм водяного монстра
Магический кристалл
Приливная поэма</v>
      </c>
      <c r="AA19" s="51" t="s">
        <v>5004</v>
      </c>
      <c r="AB19" s="303" t="str">
        <f>IFERROR(__xludf.DUMMYFUNCTION("GOOGLETRANSLATE(D19,""zh-tw"",""ru"")"),"-")</f>
        <v>-</v>
      </c>
      <c r="AC19" s="138" t="s">
        <v>5007</v>
      </c>
      <c r="AD19" s="142" t="s">
        <v>5008</v>
      </c>
      <c r="AE19" s="142" t="s">
        <v>5004</v>
      </c>
      <c r="AF19" s="303" t="s">
        <v>5009</v>
      </c>
      <c r="AG19" s="138" t="s">
        <v>5010</v>
      </c>
      <c r="AH19" s="142" t="s">
        <v>5011</v>
      </c>
      <c r="AI19" s="142" t="s">
        <v>5004</v>
      </c>
      <c r="AJ19" s="303" t="s">
        <v>813</v>
      </c>
      <c r="AK19" s="138" t="s">
        <v>5005</v>
      </c>
      <c r="AL19" s="142" t="s">
        <v>5012</v>
      </c>
      <c r="AM19" s="142" t="s">
        <v>5004</v>
      </c>
      <c r="AN19" s="303" t="s">
        <v>813</v>
      </c>
    </row>
    <row r="20">
      <c r="A20" s="106" t="s">
        <v>5013</v>
      </c>
      <c r="B20" s="51" t="s">
        <v>5014</v>
      </c>
      <c r="C20" s="51">
        <v>100.0</v>
      </c>
      <c r="D20" s="304" t="s">
        <v>5015</v>
      </c>
      <c r="E20" s="138" t="s">
        <v>5016</v>
      </c>
      <c r="F20" s="51" t="s">
        <v>5017</v>
      </c>
      <c r="G20" s="51">
        <v>100.0</v>
      </c>
      <c r="H20" s="304" t="s">
        <v>5018</v>
      </c>
      <c r="I20" s="106" t="s">
        <v>5019</v>
      </c>
      <c r="J20" s="142" t="s">
        <v>5020</v>
      </c>
      <c r="K20" s="142">
        <v>100.0</v>
      </c>
      <c r="L20" s="303" t="s">
        <v>5021</v>
      </c>
      <c r="M20" s="138" t="str">
        <f>IFERROR(__xludf.DUMMYFUNCTION("GOOGLETRANSLATE(A20,""zh-tw"",""zh"")"),"萨卡班甲鱼(小)")</f>
        <v>萨卡班甲鱼(小)</v>
      </c>
      <c r="N20" s="142" t="str">
        <f>IFERROR(__xludf.DUMMYFUNCTION("GOOGLETRANSLATE(B20,""zh-tw"",""zh"")"),"◉▽◉(蓝色)")</f>
        <v>◉▽◉(蓝色)</v>
      </c>
      <c r="O20" s="142">
        <v>100.0</v>
      </c>
      <c r="P20" s="304" t="str">
        <f>IFERROR(__xludf.DUMMYFUNCTION("GOOGLETRANSLATE(D20,""zh-tw"",""zh"")"),"使用炸弹炸水面")</f>
        <v>使用炸弹炸水面</v>
      </c>
      <c r="Q20" s="138" t="str">
        <f>IFERROR(__xludf.DUMMYFUNCTION("GOOGLETRANSLATE(A20,""zh-tw"",""es-MX"")"),"Tortuga Sakaban (pequeña)")</f>
        <v>Tortuga Sakaban (pequeña)</v>
      </c>
      <c r="R20" s="51" t="str">
        <f>IFERROR(__xludf.DUMMYFUNCTION("GOOGLETRANSLATE(B20,""zh-tw"",""es-MX"")"),"◉▽◉ (Azul)")</f>
        <v>◉▽◉ (Azul)</v>
      </c>
      <c r="S20" s="142">
        <v>100.0</v>
      </c>
      <c r="T20" s="303" t="str">
        <f>IFERROR(__xludf.DUMMYFUNCTION("GOOGLETRANSLATE(D20,""zh-tw"",""es-MX"")"),"Utilice bombas para hacer estallar la superficie del agua.")</f>
        <v>Utilice bombas para hacer estallar la superficie del agua.</v>
      </c>
      <c r="U20" s="138" t="str">
        <f>IFERROR(__xludf.DUMMYFUNCTION("GOOGLETRANSLATE(A20,""zh-tw"",""KO"")"),"사카반 거북이(소)")</f>
        <v>사카반 거북이(소)</v>
      </c>
      <c r="V20" s="51" t="str">
        <f>IFERROR(__xludf.DUMMYFUNCTION("GOOGLETRANSLATE(B20,""zh-tw"",""KO"")"),"◉▽◉ (파란색)")</f>
        <v>◉▽◉ (파란색)</v>
      </c>
      <c r="W20" s="51">
        <v>100.0</v>
      </c>
      <c r="X20" s="304" t="str">
        <f>IFERROR(__xludf.DUMMYFUNCTION("GOOGLETRANSLATE(D20,""zh-tw"",""KO"")"),"폭탄을 사용하여 수면을 폭파하세요")</f>
        <v>폭탄을 사용하여 수면을 폭파하세요</v>
      </c>
      <c r="Y20" s="106" t="str">
        <f>IFERROR(__xludf.DUMMYFUNCTION("GOOGLETRANSLATE(A20,""zh-tw"",""ru"")"),"Сакабанская черепаха (маленькая)")</f>
        <v>Сакабанская черепаха (маленькая)</v>
      </c>
      <c r="Z20" s="51" t="str">
        <f>IFERROR(__xludf.DUMMYFUNCTION("GOOGLETRANSLATE(B20,""zh-tw"",""ru"")"),"◉▽◉ (Синий)")</f>
        <v>◉▽◉ (Синий)</v>
      </c>
      <c r="AA20" s="51">
        <v>100.0</v>
      </c>
      <c r="AB20" s="303" t="str">
        <f>IFERROR(__xludf.DUMMYFUNCTION("GOOGLETRANSLATE(D20,""zh-tw"",""ru"")"),"Используйте бомбы, чтобы взорвать поверхность воды.")</f>
        <v>Используйте бомбы, чтобы взорвать поверхность воды.</v>
      </c>
      <c r="AC20" s="138" t="s">
        <v>5022</v>
      </c>
      <c r="AD20" s="142" t="s">
        <v>5023</v>
      </c>
      <c r="AE20" s="142">
        <v>100.0</v>
      </c>
      <c r="AF20" s="303" t="s">
        <v>5024</v>
      </c>
      <c r="AG20" s="138" t="s">
        <v>5025</v>
      </c>
      <c r="AH20" s="142" t="s">
        <v>5026</v>
      </c>
      <c r="AI20" s="142">
        <v>100.0</v>
      </c>
      <c r="AJ20" s="303" t="s">
        <v>5027</v>
      </c>
      <c r="AK20" s="138" t="s">
        <v>5028</v>
      </c>
      <c r="AL20" s="142" t="s">
        <v>5029</v>
      </c>
      <c r="AM20" s="142">
        <v>100.0</v>
      </c>
      <c r="AN20" s="303" t="s">
        <v>5030</v>
      </c>
    </row>
    <row r="21">
      <c r="A21" s="106" t="s">
        <v>5031</v>
      </c>
      <c r="B21" s="51" t="s">
        <v>5032</v>
      </c>
      <c r="C21" s="51">
        <v>100.0</v>
      </c>
      <c r="D21" s="304" t="s">
        <v>5015</v>
      </c>
      <c r="E21" s="138" t="s">
        <v>5033</v>
      </c>
      <c r="F21" s="51" t="s">
        <v>5034</v>
      </c>
      <c r="G21" s="51">
        <v>100.0</v>
      </c>
      <c r="H21" s="304" t="s">
        <v>5018</v>
      </c>
      <c r="I21" s="106" t="s">
        <v>5035</v>
      </c>
      <c r="J21" s="142" t="s">
        <v>5036</v>
      </c>
      <c r="K21" s="142">
        <v>100.0</v>
      </c>
      <c r="L21" s="303" t="s">
        <v>5021</v>
      </c>
      <c r="M21" s="138" t="str">
        <f>IFERROR(__xludf.DUMMYFUNCTION("GOOGLETRANSLATE(A21,""zh-tw"",""zh"")"),"萨卡班甲鱼(大)")</f>
        <v>萨卡班甲鱼(大)</v>
      </c>
      <c r="N21" s="142" t="str">
        <f>IFERROR(__xludf.DUMMYFUNCTION("GOOGLETRANSLATE(B21,""zh-tw"",""zh"")"),"◉▽◉(紫色)")</f>
        <v>◉▽◉(紫色)</v>
      </c>
      <c r="O21" s="142">
        <v>100.0</v>
      </c>
      <c r="P21" s="304" t="str">
        <f>IFERROR(__xludf.DUMMYFUNCTION("GOOGLETRANSLATE(D21,""zh-tw"",""zh"")"),"使用炸弹炸水面")</f>
        <v>使用炸弹炸水面</v>
      </c>
      <c r="Q21" s="106" t="str">
        <f>IFERROR(__xludf.DUMMYFUNCTION("GOOGLETRANSLATE(A21,""zh-tw"",""es-MX"")"),"Tortuga Sakaban (grande)")</f>
        <v>Tortuga Sakaban (grande)</v>
      </c>
      <c r="R21" s="51" t="str">
        <f>IFERROR(__xludf.DUMMYFUNCTION("GOOGLETRANSLATE(B21,""zh-tw"",""es-MX"")"),"◉▽◉(púrpura)")</f>
        <v>◉▽◉(púrpura)</v>
      </c>
      <c r="S21" s="142">
        <v>100.0</v>
      </c>
      <c r="T21" s="303" t="str">
        <f>IFERROR(__xludf.DUMMYFUNCTION("GOOGLETRANSLATE(D21,""zh-tw"",""es-MX"")"),"Utilice bombas para hacer estallar la superficie del agua.")</f>
        <v>Utilice bombas para hacer estallar la superficie del agua.</v>
      </c>
      <c r="U21" s="138" t="str">
        <f>IFERROR(__xludf.DUMMYFUNCTION("GOOGLETRANSLATE(A21,""zh-tw"",""KO"")"),"사카반 거북이(대형)")</f>
        <v>사카반 거북이(대형)</v>
      </c>
      <c r="V21" s="51" t="str">
        <f>IFERROR(__xludf.DUMMYFUNCTION("GOOGLETRANSLATE(B21,""zh-tw"",""KO"")"),"◉▽◉(보라색)")</f>
        <v>◉▽◉(보라색)</v>
      </c>
      <c r="W21" s="51">
        <v>100.0</v>
      </c>
      <c r="X21" s="304" t="str">
        <f>IFERROR(__xludf.DUMMYFUNCTION("GOOGLETRANSLATE(D21,""zh-tw"",""KO"")"),"폭탄을 사용하여 수면을 폭파하세요")</f>
        <v>폭탄을 사용하여 수면을 폭파하세요</v>
      </c>
      <c r="Y21" s="106" t="str">
        <f>IFERROR(__xludf.DUMMYFUNCTION("GOOGLETRANSLATE(A21,""zh-tw"",""ru"")"),"Сакабанская черепаха (большая)")</f>
        <v>Сакабанская черепаха (большая)</v>
      </c>
      <c r="Z21" s="51" t="str">
        <f>IFERROR(__xludf.DUMMYFUNCTION("GOOGLETRANSLATE(B21,""zh-tw"",""ru"")"),"◉▽◉(фиолетовый)")</f>
        <v>◉▽◉(фиолетовый)</v>
      </c>
      <c r="AA21" s="51">
        <v>100.0</v>
      </c>
      <c r="AB21" s="303" t="str">
        <f>IFERROR(__xludf.DUMMYFUNCTION("GOOGLETRANSLATE(D21,""zh-tw"",""ru"")"),"Используйте бомбы, чтобы взорвать поверхность воды.")</f>
        <v>Используйте бомбы, чтобы взорвать поверхность воды.</v>
      </c>
      <c r="AC21" s="138" t="s">
        <v>5037</v>
      </c>
      <c r="AD21" s="142" t="s">
        <v>5038</v>
      </c>
      <c r="AE21" s="142">
        <v>100.0</v>
      </c>
      <c r="AF21" s="303" t="s">
        <v>5024</v>
      </c>
      <c r="AG21" s="138" t="s">
        <v>5039</v>
      </c>
      <c r="AH21" s="142" t="s">
        <v>5040</v>
      </c>
      <c r="AI21" s="142">
        <v>100.0</v>
      </c>
      <c r="AJ21" s="303" t="s">
        <v>5027</v>
      </c>
      <c r="AK21" s="138" t="s">
        <v>5041</v>
      </c>
      <c r="AL21" s="142" t="s">
        <v>5042</v>
      </c>
      <c r="AM21" s="142">
        <v>100.0</v>
      </c>
      <c r="AN21" s="303" t="s">
        <v>5030</v>
      </c>
    </row>
    <row r="22">
      <c r="A22" s="97" t="s">
        <v>5043</v>
      </c>
      <c r="E22" s="302" t="str">
        <f>IFERROR(__xludf.DUMMYFUNCTION("GOOGLETRANSLATE(A22,""zh-tw"",""ja"")"),"鉱山関連")</f>
        <v>鉱山関連</v>
      </c>
      <c r="I22" s="97" t="s">
        <v>5044</v>
      </c>
      <c r="M22" s="302" t="str">
        <f>IFERROR(__xludf.DUMMYFUNCTION("GOOGLETRANSLATE(A22,""zh-tw"",""zh"")"),"矿坑相关")</f>
        <v>矿坑相关</v>
      </c>
      <c r="Q22" s="97" t="str">
        <f>IFERROR(__xludf.DUMMYFUNCTION("GOOGLETRANSLATE(A22,""zh-tw"",""es-MX"")"),"relacionado con las minas")</f>
        <v>relacionado con las minas</v>
      </c>
      <c r="U22" s="302" t="str">
        <f>IFERROR(__xludf.DUMMYFUNCTION("GOOGLETRANSLATE(A22,""zh-tw"",""KO"")"),"광산과 관련된")</f>
        <v>광산과 관련된</v>
      </c>
      <c r="Y22" s="97" t="str">
        <f>IFERROR(__xludf.DUMMYFUNCTION("GOOGLETRANSLATE(A22,""zh-tw"",""ru"")"),"связанные с шахтами")</f>
        <v>связанные с шахтами</v>
      </c>
      <c r="AC22" s="302" t="str">
        <f>IFERROR(__xludf.DUMMYFUNCTION("GOOGLETRANSLATE(A21,""zh-tw"",""DE"")"),"Sakaban-Schildkröte (groß)")</f>
        <v>Sakaban-Schildkröte (groß)</v>
      </c>
      <c r="AG22" s="302" t="s">
        <v>5045</v>
      </c>
      <c r="AK22" s="302" t="s">
        <v>5044</v>
      </c>
    </row>
    <row r="23">
      <c r="A23" s="106" t="s">
        <v>5046</v>
      </c>
      <c r="B23" s="51" t="s">
        <v>5047</v>
      </c>
      <c r="C23" s="51" t="s">
        <v>5048</v>
      </c>
      <c r="D23" s="304" t="s">
        <v>813</v>
      </c>
      <c r="E23" s="138" t="s">
        <v>5049</v>
      </c>
      <c r="F23" s="142" t="s">
        <v>5050</v>
      </c>
      <c r="G23" s="51" t="s">
        <v>5048</v>
      </c>
      <c r="H23" s="304" t="str">
        <f>IFERROR(__xludf.DUMMYFUNCTION("GOOGLETRANSLATE(D23,""zh-tw"",""ja"")"),"-")</f>
        <v>-</v>
      </c>
      <c r="I23" s="106" t="s">
        <v>5051</v>
      </c>
      <c r="J23" s="142" t="s">
        <v>5052</v>
      </c>
      <c r="K23" s="142" t="s">
        <v>5048</v>
      </c>
      <c r="L23" s="303" t="s">
        <v>813</v>
      </c>
      <c r="M23" s="138" t="str">
        <f>IFERROR(__xludf.DUMMYFUNCTION("GOOGLETRANSLATE(A23,""zh-tw"",""zh"")"),"恶灵史莱姆")</f>
        <v>恶灵史莱姆</v>
      </c>
      <c r="N23" s="142" t="str">
        <f>IFERROR(__xludf.DUMMYFUNCTION("GOOGLETRANSLATE(B23,""zh-tw"",""zh"")"),"史莱姆的黏液
来自地狱
魔力晶簇
堕落法师的手套
精神凝聚头环")</f>
        <v>史莱姆的黏液
来自地狱
魔力晶簇
堕落法师的手套
精神凝聚头环</v>
      </c>
      <c r="O23" s="142" t="s">
        <v>5048</v>
      </c>
      <c r="P23" s="304" t="str">
        <f>IFERROR(__xludf.DUMMYFUNCTION("GOOGLETRANSLATE(D23,""zh-tw"",""zh"")"),"-")</f>
        <v>-</v>
      </c>
      <c r="Q23" s="106" t="str">
        <f>IFERROR(__xludf.DUMMYFUNCTION("GOOGLETRANSLATE(A23,""zh-tw"",""es-MX"")"),"Slime malvado")</f>
        <v>Slime malvado</v>
      </c>
      <c r="R23" s="51" t="str">
        <f>IFERROR(__xludf.DUMMYFUNCTION("GOOGLETRANSLATE(B23,""zh-tw"",""es-MX"")"),"Slime slime
Del infierno
Cúmulo de cristales mágicos
Guantes del mago caído
Diadema de concentración mental")</f>
        <v>Slime slime
Del infierno
Cúmulo de cristales mágicos
Guantes del mago caído
Diadema de concentración mental</v>
      </c>
      <c r="S23" s="142" t="s">
        <v>5048</v>
      </c>
      <c r="T23" s="303" t="str">
        <f>IFERROR(__xludf.DUMMYFUNCTION("GOOGLETRANSLATE(D23,""zh-tw"",""es-MX"")"),"-")</f>
        <v>-</v>
      </c>
      <c r="U23" s="138" t="str">
        <f>IFERROR(__xludf.DUMMYFUNCTION("GOOGLETRANSLATE(A23,""zh-tw"",""KO"")"),"사악한 슬라임")</f>
        <v>사악한 슬라임</v>
      </c>
      <c r="V23" s="51" t="str">
        <f>IFERROR(__xludf.DUMMYFUNCTION("GOOGLETRANSLATE(B23,""zh-tw"",""KO"")"),"슬라임 슬라임
지옥에서 온
마법 수정 클러스터
타락한 마법사의 장갑
정신 집중 머리띠")</f>
        <v>슬라임 슬라임
지옥에서 온
마법 수정 클러스터
타락한 마법사의 장갑
정신 집중 머리띠</v>
      </c>
      <c r="W23" s="51" t="s">
        <v>5048</v>
      </c>
      <c r="X23" s="304" t="str">
        <f>IFERROR(__xludf.DUMMYFUNCTION("GOOGLETRANSLATE(D23,""zh-tw"",""KO"")"),"-")</f>
        <v>-</v>
      </c>
      <c r="Y23" s="106" t="str">
        <f>IFERROR(__xludf.DUMMYFUNCTION("GOOGLETRANSLATE(A23,""zh-tw"",""ru"")"),"Злая слизь")</f>
        <v>Злая слизь</v>
      </c>
      <c r="Z23" s="51" t="str">
        <f>IFERROR(__xludf.DUMMYFUNCTION("GOOGLETRANSLATE(B23,""zh-tw"",""ru"")"),"Слизь-слизь
Из ада
Скопление магических кристаллов
Перчатки падшего мага
Повязка для концентрации ума")</f>
        <v>Слизь-слизь
Из ада
Скопление магических кристаллов
Перчатки падшего мага
Повязка для концентрации ума</v>
      </c>
      <c r="AA23" s="51" t="s">
        <v>5048</v>
      </c>
      <c r="AB23" s="303" t="str">
        <f>IFERROR(__xludf.DUMMYFUNCTION("GOOGLETRANSLATE(D23,""zh-tw"",""ru"")"),"-")</f>
        <v>-</v>
      </c>
      <c r="AC23" s="138" t="s">
        <v>5053</v>
      </c>
      <c r="AD23" s="142" t="s">
        <v>5054</v>
      </c>
      <c r="AE23" s="142" t="s">
        <v>5048</v>
      </c>
      <c r="AF23" s="303" t="s">
        <v>5009</v>
      </c>
      <c r="AG23" s="138" t="s">
        <v>5055</v>
      </c>
      <c r="AH23" s="142" t="s">
        <v>5056</v>
      </c>
      <c r="AI23" s="142" t="s">
        <v>5048</v>
      </c>
      <c r="AJ23" s="303" t="s">
        <v>813</v>
      </c>
      <c r="AK23" s="138" t="s">
        <v>5057</v>
      </c>
      <c r="AL23" s="136" t="s">
        <v>5058</v>
      </c>
      <c r="AM23" s="142" t="s">
        <v>5048</v>
      </c>
      <c r="AN23" s="303" t="s">
        <v>813</v>
      </c>
    </row>
    <row r="24">
      <c r="A24" s="106" t="s">
        <v>5059</v>
      </c>
      <c r="B24" s="51" t="s">
        <v>5060</v>
      </c>
      <c r="C24" s="51" t="s">
        <v>5061</v>
      </c>
      <c r="D24" s="304" t="s">
        <v>813</v>
      </c>
      <c r="E24" s="138" t="str">
        <f>IFERROR(__xludf.DUMMYFUNCTION("GOOGLETRANSLATE(A24,""zh-tw"",""ja"")"),"鉱石スライム")</f>
        <v>鉱石スライム</v>
      </c>
      <c r="F24" s="51" t="str">
        <f>IFERROR(__xludf.DUMMYFUNCTION("GOOGLETRANSLATE(B24,""zh-tw"",""ja"")"),"スライムのスライム
魔水晶クラスター
深淵の魔水晶クラスター")</f>
        <v>スライムのスライム
魔水晶クラスター
深淵の魔水晶クラスター</v>
      </c>
      <c r="G24" s="51" t="s">
        <v>5061</v>
      </c>
      <c r="H24" s="304" t="str">
        <f>IFERROR(__xludf.DUMMYFUNCTION("GOOGLETRANSLATE(D24,""zh-tw"",""ja"")"),"-")</f>
        <v>-</v>
      </c>
      <c r="I24" s="106" t="s">
        <v>5062</v>
      </c>
      <c r="J24" s="142" t="s">
        <v>5063</v>
      </c>
      <c r="K24" s="142" t="s">
        <v>5061</v>
      </c>
      <c r="L24" s="303" t="str">
        <f>IFERROR(__xludf.DUMMYFUNCTION("GOOGLETRANSLATE(D24,""zh-tw"",""en"")"),"-")</f>
        <v>-</v>
      </c>
      <c r="M24" s="138" t="str">
        <f>IFERROR(__xludf.DUMMYFUNCTION("GOOGLETRANSLATE(A24,""zh-tw"",""zh"")"),"矿石史莱姆")</f>
        <v>矿石史莱姆</v>
      </c>
      <c r="N24" s="142" t="str">
        <f>IFERROR(__xludf.DUMMYFUNCTION("GOOGLETRANSLATE(B24,""zh-tw"",""zh"")"),"史莱姆的黏液
魔力晶簇
深邃魔力晶簇")</f>
        <v>史莱姆的黏液
魔力晶簇
深邃魔力晶簇</v>
      </c>
      <c r="O24" s="142" t="s">
        <v>5061</v>
      </c>
      <c r="P24" s="304" t="str">
        <f>IFERROR(__xludf.DUMMYFUNCTION("GOOGLETRANSLATE(D24,""zh-tw"",""zh"")"),"-")</f>
        <v>-</v>
      </c>
      <c r="Q24" s="106" t="str">
        <f>IFERROR(__xludf.DUMMYFUNCTION("GOOGLETRANSLATE(A24,""zh-tw"",""es-MX"")"),"Limo de mineral")</f>
        <v>Limo de mineral</v>
      </c>
      <c r="R24" s="51" t="str">
        <f>IFERROR(__xludf.DUMMYFUNCTION("GOOGLETRANSLATE(B24,""zh-tw"",""es-MX"")"),"Slime de Slime
Cúmulo de Cristales Mágicos
Cúmulo de Cristales Mágicos Profundos")</f>
        <v>Slime de Slime
Cúmulo de Cristales Mágicos
Cúmulo de Cristales Mágicos Profundos</v>
      </c>
      <c r="S24" s="142" t="s">
        <v>5061</v>
      </c>
      <c r="T24" s="303" t="str">
        <f>IFERROR(__xludf.DUMMYFUNCTION("GOOGLETRANSLATE(D24,""zh-tw"",""es-MX"")"),"-")</f>
        <v>-</v>
      </c>
      <c r="U24" s="138" t="str">
        <f>IFERROR(__xludf.DUMMYFUNCTION("GOOGLETRANSLATE(A24,""zh-tw"",""KO"")"),"광석 슬라임")</f>
        <v>광석 슬라임</v>
      </c>
      <c r="V24" s="51" t="str">
        <f>IFERROR(__xludf.DUMMYFUNCTION("GOOGLETRANSLATE(B24,""zh-tw"",""KO"")"),"슬라임의 슬라임
마법 수정 클러스터
깊은 마법 수정 클러스터")</f>
        <v>슬라임의 슬라임
마법 수정 클러스터
깊은 마법 수정 클러스터</v>
      </c>
      <c r="W24" s="51" t="s">
        <v>5061</v>
      </c>
      <c r="X24" s="304" t="str">
        <f>IFERROR(__xludf.DUMMYFUNCTION("GOOGLETRANSLATE(D24,""zh-tw"",""KO"")"),"-")</f>
        <v>-</v>
      </c>
      <c r="Y24" s="106" t="str">
        <f>IFERROR(__xludf.DUMMYFUNCTION("GOOGLETRANSLATE(A24,""zh-tw"",""ru"")"),"Рудный слайм")</f>
        <v>Рудный слайм</v>
      </c>
      <c r="Z24" s="51" t="str">
        <f>IFERROR(__xludf.DUMMYFUNCTION("GOOGLETRANSLATE(B24,""zh-tw"",""ru"")"),"Слизь Слизи
Скопление Магических Кристаллов
Глубокое Магическое Кристаллическое Скопление")</f>
        <v>Слизь Слизи
Скопление Магических Кристаллов
Глубокое Магическое Кристаллическое Скопление</v>
      </c>
      <c r="AA24" s="51" t="s">
        <v>5061</v>
      </c>
      <c r="AB24" s="303" t="str">
        <f>IFERROR(__xludf.DUMMYFUNCTION("GOOGLETRANSLATE(D24,""zh-tw"",""ru"")"),"-")</f>
        <v>-</v>
      </c>
      <c r="AC24" s="138" t="s">
        <v>5064</v>
      </c>
      <c r="AD24" s="142" t="s">
        <v>5065</v>
      </c>
      <c r="AE24" s="142" t="s">
        <v>5061</v>
      </c>
      <c r="AF24" s="303" t="s">
        <v>5009</v>
      </c>
      <c r="AG24" s="138" t="s">
        <v>5066</v>
      </c>
      <c r="AH24" s="142" t="s">
        <v>5067</v>
      </c>
      <c r="AI24" s="142" t="s">
        <v>5061</v>
      </c>
      <c r="AJ24" s="303" t="s">
        <v>813</v>
      </c>
      <c r="AK24" s="138" t="s">
        <v>5068</v>
      </c>
      <c r="AL24" s="142" t="s">
        <v>5069</v>
      </c>
      <c r="AM24" s="142" t="s">
        <v>5061</v>
      </c>
      <c r="AN24" s="303" t="s">
        <v>813</v>
      </c>
    </row>
    <row r="25">
      <c r="A25" s="106" t="s">
        <v>5070</v>
      </c>
      <c r="B25" s="51" t="s">
        <v>5071</v>
      </c>
      <c r="C25" s="51" t="s">
        <v>5072</v>
      </c>
      <c r="D25" s="304" t="s">
        <v>813</v>
      </c>
      <c r="E25" s="106" t="s">
        <v>5073</v>
      </c>
      <c r="F25" s="51" t="str">
        <f>IFERROR(__xludf.DUMMYFUNCTION("GOOGLETRANSLATE(B25,""zh-tw"",""ja"")"),"500元
1000元
呪われた胎児
いたずらジャック
夜霧の幻影
地獄より")</f>
        <v>500元
1000元
呪われた胎児
いたずらジャック
夜霧の幻影
地獄より</v>
      </c>
      <c r="G25" s="51" t="s">
        <v>5072</v>
      </c>
      <c r="H25" s="304" t="str">
        <f>IFERROR(__xludf.DUMMYFUNCTION("GOOGLETRANSLATE(D25,""zh-tw"",""ja"")"),"-")</f>
        <v>-</v>
      </c>
      <c r="I25" s="106" t="s">
        <v>5074</v>
      </c>
      <c r="J25" s="142" t="s">
        <v>5075</v>
      </c>
      <c r="K25" s="142" t="s">
        <v>5072</v>
      </c>
      <c r="L25" s="303" t="s">
        <v>813</v>
      </c>
      <c r="M25" s="138" t="str">
        <f>IFERROR(__xludf.DUMMYFUNCTION("GOOGLETRANSLATE(A25,""zh-tw"",""zh"")"),"邪恶斗篷")</f>
        <v>邪恶斗篷</v>
      </c>
      <c r="N25" s="142" t="str">
        <f>IFERROR(__xludf.DUMMYFUNCTION("GOOGLETRANSLATE(B25,""zh-tw"",""zh"")"),"500元
1000元
受诅胎体
调皮的杰克
夜雾幻影
来自地狱")</f>
        <v>500元
1000元
受诅胎体
调皮的杰克
夜雾幻影
来自地狱</v>
      </c>
      <c r="O25" s="142" t="s">
        <v>5072</v>
      </c>
      <c r="P25" s="303" t="str">
        <f>IFERROR(__xludf.DUMMYFUNCTION("GOOGLETRANSLATE(D25,""zh-tw"",""zh"")"),"-")</f>
        <v>-</v>
      </c>
      <c r="Q25" s="138" t="str">
        <f>IFERROR(__xludf.DUMMYFUNCTION("GOOGLETRANSLATE(A25,""zh-tw"",""es-MX"")"),"Capa malvada")</f>
        <v>Capa malvada</v>
      </c>
      <c r="R25" s="142" t="str">
        <f>IFERROR(__xludf.DUMMYFUNCTION("GOOGLETRANSLATE(B25,""zh-tw"",""es-MX"")"),"500 yuanes
1000 yuanes
Feto Maldito
Jack el Travieso
Fantasma de la Niebla Nocturna
Del Infierno")</f>
        <v>500 yuanes
1000 yuanes
Feto Maldito
Jack el Travieso
Fantasma de la Niebla Nocturna
Del Infierno</v>
      </c>
      <c r="S25" s="142" t="s">
        <v>5072</v>
      </c>
      <c r="T25" s="303" t="str">
        <f>IFERROR(__xludf.DUMMYFUNCTION("GOOGLETRANSLATE(D25,""zh-tw"",""es-MX"")"),"-")</f>
        <v>-</v>
      </c>
      <c r="U25" s="138" t="str">
        <f>IFERROR(__xludf.DUMMYFUNCTION("GOOGLETRANSLATE(A25,""zh-tw"",""KO"")"),"사악한 망토")</f>
        <v>사악한 망토</v>
      </c>
      <c r="V25" s="51" t="str">
        <f>IFERROR(__xludf.DUMMYFUNCTION("GOOGLETRANSLATE(B25,""zh-tw"",""KO"")"),"500위안
1000위안
저주받은 태아
장난꾸러기 잭
밤안개 유령
지옥에서 온")</f>
        <v>500위안
1000위안
저주받은 태아
장난꾸러기 잭
밤안개 유령
지옥에서 온</v>
      </c>
      <c r="W25" s="51" t="s">
        <v>5072</v>
      </c>
      <c r="X25" s="304" t="str">
        <f>IFERROR(__xludf.DUMMYFUNCTION("GOOGLETRANSLATE(D25,""zh-tw"",""KO"")"),"-")</f>
        <v>-</v>
      </c>
      <c r="Y25" s="106" t="str">
        <f>IFERROR(__xludf.DUMMYFUNCTION("GOOGLETRANSLATE(A25,""zh-tw"",""ru"")"),"Злой Плащ")</f>
        <v>Злой Плащ</v>
      </c>
      <c r="Z25" s="51" t="str">
        <f>IFERROR(__xludf.DUMMYFUNCTION("GOOGLETRANSLATE(B25,""zh-tw"",""ru"")"),"500 юаней
1000 юаней
Проклятый плод
Озорной Джек
Ночной туманный призрак
Из ада")</f>
        <v>500 юаней
1000 юаней
Проклятый плод
Озорной Джек
Ночной туманный призрак
Из ада</v>
      </c>
      <c r="AA25" s="51" t="s">
        <v>5072</v>
      </c>
      <c r="AB25" s="303" t="str">
        <f>IFERROR(__xludf.DUMMYFUNCTION("GOOGLETRANSLATE(D25,""zh-tw"",""ru"")"),"-")</f>
        <v>-</v>
      </c>
      <c r="AC25" s="138" t="s">
        <v>5076</v>
      </c>
      <c r="AD25" s="142" t="s">
        <v>5077</v>
      </c>
      <c r="AE25" s="142" t="s">
        <v>5072</v>
      </c>
      <c r="AF25" s="303" t="s">
        <v>813</v>
      </c>
      <c r="AG25" s="138" t="s">
        <v>5078</v>
      </c>
      <c r="AH25" s="142" t="s">
        <v>5079</v>
      </c>
      <c r="AI25" s="142" t="s">
        <v>5072</v>
      </c>
      <c r="AJ25" s="303" t="s">
        <v>813</v>
      </c>
      <c r="AK25" s="138" t="s">
        <v>5074</v>
      </c>
      <c r="AL25" s="136" t="s">
        <v>5080</v>
      </c>
      <c r="AM25" s="142" t="s">
        <v>5072</v>
      </c>
      <c r="AN25" s="303" t="s">
        <v>813</v>
      </c>
    </row>
    <row r="26">
      <c r="A26" s="97" t="s">
        <v>5081</v>
      </c>
      <c r="E26" s="97" t="str">
        <f>IFERROR(__xludf.DUMMYFUNCTION("GOOGLETRANSLATE(A26,""zh-tw"",""ja"")"),"遺跡")</f>
        <v>遺跡</v>
      </c>
      <c r="I26" s="97" t="s">
        <v>5082</v>
      </c>
      <c r="M26" s="302" t="str">
        <f>IFERROR(__xludf.DUMMYFUNCTION("GOOGLETRANSLATE(A26,""zh-tw"",""zh"")"),"遗迹相关")</f>
        <v>遗迹相关</v>
      </c>
      <c r="Q26" s="302" t="str">
        <f>IFERROR(__xludf.DUMMYFUNCTION("GOOGLETRANSLATE(A26,""zh-tw"",""es-MX"")"),"Restos")</f>
        <v>Restos</v>
      </c>
      <c r="U26" s="302" t="str">
        <f>IFERROR(__xludf.DUMMYFUNCTION("GOOGLETRANSLATE(A26,""zh-tw"",""KO"")"),"유적")</f>
        <v>유적</v>
      </c>
      <c r="Y26" s="97" t="str">
        <f>IFERROR(__xludf.DUMMYFUNCTION("GOOGLETRANSLATE(A26,""zh-tw"",""ru"")"),"Руины")</f>
        <v>Руины</v>
      </c>
      <c r="AC26" s="302" t="str">
        <f>IFERROR(__xludf.DUMMYFUNCTION("GOOGLETRANSLATE(A25,""zh-tw"",""DE"")"),"Böser Umhang")</f>
        <v>Böser Umhang</v>
      </c>
      <c r="AG26" s="302" t="s">
        <v>5083</v>
      </c>
      <c r="AK26" s="302" t="s">
        <v>5082</v>
      </c>
    </row>
    <row r="27">
      <c r="A27" s="106" t="s">
        <v>5084</v>
      </c>
      <c r="B27" s="51" t="s">
        <v>5085</v>
      </c>
      <c r="C27" s="51" t="s">
        <v>5086</v>
      </c>
      <c r="D27" s="304" t="s">
        <v>813</v>
      </c>
      <c r="E27" s="138" t="s">
        <v>5087</v>
      </c>
      <c r="F27" s="142" t="s">
        <v>5088</v>
      </c>
      <c r="G27" s="51" t="s">
        <v>5086</v>
      </c>
      <c r="H27" s="304" t="str">
        <f>IFERROR(__xludf.DUMMYFUNCTION("GOOGLETRANSLATE(D27,""zh-tw"",""ja"")"),"-")</f>
        <v>-</v>
      </c>
      <c r="I27" s="138" t="s">
        <v>5089</v>
      </c>
      <c r="J27" s="142" t="s">
        <v>5090</v>
      </c>
      <c r="K27" s="142" t="s">
        <v>5086</v>
      </c>
      <c r="L27" s="303" t="str">
        <f>IFERROR(__xludf.DUMMYFUNCTION("GOOGLETRANSLATE(D27,""zh-tw"",""en"")"),"-")</f>
        <v>-</v>
      </c>
      <c r="M27" s="138" t="str">
        <f>IFERROR(__xludf.DUMMYFUNCTION("GOOGLETRANSLATE(A27,""zh-tw"",""zh"")"),"初级兽人")</f>
        <v>初级兽人</v>
      </c>
      <c r="N27" s="142" t="str">
        <f>IFERROR(__xludf.DUMMYFUNCTION("GOOGLETRANSLATE(B27,""zh-tw"",""zh"")"),"小兽肉
大兽肉
500元
兽人的骨釜")</f>
        <v>小兽肉
大兽肉
500元
兽人的骨釜</v>
      </c>
      <c r="O27" s="142" t="s">
        <v>5086</v>
      </c>
      <c r="P27" s="303" t="str">
        <f>IFERROR(__xludf.DUMMYFUNCTION("GOOGLETRANSLATE(D27,""zh-tw"",""zh"")"),"-")</f>
        <v>-</v>
      </c>
      <c r="Q27" s="106" t="str">
        <f>IFERROR(__xludf.DUMMYFUNCTION("GOOGLETRANSLATE(A27,""zh-tw"",""es-MX"")"),"Novatos")</f>
        <v>Novatos</v>
      </c>
      <c r="R27" s="142" t="str">
        <f>IFERROR(__xludf.DUMMYFUNCTION("GOOGLETRANSLATE(B27,""zh-tw"",""es-MX"")"),"Carne de animales pequeños, carne de animales grandes, 500 yuanes, olla de hueso de orco")</f>
        <v>Carne de animales pequeños, carne de animales grandes, 500 yuanes, olla de hueso de orco</v>
      </c>
      <c r="S27" s="142" t="s">
        <v>5086</v>
      </c>
      <c r="T27" s="303" t="str">
        <f>IFERROR(__xludf.DUMMYFUNCTION("GOOGLETRANSLATE(D27,""zh-tw"",""es-MX"")"),"-")</f>
        <v>-</v>
      </c>
      <c r="U27" s="138" t="str">
        <f>IFERROR(__xludf.DUMMYFUNCTION("GOOGLETRANSLATE(A27,""zh-tw"",""KO"")"),"초보자")</f>
        <v>초보자</v>
      </c>
      <c r="V27" s="51" t="str">
        <f>IFERROR(__xludf.DUMMYFUNCTION("GOOGLETRANSLATE(B27,""zh-tw"",""KO"")"),"작은 동물 고기, 큰 동물 고기, 500위안, 오크 뼈 냄비")</f>
        <v>작은 동물 고기, 큰 동물 고기, 500위안, 오크 뼈 냄비</v>
      </c>
      <c r="W27" s="51" t="s">
        <v>5086</v>
      </c>
      <c r="X27" s="304" t="str">
        <f>IFERROR(__xludf.DUMMYFUNCTION("GOOGLETRANSLATE(D27,""zh-tw"",""KO"")"),"-")</f>
        <v>-</v>
      </c>
      <c r="Y27" s="106" t="str">
        <f>IFERROR(__xludf.DUMMYFUNCTION("GOOGLETRANSLATE(A27,""zh-tw"",""ru"")"),"Новички")</f>
        <v>Новички</v>
      </c>
      <c r="Z27" s="51" t="str">
        <f>IFERROR(__xludf.DUMMYFUNCTION("GOOGLETRANSLATE(B27,""zh-tw"",""ru"")"),"Мясо мелкого животного, мясо крупного животного, 500 юаней, горшок с косточкой орка")</f>
        <v>Мясо мелкого животного, мясо крупного животного, 500 юаней, горшок с косточкой орка</v>
      </c>
      <c r="AA27" s="51" t="s">
        <v>5086</v>
      </c>
      <c r="AB27" s="303" t="str">
        <f>IFERROR(__xludf.DUMMYFUNCTION("GOOGLETRANSLATE(D27,""zh-tw"",""ru"")"),"-")</f>
        <v>-</v>
      </c>
      <c r="AC27" s="138" t="s">
        <v>5091</v>
      </c>
      <c r="AD27" s="142" t="s">
        <v>5092</v>
      </c>
      <c r="AE27" s="142" t="s">
        <v>5086</v>
      </c>
      <c r="AF27" s="303" t="s">
        <v>5009</v>
      </c>
      <c r="AG27" s="138" t="s">
        <v>5093</v>
      </c>
      <c r="AH27" s="142" t="s">
        <v>5094</v>
      </c>
      <c r="AI27" s="142" t="s">
        <v>5086</v>
      </c>
      <c r="AJ27" s="303" t="s">
        <v>813</v>
      </c>
      <c r="AK27" s="138" t="s">
        <v>5095</v>
      </c>
      <c r="AL27" s="142" t="s">
        <v>5096</v>
      </c>
      <c r="AM27" s="142" t="s">
        <v>5086</v>
      </c>
      <c r="AN27" s="303" t="s">
        <v>813</v>
      </c>
    </row>
    <row r="28">
      <c r="A28" s="106" t="s">
        <v>5097</v>
      </c>
      <c r="B28" s="51" t="s">
        <v>5098</v>
      </c>
      <c r="C28" s="51" t="s">
        <v>5099</v>
      </c>
      <c r="D28" s="303" t="s">
        <v>813</v>
      </c>
      <c r="E28" s="138" t="s">
        <v>5097</v>
      </c>
      <c r="F28" s="142" t="s">
        <v>5100</v>
      </c>
      <c r="G28" s="51" t="s">
        <v>5099</v>
      </c>
      <c r="H28" s="304" t="str">
        <f>IFERROR(__xludf.DUMMYFUNCTION("GOOGLETRANSLATE(D28,""zh-tw"",""ja"")"),"-")</f>
        <v>-</v>
      </c>
      <c r="I28" s="138" t="s">
        <v>5101</v>
      </c>
      <c r="J28" s="142" t="s">
        <v>5102</v>
      </c>
      <c r="K28" s="142" t="s">
        <v>5099</v>
      </c>
      <c r="L28" s="303" t="str">
        <f>IFERROR(__xludf.DUMMYFUNCTION("GOOGLETRANSLATE(D28,""zh-tw"",""en"")"),"-")</f>
        <v>-</v>
      </c>
      <c r="M28" s="138" t="str">
        <f>IFERROR(__xludf.DUMMYFUNCTION("GOOGLETRANSLATE(A28,""zh-tw"",""zh"")"),"怪鸟")</f>
        <v>怪鸟</v>
      </c>
      <c r="N28" s="142" t="str">
        <f>IFERROR(__xludf.DUMMYFUNCTION("GOOGLETRANSLATE(B28,""zh-tw"",""zh"")"),"鸡腿肉
怪鸟的羽毛")</f>
        <v>鸡腿肉
怪鸟的羽毛</v>
      </c>
      <c r="O28" s="142" t="s">
        <v>5099</v>
      </c>
      <c r="P28" s="304" t="str">
        <f>IFERROR(__xludf.DUMMYFUNCTION("GOOGLETRANSLATE(D28,""zh-tw"",""zh"")"),"-")</f>
        <v>-</v>
      </c>
      <c r="Q28" s="138" t="str">
        <f>IFERROR(__xludf.DUMMYFUNCTION("GOOGLETRANSLATE(A28,""zh-tw"",""es-MX"")"),"Pájaro extraño")</f>
        <v>Pájaro extraño</v>
      </c>
      <c r="R28" s="142" t="str">
        <f>IFERROR(__xludf.DUMMYFUNCTION("GOOGLETRANSLATE(B28,""zh-tw"",""es-MX"")"),"Carne de muslo de pollo; plumas de pájaro extrañas")</f>
        <v>Carne de muslo de pollo; plumas de pájaro extrañas</v>
      </c>
      <c r="S28" s="142" t="s">
        <v>5099</v>
      </c>
      <c r="T28" s="303" t="str">
        <f>IFERROR(__xludf.DUMMYFUNCTION("GOOGLETRANSLATE(D28,""zh-tw"",""es-MX"")"),"-")</f>
        <v>-</v>
      </c>
      <c r="U28" s="138" t="str">
        <f>IFERROR(__xludf.DUMMYFUNCTION("GOOGLETRANSLATE(A28,""zh-tw"",""KO"")"),"이상한 새")</f>
        <v>이상한 새</v>
      </c>
      <c r="V28" s="51" t="str">
        <f>IFERROR(__xludf.DUMMYFUNCTION("GOOGLETRANSLATE(B28,""zh-tw"",""KO"")"),"닭다리살; 이상한 새 깃털")</f>
        <v>닭다리살; 이상한 새 깃털</v>
      </c>
      <c r="W28" s="51" t="s">
        <v>5099</v>
      </c>
      <c r="X28" s="304" t="str">
        <f>IFERROR(__xludf.DUMMYFUNCTION("GOOGLETRANSLATE(D28,""zh-tw"",""KO"")"),"-")</f>
        <v>-</v>
      </c>
      <c r="Y28" s="106" t="str">
        <f>IFERROR(__xludf.DUMMYFUNCTION("GOOGLETRANSLATE(A28,""zh-tw"",""ru"")"),"Странная птица")</f>
        <v>Странная птица</v>
      </c>
      <c r="Z28" s="51" t="str">
        <f>IFERROR(__xludf.DUMMYFUNCTION("GOOGLETRANSLATE(B28,""zh-tw"",""ru"")"),"Мясо куриной ножки; перья странной птицы")</f>
        <v>Мясо куриной ножки; перья странной птицы</v>
      </c>
      <c r="AA28" s="51" t="s">
        <v>5099</v>
      </c>
      <c r="AB28" s="303" t="str">
        <f>IFERROR(__xludf.DUMMYFUNCTION("GOOGLETRANSLATE(D28,""zh-tw"",""ru"")"),"-")</f>
        <v>-</v>
      </c>
      <c r="AC28" s="138" t="s">
        <v>5103</v>
      </c>
      <c r="AD28" s="142" t="s">
        <v>5104</v>
      </c>
      <c r="AE28" s="142" t="s">
        <v>5099</v>
      </c>
      <c r="AF28" s="303" t="s">
        <v>5009</v>
      </c>
      <c r="AG28" s="138" t="s">
        <v>5105</v>
      </c>
      <c r="AH28" s="142" t="s">
        <v>5106</v>
      </c>
      <c r="AI28" s="142" t="s">
        <v>5099</v>
      </c>
      <c r="AJ28" s="303" t="s">
        <v>813</v>
      </c>
      <c r="AK28" s="138" t="s">
        <v>5107</v>
      </c>
      <c r="AL28" s="136" t="s">
        <v>5108</v>
      </c>
      <c r="AM28" s="142" t="s">
        <v>5099</v>
      </c>
      <c r="AN28" s="303" t="s">
        <v>813</v>
      </c>
    </row>
    <row r="29">
      <c r="A29" s="106" t="s">
        <v>5109</v>
      </c>
      <c r="B29" s="51" t="s">
        <v>5110</v>
      </c>
      <c r="C29" s="51" t="s">
        <v>5111</v>
      </c>
      <c r="D29" s="303" t="s">
        <v>813</v>
      </c>
      <c r="E29" s="138" t="s">
        <v>5112</v>
      </c>
      <c r="F29" s="142" t="s">
        <v>5113</v>
      </c>
      <c r="G29" s="51" t="s">
        <v>5111</v>
      </c>
      <c r="H29" s="304" t="str">
        <f>IFERROR(__xludf.DUMMYFUNCTION("GOOGLETRANSLATE(D29,""zh-tw"",""ja"")"),"-")</f>
        <v>-</v>
      </c>
      <c r="I29" s="138" t="s">
        <v>5114</v>
      </c>
      <c r="J29" s="142" t="s">
        <v>5115</v>
      </c>
      <c r="K29" s="142" t="s">
        <v>5111</v>
      </c>
      <c r="L29" s="303" t="str">
        <f>IFERROR(__xludf.DUMMYFUNCTION("GOOGLETRANSLATE(D29,""zh-tw"",""en"")"),"-")</f>
        <v>-</v>
      </c>
      <c r="M29" s="138" t="str">
        <f>IFERROR(__xludf.DUMMYFUNCTION("GOOGLETRANSLATE(A29,""zh-tw"",""zh"")"),"走路菇")</f>
        <v>走路菇</v>
      </c>
      <c r="N29" s="142" t="str">
        <f>IFERROR(__xludf.DUMMYFUNCTION("GOOGLETRANSLATE(B29,""zh-tw"",""zh"")"),"走路菇
毒孢针")</f>
        <v>走路菇
毒孢针</v>
      </c>
      <c r="O29" s="142" t="s">
        <v>5111</v>
      </c>
      <c r="P29" s="303" t="str">
        <f>IFERROR(__xludf.DUMMYFUNCTION("GOOGLETRANSLATE(D29,""zh-tw"",""zh"")"),"-")</f>
        <v>-</v>
      </c>
      <c r="Q29" s="106" t="str">
        <f>IFERROR(__xludf.DUMMYFUNCTION("GOOGLETRANSLATE(A29,""zh-tw"",""es-MX"")"),"Hongo andante")</f>
        <v>Hongo andante</v>
      </c>
      <c r="R29" s="142" t="str">
        <f>IFERROR(__xludf.DUMMYFUNCTION("GOOGLETRANSLATE(B29,""zh-tw"",""es-MX"")"),"Hongo andante; aguja de esporas venenosas")</f>
        <v>Hongo andante; aguja de esporas venenosas</v>
      </c>
      <c r="S29" s="142" t="s">
        <v>5111</v>
      </c>
      <c r="T29" s="303" t="str">
        <f>IFERROR(__xludf.DUMMYFUNCTION("GOOGLETRANSLATE(D29,""zh-tw"",""es-MX"")"),"-")</f>
        <v>-</v>
      </c>
      <c r="U29" s="138" t="str">
        <f>IFERROR(__xludf.DUMMYFUNCTION("GOOGLETRANSLATE(A29,""zh-tw"",""KO"")"),"걷는 버섯")</f>
        <v>걷는 버섯</v>
      </c>
      <c r="V29" s="51" t="str">
        <f>IFERROR(__xludf.DUMMYFUNCTION("GOOGLETRANSLATE(B29,""zh-tw"",""KO"")"),"걷는 버섯; 독이 있는 포자 바늘")</f>
        <v>걷는 버섯; 독이 있는 포자 바늘</v>
      </c>
      <c r="W29" s="51" t="s">
        <v>5111</v>
      </c>
      <c r="X29" s="304" t="str">
        <f>IFERROR(__xludf.DUMMYFUNCTION("GOOGLETRANSLATE(D29,""zh-tw"",""KO"")"),"-")</f>
        <v>-</v>
      </c>
      <c r="Y29" s="106" t="str">
        <f>IFERROR(__xludf.DUMMYFUNCTION("GOOGLETRANSLATE(A29,""zh-tw"",""ru"")"),"Ходячий гриб")</f>
        <v>Ходячий гриб</v>
      </c>
      <c r="Z29" s="51" t="str">
        <f>IFERROR(__xludf.DUMMYFUNCTION("GOOGLETRANSLATE(B29,""zh-tw"",""ru"")"),"Ходячий гриб; ядовитая споровая игла")</f>
        <v>Ходячий гриб; ядовитая споровая игла</v>
      </c>
      <c r="AA29" s="51" t="s">
        <v>5111</v>
      </c>
      <c r="AB29" s="303" t="str">
        <f>IFERROR(__xludf.DUMMYFUNCTION("GOOGLETRANSLATE(D29,""zh-tw"",""ru"")"),"-")</f>
        <v>-</v>
      </c>
      <c r="AC29" s="138" t="s">
        <v>5116</v>
      </c>
      <c r="AD29" s="142" t="s">
        <v>5117</v>
      </c>
      <c r="AE29" s="142" t="s">
        <v>5111</v>
      </c>
      <c r="AF29" s="303" t="s">
        <v>5009</v>
      </c>
      <c r="AG29" s="138" t="s">
        <v>5118</v>
      </c>
      <c r="AH29" s="142" t="s">
        <v>5119</v>
      </c>
      <c r="AI29" s="142" t="s">
        <v>5111</v>
      </c>
      <c r="AJ29" s="303" t="s">
        <v>813</v>
      </c>
      <c r="AK29" s="138" t="s">
        <v>5114</v>
      </c>
      <c r="AL29" s="136" t="s">
        <v>5120</v>
      </c>
      <c r="AM29" s="142" t="s">
        <v>5111</v>
      </c>
      <c r="AN29" s="303" t="s">
        <v>813</v>
      </c>
    </row>
    <row r="30">
      <c r="A30" s="106" t="s">
        <v>5121</v>
      </c>
      <c r="B30" s="51" t="s">
        <v>5122</v>
      </c>
      <c r="C30" s="51" t="s">
        <v>5123</v>
      </c>
      <c r="D30" s="304" t="s">
        <v>813</v>
      </c>
      <c r="E30" s="106" t="str">
        <f>IFERROR(__xludf.DUMMYFUNCTION("GOOGLETRANSLATE(A30,""zh-tw"",""ja"")"),"ジャックスライム")</f>
        <v>ジャックスライム</v>
      </c>
      <c r="F30" s="142" t="s">
        <v>5124</v>
      </c>
      <c r="G30" s="142" t="s">
        <v>5123</v>
      </c>
      <c r="H30" s="304" t="str">
        <f>IFERROR(__xludf.DUMMYFUNCTION("GOOGLETRANSLATE(D30,""zh-tw"",""ja"")"),"-")</f>
        <v>-</v>
      </c>
      <c r="I30" s="138" t="s">
        <v>5125</v>
      </c>
      <c r="J30" s="142" t="s">
        <v>5126</v>
      </c>
      <c r="K30" s="142" t="s">
        <v>5123</v>
      </c>
      <c r="L30" s="303" t="s">
        <v>813</v>
      </c>
      <c r="M30" s="138" t="str">
        <f>IFERROR(__xludf.DUMMYFUNCTION("GOOGLETRANSLATE(A30,""zh-tw"",""zh"")"),"杰克史莱姆")</f>
        <v>杰克史莱姆</v>
      </c>
      <c r="N30" s="142" t="str">
        <f>IFERROR(__xludf.DUMMYFUNCTION("GOOGLETRANSLATE(B30,""zh-tw"",""zh"")"),"史莱姆的黏液
杰克爆弹
炸弹魔之魂")</f>
        <v>史莱姆的黏液
杰克爆弹
炸弹魔之魂</v>
      </c>
      <c r="O30" s="142" t="s">
        <v>5123</v>
      </c>
      <c r="P30" s="303" t="str">
        <f>IFERROR(__xludf.DUMMYFUNCTION("GOOGLETRANSLATE(D30,""zh-tw"",""zh"")"),"-")</f>
        <v>-</v>
      </c>
      <c r="Q30" s="106" t="str">
        <f>IFERROR(__xludf.DUMMYFUNCTION("GOOGLETRANSLATE(A30,""zh-tw"",""es-MX"")"),"Jack Slime")</f>
        <v>Jack Slime</v>
      </c>
      <c r="R30" s="142" t="str">
        <f>IFERROR(__xludf.DUMMYFUNCTION("GOOGLETRANSLATE(B30,""zh-tw"",""es-MX"")"),"Slime Slime
Jack Bomb
Bombardero Soul")</f>
        <v>Slime Slime
Jack Bomb
Bombardero Soul</v>
      </c>
      <c r="S30" s="142" t="s">
        <v>5123</v>
      </c>
      <c r="T30" s="303" t="str">
        <f>IFERROR(__xludf.DUMMYFUNCTION("GOOGLETRANSLATE(D30,""zh-tw"",""es-MX"")"),"-")</f>
        <v>-</v>
      </c>
      <c r="U30" s="138" t="str">
        <f>IFERROR(__xludf.DUMMYFUNCTION("GOOGLETRANSLATE(A30,""zh-tw"",""KO"")"),"잭 슬라임")</f>
        <v>잭 슬라임</v>
      </c>
      <c r="V30" s="51" t="str">
        <f>IFERROR(__xludf.DUMMYFUNCTION("GOOGLETRANSLATE(B30,""zh-tw"",""KO"")"),"슬라임 슬라임
잭 밤
봄버 소울")</f>
        <v>슬라임 슬라임
잭 밤
봄버 소울</v>
      </c>
      <c r="W30" s="51" t="s">
        <v>5123</v>
      </c>
      <c r="X30" s="304" t="str">
        <f>IFERROR(__xludf.DUMMYFUNCTION("GOOGLETRANSLATE(D30,""zh-tw"",""KO"")"),"-")</f>
        <v>-</v>
      </c>
      <c r="Y30" s="106" t="str">
        <f>IFERROR(__xludf.DUMMYFUNCTION("GOOGLETRANSLATE(A30,""zh-tw"",""ru"")"),"Джек Слайм")</f>
        <v>Джек Слайм</v>
      </c>
      <c r="Z30" s="51" t="str">
        <f>IFERROR(__xludf.DUMMYFUNCTION("GOOGLETRANSLATE(B30,""zh-tw"",""ru"")"),"Слайм-слайм
Джек-бомба
Душа бомбардировщика")</f>
        <v>Слайм-слайм
Джек-бомба
Душа бомбардировщика</v>
      </c>
      <c r="AA30" s="51" t="s">
        <v>5123</v>
      </c>
      <c r="AB30" s="303" t="str">
        <f>IFERROR(__xludf.DUMMYFUNCTION("GOOGLETRANSLATE(D30,""zh-tw"",""ru"")"),"-")</f>
        <v>-</v>
      </c>
      <c r="AC30" s="138" t="s">
        <v>5127</v>
      </c>
      <c r="AD30" s="142" t="s">
        <v>5128</v>
      </c>
      <c r="AE30" s="142" t="s">
        <v>5123</v>
      </c>
      <c r="AF30" s="303" t="s">
        <v>5009</v>
      </c>
      <c r="AG30" s="138" t="s">
        <v>5129</v>
      </c>
      <c r="AH30" s="142" t="s">
        <v>5130</v>
      </c>
      <c r="AI30" s="142" t="s">
        <v>5123</v>
      </c>
      <c r="AJ30" s="303" t="s">
        <v>813</v>
      </c>
      <c r="AK30" s="138" t="s">
        <v>5131</v>
      </c>
      <c r="AL30" s="142" t="s">
        <v>5132</v>
      </c>
      <c r="AM30" s="142" t="s">
        <v>5123</v>
      </c>
      <c r="AN30" s="303" t="s">
        <v>813</v>
      </c>
    </row>
    <row r="31">
      <c r="A31" s="106" t="s">
        <v>5133</v>
      </c>
      <c r="B31" s="51" t="s">
        <v>5134</v>
      </c>
      <c r="C31" s="51" t="s">
        <v>5135</v>
      </c>
      <c r="D31" s="303" t="s">
        <v>813</v>
      </c>
      <c r="E31" s="138" t="s">
        <v>5136</v>
      </c>
      <c r="F31" s="142" t="s">
        <v>5137</v>
      </c>
      <c r="G31" s="51" t="s">
        <v>5135</v>
      </c>
      <c r="H31" s="304" t="str">
        <f>IFERROR(__xludf.DUMMYFUNCTION("GOOGLETRANSLATE(D31,""zh-tw"",""ja"")"),"-")</f>
        <v>-</v>
      </c>
      <c r="I31" s="138" t="str">
        <f>IFERROR(__xludf.DUMMYFUNCTION("GOOGLETRANSLATE(A31,""zh-tw"",""en"")"),"Maid Bunny")</f>
        <v>Maid Bunny</v>
      </c>
      <c r="J31" s="142" t="s">
        <v>5138</v>
      </c>
      <c r="K31" s="142" t="s">
        <v>5135</v>
      </c>
      <c r="L31" s="303" t="str">
        <f>IFERROR(__xludf.DUMMYFUNCTION("GOOGLETRANSLATE(D31,""zh-tw"",""en"")"),"-")</f>
        <v>-</v>
      </c>
      <c r="M31" s="138" t="str">
        <f>IFERROR(__xludf.DUMMYFUNCTION("GOOGLETRANSLATE(A31,""zh-tw"",""zh"")"),"女仆兔")</f>
        <v>女仆兔</v>
      </c>
      <c r="N31" s="142" t="str">
        <f>IFERROR(__xludf.DUMMYFUNCTION("GOOGLETRANSLATE(B31,""zh-tw"",""zh"")"),"胡萝卜
500元
1000元
萌萌兔耳
女仆制服")</f>
        <v>胡萝卜
500元
1000元
萌萌兔耳
女仆制服</v>
      </c>
      <c r="O31" s="142" t="s">
        <v>5135</v>
      </c>
      <c r="P31" s="304" t="str">
        <f>IFERROR(__xludf.DUMMYFUNCTION("GOOGLETRANSLATE(D31,""zh-tw"",""zh"")"),"-")</f>
        <v>-</v>
      </c>
      <c r="Q31" s="106" t="str">
        <f>IFERROR(__xludf.DUMMYFUNCTION("GOOGLETRANSLATE(A31,""zh-tw"",""es-MX"")"),"Conejita sirvienta")</f>
        <v>Conejita sirvienta</v>
      </c>
      <c r="R31" s="142" t="str">
        <f>IFERROR(__xludf.DUMMYFUNCTION("GOOGLETRANSLATE(B31,""zh-tw"",""es-MX"")"),"Zanahoria
500 yuanes
1000 yuanes
Lindas orejas de conejo
Uniforme de sirvienta")</f>
        <v>Zanahoria
500 yuanes
1000 yuanes
Lindas orejas de conejo
Uniforme de sirvienta</v>
      </c>
      <c r="S31" s="142" t="s">
        <v>5135</v>
      </c>
      <c r="T31" s="303" t="str">
        <f>IFERROR(__xludf.DUMMYFUNCTION("GOOGLETRANSLATE(D31,""zh-tw"",""es-MX"")"),"-")</f>
        <v>-</v>
      </c>
      <c r="U31" s="138" t="str">
        <f>IFERROR(__xludf.DUMMYFUNCTION("GOOGLETRANSLATE(A31,""zh-tw"",""KO"")"),"메이드 버니")</f>
        <v>메이드 버니</v>
      </c>
      <c r="V31" s="51" t="str">
        <f>IFERROR(__xludf.DUMMYFUNCTION("GOOGLETRANSLATE(B31,""zh-tw"",""KO"")"),"당근
500위안
1000위안
귀여운 토끼 귀
메이드복")</f>
        <v>당근
500위안
1000위안
귀여운 토끼 귀
메이드복</v>
      </c>
      <c r="W31" s="51" t="s">
        <v>5135</v>
      </c>
      <c r="X31" s="304" t="str">
        <f>IFERROR(__xludf.DUMMYFUNCTION("GOOGLETRANSLATE(D31,""zh-tw"",""KO"")"),"-")</f>
        <v>-</v>
      </c>
      <c r="Y31" s="106" t="str">
        <f>IFERROR(__xludf.DUMMYFUNCTION("GOOGLETRANSLATE(A31,""zh-tw"",""ru"")"),"Кролик-горничная")</f>
        <v>Кролик-горничная</v>
      </c>
      <c r="Z31" s="51" t="str">
        <f>IFERROR(__xludf.DUMMYFUNCTION("GOOGLETRANSLATE(B31,""zh-tw"",""ru"")"),"Морковка
500 юаней
1000 юаней
Милые заячьи ушки
Униформа горничной")</f>
        <v>Морковка
500 юаней
1000 юаней
Милые заячьи ушки
Униформа горничной</v>
      </c>
      <c r="AA31" s="51" t="s">
        <v>5135</v>
      </c>
      <c r="AB31" s="303" t="str">
        <f>IFERROR(__xludf.DUMMYFUNCTION("GOOGLETRANSLATE(D31,""zh-tw"",""ru"")"),"-")</f>
        <v>-</v>
      </c>
      <c r="AC31" s="138" t="s">
        <v>5139</v>
      </c>
      <c r="AD31" s="142" t="s">
        <v>5140</v>
      </c>
      <c r="AE31" s="142" t="s">
        <v>5135</v>
      </c>
      <c r="AF31" s="303" t="s">
        <v>5141</v>
      </c>
      <c r="AG31" s="138" t="s">
        <v>5142</v>
      </c>
      <c r="AH31" s="142" t="s">
        <v>5143</v>
      </c>
      <c r="AI31" s="142" t="s">
        <v>5135</v>
      </c>
      <c r="AJ31" s="303" t="s">
        <v>813</v>
      </c>
      <c r="AK31" s="138" t="s">
        <v>5144</v>
      </c>
      <c r="AL31" s="142" t="s">
        <v>5145</v>
      </c>
      <c r="AM31" s="142" t="s">
        <v>5135</v>
      </c>
      <c r="AN31" s="303" t="s">
        <v>813</v>
      </c>
    </row>
    <row r="32">
      <c r="A32" s="106" t="s">
        <v>5146</v>
      </c>
      <c r="B32" s="51" t="s">
        <v>5147</v>
      </c>
      <c r="C32" s="51" t="s">
        <v>5148</v>
      </c>
      <c r="D32" s="303" t="s">
        <v>813</v>
      </c>
      <c r="E32" s="138" t="s">
        <v>5149</v>
      </c>
      <c r="F32" s="142" t="s">
        <v>5150</v>
      </c>
      <c r="G32" s="51" t="s">
        <v>5148</v>
      </c>
      <c r="H32" s="304" t="str">
        <f>IFERROR(__xludf.DUMMYFUNCTION("GOOGLETRANSLATE(D32,""zh-tw"",""ja"")"),"-")</f>
        <v>-</v>
      </c>
      <c r="I32" s="138" t="s">
        <v>5151</v>
      </c>
      <c r="J32" s="142" t="s">
        <v>5152</v>
      </c>
      <c r="K32" s="142" t="s">
        <v>5148</v>
      </c>
      <c r="L32" s="303" t="str">
        <f>IFERROR(__xludf.DUMMYFUNCTION("GOOGLETRANSLATE(D32,""zh-tw"",""en"")"),"-")</f>
        <v>-</v>
      </c>
      <c r="M32" s="138" t="str">
        <f>IFERROR(__xludf.DUMMYFUNCTION("GOOGLETRANSLATE(A32,""zh-tw"",""zh"")"),"小红怪")</f>
        <v>小红怪</v>
      </c>
      <c r="N32" s="142" t="str">
        <f>IFERROR(__xludf.DUMMYFUNCTION("GOOGLETRANSLATE(B32,""zh-tw"",""zh"")"),"来自地狱
受诅胎体")</f>
        <v>来自地狱
受诅胎体</v>
      </c>
      <c r="O32" s="142" t="s">
        <v>5148</v>
      </c>
      <c r="P32" s="303" t="str">
        <f>IFERROR(__xludf.DUMMYFUNCTION("GOOGLETRANSLATE(D32,""zh-tw"",""zh"")"),"-")</f>
        <v>-</v>
      </c>
      <c r="Q32" s="106" t="str">
        <f>IFERROR(__xludf.DUMMYFUNCTION("GOOGLETRANSLATE(A32,""zh-tw"",""es-MX"")"),"Pequeño monstruo rojo")</f>
        <v>Pequeño monstruo rojo</v>
      </c>
      <c r="R32" s="142" t="str">
        <f>IFERROR(__xludf.DUMMYFUNCTION("GOOGLETRANSLATE(B32,""zh-tw"",""es-MX"")"),"Del infierno, embrión maldito")</f>
        <v>Del infierno, embrión maldito</v>
      </c>
      <c r="S32" s="142" t="s">
        <v>5148</v>
      </c>
      <c r="T32" s="303" t="str">
        <f>IFERROR(__xludf.DUMMYFUNCTION("GOOGLETRANSLATE(D32,""zh-tw"",""es-MX"")"),"-")</f>
        <v>-</v>
      </c>
      <c r="U32" s="138" t="str">
        <f>IFERROR(__xludf.DUMMYFUNCTION("GOOGLETRANSLATE(A32,""zh-tw"",""KO"")"),"작은 빨간 괴물")</f>
        <v>작은 빨간 괴물</v>
      </c>
      <c r="V32" s="51" t="str">
        <f>IFERROR(__xludf.DUMMYFUNCTION("GOOGLETRANSLATE(B32,""zh-tw"",""KO"")"),"지옥에서 온 저주받은 배아")</f>
        <v>지옥에서 온 저주받은 배아</v>
      </c>
      <c r="W32" s="51" t="s">
        <v>5148</v>
      </c>
      <c r="X32" s="304" t="str">
        <f>IFERROR(__xludf.DUMMYFUNCTION("GOOGLETRANSLATE(D32,""zh-tw"",""KO"")"),"-")</f>
        <v>-</v>
      </c>
      <c r="Y32" s="106" t="str">
        <f>IFERROR(__xludf.DUMMYFUNCTION("GOOGLETRANSLATE(A32,""zh-tw"",""ru"")"),"Маленький Красный Монстр")</f>
        <v>Маленький Красный Монстр</v>
      </c>
      <c r="Z32" s="51" t="str">
        <f>IFERROR(__xludf.DUMMYFUNCTION("GOOGLETRANSLATE(B32,""zh-tw"",""ru"")"),"Из ада, проклятый эмбрион")</f>
        <v>Из ада, проклятый эмбрион</v>
      </c>
      <c r="AA32" s="51" t="s">
        <v>5148</v>
      </c>
      <c r="AB32" s="303" t="str">
        <f>IFERROR(__xludf.DUMMYFUNCTION("GOOGLETRANSLATE(D32,""zh-tw"",""ru"")"),"-")</f>
        <v>-</v>
      </c>
      <c r="AC32" s="138" t="s">
        <v>5153</v>
      </c>
      <c r="AD32" s="142" t="s">
        <v>5154</v>
      </c>
      <c r="AE32" s="142" t="s">
        <v>5148</v>
      </c>
      <c r="AF32" s="303" t="s">
        <v>5009</v>
      </c>
      <c r="AG32" s="138" t="s">
        <v>5155</v>
      </c>
      <c r="AH32" s="142" t="s">
        <v>5156</v>
      </c>
      <c r="AI32" s="142" t="s">
        <v>5148</v>
      </c>
      <c r="AJ32" s="303" t="s">
        <v>813</v>
      </c>
      <c r="AK32" s="138" t="s">
        <v>5157</v>
      </c>
      <c r="AL32" s="136" t="s">
        <v>5158</v>
      </c>
      <c r="AM32" s="142" t="s">
        <v>5148</v>
      </c>
      <c r="AN32" s="303" t="s">
        <v>813</v>
      </c>
    </row>
    <row r="33">
      <c r="A33" s="106" t="s">
        <v>5159</v>
      </c>
      <c r="B33" s="51" t="s">
        <v>5160</v>
      </c>
      <c r="C33" s="51" t="s">
        <v>5161</v>
      </c>
      <c r="D33" s="303" t="s">
        <v>813</v>
      </c>
      <c r="E33" s="138" t="s">
        <v>5162</v>
      </c>
      <c r="F33" s="142" t="s">
        <v>5163</v>
      </c>
      <c r="G33" s="51" t="s">
        <v>5161</v>
      </c>
      <c r="H33" s="304" t="str">
        <f>IFERROR(__xludf.DUMMYFUNCTION("GOOGLETRANSLATE(D33,""zh-tw"",""ja"")"),"-")</f>
        <v>-</v>
      </c>
      <c r="I33" s="138" t="s">
        <v>5164</v>
      </c>
      <c r="J33" s="142" t="s">
        <v>5165</v>
      </c>
      <c r="K33" s="142" t="s">
        <v>5161</v>
      </c>
      <c r="L33" s="303" t="str">
        <f>IFERROR(__xludf.DUMMYFUNCTION("GOOGLETRANSLATE(D33,""zh-tw"",""en"")"),"-")</f>
        <v>-</v>
      </c>
      <c r="M33" s="138" t="str">
        <f>IFERROR(__xludf.DUMMYFUNCTION("GOOGLETRANSLATE(A33,""zh-tw"",""zh"")"),"恶魔猫")</f>
        <v>恶魔猫</v>
      </c>
      <c r="N33" s="142" t="str">
        <f>IFERROR(__xludf.DUMMYFUNCTION("GOOGLETRANSLATE(B33,""zh-tw"",""zh"")"),"随机塔罗牌
随机符文
卢恩符文R
卢恩符文E
魔力汲取手套
星月夜
招财猫")</f>
        <v>随机塔罗牌
随机符文
卢恩符文R
卢恩符文E
魔力汲取手套
星月夜
招财猫</v>
      </c>
      <c r="O33" s="142" t="s">
        <v>5161</v>
      </c>
      <c r="P33" s="303" t="str">
        <f>IFERROR(__xludf.DUMMYFUNCTION("GOOGLETRANSLATE(D33,""zh-tw"",""zh"")"),"-")</f>
        <v>-</v>
      </c>
      <c r="Q33" s="106" t="str">
        <f>IFERROR(__xludf.DUMMYFUNCTION("GOOGLETRANSLATE(A33,""zh-tw"",""es-MX"")"),"Gato diablo")</f>
        <v>Gato diablo</v>
      </c>
      <c r="R33" s="142" t="str">
        <f>IFERROR(__xludf.DUMMYFUNCTION("GOOGLETRANSLATE(B33,""zh-tw"",""es-MX"")"),"Cartas de Tarot Aleatorias
Runas Aleatorias
Runa R
Runa E
Guantes de Drenaje de Maná
Noche Estrellada
Gato de la Suerte")</f>
        <v>Cartas de Tarot Aleatorias
Runas Aleatorias
Runa R
Runa E
Guantes de Drenaje de Maná
Noche Estrellada
Gato de la Suerte</v>
      </c>
      <c r="S33" s="142" t="s">
        <v>5161</v>
      </c>
      <c r="T33" s="303" t="str">
        <f>IFERROR(__xludf.DUMMYFUNCTION("GOOGLETRANSLATE(D33,""zh-tw"",""es-MX"")"),"-")</f>
        <v>-</v>
      </c>
      <c r="U33" s="138" t="str">
        <f>IFERROR(__xludf.DUMMYFUNCTION("GOOGLETRANSLATE(A33,""zh-tw"",""KO"")"),"악마 고양이")</f>
        <v>악마 고양이</v>
      </c>
      <c r="V33" s="51" t="str">
        <f>IFERROR(__xludf.DUMMYFUNCTION("GOOGLETRANSLATE(B33,""zh-tw"",""KO"")"),"무작위 타로 카드
무작위 룬
룬 R
룬 E
마나 흡수 장갑
별이 빛나는 밤
행운의 고양이")</f>
        <v>무작위 타로 카드
무작위 룬
룬 R
룬 E
마나 흡수 장갑
별이 빛나는 밤
행운의 고양이</v>
      </c>
      <c r="W33" s="51" t="s">
        <v>5161</v>
      </c>
      <c r="X33" s="304" t="str">
        <f>IFERROR(__xludf.DUMMYFUNCTION("GOOGLETRANSLATE(D33,""zh-tw"",""KO"")"),"-")</f>
        <v>-</v>
      </c>
      <c r="Y33" s="106" t="str">
        <f>IFERROR(__xludf.DUMMYFUNCTION("GOOGLETRANSLATE(A33,""zh-tw"",""ru"")"),"Дьявольский кот")</f>
        <v>Дьявольский кот</v>
      </c>
      <c r="Z33" s="51" t="str">
        <f>IFERROR(__xludf.DUMMYFUNCTION("GOOGLETRANSLATE(B33,""zh-tw"",""ru"")"),"Случайные карты Таро
Случайные руны
Руна R
Руна E
Перчатки для вытягивания маны
Звёздная ночь
Счастливый кот")</f>
        <v>Случайные карты Таро
Случайные руны
Руна R
Руна E
Перчатки для вытягивания маны
Звёздная ночь
Счастливый кот</v>
      </c>
      <c r="AA33" s="51" t="s">
        <v>5161</v>
      </c>
      <c r="AB33" s="303" t="str">
        <f>IFERROR(__xludf.DUMMYFUNCTION("GOOGLETRANSLATE(D33,""zh-tw"",""ru"")"),"-")</f>
        <v>-</v>
      </c>
      <c r="AC33" s="138" t="s">
        <v>5166</v>
      </c>
      <c r="AD33" s="142" t="s">
        <v>5167</v>
      </c>
      <c r="AE33" s="142" t="s">
        <v>5161</v>
      </c>
      <c r="AF33" s="303" t="s">
        <v>5009</v>
      </c>
      <c r="AG33" s="138" t="s">
        <v>5168</v>
      </c>
      <c r="AH33" s="142" t="s">
        <v>5169</v>
      </c>
      <c r="AI33" s="142" t="s">
        <v>5161</v>
      </c>
      <c r="AJ33" s="303" t="s">
        <v>813</v>
      </c>
      <c r="AK33" s="138" t="s">
        <v>5170</v>
      </c>
      <c r="AL33" s="136" t="s">
        <v>5171</v>
      </c>
      <c r="AM33" s="142" t="s">
        <v>5161</v>
      </c>
      <c r="AN33" s="303" t="s">
        <v>813</v>
      </c>
    </row>
    <row r="34">
      <c r="A34" s="106" t="s">
        <v>5172</v>
      </c>
      <c r="B34" s="51" t="s">
        <v>5173</v>
      </c>
      <c r="C34" s="51" t="s">
        <v>5174</v>
      </c>
      <c r="D34" s="303" t="s">
        <v>813</v>
      </c>
      <c r="E34" s="106" t="str">
        <f>IFERROR(__xludf.DUMMYFUNCTION("GOOGLETRANSLATE(A34,""zh-tw"",""ja"")"),"怨霊")</f>
        <v>怨霊</v>
      </c>
      <c r="F34" s="51" t="s">
        <v>5175</v>
      </c>
      <c r="G34" s="51" t="s">
        <v>5174</v>
      </c>
      <c r="H34" s="304" t="str">
        <f>IFERROR(__xludf.DUMMYFUNCTION("GOOGLETRANSLATE(D34,""zh-tw"",""ja"")"),"-")</f>
        <v>-</v>
      </c>
      <c r="I34" s="106" t="s">
        <v>5176</v>
      </c>
      <c r="J34" s="142" t="s">
        <v>5177</v>
      </c>
      <c r="K34" s="142" t="s">
        <v>5174</v>
      </c>
      <c r="L34" s="303" t="str">
        <f>IFERROR(__xludf.DUMMYFUNCTION("GOOGLETRANSLATE(D34,""zh-tw"",""en"")"),"-")</f>
        <v>-</v>
      </c>
      <c r="M34" s="138" t="str">
        <f>IFERROR(__xludf.DUMMYFUNCTION("GOOGLETRANSLATE(A34,""zh-tw"",""zh"")"),"怨灵")</f>
        <v>怨灵</v>
      </c>
      <c r="N34" s="142" t="str">
        <f>IFERROR(__xludf.DUMMYFUNCTION("GOOGLETRANSLATE(B34,""zh-tw"",""zh"")"),"随机塔罗牌
随机符文
魔力晶簇
堕落法师的手套
精神凝聚头环")</f>
        <v>随机塔罗牌
随机符文
魔力晶簇
堕落法师的手套
精神凝聚头环</v>
      </c>
      <c r="O34" s="142" t="s">
        <v>5174</v>
      </c>
      <c r="P34" s="303" t="str">
        <f>IFERROR(__xludf.DUMMYFUNCTION("GOOGLETRANSLATE(D34,""zh-tw"",""zh"")"),"-")</f>
        <v>-</v>
      </c>
      <c r="Q34" s="106" t="str">
        <f>IFERROR(__xludf.DUMMYFUNCTION("GOOGLETRANSLATE(A34,""zh-tw"",""es-MX"")"),"espíritus vengativos")</f>
        <v>espíritus vengativos</v>
      </c>
      <c r="R34" s="51" t="str">
        <f>IFERROR(__xludf.DUMMYFUNCTION("GOOGLETRANSLATE(B34,""zh-tw"",""es-MX"")"),"Cartas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4" s="142" t="s">
        <v>5174</v>
      </c>
      <c r="T34" s="303" t="str">
        <f>IFERROR(__xludf.DUMMYFUNCTION("GOOGLETRANSLATE(D34,""zh-tw"",""es-MX"")"),"-")</f>
        <v>-</v>
      </c>
      <c r="U34" s="138" t="str">
        <f>IFERROR(__xludf.DUMMYFUNCTION("GOOGLETRANSLATE(A34,""zh-tw"",""KO"")"),"복수심에 불타는 영혼들")</f>
        <v>복수심에 불타는 영혼들</v>
      </c>
      <c r="V34" s="51" t="str">
        <f>IFERROR(__xludf.DUMMYFUNCTION("GOOGLETRANSLATE(B34,""zh-tw"",""KO"")"),"무작위 타로 카드
무작위 룬
마법 수정 클러스터
타락한 마법사의 장갑
정신 집중 머리띠")</f>
        <v>무작위 타로 카드
무작위 룬
마법 수정 클러스터
타락한 마법사의 장갑
정신 집중 머리띠</v>
      </c>
      <c r="W34" s="51" t="s">
        <v>5174</v>
      </c>
      <c r="X34" s="304" t="str">
        <f>IFERROR(__xludf.DUMMYFUNCTION("GOOGLETRANSLATE(D34,""zh-tw"",""KO"")"),"-")</f>
        <v>-</v>
      </c>
      <c r="Y34" s="106" t="str">
        <f>IFERROR(__xludf.DUMMYFUNCTION("GOOGLETRANSLATE(A34,""zh-tw"",""ru"")"),"мстительные духи")</f>
        <v>мстительные духи</v>
      </c>
      <c r="Z34" s="51" t="str">
        <f>IFERROR(__xludf.DUMMYFUNCTION("GOOGLETRANSLATE(B34,""zh-tw"",""ru"")"),"Случайные карты Таро
Случайные руны
Магические кристаллы
Перчатки падшего мага
Повязка на голову для концентрации духа")</f>
        <v>Случайные карты Таро
Случайные руны
Магические кристаллы
Перчатки падшего мага
Повязка на голову для концентрации духа</v>
      </c>
      <c r="AA34" s="51" t="s">
        <v>5174</v>
      </c>
      <c r="AB34" s="303" t="str">
        <f>IFERROR(__xludf.DUMMYFUNCTION("GOOGLETRANSLATE(D34,""zh-tw"",""ru"")"),"-")</f>
        <v>-</v>
      </c>
      <c r="AC34" s="138" t="s">
        <v>5178</v>
      </c>
      <c r="AD34" s="142" t="s">
        <v>5179</v>
      </c>
      <c r="AE34" s="142" t="s">
        <v>5174</v>
      </c>
      <c r="AF34" s="303" t="s">
        <v>5009</v>
      </c>
      <c r="AG34" s="138" t="s">
        <v>5180</v>
      </c>
      <c r="AH34" s="142" t="s">
        <v>5181</v>
      </c>
      <c r="AI34" s="142" t="s">
        <v>5174</v>
      </c>
      <c r="AJ34" s="303" t="s">
        <v>813</v>
      </c>
      <c r="AK34" s="138" t="s">
        <v>5182</v>
      </c>
      <c r="AL34" s="136" t="s">
        <v>5183</v>
      </c>
      <c r="AM34" s="142" t="s">
        <v>5174</v>
      </c>
      <c r="AN34" s="303" t="s">
        <v>813</v>
      </c>
    </row>
    <row r="35">
      <c r="A35" s="106" t="s">
        <v>5184</v>
      </c>
      <c r="B35" s="51" t="s">
        <v>5185</v>
      </c>
      <c r="C35" s="51" t="s">
        <v>5186</v>
      </c>
      <c r="D35" s="303" t="s">
        <v>813</v>
      </c>
      <c r="E35" s="138" t="str">
        <f>IFERROR(__xludf.DUMMYFUNCTION("GOOGLETRANSLATE(A35,""zh-tw"",""ja"")"),"ゾンビ")</f>
        <v>ゾンビ</v>
      </c>
      <c r="F35" s="142" t="s">
        <v>5187</v>
      </c>
      <c r="G35" s="51" t="s">
        <v>5186</v>
      </c>
      <c r="H35" s="304" t="str">
        <f>IFERROR(__xludf.DUMMYFUNCTION("GOOGLETRANSLATE(D35,""zh-tw"",""ja"")"),"-")</f>
        <v>-</v>
      </c>
      <c r="I35" s="138" t="s">
        <v>5188</v>
      </c>
      <c r="J35" s="142" t="s">
        <v>5189</v>
      </c>
      <c r="K35" s="142" t="s">
        <v>5186</v>
      </c>
      <c r="L35" s="303" t="str">
        <f>IFERROR(__xludf.DUMMYFUNCTION("GOOGLETRANSLATE(D35,""zh-tw"",""en"")"),"-")</f>
        <v>-</v>
      </c>
      <c r="M35" s="138" t="str">
        <f>IFERROR(__xludf.DUMMYFUNCTION("GOOGLETRANSLATE(A35,""zh-tw"",""zh"")"),"丧尸")</f>
        <v>丧尸</v>
      </c>
      <c r="N35" s="142" t="str">
        <f>IFERROR(__xludf.DUMMYFUNCTION("GOOGLETRANSLATE(B35,""zh-tw"",""zh"")"),"垃圾
毒蛇之拥
毅力头巾
臭鱼骨")</f>
        <v>垃圾
毒蛇之拥
毅力头巾
臭鱼骨</v>
      </c>
      <c r="O35" s="142" t="s">
        <v>5186</v>
      </c>
      <c r="P35" s="304" t="str">
        <f>IFERROR(__xludf.DUMMYFUNCTION("GOOGLETRANSLATE(D35,""zh-tw"",""zh"")"),"-")</f>
        <v>-</v>
      </c>
      <c r="Q35" s="138" t="str">
        <f>IFERROR(__xludf.DUMMYFUNCTION("GOOGLETRANSLATE(A35,""zh-tw"",""es-MX"")"),"Zombis")</f>
        <v>Zombis</v>
      </c>
      <c r="R35" s="142" t="str">
        <f>IFERROR(__xludf.DUMMYFUNCTION("GOOGLETRANSLATE(B35,""zh-tw"",""es-MX"")"),"Basura; Abrazo de serpiente; Diadema de perseverancia; Huesos de pescado apestosos")</f>
        <v>Basura; Abrazo de serpiente; Diadema de perseverancia; Huesos de pescado apestosos</v>
      </c>
      <c r="S35" s="142" t="s">
        <v>5186</v>
      </c>
      <c r="T35" s="303" t="str">
        <f>IFERROR(__xludf.DUMMYFUNCTION("GOOGLETRANSLATE(D35,""zh-tw"",""es-MX"")"),"-")</f>
        <v>-</v>
      </c>
      <c r="U35" s="138" t="str">
        <f>IFERROR(__xludf.DUMMYFUNCTION("GOOGLETRANSLATE(A35,""zh-tw"",""KO"")"),"좀비")</f>
        <v>좀비</v>
      </c>
      <c r="V35" s="51" t="str">
        <f>IFERROR(__xludf.DUMMYFUNCTION("GOOGLETRANSLATE(B35,""zh-tw"",""KO"")"),"쓰레기; 뱀의 포옹; 인내의 머리띠; 냄새나는 생선 뼈")</f>
        <v>쓰레기; 뱀의 포옹; 인내의 머리띠; 냄새나는 생선 뼈</v>
      </c>
      <c r="W35" s="51" t="s">
        <v>5186</v>
      </c>
      <c r="X35" s="304" t="str">
        <f>IFERROR(__xludf.DUMMYFUNCTION("GOOGLETRANSLATE(D35,""zh-tw"",""KO"")"),"-")</f>
        <v>-</v>
      </c>
      <c r="Y35" s="106" t="str">
        <f>IFERROR(__xludf.DUMMYFUNCTION("GOOGLETRANSLATE(A35,""zh-tw"",""ru"")"),"Зомби")</f>
        <v>Зомби</v>
      </c>
      <c r="Z35" s="51" t="str">
        <f>IFERROR(__xludf.DUMMYFUNCTION("GOOGLETRANSLATE(B35,""zh-tw"",""ru"")"),"Мусор; Объятия змеи; Повязка на голову «Упорство»; Вонючие рыбьи кости")</f>
        <v>Мусор; Объятия змеи; Повязка на голову «Упорство»; Вонючие рыбьи кости</v>
      </c>
      <c r="AA35" s="51" t="s">
        <v>5186</v>
      </c>
      <c r="AB35" s="303" t="str">
        <f>IFERROR(__xludf.DUMMYFUNCTION("GOOGLETRANSLATE(D35,""zh-tw"",""ru"")"),"-")</f>
        <v>-</v>
      </c>
      <c r="AC35" s="138" t="s">
        <v>5190</v>
      </c>
      <c r="AD35" s="142" t="s">
        <v>5191</v>
      </c>
      <c r="AE35" s="142" t="s">
        <v>5186</v>
      </c>
      <c r="AF35" s="303" t="s">
        <v>5009</v>
      </c>
      <c r="AG35" s="138" t="s">
        <v>5188</v>
      </c>
      <c r="AH35" s="142" t="s">
        <v>5192</v>
      </c>
      <c r="AI35" s="142" t="s">
        <v>5186</v>
      </c>
      <c r="AJ35" s="303" t="s">
        <v>813</v>
      </c>
      <c r="AK35" s="138" t="s">
        <v>5193</v>
      </c>
      <c r="AL35" s="136" t="s">
        <v>5194</v>
      </c>
      <c r="AM35" s="142" t="s">
        <v>5186</v>
      </c>
      <c r="AN35" s="303" t="s">
        <v>813</v>
      </c>
    </row>
    <row r="36">
      <c r="A36" s="106" t="s">
        <v>5195</v>
      </c>
      <c r="B36" s="51" t="s">
        <v>5196</v>
      </c>
      <c r="C36" s="51" t="s">
        <v>5197</v>
      </c>
      <c r="D36" s="303" t="s">
        <v>5198</v>
      </c>
      <c r="E36" s="138" t="s">
        <v>5199</v>
      </c>
      <c r="F36" s="142" t="str">
        <f>IFERROR(__xludf.DUMMYFUNCTION("GOOGLETRANSLATE(B36,""zh-tw"",""ja"")"),"怒りの拳
シェリスの呪われた手
カーネリアンのペンダント *")</f>
        <v>怒りの拳
シェリスの呪われた手
カーネリアンのペンダント *</v>
      </c>
      <c r="G36" s="51" t="s">
        <v>5197</v>
      </c>
      <c r="H36" s="304" t="str">
        <f>IFERROR(__xludf.DUMMYFUNCTION("GOOGLETRANSLATE(D36,""zh-tw"",""ja"")"),"*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6" s="138" t="s">
        <v>5200</v>
      </c>
      <c r="J36" s="142" t="s">
        <v>5201</v>
      </c>
      <c r="K36" s="142" t="s">
        <v>5197</v>
      </c>
      <c r="L36" s="303" t="s">
        <v>5202</v>
      </c>
      <c r="M36" s="138" t="str">
        <f>IFERROR(__xludf.DUMMYFUNCTION("GOOGLETRANSLATE(A36,""zh-tw"",""zh"")"),"堕落法师的断手")</f>
        <v>堕落法师的断手</v>
      </c>
      <c r="N36" s="142" t="str">
        <f>IFERROR(__xludf.DUMMYFUNCTION("GOOGLETRANSLATE(B36,""zh-tw"",""zh"")"),"愤怒的拳头
谢里斯的诅咒之手
红髓玉吊坠 *")</f>
        <v>愤怒的拳头
谢里斯的诅咒之手
红髓玉吊坠 *</v>
      </c>
      <c r="O36" s="142" t="s">
        <v>5197</v>
      </c>
      <c r="P36" s="304" t="str">
        <f>IFERROR(__xludf.DUMMYFUNCTION("GOOGLETRANSLATE(D36,""zh-tw"",""zh"")"),"* 红髓玉吊坠 是特殊掉落，需要击杀10只以上才有可能掉落。")</f>
        <v>* 红髓玉吊坠 是特殊掉落，需要击杀10只以上才有可能掉落。</v>
      </c>
      <c r="Q36" s="138" t="str">
        <f>IFERROR(__xludf.DUMMYFUNCTION("GOOGLETRANSLATE(A36,""zh-tw"",""es-MX"")"),"La mano cortada del mago caído")</f>
        <v>La mano cortada del mago caído</v>
      </c>
      <c r="R36" s="142" t="str">
        <f>IFERROR(__xludf.DUMMYFUNCTION("GOOGLETRANSLATE(B36,""zh-tw"",""es-MX"")"),"Un puño furioso
La mano maldita de Sheris
Colgante de cornalina *")</f>
        <v>Un puño furioso
La mano maldita de Sheris
Colgante de cornalina *</v>
      </c>
      <c r="S36" s="142" t="s">
        <v>5197</v>
      </c>
      <c r="T36" s="303" t="str">
        <f>IFERROR(__xludf.DUMMYFUNCTION("GOOGLETRANSLATE(D36,""zh-tw"",""es-MX"")"),"* El colgante de jade rojo es un objeto especial; debes matar a más de 10 monstruos para obtenerlo.")</f>
        <v>* El colgante de jade rojo es un objeto especial; debes matar a más de 10 monstruos para obtenerlo.</v>
      </c>
      <c r="U36" s="138" t="str">
        <f>IFERROR(__xludf.DUMMYFUNCTION("GOOGLETRANSLATE(A36,""zh-tw"",""KO"")"),"타락한 마법사의 잘린 손")</f>
        <v>타락한 마법사의 잘린 손</v>
      </c>
      <c r="V36" s="51" t="str">
        <f>IFERROR(__xludf.DUMMYFUNCTION("GOOGLETRANSLATE(B36,""zh-tw"",""KO"")"),"화난 주먹
셰리스의 저주받은 손
카넬리안 펜던트 *")</f>
        <v>화난 주먹
셰리스의 저주받은 손
카넬리안 펜던트 *</v>
      </c>
      <c r="W36" s="51" t="s">
        <v>5197</v>
      </c>
      <c r="X36" s="304" t="str">
        <f>IFERROR(__xludf.DUMMYFUNCTION("GOOGLETRANSLATE(D36,""zh-tw"",""KO"")"),"* 붉은 옥 펜던트는 특별한 아이템으로, 몬스터 10마리 이상을 처치해야 획득할 수 있습니다.")</f>
        <v>* 붉은 옥 펜던트는 특별한 아이템으로, 몬스터 10마리 이상을 처치해야 획득할 수 있습니다.</v>
      </c>
      <c r="Y36" s="106" t="str">
        <f>IFERROR(__xludf.DUMMYFUNCTION("GOOGLETRANSLATE(A36,""zh-tw"",""ru"")"),"Отрубленная рука падшего мага")</f>
        <v>Отрубленная рука падшего мага</v>
      </c>
      <c r="Z36" s="51" t="str">
        <f>IFERROR(__xludf.DUMMYFUNCTION("GOOGLETRANSLATE(B36,""zh-tw"",""ru"")"),"Злой кулак
Проклятая рука Шерис
Кулон из сердолика*")</f>
        <v>Злой кулак
Проклятая рука Шерис
Кулон из сердолика*</v>
      </c>
      <c r="AA36" s="51" t="s">
        <v>5197</v>
      </c>
      <c r="AB36" s="303" t="str">
        <f>IFERROR(__xludf.DUMMYFUNCTION("GOOGLETRANSLATE(D36,""zh-tw"",""ru"")"),"* Подвеска из красного нефрита — это особый предмет. Чтобы ее получить, вам нужно убить более 10 монстров.")</f>
        <v>* Подвеска из красного нефрита — это особый предмет. Чтобы ее получить, вам нужно убить более 10 монстров.</v>
      </c>
      <c r="AC36" s="138" t="s">
        <v>5203</v>
      </c>
      <c r="AD36" s="142" t="s">
        <v>5204</v>
      </c>
      <c r="AE36" s="142" t="s">
        <v>5197</v>
      </c>
      <c r="AF36" s="303" t="s">
        <v>813</v>
      </c>
      <c r="AG36" s="138" t="s">
        <v>5205</v>
      </c>
      <c r="AH36" s="142" t="s">
        <v>5206</v>
      </c>
      <c r="AI36" s="142" t="s">
        <v>5197</v>
      </c>
      <c r="AJ36" s="303" t="s">
        <v>5207</v>
      </c>
      <c r="AK36" s="138" t="s">
        <v>5208</v>
      </c>
      <c r="AL36" s="142" t="s">
        <v>5209</v>
      </c>
      <c r="AM36" s="142" t="s">
        <v>5197</v>
      </c>
      <c r="AN36" s="303" t="s">
        <v>5210</v>
      </c>
    </row>
    <row r="37">
      <c r="A37" s="97" t="s">
        <v>5211</v>
      </c>
      <c r="E37" s="302" t="str">
        <f>IFERROR(__xludf.DUMMYFUNCTION("GOOGLETRANSLATE(A37,""zh-tw"",""ja"")"),"ボス/特殊クリーチャー")</f>
        <v>ボス/特殊クリーチャー</v>
      </c>
      <c r="I37" s="302" t="s">
        <v>5212</v>
      </c>
      <c r="M37" s="302" t="str">
        <f>IFERROR(__xludf.DUMMYFUNCTION("GOOGLETRANSLATE(A37,""zh-tw"",""zh"")"),"BOSS/特殊生物")</f>
        <v>BOSS/特殊生物</v>
      </c>
      <c r="Q37" s="302" t="str">
        <f>IFERROR(__xludf.DUMMYFUNCTION("GOOGLETRANSLATE(A37,""zh-tw"",""es-MX"")"),"JEFE/Criatura especial")</f>
        <v>JEFE/Criatura especial</v>
      </c>
      <c r="U37" s="302" t="str">
        <f>IFERROR(__xludf.DUMMYFUNCTION("GOOGLETRANSLATE(A37,""zh-tw"",""KO"")"),"보스/특수 생물")</f>
        <v>보스/특수 생물</v>
      </c>
      <c r="Y37" s="97" t="str">
        <f>IFERROR(__xludf.DUMMYFUNCTION("GOOGLETRANSLATE(A37,""zh-tw"",""ru"")"),"БОСС/Особое существо")</f>
        <v>БОСС/Особое существо</v>
      </c>
      <c r="AC37" s="302" t="str">
        <f>IFERROR(__xludf.DUMMYFUNCTION("GOOGLETRANSLATE(A36,""zh-tw"",""DE"")"),"Die abgetrennte Hand des gefallenen Magiers")</f>
        <v>Die abgetrennte Hand des gefallenen Magiers</v>
      </c>
      <c r="AG37" s="302" t="s">
        <v>5213</v>
      </c>
      <c r="AK37" s="302" t="s">
        <v>5212</v>
      </c>
    </row>
    <row r="38">
      <c r="A38" s="106" t="s">
        <v>5214</v>
      </c>
      <c r="B38" s="51" t="s">
        <v>5215</v>
      </c>
      <c r="C38" s="51" t="s">
        <v>5216</v>
      </c>
      <c r="D38" s="303" t="s">
        <v>5217</v>
      </c>
      <c r="E38" s="138" t="str">
        <f>IFERROR(__xludf.DUMMYFUNCTION("GOOGLETRANSLATE(A38,""zh-tw"",""ja"")"),"狂乱の赤い獣")</f>
        <v>狂乱の赤い獣</v>
      </c>
      <c r="F38" s="142" t="s">
        <v>5218</v>
      </c>
      <c r="G38" s="51" t="s">
        <v>5216</v>
      </c>
      <c r="H38" s="304" t="s">
        <v>5219</v>
      </c>
      <c r="I38" s="138" t="s">
        <v>5220</v>
      </c>
      <c r="J38" s="142" t="s">
        <v>5221</v>
      </c>
      <c r="K38" s="142" t="s">
        <v>5216</v>
      </c>
      <c r="L38" s="303" t="s">
        <v>5222</v>
      </c>
      <c r="M38" s="138" t="str">
        <f>IFERROR(__xludf.DUMMYFUNCTION("GOOGLETRANSLATE(A38,""zh-tw"",""zh"")"),"狂乱的红兽")</f>
        <v>狂乱的红兽</v>
      </c>
      <c r="N38" s="142" t="str">
        <f>IFERROR(__xludf.DUMMYFUNCTION("GOOGLETRANSLATE(B38,""zh-tw"",""zh"")"),"天上之石碎片
不幸的诞生
寄坏剑
血狩")</f>
        <v>天上之石碎片
不幸的诞生
寄坏剑
血狩</v>
      </c>
      <c r="O38" s="142" t="s">
        <v>5216</v>
      </c>
      <c r="P38" s="303" t="str">
        <f>IFERROR(__xludf.DUMMYFUNCTION("GOOGLETRANSLATE(D38,""zh-tw"",""zh"")"),"遗迹BOSS 
弱点：毒")</f>
        <v>遗迹BOSS 
弱点：毒</v>
      </c>
      <c r="Q38" s="138" t="str">
        <f>IFERROR(__xludf.DUMMYFUNCTION("GOOGLETRANSLATE(A38,""zh-tw"",""es-MX"")"),"La Bestia Roja Frenética")</f>
        <v>La Bestia Roja Frenética</v>
      </c>
      <c r="R38" s="142" t="str">
        <f>IFERROR(__xludf.DUMMYFUNCTION("GOOGLETRANSLATE(B38,""zh-tw"",""es-MX"")"),"Fragmentos de una piedra del cielo; Un nacimiento desafortunado; La espada rota; Caza de sangre")</f>
        <v>Fragmentos de una piedra del cielo; Un nacimiento desafortunado; La espada rota; Caza de sangre</v>
      </c>
      <c r="S38" s="142" t="s">
        <v>5216</v>
      </c>
      <c r="T38" s="303" t="str">
        <f>IFERROR(__xludf.DUMMYFUNCTION("GOOGLETRANSLATE(D38,""zh-tw"",""es-MX"")"),"Jefe de las Ruinas
Debilidad: Veneno")</f>
        <v>Jefe de las Ruinas
Debilidad: Veneno</v>
      </c>
      <c r="U38" s="138" t="str">
        <f>IFERROR(__xludf.DUMMYFUNCTION("GOOGLETRANSLATE(A38,""zh-tw"",""KO"")"),"광란의 붉은 짐승")</f>
        <v>광란의 붉은 짐승</v>
      </c>
      <c r="V38" s="51" t="s">
        <v>5223</v>
      </c>
      <c r="W38" s="51" t="s">
        <v>5216</v>
      </c>
      <c r="X38" s="304" t="s">
        <v>5224</v>
      </c>
      <c r="Y38" s="106" t="str">
        <f>IFERROR(__xludf.DUMMYFUNCTION("GOOGLETRANSLATE(A38,""zh-tw"",""ru"")"),"Бешеный Красный Зверь")</f>
        <v>Бешеный Красный Зверь</v>
      </c>
      <c r="Z38" s="51" t="str">
        <f>IFERROR(__xludf.DUMMYFUNCTION("GOOGLETRANSLATE(B38,""zh-tw"",""ru"")"),"«Осколки небесного камня»; «Неудачное рождение»; «Сломанный меч»; «Кровавая охота»")</f>
        <v>«Осколки небесного камня»; «Неудачное рождение»; «Сломанный меч»; «Кровавая охота»</v>
      </c>
      <c r="AA38" s="51" t="s">
        <v>5216</v>
      </c>
      <c r="AB38" s="303" t="str">
        <f>IFERROR(__xludf.DUMMYFUNCTION("GOOGLETRANSLATE(D38,""zh-tw"",""ru"")"),"Босс Руин
Слабость: Яд")</f>
        <v>Босс Руин
Слабость: Яд</v>
      </c>
      <c r="AC38" s="138" t="s">
        <v>5225</v>
      </c>
      <c r="AD38" s="142" t="s">
        <v>5226</v>
      </c>
      <c r="AE38" s="142" t="s">
        <v>5216</v>
      </c>
      <c r="AF38" s="303" t="s">
        <v>5227</v>
      </c>
      <c r="AG38" s="138" t="s">
        <v>5228</v>
      </c>
      <c r="AH38" s="142" t="s">
        <v>5229</v>
      </c>
      <c r="AI38" s="142" t="s">
        <v>5216</v>
      </c>
      <c r="AJ38" s="303" t="s">
        <v>5230</v>
      </c>
      <c r="AK38" s="138" t="s">
        <v>5231</v>
      </c>
      <c r="AL38" s="136" t="s">
        <v>5232</v>
      </c>
      <c r="AM38" s="142" t="s">
        <v>5216</v>
      </c>
      <c r="AN38" s="303" t="s">
        <v>5233</v>
      </c>
    </row>
    <row r="39">
      <c r="A39" s="106" t="s">
        <v>5234</v>
      </c>
      <c r="B39" s="51" t="s">
        <v>5235</v>
      </c>
      <c r="C39" s="51" t="s">
        <v>5236</v>
      </c>
      <c r="D39" s="304" t="s">
        <v>5237</v>
      </c>
      <c r="E39" s="106" t="s">
        <v>5238</v>
      </c>
      <c r="F39" s="142" t="str">
        <f>IFERROR(__xludf.DUMMYFUNCTION("GOOGLETRANSLATE(B39,""zh-tw"",""ja"")"),"天の石の欠片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9" s="51" t="s">
        <v>5236</v>
      </c>
      <c r="H39" s="304" t="s">
        <v>5237</v>
      </c>
      <c r="I39" s="138" t="s">
        <v>5239</v>
      </c>
      <c r="J39" s="142" t="s">
        <v>5240</v>
      </c>
      <c r="K39" s="142" t="s">
        <v>5236</v>
      </c>
      <c r="L39" s="303" t="s">
        <v>5237</v>
      </c>
      <c r="M39" s="138" t="str">
        <f>IFERROR(__xludf.DUMMYFUNCTION("GOOGLETRANSLATE(A39,""zh-tw"",""zh"")"),"箱庭的白兔")</f>
        <v>箱庭的白兔</v>
      </c>
      <c r="N39" s="142" t="str">
        <f>IFERROR(__xludf.DUMMYFUNCTION("GOOGLETRANSLATE(B39,""zh-tw"",""zh"")"),"天上之石碎片
胡萝卜
女仆制服
萌萌兔耳
胡萝卜大剑
冻萝卜大剑
霉萝卜大剑")</f>
        <v>天上之石碎片
胡萝卜
女仆制服
萌萌兔耳
胡萝卜大剑
冻萝卜大剑
霉萝卜大剑</v>
      </c>
      <c r="O39" s="142" t="s">
        <v>5236</v>
      </c>
      <c r="P39" s="304" t="str">
        <f>IFERROR(__xludf.DUMMYFUNCTION("GOOGLETRANSLATE(D39,""zh-tw"",""zh"")"),"BOSS")</f>
        <v>BOSS</v>
      </c>
      <c r="Q39" s="106" t="str">
        <f>IFERROR(__xludf.DUMMYFUNCTION("GOOGLETRANSLATE(A39,""zh-tw"",""es-MX"")"),"El conejo blanco del pequeño jardín")</f>
        <v>El conejo blanco del pequeño jardín</v>
      </c>
      <c r="R39" s="142" t="str">
        <f>IFERROR(__xludf.DUMMYFUNCTION("GOOGLETRANSLATE(B39,""zh-tw"",""es-MX"")"),"Fragmento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9" s="142" t="s">
        <v>5236</v>
      </c>
      <c r="T39" s="303" t="str">
        <f>IFERROR(__xludf.DUMMYFUNCTION("GOOGLETRANSLATE(D39,""zh-tw"",""es-MX"")"),"JEFE")</f>
        <v>JEFE</v>
      </c>
      <c r="U39" s="138" t="str">
        <f>IFERROR(__xludf.DUMMYFUNCTION("GOOGLETRANSLATE(A39,""zh-tw"",""KO"")"),"작은 정원의 흰 토끼")</f>
        <v>작은 정원의 흰 토끼</v>
      </c>
      <c r="V39" s="51" t="str">
        <f>IFERROR(__xludf.DUMMYFUNCTION("GOOGLETRANSLATE(B39,""zh-tw"",""KO"")"),"천상의 돌 조각
당근
메이드복
귀여운 토끼 귀
당근 대검
얼어붙은 당근 대검
곰팡이 핀 당근 대검")</f>
        <v>천상의 돌 조각
당근
메이드복
귀여운 토끼 귀
당근 대검
얼어붙은 당근 대검
곰팡이 핀 당근 대검</v>
      </c>
      <c r="W39" s="51" t="s">
        <v>5236</v>
      </c>
      <c r="X39" s="304" t="s">
        <v>5237</v>
      </c>
      <c r="Y39" s="106" t="str">
        <f>IFERROR(__xludf.DUMMYFUNCTION("GOOGLETRANSLATE(A39,""zh-tw"",""ru"")"),"Белый кролик маленького сада")</f>
        <v>Белый кролик маленького сада</v>
      </c>
      <c r="Z39" s="51" t="str">
        <f>IFERROR(__xludf.DUMMYFUNCTION("GOOGLETRANSLATE(B39,""zh-tw"",""ru"")"),"Небесный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f>
        <v>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v>
      </c>
      <c r="AA39" s="51" t="s">
        <v>5236</v>
      </c>
      <c r="AB39" s="303" t="s">
        <v>5237</v>
      </c>
      <c r="AC39" s="138" t="s">
        <v>5241</v>
      </c>
      <c r="AD39" s="142" t="s">
        <v>5242</v>
      </c>
      <c r="AE39" s="142" t="s">
        <v>5236</v>
      </c>
      <c r="AF39" s="303" t="s">
        <v>5243</v>
      </c>
      <c r="AG39" s="138" t="s">
        <v>5244</v>
      </c>
      <c r="AH39" s="142" t="s">
        <v>5245</v>
      </c>
      <c r="AI39" s="142" t="s">
        <v>5236</v>
      </c>
      <c r="AJ39" s="303" t="s">
        <v>5237</v>
      </c>
      <c r="AK39" s="138" t="s">
        <v>5246</v>
      </c>
      <c r="AL39" s="142" t="s">
        <v>5247</v>
      </c>
      <c r="AM39" s="142" t="s">
        <v>5236</v>
      </c>
      <c r="AN39" s="303" t="s">
        <v>5248</v>
      </c>
    </row>
    <row r="40">
      <c r="A40" s="106" t="s">
        <v>3345</v>
      </c>
      <c r="B40" s="51" t="s">
        <v>5249</v>
      </c>
      <c r="C40" s="51">
        <v>100.0</v>
      </c>
      <c r="D40" s="303" t="s">
        <v>5250</v>
      </c>
      <c r="E40" s="106" t="str">
        <f>IFERROR(__xludf.DUMMYFUNCTION("GOOGLETRANSLATE(A40,""zh-tw"",""ja"")"),"かかし")</f>
        <v>かかし</v>
      </c>
      <c r="F40" s="51" t="s">
        <v>5251</v>
      </c>
      <c r="G40" s="51">
        <v>100.0</v>
      </c>
      <c r="H40" s="304" t="s">
        <v>5252</v>
      </c>
      <c r="I40" s="106" t="s">
        <v>3351</v>
      </c>
      <c r="J40" s="142" t="s">
        <v>5253</v>
      </c>
      <c r="K40" s="142">
        <v>100.0</v>
      </c>
      <c r="L40" s="303" t="s">
        <v>5254</v>
      </c>
      <c r="M40" s="138" t="str">
        <f>IFERROR(__xludf.DUMMYFUNCTION("GOOGLETRANSLATE(A40,""zh-tw"",""zh"")"),"稻草人")</f>
        <v>稻草人</v>
      </c>
      <c r="N40" s="142" t="str">
        <f>IFERROR(__xludf.DUMMYFUNCTION("GOOGLETRANSLATE(B40,""zh-tw"",""zh"")"),"稻草人的心")</f>
        <v>稻草人的心</v>
      </c>
      <c r="O40" s="142">
        <v>100.0</v>
      </c>
      <c r="P40" s="303" t="str">
        <f>IFERROR(__xludf.DUMMYFUNCTION("GOOGLETRANSLATE(D40,""zh-tw"",""zh"")"),"伤害测试")</f>
        <v>伤害测试</v>
      </c>
      <c r="Q40" s="106" t="str">
        <f>IFERROR(__xludf.DUMMYFUNCTION("GOOGLETRANSLATE(A40,""zh-tw"",""es-MX"")"),"espantapájaros")</f>
        <v>espantapájaros</v>
      </c>
      <c r="R40" s="51" t="str">
        <f>IFERROR(__xludf.DUMMYFUNCTION("GOOGLETRANSLATE(B40,""zh-tw"",""es-MX"")"),"El corazón del espantapájaros")</f>
        <v>El corazón del espantapájaros</v>
      </c>
      <c r="S40" s="142">
        <v>100.0</v>
      </c>
      <c r="T40" s="303" t="str">
        <f>IFERROR(__xludf.DUMMYFUNCTION("GOOGLETRANSLATE(D40,""zh-tw"",""es-MX"")"),"Prueba de daños")</f>
        <v>Prueba de daños</v>
      </c>
      <c r="U40" s="138" t="str">
        <f>IFERROR(__xludf.DUMMYFUNCTION("GOOGLETRANSLATE(A40,""zh-tw"",""KO"")"),"허수아비")</f>
        <v>허수아비</v>
      </c>
      <c r="V40" s="51" t="s">
        <v>5255</v>
      </c>
      <c r="W40" s="51">
        <v>100.0</v>
      </c>
      <c r="X40" s="304" t="s">
        <v>5256</v>
      </c>
      <c r="Y40" s="106" t="str">
        <f>IFERROR(__xludf.DUMMYFUNCTION("GOOGLETRANSLATE(A40,""zh-tw"",""ru"")"),"пугало")</f>
        <v>пугало</v>
      </c>
      <c r="Z40" s="51" t="str">
        <f>IFERROR(__xludf.DUMMYFUNCTION("GOOGLETRANSLATE(B40,""zh-tw"",""ru"")"),"Сердце пугала")</f>
        <v>Сердце пугала</v>
      </c>
      <c r="AA40" s="51">
        <v>100.0</v>
      </c>
      <c r="AB40" s="303" t="str">
        <f>IFERROR(__xludf.DUMMYFUNCTION("GOOGLETRANSLATE(D40,""zh-tw"",""ru"")"),"Тест на повреждения")</f>
        <v>Тест на повреждения</v>
      </c>
      <c r="AC40" s="138" t="s">
        <v>3354</v>
      </c>
      <c r="AD40" s="142" t="s">
        <v>5257</v>
      </c>
      <c r="AE40" s="142">
        <v>100.0</v>
      </c>
      <c r="AF40" s="303" t="s">
        <v>5258</v>
      </c>
      <c r="AG40" s="138" t="s">
        <v>3357</v>
      </c>
      <c r="AH40" s="142" t="s">
        <v>5259</v>
      </c>
      <c r="AI40" s="142">
        <v>100.0</v>
      </c>
      <c r="AJ40" s="303" t="s">
        <v>5260</v>
      </c>
      <c r="AK40" s="138" t="s">
        <v>3360</v>
      </c>
      <c r="AL40" s="142" t="s">
        <v>5261</v>
      </c>
      <c r="AM40" s="142">
        <v>100.0</v>
      </c>
      <c r="AN40" s="303" t="s">
        <v>5262</v>
      </c>
    </row>
    <row r="41">
      <c r="A41" s="106" t="s">
        <v>5263</v>
      </c>
      <c r="B41" s="51" t="s">
        <v>5264</v>
      </c>
      <c r="C41" s="51">
        <v>100.0</v>
      </c>
      <c r="D41" s="303" t="s">
        <v>5265</v>
      </c>
      <c r="E41" s="106" t="s">
        <v>5263</v>
      </c>
      <c r="F41" s="51" t="s">
        <v>5266</v>
      </c>
      <c r="G41" s="51">
        <v>100.0</v>
      </c>
      <c r="H41" s="304" t="s">
        <v>5267</v>
      </c>
      <c r="I41" s="106" t="s">
        <v>5263</v>
      </c>
      <c r="J41" s="142" t="s">
        <v>5268</v>
      </c>
      <c r="K41" s="142">
        <v>100.0</v>
      </c>
      <c r="L41" s="303" t="s">
        <v>5269</v>
      </c>
      <c r="M41" s="138" t="str">
        <f>IFERROR(__xludf.DUMMYFUNCTION("GOOGLETRANSLATE(A41,""zh-tw"",""zh"")"),"ASABA")</f>
        <v>ASABA</v>
      </c>
      <c r="N41" s="142" t="str">
        <f>IFERROR(__xludf.DUMMYFUNCTION("GOOGLETRANSLATE(B41,""zh-tw"",""zh"")"),"ASAB的草莓")</f>
        <v>ASAB的草莓</v>
      </c>
      <c r="O41" s="142">
        <v>100.0</v>
      </c>
      <c r="P41" s="303" t="str">
        <f>IFERROR(__xludf.DUMMYFUNCTION("GOOGLETRANSLATE(D41,""zh-tw"",""zh"")"),"浅羽Doro，会吃掉路边的草莓")</f>
        <v>浅羽Doro，会吃掉路边的草莓</v>
      </c>
      <c r="Q41" s="106" t="str">
        <f>IFERROR(__xludf.DUMMYFUNCTION("GOOGLETRANSLATE(A41,""zh-tw"",""es-MX"")"),"ASABA")</f>
        <v>ASABA</v>
      </c>
      <c r="R41" s="51" t="str">
        <f>IFERROR(__xludf.DUMMYFUNCTION("GOOGLETRANSLATE(B41,""zh-tw"",""es-MX"")"),"Fresas de ASAB")</f>
        <v>Fresas de ASAB</v>
      </c>
      <c r="S41" s="142">
        <v>100.0</v>
      </c>
      <c r="T41" s="303" t="str">
        <f>IFERROR(__xludf.DUMMYFUNCTION("GOOGLETRANSLATE(D41,""zh-tw"",""es-MX"")"),"Asaba Doro comerá las fresas al borde del camino.")</f>
        <v>Asaba Doro comerá las fresas al borde del camino.</v>
      </c>
      <c r="U41" s="138" t="str">
        <f>IFERROR(__xludf.DUMMYFUNCTION("GOOGLETRANSLATE(A41,""zh-tw"",""KO"")"),"아사바")</f>
        <v>아사바</v>
      </c>
      <c r="V41" s="51" t="str">
        <f>IFERROR(__xludf.DUMMYFUNCTION("GOOGLETRANSLATE(B41,""zh-tw"",""KO"")"),"ASAB의 딸기")</f>
        <v>ASAB의 딸기</v>
      </c>
      <c r="W41" s="51">
        <v>100.0</v>
      </c>
      <c r="X41" s="304" t="str">
        <f>IFERROR(__xludf.DUMMYFUNCTION("GOOGLETRANSLATE(D41,""zh-tw"",""KO"")"),"아사바 도로는 길가에서 딸기를 먹습니다.")</f>
        <v>아사바 도로는 길가에서 딸기를 먹습니다.</v>
      </c>
      <c r="Y41" s="106" t="str">
        <f>IFERROR(__xludf.DUMMYFUNCTION("GOOGLETRANSLATE(A41,""zh-tw"",""ru"")"),"АСАБА")</f>
        <v>АСАБА</v>
      </c>
      <c r="Z41" s="51" t="str">
        <f>IFERROR(__xludf.DUMMYFUNCTION("GOOGLETRANSLATE(B41,""zh-tw"",""ru"")"),"Клубника ASAB")</f>
        <v>Клубника ASAB</v>
      </c>
      <c r="AA41" s="51">
        <v>100.0</v>
      </c>
      <c r="AB41" s="303" t="str">
        <f>IFERROR(__xludf.DUMMYFUNCTION("GOOGLETRANSLATE(D41,""zh-tw"",""ru"")"),"Асаба Доро будет есть клубнику у дороги.")</f>
        <v>Асаба Доро будет есть клубнику у дороги.</v>
      </c>
      <c r="AC41" s="138" t="s">
        <v>5263</v>
      </c>
      <c r="AD41" s="142" t="s">
        <v>5270</v>
      </c>
      <c r="AE41" s="142">
        <v>100.0</v>
      </c>
      <c r="AF41" s="303" t="s">
        <v>5271</v>
      </c>
      <c r="AG41" s="138" t="s">
        <v>5272</v>
      </c>
      <c r="AH41" s="142" t="s">
        <v>5273</v>
      </c>
      <c r="AI41" s="142">
        <v>100.0</v>
      </c>
      <c r="AJ41" s="303" t="s">
        <v>5274</v>
      </c>
      <c r="AK41" s="138" t="s">
        <v>5263</v>
      </c>
      <c r="AL41" s="142" t="s">
        <v>5275</v>
      </c>
      <c r="AM41" s="142">
        <v>100.0</v>
      </c>
      <c r="AN41" s="303" t="s">
        <v>5276</v>
      </c>
    </row>
    <row r="42">
      <c r="A42" s="106" t="s">
        <v>5277</v>
      </c>
      <c r="B42" s="51" t="s">
        <v>5278</v>
      </c>
      <c r="C42" s="51" t="s">
        <v>5279</v>
      </c>
      <c r="D42" s="304" t="s">
        <v>5280</v>
      </c>
      <c r="E42" s="106" t="s">
        <v>5281</v>
      </c>
      <c r="F42" s="142" t="s">
        <v>5282</v>
      </c>
      <c r="G42" s="51" t="s">
        <v>5279</v>
      </c>
      <c r="H42" s="304" t="str">
        <f>IFERROR(__xludf.DUMMYFUNCTION("GOOGLETRANSLATE(D42,""zh-tw"",""ja"")"),"ボス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2" s="138" t="s">
        <v>5283</v>
      </c>
      <c r="J42" s="142" t="s">
        <v>5284</v>
      </c>
      <c r="K42" s="142" t="s">
        <v>5279</v>
      </c>
      <c r="L42" s="303" t="s">
        <v>5285</v>
      </c>
      <c r="M42" s="138" t="str">
        <f>IFERROR(__xludf.DUMMYFUNCTION("GOOGLETRANSLATE(A42,""zh-tw"",""zh"")"),"狂暴的ASABA")</f>
        <v>狂暴的ASABA</v>
      </c>
      <c r="N42" s="142" t="str">
        <f>IFERROR(__xludf.DUMMYFUNCTION("GOOGLETRANSLATE(B42,""zh-tw"",""zh"")"),"ASAB的草莓
把草莓夺回来！ ! *")</f>
        <v>ASAB的草莓
把草莓夺回来！ ! *</v>
      </c>
      <c r="O42" s="142" t="s">
        <v>5279</v>
      </c>
      <c r="P42" s="303"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06" t="str">
        <f>IFERROR(__xludf.DUMMYFUNCTION("GOOGLETRANSLATE(A42,""zh-tw"",""es-MX"")"),"Berserk ASABA")</f>
        <v>Berserk ASABA</v>
      </c>
      <c r="R42" s="142" t="str">
        <f>IFERROR(__xludf.DUMMYFUNCTION("GOOGLETRANSLATE(B42,""zh-tw"",""es-MX"")"),"Fresas de ASAB, ¡recuperemos las fresas!")</f>
        <v>Fresas de ASAB, ¡recuperemos las fresas!</v>
      </c>
      <c r="S42" s="142" t="s">
        <v>5279</v>
      </c>
      <c r="T42" s="303" t="str">
        <f>IFERROR(__xludf.DUMMYFUNCTION("GOOGLETRANSLATE(D42,""zh-tw"",""es-MX"")"),"JEFE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2" s="138" t="str">
        <f>IFERROR(__xludf.DUMMYFUNCTION("GOOGLETRANSLATE(A42,""zh-tw"",""KO"")"),"베르세르크 아사바")</f>
        <v>베르세르크 아사바</v>
      </c>
      <c r="V42" s="51" t="str">
        <f>IFERROR(__xludf.DUMMYFUNCTION("GOOGLETRANSLATE(B42,""zh-tw"",""KO"")"),"ASAB의 딸기, 딸기를 되찾자!")</f>
        <v>ASAB의 딸기, 딸기를 되찾자!</v>
      </c>
      <c r="W42" s="51" t="s">
        <v>5279</v>
      </c>
      <c r="X42" s="304" t="s">
        <v>5237</v>
      </c>
      <c r="Y42" s="106" t="str">
        <f>IFERROR(__xludf.DUMMYFUNCTION("GOOGLETRANSLATE(A42,""zh-tw"",""ru"")"),"Берсерк ASABA")</f>
        <v>Берсерк ASABA</v>
      </c>
      <c r="Z42" s="51" t="str">
        <f>IFERROR(__xludf.DUMMYFUNCTION("GOOGLETRANSLATE(B42,""zh-tw"",""ru"")"),"Клубника ASAB, давайте вернем себе клубнику!")</f>
        <v>Клубника ASAB, давайте вернем себе клубнику!</v>
      </c>
      <c r="AA42" s="51" t="s">
        <v>5279</v>
      </c>
      <c r="AB42" s="303" t="s">
        <v>5237</v>
      </c>
      <c r="AC42" s="138" t="str">
        <f>IFERROR(__xludf.DUMMYFUNCTION("GOOGLETRANSLATE(A42,""zh-tw"",""DE"")"),"Berserk ASABA")</f>
        <v>Berserk ASABA</v>
      </c>
      <c r="AD42" s="142" t="str">
        <f>IFERROR(__xludf.DUMMYFUNCTION("GOOGLETRANSLATE(B42,""zh-tw"",""DE"")"),"ASABs Erdbeeren, lasst uns die Erdbeeren zurückholen!")</f>
        <v>ASABs Erdbeeren, lasst uns die Erdbeeren zurückholen!</v>
      </c>
      <c r="AE42" s="142" t="s">
        <v>5279</v>
      </c>
      <c r="AF42" s="303" t="s">
        <v>5237</v>
      </c>
      <c r="AG42" s="138" t="s">
        <v>5272</v>
      </c>
      <c r="AH42" s="142" t="s">
        <v>5286</v>
      </c>
      <c r="AI42" s="142" t="s">
        <v>5279</v>
      </c>
      <c r="AJ42" s="303" t="s">
        <v>5237</v>
      </c>
      <c r="AK42" s="138" t="s">
        <v>5287</v>
      </c>
      <c r="AL42" s="142" t="s">
        <v>5288</v>
      </c>
      <c r="AM42" s="142" t="s">
        <v>5279</v>
      </c>
      <c r="AN42" s="303" t="s">
        <v>5289</v>
      </c>
    </row>
    <row r="43">
      <c r="A43" s="106" t="s">
        <v>5290</v>
      </c>
      <c r="B43" s="51" t="s">
        <v>5291</v>
      </c>
      <c r="C43" s="51">
        <v>100.0</v>
      </c>
      <c r="D43" s="304" t="s">
        <v>5292</v>
      </c>
      <c r="E43" s="106" t="str">
        <f>IFERROR(__xludf.DUMMYFUNCTION("GOOGLETRANSLATE(A43,""zh-tw"",""ja"")"),"浅羽")</f>
        <v>浅羽</v>
      </c>
      <c r="F43" s="142" t="s">
        <v>5293</v>
      </c>
      <c r="G43" s="51">
        <v>100.0</v>
      </c>
      <c r="H43" s="304" t="str">
        <f>IFERROR(__xludf.DUMMYFUNCTION("GOOGLETRANSLATE(D43,""zh-tw"",""ja"")"),"タロットカードに召喚された - チャリオット
猫娘のショッピングカート
弱点：雷")</f>
        <v>タロットカードに召喚された - チャリオット
猫娘のショッピングカート
弱点：雷</v>
      </c>
      <c r="I43" s="138" t="s">
        <v>5294</v>
      </c>
      <c r="J43" s="142" t="s">
        <v>5295</v>
      </c>
      <c r="K43" s="142">
        <v>100.0</v>
      </c>
      <c r="L43" s="303" t="s">
        <v>5296</v>
      </c>
      <c r="M43" s="138" t="str">
        <f>IFERROR(__xludf.DUMMYFUNCTION("GOOGLETRANSLATE(A43,""zh-tw"",""zh"")"),"浅羽")</f>
        <v>浅羽</v>
      </c>
      <c r="N43" s="142" t="str">
        <f>IFERROR(__xludf.DUMMYFUNCTION("GOOGLETRANSLATE(B43,""zh-tw"",""zh"")"),"猫爪手套")</f>
        <v>猫爪手套</v>
      </c>
      <c r="O43" s="142">
        <v>100.0</v>
      </c>
      <c r="P43" s="303" t="str">
        <f>IFERROR(__xludf.DUMMYFUNCTION("GOOGLETRANSLATE(D43,""zh-tw"",""zh"")"),"由 塔罗牌-战车 召唤
猫娘商店车
弱点：雷")</f>
        <v>由 塔罗牌-战车 召唤
猫娘商店车
弱点：雷</v>
      </c>
      <c r="Q43" s="106" t="str">
        <f>IFERROR(__xludf.DUMMYFUNCTION("GOOGLETRANSLATE(A43,""zh-tw"",""es-MX"")"),"Asaba")</f>
        <v>Asaba</v>
      </c>
      <c r="R43" s="142" t="str">
        <f>IFERROR(__xludf.DUMMYFUNCTION("GOOGLETRANSLATE(B43,""zh-tw"",""es-MX"")"),"Guantes con forma de pata de gato")</f>
        <v>Guantes con forma de pata de gato</v>
      </c>
      <c r="S43" s="142">
        <v>100.0</v>
      </c>
      <c r="T43" s="303" t="str">
        <f>IFERROR(__xludf.DUMMYFUNCTION("GOOGLETRANSLATE(D43,""zh-tw"",""es-MX"")"),"Invocado por las Cartas del Tarot - Carro
Carrito de la Tienda de la Chica Gato
Debilidad: Rayo")</f>
        <v>Invocado por las Cartas del Tarot - Carro
Carrito de la Tienda de la Chica Gato
Debilidad: Rayo</v>
      </c>
      <c r="U43" s="138" t="str">
        <f>IFERROR(__xludf.DUMMYFUNCTION("GOOGLETRANSLATE(A43,""zh-tw"",""KO"")"),"아사바")</f>
        <v>아사바</v>
      </c>
      <c r="V43" s="51" t="s">
        <v>5297</v>
      </c>
      <c r="W43" s="51">
        <v>100.0</v>
      </c>
      <c r="X43" s="304" t="s">
        <v>5298</v>
      </c>
      <c r="Y43" s="106" t="str">
        <f>IFERROR(__xludf.DUMMYFUNCTION("GOOGLETRANSLATE(A43,""zh-tw"",""ru"")"),"Асаба")</f>
        <v>Асаба</v>
      </c>
      <c r="Z43" s="51" t="str">
        <f>IFERROR(__xludf.DUMMYFUNCTION("GOOGLETRANSLATE(B43,""zh-tw"",""ru"")"),"Перчатки «кошачьи лапки»")</f>
        <v>Перчатки «кошачьи лапки»</v>
      </c>
      <c r="AA43" s="51">
        <v>100.0</v>
      </c>
      <c r="AB43" s="303" t="str">
        <f>IFERROR(__xludf.DUMMYFUNCTION("GOOGLETRANSLATE(D43,""zh-tw"",""ru"")"),"Призванная картами Таро — Колесница
Корзина магазина Кошко-девушки
Слабость: Молния")</f>
        <v>Призванная картами Таро — Колесница
Корзина магазина Кошко-девушки
Слабость: Молния</v>
      </c>
      <c r="AC43" s="138" t="s">
        <v>5294</v>
      </c>
      <c r="AD43" s="142" t="s">
        <v>5299</v>
      </c>
      <c r="AE43" s="142">
        <v>100.0</v>
      </c>
      <c r="AF43" s="303" t="s">
        <v>5300</v>
      </c>
      <c r="AG43" s="138" t="s">
        <v>5294</v>
      </c>
      <c r="AH43" s="142" t="s">
        <v>5301</v>
      </c>
      <c r="AI43" s="142">
        <v>100.0</v>
      </c>
      <c r="AJ43" s="303" t="s">
        <v>5302</v>
      </c>
      <c r="AK43" s="138" t="s">
        <v>5294</v>
      </c>
      <c r="AL43" s="142" t="s">
        <v>5303</v>
      </c>
      <c r="AM43" s="142">
        <v>100.0</v>
      </c>
      <c r="AN43" s="303" t="s">
        <v>5304</v>
      </c>
    </row>
    <row r="44">
      <c r="A44" s="106" t="s">
        <v>5305</v>
      </c>
      <c r="B44" s="51" t="s">
        <v>5306</v>
      </c>
      <c r="C44" s="51" t="s">
        <v>5307</v>
      </c>
      <c r="D44" s="304" t="s">
        <v>5308</v>
      </c>
      <c r="E44" s="106" t="s">
        <v>5309</v>
      </c>
      <c r="F44" s="142" t="s">
        <v>5310</v>
      </c>
      <c r="G44" s="51" t="s">
        <v>5307</v>
      </c>
      <c r="H44" s="304" t="str">
        <f>IFERROR(__xludf.DUMMYFUNCTION("GOOGLETRANSLATE(D44,""zh-tw"",""ja"")"),"ボス弱点：雷
倒した際に近くに水があると逃げます。
ドロップは操作と地形の影響を受けます。")</f>
        <v>ボス弱点：雷
倒した際に近くに水があると逃げます。
ドロップは操作と地形の影響を受けます。</v>
      </c>
      <c r="I44" s="138" t="s">
        <v>5311</v>
      </c>
      <c r="J44" s="142" t="s">
        <v>5312</v>
      </c>
      <c r="K44" s="142" t="s">
        <v>5307</v>
      </c>
      <c r="L44" s="303" t="s">
        <v>5313</v>
      </c>
      <c r="M44" s="138" t="str">
        <f>IFERROR(__xludf.DUMMYFUNCTION("GOOGLETRANSLATE(A44,""zh-tw"",""zh"")"),"应该已经灭绝的河之主!?")</f>
        <v>应该已经灭绝的河之主!?</v>
      </c>
      <c r="N44" s="142" t="str">
        <f>IFERROR(__xludf.DUMMYFUNCTION("GOOGLETRANSLATE(B44,""zh-tw"",""zh"")"),"◉▽◉(粉色)
王权之令")</f>
        <v>◉▽◉(粉色)
王权之令</v>
      </c>
      <c r="O44" s="142" t="s">
        <v>5307</v>
      </c>
      <c r="P44" s="303" t="str">
        <f>IFERROR(__xludf.DUMMYFUNCTION("GOOGLETRANSLATE(D44,""zh-tw"",""zh"")"),"BOSS
弱点：雷
若被击败时周围有水，它会逃跑
掉落物受控制与地形状态影响")</f>
        <v>BOSS
弱点：雷
若被击败时周围有水，它会逃跑
掉落物受控制与地形状态影响</v>
      </c>
      <c r="Q44" s="138" t="str">
        <f>IFERROR(__xludf.DUMMYFUNCTION("GOOGLETRANSLATE(A44,""zh-tw"",""es-MX"")"),"¡El Señor del Río, que ya debería estar extinto!?")</f>
        <v>¡El Señor del Río, que ya debería estar extinto!?</v>
      </c>
      <c r="R44" s="142" t="str">
        <f>IFERROR(__xludf.DUMMYFUNCTION("GOOGLETRANSLATE(B44,""zh-tw"",""es-MX"")"),"◉▽◉(Rosa) El Decreto del Rey")</f>
        <v>◉▽◉(Rosa) El Decreto del Rey</v>
      </c>
      <c r="S44" s="142" t="s">
        <v>5307</v>
      </c>
      <c r="T44" s="303"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138" t="str">
        <f>IFERROR(__xludf.DUMMYFUNCTION("GOOGLETRANSLATE(A44,""zh-tw"",""KO"")"),"이미 멸종했어야 할 강의 군주!?")</f>
        <v>이미 멸종했어야 할 강의 군주!?</v>
      </c>
      <c r="V44" s="51" t="str">
        <f>IFERROR(__xludf.DUMMYFUNCTION("GOOGLETRANSLATE(B44,""zh-tw"",""KO"")"),"◉▽◉(분홍) 왕의 칙령")</f>
        <v>◉▽◉(분홍) 왕의 칙령</v>
      </c>
      <c r="W44" s="51" t="s">
        <v>5307</v>
      </c>
      <c r="X44" s="304" t="str">
        <f>IFERROR(__xludf.DUMMYFUNCTION("GOOGLETRANSLATE(D44,""zh-tw"",""KO"")"),"보스 약점: 번개
격파 시 근처에 물이 있으면 도망갑니다.
드랍은 조작 및 지형 조건에 영향을 받습니다.")</f>
        <v>보스 약점: 번개
격파 시 근처에 물이 있으면 도망갑니다.
드랍은 조작 및 지형 조건에 영향을 받습니다.</v>
      </c>
      <c r="Y44" s="106" t="str">
        <f>IFERROR(__xludf.DUMMYFUNCTION("GOOGLETRANSLATE(A44,""zh-tw"",""ru"")"),"Речной Лорд, который уже должен был вымереть!?")</f>
        <v>Речной Лорд, который уже должен был вымереть!?</v>
      </c>
      <c r="Z44" s="51" t="str">
        <f>IFERROR(__xludf.DUMMYFUNCTION("GOOGLETRANSLATE(B44,""zh-tw"",""ru"")"),"◉▽◉(Розовый) Указ короля")</f>
        <v>◉▽◉(Розовый) Указ короля</v>
      </c>
      <c r="AA44" s="51" t="s">
        <v>5307</v>
      </c>
      <c r="AB44" s="303" t="str">
        <f>IFERROR(__xludf.DUMMYFUNCTION("GOOGLETRANSLATE(D44,""zh-tw"",""ru"")"),"Уязвимость босса: Молния
Если в момент поражения рядом с ним будет вода, он убежит.
На количество выпавших предметов влияют контроль и условия местности.")</f>
        <v>Уязвимость босса: Молния
Если в момент поражения рядом с ним будет вода, он убежит.
На количество выпавших предметов влияют контроль и условия местности.</v>
      </c>
      <c r="AC44" s="138" t="s">
        <v>5314</v>
      </c>
      <c r="AD44" s="142" t="s">
        <v>5315</v>
      </c>
      <c r="AE44" s="142" t="s">
        <v>5307</v>
      </c>
      <c r="AF44" s="303" t="s">
        <v>5316</v>
      </c>
      <c r="AG44" s="138" t="s">
        <v>5317</v>
      </c>
      <c r="AH44" s="142" t="s">
        <v>5318</v>
      </c>
      <c r="AI44" s="142" t="s">
        <v>5307</v>
      </c>
      <c r="AJ44" s="303" t="s">
        <v>5319</v>
      </c>
      <c r="AK44" s="118" t="s">
        <v>5320</v>
      </c>
      <c r="AL44" s="142" t="s">
        <v>5321</v>
      </c>
      <c r="AM44" s="142" t="s">
        <v>5307</v>
      </c>
      <c r="AN44" s="303" t="s">
        <v>5322</v>
      </c>
    </row>
    <row r="45">
      <c r="A45" s="302" t="s">
        <v>5323</v>
      </c>
      <c r="E45" s="97" t="str">
        <f>IFERROR(__xludf.DUMMYFUNCTION("GOOGLETRANSLATE(A45,""zh-tw"",""ja"")"),"シーンオブジェクト")</f>
        <v>シーンオブジェクト</v>
      </c>
      <c r="I45" s="97" t="s">
        <v>5324</v>
      </c>
      <c r="M45" s="302" t="str">
        <f>IFERROR(__xludf.DUMMYFUNCTION("GOOGLETRANSLATE(A45,""zh-tw"",""zh"")"),"场景物件")</f>
        <v>场景物件</v>
      </c>
      <c r="Q45" s="302" t="str">
        <f>IFERROR(__xludf.DUMMYFUNCTION("GOOGLETRANSLATE(A45,""zh-tw"",""es-MX"")"),"Objetos de escena")</f>
        <v>Objetos de escena</v>
      </c>
      <c r="U45" s="302" t="str">
        <f>IFERROR(__xludf.DUMMYFUNCTION("GOOGLETRANSLATE(A45,""zh-tw"",""KO"")"),"장면 객체")</f>
        <v>장면 객체</v>
      </c>
      <c r="Y45" s="302" t="str">
        <f>IFERROR(__xludf.DUMMYFUNCTION("GOOGLETRANSLATE(A45,""zh-tw"",""ru"")"),"Объекты сцены")</f>
        <v>Объекты сцены</v>
      </c>
      <c r="AC45" s="302" t="str">
        <f>IFERROR(__xludf.DUMMYFUNCTION("GOOGLETRANSLATE(A44,""zh-tw"",""DE"")"),"Der Flussherr, der eigentlich schon ausgestorben sein sollte!?")</f>
        <v>Der Flussherr, der eigentlich schon ausgestorben sein sollte!?</v>
      </c>
      <c r="AG45" s="302" t="s">
        <v>5325</v>
      </c>
      <c r="AK45" s="302" t="s">
        <v>5324</v>
      </c>
    </row>
    <row r="46">
      <c r="A46" s="106" t="s">
        <v>5326</v>
      </c>
      <c r="B46" s="51" t="s">
        <v>813</v>
      </c>
      <c r="C46" s="51" t="s">
        <v>813</v>
      </c>
      <c r="D46" s="304" t="s">
        <v>813</v>
      </c>
      <c r="E46" s="106" t="str">
        <f>IFERROR(__xludf.DUMMYFUNCTION("GOOGLETRANSLATE(A46,""zh-tw"",""ja"")"),"道を塞ぐ巨大な岩")</f>
        <v>道を塞ぐ巨大な岩</v>
      </c>
      <c r="F46" s="51" t="s">
        <v>813</v>
      </c>
      <c r="G46" s="51" t="s">
        <v>813</v>
      </c>
      <c r="H46" s="304" t="str">
        <f>IFERROR(__xludf.DUMMYFUNCTION("GOOGLETRANSLATE(D46,""zh-tw"",""ja"")"),"-")</f>
        <v>-</v>
      </c>
      <c r="I46" s="106" t="s">
        <v>5327</v>
      </c>
      <c r="J46" s="142"/>
      <c r="K46" s="142" t="s">
        <v>813</v>
      </c>
      <c r="L46" s="303"/>
      <c r="M46" s="138" t="str">
        <f>IFERROR(__xludf.DUMMYFUNCTION("GOOGLETRANSLATE(A46,""zh-tw"",""zh"")"),"堵路巨石")</f>
        <v>堵路巨石</v>
      </c>
      <c r="N46" s="142" t="str">
        <f>IFERROR(__xludf.DUMMYFUNCTION("GOOGLETRANSLATE(B46,""zh-tw"",""zh"")"),"-")</f>
        <v>-</v>
      </c>
      <c r="O46" s="142" t="s">
        <v>813</v>
      </c>
      <c r="P46" s="303" t="str">
        <f>IFERROR(__xludf.DUMMYFUNCTION("GOOGLETRANSLATE(D46,""zh-tw"",""zh"")"),"-")</f>
        <v>-</v>
      </c>
      <c r="Q46" s="138" t="str">
        <f>IFERROR(__xludf.DUMMYFUNCTION("GOOGLETRANSLATE(A46,""zh-tw"",""es-MX"")"),"Enormes rocas bloqueando la carretera")</f>
        <v>Enormes rocas bloqueando la carretera</v>
      </c>
      <c r="R46" s="142" t="str">
        <f>IFERROR(__xludf.DUMMYFUNCTION("GOOGLETRANSLATE(B46,""zh-tw"",""es-MX"")"),"-")</f>
        <v>-</v>
      </c>
      <c r="S46" s="142" t="s">
        <v>813</v>
      </c>
      <c r="T46" s="303" t="str">
        <f>IFERROR(__xludf.DUMMYFUNCTION("GOOGLETRANSLATE(D46,""zh-tw"",""es-MX"")"),"-")</f>
        <v>-</v>
      </c>
      <c r="U46" s="138" t="str">
        <f>IFERROR(__xludf.DUMMYFUNCTION("GOOGLETRANSLATE(A46,""zh-tw"",""KO"")"),"길을 막고 있는 거대한 바위")</f>
        <v>길을 막고 있는 거대한 바위</v>
      </c>
      <c r="V46" s="51" t="str">
        <f>IFERROR(__xludf.DUMMYFUNCTION("GOOGLETRANSLATE(B46,""zh-tw"",""KO"")"),"-")</f>
        <v>-</v>
      </c>
      <c r="W46" s="51" t="s">
        <v>813</v>
      </c>
      <c r="X46" s="304" t="str">
        <f>IFERROR(__xludf.DUMMYFUNCTION("GOOGLETRANSLATE(D46,""zh-tw"",""KO"")"),"-")</f>
        <v>-</v>
      </c>
      <c r="Y46" s="106" t="str">
        <f>IFERROR(__xludf.DUMMYFUNCTION("GOOGLETRANSLATE(A46,""zh-tw"",""RU"")"),"Огромные камни преграждают дорогу")</f>
        <v>Огромные камни преграждают дорогу</v>
      </c>
      <c r="Z46" s="51" t="str">
        <f>IFERROR(__xludf.DUMMYFUNCTION("GOOGLETRANSLATE(B46,""zh-tw"",""RU"")"),"-")</f>
        <v>-</v>
      </c>
      <c r="AA46" s="51" t="s">
        <v>813</v>
      </c>
      <c r="AB46" s="303" t="str">
        <f>IFERROR(__xludf.DUMMYFUNCTION("GOOGLETRANSLATE(D46,""zh-tw"",""ru"")"),"-")</f>
        <v>-</v>
      </c>
      <c r="AC46" s="138" t="str">
        <f>IFERROR(__xludf.DUMMYFUNCTION("GOOGLETRANSLATE(A46,""zh-tw"",""DE"")"),"Riesige Felsen blockieren die Straße")</f>
        <v>Riesige Felsen blockieren die Straße</v>
      </c>
      <c r="AD46" s="51" t="str">
        <f>IFERROR(__xludf.DUMMYFUNCTION("GOOGLETRANSLATE(B46,""zh-tw"",""DE"")"),"-")</f>
        <v>-</v>
      </c>
      <c r="AE46" s="142" t="s">
        <v>813</v>
      </c>
      <c r="AF46" s="303"/>
      <c r="AG46" s="118" t="s">
        <v>5328</v>
      </c>
      <c r="AH46" s="142"/>
      <c r="AI46" s="142" t="s">
        <v>813</v>
      </c>
      <c r="AJ46" s="303" t="s">
        <v>813</v>
      </c>
      <c r="AK46" s="138" t="s">
        <v>5329</v>
      </c>
      <c r="AL46" s="142" t="s">
        <v>813</v>
      </c>
      <c r="AM46" s="142" t="s">
        <v>813</v>
      </c>
      <c r="AN46" s="303" t="s">
        <v>813</v>
      </c>
    </row>
    <row r="47">
      <c r="A47" s="106" t="s">
        <v>5330</v>
      </c>
      <c r="B47" s="51" t="s">
        <v>5331</v>
      </c>
      <c r="C47" s="51">
        <v>100.0</v>
      </c>
      <c r="D47" s="304" t="s">
        <v>813</v>
      </c>
      <c r="E47" s="106" t="s">
        <v>5332</v>
      </c>
      <c r="F47" s="51" t="str">
        <f>IFERROR(__xludf.DUMMYFUNCTION("GOOGLETRANSLATE(B47,""zh-tw"",""ja"")"),"騎士の剣")</f>
        <v>騎士の剣</v>
      </c>
      <c r="G47" s="51">
        <v>100.0</v>
      </c>
      <c r="H47" s="304" t="str">
        <f>IFERROR(__xludf.DUMMYFUNCTION("GOOGLETRANSLATE(D47,""zh-tw"",""ja"")"),"-")</f>
        <v>-</v>
      </c>
      <c r="I47" s="106" t="s">
        <v>5333</v>
      </c>
      <c r="J47" s="142" t="s">
        <v>5334</v>
      </c>
      <c r="K47" s="142">
        <v>100.0</v>
      </c>
      <c r="L47" s="303" t="str">
        <f>IFERROR(__xludf.DUMMYFUNCTION("GOOGLETRANSLATE(D47,""zh-tw"",""en"")"),"-")</f>
        <v>-</v>
      </c>
      <c r="M47" s="138" t="str">
        <f>IFERROR(__xludf.DUMMYFUNCTION("GOOGLETRANSLATE(A47,""zh-tw"",""zh"")"),"石中剑")</f>
        <v>石中剑</v>
      </c>
      <c r="N47" s="142" t="str">
        <f>IFERROR(__xludf.DUMMYFUNCTION("GOOGLETRANSLATE(B47,""zh-tw"",""zh"")"),"骑士之剑")</f>
        <v>骑士之剑</v>
      </c>
      <c r="O47" s="51">
        <v>100.0</v>
      </c>
      <c r="P47" s="303" t="str">
        <f>IFERROR(__xludf.DUMMYFUNCTION("GOOGLETRANSLATE(D47,""zh-tw"",""zh"")"),"-")</f>
        <v>-</v>
      </c>
      <c r="Q47" s="138" t="str">
        <f>IFERROR(__xludf.DUMMYFUNCTION("GOOGLETRANSLATE(A47,""zh-tw"",""es-MX"")"),"Espada en la piedra")</f>
        <v>Espada en la piedra</v>
      </c>
      <c r="R47" s="51" t="str">
        <f>IFERROR(__xludf.DUMMYFUNCTION("GOOGLETRANSLATE(B47,""zh-tw"",""es-MX"")"),"Espada de caballero")</f>
        <v>Espada de caballero</v>
      </c>
      <c r="S47" s="142">
        <v>100.0</v>
      </c>
      <c r="T47" s="303" t="str">
        <f>IFERROR(__xludf.DUMMYFUNCTION("GOOGLETRANSLATE(D47,""zh-tw"",""es-MX"")"),"-")</f>
        <v>-</v>
      </c>
      <c r="U47" s="106" t="s">
        <v>5335</v>
      </c>
      <c r="V47" s="51" t="s">
        <v>5336</v>
      </c>
      <c r="W47" s="51">
        <v>100.0</v>
      </c>
      <c r="X47" s="304" t="str">
        <f>IFERROR(__xludf.DUMMYFUNCTION("GOOGLETRANSLATE(D47,""zh-tw"",""KO"")"),"-")</f>
        <v>-</v>
      </c>
      <c r="Y47" s="106" t="str">
        <f>IFERROR(__xludf.DUMMYFUNCTION("GOOGLETRANSLATE(A47,""zh-tw"",""ru"")"),"Меч в камне")</f>
        <v>Меч в камне</v>
      </c>
      <c r="Z47" s="51" t="str">
        <f>IFERROR(__xludf.DUMMYFUNCTION("GOOGLETRANSLATE(B47,""zh-tw"",""ru"")"),"Рыцарский меч")</f>
        <v>Рыцарский меч</v>
      </c>
      <c r="AA47" s="51">
        <v>100.0</v>
      </c>
      <c r="AB47" s="303" t="str">
        <f>IFERROR(__xludf.DUMMYFUNCTION("GOOGLETRANSLATE(D47,""zh-tw"",""ru"")"),"-")</f>
        <v>-</v>
      </c>
      <c r="AC47" s="138" t="s">
        <v>5337</v>
      </c>
      <c r="AD47" s="142" t="s">
        <v>5338</v>
      </c>
      <c r="AE47" s="142">
        <v>100.0</v>
      </c>
      <c r="AF47" s="303" t="s">
        <v>5339</v>
      </c>
      <c r="AG47" s="138" t="s">
        <v>5340</v>
      </c>
      <c r="AH47" s="142" t="s">
        <v>5341</v>
      </c>
      <c r="AI47" s="142">
        <v>100.0</v>
      </c>
      <c r="AJ47" s="303" t="s">
        <v>813</v>
      </c>
      <c r="AK47" s="138" t="s">
        <v>5342</v>
      </c>
      <c r="AL47" s="142" t="s">
        <v>5343</v>
      </c>
      <c r="AM47" s="142">
        <v>100.0</v>
      </c>
      <c r="AN47" s="303" t="s">
        <v>813</v>
      </c>
    </row>
    <row r="48">
      <c r="A48" s="138" t="s">
        <v>5344</v>
      </c>
      <c r="B48" s="142" t="s">
        <v>5345</v>
      </c>
      <c r="C48" s="51" t="s">
        <v>5346</v>
      </c>
      <c r="D48" s="303" t="s">
        <v>5347</v>
      </c>
      <c r="E48" s="138" t="str">
        <f>IFERROR(__xludf.DUMMYFUNCTION("GOOGLETRANSLATE(A48,""zh-tw"",""ja"")"),"とても大きな卵")</f>
        <v>とても大きな卵</v>
      </c>
      <c r="F48" s="51" t="str">
        <f>IFERROR(__xludf.DUMMYFUNCTION("GOOGLETRANSLATE(B48,""zh-tw"",""ja"")"),"とても大きな卵
小さな赤い怪物*")</f>
        <v>とても大きな卵
小さな赤い怪物*</v>
      </c>
      <c r="G48" s="142" t="s">
        <v>5346</v>
      </c>
      <c r="H48" s="304" t="str">
        <f>IFERROR(__xludf.DUMMYFUNCTION("GOOGLETRANSLATE(D48,""zh-tw"",""ja"")"),"遺跡の底で拾ってください（壊さないでください）。拾ったり壊したりすると、50%の確率で小さな赤いモンスターが出現します。")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8" s="106" t="s">
        <v>5348</v>
      </c>
      <c r="J48" s="142" t="s">
        <v>5349</v>
      </c>
      <c r="K48" s="142" t="s">
        <v>5346</v>
      </c>
      <c r="L48" s="303" t="s">
        <v>5350</v>
      </c>
      <c r="M48" s="138" t="str">
        <f>IFERROR(__xludf.DUMMYFUNCTION("GOOGLETRANSLATE(A48,""zh-tw"",""zh"")"),"很大的蛋")</f>
        <v>很大的蛋</v>
      </c>
      <c r="N48" s="142" t="str">
        <f>IFERROR(__xludf.DUMMYFUNCTION("GOOGLETRANSLATE(B48,""zh-tw"",""zh"")"),"很大的蛋
小红怪*")</f>
        <v>很大的蛋
小红怪*</v>
      </c>
      <c r="O48" s="51" t="s">
        <v>5346</v>
      </c>
      <c r="P48" s="303" t="str">
        <f>IFERROR(__xludf.DUMMYFUNCTION("GOOGLETRANSLATE(D48,""zh-tw"",""zh"")"),"于遗迹底层捡取(不可以打破)
捡取/打破有50%机率出现小红怪")</f>
        <v>于遗迹底层捡取(不可以打破)
捡取/打破有50%机率出现小红怪</v>
      </c>
      <c r="Q48" s="138" t="str">
        <f>IFERROR(__xludf.DUMMYFUNCTION("GOOGLETRANSLATE(A48,""zh-tw"",""es-MX"")"),"Un huevo muy grande")</f>
        <v>Un huevo muy grande</v>
      </c>
      <c r="R48" s="51" t="str">
        <f>IFERROR(__xludf.DUMMYFUNCTION("GOOGLETRANSLATE(B48,""zh-tw"",""es-MX"")"),"Un huevo muy grande
Pequeño Monstruo Rojo*")</f>
        <v>Un huevo muy grande
Pequeño Monstruo Rojo*</v>
      </c>
      <c r="S48" s="142" t="s">
        <v>5346</v>
      </c>
      <c r="T48" s="303"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06" t="s">
        <v>5351</v>
      </c>
      <c r="V48" s="142" t="s">
        <v>5351</v>
      </c>
      <c r="W48" s="142" t="s">
        <v>5346</v>
      </c>
      <c r="X48" s="304" t="s">
        <v>5352</v>
      </c>
      <c r="Y48" s="138" t="str">
        <f>IFERROR(__xludf.DUMMYFUNCTION("GOOGLETRANSLATE(A48,""zh-tw"",""ru"")"),"Очень большое яйцо")</f>
        <v>Очень большое яйцо</v>
      </c>
      <c r="Z48" s="142" t="str">
        <f>IFERROR(__xludf.DUMMYFUNCTION("GOOGLETRANSLATE(B48,""zh-tw"",""ru"")"),"Очень большое яйцо
Маленький красный монстр*")</f>
        <v>Очень большое яйцо
Маленький красный монстр*</v>
      </c>
      <c r="AA48" s="51" t="s">
        <v>5346</v>
      </c>
      <c r="AB48" s="303" t="str">
        <f>IFERROR(__xludf.DUMMYFUNCTION("GOOGLETRANSLATE(D48,""zh-tw"",""ru"")"),"Подберите его внизу руин (не ломайте). С вероятностью 50% при его поднятии/разбиении появится маленький красный монстр.")</f>
        <v>Подберите его внизу руин (не ломайте). С вероятностью 50% при его поднятии/разбиении появится маленький красный монстр.</v>
      </c>
      <c r="AC48" s="138" t="s">
        <v>5353</v>
      </c>
      <c r="AD48" s="142" t="s">
        <v>5354</v>
      </c>
      <c r="AE48" s="142" t="s">
        <v>5346</v>
      </c>
      <c r="AF48" s="303" t="s">
        <v>5355</v>
      </c>
      <c r="AG48" s="138" t="s">
        <v>5356</v>
      </c>
      <c r="AH48" s="142" t="s">
        <v>5357</v>
      </c>
      <c r="AI48" s="142" t="s">
        <v>5346</v>
      </c>
      <c r="AJ48" s="303" t="s">
        <v>5358</v>
      </c>
      <c r="AK48" s="138" t="s">
        <v>5359</v>
      </c>
      <c r="AL48" s="142" t="s">
        <v>5360</v>
      </c>
      <c r="AM48" s="142" t="s">
        <v>5346</v>
      </c>
      <c r="AN48" s="303" t="s">
        <v>5361</v>
      </c>
    </row>
    <row r="49">
      <c r="A49" s="106" t="s">
        <v>5362</v>
      </c>
      <c r="B49" s="51" t="s">
        <v>5363</v>
      </c>
      <c r="C49" s="51" t="s">
        <v>5364</v>
      </c>
      <c r="D49" s="304" t="s">
        <v>5365</v>
      </c>
      <c r="E49" s="106" t="s">
        <v>5366</v>
      </c>
      <c r="F49" s="142" t="s">
        <v>5367</v>
      </c>
      <c r="G49" s="51" t="s">
        <v>5364</v>
      </c>
      <c r="H49" s="304" t="s">
        <v>5368</v>
      </c>
      <c r="I49" s="106" t="s">
        <v>5369</v>
      </c>
      <c r="J49" s="142" t="s">
        <v>5370</v>
      </c>
      <c r="K49" s="142" t="s">
        <v>5364</v>
      </c>
      <c r="L49" s="303" t="s">
        <v>5371</v>
      </c>
      <c r="M49" s="138" t="str">
        <f>IFERROR(__xludf.DUMMYFUNCTION("GOOGLETRANSLATE(A49,""zh-tw"",""zh"")"),"遗迹菇类")</f>
        <v>遗迹菇类</v>
      </c>
      <c r="N49" s="142" t="str">
        <f>IFERROR(__xludf.DUMMYFUNCTION("GOOGLETRANSLATE(B49,""zh-tw"",""zh"")"),"香菇
平菇
蟹味菇
月夜茸
紫丁香蘑")</f>
        <v>香菇
平菇
蟹味菇
月夜茸
紫丁香蘑</v>
      </c>
      <c r="O49" s="142" t="s">
        <v>5364</v>
      </c>
      <c r="P49" s="303" t="str">
        <f>IFERROR(__xludf.DUMMYFUNCTION("GOOGLETRANSLATE(D49,""zh-tw"",""zh"")"),"于遗迹打地面上的蘑菇")</f>
        <v>于遗迹打地面上的蘑菇</v>
      </c>
      <c r="Q49" s="138" t="str">
        <f>IFERROR(__xludf.DUMMYFUNCTION("GOOGLETRANSLATE(A49,""zh-tw"",""es-MX"")"),"Hongos reliquia")</f>
        <v>Hongos reliquia</v>
      </c>
      <c r="R49" s="142" t="str">
        <f>IFERROR(__xludf.DUMMYFUNCTION("GOOGLETRANSLATE(B49,""zh-tw"",""es-MX"")"),"Hongos shiitake, hongos ostra, hongos cangrejo, hongos luna, hongos lila")</f>
        <v>Hongos shiitake, hongos ostra, hongos cangrejo, hongos luna, hongos lila</v>
      </c>
      <c r="S49" s="142" t="s">
        <v>5364</v>
      </c>
      <c r="T49" s="303" t="str">
        <f>IFERROR(__xludf.DUMMYFUNCTION("GOOGLETRANSLATE(D49,""zh-tw"",""es-MX"")"),"Golpea los hongos en el suelo en las ruinas.")</f>
        <v>Golpea los hongos en el suelo en las ruinas.</v>
      </c>
      <c r="U49" s="138" t="s">
        <v>5372</v>
      </c>
      <c r="V49" s="51" t="s">
        <v>5373</v>
      </c>
      <c r="W49" s="51" t="s">
        <v>5364</v>
      </c>
      <c r="X49" s="304" t="s">
        <v>5374</v>
      </c>
      <c r="Y49" s="106" t="str">
        <f>IFERROR(__xludf.DUMMYFUNCTION("GOOGLETRANSLATE(A49,""zh-tw"",""ru"")"),"Реликтовые грибы")</f>
        <v>Реликтовые грибы</v>
      </c>
      <c r="Z49" s="51" t="str">
        <f>IFERROR(__xludf.DUMMYFUNCTION("GOOGLETRANSLATE(B49,""zh-tw"",""ru"")"),"Грибы шиитаке, вешенки, крабовые грибы, лунные грибы, сиреневые грибы")</f>
        <v>Грибы шиитаке, вешенки, крабовые грибы, лунные грибы, сиреневые грибы</v>
      </c>
      <c r="AA49" s="51" t="s">
        <v>5364</v>
      </c>
      <c r="AB49" s="303" t="str">
        <f>IFERROR(__xludf.DUMMYFUNCTION("GOOGLETRANSLATE(D49,""zh-tw"",""ru"")"),"На руинах на земле лежат грибы.")</f>
        <v>На руинах на земле лежат грибы.</v>
      </c>
      <c r="AC49" s="138" t="s">
        <v>5375</v>
      </c>
      <c r="AD49" s="142" t="s">
        <v>5376</v>
      </c>
      <c r="AE49" s="142" t="s">
        <v>5364</v>
      </c>
      <c r="AF49" s="303" t="s">
        <v>5377</v>
      </c>
      <c r="AG49" s="138" t="s">
        <v>5378</v>
      </c>
      <c r="AH49" s="142" t="s">
        <v>5379</v>
      </c>
      <c r="AI49" s="142" t="s">
        <v>5364</v>
      </c>
      <c r="AJ49" s="303" t="s">
        <v>5380</v>
      </c>
      <c r="AK49" s="138" t="s">
        <v>5381</v>
      </c>
      <c r="AL49" s="142" t="s">
        <v>5382</v>
      </c>
      <c r="AM49" s="142" t="s">
        <v>5364</v>
      </c>
      <c r="AN49" s="303" t="s">
        <v>5383</v>
      </c>
    </row>
    <row r="50">
      <c r="A50" s="106" t="s">
        <v>5384</v>
      </c>
      <c r="B50" s="51" t="s">
        <v>5385</v>
      </c>
      <c r="C50" s="51" t="s">
        <v>5386</v>
      </c>
      <c r="D50" s="304" t="s">
        <v>5387</v>
      </c>
      <c r="E50" s="106" t="s">
        <v>5388</v>
      </c>
      <c r="F50" s="51" t="s">
        <v>5389</v>
      </c>
      <c r="G50" s="51" t="s">
        <v>5386</v>
      </c>
      <c r="H50" s="304" t="s">
        <v>5390</v>
      </c>
      <c r="I50" s="106" t="s">
        <v>5391</v>
      </c>
      <c r="J50" s="142" t="s">
        <v>5392</v>
      </c>
      <c r="K50" s="142" t="s">
        <v>5386</v>
      </c>
      <c r="L50" s="303" t="s">
        <v>5393</v>
      </c>
      <c r="M50" s="138" t="str">
        <f>IFERROR(__xludf.DUMMYFUNCTION("GOOGLETRANSLATE(A50,""zh-tw"",""zh"")"),"红花")</f>
        <v>红花</v>
      </c>
      <c r="N50" s="142" t="str">
        <f>IFERROR(__xludf.DUMMYFUNCTION("GOOGLETRANSLATE(B50,""zh-tw"",""zh"")"),"火鸟的羽毛
500元
1000元")</f>
        <v>火鸟的羽毛
500元
1000元</v>
      </c>
      <c r="O50" s="142" t="s">
        <v>5386</v>
      </c>
      <c r="P50" s="303" t="str">
        <f>IFERROR(__xludf.DUMMYFUNCTION("GOOGLETRANSLATE(D50,""zh-tw"",""zh"")"),"于遗迹打地面上的红花")</f>
        <v>于遗迹打地面上的红花</v>
      </c>
      <c r="Q50" s="138" t="str">
        <f>IFERROR(__xludf.DUMMYFUNCTION("GOOGLETRANSLATE(A50,""zh-tw"",""es-MX"")"),"cártamo")</f>
        <v>cártamo</v>
      </c>
      <c r="R50" s="142" t="str">
        <f>IFERROR(__xludf.DUMMYFUNCTION("GOOGLETRANSLATE(B50,""zh-tw"",""es-MX"")"),"Plumas de pájaro de fuego
500 yuanes
1000 yuanes")</f>
        <v>Plumas de pájaro de fuego
500 yuanes
1000 yuanes</v>
      </c>
      <c r="S50" s="142" t="s">
        <v>5386</v>
      </c>
      <c r="T50" s="303" t="str">
        <f>IFERROR(__xludf.DUMMYFUNCTION("GOOGLETRANSLATE(D50,""zh-tw"",""es-MX"")"),"Flores rojas en el suelo de las ruinas.")</f>
        <v>Flores rojas en el suelo de las ruinas.</v>
      </c>
      <c r="U50" s="138" t="s">
        <v>5394</v>
      </c>
      <c r="V50" s="51" t="s">
        <v>5395</v>
      </c>
      <c r="W50" s="51" t="s">
        <v>5386</v>
      </c>
      <c r="X50" s="304" t="s">
        <v>5396</v>
      </c>
      <c r="Y50" s="106" t="str">
        <f>IFERROR(__xludf.DUMMYFUNCTION("GOOGLETRANSLATE(A50,""zh-tw"",""ru"")"),"сафлор")</f>
        <v>сафлор</v>
      </c>
      <c r="Z50" s="51" t="str">
        <f>IFERROR(__xludf.DUMMYFUNCTION("GOOGLETRANSLATE(B50,""zh-tw"",""ru"")"),"Перья жар-птицы
500 юаней
1000 юаней")</f>
        <v>Перья жар-птицы
500 юаней
1000 юаней</v>
      </c>
      <c r="AA50" s="51" t="s">
        <v>5386</v>
      </c>
      <c r="AB50" s="303" t="str">
        <f>IFERROR(__xludf.DUMMYFUNCTION("GOOGLETRANSLATE(D50,""zh-tw"",""ru"")"),"Красные цветы на земле у руин")</f>
        <v>Красные цветы на земле у руин</v>
      </c>
      <c r="AC50" s="138" t="s">
        <v>5397</v>
      </c>
      <c r="AD50" s="142" t="s">
        <v>5398</v>
      </c>
      <c r="AE50" s="142" t="s">
        <v>5386</v>
      </c>
      <c r="AF50" s="303" t="s">
        <v>5399</v>
      </c>
      <c r="AG50" s="138" t="s">
        <v>5400</v>
      </c>
      <c r="AH50" s="142" t="s">
        <v>5401</v>
      </c>
      <c r="AI50" s="142" t="s">
        <v>5386</v>
      </c>
      <c r="AJ50" s="303" t="s">
        <v>5402</v>
      </c>
      <c r="AK50" s="138" t="s">
        <v>5391</v>
      </c>
      <c r="AL50" s="142" t="s">
        <v>5403</v>
      </c>
      <c r="AM50" s="142" t="s">
        <v>5386</v>
      </c>
      <c r="AN50" s="303" t="s">
        <v>5404</v>
      </c>
    </row>
    <row r="51">
      <c r="A51" s="106" t="s">
        <v>5405</v>
      </c>
      <c r="B51" s="136" t="s">
        <v>5406</v>
      </c>
      <c r="C51" s="51" t="s">
        <v>5407</v>
      </c>
      <c r="D51" s="304" t="s">
        <v>813</v>
      </c>
      <c r="E51" s="106" t="s">
        <v>5408</v>
      </c>
      <c r="F51" s="51" t="s">
        <v>5409</v>
      </c>
      <c r="G51" s="51" t="s">
        <v>5407</v>
      </c>
      <c r="H51" s="304" t="str">
        <f>IFERROR(__xludf.DUMMYFUNCTION("GOOGLETRANSLATE(D51,""zh-tw"",""ja"")"),"-")</f>
        <v>-</v>
      </c>
      <c r="I51" s="106" t="s">
        <v>5410</v>
      </c>
      <c r="J51" s="136" t="s">
        <v>5411</v>
      </c>
      <c r="K51" s="142" t="s">
        <v>5407</v>
      </c>
      <c r="L51" s="303"/>
      <c r="M51" s="138" t="s">
        <v>5405</v>
      </c>
      <c r="N51" s="142" t="s">
        <v>5412</v>
      </c>
      <c r="O51" s="142" t="s">
        <v>5407</v>
      </c>
      <c r="P51" s="303" t="str">
        <f>IFERROR(__xludf.DUMMYFUNCTION("GOOGLETRANSLATE(D51,""zh-tw"",""zh"")"),"-")</f>
        <v>-</v>
      </c>
      <c r="Q51" s="138" t="str">
        <f>IFERROR(__xludf.DUMMYFUNCTION("GOOGLETRANSLATE(A51,""zh-tw"",""es-MX"")"),"Lápida/Losa de piedra")</f>
        <v>Lápida/Losa de piedra</v>
      </c>
      <c r="R51" s="142" t="str">
        <f>IFERROR(__xludf.DUMMYFUNCTION("GOOGLETRANSLATE(B51,""zh-tw"",""es-MX"")"),"Cola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1" s="142" t="s">
        <v>5407</v>
      </c>
      <c r="T51" s="303" t="str">
        <f>IFERROR(__xludf.DUMMYFUNCTION("GOOGLETRANSLATE(D51,""zh-tw"",""es-MX"")"),"-")</f>
        <v>-</v>
      </c>
      <c r="U51" s="138" t="str">
        <f>IFERROR(__xludf.DUMMYFUNCTION("GOOGLETRANSLATE(A51,""zh-tw"",""KO"")"),"묘비/석판")</f>
        <v>묘비/석판</v>
      </c>
      <c r="V51" s="51" t="str">
        <f>IFERROR(__xludf.DUMMYFUNCTION("GOOGLETRANSLATE(B51,""zh-tw"",""KO"")"),"실버 콜라
잭 밤
랜덤 타로 카드 (""절제"" 제외)
랜덤 룬
1000위안
화이트 품질 장비
블루 품질 장비")</f>
        <v>실버 콜라
잭 밤
랜덤 타로 카드 ("절제" 제외)
랜덤 룬
1000위안
화이트 품질 장비
블루 품질 장비</v>
      </c>
      <c r="W51" s="51" t="s">
        <v>5407</v>
      </c>
      <c r="X51" s="304" t="str">
        <f>IFERROR(__xludf.DUMMYFUNCTION("GOOGLETRANSLATE(D51,""zh-tw"",""KO"")"),"-")</f>
        <v>-</v>
      </c>
      <c r="Y51" s="106" t="str">
        <f>IFERROR(__xludf.DUMMYFUNCTION("GOOGLETRANSLATE(A51,""zh-tw"",""ru"")"),"Надгробный камень/каменная плита")</f>
        <v>Надгробный камень/каменная плита</v>
      </c>
      <c r="Z51" s="142" t="str">
        <f>IFERROR(__xludf.DUMMYFUNCTION("GOOGLETRANSLATE(B51,""zh-tw"",""ru"")"),"Серебряная кола
Джек Бомба
Случайные карты Таро (кроме «Умеренности»)
Случайные руны
1000 юаней
Белое снаряжение
Синее снаряжение")</f>
        <v>Серебряная кола
Джек Бомба
Случайные карты Таро (кроме «Умеренности»)
Случайные руны
1000 юаней
Белое снаряжение
Синее снаряжение</v>
      </c>
      <c r="AA51" s="51" t="s">
        <v>5407</v>
      </c>
      <c r="AB51" s="303" t="s">
        <v>813</v>
      </c>
      <c r="AC51" s="138" t="s">
        <v>5413</v>
      </c>
      <c r="AD51" s="142" t="s">
        <v>5414</v>
      </c>
      <c r="AE51" s="142" t="s">
        <v>5407</v>
      </c>
      <c r="AF51" s="303" t="s">
        <v>813</v>
      </c>
      <c r="AG51" s="138" t="s">
        <v>5415</v>
      </c>
      <c r="AH51" s="142" t="s">
        <v>5416</v>
      </c>
      <c r="AI51" s="142" t="s">
        <v>5407</v>
      </c>
      <c r="AJ51" s="303" t="s">
        <v>813</v>
      </c>
      <c r="AK51" s="138" t="s">
        <v>5417</v>
      </c>
      <c r="AL51" s="136" t="s">
        <v>5418</v>
      </c>
      <c r="AM51" s="142" t="s">
        <v>5407</v>
      </c>
      <c r="AN51" s="303" t="s">
        <v>813</v>
      </c>
    </row>
    <row r="52">
      <c r="A52" s="106" t="s">
        <v>5419</v>
      </c>
      <c r="B52" s="136" t="s">
        <v>5406</v>
      </c>
      <c r="C52" s="51" t="s">
        <v>5407</v>
      </c>
      <c r="D52" s="304" t="s">
        <v>813</v>
      </c>
      <c r="E52" s="106" t="s">
        <v>5420</v>
      </c>
      <c r="F52" s="51" t="s">
        <v>5409</v>
      </c>
      <c r="G52" s="51" t="s">
        <v>5407</v>
      </c>
      <c r="H52" s="304" t="str">
        <f>IFERROR(__xludf.DUMMYFUNCTION("GOOGLETRANSLATE(D52,""zh-tw"",""ja"")"),"-")</f>
        <v>-</v>
      </c>
      <c r="I52" s="106" t="s">
        <v>5421</v>
      </c>
      <c r="J52" s="136" t="s">
        <v>5411</v>
      </c>
      <c r="K52" s="142" t="s">
        <v>5407</v>
      </c>
      <c r="L52" s="303"/>
      <c r="M52" s="138" t="s">
        <v>5422</v>
      </c>
      <c r="N52" s="142" t="s">
        <v>5412</v>
      </c>
      <c r="O52" s="142" t="s">
        <v>5407</v>
      </c>
      <c r="P52" s="303" t="str">
        <f>IFERROR(__xludf.DUMMYFUNCTION("GOOGLETRANSLATE(D52,""zh-tw"",""zh"")"),"-")</f>
        <v>-</v>
      </c>
      <c r="Q52" s="138" t="str">
        <f>IFERROR(__xludf.DUMMYFUNCTION("GOOGLETRANSLATE(A52,""zh-tw"",""es-MX"")"),"botella de cerámica de las ruinas")</f>
        <v>botella de cerámica de las ruinas</v>
      </c>
      <c r="R52" s="142"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142" t="s">
        <v>5407</v>
      </c>
      <c r="T52" s="303" t="str">
        <f>IFERROR(__xludf.DUMMYFUNCTION("GOOGLETRANSLATE(D52,""zh-tw"",""es-MX"")"),"-")</f>
        <v>-</v>
      </c>
      <c r="U52" s="138" t="str">
        <f>IFERROR(__xludf.DUMMYFUNCTION("GOOGLETRANSLATE(A52,""zh-tw"",""KO"")"),"유적지에서 나온 도자기 병")</f>
        <v>유적지에서 나온 도자기 병</v>
      </c>
      <c r="V52" s="51" t="str">
        <f>IFERROR(__xludf.DUMMYFUNCTION("GOOGLETRANSLATE(B52,""zh-tw"",""KO"")"),"실버 콜라
잭 밤
랜덤 타로 카드 (""절제"" 제외)
랜덤 룬
1000위안
화이트 품질 장비
블루 품질 장비")</f>
        <v>실버 콜라
잭 밤
랜덤 타로 카드 ("절제" 제외)
랜덤 룬
1000위안
화이트 품질 장비
블루 품질 장비</v>
      </c>
      <c r="W52" s="51" t="s">
        <v>5407</v>
      </c>
      <c r="X52" s="304" t="str">
        <f>IFERROR(__xludf.DUMMYFUNCTION("GOOGLETRANSLATE(D52,""zh-tw"",""KO"")"),"-")</f>
        <v>-</v>
      </c>
      <c r="Y52" s="106" t="str">
        <f>IFERROR(__xludf.DUMMYFUNCTION("GOOGLETRANSLATE(A52,""zh-tw"",""ru"")"),"керамическая бутылка из руин")</f>
        <v>керамическая бутылка из руин</v>
      </c>
      <c r="Z52" s="51" t="str">
        <f>IFERROR(__xludf.DUMMYFUNCTION("GOOGLETRANSLATE(B52,""zh-tw"",""ru"")"),"Серебряная кола
Джек Бомба
Случайные карты Таро (кроме «Умеренности»)
Случайные руны
1000 юаней
Белое снаряжение
Синее снаряжение")</f>
        <v>Серебряная кола
Джек Бомба
Случайные карты Таро (кроме «Умеренности»)
Случайные руны
1000 юаней
Белое снаряжение
Синее снаряжение</v>
      </c>
      <c r="AA52" s="51" t="s">
        <v>5407</v>
      </c>
      <c r="AB52" s="303" t="s">
        <v>813</v>
      </c>
      <c r="AC52" s="138" t="s">
        <v>5423</v>
      </c>
      <c r="AD52" s="142" t="s">
        <v>5414</v>
      </c>
      <c r="AE52" s="142" t="s">
        <v>5407</v>
      </c>
      <c r="AF52" s="303" t="s">
        <v>813</v>
      </c>
      <c r="AG52" s="138" t="s">
        <v>5424</v>
      </c>
      <c r="AH52" s="142" t="s">
        <v>5416</v>
      </c>
      <c r="AI52" s="142" t="s">
        <v>5407</v>
      </c>
      <c r="AJ52" s="303" t="s">
        <v>813</v>
      </c>
      <c r="AK52" s="138" t="s">
        <v>5421</v>
      </c>
      <c r="AL52" s="136" t="s">
        <v>5418</v>
      </c>
      <c r="AM52" s="142" t="s">
        <v>5407</v>
      </c>
      <c r="AN52" s="303" t="s">
        <v>813</v>
      </c>
    </row>
    <row r="53">
      <c r="A53" s="138" t="s">
        <v>5425</v>
      </c>
      <c r="B53" s="136" t="s">
        <v>5406</v>
      </c>
      <c r="C53" s="142" t="s">
        <v>5407</v>
      </c>
      <c r="D53" s="303" t="s">
        <v>813</v>
      </c>
      <c r="E53" s="138" t="s">
        <v>5425</v>
      </c>
      <c r="F53" s="142" t="s">
        <v>5409</v>
      </c>
      <c r="G53" s="142" t="s">
        <v>5407</v>
      </c>
      <c r="H53" s="303" t="str">
        <f>IFERROR(__xludf.DUMMYFUNCTION("GOOGLETRANSLATE(D53,""zh-tw"",""ja"")"),"-")</f>
        <v>-</v>
      </c>
      <c r="I53" s="138" t="s">
        <v>5426</v>
      </c>
      <c r="J53" s="136" t="s">
        <v>5411</v>
      </c>
      <c r="K53" s="142" t="s">
        <v>5407</v>
      </c>
      <c r="L53" s="303"/>
      <c r="M53" s="138" t="s">
        <v>5425</v>
      </c>
      <c r="N53" s="142" t="s">
        <v>5412</v>
      </c>
      <c r="O53" s="142" t="s">
        <v>5407</v>
      </c>
      <c r="P53" s="303" t="str">
        <f>IFERROR(__xludf.DUMMYFUNCTION("GOOGLETRANSLATE(D53,""zh-tw"",""zh"")"),"-")</f>
        <v>-</v>
      </c>
      <c r="Q53" s="138" t="str">
        <f>IFERROR(__xludf.DUMMYFUNCTION("GOOGLETRANSLATE(A53,""zh-tw"",""es-MX"")"),"barril de madera")</f>
        <v>barril de madera</v>
      </c>
      <c r="R53" s="142" t="str">
        <f>IFERROR(__xludf.DUMMYFUNCTION("GOOGLETRANSLATE(B53,""zh-tw"",""es-MX"")"),"Cola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3" s="142" t="s">
        <v>5407</v>
      </c>
      <c r="T53" s="303" t="str">
        <f>IFERROR(__xludf.DUMMYFUNCTION("GOOGLETRANSLATE(D53,""zh-tw"",""es-MX"")"),"-")</f>
        <v>-</v>
      </c>
      <c r="U53" s="138" t="str">
        <f>IFERROR(__xludf.DUMMYFUNCTION("GOOGLETRANSLATE(A53,""zh-tw"",""KO"")"),"나무통")</f>
        <v>나무통</v>
      </c>
      <c r="V53" s="142" t="str">
        <f>IFERROR(__xludf.DUMMYFUNCTION("GOOGLETRANSLATE(B53,""zh-tw"",""KO"")"),"실버 콜라
잭 밤
랜덤 타로 카드 (""절제"" 제외)
랜덤 룬
1000위안
화이트 품질 장비
블루 품질 장비")</f>
        <v>실버 콜라
잭 밤
랜덤 타로 카드 ("절제" 제외)
랜덤 룬
1000위안
화이트 품질 장비
블루 품질 장비</v>
      </c>
      <c r="W53" s="142" t="s">
        <v>5407</v>
      </c>
      <c r="X53" s="303" t="str">
        <f>IFERROR(__xludf.DUMMYFUNCTION("GOOGLETRANSLATE(D53,""zh-tw"",""KO"")"),"-")</f>
        <v>-</v>
      </c>
      <c r="Y53" s="106" t="str">
        <f>IFERROR(__xludf.DUMMYFUNCTION("GOOGLETRANSLATE(A53,""zh-tw"",""ru"")"),"деревянная бочка")</f>
        <v>деревянная бочка</v>
      </c>
      <c r="Z53" s="51" t="str">
        <f>IFERROR(__xludf.DUMMYFUNCTION("GOOGLETRANSLATE(B53,""zh-tw"",""ru"")"),"Серебряная кола
Джек Бомба
Случайные карты Таро (кроме «Умеренности»)
Случайные руны
1000 юаней
Белое снаряжение
Синее снаряжение")</f>
        <v>Серебряная кола
Джек Бомба
Случайные карты Таро (кроме «Умеренности»)
Случайные руны
1000 юаней
Белое снаряжение
Синее снаряжение</v>
      </c>
      <c r="AA53" s="51" t="s">
        <v>5407</v>
      </c>
      <c r="AB53" s="303" t="s">
        <v>813</v>
      </c>
      <c r="AC53" s="138" t="s">
        <v>5427</v>
      </c>
      <c r="AD53" s="142" t="s">
        <v>5414</v>
      </c>
      <c r="AE53" s="142" t="s">
        <v>5407</v>
      </c>
      <c r="AF53" s="303" t="s">
        <v>813</v>
      </c>
      <c r="AG53" s="138" t="s">
        <v>5428</v>
      </c>
      <c r="AH53" s="142" t="s">
        <v>5416</v>
      </c>
      <c r="AI53" s="142" t="s">
        <v>5407</v>
      </c>
      <c r="AJ53" s="303" t="s">
        <v>813</v>
      </c>
      <c r="AK53" s="138" t="s">
        <v>5429</v>
      </c>
      <c r="AL53" s="136" t="s">
        <v>5418</v>
      </c>
      <c r="AM53" s="142" t="s">
        <v>5407</v>
      </c>
      <c r="AN53" s="303" t="s">
        <v>813</v>
      </c>
    </row>
    <row r="54">
      <c r="A54" s="138" t="s">
        <v>5430</v>
      </c>
      <c r="B54" s="136" t="s">
        <v>5406</v>
      </c>
      <c r="C54" s="142" t="s">
        <v>5407</v>
      </c>
      <c r="D54" s="303" t="s">
        <v>813</v>
      </c>
      <c r="E54" s="138" t="s">
        <v>5431</v>
      </c>
      <c r="F54" s="142" t="s">
        <v>5409</v>
      </c>
      <c r="G54" s="142" t="s">
        <v>5407</v>
      </c>
      <c r="H54" s="303" t="str">
        <f>IFERROR(__xludf.DUMMYFUNCTION("GOOGLETRANSLATE(D54,""zh-tw"",""ja"")"),"-")</f>
        <v>-</v>
      </c>
      <c r="I54" s="138" t="s">
        <v>5432</v>
      </c>
      <c r="J54" s="136" t="s">
        <v>5411</v>
      </c>
      <c r="K54" s="142" t="s">
        <v>5407</v>
      </c>
      <c r="L54" s="303"/>
      <c r="M54" s="138" t="s">
        <v>5430</v>
      </c>
      <c r="N54" s="142" t="s">
        <v>5412</v>
      </c>
      <c r="O54" s="142" t="s">
        <v>5407</v>
      </c>
      <c r="P54" s="303" t="str">
        <f>IFERROR(__xludf.DUMMYFUNCTION("GOOGLETRANSLATE(D54,""zh-tw"",""zh"")"),"-")</f>
        <v>-</v>
      </c>
      <c r="Q54" s="138" t="str">
        <f>IFERROR(__xludf.DUMMYFUNCTION("GOOGLETRANSLATE(A54,""zh-tw"",""es-MX"")"),"Huevo roto")</f>
        <v>Huevo roto</v>
      </c>
      <c r="R54" s="142" t="str">
        <f>IFERROR(__xludf.DUMMYFUNCTION("GOOGLETRANSLATE(B54,""zh-tw"",""es-MX"")"),"Cola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4" s="142" t="s">
        <v>5407</v>
      </c>
      <c r="T54" s="303" t="str">
        <f>IFERROR(__xludf.DUMMYFUNCTION("GOOGLETRANSLATE(D54,""zh-tw"",""es-MX"")"),"-")</f>
        <v>-</v>
      </c>
      <c r="U54" s="138" t="str">
        <f>IFERROR(__xludf.DUMMYFUNCTION("GOOGLETRANSLATE(A54,""zh-tw"",""KO"")"),"깨진 달걀")</f>
        <v>깨진 달걀</v>
      </c>
      <c r="V54" s="142" t="str">
        <f>IFERROR(__xludf.DUMMYFUNCTION("GOOGLETRANSLATE(B54,""zh-tw"",""KO"")"),"실버 콜라
잭 밤
랜덤 타로 카드 (""절제"" 제외)
랜덤 룬
1000위안
화이트 품질 장비
블루 품질 장비")</f>
        <v>실버 콜라
잭 밤
랜덤 타로 카드 ("절제" 제외)
랜덤 룬
1000위안
화이트 품질 장비
블루 품질 장비</v>
      </c>
      <c r="W54" s="142" t="s">
        <v>5407</v>
      </c>
      <c r="X54" s="303" t="str">
        <f>IFERROR(__xludf.DUMMYFUNCTION("GOOGLETRANSLATE(D54,""zh-tw"",""KO"")"),"-")</f>
        <v>-</v>
      </c>
      <c r="Y54" s="106" t="str">
        <f>IFERROR(__xludf.DUMMYFUNCTION("GOOGLETRANSLATE(A54,""zh-tw"",""ru"")"),"Разбитое яйцо")</f>
        <v>Разбитое яйцо</v>
      </c>
      <c r="Z54" s="51" t="str">
        <f>IFERROR(__xludf.DUMMYFUNCTION("GOOGLETRANSLATE(B54,""zh-tw"",""ru"")"),"Серебряная кола
Джек Бомба
Случайные карты Таро (кроме «Умеренности»)
Случайные руны
1000 юаней
Белое снаряжение
Синее снаряжение")</f>
        <v>Серебряная кола
Джек Бомба
Случайные карты Таро (кроме «Умеренности»)
Случайные руны
1000 юаней
Белое снаряжение
Синее снаряжение</v>
      </c>
      <c r="AA54" s="51" t="s">
        <v>5407</v>
      </c>
      <c r="AB54" s="303" t="s">
        <v>813</v>
      </c>
      <c r="AC54" s="138" t="s">
        <v>5433</v>
      </c>
      <c r="AD54" s="142" t="s">
        <v>5414</v>
      </c>
      <c r="AE54" s="142" t="s">
        <v>5407</v>
      </c>
      <c r="AF54" s="303" t="s">
        <v>813</v>
      </c>
      <c r="AG54" s="138" t="s">
        <v>5434</v>
      </c>
      <c r="AH54" s="142" t="s">
        <v>5416</v>
      </c>
      <c r="AI54" s="142" t="s">
        <v>5407</v>
      </c>
      <c r="AJ54" s="303" t="s">
        <v>813</v>
      </c>
      <c r="AK54" s="138" t="s">
        <v>5435</v>
      </c>
      <c r="AL54" s="136" t="s">
        <v>5418</v>
      </c>
      <c r="AM54" s="142" t="s">
        <v>5407</v>
      </c>
      <c r="AN54" s="303" t="s">
        <v>813</v>
      </c>
    </row>
    <row r="55">
      <c r="A55" s="138" t="s">
        <v>5436</v>
      </c>
      <c r="B55" s="142" t="s">
        <v>5437</v>
      </c>
      <c r="C55" s="142" t="s">
        <v>5438</v>
      </c>
      <c r="D55" s="303" t="s">
        <v>813</v>
      </c>
      <c r="E55" s="138" t="str">
        <f>IFERROR(__xludf.DUMMYFUNCTION("GOOGLETRANSLATE(A55,""zh-tw"",""ja"")"),"鉱石")</f>
        <v>鉱石</v>
      </c>
      <c r="F55" s="142" t="s">
        <v>5439</v>
      </c>
      <c r="G55" s="142" t="s">
        <v>5438</v>
      </c>
      <c r="H55" s="303" t="str">
        <f>IFERROR(__xludf.DUMMYFUNCTION("GOOGLETRANSLATE(D55,""zh-tw"",""ja"")"),"-")</f>
        <v>-</v>
      </c>
      <c r="I55" s="138" t="s">
        <v>5440</v>
      </c>
      <c r="J55" s="142" t="s">
        <v>5441</v>
      </c>
      <c r="K55" s="142" t="s">
        <v>5438</v>
      </c>
      <c r="L55" s="303" t="str">
        <f>IFERROR(__xludf.DUMMYFUNCTION("GOOGLETRANSLATE(D55,""zh-tw"",""en"")"),"-")</f>
        <v>-</v>
      </c>
      <c r="M55" s="138" t="str">
        <f>IFERROR(__xludf.DUMMYFUNCTION("GOOGLETRANSLATE(A55,""zh-tw"",""zh"")"),"矿石")</f>
        <v>矿石</v>
      </c>
      <c r="N55" s="142" t="str">
        <f>IFERROR(__xludf.DUMMYFUNCTION("GOOGLETRANSLATE(B55,""zh-tw"",""zh"")"),"蓝辉石
火菱石
魔力小凝胶
随机​​符文
魔力晶簇
深邃魔力晶簇")</f>
        <v>蓝辉石
火菱石
魔力小凝胶
随机​​符文
魔力晶簇
深邃魔力晶簇</v>
      </c>
      <c r="O55" s="142" t="s">
        <v>5438</v>
      </c>
      <c r="P55" s="303" t="str">
        <f>IFERROR(__xludf.DUMMYFUNCTION("GOOGLETRANSLATE(D55,""zh-tw"",""zh"")"),"-")</f>
        <v>-</v>
      </c>
      <c r="Q55" s="138" t="str">
        <f>IFERROR(__xludf.DUMMYFUNCTION("GOOGLETRANSLATE(A55,""zh-tw"",""es-MX"")"),"mineral")</f>
        <v>mineral</v>
      </c>
      <c r="R55" s="142"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142" t="s">
        <v>5438</v>
      </c>
      <c r="T55" s="303" t="str">
        <f>IFERROR(__xludf.DUMMYFUNCTION("GOOGLETRANSLATE(D55,""zh-tw"",""es-MX"")"),"-")</f>
        <v>-</v>
      </c>
      <c r="U55" s="138" t="str">
        <f>IFERROR(__xludf.DUMMYFUNCTION("GOOGLETRANSLATE(A55,""zh-tw"",""KO"")"),"광석")</f>
        <v>광석</v>
      </c>
      <c r="V55" s="142" t="str">
        <f>IFERROR(__xludf.DUMMYFUNCTION("GOOGLETRANSLATE(B55,""zh-tw"",""KO"")"),"블루 사파이어
파이어스톤
마법 젤
무작위 룬
마법 수정 클러스터
심층 마법 수정 클러스터")</f>
        <v>블루 사파이어
파이어스톤
마법 젤
무작위 룬
마법 수정 클러스터
심층 마법 수정 클러스터</v>
      </c>
      <c r="W55" s="142" t="s">
        <v>5438</v>
      </c>
      <c r="X55" s="303" t="str">
        <f>IFERROR(__xludf.DUMMYFUNCTION("GOOGLETRANSLATE(D55,""zh-tw"",""KO"")"),"-")</f>
        <v>-</v>
      </c>
      <c r="Y55" s="106" t="str">
        <f>IFERROR(__xludf.DUMMYFUNCTION("GOOGLETRANSLATE(A55,""zh-tw"",""ru"")"),"руда")</f>
        <v>руда</v>
      </c>
      <c r="Z55" s="51" t="str">
        <f>IFERROR(__xludf.DUMMYFUNCTION("GOOGLETRANSLATE(B55,""zh-tw"",""ru"")"),"Синий сапфир
Огненный камень
Магический гель
Случайная руна
Скопление магических кристаллов
Скопление глубинных магических кристаллов")</f>
        <v>Синий сапфир
Огненный камень
Магический гель
Случайная руна
Скопление магических кристаллов
Скопление глубинных магических кристаллов</v>
      </c>
      <c r="AA55" s="51" t="s">
        <v>5438</v>
      </c>
      <c r="AB55" s="303" t="str">
        <f>IFERROR(__xludf.DUMMYFUNCTION("GOOGLETRANSLATE(D55,""zh-tw"",""ru"")"),"-")</f>
        <v>-</v>
      </c>
      <c r="AC55" s="138" t="s">
        <v>5442</v>
      </c>
      <c r="AD55" s="142" t="s">
        <v>5443</v>
      </c>
      <c r="AE55" s="142" t="s">
        <v>5438</v>
      </c>
      <c r="AF55" s="303" t="s">
        <v>5444</v>
      </c>
      <c r="AG55" s="138" t="s">
        <v>5445</v>
      </c>
      <c r="AH55" s="142" t="s">
        <v>5446</v>
      </c>
      <c r="AI55" s="142" t="s">
        <v>5438</v>
      </c>
      <c r="AJ55" s="303" t="s">
        <v>813</v>
      </c>
      <c r="AK55" s="138" t="s">
        <v>5447</v>
      </c>
      <c r="AL55" s="142" t="s">
        <v>5448</v>
      </c>
      <c r="AM55" s="142" t="s">
        <v>5438</v>
      </c>
      <c r="AN55" s="303" t="s">
        <v>813</v>
      </c>
    </row>
    <row r="56">
      <c r="A56" s="138" t="s">
        <v>5449</v>
      </c>
      <c r="B56" s="142" t="s">
        <v>5450</v>
      </c>
      <c r="C56" s="142" t="s">
        <v>5451</v>
      </c>
      <c r="D56" s="303" t="s">
        <v>813</v>
      </c>
      <c r="E56" s="138" t="str">
        <f>IFERROR(__xludf.DUMMYFUNCTION("GOOGLETRANSLATE(A56,""zh-tw"",""ja"")"),"果樹")</f>
        <v>果樹</v>
      </c>
      <c r="F56" s="142" t="s">
        <v>5452</v>
      </c>
      <c r="G56" s="142" t="s">
        <v>5451</v>
      </c>
      <c r="H56" s="303" t="str">
        <f>IFERROR(__xludf.DUMMYFUNCTION("GOOGLETRANSLATE(D56,""zh-tw"",""ja"")"),"-")</f>
        <v>-</v>
      </c>
      <c r="I56" s="138" t="s">
        <v>5453</v>
      </c>
      <c r="J56" s="142" t="s">
        <v>5454</v>
      </c>
      <c r="K56" s="142" t="s">
        <v>5451</v>
      </c>
      <c r="L56" s="303" t="str">
        <f>IFERROR(__xludf.DUMMYFUNCTION("GOOGLETRANSLATE(D56,""zh-tw"",""en"")"),"-")</f>
        <v>-</v>
      </c>
      <c r="M56" s="138" t="str">
        <f>IFERROR(__xludf.DUMMYFUNCTION("GOOGLETRANSLATE(A56,""zh-tw"",""zh"")"),"果树")</f>
        <v>果树</v>
      </c>
      <c r="N56" s="142" t="str">
        <f>IFERROR(__xludf.DUMMYFUNCTION("GOOGLETRANSLATE(B56,""zh-tw"",""zh"")"),"芳草心
硬木棒
硬木剑
大木槌
寄生刃
柳叶长剑
古树残骸")</f>
        <v>芳草心
硬木棒
硬木剑
大木槌
寄生刃
柳叶长剑
古树残骸</v>
      </c>
      <c r="O56" s="142" t="s">
        <v>5451</v>
      </c>
      <c r="P56" s="303" t="str">
        <f>IFERROR(__xludf.DUMMYFUNCTION("GOOGLETRANSLATE(D56,""zh-tw"",""zh"")"),"-")</f>
        <v>-</v>
      </c>
      <c r="Q56" s="138" t="str">
        <f>IFERROR(__xludf.DUMMYFUNCTION("GOOGLETRANSLATE(A56,""zh-tw"",""es-MX"")"),"árboles frutales")</f>
        <v>árboles frutales</v>
      </c>
      <c r="R56" s="142"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142" t="s">
        <v>5451</v>
      </c>
      <c r="T56" s="303" t="str">
        <f>IFERROR(__xludf.DUMMYFUNCTION("GOOGLETRANSLATE(D56,""zh-tw"",""es-MX"")"),"-")</f>
        <v>-</v>
      </c>
      <c r="U56" s="138" t="str">
        <f>IFERROR(__xludf.DUMMYFUNCTION("GOOGLETRANSLATE(A56,""zh-tw"",""KO"")"),"과일나무")</f>
        <v>과일나무</v>
      </c>
      <c r="V56" s="142" t="str">
        <f>IFERROR(__xludf.DUMMYFUNCTION("GOOGLETRANSLATE(B56,""zh-tw"",""KO"")"),"향기로운 풀 심장
단단한 나무 막대기
단단한 나무 검
큰 나무 망치
기생 칼날
버드나무 잎 장검
고대 나무 유적")</f>
        <v>향기로운 풀 심장
단단한 나무 막대기
단단한 나무 검
큰 나무 망치
기생 칼날
버드나무 잎 장검
고대 나무 유적</v>
      </c>
      <c r="W56" s="142" t="s">
        <v>5451</v>
      </c>
      <c r="X56" s="303" t="str">
        <f>IFERROR(__xludf.DUMMYFUNCTION("GOOGLETRANSLATE(D56,""zh-tw"",""KO"")"),"-")</f>
        <v>-</v>
      </c>
      <c r="Y56" s="106" t="str">
        <f>IFERROR(__xludf.DUMMYFUNCTION("GOOGLETRANSLATE(A56,""zh-tw"",""ru"")"),"фруктовые деревья")</f>
        <v>фруктовые деревья</v>
      </c>
      <c r="Z56" s="51" t="str">
        <f>IFERROR(__xludf.DUMMYFUNCTION("GOOGLETRANSLATE(B56,""zh-tw"",""ru"")"),"Сердце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6" s="51" t="s">
        <v>5451</v>
      </c>
      <c r="AB56" s="303" t="str">
        <f>IFERROR(__xludf.DUMMYFUNCTION("GOOGLETRANSLATE(D56,""zh-tw"",""ru"")"),"-")</f>
        <v>-</v>
      </c>
      <c r="AC56" s="138" t="s">
        <v>5455</v>
      </c>
      <c r="AD56" s="142" t="s">
        <v>5456</v>
      </c>
      <c r="AE56" s="142" t="s">
        <v>5451</v>
      </c>
      <c r="AF56" s="303" t="s">
        <v>5457</v>
      </c>
      <c r="AG56" s="138" t="s">
        <v>5458</v>
      </c>
      <c r="AH56" s="142" t="s">
        <v>5459</v>
      </c>
      <c r="AI56" s="142" t="s">
        <v>5451</v>
      </c>
      <c r="AJ56" s="303" t="s">
        <v>813</v>
      </c>
      <c r="AK56" s="138" t="s">
        <v>5460</v>
      </c>
      <c r="AL56" s="142" t="s">
        <v>5461</v>
      </c>
      <c r="AM56" s="142" t="s">
        <v>5451</v>
      </c>
      <c r="AN56" s="303" t="s">
        <v>813</v>
      </c>
    </row>
    <row r="57">
      <c r="A57" s="138" t="s">
        <v>5462</v>
      </c>
      <c r="B57" s="142" t="s">
        <v>5462</v>
      </c>
      <c r="C57" s="142">
        <v>100.0</v>
      </c>
      <c r="D57" s="303" t="s">
        <v>813</v>
      </c>
      <c r="E57" s="138" t="s">
        <v>5463</v>
      </c>
      <c r="F57" s="142" t="s">
        <v>5463</v>
      </c>
      <c r="G57" s="142">
        <v>100.0</v>
      </c>
      <c r="H57" s="303" t="str">
        <f>IFERROR(__xludf.DUMMYFUNCTION("GOOGLETRANSLATE(D57,""zh-tw"",""ja"")"),"-")</f>
        <v>-</v>
      </c>
      <c r="I57" s="138" t="s">
        <v>5464</v>
      </c>
      <c r="J57" s="142" t="s">
        <v>5464</v>
      </c>
      <c r="K57" s="142">
        <v>100.0</v>
      </c>
      <c r="L57" s="303"/>
      <c r="M57" s="138" t="str">
        <f>IFERROR(__xludf.DUMMYFUNCTION("GOOGLETRANSLATE(A57,""zh-tw"",""zh"")"),"苹果")</f>
        <v>苹果</v>
      </c>
      <c r="N57" s="142" t="str">
        <f>IFERROR(__xludf.DUMMYFUNCTION("GOOGLETRANSLATE(B57,""zh-tw"",""zh"")"),"苹果")</f>
        <v>苹果</v>
      </c>
      <c r="O57" s="142">
        <v>100.0</v>
      </c>
      <c r="P57" s="303" t="str">
        <f>IFERROR(__xludf.DUMMYFUNCTION("GOOGLETRANSLATE(D57,""zh-tw"",""zh"")"),"-")</f>
        <v>-</v>
      </c>
      <c r="Q57" s="138" t="str">
        <f>IFERROR(__xludf.DUMMYFUNCTION("GOOGLETRANSLATE(A57,""zh-tw"",""es-MX"")"),"manzana")</f>
        <v>manzana</v>
      </c>
      <c r="R57" s="142" t="str">
        <f>IFERROR(__xludf.DUMMYFUNCTION("GOOGLETRANSLATE(B57,""zh-tw"",""es-MX"")"),"manzana")</f>
        <v>manzana</v>
      </c>
      <c r="S57" s="142">
        <v>100.0</v>
      </c>
      <c r="T57" s="303" t="str">
        <f>IFERROR(__xludf.DUMMYFUNCTION("GOOGLETRANSLATE(D57,""zh-tw"",""es-MX"")"),"-")</f>
        <v>-</v>
      </c>
      <c r="U57" s="138" t="str">
        <f>IFERROR(__xludf.DUMMYFUNCTION("GOOGLETRANSLATE(A57,""zh-tw"",""KO"")"),"사과")</f>
        <v>사과</v>
      </c>
      <c r="V57" s="142" t="str">
        <f>IFERROR(__xludf.DUMMYFUNCTION("GOOGLETRANSLATE(B57,""zh-tw"",""KO"")"),"사과")</f>
        <v>사과</v>
      </c>
      <c r="W57" s="142">
        <v>100.0</v>
      </c>
      <c r="X57" s="303" t="str">
        <f>IFERROR(__xludf.DUMMYFUNCTION("GOOGLETRANSLATE(D57,""zh-tw"",""KO"")"),"-")</f>
        <v>-</v>
      </c>
      <c r="Y57" s="106" t="str">
        <f>IFERROR(__xludf.DUMMYFUNCTION("GOOGLETRANSLATE(A57,""zh-tw"",""ru"")"),"яблоко")</f>
        <v>яблоко</v>
      </c>
      <c r="Z57" s="51" t="str">
        <f>IFERROR(__xludf.DUMMYFUNCTION("GOOGLETRANSLATE(B57,""zh-tw"",""ru"")"),"яблоко")</f>
        <v>яблоко</v>
      </c>
      <c r="AA57" s="51">
        <v>100.0</v>
      </c>
      <c r="AB57" s="303" t="s">
        <v>813</v>
      </c>
      <c r="AC57" s="138" t="s">
        <v>5465</v>
      </c>
      <c r="AD57" s="142" t="s">
        <v>5465</v>
      </c>
      <c r="AE57" s="142">
        <v>100.0</v>
      </c>
      <c r="AF57" s="303" t="s">
        <v>813</v>
      </c>
      <c r="AG57" s="138" t="s">
        <v>5466</v>
      </c>
      <c r="AH57" s="142" t="s">
        <v>5466</v>
      </c>
      <c r="AI57" s="142">
        <v>100.0</v>
      </c>
      <c r="AJ57" s="303" t="s">
        <v>813</v>
      </c>
      <c r="AK57" s="138" t="s">
        <v>5467</v>
      </c>
      <c r="AL57" s="142" t="s">
        <v>5467</v>
      </c>
      <c r="AM57" s="142">
        <v>100.0</v>
      </c>
      <c r="AN57" s="303" t="s">
        <v>813</v>
      </c>
    </row>
    <row r="58">
      <c r="A58" s="138" t="s">
        <v>5468</v>
      </c>
      <c r="B58" s="142" t="s">
        <v>5469</v>
      </c>
      <c r="C58" s="142" t="s">
        <v>5470</v>
      </c>
      <c r="D58" s="303" t="s">
        <v>5471</v>
      </c>
      <c r="E58" s="138" t="str">
        <f>IFERROR(__xludf.DUMMYFUNCTION("GOOGLETRANSLATE(A58,""zh-tw"",""ja"")"),"イチゴの苗")</f>
        <v>イチゴの苗</v>
      </c>
      <c r="F58" s="142" t="str">
        <f>IFERROR(__xludf.DUMMYFUNCTION("GOOGLETRANSLATE(B58,""zh-tw"",""ja"")"),"いちご")</f>
        <v>いちご</v>
      </c>
      <c r="G58" s="142" t="s">
        <v>5470</v>
      </c>
      <c r="H58" s="303"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38" t="s">
        <v>5472</v>
      </c>
      <c r="J58" s="142" t="s">
        <v>5473</v>
      </c>
      <c r="K58" s="142" t="s">
        <v>5470</v>
      </c>
      <c r="L58" s="303" t="str">
        <f>IFERROR(__xludf.DUMMYFUNCTION("GOOGLETRANSLATE(D58,""zh-tw"",""en"")"),"There is a 40% chance of dropping 2 items, and an 8% chance of dropping 3 items.")</f>
        <v>There is a 40% chance of dropping 2 items, and an 8% chance of dropping 3 items.</v>
      </c>
      <c r="M58" s="138" t="str">
        <f>IFERROR(__xludf.DUMMYFUNCTION("GOOGLETRANSLATE(A58,""zh-tw"",""zh"")"),"草莓苗")</f>
        <v>草莓苗</v>
      </c>
      <c r="N58" s="142" t="str">
        <f>IFERROR(__xludf.DUMMYFUNCTION("GOOGLETRANSLATE(B58,""zh-tw"",""zh"")"),"草莓")</f>
        <v>草莓</v>
      </c>
      <c r="O58" s="142" t="s">
        <v>5470</v>
      </c>
      <c r="P58" s="303" t="str">
        <f>IFERROR(__xludf.DUMMYFUNCTION("GOOGLETRANSLATE(D58,""zh-tw"",""zh"")"),"有40%机率掉落2个，8%机率掉落3个")</f>
        <v>有40%机率掉落2个，8%机率掉落3个</v>
      </c>
      <c r="Q58" s="138" t="str">
        <f>IFERROR(__xludf.DUMMYFUNCTION("GOOGLETRANSLATE(A58,""zh-tw"",""es-MX"")"),"plántulas de fresa")</f>
        <v>plántulas de fresa</v>
      </c>
      <c r="R58" s="142" t="str">
        <f>IFERROR(__xludf.DUMMYFUNCTION("GOOGLETRANSLATE(B58,""zh-tw"",""es-MX"")"),"fresa")</f>
        <v>fresa</v>
      </c>
      <c r="S58" s="142" t="s">
        <v>5470</v>
      </c>
      <c r="T58" s="303"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38" t="s">
        <v>5474</v>
      </c>
      <c r="V58" s="142" t="str">
        <f>IFERROR(__xludf.DUMMYFUNCTION("GOOGLETRANSLATE(B58,""zh-tw"",""KO"")"),"딸기")</f>
        <v>딸기</v>
      </c>
      <c r="W58" s="142" t="s">
        <v>5470</v>
      </c>
      <c r="X58" s="303" t="str">
        <f>IFERROR(__xludf.DUMMYFUNCTION("GOOGLETRANSLATE(D58,""zh-tw"",""KO"")"),"아이템 2개를 떨어뜨릴 확률은 40%이고, 아이템 3개를 떨어뜨릴 확률은 8%입니다.")</f>
        <v>아이템 2개를 떨어뜨릴 확률은 40%이고, 아이템 3개를 떨어뜨릴 확률은 8%입니다.</v>
      </c>
      <c r="Y58" s="106" t="str">
        <f>IFERROR(__xludf.DUMMYFUNCTION("GOOGLETRANSLATE(A58,""zh-tw"",""ru"")"),"рассада клубники")</f>
        <v>рассада клубники</v>
      </c>
      <c r="Z58" s="51" t="str">
        <f>IFERROR(__xludf.DUMMYFUNCTION("GOOGLETRANSLATE(B58,""zh-tw"",""ru"")"),"клубника")</f>
        <v>клубника</v>
      </c>
      <c r="AA58" s="51" t="s">
        <v>5470</v>
      </c>
      <c r="AB58" s="303"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38" t="s">
        <v>5475</v>
      </c>
      <c r="AD58" s="142" t="s">
        <v>5476</v>
      </c>
      <c r="AE58" s="142" t="s">
        <v>5470</v>
      </c>
      <c r="AF58" s="303" t="s">
        <v>5477</v>
      </c>
      <c r="AG58" s="138" t="s">
        <v>5478</v>
      </c>
      <c r="AH58" s="142" t="s">
        <v>5479</v>
      </c>
      <c r="AI58" s="142" t="s">
        <v>5470</v>
      </c>
      <c r="AJ58" s="303" t="s">
        <v>5480</v>
      </c>
      <c r="AK58" s="138" t="s">
        <v>5481</v>
      </c>
      <c r="AL58" s="142" t="s">
        <v>5482</v>
      </c>
      <c r="AM58" s="142" t="s">
        <v>5470</v>
      </c>
      <c r="AN58" s="303" t="s">
        <v>5483</v>
      </c>
    </row>
    <row r="59">
      <c r="A59" s="138" t="s">
        <v>5484</v>
      </c>
      <c r="B59" s="142" t="s">
        <v>5485</v>
      </c>
      <c r="C59" s="142" t="s">
        <v>5470</v>
      </c>
      <c r="D59" s="303" t="s">
        <v>5471</v>
      </c>
      <c r="E59" s="138" t="str">
        <f>IFERROR(__xludf.DUMMYFUNCTION("GOOGLETRANSLATE(A59,""zh-tw"",""ja"")"),"ジャガイモの芽")</f>
        <v>ジャガイモの芽</v>
      </c>
      <c r="F59" s="142" t="str">
        <f>IFERROR(__xludf.DUMMYFUNCTION("GOOGLETRANSLATE(B59,""zh-tw"",""ja"")"),"じゃがいも")</f>
        <v>じゃがいも</v>
      </c>
      <c r="G59" s="142" t="s">
        <v>5470</v>
      </c>
      <c r="H59" s="303"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38" t="s">
        <v>5486</v>
      </c>
      <c r="J59" s="142" t="s">
        <v>5487</v>
      </c>
      <c r="K59" s="142" t="s">
        <v>5470</v>
      </c>
      <c r="L59" s="303" t="str">
        <f>IFERROR(__xludf.DUMMYFUNCTION("GOOGLETRANSLATE(D59,""zh-tw"",""en"")"),"There is a 40% chance of dropping 2 items, and an 8% chance of dropping 3 items.")</f>
        <v>There is a 40% chance of dropping 2 items, and an 8% chance of dropping 3 items.</v>
      </c>
      <c r="M59" s="138" t="str">
        <f>IFERROR(__xludf.DUMMYFUNCTION("GOOGLETRANSLATE(A59,""zh-tw"",""zh"")"),"土豆苗")</f>
        <v>土豆苗</v>
      </c>
      <c r="N59" s="142" t="str">
        <f>IFERROR(__xludf.DUMMYFUNCTION("GOOGLETRANSLATE(B59,""zh-tw"",""zh"")"),"土豆")</f>
        <v>土豆</v>
      </c>
      <c r="O59" s="142" t="s">
        <v>5470</v>
      </c>
      <c r="P59" s="303" t="str">
        <f>IFERROR(__xludf.DUMMYFUNCTION("GOOGLETRANSLATE(D59,""zh-tw"",""zh"")"),"有40%机率掉落2个，8%机率掉落3个")</f>
        <v>有40%机率掉落2个，8%机率掉落3个</v>
      </c>
      <c r="Q59" s="138" t="str">
        <f>IFERROR(__xludf.DUMMYFUNCTION("GOOGLETRANSLATE(A59,""zh-tw"",""es-MX"")"),"brotes de patata")</f>
        <v>brotes de patata</v>
      </c>
      <c r="R59" s="142" t="str">
        <f>IFERROR(__xludf.DUMMYFUNCTION("GOOGLETRANSLATE(B59,""zh-tw"",""es-MX"")"),"Papa")</f>
        <v>Papa</v>
      </c>
      <c r="S59" s="142" t="s">
        <v>5470</v>
      </c>
      <c r="T59" s="303"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38" t="s">
        <v>5488</v>
      </c>
      <c r="V59" s="142" t="str">
        <f>IFERROR(__xludf.DUMMYFUNCTION("GOOGLETRANSLATE(B59,""zh-tw"",""KO"")"),"감자")</f>
        <v>감자</v>
      </c>
      <c r="W59" s="142" t="s">
        <v>5470</v>
      </c>
      <c r="X59" s="303" t="str">
        <f>IFERROR(__xludf.DUMMYFUNCTION("GOOGLETRANSLATE(D59,""zh-tw"",""KO"")"),"아이템 2개를 떨어뜨릴 확률은 40%이고, 아이템 3개를 떨어뜨릴 확률은 8%입니다.")</f>
        <v>아이템 2개를 떨어뜨릴 확률은 40%이고, 아이템 3개를 떨어뜨릴 확률은 8%입니다.</v>
      </c>
      <c r="Y59" s="106" t="str">
        <f>IFERROR(__xludf.DUMMYFUNCTION("GOOGLETRANSLATE(A59,""zh-tw"",""ru"")"),"ростки картофеля")</f>
        <v>ростки картофеля</v>
      </c>
      <c r="Z59" s="51" t="str">
        <f>IFERROR(__xludf.DUMMYFUNCTION("GOOGLETRANSLATE(B59,""zh-tw"",""ru"")"),"Картофель")</f>
        <v>Картофель</v>
      </c>
      <c r="AA59" s="51" t="s">
        <v>5470</v>
      </c>
      <c r="AB59" s="303"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38" t="s">
        <v>5489</v>
      </c>
      <c r="AD59" s="142" t="s">
        <v>5490</v>
      </c>
      <c r="AE59" s="142" t="s">
        <v>5470</v>
      </c>
      <c r="AF59" s="303" t="s">
        <v>5477</v>
      </c>
      <c r="AG59" s="138" t="s">
        <v>5491</v>
      </c>
      <c r="AH59" s="142" t="s">
        <v>5492</v>
      </c>
      <c r="AI59" s="142" t="s">
        <v>5470</v>
      </c>
      <c r="AJ59" s="303" t="s">
        <v>5480</v>
      </c>
      <c r="AK59" s="138" t="s">
        <v>5493</v>
      </c>
      <c r="AL59" s="142" t="s">
        <v>5494</v>
      </c>
      <c r="AM59" s="142" t="s">
        <v>5470</v>
      </c>
      <c r="AN59" s="303" t="s">
        <v>5483</v>
      </c>
    </row>
    <row r="60">
      <c r="A60" s="138" t="s">
        <v>5495</v>
      </c>
      <c r="B60" s="142" t="s">
        <v>5496</v>
      </c>
      <c r="C60" s="142" t="s">
        <v>5470</v>
      </c>
      <c r="D60" s="303" t="s">
        <v>5471</v>
      </c>
      <c r="E60" s="138" t="str">
        <f>IFERROR(__xludf.DUMMYFUNCTION("GOOGLETRANSLATE(A60,""zh-tw"",""ja"")"),"トマトの苗")</f>
        <v>トマトの苗</v>
      </c>
      <c r="F60" s="142" t="str">
        <f>IFERROR(__xludf.DUMMYFUNCTION("GOOGLETRANSLATE(B60,""zh-tw"",""ja"")"),"トマト")</f>
        <v>トマト</v>
      </c>
      <c r="G60" s="142" t="s">
        <v>5470</v>
      </c>
      <c r="H60" s="303"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138" t="s">
        <v>5497</v>
      </c>
      <c r="J60" s="142" t="s">
        <v>5498</v>
      </c>
      <c r="K60" s="142" t="s">
        <v>5470</v>
      </c>
      <c r="L60" s="303" t="str">
        <f>IFERROR(__xludf.DUMMYFUNCTION("GOOGLETRANSLATE(D60,""zh-tw"",""en"")"),"There is a 40% chance of dropping 2 items, and an 8% chance of dropping 3 items.")</f>
        <v>There is a 40% chance of dropping 2 items, and an 8% chance of dropping 3 items.</v>
      </c>
      <c r="M60" s="138" t="str">
        <f>IFERROR(__xludf.DUMMYFUNCTION("GOOGLETRANSLATE(A60,""zh-tw"",""zh"")"),"番茄苗")</f>
        <v>番茄苗</v>
      </c>
      <c r="N60" s="142" t="str">
        <f>IFERROR(__xludf.DUMMYFUNCTION("GOOGLETRANSLATE(B60,""zh-tw"",""zh"")"),"番茄")</f>
        <v>番茄</v>
      </c>
      <c r="O60" s="142" t="s">
        <v>5470</v>
      </c>
      <c r="P60" s="303" t="str">
        <f>IFERROR(__xludf.DUMMYFUNCTION("GOOGLETRANSLATE(D60,""zh-tw"",""zh"")"),"有40%机率掉落2个，8%机率掉落3个")</f>
        <v>有40%机率掉落2个，8%机率掉落3个</v>
      </c>
      <c r="Q60" s="138" t="str">
        <f>IFERROR(__xludf.DUMMYFUNCTION("GOOGLETRANSLATE(A60,""zh-tw"",""es-MX"")"),"Plántulas de tomate")</f>
        <v>Plántulas de tomate</v>
      </c>
      <c r="R60" s="142" t="str">
        <f>IFERROR(__xludf.DUMMYFUNCTION("GOOGLETRANSLATE(B60,""zh-tw"",""es-MX"")"),"tomate")</f>
        <v>tomate</v>
      </c>
      <c r="S60" s="142" t="s">
        <v>5470</v>
      </c>
      <c r="T60" s="303" t="str">
        <f>IFERROR(__xludf.DUMMYFUNCTION("GOOGLETRANSLATE(D60,""zh-tw"",""es-MX"")"),"Hay un 40% de posibilidades de que caigan 2 elementos y un 8% de posibilidades de que caigan 3 elementos.")</f>
        <v>Hay un 40% de posibilidades de que caigan 2 elementos y un 8% de posibilidades de que caigan 3 elementos.</v>
      </c>
      <c r="U60" s="138" t="str">
        <f>IFERROR(__xludf.DUMMYFUNCTION("GOOGLETRANSLATE(A60,""zh-tw"",""KO"")"),"토마토 모종")</f>
        <v>토마토 모종</v>
      </c>
      <c r="V60" s="142" t="str">
        <f>IFERROR(__xludf.DUMMYFUNCTION("GOOGLETRANSLATE(B60,""zh-tw"",""KO"")"),"토마토")</f>
        <v>토마토</v>
      </c>
      <c r="W60" s="142" t="s">
        <v>5470</v>
      </c>
      <c r="X60" s="303" t="str">
        <f>IFERROR(__xludf.DUMMYFUNCTION("GOOGLETRANSLATE(D60,""zh-tw"",""KO"")"),"아이템 2개를 떨어뜨릴 확률은 40%이고, 아이템 3개를 떨어뜨릴 확률은 8%입니다.")</f>
        <v>아이템 2개를 떨어뜨릴 확률은 40%이고, 아이템 3개를 떨어뜨릴 확률은 8%입니다.</v>
      </c>
      <c r="Y60" s="106" t="str">
        <f>IFERROR(__xludf.DUMMYFUNCTION("GOOGLETRANSLATE(A60,""zh-tw"",""ru"")"),"Рассада томатов")</f>
        <v>Рассада томатов</v>
      </c>
      <c r="Z60" s="51" t="str">
        <f>IFERROR(__xludf.DUMMYFUNCTION("GOOGLETRANSLATE(B60,""zh-tw"",""ru"")"),"помидор")</f>
        <v>помидор</v>
      </c>
      <c r="AA60" s="51" t="s">
        <v>5470</v>
      </c>
      <c r="AB60" s="303" t="str">
        <f>IFERROR(__xludf.DUMMYFUNCTION("GOOGLETRANSLATE(D60,""zh-tw"",""ru"")"),"Вероятность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0" s="138" t="s">
        <v>5499</v>
      </c>
      <c r="AD60" s="142" t="s">
        <v>5500</v>
      </c>
      <c r="AE60" s="142" t="s">
        <v>5470</v>
      </c>
      <c r="AF60" s="303" t="s">
        <v>5477</v>
      </c>
      <c r="AG60" s="138" t="s">
        <v>5501</v>
      </c>
      <c r="AH60" s="142" t="s">
        <v>5502</v>
      </c>
      <c r="AI60" s="142" t="s">
        <v>5470</v>
      </c>
      <c r="AJ60" s="303" t="s">
        <v>5480</v>
      </c>
      <c r="AK60" s="138" t="s">
        <v>5503</v>
      </c>
      <c r="AL60" s="142" t="s">
        <v>5504</v>
      </c>
      <c r="AM60" s="142" t="s">
        <v>5470</v>
      </c>
      <c r="AN60" s="303" t="s">
        <v>5483</v>
      </c>
    </row>
    <row r="61">
      <c r="A61" s="138" t="s">
        <v>5505</v>
      </c>
      <c r="B61" s="142" t="s">
        <v>5506</v>
      </c>
      <c r="C61" s="142" t="s">
        <v>5470</v>
      </c>
      <c r="D61" s="303" t="s">
        <v>5471</v>
      </c>
      <c r="E61" s="138" t="str">
        <f>IFERROR(__xludf.DUMMYFUNCTION("GOOGLETRANSLATE(A61,""zh-tw"",""ja"")"),"唐辛子の苗")</f>
        <v>唐辛子の苗</v>
      </c>
      <c r="F61" s="142" t="str">
        <f>IFERROR(__xludf.DUMMYFUNCTION("GOOGLETRANSLATE(B61,""zh-tw"",""ja"")"),"チリ")</f>
        <v>チリ</v>
      </c>
      <c r="G61" s="142" t="s">
        <v>5470</v>
      </c>
      <c r="H61" s="303"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138" t="s">
        <v>5507</v>
      </c>
      <c r="J61" s="142" t="s">
        <v>5508</v>
      </c>
      <c r="K61" s="142" t="s">
        <v>5470</v>
      </c>
      <c r="L61" s="303" t="str">
        <f>IFERROR(__xludf.DUMMYFUNCTION("GOOGLETRANSLATE(D61,""zh-tw"",""en"")"),"There is a 40% chance of dropping 2 items, and an 8% chance of dropping 3 items.")</f>
        <v>There is a 40% chance of dropping 2 items, and an 8% chance of dropping 3 items.</v>
      </c>
      <c r="M61" s="138" t="str">
        <f>IFERROR(__xludf.DUMMYFUNCTION("GOOGLETRANSLATE(A61,""zh-tw"",""zh"")"),"辣椒苗")</f>
        <v>辣椒苗</v>
      </c>
      <c r="N61" s="142" t="str">
        <f>IFERROR(__xludf.DUMMYFUNCTION("GOOGLETRANSLATE(B61,""zh-tw"",""zh"")"),"辣椒")</f>
        <v>辣椒</v>
      </c>
      <c r="O61" s="142" t="s">
        <v>5470</v>
      </c>
      <c r="P61" s="303" t="str">
        <f>IFERROR(__xludf.DUMMYFUNCTION("GOOGLETRANSLATE(D61,""zh-tw"",""zh"")"),"有40%机率掉落2个，8%机率掉落3个")</f>
        <v>有40%机率掉落2个，8%机率掉落3个</v>
      </c>
      <c r="Q61" s="138" t="str">
        <f>IFERROR(__xludf.DUMMYFUNCTION("GOOGLETRANSLATE(A61,""zh-tw"",""es-MX"")"),"Plántulas de chile")</f>
        <v>Plántulas de chile</v>
      </c>
      <c r="R61" s="142" t="str">
        <f>IFERROR(__xludf.DUMMYFUNCTION("GOOGLETRANSLATE(B61,""zh-tw"",""es-MX"")"),"chile")</f>
        <v>chile</v>
      </c>
      <c r="S61" s="142">
        <v>35.0</v>
      </c>
      <c r="T61" s="303" t="str">
        <f>IFERROR(__xludf.DUMMYFUNCTION("GOOGLETRANSLATE(D61,""zh-tw"",""es-MX"")"),"Hay un 40% de posibilidades de que caigan 2 elementos y un 8% de posibilidades de que caigan 3 elementos.")</f>
        <v>Hay un 40% de posibilidades de que caigan 2 elementos y un 8% de posibilidades de que caigan 3 elementos.</v>
      </c>
      <c r="U61" s="138" t="str">
        <f>IFERROR(__xludf.DUMMYFUNCTION("GOOGLETRANSLATE(A61,""zh-tw"",""KO"")"),"고추 모종")</f>
        <v>고추 모종</v>
      </c>
      <c r="V61" s="142" t="str">
        <f>IFERROR(__xludf.DUMMYFUNCTION("GOOGLETRANSLATE(B61,""zh-tw"",""KO"")"),"칠리")</f>
        <v>칠리</v>
      </c>
      <c r="W61" s="142" t="s">
        <v>5470</v>
      </c>
      <c r="X61" s="303" t="str">
        <f>IFERROR(__xludf.DUMMYFUNCTION("GOOGLETRANSLATE(D61,""zh-tw"",""KO"")"),"아이템 2개를 떨어뜨릴 확률은 40%이고, 아이템 3개를 떨어뜨릴 확률은 8%입니다.")</f>
        <v>아이템 2개를 떨어뜨릴 확률은 40%이고, 아이템 3개를 떨어뜨릴 확률은 8%입니다.</v>
      </c>
      <c r="Y61" s="106" t="str">
        <f>IFERROR(__xludf.DUMMYFUNCTION("GOOGLETRANSLATE(A61,""zh-tw"",""ru"")"),"Рассада чили")</f>
        <v>Рассада чили</v>
      </c>
      <c r="Z61" s="51" t="str">
        <f>IFERROR(__xludf.DUMMYFUNCTION("GOOGLETRANSLATE(B61,""zh-tw"",""ru"")"),"чили")</f>
        <v>чили</v>
      </c>
      <c r="AA61" s="51" t="s">
        <v>5470</v>
      </c>
      <c r="AB61" s="303" t="str">
        <f>IFERROR(__xludf.DUMMYFUNCTION("GOOGLETRANSLATE(D61,""zh-tw"",""ru"")"),"Вероятность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1" s="138" t="s">
        <v>5509</v>
      </c>
      <c r="AD61" s="142" t="s">
        <v>5510</v>
      </c>
      <c r="AE61" s="142" t="s">
        <v>5470</v>
      </c>
      <c r="AF61" s="303" t="s">
        <v>5477</v>
      </c>
      <c r="AG61" s="138" t="s">
        <v>5511</v>
      </c>
      <c r="AH61" s="142" t="s">
        <v>5512</v>
      </c>
      <c r="AI61" s="142" t="s">
        <v>5470</v>
      </c>
      <c r="AJ61" s="303" t="s">
        <v>5480</v>
      </c>
      <c r="AK61" s="138" t="s">
        <v>5513</v>
      </c>
      <c r="AL61" s="142" t="s">
        <v>5514</v>
      </c>
      <c r="AM61" s="142" t="s">
        <v>5470</v>
      </c>
      <c r="AN61" s="303" t="s">
        <v>5483</v>
      </c>
    </row>
    <row r="62">
      <c r="A62" s="302" t="s">
        <v>5515</v>
      </c>
      <c r="E62" s="302" t="str">
        <f>IFERROR(__xludf.DUMMYFUNCTION("GOOGLETRANSLATE(A62,""zh-tw"",""ja"")"),"火山溶岩関連")</f>
        <v>火山溶岩関連</v>
      </c>
      <c r="I62" s="302" t="s">
        <v>3406</v>
      </c>
      <c r="M62" s="302" t="str">
        <f>IFERROR(__xludf.DUMMYFUNCTION("GOOGLETRANSLATE(A62,""zh-tw"",""zh"")"),"火山熔岩相关")</f>
        <v>火山熔岩相关</v>
      </c>
      <c r="Q62" s="302" t="str">
        <f>IFERROR(__xludf.DUMMYFUNCTION("GOOGLETRANSLATE(A62,""zh-tw"",""es-MX"")"),"Relacionado con la lava volcánica")</f>
        <v>Relacionado con la lava volcánica</v>
      </c>
      <c r="U62" s="302" t="str">
        <f>IFERROR(__xludf.DUMMYFUNCTION("GOOGLETRANSLATE(A62,""zh-tw"",""KO"")"),"화산 용암 관련")</f>
        <v>화산 용암 관련</v>
      </c>
      <c r="Y62" s="97" t="str">
        <f>IFERROR(__xludf.DUMMYFUNCTION("GOOGLETRANSLATE(A62,""zh-tw"",""ru"")"),"вулканическая лава, связанная")</f>
        <v>вулканическая лава, связанная</v>
      </c>
      <c r="AC62" s="302" t="str">
        <f>IFERROR(__xludf.DUMMYFUNCTION("GOOGLETRANSLATE(A61,""zh-tw"",""DE"")"),"Chili-Setzlinge")</f>
        <v>Chili-Setzlinge</v>
      </c>
      <c r="AG62" s="302" t="s">
        <v>5516</v>
      </c>
      <c r="AK62" s="302" t="s">
        <v>3406</v>
      </c>
    </row>
    <row r="63">
      <c r="A63" s="138" t="s">
        <v>5517</v>
      </c>
      <c r="B63" s="142" t="s">
        <v>5518</v>
      </c>
      <c r="C63" s="142">
        <v>35.0</v>
      </c>
      <c r="D63" s="303" t="s">
        <v>813</v>
      </c>
      <c r="E63" s="138" t="s">
        <v>5519</v>
      </c>
      <c r="F63" s="142" t="s">
        <v>5520</v>
      </c>
      <c r="G63" s="142">
        <v>35.0</v>
      </c>
      <c r="H63" s="303" t="str">
        <f>IFERROR(__xludf.DUMMYFUNCTION("GOOGLETRANSLATE(D63,""zh-tw"",""ja"")"),"-")</f>
        <v>-</v>
      </c>
      <c r="I63" s="138" t="s">
        <v>5521</v>
      </c>
      <c r="J63" s="142" t="s">
        <v>5522</v>
      </c>
      <c r="K63" s="142">
        <v>35.0</v>
      </c>
      <c r="L63" s="303" t="str">
        <f>IFERROR(__xludf.DUMMYFUNCTION("GOOGLETRANSLATE(H63,""zh-tw"",""ja"")"),"-")</f>
        <v>-</v>
      </c>
      <c r="M63" s="138" t="str">
        <f>IFERROR(__xludf.DUMMYFUNCTION("GOOGLETRANSLATE(A63,""zh-tw"",""zh"")"),"火焰妖精")</f>
        <v>火焰妖精</v>
      </c>
      <c r="N63" s="142" t="str">
        <f>IFERROR(__xludf.DUMMYFUNCTION("GOOGLETRANSLATE(B63,""zh-tw"",""zh"")"),"熔岩杖")</f>
        <v>熔岩杖</v>
      </c>
      <c r="O63" s="142">
        <v>35.0</v>
      </c>
      <c r="P63" s="303" t="str">
        <f>IFERROR(__xludf.DUMMYFUNCTION("GOOGLETRANSLATE(D63,""zh-tw"",""zh"")"),"-")</f>
        <v>-</v>
      </c>
      <c r="Q63" s="138" t="str">
        <f>IFERROR(__xludf.DUMMYFUNCTION("GOOGLETRANSLATE(A63,""zh-tw"",""es-MX"")"),"Hada de las llamas")</f>
        <v>Hada de las llamas</v>
      </c>
      <c r="R63" s="142" t="str">
        <f>IFERROR(__xludf.DUMMYFUNCTION("GOOGLETRANSLATE(B63,""zh-tw"",""es-MX"")"),"Bastón de lava")</f>
        <v>Bastón de lava</v>
      </c>
      <c r="S63" s="142">
        <v>35.0</v>
      </c>
      <c r="T63" s="303" t="str">
        <f>IFERROR(__xludf.DUMMYFUNCTION("GOOGLETRANSLATE(D63,""zh-tw"",""es-MX"")"),"-")</f>
        <v>-</v>
      </c>
      <c r="U63" s="138" t="str">
        <f>IFERROR(__xludf.DUMMYFUNCTION("GOOGLETRANSLATE(A63,""zh-tw"",""KO"")"),"불꽃 요정")</f>
        <v>불꽃 요정</v>
      </c>
      <c r="V63" s="142" t="s">
        <v>5523</v>
      </c>
      <c r="W63" s="142">
        <v>35.0</v>
      </c>
      <c r="X63" s="303" t="str">
        <f>IFERROR(__xludf.DUMMYFUNCTION("GOOGLETRANSLATE(D63,""zh-tw"",""KO"")"),"-")</f>
        <v>-</v>
      </c>
      <c r="Y63" s="106" t="str">
        <f>IFERROR(__xludf.DUMMYFUNCTION("GOOGLETRANSLATE(A63,""zh-tw"",""ru"")"),"Фея Пламени")</f>
        <v>Фея Пламени</v>
      </c>
      <c r="Z63" s="51" t="str">
        <f>IFERROR(__xludf.DUMMYFUNCTION("GOOGLETRANSLATE(B63,""zh-tw"",""ru"")"),"Лавовый посох")</f>
        <v>Лавовый посох</v>
      </c>
      <c r="AA63" s="51">
        <v>35.0</v>
      </c>
      <c r="AB63" s="303" t="str">
        <f>IFERROR(__xludf.DUMMYFUNCTION("GOOGLETRANSLATE(D63,""zh-tw"",""ru"")"),"-")</f>
        <v>-</v>
      </c>
      <c r="AC63" s="138" t="s">
        <v>5524</v>
      </c>
      <c r="AD63" s="142" t="s">
        <v>5525</v>
      </c>
      <c r="AE63" s="142">
        <v>35.0</v>
      </c>
      <c r="AF63" s="303" t="s">
        <v>5009</v>
      </c>
      <c r="AG63" s="138" t="s">
        <v>5526</v>
      </c>
      <c r="AH63" s="142" t="s">
        <v>5527</v>
      </c>
      <c r="AI63" s="142">
        <v>35.0</v>
      </c>
      <c r="AJ63" s="303" t="s">
        <v>813</v>
      </c>
      <c r="AK63" s="138" t="s">
        <v>5528</v>
      </c>
      <c r="AL63" s="142" t="s">
        <v>5529</v>
      </c>
      <c r="AM63" s="142">
        <v>35.0</v>
      </c>
      <c r="AN63" s="303" t="s">
        <v>813</v>
      </c>
    </row>
    <row r="64">
      <c r="A64" s="138" t="s">
        <v>5530</v>
      </c>
      <c r="B64" s="142" t="s">
        <v>5531</v>
      </c>
      <c r="C64" s="142" t="s">
        <v>5532</v>
      </c>
      <c r="D64" s="303" t="s">
        <v>813</v>
      </c>
      <c r="E64" s="138" t="s">
        <v>5533</v>
      </c>
      <c r="F64" s="142" t="str">
        <f>IFERROR(__xludf.DUMMYFUNCTION("GOOGLETRANSLATE(B64,""zh-tw"",""ja"")"),"溶岩リング
紫品質アイテム")</f>
        <v>溶岩リング
紫品質アイテム</v>
      </c>
      <c r="G64" s="142" t="s">
        <v>5532</v>
      </c>
      <c r="H64" s="303" t="str">
        <f>IFERROR(__xludf.DUMMYFUNCTION("GOOGLETRANSLATE(D64,""zh-tw"",""ja"")"),"-")</f>
        <v>-</v>
      </c>
      <c r="I64" s="138" t="s">
        <v>5534</v>
      </c>
      <c r="J64" s="142" t="s">
        <v>5535</v>
      </c>
      <c r="K64" s="142" t="s">
        <v>5532</v>
      </c>
      <c r="L64" s="303" t="str">
        <f>IFERROR(__xludf.DUMMYFUNCTION("GOOGLETRANSLATE(H64,""zh-tw"",""ja"")"),"-")</f>
        <v>-</v>
      </c>
      <c r="M64" s="138" t="str">
        <f>IFERROR(__xludf.DUMMYFUNCTION("GOOGLETRANSLATE(A64,""zh-tw"",""zh"")"),"燃烧史莱姆")</f>
        <v>燃烧史莱姆</v>
      </c>
      <c r="N64" s="142" t="str">
        <f>IFERROR(__xludf.DUMMYFUNCTION("GOOGLETRANSLATE(B64,""zh-tw"",""zh"")"),"熔岩戒指
紫色品质物品")</f>
        <v>熔岩戒指
紫色品质物品</v>
      </c>
      <c r="O64" s="142" t="s">
        <v>5532</v>
      </c>
      <c r="P64" s="303" t="str">
        <f>IFERROR(__xludf.DUMMYFUNCTION("GOOGLETRANSLATE(D64,""zh-tw"",""zh"")"),"-")</f>
        <v>-</v>
      </c>
      <c r="Q64" s="138" t="str">
        <f>IFERROR(__xludf.DUMMYFUNCTION("GOOGLETRANSLATE(A64,""zh-tw"",""es-MX"")"),"Slime ardiente")</f>
        <v>Slime ardiente</v>
      </c>
      <c r="R64" s="142" t="str">
        <f>IFERROR(__xludf.DUMMYFUNCTION("GOOGLETRANSLATE(B64,""zh-tw"",""es-MX"")"),"Anillo de lava
Artículo de calidad morado")</f>
        <v>Anillo de lava
Artículo de calidad morado</v>
      </c>
      <c r="S64" s="142" t="s">
        <v>5532</v>
      </c>
      <c r="T64" s="303" t="str">
        <f>IFERROR(__xludf.DUMMYFUNCTION("GOOGLETRANSLATE(D64,""zh-tw"",""es-MX"")"),"-")</f>
        <v>-</v>
      </c>
      <c r="U64" s="138" t="str">
        <f>IFERROR(__xludf.DUMMYFUNCTION("GOOGLETRANSLATE(A64,""zh-tw"",""KO"")"),"불타는 슬라임")</f>
        <v>불타는 슬라임</v>
      </c>
      <c r="V64" s="142" t="s">
        <v>5536</v>
      </c>
      <c r="W64" s="142" t="s">
        <v>5532</v>
      </c>
      <c r="X64" s="303" t="str">
        <f>IFERROR(__xludf.DUMMYFUNCTION("GOOGLETRANSLATE(D64,""zh-tw"",""KO"")"),"-")</f>
        <v>-</v>
      </c>
      <c r="Y64" s="106" t="str">
        <f>IFERROR(__xludf.DUMMYFUNCTION("GOOGLETRANSLATE(A64,""zh-tw"",""ru"")"),"Горящая слизь")</f>
        <v>Горящая слизь</v>
      </c>
      <c r="Z64" s="51" t="str">
        <f>IFERROR(__xludf.DUMMYFUNCTION("GOOGLETRANSLATE(B64,""zh-tw"",""ru"")"),"Кольцо лавы
Предмет фиолетового качества")</f>
        <v>Кольцо лавы
Предмет фиолетового качества</v>
      </c>
      <c r="AA64" s="51" t="s">
        <v>5532</v>
      </c>
      <c r="AB64" s="303" t="str">
        <f>IFERROR(__xludf.DUMMYFUNCTION("GOOGLETRANSLATE(D64,""zh-tw"",""ru"")"),"-")</f>
        <v>-</v>
      </c>
      <c r="AC64" s="138" t="s">
        <v>5537</v>
      </c>
      <c r="AD64" s="142" t="s">
        <v>5538</v>
      </c>
      <c r="AE64" s="142" t="s">
        <v>5532</v>
      </c>
      <c r="AF64" s="303" t="s">
        <v>5009</v>
      </c>
      <c r="AG64" s="138" t="s">
        <v>5539</v>
      </c>
      <c r="AH64" s="142" t="s">
        <v>5540</v>
      </c>
      <c r="AI64" s="142" t="s">
        <v>5532</v>
      </c>
      <c r="AJ64" s="303" t="s">
        <v>813</v>
      </c>
      <c r="AK64" s="138" t="s">
        <v>5541</v>
      </c>
      <c r="AL64" s="142" t="s">
        <v>5542</v>
      </c>
      <c r="AM64" s="142" t="s">
        <v>5532</v>
      </c>
      <c r="AN64" s="303" t="s">
        <v>813</v>
      </c>
    </row>
    <row r="65">
      <c r="A65" s="138" t="s">
        <v>5543</v>
      </c>
      <c r="B65" s="142" t="s">
        <v>5544</v>
      </c>
      <c r="C65" s="142" t="s">
        <v>5545</v>
      </c>
      <c r="D65" s="303" t="s">
        <v>813</v>
      </c>
      <c r="E65" s="138" t="s">
        <v>5543</v>
      </c>
      <c r="F65" s="142" t="str">
        <f>IFERROR(__xludf.DUMMYFUNCTION("GOOGLETRANSLATE(B65,""zh-tw"",""ja"")"),"溶岩の杖
サンファイア
サンホイール")</f>
        <v>溶岩の杖
サンファイア
サンホイール</v>
      </c>
      <c r="G65" s="142" t="s">
        <v>5545</v>
      </c>
      <c r="H65" s="303" t="str">
        <f>IFERROR(__xludf.DUMMYFUNCTION("GOOGLETRANSLATE(D65,""zh-tw"",""ja"")"),"-")</f>
        <v>-</v>
      </c>
      <c r="I65" s="138" t="s">
        <v>5546</v>
      </c>
      <c r="J65" s="142" t="s">
        <v>5547</v>
      </c>
      <c r="K65" s="142" t="s">
        <v>5545</v>
      </c>
      <c r="L65" s="303" t="str">
        <f>IFERROR(__xludf.DUMMYFUNCTION("GOOGLETRANSLATE(H65,""zh-tw"",""ja"")"),"-")</f>
        <v>-</v>
      </c>
      <c r="M65" s="138" t="str">
        <f>IFERROR(__xludf.DUMMYFUNCTION("GOOGLETRANSLATE(A65,""zh-tw"",""zh"")"),"炎魔")</f>
        <v>炎魔</v>
      </c>
      <c r="N65" s="142" t="str">
        <f>IFERROR(__xludf.DUMMYFUNCTION("GOOGLETRANSLATE(B65,""zh-tw"",""zh"")"),"熔岩杖
阳炎
日轮")</f>
        <v>熔岩杖
阳炎
日轮</v>
      </c>
      <c r="O65" s="142" t="s">
        <v>5545</v>
      </c>
      <c r="P65" s="303" t="str">
        <f>IFERROR(__xludf.DUMMYFUNCTION("GOOGLETRANSLATE(D65,""zh-tw"",""zh"")"),"-")</f>
        <v>-</v>
      </c>
      <c r="Q65" s="138" t="str">
        <f>IFERROR(__xludf.DUMMYFUNCTION("GOOGLETRANSLATE(A65,""zh-tw"",""es-MX"")"),"Demonio de llamas")</f>
        <v>Demonio de llamas</v>
      </c>
      <c r="R65" s="142" t="str">
        <f>IFERROR(__xludf.DUMMYFUNCTION("GOOGLETRANSLATE(B65,""zh-tw"",""es-MX"")"),"Bastón de lava
Fuego solar
Rueda solar")</f>
        <v>Bastón de lava
Fuego solar
Rueda solar</v>
      </c>
      <c r="S65" s="142" t="s">
        <v>5545</v>
      </c>
      <c r="T65" s="303" t="str">
        <f>IFERROR(__xludf.DUMMYFUNCTION("GOOGLETRANSLATE(D65,""zh-tw"",""es-MX"")"),"-")</f>
        <v>-</v>
      </c>
      <c r="U65" s="138" t="str">
        <f>IFERROR(__xludf.DUMMYFUNCTION("GOOGLETRANSLATE(A65,""zh-tw"",""KO"")"),"화염 악마")</f>
        <v>화염 악마</v>
      </c>
      <c r="V65" s="142" t="str">
        <f>IFERROR(__xludf.DUMMYFUNCTION("GOOGLETRANSLATE(B65,""zh-tw"",""KO"")"),"용암 지팡이
선파이어
썬 휠")</f>
        <v>용암 지팡이
선파이어
썬 휠</v>
      </c>
      <c r="W65" s="142" t="s">
        <v>5545</v>
      </c>
      <c r="X65" s="303" t="str">
        <f>IFERROR(__xludf.DUMMYFUNCTION("GOOGLETRANSLATE(D65,""zh-tw"",""KO"")"),"-")</f>
        <v>-</v>
      </c>
      <c r="Y65" s="106" t="str">
        <f>IFERROR(__xludf.DUMMYFUNCTION("GOOGLETRANSLATE(A65,""zh-tw"",""ru"")"),"Пламенный Демон")</f>
        <v>Пламенный Демон</v>
      </c>
      <c r="Z65" s="51" t="str">
        <f>IFERROR(__xludf.DUMMYFUNCTION("GOOGLETRANSLATE(B65,""zh-tw"",""ru"")"),"Лавовый посох
Солнечный огонь
Солнечное колесо")</f>
        <v>Лавовый посох
Солнечный огонь
Солнечное колесо</v>
      </c>
      <c r="AA65" s="51" t="s">
        <v>5545</v>
      </c>
      <c r="AB65" s="303" t="str">
        <f>IFERROR(__xludf.DUMMYFUNCTION("GOOGLETRANSLATE(D65,""zh-tw"",""ru"")"),"-")</f>
        <v>-</v>
      </c>
      <c r="AC65" s="138" t="s">
        <v>5546</v>
      </c>
      <c r="AD65" s="142" t="s">
        <v>5548</v>
      </c>
      <c r="AE65" s="142" t="s">
        <v>5545</v>
      </c>
      <c r="AF65" s="303" t="s">
        <v>5009</v>
      </c>
      <c r="AG65" s="138" t="s">
        <v>5546</v>
      </c>
      <c r="AH65" s="142" t="s">
        <v>5549</v>
      </c>
      <c r="AI65" s="142" t="s">
        <v>5545</v>
      </c>
      <c r="AJ65" s="303" t="s">
        <v>813</v>
      </c>
      <c r="AK65" s="138" t="s">
        <v>5546</v>
      </c>
      <c r="AL65" s="136" t="s">
        <v>5550</v>
      </c>
      <c r="AM65" s="142" t="s">
        <v>5545</v>
      </c>
      <c r="AN65" s="303" t="s">
        <v>813</v>
      </c>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92"/>
      <c r="Z66" s="92"/>
      <c r="AA66" s="92"/>
      <c r="AB66" s="30"/>
      <c r="AC66" s="30"/>
      <c r="AD66" s="30"/>
      <c r="AE66" s="30"/>
      <c r="AF66" s="30"/>
      <c r="AG66" s="30"/>
      <c r="AH66" s="30"/>
      <c r="AI66" s="30"/>
      <c r="AJ66" s="30"/>
      <c r="AK66" s="30"/>
      <c r="AL66" s="30"/>
      <c r="AM66" s="30"/>
      <c r="AN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92"/>
      <c r="Z67" s="92"/>
      <c r="AA67" s="92"/>
      <c r="AB67" s="30"/>
      <c r="AC67" s="30"/>
      <c r="AD67" s="30"/>
      <c r="AE67" s="30"/>
      <c r="AF67" s="30"/>
      <c r="AG67" s="30"/>
      <c r="AH67" s="30"/>
      <c r="AI67" s="30"/>
      <c r="AJ67" s="30"/>
      <c r="AK67" s="30"/>
      <c r="AL67" s="30"/>
      <c r="AM67" s="30"/>
      <c r="AN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92"/>
      <c r="Z68" s="92"/>
      <c r="AA68" s="92"/>
      <c r="AB68" s="30"/>
      <c r="AC68" s="30"/>
      <c r="AD68" s="30"/>
      <c r="AE68" s="30"/>
      <c r="AF68" s="30"/>
      <c r="AG68" s="30"/>
      <c r="AH68" s="30"/>
      <c r="AI68" s="30"/>
      <c r="AJ68" s="30"/>
      <c r="AK68" s="30"/>
      <c r="AL68" s="30"/>
      <c r="AM68" s="30"/>
      <c r="AN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92"/>
      <c r="Z69" s="92"/>
      <c r="AA69" s="92"/>
      <c r="AB69" s="30"/>
      <c r="AC69" s="30"/>
      <c r="AD69" s="30"/>
      <c r="AE69" s="30"/>
      <c r="AF69" s="30"/>
      <c r="AG69" s="30"/>
      <c r="AH69" s="30"/>
      <c r="AI69" s="30"/>
      <c r="AJ69" s="30"/>
      <c r="AK69" s="30"/>
      <c r="AL69" s="30"/>
      <c r="AM69" s="30"/>
      <c r="AN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92"/>
      <c r="Z70" s="92"/>
      <c r="AA70" s="92"/>
      <c r="AB70" s="30"/>
      <c r="AC70" s="30"/>
      <c r="AD70" s="30"/>
      <c r="AE70" s="30"/>
      <c r="AF70" s="30"/>
      <c r="AG70" s="30"/>
      <c r="AH70" s="30"/>
      <c r="AI70" s="30"/>
      <c r="AJ70" s="30"/>
      <c r="AK70" s="30"/>
      <c r="AL70" s="30"/>
      <c r="AM70" s="30"/>
      <c r="AN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92"/>
      <c r="Z71" s="92"/>
      <c r="AA71" s="92"/>
      <c r="AB71" s="30"/>
      <c r="AC71" s="30"/>
      <c r="AD71" s="30"/>
      <c r="AE71" s="30"/>
      <c r="AF71" s="30"/>
      <c r="AG71" s="30"/>
      <c r="AH71" s="30"/>
      <c r="AI71" s="30"/>
      <c r="AJ71" s="30"/>
      <c r="AK71" s="30"/>
      <c r="AL71" s="30"/>
      <c r="AM71" s="30"/>
      <c r="AN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92"/>
      <c r="Z72" s="92"/>
      <c r="AA72" s="92"/>
      <c r="AB72" s="30"/>
      <c r="AC72" s="30"/>
      <c r="AD72" s="30"/>
      <c r="AE72" s="30"/>
      <c r="AF72" s="30"/>
      <c r="AG72" s="30"/>
      <c r="AH72" s="30"/>
      <c r="AI72" s="30"/>
      <c r="AJ72" s="30"/>
      <c r="AK72" s="30"/>
      <c r="AL72" s="30"/>
      <c r="AM72" s="30"/>
      <c r="AN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92"/>
      <c r="Z73" s="92"/>
      <c r="AA73" s="92"/>
      <c r="AB73" s="30"/>
      <c r="AC73" s="30"/>
      <c r="AD73" s="30"/>
      <c r="AE73" s="30"/>
      <c r="AF73" s="30"/>
      <c r="AG73" s="30"/>
      <c r="AH73" s="30"/>
      <c r="AI73" s="30"/>
      <c r="AJ73" s="30"/>
      <c r="AK73" s="30"/>
      <c r="AL73" s="30"/>
      <c r="AM73" s="30"/>
      <c r="AN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92"/>
      <c r="Z74" s="92"/>
      <c r="AA74" s="92"/>
      <c r="AB74" s="30"/>
      <c r="AC74" s="30"/>
      <c r="AD74" s="30"/>
      <c r="AE74" s="30"/>
      <c r="AF74" s="30"/>
      <c r="AG74" s="30"/>
      <c r="AH74" s="30"/>
      <c r="AI74" s="30"/>
      <c r="AJ74" s="30"/>
      <c r="AK74" s="30"/>
      <c r="AL74" s="30"/>
      <c r="AM74" s="30"/>
      <c r="AN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92"/>
      <c r="Z75" s="92"/>
      <c r="AA75" s="92"/>
      <c r="AB75" s="30"/>
      <c r="AC75" s="30"/>
      <c r="AD75" s="30"/>
      <c r="AE75" s="30"/>
      <c r="AF75" s="30"/>
      <c r="AG75" s="30"/>
      <c r="AH75" s="30"/>
      <c r="AI75" s="30"/>
      <c r="AJ75" s="30"/>
      <c r="AK75" s="30"/>
      <c r="AL75" s="30"/>
      <c r="AM75" s="30"/>
      <c r="AN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92"/>
      <c r="Z76" s="92"/>
      <c r="AA76" s="92"/>
      <c r="AB76" s="30"/>
      <c r="AC76" s="30"/>
      <c r="AD76" s="30"/>
      <c r="AE76" s="30"/>
      <c r="AF76" s="30"/>
      <c r="AG76" s="30"/>
      <c r="AH76" s="30"/>
      <c r="AI76" s="30"/>
      <c r="AJ76" s="30"/>
      <c r="AK76" s="30"/>
      <c r="AL76" s="30"/>
      <c r="AM76" s="30"/>
      <c r="AN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92"/>
      <c r="Z77" s="92"/>
      <c r="AA77" s="92"/>
      <c r="AB77" s="30"/>
      <c r="AC77" s="30"/>
      <c r="AD77" s="30"/>
      <c r="AE77" s="30"/>
      <c r="AF77" s="30"/>
      <c r="AG77" s="30"/>
      <c r="AH77" s="30"/>
      <c r="AI77" s="30"/>
      <c r="AJ77" s="30"/>
      <c r="AK77" s="30"/>
      <c r="AL77" s="30"/>
      <c r="AM77" s="30"/>
      <c r="AN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92"/>
      <c r="Z78" s="92"/>
      <c r="AA78" s="92"/>
      <c r="AB78" s="30"/>
      <c r="AC78" s="30"/>
      <c r="AD78" s="30"/>
      <c r="AE78" s="30"/>
      <c r="AF78" s="30"/>
      <c r="AG78" s="30"/>
      <c r="AH78" s="30"/>
      <c r="AI78" s="30"/>
      <c r="AJ78" s="30"/>
      <c r="AK78" s="30"/>
      <c r="AL78" s="30"/>
      <c r="AM78" s="30"/>
      <c r="AN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92"/>
      <c r="Z79" s="92"/>
      <c r="AA79" s="92"/>
      <c r="AB79" s="30"/>
      <c r="AC79" s="30"/>
      <c r="AD79" s="30"/>
      <c r="AE79" s="30"/>
      <c r="AF79" s="30"/>
      <c r="AG79" s="30"/>
      <c r="AH79" s="30"/>
      <c r="AI79" s="30"/>
      <c r="AJ79" s="30"/>
      <c r="AK79" s="30"/>
      <c r="AL79" s="30"/>
      <c r="AM79" s="30"/>
      <c r="AN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92"/>
      <c r="Z80" s="92"/>
      <c r="AA80" s="92"/>
      <c r="AB80" s="30"/>
      <c r="AC80" s="30"/>
      <c r="AD80" s="30"/>
      <c r="AE80" s="30"/>
      <c r="AF80" s="30"/>
      <c r="AG80" s="30"/>
      <c r="AH80" s="30"/>
      <c r="AI80" s="30"/>
      <c r="AJ80" s="30"/>
      <c r="AK80" s="30"/>
      <c r="AL80" s="30"/>
      <c r="AM80" s="30"/>
      <c r="AN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92"/>
      <c r="Z81" s="92"/>
      <c r="AA81" s="92"/>
      <c r="AB81" s="30"/>
      <c r="AC81" s="30"/>
      <c r="AD81" s="30"/>
      <c r="AE81" s="30"/>
      <c r="AF81" s="30"/>
      <c r="AG81" s="30"/>
      <c r="AH81" s="30"/>
      <c r="AI81" s="30"/>
      <c r="AJ81" s="30"/>
      <c r="AK81" s="30"/>
      <c r="AL81" s="30"/>
      <c r="AM81" s="30"/>
      <c r="A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92"/>
      <c r="Z82" s="92"/>
      <c r="AA82" s="92"/>
      <c r="AB82" s="30"/>
      <c r="AC82" s="30"/>
      <c r="AD82" s="30"/>
      <c r="AE82" s="30"/>
      <c r="AF82" s="30"/>
      <c r="AG82" s="30"/>
      <c r="AH82" s="30"/>
      <c r="AI82" s="30"/>
      <c r="AJ82" s="30"/>
      <c r="AK82" s="30"/>
      <c r="AL82" s="30"/>
      <c r="AM82" s="30"/>
      <c r="A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92"/>
      <c r="Z83" s="92"/>
      <c r="AA83" s="92"/>
      <c r="AB83" s="30"/>
      <c r="AC83" s="30"/>
      <c r="AD83" s="30"/>
      <c r="AE83" s="30"/>
      <c r="AF83" s="30"/>
      <c r="AG83" s="30"/>
      <c r="AH83" s="30"/>
      <c r="AI83" s="30"/>
      <c r="AJ83" s="30"/>
      <c r="AK83" s="30"/>
      <c r="AL83" s="30"/>
      <c r="AM83" s="30"/>
      <c r="A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92"/>
      <c r="Z84" s="92"/>
      <c r="AA84" s="92"/>
      <c r="AB84" s="30"/>
      <c r="AC84" s="30"/>
      <c r="AD84" s="30"/>
      <c r="AE84" s="30"/>
      <c r="AF84" s="30"/>
      <c r="AG84" s="30"/>
      <c r="AH84" s="30"/>
      <c r="AI84" s="30"/>
      <c r="AJ84" s="30"/>
      <c r="AK84" s="30"/>
      <c r="AL84" s="30"/>
      <c r="AM84" s="30"/>
      <c r="A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92"/>
      <c r="Z85" s="92"/>
      <c r="AA85" s="92"/>
      <c r="AB85" s="30"/>
      <c r="AC85" s="30"/>
      <c r="AD85" s="30"/>
      <c r="AE85" s="30"/>
      <c r="AF85" s="30"/>
      <c r="AG85" s="30"/>
      <c r="AH85" s="30"/>
      <c r="AI85" s="30"/>
      <c r="AJ85" s="30"/>
      <c r="AK85" s="30"/>
      <c r="AL85" s="30"/>
      <c r="AM85" s="30"/>
      <c r="A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92"/>
      <c r="Z86" s="92"/>
      <c r="AA86" s="92"/>
      <c r="AB86" s="30"/>
      <c r="AC86" s="30"/>
      <c r="AD86" s="30"/>
      <c r="AE86" s="30"/>
      <c r="AF86" s="30"/>
      <c r="AG86" s="30"/>
      <c r="AH86" s="30"/>
      <c r="AI86" s="30"/>
      <c r="AJ86" s="30"/>
      <c r="AK86" s="30"/>
      <c r="AL86" s="30"/>
      <c r="AM86" s="30"/>
      <c r="A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92"/>
      <c r="Z87" s="92"/>
      <c r="AA87" s="92"/>
      <c r="AB87" s="30"/>
      <c r="AC87" s="30"/>
      <c r="AD87" s="30"/>
      <c r="AE87" s="30"/>
      <c r="AF87" s="30"/>
      <c r="AG87" s="30"/>
      <c r="AH87" s="30"/>
      <c r="AI87" s="30"/>
      <c r="AJ87" s="30"/>
      <c r="AK87" s="30"/>
      <c r="AL87" s="30"/>
      <c r="AM87" s="30"/>
      <c r="A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92"/>
      <c r="Z88" s="92"/>
      <c r="AA88" s="92"/>
      <c r="AB88" s="30"/>
      <c r="AC88" s="30"/>
      <c r="AD88" s="30"/>
      <c r="AE88" s="30"/>
      <c r="AF88" s="30"/>
      <c r="AG88" s="30"/>
      <c r="AH88" s="30"/>
      <c r="AI88" s="30"/>
      <c r="AJ88" s="30"/>
      <c r="AK88" s="30"/>
      <c r="AL88" s="30"/>
      <c r="AM88" s="30"/>
      <c r="A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92"/>
      <c r="Z89" s="92"/>
      <c r="AA89" s="92"/>
      <c r="AB89" s="30"/>
      <c r="AC89" s="30"/>
      <c r="AD89" s="30"/>
      <c r="AE89" s="30"/>
      <c r="AF89" s="30"/>
      <c r="AG89" s="30"/>
      <c r="AH89" s="30"/>
      <c r="AI89" s="30"/>
      <c r="AJ89" s="30"/>
      <c r="AK89" s="30"/>
      <c r="AL89" s="30"/>
      <c r="AM89" s="30"/>
      <c r="A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92"/>
      <c r="Z90" s="92"/>
      <c r="AA90" s="92"/>
      <c r="AB90" s="30"/>
      <c r="AC90" s="30"/>
      <c r="AD90" s="30"/>
      <c r="AE90" s="30"/>
      <c r="AF90" s="30"/>
      <c r="AG90" s="30"/>
      <c r="AH90" s="30"/>
      <c r="AI90" s="30"/>
      <c r="AJ90" s="30"/>
      <c r="AK90" s="30"/>
      <c r="AL90" s="30"/>
      <c r="AM90" s="30"/>
      <c r="A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92"/>
      <c r="Z91" s="92"/>
      <c r="AA91" s="92"/>
      <c r="AB91" s="30"/>
      <c r="AC91" s="30"/>
      <c r="AD91" s="30"/>
      <c r="AE91" s="30"/>
      <c r="AF91" s="30"/>
      <c r="AG91" s="30"/>
      <c r="AH91" s="30"/>
      <c r="AI91" s="30"/>
      <c r="AJ91" s="30"/>
      <c r="AK91" s="30"/>
      <c r="AL91" s="30"/>
      <c r="AM91" s="30"/>
      <c r="A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92"/>
      <c r="Z92" s="92"/>
      <c r="AA92" s="92"/>
      <c r="AB92" s="30"/>
      <c r="AC92" s="30"/>
      <c r="AD92" s="30"/>
      <c r="AE92" s="30"/>
      <c r="AF92" s="30"/>
      <c r="AG92" s="30"/>
      <c r="AH92" s="30"/>
      <c r="AI92" s="30"/>
      <c r="AJ92" s="30"/>
      <c r="AK92" s="30"/>
      <c r="AL92" s="30"/>
      <c r="AM92" s="30"/>
      <c r="A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92"/>
      <c r="Z93" s="92"/>
      <c r="AA93" s="92"/>
      <c r="AB93" s="30"/>
      <c r="AC93" s="30"/>
      <c r="AD93" s="30"/>
      <c r="AE93" s="30"/>
      <c r="AF93" s="30"/>
      <c r="AG93" s="30"/>
      <c r="AH93" s="30"/>
      <c r="AI93" s="30"/>
      <c r="AJ93" s="30"/>
      <c r="AK93" s="30"/>
      <c r="AL93" s="30"/>
      <c r="AM93" s="30"/>
      <c r="A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92"/>
      <c r="Z94" s="92"/>
      <c r="AA94" s="92"/>
      <c r="AB94" s="30"/>
      <c r="AC94" s="30"/>
      <c r="AD94" s="30"/>
      <c r="AE94" s="30"/>
      <c r="AF94" s="30"/>
      <c r="AG94" s="30"/>
      <c r="AH94" s="30"/>
      <c r="AI94" s="30"/>
      <c r="AJ94" s="30"/>
      <c r="AK94" s="30"/>
      <c r="AL94" s="30"/>
      <c r="AM94" s="30"/>
      <c r="A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92"/>
      <c r="Z95" s="92"/>
      <c r="AA95" s="92"/>
      <c r="AB95" s="30"/>
      <c r="AC95" s="30"/>
      <c r="AD95" s="30"/>
      <c r="AE95" s="30"/>
      <c r="AF95" s="30"/>
      <c r="AG95" s="30"/>
      <c r="AH95" s="30"/>
      <c r="AI95" s="30"/>
      <c r="AJ95" s="30"/>
      <c r="AK95" s="30"/>
      <c r="AL95" s="30"/>
      <c r="AM95" s="30"/>
      <c r="A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92"/>
      <c r="Z96" s="92"/>
      <c r="AA96" s="92"/>
      <c r="AB96" s="30"/>
      <c r="AC96" s="30"/>
      <c r="AD96" s="30"/>
      <c r="AE96" s="30"/>
      <c r="AF96" s="30"/>
      <c r="AG96" s="30"/>
      <c r="AH96" s="30"/>
      <c r="AI96" s="30"/>
      <c r="AJ96" s="30"/>
      <c r="AK96" s="30"/>
      <c r="AL96" s="30"/>
      <c r="AM96" s="30"/>
      <c r="A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92"/>
      <c r="Z97" s="92"/>
      <c r="AA97" s="92"/>
      <c r="AB97" s="30"/>
      <c r="AC97" s="30"/>
      <c r="AD97" s="30"/>
      <c r="AE97" s="30"/>
      <c r="AF97" s="30"/>
      <c r="AG97" s="30"/>
      <c r="AH97" s="30"/>
      <c r="AI97" s="30"/>
      <c r="AJ97" s="30"/>
      <c r="AK97" s="30"/>
      <c r="AL97" s="30"/>
      <c r="AM97" s="30"/>
      <c r="A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92"/>
      <c r="Z98" s="92"/>
      <c r="AA98" s="92"/>
      <c r="AB98" s="30"/>
      <c r="AC98" s="30"/>
      <c r="AD98" s="30"/>
      <c r="AE98" s="30"/>
      <c r="AF98" s="30"/>
      <c r="AG98" s="30"/>
      <c r="AH98" s="30"/>
      <c r="AI98" s="30"/>
      <c r="AJ98" s="30"/>
      <c r="AK98" s="30"/>
      <c r="AL98" s="30"/>
      <c r="AM98" s="30"/>
      <c r="A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92"/>
      <c r="Z99" s="92"/>
      <c r="AA99" s="92"/>
      <c r="AB99" s="30"/>
      <c r="AC99" s="30"/>
      <c r="AD99" s="30"/>
      <c r="AE99" s="30"/>
      <c r="AF99" s="30"/>
      <c r="AG99" s="30"/>
      <c r="AH99" s="30"/>
      <c r="AI99" s="30"/>
      <c r="AJ99" s="30"/>
      <c r="AK99" s="30"/>
      <c r="AL99" s="30"/>
      <c r="AM99" s="30"/>
      <c r="A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92"/>
      <c r="Z100" s="92"/>
      <c r="AA100" s="92"/>
      <c r="AB100" s="30"/>
      <c r="AC100" s="30"/>
      <c r="AD100" s="30"/>
      <c r="AE100" s="30"/>
      <c r="AF100" s="30"/>
      <c r="AG100" s="30"/>
      <c r="AH100" s="30"/>
      <c r="AI100" s="30"/>
      <c r="AJ100" s="30"/>
      <c r="AK100" s="30"/>
      <c r="AL100" s="30"/>
      <c r="AM100" s="30"/>
      <c r="A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92"/>
      <c r="Z101" s="92"/>
      <c r="AA101" s="92"/>
      <c r="AB101" s="30"/>
      <c r="AC101" s="30"/>
      <c r="AD101" s="30"/>
      <c r="AE101" s="30"/>
      <c r="AF101" s="30"/>
      <c r="AG101" s="30"/>
      <c r="AH101" s="30"/>
      <c r="AI101" s="30"/>
      <c r="AJ101" s="30"/>
      <c r="AK101" s="30"/>
      <c r="AL101" s="30"/>
      <c r="AM101" s="30"/>
      <c r="A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92"/>
      <c r="Z102" s="92"/>
      <c r="AA102" s="92"/>
      <c r="AB102" s="30"/>
      <c r="AC102" s="30"/>
      <c r="AD102" s="30"/>
      <c r="AE102" s="30"/>
      <c r="AF102" s="30"/>
      <c r="AG102" s="30"/>
      <c r="AH102" s="30"/>
      <c r="AI102" s="30"/>
      <c r="AJ102" s="30"/>
      <c r="AK102" s="30"/>
      <c r="AL102" s="30"/>
      <c r="AM102" s="30"/>
      <c r="A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92"/>
      <c r="Z103" s="92"/>
      <c r="AA103" s="92"/>
      <c r="AB103" s="30"/>
      <c r="AC103" s="30"/>
      <c r="AD103" s="30"/>
      <c r="AE103" s="30"/>
      <c r="AF103" s="30"/>
      <c r="AG103" s="30"/>
      <c r="AH103" s="30"/>
      <c r="AI103" s="30"/>
      <c r="AJ103" s="30"/>
      <c r="AK103" s="30"/>
      <c r="AL103" s="30"/>
      <c r="AM103" s="30"/>
      <c r="A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92"/>
      <c r="Z104" s="92"/>
      <c r="AA104" s="92"/>
      <c r="AB104" s="30"/>
      <c r="AC104" s="30"/>
      <c r="AD104" s="30"/>
      <c r="AE104" s="30"/>
      <c r="AF104" s="30"/>
      <c r="AG104" s="30"/>
      <c r="AH104" s="30"/>
      <c r="AI104" s="30"/>
      <c r="AJ104" s="30"/>
      <c r="AK104" s="30"/>
      <c r="AL104" s="30"/>
      <c r="AM104" s="30"/>
      <c r="A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92"/>
      <c r="Z105" s="92"/>
      <c r="AA105" s="92"/>
      <c r="AB105" s="30"/>
      <c r="AC105" s="30"/>
      <c r="AD105" s="30"/>
      <c r="AE105" s="30"/>
      <c r="AF105" s="30"/>
      <c r="AG105" s="30"/>
      <c r="AH105" s="30"/>
      <c r="AI105" s="30"/>
      <c r="AJ105" s="30"/>
      <c r="AK105" s="30"/>
      <c r="AL105" s="30"/>
      <c r="AM105" s="30"/>
      <c r="A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92"/>
      <c r="Z106" s="92"/>
      <c r="AA106" s="92"/>
      <c r="AB106" s="30"/>
      <c r="AC106" s="30"/>
      <c r="AD106" s="30"/>
      <c r="AE106" s="30"/>
      <c r="AF106" s="30"/>
      <c r="AG106" s="30"/>
      <c r="AH106" s="30"/>
      <c r="AI106" s="30"/>
      <c r="AJ106" s="30"/>
      <c r="AK106" s="30"/>
      <c r="AL106" s="30"/>
      <c r="AM106" s="30"/>
      <c r="A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92"/>
      <c r="Z107" s="92"/>
      <c r="AA107" s="92"/>
      <c r="AB107" s="30"/>
      <c r="AC107" s="30"/>
      <c r="AD107" s="30"/>
      <c r="AE107" s="30"/>
      <c r="AF107" s="30"/>
      <c r="AG107" s="30"/>
      <c r="AH107" s="30"/>
      <c r="AI107" s="30"/>
      <c r="AJ107" s="30"/>
      <c r="AK107" s="30"/>
      <c r="AL107" s="30"/>
      <c r="AM107" s="30"/>
      <c r="A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92"/>
      <c r="Z108" s="92"/>
      <c r="AA108" s="92"/>
      <c r="AB108" s="30"/>
      <c r="AC108" s="30"/>
      <c r="AD108" s="30"/>
      <c r="AE108" s="30"/>
      <c r="AF108" s="30"/>
      <c r="AG108" s="30"/>
      <c r="AH108" s="30"/>
      <c r="AI108" s="30"/>
      <c r="AJ108" s="30"/>
      <c r="AK108" s="30"/>
      <c r="AL108" s="30"/>
      <c r="AM108" s="30"/>
      <c r="A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92"/>
      <c r="Z109" s="92"/>
      <c r="AA109" s="92"/>
      <c r="AB109" s="30"/>
      <c r="AC109" s="30"/>
      <c r="AD109" s="30"/>
      <c r="AE109" s="30"/>
      <c r="AF109" s="30"/>
      <c r="AG109" s="30"/>
      <c r="AH109" s="30"/>
      <c r="AI109" s="30"/>
      <c r="AJ109" s="30"/>
      <c r="AK109" s="30"/>
      <c r="AL109" s="30"/>
      <c r="AM109" s="30"/>
      <c r="A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92"/>
      <c r="Z110" s="92"/>
      <c r="AA110" s="92"/>
      <c r="AB110" s="30"/>
      <c r="AC110" s="30"/>
      <c r="AD110" s="30"/>
      <c r="AE110" s="30"/>
      <c r="AF110" s="30"/>
      <c r="AG110" s="30"/>
      <c r="AH110" s="30"/>
      <c r="AI110" s="30"/>
      <c r="AJ110" s="30"/>
      <c r="AK110" s="30"/>
      <c r="AL110" s="30"/>
      <c r="AM110" s="30"/>
      <c r="A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92"/>
      <c r="Z111" s="92"/>
      <c r="AA111" s="92"/>
      <c r="AB111" s="30"/>
      <c r="AC111" s="30"/>
      <c r="AD111" s="30"/>
      <c r="AE111" s="30"/>
      <c r="AF111" s="30"/>
      <c r="AG111" s="30"/>
      <c r="AH111" s="30"/>
      <c r="AI111" s="30"/>
      <c r="AJ111" s="30"/>
      <c r="AK111" s="30"/>
      <c r="AL111" s="30"/>
      <c r="AM111" s="30"/>
      <c r="A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92"/>
      <c r="Z112" s="92"/>
      <c r="AA112" s="92"/>
      <c r="AB112" s="30"/>
      <c r="AC112" s="30"/>
      <c r="AD112" s="30"/>
      <c r="AE112" s="30"/>
      <c r="AF112" s="30"/>
      <c r="AG112" s="30"/>
      <c r="AH112" s="30"/>
      <c r="AI112" s="30"/>
      <c r="AJ112" s="30"/>
      <c r="AK112" s="30"/>
      <c r="AL112" s="30"/>
      <c r="AM112" s="30"/>
      <c r="A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92"/>
      <c r="Z113" s="92"/>
      <c r="AA113" s="92"/>
      <c r="AB113" s="30"/>
      <c r="AC113" s="30"/>
      <c r="AD113" s="30"/>
      <c r="AE113" s="30"/>
      <c r="AF113" s="30"/>
      <c r="AG113" s="30"/>
      <c r="AH113" s="30"/>
      <c r="AI113" s="30"/>
      <c r="AJ113" s="30"/>
      <c r="AK113" s="30"/>
      <c r="AL113" s="30"/>
      <c r="AM113" s="30"/>
      <c r="A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92"/>
      <c r="Z114" s="92"/>
      <c r="AA114" s="92"/>
      <c r="AB114" s="30"/>
      <c r="AC114" s="30"/>
      <c r="AD114" s="30"/>
      <c r="AE114" s="30"/>
      <c r="AF114" s="30"/>
      <c r="AG114" s="30"/>
      <c r="AH114" s="30"/>
      <c r="AI114" s="30"/>
      <c r="AJ114" s="30"/>
      <c r="AK114" s="30"/>
      <c r="AL114" s="30"/>
      <c r="AM114" s="30"/>
      <c r="A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92"/>
      <c r="Z115" s="92"/>
      <c r="AA115" s="92"/>
      <c r="AB115" s="30"/>
      <c r="AC115" s="30"/>
      <c r="AD115" s="30"/>
      <c r="AE115" s="30"/>
      <c r="AF115" s="30"/>
      <c r="AG115" s="30"/>
      <c r="AH115" s="30"/>
      <c r="AI115" s="30"/>
      <c r="AJ115" s="30"/>
      <c r="AK115" s="30"/>
      <c r="AL115" s="30"/>
      <c r="AM115" s="30"/>
      <c r="A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92"/>
      <c r="Z116" s="92"/>
      <c r="AA116" s="92"/>
      <c r="AB116" s="30"/>
      <c r="AC116" s="30"/>
      <c r="AD116" s="30"/>
      <c r="AE116" s="30"/>
      <c r="AF116" s="30"/>
      <c r="AG116" s="30"/>
      <c r="AH116" s="30"/>
      <c r="AI116" s="30"/>
      <c r="AJ116" s="30"/>
      <c r="AK116" s="30"/>
      <c r="AL116" s="30"/>
      <c r="AM116" s="30"/>
      <c r="A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92"/>
      <c r="Z117" s="92"/>
      <c r="AA117" s="92"/>
      <c r="AB117" s="30"/>
      <c r="AC117" s="30"/>
      <c r="AD117" s="30"/>
      <c r="AE117" s="30"/>
      <c r="AF117" s="30"/>
      <c r="AG117" s="30"/>
      <c r="AH117" s="30"/>
      <c r="AI117" s="30"/>
      <c r="AJ117" s="30"/>
      <c r="AK117" s="30"/>
      <c r="AL117" s="30"/>
      <c r="AM117" s="30"/>
      <c r="A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92"/>
      <c r="Z118" s="92"/>
      <c r="AA118" s="92"/>
      <c r="AB118" s="30"/>
      <c r="AC118" s="30"/>
      <c r="AD118" s="30"/>
      <c r="AE118" s="30"/>
      <c r="AF118" s="30"/>
      <c r="AG118" s="30"/>
      <c r="AH118" s="30"/>
      <c r="AI118" s="30"/>
      <c r="AJ118" s="30"/>
      <c r="AK118" s="30"/>
      <c r="AL118" s="30"/>
      <c r="AM118" s="30"/>
      <c r="A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92"/>
      <c r="Z119" s="92"/>
      <c r="AA119" s="92"/>
      <c r="AB119" s="30"/>
      <c r="AC119" s="30"/>
      <c r="AD119" s="30"/>
      <c r="AE119" s="30"/>
      <c r="AF119" s="30"/>
      <c r="AG119" s="30"/>
      <c r="AH119" s="30"/>
      <c r="AI119" s="30"/>
      <c r="AJ119" s="30"/>
      <c r="AK119" s="30"/>
      <c r="AL119" s="30"/>
      <c r="AM119" s="30"/>
      <c r="A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92"/>
      <c r="Z120" s="92"/>
      <c r="AA120" s="92"/>
      <c r="AB120" s="30"/>
      <c r="AC120" s="30"/>
      <c r="AD120" s="30"/>
      <c r="AE120" s="30"/>
      <c r="AF120" s="30"/>
      <c r="AG120" s="30"/>
      <c r="AH120" s="30"/>
      <c r="AI120" s="30"/>
      <c r="AJ120" s="30"/>
      <c r="AK120" s="30"/>
      <c r="AL120" s="30"/>
      <c r="AM120" s="30"/>
      <c r="A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92"/>
      <c r="Z121" s="92"/>
      <c r="AA121" s="92"/>
      <c r="AB121" s="30"/>
      <c r="AC121" s="30"/>
      <c r="AD121" s="30"/>
      <c r="AE121" s="30"/>
      <c r="AF121" s="30"/>
      <c r="AG121" s="30"/>
      <c r="AH121" s="30"/>
      <c r="AI121" s="30"/>
      <c r="AJ121" s="30"/>
      <c r="AK121" s="30"/>
      <c r="AL121" s="30"/>
      <c r="AM121" s="30"/>
      <c r="A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92"/>
      <c r="Z122" s="92"/>
      <c r="AA122" s="92"/>
      <c r="AB122" s="30"/>
      <c r="AC122" s="30"/>
      <c r="AD122" s="30"/>
      <c r="AE122" s="30"/>
      <c r="AF122" s="30"/>
      <c r="AG122" s="30"/>
      <c r="AH122" s="30"/>
      <c r="AI122" s="30"/>
      <c r="AJ122" s="30"/>
      <c r="AK122" s="30"/>
      <c r="AL122" s="30"/>
      <c r="AM122" s="30"/>
      <c r="A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92"/>
      <c r="Z123" s="92"/>
      <c r="AA123" s="92"/>
      <c r="AB123" s="30"/>
      <c r="AC123" s="30"/>
      <c r="AD123" s="30"/>
      <c r="AE123" s="30"/>
      <c r="AF123" s="30"/>
      <c r="AG123" s="30"/>
      <c r="AH123" s="30"/>
      <c r="AI123" s="30"/>
      <c r="AJ123" s="30"/>
      <c r="AK123" s="30"/>
      <c r="AL123" s="30"/>
      <c r="AM123" s="30"/>
      <c r="A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92"/>
      <c r="Z124" s="92"/>
      <c r="AA124" s="92"/>
      <c r="AB124" s="30"/>
      <c r="AC124" s="30"/>
      <c r="AD124" s="30"/>
      <c r="AE124" s="30"/>
      <c r="AF124" s="30"/>
      <c r="AG124" s="30"/>
      <c r="AH124" s="30"/>
      <c r="AI124" s="30"/>
      <c r="AJ124" s="30"/>
      <c r="AK124" s="30"/>
      <c r="AL124" s="30"/>
      <c r="AM124" s="30"/>
      <c r="A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92"/>
      <c r="Z125" s="92"/>
      <c r="AA125" s="92"/>
      <c r="AB125" s="30"/>
      <c r="AC125" s="30"/>
      <c r="AD125" s="30"/>
      <c r="AE125" s="30"/>
      <c r="AF125" s="30"/>
      <c r="AG125" s="30"/>
      <c r="AH125" s="30"/>
      <c r="AI125" s="30"/>
      <c r="AJ125" s="30"/>
      <c r="AK125" s="30"/>
      <c r="AL125" s="30"/>
      <c r="AM125" s="30"/>
      <c r="A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92"/>
      <c r="Z126" s="92"/>
      <c r="AA126" s="92"/>
      <c r="AB126" s="30"/>
      <c r="AC126" s="30"/>
      <c r="AD126" s="30"/>
      <c r="AE126" s="30"/>
      <c r="AF126" s="30"/>
      <c r="AG126" s="30"/>
      <c r="AH126" s="30"/>
      <c r="AI126" s="30"/>
      <c r="AJ126" s="30"/>
      <c r="AK126" s="30"/>
      <c r="AL126" s="30"/>
      <c r="AM126" s="30"/>
      <c r="A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92"/>
      <c r="Z127" s="92"/>
      <c r="AA127" s="92"/>
      <c r="AB127" s="30"/>
      <c r="AC127" s="30"/>
      <c r="AD127" s="30"/>
      <c r="AE127" s="30"/>
      <c r="AF127" s="30"/>
      <c r="AG127" s="30"/>
      <c r="AH127" s="30"/>
      <c r="AI127" s="30"/>
      <c r="AJ127" s="30"/>
      <c r="AK127" s="30"/>
      <c r="AL127" s="30"/>
      <c r="AM127" s="30"/>
      <c r="A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92"/>
      <c r="Z128" s="92"/>
      <c r="AA128" s="92"/>
      <c r="AB128" s="30"/>
      <c r="AC128" s="30"/>
      <c r="AD128" s="30"/>
      <c r="AE128" s="30"/>
      <c r="AF128" s="30"/>
      <c r="AG128" s="30"/>
      <c r="AH128" s="30"/>
      <c r="AI128" s="30"/>
      <c r="AJ128" s="30"/>
      <c r="AK128" s="30"/>
      <c r="AL128" s="30"/>
      <c r="AM128" s="30"/>
      <c r="A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92"/>
      <c r="Z129" s="92"/>
      <c r="AA129" s="92"/>
      <c r="AB129" s="30"/>
      <c r="AC129" s="30"/>
      <c r="AD129" s="30"/>
      <c r="AE129" s="30"/>
      <c r="AF129" s="30"/>
      <c r="AG129" s="30"/>
      <c r="AH129" s="30"/>
      <c r="AI129" s="30"/>
      <c r="AJ129" s="30"/>
      <c r="AK129" s="30"/>
      <c r="AL129" s="30"/>
      <c r="AM129" s="30"/>
      <c r="A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92"/>
      <c r="Z130" s="92"/>
      <c r="AA130" s="92"/>
      <c r="AB130" s="30"/>
      <c r="AC130" s="30"/>
      <c r="AD130" s="30"/>
      <c r="AE130" s="30"/>
      <c r="AF130" s="30"/>
      <c r="AG130" s="30"/>
      <c r="AH130" s="30"/>
      <c r="AI130" s="30"/>
      <c r="AJ130" s="30"/>
      <c r="AK130" s="30"/>
      <c r="AL130" s="30"/>
      <c r="AM130" s="30"/>
      <c r="A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92"/>
      <c r="Z131" s="92"/>
      <c r="AA131" s="92"/>
      <c r="AB131" s="30"/>
      <c r="AC131" s="30"/>
      <c r="AD131" s="30"/>
      <c r="AE131" s="30"/>
      <c r="AF131" s="30"/>
      <c r="AG131" s="30"/>
      <c r="AH131" s="30"/>
      <c r="AI131" s="30"/>
      <c r="AJ131" s="30"/>
      <c r="AK131" s="30"/>
      <c r="AL131" s="30"/>
      <c r="AM131" s="30"/>
      <c r="A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92"/>
      <c r="Z132" s="92"/>
      <c r="AA132" s="92"/>
      <c r="AB132" s="30"/>
      <c r="AC132" s="30"/>
      <c r="AD132" s="30"/>
      <c r="AE132" s="30"/>
      <c r="AF132" s="30"/>
      <c r="AG132" s="30"/>
      <c r="AH132" s="30"/>
      <c r="AI132" s="30"/>
      <c r="AJ132" s="30"/>
      <c r="AK132" s="30"/>
      <c r="AL132" s="30"/>
      <c r="AM132" s="30"/>
      <c r="A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92"/>
      <c r="Z133" s="92"/>
      <c r="AA133" s="92"/>
      <c r="AB133" s="30"/>
      <c r="AC133" s="30"/>
      <c r="AD133" s="30"/>
      <c r="AE133" s="30"/>
      <c r="AF133" s="30"/>
      <c r="AG133" s="30"/>
      <c r="AH133" s="30"/>
      <c r="AI133" s="30"/>
      <c r="AJ133" s="30"/>
      <c r="AK133" s="30"/>
      <c r="AL133" s="30"/>
      <c r="AM133" s="30"/>
      <c r="A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row>
    <row r="485">
      <c r="A485" s="138"/>
      <c r="B485" s="142"/>
      <c r="C485" s="303"/>
      <c r="D485" s="138"/>
      <c r="E485" s="142"/>
      <c r="F485" s="303"/>
      <c r="G485" s="138"/>
      <c r="H485" s="142"/>
      <c r="I485" s="303"/>
      <c r="J485" s="138"/>
      <c r="K485" s="142"/>
      <c r="L485" s="303"/>
      <c r="M485" s="138"/>
      <c r="N485" s="142"/>
      <c r="O485" s="303"/>
      <c r="P485" s="138"/>
      <c r="Q485" s="142"/>
      <c r="R485" s="303"/>
      <c r="S485" s="138"/>
      <c r="T485" s="142"/>
      <c r="U485" s="303"/>
      <c r="V485" s="138"/>
      <c r="W485" s="142"/>
      <c r="X485" s="303"/>
      <c r="Y485" s="30"/>
      <c r="Z485" s="30"/>
      <c r="AA485" s="30"/>
      <c r="AB485" s="30"/>
      <c r="AC485" s="30"/>
      <c r="AD485" s="30"/>
      <c r="AE485" s="30"/>
      <c r="AF485" s="30"/>
      <c r="AG485" s="30"/>
      <c r="AH485" s="30"/>
      <c r="AI485" s="30"/>
      <c r="AJ485" s="30"/>
      <c r="AK485" s="30"/>
      <c r="AL485" s="30"/>
      <c r="AM485" s="30"/>
      <c r="AN485" s="30"/>
    </row>
    <row r="486">
      <c r="A486" s="138"/>
      <c r="B486" s="142"/>
      <c r="C486" s="303"/>
      <c r="D486" s="138"/>
      <c r="E486" s="142"/>
      <c r="F486" s="303"/>
      <c r="G486" s="138"/>
      <c r="H486" s="142"/>
      <c r="I486" s="303"/>
      <c r="J486" s="138"/>
      <c r="K486" s="142"/>
      <c r="L486" s="303"/>
      <c r="M486" s="138"/>
      <c r="N486" s="142"/>
      <c r="O486" s="303"/>
      <c r="P486" s="138"/>
      <c r="Q486" s="142"/>
      <c r="R486" s="303"/>
      <c r="S486" s="138"/>
      <c r="T486" s="142"/>
      <c r="U486" s="303"/>
      <c r="V486" s="138"/>
      <c r="W486" s="142"/>
      <c r="X486" s="303"/>
      <c r="Y486" s="30"/>
      <c r="Z486" s="30"/>
      <c r="AA486" s="30"/>
      <c r="AB486" s="30"/>
      <c r="AC486" s="30"/>
      <c r="AD486" s="30"/>
      <c r="AE486" s="30"/>
      <c r="AF486" s="30"/>
      <c r="AG486" s="30"/>
      <c r="AH486" s="30"/>
      <c r="AI486" s="30"/>
      <c r="AJ486" s="30"/>
      <c r="AK486" s="30"/>
      <c r="AL486" s="30"/>
      <c r="AM486" s="30"/>
      <c r="AN486" s="30"/>
    </row>
    <row r="487">
      <c r="A487" s="138"/>
      <c r="B487" s="142"/>
      <c r="C487" s="303"/>
      <c r="D487" s="138"/>
      <c r="E487" s="142"/>
      <c r="F487" s="303"/>
      <c r="G487" s="138"/>
      <c r="H487" s="142"/>
      <c r="I487" s="303"/>
      <c r="J487" s="138"/>
      <c r="K487" s="142"/>
      <c r="L487" s="303"/>
      <c r="M487" s="138"/>
      <c r="N487" s="142"/>
      <c r="O487" s="303"/>
      <c r="P487" s="138"/>
      <c r="Q487" s="142"/>
      <c r="R487" s="303"/>
      <c r="S487" s="138"/>
      <c r="T487" s="142"/>
      <c r="U487" s="303"/>
      <c r="V487" s="138"/>
      <c r="W487" s="142"/>
      <c r="X487" s="303"/>
      <c r="Y487" s="30"/>
      <c r="Z487" s="30"/>
      <c r="AA487" s="30"/>
      <c r="AB487" s="30"/>
      <c r="AC487" s="30"/>
      <c r="AD487" s="30"/>
      <c r="AE487" s="30"/>
      <c r="AF487" s="30"/>
      <c r="AG487" s="30"/>
      <c r="AH487" s="30"/>
      <c r="AI487" s="30"/>
      <c r="AJ487" s="30"/>
      <c r="AK487" s="30"/>
      <c r="AL487" s="30"/>
      <c r="AM487" s="30"/>
      <c r="AN487" s="30"/>
    </row>
    <row r="488">
      <c r="A488" s="138"/>
      <c r="B488" s="142"/>
      <c r="C488" s="303"/>
      <c r="D488" s="138"/>
      <c r="E488" s="142"/>
      <c r="F488" s="303"/>
      <c r="G488" s="138"/>
      <c r="H488" s="142"/>
      <c r="I488" s="303"/>
      <c r="J488" s="138"/>
      <c r="K488" s="142"/>
      <c r="L488" s="303"/>
      <c r="M488" s="138"/>
      <c r="N488" s="142"/>
      <c r="O488" s="303"/>
      <c r="P488" s="138"/>
      <c r="Q488" s="142"/>
      <c r="R488" s="303"/>
      <c r="S488" s="138"/>
      <c r="T488" s="142"/>
      <c r="U488" s="303"/>
      <c r="V488" s="138"/>
      <c r="W488" s="142"/>
      <c r="X488" s="303"/>
      <c r="Y488" s="30"/>
      <c r="Z488" s="30"/>
      <c r="AA488" s="30"/>
      <c r="AB488" s="30"/>
      <c r="AC488" s="30"/>
      <c r="AD488" s="30"/>
      <c r="AE488" s="30"/>
      <c r="AF488" s="30"/>
      <c r="AG488" s="30"/>
      <c r="AH488" s="30"/>
      <c r="AI488" s="30"/>
      <c r="AJ488" s="30"/>
      <c r="AK488" s="30"/>
      <c r="AL488" s="30"/>
      <c r="AM488" s="30"/>
      <c r="AN488" s="30"/>
    </row>
    <row r="489">
      <c r="A489" s="138"/>
      <c r="B489" s="142"/>
      <c r="C489" s="303"/>
      <c r="D489" s="138"/>
      <c r="E489" s="142"/>
      <c r="F489" s="303"/>
      <c r="G489" s="138"/>
      <c r="H489" s="142"/>
      <c r="I489" s="303"/>
      <c r="J489" s="138"/>
      <c r="K489" s="142"/>
      <c r="L489" s="303"/>
      <c r="M489" s="138"/>
      <c r="N489" s="142"/>
      <c r="O489" s="303"/>
      <c r="P489" s="138"/>
      <c r="Q489" s="142"/>
      <c r="R489" s="303"/>
      <c r="S489" s="138"/>
      <c r="T489" s="142"/>
      <c r="U489" s="303"/>
      <c r="V489" s="138"/>
      <c r="W489" s="142"/>
      <c r="X489" s="303"/>
      <c r="Y489" s="30"/>
      <c r="Z489" s="30"/>
      <c r="AA489" s="30"/>
      <c r="AB489" s="30"/>
      <c r="AC489" s="30"/>
      <c r="AD489" s="30"/>
      <c r="AE489" s="30"/>
      <c r="AF489" s="30"/>
      <c r="AG489" s="30"/>
      <c r="AH489" s="30"/>
      <c r="AI489" s="30"/>
      <c r="AJ489" s="30"/>
      <c r="AK489" s="30"/>
      <c r="AL489" s="30"/>
      <c r="AM489" s="30"/>
      <c r="AN489" s="30"/>
    </row>
    <row r="490">
      <c r="A490" s="138"/>
      <c r="B490" s="142"/>
      <c r="C490" s="303"/>
      <c r="D490" s="138"/>
      <c r="E490" s="142"/>
      <c r="F490" s="303"/>
      <c r="G490" s="138"/>
      <c r="H490" s="142"/>
      <c r="I490" s="303"/>
      <c r="J490" s="138"/>
      <c r="K490" s="142"/>
      <c r="L490" s="303"/>
      <c r="M490" s="138"/>
      <c r="N490" s="142"/>
      <c r="O490" s="303"/>
      <c r="P490" s="138"/>
      <c r="Q490" s="142"/>
      <c r="R490" s="303"/>
      <c r="S490" s="138"/>
      <c r="T490" s="142"/>
      <c r="U490" s="303"/>
      <c r="V490" s="138"/>
      <c r="W490" s="142"/>
      <c r="X490" s="303"/>
      <c r="Y490" s="30"/>
      <c r="Z490" s="30"/>
      <c r="AA490" s="30"/>
      <c r="AB490" s="30"/>
      <c r="AC490" s="30"/>
      <c r="AD490" s="30"/>
      <c r="AE490" s="30"/>
      <c r="AF490" s="30"/>
      <c r="AG490" s="30"/>
      <c r="AH490" s="30"/>
      <c r="AI490" s="30"/>
      <c r="AJ490" s="30"/>
      <c r="AK490" s="30"/>
      <c r="AL490" s="30"/>
      <c r="AM490" s="30"/>
      <c r="AN490" s="30"/>
    </row>
    <row r="491">
      <c r="A491" s="138"/>
      <c r="B491" s="142"/>
      <c r="C491" s="303"/>
      <c r="D491" s="138"/>
      <c r="E491" s="142"/>
      <c r="F491" s="303"/>
      <c r="G491" s="138"/>
      <c r="H491" s="142"/>
      <c r="I491" s="303"/>
      <c r="J491" s="138"/>
      <c r="K491" s="142"/>
      <c r="L491" s="303"/>
      <c r="M491" s="138"/>
      <c r="N491" s="142"/>
      <c r="O491" s="303"/>
      <c r="P491" s="138"/>
      <c r="Q491" s="142"/>
      <c r="R491" s="303"/>
      <c r="S491" s="138"/>
      <c r="T491" s="142"/>
      <c r="U491" s="303"/>
      <c r="V491" s="138"/>
      <c r="W491" s="142"/>
      <c r="X491" s="303"/>
      <c r="Y491" s="30"/>
      <c r="Z491" s="30"/>
      <c r="AA491" s="30"/>
      <c r="AB491" s="30"/>
      <c r="AC491" s="30"/>
      <c r="AD491" s="30"/>
      <c r="AE491" s="30"/>
      <c r="AF491" s="30"/>
      <c r="AG491" s="30"/>
      <c r="AH491" s="30"/>
      <c r="AI491" s="30"/>
      <c r="AJ491" s="30"/>
      <c r="AK491" s="30"/>
      <c r="AL491" s="30"/>
      <c r="AM491" s="30"/>
      <c r="AN491" s="30"/>
    </row>
    <row r="492">
      <c r="A492" s="138"/>
      <c r="B492" s="142"/>
      <c r="C492" s="303"/>
      <c r="D492" s="138"/>
      <c r="E492" s="142"/>
      <c r="F492" s="303"/>
      <c r="G492" s="138"/>
      <c r="H492" s="142"/>
      <c r="I492" s="303"/>
      <c r="J492" s="138"/>
      <c r="K492" s="142"/>
      <c r="L492" s="303"/>
      <c r="M492" s="138"/>
      <c r="N492" s="142"/>
      <c r="O492" s="303"/>
      <c r="P492" s="138"/>
      <c r="Q492" s="142"/>
      <c r="R492" s="303"/>
      <c r="S492" s="138"/>
      <c r="T492" s="142"/>
      <c r="U492" s="303"/>
      <c r="V492" s="138"/>
      <c r="W492" s="142"/>
      <c r="X492" s="303"/>
      <c r="Y492" s="30"/>
      <c r="Z492" s="30"/>
      <c r="AA492" s="30"/>
      <c r="AB492" s="30"/>
      <c r="AC492" s="30"/>
      <c r="AD492" s="30"/>
      <c r="AE492" s="30"/>
      <c r="AF492" s="30"/>
      <c r="AG492" s="30"/>
      <c r="AH492" s="30"/>
      <c r="AI492" s="30"/>
      <c r="AJ492" s="30"/>
      <c r="AK492" s="30"/>
      <c r="AL492" s="30"/>
      <c r="AM492" s="30"/>
      <c r="AN492" s="30"/>
    </row>
    <row r="493">
      <c r="A493" s="138"/>
      <c r="B493" s="142"/>
      <c r="C493" s="303"/>
      <c r="D493" s="138"/>
      <c r="E493" s="142"/>
      <c r="F493" s="303"/>
      <c r="G493" s="138"/>
      <c r="H493" s="142"/>
      <c r="I493" s="303"/>
      <c r="J493" s="138"/>
      <c r="K493" s="142"/>
      <c r="L493" s="303"/>
      <c r="M493" s="138"/>
      <c r="N493" s="142"/>
      <c r="O493" s="303"/>
      <c r="P493" s="138"/>
      <c r="Q493" s="142"/>
      <c r="R493" s="303"/>
      <c r="S493" s="138"/>
      <c r="T493" s="142"/>
      <c r="U493" s="303"/>
      <c r="V493" s="138"/>
      <c r="W493" s="142"/>
      <c r="X493" s="303"/>
      <c r="Y493" s="30"/>
      <c r="Z493" s="30"/>
      <c r="AA493" s="30"/>
      <c r="AB493" s="30"/>
      <c r="AC493" s="30"/>
      <c r="AD493" s="30"/>
      <c r="AE493" s="30"/>
      <c r="AF493" s="30"/>
      <c r="AG493" s="30"/>
      <c r="AH493" s="30"/>
      <c r="AI493" s="30"/>
      <c r="AJ493" s="30"/>
      <c r="AK493" s="30"/>
      <c r="AL493" s="30"/>
      <c r="AM493" s="30"/>
      <c r="AN493" s="30"/>
    </row>
    <row r="494">
      <c r="A494" s="138"/>
      <c r="B494" s="142"/>
      <c r="C494" s="303"/>
      <c r="D494" s="138"/>
      <c r="E494" s="142"/>
      <c r="F494" s="303"/>
      <c r="G494" s="138"/>
      <c r="H494" s="142"/>
      <c r="I494" s="303"/>
      <c r="J494" s="138"/>
      <c r="K494" s="142"/>
      <c r="L494" s="303"/>
      <c r="M494" s="138"/>
      <c r="N494" s="142"/>
      <c r="O494" s="303"/>
      <c r="P494" s="138"/>
      <c r="Q494" s="142"/>
      <c r="R494" s="303"/>
      <c r="S494" s="138"/>
      <c r="T494" s="142"/>
      <c r="U494" s="303"/>
      <c r="V494" s="138"/>
      <c r="W494" s="142"/>
      <c r="X494" s="303"/>
      <c r="Y494" s="30"/>
      <c r="Z494" s="30"/>
      <c r="AA494" s="30"/>
      <c r="AB494" s="30"/>
      <c r="AC494" s="30"/>
      <c r="AD494" s="30"/>
      <c r="AE494" s="30"/>
      <c r="AF494" s="30"/>
      <c r="AG494" s="30"/>
      <c r="AH494" s="30"/>
      <c r="AI494" s="30"/>
      <c r="AJ494" s="30"/>
      <c r="AK494" s="30"/>
      <c r="AL494" s="30"/>
      <c r="AM494" s="30"/>
      <c r="AN494" s="30"/>
    </row>
    <row r="495">
      <c r="A495" s="138"/>
      <c r="B495" s="142"/>
      <c r="C495" s="303"/>
      <c r="D495" s="138"/>
      <c r="E495" s="142"/>
      <c r="F495" s="303"/>
      <c r="G495" s="138"/>
      <c r="H495" s="142"/>
      <c r="I495" s="303"/>
      <c r="J495" s="138"/>
      <c r="K495" s="142"/>
      <c r="L495" s="303"/>
      <c r="M495" s="138"/>
      <c r="N495" s="142"/>
      <c r="O495" s="303"/>
      <c r="P495" s="138"/>
      <c r="Q495" s="142"/>
      <c r="R495" s="303"/>
      <c r="S495" s="138"/>
      <c r="T495" s="142"/>
      <c r="U495" s="303"/>
      <c r="V495" s="138"/>
      <c r="W495" s="142"/>
      <c r="X495" s="303"/>
      <c r="Y495" s="30"/>
      <c r="Z495" s="30"/>
      <c r="AA495" s="30"/>
      <c r="AB495" s="30"/>
      <c r="AC495" s="30"/>
      <c r="AD495" s="30"/>
      <c r="AE495" s="30"/>
      <c r="AF495" s="30"/>
      <c r="AG495" s="30"/>
      <c r="AH495" s="30"/>
      <c r="AI495" s="30"/>
      <c r="AJ495" s="30"/>
      <c r="AK495" s="30"/>
      <c r="AL495" s="30"/>
      <c r="AM495" s="30"/>
      <c r="AN495" s="30"/>
    </row>
    <row r="496">
      <c r="A496" s="138"/>
      <c r="B496" s="142"/>
      <c r="C496" s="303"/>
      <c r="D496" s="138"/>
      <c r="E496" s="142"/>
      <c r="F496" s="303"/>
      <c r="G496" s="138"/>
      <c r="H496" s="142"/>
      <c r="I496" s="303"/>
      <c r="J496" s="138"/>
      <c r="K496" s="142"/>
      <c r="L496" s="303"/>
      <c r="M496" s="138"/>
      <c r="N496" s="142"/>
      <c r="O496" s="303"/>
      <c r="P496" s="138"/>
      <c r="Q496" s="142"/>
      <c r="R496" s="303"/>
      <c r="S496" s="138"/>
      <c r="T496" s="142"/>
      <c r="U496" s="303"/>
      <c r="V496" s="138"/>
      <c r="W496" s="142"/>
      <c r="X496" s="303"/>
      <c r="Y496" s="30"/>
      <c r="Z496" s="30"/>
      <c r="AA496" s="30"/>
      <c r="AB496" s="30"/>
      <c r="AC496" s="30"/>
      <c r="AD496" s="30"/>
      <c r="AE496" s="30"/>
      <c r="AF496" s="30"/>
      <c r="AG496" s="30"/>
      <c r="AH496" s="30"/>
      <c r="AI496" s="30"/>
      <c r="AJ496" s="30"/>
      <c r="AK496" s="30"/>
      <c r="AL496" s="30"/>
      <c r="AM496" s="30"/>
      <c r="AN496" s="30"/>
    </row>
    <row r="497">
      <c r="A497" s="138"/>
      <c r="B497" s="142"/>
      <c r="C497" s="303"/>
      <c r="D497" s="138"/>
      <c r="E497" s="142"/>
      <c r="F497" s="303"/>
      <c r="G497" s="138"/>
      <c r="H497" s="142"/>
      <c r="I497" s="303"/>
      <c r="J497" s="138"/>
      <c r="K497" s="142"/>
      <c r="L497" s="303"/>
      <c r="M497" s="138"/>
      <c r="N497" s="142"/>
      <c r="O497" s="303"/>
      <c r="P497" s="138"/>
      <c r="Q497" s="142"/>
      <c r="R497" s="303"/>
      <c r="S497" s="138"/>
      <c r="T497" s="142"/>
      <c r="U497" s="303"/>
      <c r="V497" s="138"/>
      <c r="W497" s="142"/>
      <c r="X497" s="303"/>
      <c r="Y497" s="30"/>
      <c r="Z497" s="30"/>
      <c r="AA497" s="30"/>
      <c r="AB497" s="30"/>
      <c r="AC497" s="30"/>
      <c r="AD497" s="30"/>
      <c r="AE497" s="30"/>
      <c r="AF497" s="30"/>
      <c r="AG497" s="30"/>
      <c r="AH497" s="30"/>
      <c r="AI497" s="30"/>
      <c r="AJ497" s="30"/>
      <c r="AK497" s="30"/>
      <c r="AL497" s="30"/>
      <c r="AM497" s="30"/>
      <c r="AN497" s="30"/>
    </row>
    <row r="498">
      <c r="A498" s="138"/>
      <c r="B498" s="142"/>
      <c r="C498" s="303"/>
      <c r="D498" s="138"/>
      <c r="E498" s="142"/>
      <c r="F498" s="303"/>
      <c r="G498" s="138"/>
      <c r="H498" s="142"/>
      <c r="I498" s="303"/>
      <c r="J498" s="138"/>
      <c r="K498" s="142"/>
      <c r="L498" s="303"/>
      <c r="M498" s="138"/>
      <c r="N498" s="142"/>
      <c r="O498" s="303"/>
      <c r="P498" s="138"/>
      <c r="Q498" s="142"/>
      <c r="R498" s="303"/>
      <c r="S498" s="138"/>
      <c r="T498" s="142"/>
      <c r="U498" s="303"/>
      <c r="V498" s="138"/>
      <c r="W498" s="142"/>
      <c r="X498" s="303"/>
      <c r="Y498" s="30"/>
      <c r="Z498" s="30"/>
      <c r="AA498" s="30"/>
      <c r="AB498" s="30"/>
      <c r="AC498" s="30"/>
      <c r="AD498" s="30"/>
      <c r="AE498" s="30"/>
      <c r="AF498" s="30"/>
      <c r="AG498" s="30"/>
      <c r="AH498" s="30"/>
      <c r="AI498" s="30"/>
      <c r="AJ498" s="30"/>
      <c r="AK498" s="30"/>
      <c r="AL498" s="30"/>
      <c r="AM498" s="30"/>
      <c r="AN498" s="30"/>
    </row>
    <row r="499">
      <c r="A499" s="138"/>
      <c r="B499" s="142"/>
      <c r="C499" s="303"/>
      <c r="D499" s="138"/>
      <c r="E499" s="142"/>
      <c r="F499" s="303"/>
      <c r="G499" s="138"/>
      <c r="H499" s="142"/>
      <c r="I499" s="303"/>
      <c r="J499" s="138"/>
      <c r="K499" s="142"/>
      <c r="L499" s="303"/>
      <c r="M499" s="138"/>
      <c r="N499" s="142"/>
      <c r="O499" s="303"/>
      <c r="P499" s="138"/>
      <c r="Q499" s="142"/>
      <c r="R499" s="303"/>
      <c r="S499" s="138"/>
      <c r="T499" s="142"/>
      <c r="U499" s="303"/>
      <c r="V499" s="138"/>
      <c r="W499" s="142"/>
      <c r="X499" s="303"/>
      <c r="Y499" s="30"/>
      <c r="Z499" s="30"/>
      <c r="AA499" s="30"/>
      <c r="AB499" s="30"/>
      <c r="AC499" s="30"/>
      <c r="AD499" s="30"/>
      <c r="AE499" s="30"/>
      <c r="AF499" s="30"/>
      <c r="AG499" s="30"/>
      <c r="AH499" s="30"/>
      <c r="AI499" s="30"/>
      <c r="AJ499" s="30"/>
      <c r="AK499" s="30"/>
      <c r="AL499" s="30"/>
      <c r="AM499" s="30"/>
      <c r="AN499" s="30"/>
    </row>
    <row r="500">
      <c r="A500" s="138"/>
      <c r="B500" s="142"/>
      <c r="C500" s="303"/>
      <c r="D500" s="138"/>
      <c r="E500" s="142"/>
      <c r="F500" s="303"/>
      <c r="G500" s="138"/>
      <c r="H500" s="142"/>
      <c r="I500" s="303"/>
      <c r="J500" s="138"/>
      <c r="K500" s="142"/>
      <c r="L500" s="303"/>
      <c r="M500" s="138"/>
      <c r="N500" s="142"/>
      <c r="O500" s="303"/>
      <c r="P500" s="138"/>
      <c r="Q500" s="142"/>
      <c r="R500" s="303"/>
      <c r="S500" s="138"/>
      <c r="T500" s="142"/>
      <c r="U500" s="303"/>
      <c r="V500" s="138"/>
      <c r="W500" s="142"/>
      <c r="X500" s="303"/>
      <c r="Y500" s="30"/>
      <c r="Z500" s="30"/>
      <c r="AA500" s="30"/>
      <c r="AB500" s="30"/>
      <c r="AC500" s="30"/>
      <c r="AD500" s="30"/>
      <c r="AE500" s="30"/>
      <c r="AF500" s="30"/>
      <c r="AG500" s="30"/>
      <c r="AH500" s="30"/>
      <c r="AI500" s="30"/>
      <c r="AJ500" s="30"/>
      <c r="AK500" s="30"/>
      <c r="AL500" s="30"/>
      <c r="AM500" s="30"/>
      <c r="AN500" s="30"/>
    </row>
    <row r="501">
      <c r="A501" s="138"/>
      <c r="B501" s="142"/>
      <c r="C501" s="303"/>
      <c r="D501" s="138"/>
      <c r="E501" s="142"/>
      <c r="F501" s="303"/>
      <c r="G501" s="138"/>
      <c r="H501" s="142"/>
      <c r="I501" s="303"/>
      <c r="J501" s="138"/>
      <c r="K501" s="142"/>
      <c r="L501" s="303"/>
      <c r="M501" s="138"/>
      <c r="N501" s="142"/>
      <c r="O501" s="303"/>
      <c r="P501" s="138"/>
      <c r="Q501" s="142"/>
      <c r="R501" s="303"/>
      <c r="S501" s="138"/>
      <c r="T501" s="142"/>
      <c r="U501" s="303"/>
      <c r="V501" s="138"/>
      <c r="W501" s="142"/>
      <c r="X501" s="303"/>
      <c r="Y501" s="30"/>
      <c r="Z501" s="30"/>
      <c r="AA501" s="30"/>
      <c r="AB501" s="30"/>
      <c r="AC501" s="30"/>
      <c r="AD501" s="30"/>
      <c r="AE501" s="30"/>
      <c r="AF501" s="30"/>
      <c r="AG501" s="30"/>
      <c r="AH501" s="30"/>
      <c r="AI501" s="30"/>
      <c r="AJ501" s="30"/>
      <c r="AK501" s="30"/>
      <c r="AL501" s="30"/>
      <c r="AM501" s="30"/>
      <c r="AN501" s="30"/>
    </row>
    <row r="502">
      <c r="A502" s="138"/>
      <c r="B502" s="142"/>
      <c r="C502" s="303"/>
      <c r="D502" s="138"/>
      <c r="E502" s="142"/>
      <c r="F502" s="303"/>
      <c r="G502" s="138"/>
      <c r="H502" s="142"/>
      <c r="I502" s="303"/>
      <c r="J502" s="138"/>
      <c r="K502" s="142"/>
      <c r="L502" s="303"/>
      <c r="M502" s="138"/>
      <c r="N502" s="142"/>
      <c r="O502" s="303"/>
      <c r="P502" s="138"/>
      <c r="Q502" s="142"/>
      <c r="R502" s="303"/>
      <c r="S502" s="138"/>
      <c r="T502" s="142"/>
      <c r="U502" s="303"/>
      <c r="V502" s="138"/>
      <c r="W502" s="142"/>
      <c r="X502" s="303"/>
      <c r="Y502" s="30"/>
      <c r="Z502" s="30"/>
      <c r="AA502" s="30"/>
      <c r="AB502" s="30"/>
      <c r="AC502" s="30"/>
      <c r="AD502" s="30"/>
      <c r="AE502" s="30"/>
      <c r="AF502" s="30"/>
      <c r="AG502" s="30"/>
      <c r="AH502" s="30"/>
      <c r="AI502" s="30"/>
      <c r="AJ502" s="30"/>
      <c r="AK502" s="30"/>
      <c r="AL502" s="30"/>
      <c r="AM502" s="30"/>
      <c r="AN502" s="30"/>
    </row>
    <row r="503">
      <c r="A503" s="138"/>
      <c r="B503" s="142"/>
      <c r="C503" s="303"/>
      <c r="D503" s="138"/>
      <c r="E503" s="142"/>
      <c r="F503" s="303"/>
      <c r="G503" s="138"/>
      <c r="H503" s="142"/>
      <c r="I503" s="303"/>
      <c r="J503" s="138"/>
      <c r="K503" s="142"/>
      <c r="L503" s="303"/>
      <c r="M503" s="138"/>
      <c r="N503" s="142"/>
      <c r="O503" s="303"/>
      <c r="P503" s="138"/>
      <c r="Q503" s="142"/>
      <c r="R503" s="303"/>
      <c r="S503" s="138"/>
      <c r="T503" s="142"/>
      <c r="U503" s="303"/>
      <c r="V503" s="138"/>
      <c r="W503" s="142"/>
      <c r="X503" s="303"/>
      <c r="Y503" s="30"/>
      <c r="Z503" s="30"/>
      <c r="AA503" s="30"/>
      <c r="AB503" s="30"/>
      <c r="AC503" s="30"/>
      <c r="AD503" s="30"/>
      <c r="AE503" s="30"/>
      <c r="AF503" s="30"/>
      <c r="AG503" s="30"/>
      <c r="AH503" s="30"/>
      <c r="AI503" s="30"/>
      <c r="AJ503" s="30"/>
      <c r="AK503" s="30"/>
      <c r="AL503" s="30"/>
      <c r="AM503" s="30"/>
      <c r="AN503" s="30"/>
    </row>
    <row r="504">
      <c r="A504" s="138"/>
      <c r="B504" s="142"/>
      <c r="C504" s="303"/>
      <c r="D504" s="138"/>
      <c r="E504" s="142"/>
      <c r="F504" s="303"/>
      <c r="G504" s="138"/>
      <c r="H504" s="142"/>
      <c r="I504" s="303"/>
      <c r="J504" s="138"/>
      <c r="K504" s="142"/>
      <c r="L504" s="303"/>
      <c r="M504" s="138"/>
      <c r="N504" s="142"/>
      <c r="O504" s="303"/>
      <c r="P504" s="138"/>
      <c r="Q504" s="142"/>
      <c r="R504" s="303"/>
      <c r="S504" s="138"/>
      <c r="T504" s="142"/>
      <c r="U504" s="303"/>
      <c r="V504" s="138"/>
      <c r="W504" s="142"/>
      <c r="X504" s="303"/>
      <c r="Y504" s="30"/>
      <c r="Z504" s="30"/>
      <c r="AA504" s="30"/>
      <c r="AB504" s="30"/>
      <c r="AC504" s="30"/>
      <c r="AD504" s="30"/>
      <c r="AE504" s="30"/>
      <c r="AF504" s="30"/>
      <c r="AG504" s="30"/>
      <c r="AH504" s="30"/>
      <c r="AI504" s="30"/>
      <c r="AJ504" s="30"/>
      <c r="AK504" s="30"/>
      <c r="AL504" s="30"/>
      <c r="AM504" s="30"/>
      <c r="AN504" s="30"/>
    </row>
    <row r="505">
      <c r="A505" s="138"/>
      <c r="B505" s="142"/>
      <c r="C505" s="303"/>
      <c r="D505" s="138"/>
      <c r="E505" s="142"/>
      <c r="F505" s="303"/>
      <c r="G505" s="138"/>
      <c r="H505" s="142"/>
      <c r="I505" s="303"/>
      <c r="J505" s="138"/>
      <c r="K505" s="142"/>
      <c r="L505" s="303"/>
      <c r="M505" s="138"/>
      <c r="N505" s="142"/>
      <c r="O505" s="303"/>
      <c r="P505" s="138"/>
      <c r="Q505" s="142"/>
      <c r="R505" s="303"/>
      <c r="S505" s="138"/>
      <c r="T505" s="142"/>
      <c r="U505" s="303"/>
      <c r="V505" s="138"/>
      <c r="W505" s="142"/>
      <c r="X505" s="303"/>
      <c r="Y505" s="30"/>
      <c r="Z505" s="30"/>
      <c r="AA505" s="30"/>
      <c r="AB505" s="30"/>
      <c r="AC505" s="30"/>
      <c r="AD505" s="30"/>
      <c r="AE505" s="30"/>
      <c r="AF505" s="30"/>
      <c r="AG505" s="30"/>
      <c r="AH505" s="30"/>
      <c r="AI505" s="30"/>
      <c r="AJ505" s="30"/>
      <c r="AK505" s="30"/>
      <c r="AL505" s="30"/>
      <c r="AM505" s="30"/>
      <c r="AN505" s="30"/>
    </row>
    <row r="506">
      <c r="A506" s="138"/>
      <c r="B506" s="142"/>
      <c r="C506" s="303"/>
      <c r="D506" s="138"/>
      <c r="E506" s="142"/>
      <c r="F506" s="303"/>
      <c r="G506" s="138"/>
      <c r="H506" s="142"/>
      <c r="I506" s="303"/>
      <c r="J506" s="138"/>
      <c r="K506" s="142"/>
      <c r="L506" s="303"/>
      <c r="M506" s="138"/>
      <c r="N506" s="142"/>
      <c r="O506" s="303"/>
      <c r="P506" s="138"/>
      <c r="Q506" s="142"/>
      <c r="R506" s="303"/>
      <c r="S506" s="138"/>
      <c r="T506" s="142"/>
      <c r="U506" s="303"/>
      <c r="V506" s="138"/>
      <c r="W506" s="142"/>
      <c r="X506" s="303"/>
      <c r="Y506" s="30"/>
      <c r="Z506" s="30"/>
      <c r="AA506" s="30"/>
      <c r="AB506" s="30"/>
      <c r="AC506" s="30"/>
      <c r="AD506" s="30"/>
      <c r="AE506" s="30"/>
      <c r="AF506" s="30"/>
      <c r="AG506" s="30"/>
      <c r="AH506" s="30"/>
      <c r="AI506" s="30"/>
      <c r="AJ506" s="30"/>
      <c r="AK506" s="30"/>
      <c r="AL506" s="30"/>
      <c r="AM506" s="30"/>
      <c r="AN506" s="30"/>
    </row>
    <row r="507">
      <c r="A507" s="138"/>
      <c r="B507" s="142"/>
      <c r="C507" s="303"/>
      <c r="D507" s="138"/>
      <c r="E507" s="142"/>
      <c r="F507" s="303"/>
      <c r="G507" s="138"/>
      <c r="H507" s="142"/>
      <c r="I507" s="303"/>
      <c r="J507" s="138"/>
      <c r="K507" s="142"/>
      <c r="L507" s="303"/>
      <c r="M507" s="138"/>
      <c r="N507" s="142"/>
      <c r="O507" s="303"/>
      <c r="P507" s="138"/>
      <c r="Q507" s="142"/>
      <c r="R507" s="303"/>
      <c r="S507" s="138"/>
      <c r="T507" s="142"/>
      <c r="U507" s="303"/>
      <c r="V507" s="138"/>
      <c r="W507" s="142"/>
      <c r="X507" s="303"/>
      <c r="Y507" s="30"/>
      <c r="Z507" s="30"/>
      <c r="AA507" s="30"/>
      <c r="AB507" s="30"/>
      <c r="AC507" s="30"/>
      <c r="AD507" s="30"/>
      <c r="AE507" s="30"/>
      <c r="AF507" s="30"/>
      <c r="AG507" s="30"/>
      <c r="AH507" s="30"/>
      <c r="AI507" s="30"/>
      <c r="AJ507" s="30"/>
      <c r="AK507" s="30"/>
      <c r="AL507" s="30"/>
      <c r="AM507" s="30"/>
      <c r="AN507" s="30"/>
    </row>
    <row r="508">
      <c r="A508" s="138"/>
      <c r="B508" s="142"/>
      <c r="C508" s="303"/>
      <c r="D508" s="138"/>
      <c r="E508" s="142"/>
      <c r="F508" s="303"/>
      <c r="G508" s="138"/>
      <c r="H508" s="142"/>
      <c r="I508" s="303"/>
      <c r="J508" s="138"/>
      <c r="K508" s="142"/>
      <c r="L508" s="303"/>
      <c r="M508" s="138"/>
      <c r="N508" s="142"/>
      <c r="O508" s="303"/>
      <c r="P508" s="138"/>
      <c r="Q508" s="142"/>
      <c r="R508" s="303"/>
      <c r="S508" s="138"/>
      <c r="T508" s="142"/>
      <c r="U508" s="303"/>
      <c r="V508" s="138"/>
      <c r="W508" s="142"/>
      <c r="X508" s="303"/>
      <c r="Y508" s="30"/>
      <c r="Z508" s="30"/>
      <c r="AA508" s="30"/>
      <c r="AB508" s="30"/>
      <c r="AC508" s="30"/>
      <c r="AD508" s="30"/>
      <c r="AE508" s="30"/>
      <c r="AF508" s="30"/>
      <c r="AG508" s="30"/>
      <c r="AH508" s="30"/>
      <c r="AI508" s="30"/>
      <c r="AJ508" s="30"/>
      <c r="AK508" s="30"/>
      <c r="AL508" s="30"/>
      <c r="AM508" s="30"/>
      <c r="AN508" s="30"/>
    </row>
    <row r="509">
      <c r="A509" s="138"/>
      <c r="B509" s="142"/>
      <c r="C509" s="303"/>
      <c r="D509" s="138"/>
      <c r="E509" s="142"/>
      <c r="F509" s="303"/>
      <c r="G509" s="138"/>
      <c r="H509" s="142"/>
      <c r="I509" s="303"/>
      <c r="J509" s="138"/>
      <c r="K509" s="142"/>
      <c r="L509" s="303"/>
      <c r="M509" s="138"/>
      <c r="N509" s="142"/>
      <c r="O509" s="303"/>
      <c r="P509" s="138"/>
      <c r="Q509" s="142"/>
      <c r="R509" s="303"/>
      <c r="S509" s="138"/>
      <c r="T509" s="142"/>
      <c r="U509" s="303"/>
      <c r="V509" s="138"/>
      <c r="W509" s="142"/>
      <c r="X509" s="303"/>
      <c r="Y509" s="30"/>
      <c r="Z509" s="30"/>
      <c r="AA509" s="30"/>
      <c r="AB509" s="30"/>
      <c r="AC509" s="30"/>
      <c r="AD509" s="30"/>
      <c r="AE509" s="30"/>
      <c r="AF509" s="30"/>
      <c r="AG509" s="30"/>
      <c r="AH509" s="30"/>
      <c r="AI509" s="30"/>
      <c r="AJ509" s="30"/>
      <c r="AK509" s="30"/>
      <c r="AL509" s="30"/>
      <c r="AM509" s="30"/>
      <c r="AN509" s="30"/>
    </row>
    <row r="510">
      <c r="A510" s="138"/>
      <c r="B510" s="142"/>
      <c r="C510" s="303"/>
      <c r="D510" s="138"/>
      <c r="E510" s="142"/>
      <c r="F510" s="303"/>
      <c r="G510" s="138"/>
      <c r="H510" s="142"/>
      <c r="I510" s="303"/>
      <c r="J510" s="138"/>
      <c r="K510" s="142"/>
      <c r="L510" s="303"/>
      <c r="M510" s="138"/>
      <c r="N510" s="142"/>
      <c r="O510" s="303"/>
      <c r="P510" s="138"/>
      <c r="Q510" s="142"/>
      <c r="R510" s="303"/>
      <c r="S510" s="138"/>
      <c r="T510" s="142"/>
      <c r="U510" s="303"/>
      <c r="V510" s="138"/>
      <c r="W510" s="142"/>
      <c r="X510" s="303"/>
      <c r="Y510" s="30"/>
      <c r="Z510" s="30"/>
      <c r="AA510" s="30"/>
      <c r="AB510" s="30"/>
      <c r="AC510" s="30"/>
      <c r="AD510" s="30"/>
      <c r="AE510" s="30"/>
      <c r="AF510" s="30"/>
      <c r="AG510" s="30"/>
      <c r="AH510" s="30"/>
      <c r="AI510" s="30"/>
      <c r="AJ510" s="30"/>
      <c r="AK510" s="30"/>
      <c r="AL510" s="30"/>
      <c r="AM510" s="30"/>
      <c r="AN510" s="30"/>
    </row>
    <row r="511">
      <c r="A511" s="138"/>
      <c r="B511" s="142"/>
      <c r="C511" s="303"/>
      <c r="D511" s="138"/>
      <c r="E511" s="142"/>
      <c r="F511" s="303"/>
      <c r="G511" s="138"/>
      <c r="H511" s="142"/>
      <c r="I511" s="303"/>
      <c r="J511" s="138"/>
      <c r="K511" s="142"/>
      <c r="L511" s="303"/>
      <c r="M511" s="138"/>
      <c r="N511" s="142"/>
      <c r="O511" s="303"/>
      <c r="P511" s="138"/>
      <c r="Q511" s="142"/>
      <c r="R511" s="303"/>
      <c r="S511" s="138"/>
      <c r="T511" s="142"/>
      <c r="U511" s="303"/>
      <c r="V511" s="138"/>
      <c r="W511" s="142"/>
      <c r="X511" s="303"/>
      <c r="Y511" s="30"/>
      <c r="Z511" s="30"/>
      <c r="AA511" s="30"/>
      <c r="AB511" s="30"/>
      <c r="AC511" s="30"/>
      <c r="AD511" s="30"/>
      <c r="AE511" s="30"/>
      <c r="AF511" s="30"/>
      <c r="AG511" s="30"/>
      <c r="AH511" s="30"/>
      <c r="AI511" s="30"/>
      <c r="AJ511" s="30"/>
      <c r="AK511" s="30"/>
      <c r="AL511" s="30"/>
      <c r="AM511" s="30"/>
      <c r="AN511" s="30"/>
    </row>
    <row r="512">
      <c r="A512" s="138"/>
      <c r="B512" s="142"/>
      <c r="C512" s="303"/>
      <c r="D512" s="138"/>
      <c r="E512" s="142"/>
      <c r="F512" s="303"/>
      <c r="G512" s="138"/>
      <c r="H512" s="142"/>
      <c r="I512" s="303"/>
      <c r="J512" s="138"/>
      <c r="K512" s="142"/>
      <c r="L512" s="303"/>
      <c r="M512" s="138"/>
      <c r="N512" s="142"/>
      <c r="O512" s="303"/>
      <c r="P512" s="138"/>
      <c r="Q512" s="142"/>
      <c r="R512" s="303"/>
      <c r="S512" s="138"/>
      <c r="T512" s="142"/>
      <c r="U512" s="303"/>
      <c r="V512" s="138"/>
      <c r="W512" s="142"/>
      <c r="X512" s="303"/>
      <c r="Y512" s="30"/>
      <c r="Z512" s="30"/>
      <c r="AA512" s="30"/>
      <c r="AB512" s="30"/>
      <c r="AC512" s="30"/>
      <c r="AD512" s="30"/>
      <c r="AE512" s="30"/>
      <c r="AF512" s="30"/>
      <c r="AG512" s="30"/>
      <c r="AH512" s="30"/>
      <c r="AI512" s="30"/>
      <c r="AJ512" s="30"/>
      <c r="AK512" s="30"/>
      <c r="AL512" s="30"/>
      <c r="AM512" s="30"/>
      <c r="AN512" s="30"/>
    </row>
    <row r="513">
      <c r="A513" s="138"/>
      <c r="B513" s="142"/>
      <c r="C513" s="303"/>
      <c r="D513" s="138"/>
      <c r="E513" s="142"/>
      <c r="F513" s="303"/>
      <c r="G513" s="138"/>
      <c r="H513" s="142"/>
      <c r="I513" s="303"/>
      <c r="J513" s="138"/>
      <c r="K513" s="142"/>
      <c r="L513" s="303"/>
      <c r="M513" s="138"/>
      <c r="N513" s="142"/>
      <c r="O513" s="303"/>
      <c r="P513" s="138"/>
      <c r="Q513" s="142"/>
      <c r="R513" s="303"/>
      <c r="S513" s="138"/>
      <c r="T513" s="142"/>
      <c r="U513" s="303"/>
      <c r="V513" s="138"/>
      <c r="W513" s="142"/>
      <c r="X513" s="303"/>
      <c r="Y513" s="30"/>
      <c r="Z513" s="30"/>
      <c r="AA513" s="30"/>
      <c r="AB513" s="30"/>
      <c r="AC513" s="30"/>
      <c r="AD513" s="30"/>
      <c r="AE513" s="30"/>
      <c r="AF513" s="30"/>
      <c r="AG513" s="30"/>
      <c r="AH513" s="30"/>
      <c r="AI513" s="30"/>
      <c r="AJ513" s="30"/>
      <c r="AK513" s="30"/>
      <c r="AL513" s="30"/>
      <c r="AM513" s="30"/>
      <c r="AN513" s="30"/>
    </row>
    <row r="514">
      <c r="A514" s="138"/>
      <c r="B514" s="142"/>
      <c r="C514" s="303"/>
      <c r="D514" s="138"/>
      <c r="E514" s="142"/>
      <c r="F514" s="303"/>
      <c r="G514" s="138"/>
      <c r="H514" s="142"/>
      <c r="I514" s="303"/>
      <c r="J514" s="138"/>
      <c r="K514" s="142"/>
      <c r="L514" s="303"/>
      <c r="M514" s="138"/>
      <c r="N514" s="142"/>
      <c r="O514" s="303"/>
      <c r="P514" s="138"/>
      <c r="Q514" s="142"/>
      <c r="R514" s="303"/>
      <c r="S514" s="138"/>
      <c r="T514" s="142"/>
      <c r="U514" s="303"/>
      <c r="V514" s="138"/>
      <c r="W514" s="142"/>
      <c r="X514" s="303"/>
      <c r="Y514" s="30"/>
      <c r="Z514" s="30"/>
      <c r="AA514" s="30"/>
      <c r="AB514" s="30"/>
      <c r="AC514" s="30"/>
      <c r="AD514" s="30"/>
      <c r="AE514" s="30"/>
      <c r="AF514" s="30"/>
      <c r="AG514" s="30"/>
      <c r="AH514" s="30"/>
      <c r="AI514" s="30"/>
      <c r="AJ514" s="30"/>
      <c r="AK514" s="30"/>
      <c r="AL514" s="30"/>
      <c r="AM514" s="30"/>
      <c r="AN514" s="30"/>
    </row>
    <row r="515">
      <c r="A515" s="138"/>
      <c r="B515" s="142"/>
      <c r="C515" s="303"/>
      <c r="D515" s="138"/>
      <c r="E515" s="142"/>
      <c r="F515" s="303"/>
      <c r="G515" s="138"/>
      <c r="H515" s="142"/>
      <c r="I515" s="303"/>
      <c r="J515" s="138"/>
      <c r="K515" s="142"/>
      <c r="L515" s="303"/>
      <c r="M515" s="138"/>
      <c r="N515" s="142"/>
      <c r="O515" s="303"/>
      <c r="P515" s="138"/>
      <c r="Q515" s="142"/>
      <c r="R515" s="303"/>
      <c r="S515" s="138"/>
      <c r="T515" s="142"/>
      <c r="U515" s="303"/>
      <c r="V515" s="138"/>
      <c r="W515" s="142"/>
      <c r="X515" s="303"/>
      <c r="Y515" s="30"/>
      <c r="Z515" s="30"/>
      <c r="AA515" s="30"/>
      <c r="AB515" s="30"/>
      <c r="AC515" s="30"/>
      <c r="AD515" s="30"/>
      <c r="AE515" s="30"/>
      <c r="AF515" s="30"/>
      <c r="AG515" s="30"/>
      <c r="AH515" s="30"/>
      <c r="AI515" s="30"/>
      <c r="AJ515" s="30"/>
      <c r="AK515" s="30"/>
      <c r="AL515" s="30"/>
      <c r="AM515" s="30"/>
      <c r="AN515" s="30"/>
    </row>
    <row r="516">
      <c r="A516" s="138"/>
      <c r="B516" s="142"/>
      <c r="C516" s="303"/>
      <c r="D516" s="138"/>
      <c r="E516" s="142"/>
      <c r="F516" s="303"/>
      <c r="G516" s="138"/>
      <c r="H516" s="142"/>
      <c r="I516" s="303"/>
      <c r="J516" s="138"/>
      <c r="K516" s="142"/>
      <c r="L516" s="303"/>
      <c r="M516" s="138"/>
      <c r="N516" s="142"/>
      <c r="O516" s="303"/>
      <c r="P516" s="138"/>
      <c r="Q516" s="142"/>
      <c r="R516" s="303"/>
      <c r="S516" s="138"/>
      <c r="T516" s="142"/>
      <c r="U516" s="303"/>
      <c r="V516" s="138"/>
      <c r="W516" s="142"/>
      <c r="X516" s="303"/>
      <c r="Y516" s="30"/>
      <c r="Z516" s="30"/>
      <c r="AA516" s="30"/>
      <c r="AB516" s="30"/>
      <c r="AC516" s="30"/>
      <c r="AD516" s="30"/>
      <c r="AE516" s="30"/>
      <c r="AF516" s="30"/>
      <c r="AG516" s="30"/>
      <c r="AH516" s="30"/>
      <c r="AI516" s="30"/>
      <c r="AJ516" s="30"/>
      <c r="AK516" s="30"/>
      <c r="AL516" s="30"/>
      <c r="AM516" s="30"/>
      <c r="AN516" s="30"/>
    </row>
    <row r="517">
      <c r="A517" s="138"/>
      <c r="B517" s="142"/>
      <c r="C517" s="303"/>
      <c r="D517" s="138"/>
      <c r="E517" s="142"/>
      <c r="F517" s="303"/>
      <c r="G517" s="138"/>
      <c r="H517" s="142"/>
      <c r="I517" s="303"/>
      <c r="J517" s="138"/>
      <c r="K517" s="142"/>
      <c r="L517" s="303"/>
      <c r="M517" s="138"/>
      <c r="N517" s="142"/>
      <c r="O517" s="303"/>
      <c r="P517" s="138"/>
      <c r="Q517" s="142"/>
      <c r="R517" s="303"/>
      <c r="S517" s="138"/>
      <c r="T517" s="142"/>
      <c r="U517" s="303"/>
      <c r="V517" s="138"/>
      <c r="W517" s="142"/>
      <c r="X517" s="303"/>
      <c r="Y517" s="30"/>
      <c r="Z517" s="30"/>
      <c r="AA517" s="30"/>
      <c r="AB517" s="30"/>
      <c r="AC517" s="30"/>
      <c r="AD517" s="30"/>
      <c r="AE517" s="30"/>
      <c r="AF517" s="30"/>
      <c r="AG517" s="30"/>
      <c r="AH517" s="30"/>
      <c r="AI517" s="30"/>
      <c r="AJ517" s="30"/>
      <c r="AK517" s="30"/>
      <c r="AL517" s="30"/>
      <c r="AM517" s="30"/>
      <c r="AN517" s="30"/>
    </row>
    <row r="518">
      <c r="A518" s="138"/>
      <c r="B518" s="142"/>
      <c r="C518" s="303"/>
      <c r="D518" s="138"/>
      <c r="E518" s="142"/>
      <c r="F518" s="303"/>
      <c r="G518" s="138"/>
      <c r="H518" s="142"/>
      <c r="I518" s="303"/>
      <c r="J518" s="138"/>
      <c r="K518" s="142"/>
      <c r="L518" s="303"/>
      <c r="M518" s="138"/>
      <c r="N518" s="142"/>
      <c r="O518" s="303"/>
      <c r="P518" s="138"/>
      <c r="Q518" s="142"/>
      <c r="R518" s="303"/>
      <c r="S518" s="138"/>
      <c r="T518" s="142"/>
      <c r="U518" s="303"/>
      <c r="V518" s="138"/>
      <c r="W518" s="142"/>
      <c r="X518" s="303"/>
      <c r="Y518" s="30"/>
      <c r="Z518" s="30"/>
      <c r="AA518" s="30"/>
      <c r="AB518" s="30"/>
      <c r="AC518" s="30"/>
      <c r="AD518" s="30"/>
      <c r="AE518" s="30"/>
      <c r="AF518" s="30"/>
      <c r="AG518" s="30"/>
      <c r="AH518" s="30"/>
      <c r="AI518" s="30"/>
      <c r="AJ518" s="30"/>
      <c r="AK518" s="30"/>
      <c r="AL518" s="30"/>
      <c r="AM518" s="30"/>
      <c r="AN518" s="30"/>
    </row>
    <row r="519">
      <c r="A519" s="138"/>
      <c r="B519" s="142"/>
      <c r="C519" s="303"/>
      <c r="D519" s="138"/>
      <c r="E519" s="142"/>
      <c r="F519" s="303"/>
      <c r="G519" s="138"/>
      <c r="H519" s="142"/>
      <c r="I519" s="303"/>
      <c r="J519" s="138"/>
      <c r="K519" s="142"/>
      <c r="L519" s="303"/>
      <c r="M519" s="138"/>
      <c r="N519" s="142"/>
      <c r="O519" s="303"/>
      <c r="P519" s="138"/>
      <c r="Q519" s="142"/>
      <c r="R519" s="303"/>
      <c r="S519" s="138"/>
      <c r="T519" s="142"/>
      <c r="U519" s="303"/>
      <c r="V519" s="138"/>
      <c r="W519" s="142"/>
      <c r="X519" s="303"/>
      <c r="Y519" s="30"/>
      <c r="Z519" s="30"/>
      <c r="AA519" s="30"/>
      <c r="AB519" s="30"/>
      <c r="AC519" s="30"/>
      <c r="AD519" s="30"/>
      <c r="AE519" s="30"/>
      <c r="AF519" s="30"/>
      <c r="AG519" s="30"/>
      <c r="AH519" s="30"/>
      <c r="AI519" s="30"/>
      <c r="AJ519" s="30"/>
      <c r="AK519" s="30"/>
      <c r="AL519" s="30"/>
      <c r="AM519" s="30"/>
      <c r="AN519" s="30"/>
    </row>
    <row r="520">
      <c r="A520" s="138"/>
      <c r="B520" s="142"/>
      <c r="C520" s="303"/>
      <c r="D520" s="138"/>
      <c r="E520" s="142"/>
      <c r="F520" s="303"/>
      <c r="G520" s="138"/>
      <c r="H520" s="142"/>
      <c r="I520" s="303"/>
      <c r="J520" s="138"/>
      <c r="K520" s="142"/>
      <c r="L520" s="303"/>
      <c r="M520" s="138"/>
      <c r="N520" s="142"/>
      <c r="O520" s="303"/>
      <c r="P520" s="138"/>
      <c r="Q520" s="142"/>
      <c r="R520" s="303"/>
      <c r="S520" s="138"/>
      <c r="T520" s="142"/>
      <c r="U520" s="303"/>
      <c r="V520" s="138"/>
      <c r="W520" s="142"/>
      <c r="X520" s="303"/>
      <c r="Y520" s="30"/>
      <c r="Z520" s="30"/>
      <c r="AA520" s="30"/>
      <c r="AB520" s="30"/>
      <c r="AC520" s="30"/>
      <c r="AD520" s="30"/>
      <c r="AE520" s="30"/>
      <c r="AF520" s="30"/>
      <c r="AG520" s="30"/>
      <c r="AH520" s="30"/>
      <c r="AI520" s="30"/>
      <c r="AJ520" s="30"/>
      <c r="AK520" s="30"/>
      <c r="AL520" s="30"/>
      <c r="AM520" s="30"/>
      <c r="AN520" s="30"/>
    </row>
    <row r="521">
      <c r="A521" s="138"/>
      <c r="B521" s="142"/>
      <c r="C521" s="303"/>
      <c r="D521" s="138"/>
      <c r="E521" s="142"/>
      <c r="F521" s="303"/>
      <c r="G521" s="138"/>
      <c r="H521" s="142"/>
      <c r="I521" s="303"/>
      <c r="J521" s="138"/>
      <c r="K521" s="142"/>
      <c r="L521" s="303"/>
      <c r="M521" s="138"/>
      <c r="N521" s="142"/>
      <c r="O521" s="303"/>
      <c r="P521" s="138"/>
      <c r="Q521" s="142"/>
      <c r="R521" s="303"/>
      <c r="S521" s="138"/>
      <c r="T521" s="142"/>
      <c r="U521" s="303"/>
      <c r="V521" s="138"/>
      <c r="W521" s="142"/>
      <c r="X521" s="303"/>
      <c r="Y521" s="30"/>
      <c r="Z521" s="30"/>
      <c r="AA521" s="30"/>
      <c r="AB521" s="30"/>
      <c r="AC521" s="30"/>
      <c r="AD521" s="30"/>
      <c r="AE521" s="30"/>
      <c r="AF521" s="30"/>
      <c r="AG521" s="30"/>
      <c r="AH521" s="30"/>
      <c r="AI521" s="30"/>
      <c r="AJ521" s="30"/>
      <c r="AK521" s="30"/>
      <c r="AL521" s="30"/>
      <c r="AM521" s="30"/>
      <c r="AN521" s="30"/>
    </row>
    <row r="522">
      <c r="A522" s="138"/>
      <c r="B522" s="142"/>
      <c r="C522" s="303"/>
      <c r="D522" s="138"/>
      <c r="E522" s="142"/>
      <c r="F522" s="303"/>
      <c r="G522" s="138"/>
      <c r="H522" s="142"/>
      <c r="I522" s="303"/>
      <c r="J522" s="138"/>
      <c r="K522" s="142"/>
      <c r="L522" s="303"/>
      <c r="M522" s="138"/>
      <c r="N522" s="142"/>
      <c r="O522" s="303"/>
      <c r="P522" s="138"/>
      <c r="Q522" s="142"/>
      <c r="R522" s="303"/>
      <c r="S522" s="138"/>
      <c r="T522" s="142"/>
      <c r="U522" s="303"/>
      <c r="V522" s="138"/>
      <c r="W522" s="142"/>
      <c r="X522" s="303"/>
      <c r="Y522" s="30"/>
      <c r="Z522" s="30"/>
      <c r="AA522" s="30"/>
      <c r="AB522" s="30"/>
      <c r="AC522" s="30"/>
      <c r="AD522" s="30"/>
      <c r="AE522" s="30"/>
      <c r="AF522" s="30"/>
      <c r="AG522" s="30"/>
      <c r="AH522" s="30"/>
      <c r="AI522" s="30"/>
      <c r="AJ522" s="30"/>
      <c r="AK522" s="30"/>
      <c r="AL522" s="30"/>
      <c r="AM522" s="30"/>
      <c r="AN522" s="30"/>
    </row>
    <row r="523">
      <c r="A523" s="138"/>
      <c r="B523" s="142"/>
      <c r="C523" s="303"/>
      <c r="D523" s="138"/>
      <c r="E523" s="142"/>
      <c r="F523" s="303"/>
      <c r="G523" s="138"/>
      <c r="H523" s="142"/>
      <c r="I523" s="303"/>
      <c r="J523" s="138"/>
      <c r="K523" s="142"/>
      <c r="L523" s="303"/>
      <c r="M523" s="138"/>
      <c r="N523" s="142"/>
      <c r="O523" s="303"/>
      <c r="P523" s="138"/>
      <c r="Q523" s="142"/>
      <c r="R523" s="303"/>
      <c r="S523" s="138"/>
      <c r="T523" s="142"/>
      <c r="U523" s="303"/>
      <c r="V523" s="138"/>
      <c r="W523" s="142"/>
      <c r="X523" s="303"/>
      <c r="Y523" s="30"/>
      <c r="Z523" s="30"/>
      <c r="AA523" s="30"/>
      <c r="AB523" s="30"/>
      <c r="AC523" s="30"/>
      <c r="AD523" s="30"/>
      <c r="AE523" s="30"/>
      <c r="AF523" s="30"/>
      <c r="AG523" s="30"/>
      <c r="AH523" s="30"/>
      <c r="AI523" s="30"/>
      <c r="AJ523" s="30"/>
      <c r="AK523" s="30"/>
      <c r="AL523" s="30"/>
      <c r="AM523" s="30"/>
      <c r="AN523" s="30"/>
    </row>
    <row r="524">
      <c r="A524" s="138"/>
      <c r="B524" s="142"/>
      <c r="C524" s="303"/>
      <c r="D524" s="138"/>
      <c r="E524" s="142"/>
      <c r="F524" s="303"/>
      <c r="G524" s="138"/>
      <c r="H524" s="142"/>
      <c r="I524" s="303"/>
      <c r="J524" s="138"/>
      <c r="K524" s="142"/>
      <c r="L524" s="303"/>
      <c r="M524" s="138"/>
      <c r="N524" s="142"/>
      <c r="O524" s="303"/>
      <c r="P524" s="138"/>
      <c r="Q524" s="142"/>
      <c r="R524" s="303"/>
      <c r="S524" s="138"/>
      <c r="T524" s="142"/>
      <c r="U524" s="303"/>
      <c r="V524" s="138"/>
      <c r="W524" s="142"/>
      <c r="X524" s="303"/>
      <c r="Y524" s="30"/>
      <c r="Z524" s="30"/>
      <c r="AA524" s="30"/>
      <c r="AB524" s="30"/>
      <c r="AC524" s="30"/>
      <c r="AD524" s="30"/>
      <c r="AE524" s="30"/>
      <c r="AF524" s="30"/>
      <c r="AG524" s="30"/>
      <c r="AH524" s="30"/>
      <c r="AI524" s="30"/>
      <c r="AJ524" s="30"/>
      <c r="AK524" s="30"/>
      <c r="AL524" s="30"/>
      <c r="AM524" s="30"/>
      <c r="AN524" s="30"/>
    </row>
    <row r="525">
      <c r="A525" s="138"/>
      <c r="B525" s="142"/>
      <c r="C525" s="303"/>
      <c r="D525" s="138"/>
      <c r="E525" s="142"/>
      <c r="F525" s="303"/>
      <c r="G525" s="138"/>
      <c r="H525" s="142"/>
      <c r="I525" s="303"/>
      <c r="J525" s="138"/>
      <c r="K525" s="142"/>
      <c r="L525" s="303"/>
      <c r="M525" s="138"/>
      <c r="N525" s="142"/>
      <c r="O525" s="303"/>
      <c r="P525" s="138"/>
      <c r="Q525" s="142"/>
      <c r="R525" s="303"/>
      <c r="S525" s="138"/>
      <c r="T525" s="142"/>
      <c r="U525" s="303"/>
      <c r="V525" s="138"/>
      <c r="W525" s="142"/>
      <c r="X525" s="303"/>
      <c r="Y525" s="30"/>
      <c r="Z525" s="30"/>
      <c r="AA525" s="30"/>
      <c r="AB525" s="30"/>
      <c r="AC525" s="30"/>
      <c r="AD525" s="30"/>
      <c r="AE525" s="30"/>
      <c r="AF525" s="30"/>
      <c r="AG525" s="30"/>
      <c r="AH525" s="30"/>
      <c r="AI525" s="30"/>
      <c r="AJ525" s="30"/>
      <c r="AK525" s="30"/>
      <c r="AL525" s="30"/>
      <c r="AM525" s="30"/>
      <c r="AN525" s="30"/>
    </row>
    <row r="526">
      <c r="A526" s="138"/>
      <c r="B526" s="142"/>
      <c r="C526" s="303"/>
      <c r="D526" s="138"/>
      <c r="E526" s="142"/>
      <c r="F526" s="303"/>
      <c r="G526" s="138"/>
      <c r="H526" s="142"/>
      <c r="I526" s="303"/>
      <c r="J526" s="138"/>
      <c r="K526" s="142"/>
      <c r="L526" s="303"/>
      <c r="M526" s="138"/>
      <c r="N526" s="142"/>
      <c r="O526" s="303"/>
      <c r="P526" s="138"/>
      <c r="Q526" s="142"/>
      <c r="R526" s="303"/>
      <c r="S526" s="138"/>
      <c r="T526" s="142"/>
      <c r="U526" s="303"/>
      <c r="V526" s="138"/>
      <c r="W526" s="142"/>
      <c r="X526" s="303"/>
      <c r="Y526" s="30"/>
      <c r="Z526" s="30"/>
      <c r="AA526" s="30"/>
      <c r="AB526" s="30"/>
      <c r="AC526" s="30"/>
      <c r="AD526" s="30"/>
      <c r="AE526" s="30"/>
      <c r="AF526" s="30"/>
      <c r="AG526" s="30"/>
      <c r="AH526" s="30"/>
      <c r="AI526" s="30"/>
      <c r="AJ526" s="30"/>
      <c r="AK526" s="30"/>
      <c r="AL526" s="30"/>
      <c r="AM526" s="30"/>
      <c r="AN526" s="30"/>
    </row>
    <row r="527">
      <c r="A527" s="138"/>
      <c r="B527" s="142"/>
      <c r="C527" s="303"/>
      <c r="D527" s="138"/>
      <c r="E527" s="142"/>
      <c r="F527" s="303"/>
      <c r="G527" s="138"/>
      <c r="H527" s="142"/>
      <c r="I527" s="303"/>
      <c r="J527" s="138"/>
      <c r="K527" s="142"/>
      <c r="L527" s="303"/>
      <c r="M527" s="138"/>
      <c r="N527" s="142"/>
      <c r="O527" s="303"/>
      <c r="P527" s="138"/>
      <c r="Q527" s="142"/>
      <c r="R527" s="303"/>
      <c r="S527" s="138"/>
      <c r="T527" s="142"/>
      <c r="U527" s="303"/>
      <c r="V527" s="138"/>
      <c r="W527" s="142"/>
      <c r="X527" s="303"/>
      <c r="Y527" s="30"/>
      <c r="Z527" s="30"/>
      <c r="AA527" s="30"/>
      <c r="AB527" s="30"/>
      <c r="AC527" s="30"/>
      <c r="AD527" s="30"/>
      <c r="AE527" s="30"/>
      <c r="AF527" s="30"/>
      <c r="AG527" s="30"/>
      <c r="AH527" s="30"/>
      <c r="AI527" s="30"/>
      <c r="AJ527" s="30"/>
      <c r="AK527" s="30"/>
      <c r="AL527" s="30"/>
      <c r="AM527" s="30"/>
      <c r="AN527" s="30"/>
    </row>
    <row r="528">
      <c r="A528" s="138"/>
      <c r="B528" s="142"/>
      <c r="C528" s="303"/>
      <c r="D528" s="138"/>
      <c r="E528" s="142"/>
      <c r="F528" s="303"/>
      <c r="G528" s="138"/>
      <c r="H528" s="142"/>
      <c r="I528" s="303"/>
      <c r="J528" s="138"/>
      <c r="K528" s="142"/>
      <c r="L528" s="303"/>
      <c r="M528" s="138"/>
      <c r="N528" s="142"/>
      <c r="O528" s="303"/>
      <c r="P528" s="138"/>
      <c r="Q528" s="142"/>
      <c r="R528" s="303"/>
      <c r="S528" s="138"/>
      <c r="T528" s="142"/>
      <c r="U528" s="303"/>
      <c r="V528" s="138"/>
      <c r="W528" s="142"/>
      <c r="X528" s="303"/>
      <c r="Y528" s="30"/>
      <c r="Z528" s="30"/>
      <c r="AA528" s="30"/>
      <c r="AB528" s="30"/>
      <c r="AC528" s="30"/>
      <c r="AD528" s="30"/>
      <c r="AE528" s="30"/>
      <c r="AF528" s="30"/>
      <c r="AG528" s="30"/>
      <c r="AH528" s="30"/>
      <c r="AI528" s="30"/>
      <c r="AJ528" s="30"/>
      <c r="AK528" s="30"/>
      <c r="AL528" s="30"/>
      <c r="AM528" s="30"/>
      <c r="AN528" s="30"/>
    </row>
    <row r="529">
      <c r="A529" s="138"/>
      <c r="B529" s="142"/>
      <c r="C529" s="303"/>
      <c r="D529" s="138"/>
      <c r="E529" s="142"/>
      <c r="F529" s="303"/>
      <c r="G529" s="138"/>
      <c r="H529" s="142"/>
      <c r="I529" s="303"/>
      <c r="J529" s="138"/>
      <c r="K529" s="142"/>
      <c r="L529" s="303"/>
      <c r="M529" s="138"/>
      <c r="N529" s="142"/>
      <c r="O529" s="303"/>
      <c r="P529" s="138"/>
      <c r="Q529" s="142"/>
      <c r="R529" s="303"/>
      <c r="S529" s="138"/>
      <c r="T529" s="142"/>
      <c r="U529" s="303"/>
      <c r="V529" s="138"/>
      <c r="W529" s="142"/>
      <c r="X529" s="303"/>
      <c r="Y529" s="30"/>
      <c r="Z529" s="30"/>
      <c r="AA529" s="30"/>
      <c r="AB529" s="30"/>
      <c r="AC529" s="30"/>
      <c r="AD529" s="30"/>
      <c r="AE529" s="30"/>
      <c r="AF529" s="30"/>
      <c r="AG529" s="30"/>
      <c r="AH529" s="30"/>
      <c r="AI529" s="30"/>
      <c r="AJ529" s="30"/>
      <c r="AK529" s="30"/>
      <c r="AL529" s="30"/>
      <c r="AM529" s="30"/>
      <c r="AN529" s="30"/>
    </row>
    <row r="530">
      <c r="A530" s="138"/>
      <c r="B530" s="142"/>
      <c r="C530" s="303"/>
      <c r="D530" s="138"/>
      <c r="E530" s="142"/>
      <c r="F530" s="303"/>
      <c r="G530" s="138"/>
      <c r="H530" s="142"/>
      <c r="I530" s="303"/>
      <c r="J530" s="138"/>
      <c r="K530" s="142"/>
      <c r="L530" s="303"/>
      <c r="M530" s="138"/>
      <c r="N530" s="142"/>
      <c r="O530" s="303"/>
      <c r="P530" s="138"/>
      <c r="Q530" s="142"/>
      <c r="R530" s="303"/>
      <c r="S530" s="138"/>
      <c r="T530" s="142"/>
      <c r="U530" s="303"/>
      <c r="V530" s="138"/>
      <c r="W530" s="142"/>
      <c r="X530" s="303"/>
      <c r="Y530" s="30"/>
      <c r="Z530" s="30"/>
      <c r="AA530" s="30"/>
      <c r="AB530" s="30"/>
      <c r="AC530" s="30"/>
      <c r="AD530" s="30"/>
      <c r="AE530" s="30"/>
      <c r="AF530" s="30"/>
      <c r="AG530" s="30"/>
      <c r="AH530" s="30"/>
      <c r="AI530" s="30"/>
      <c r="AJ530" s="30"/>
      <c r="AK530" s="30"/>
      <c r="AL530" s="30"/>
      <c r="AM530" s="30"/>
      <c r="AN530" s="30"/>
    </row>
    <row r="531">
      <c r="A531" s="138"/>
      <c r="B531" s="142"/>
      <c r="C531" s="303"/>
      <c r="D531" s="138"/>
      <c r="E531" s="142"/>
      <c r="F531" s="303"/>
      <c r="G531" s="138"/>
      <c r="H531" s="142"/>
      <c r="I531" s="303"/>
      <c r="J531" s="138"/>
      <c r="K531" s="142"/>
      <c r="L531" s="303"/>
      <c r="M531" s="138"/>
      <c r="N531" s="142"/>
      <c r="O531" s="303"/>
      <c r="P531" s="138"/>
      <c r="Q531" s="142"/>
      <c r="R531" s="303"/>
      <c r="S531" s="138"/>
      <c r="T531" s="142"/>
      <c r="U531" s="303"/>
      <c r="V531" s="138"/>
      <c r="W531" s="142"/>
      <c r="X531" s="303"/>
      <c r="Y531" s="30"/>
      <c r="Z531" s="30"/>
      <c r="AA531" s="30"/>
      <c r="AB531" s="30"/>
      <c r="AC531" s="30"/>
      <c r="AD531" s="30"/>
      <c r="AE531" s="30"/>
      <c r="AF531" s="30"/>
      <c r="AG531" s="30"/>
      <c r="AH531" s="30"/>
      <c r="AI531" s="30"/>
      <c r="AJ531" s="30"/>
      <c r="AK531" s="30"/>
      <c r="AL531" s="30"/>
      <c r="AM531" s="30"/>
      <c r="AN531" s="30"/>
    </row>
    <row r="532">
      <c r="A532" s="138"/>
      <c r="B532" s="142"/>
      <c r="C532" s="303"/>
      <c r="D532" s="138"/>
      <c r="E532" s="142"/>
      <c r="F532" s="303"/>
      <c r="G532" s="138"/>
      <c r="H532" s="142"/>
      <c r="I532" s="303"/>
      <c r="J532" s="138"/>
      <c r="K532" s="142"/>
      <c r="L532" s="303"/>
      <c r="M532" s="138"/>
      <c r="N532" s="142"/>
      <c r="O532" s="303"/>
      <c r="P532" s="138"/>
      <c r="Q532" s="142"/>
      <c r="R532" s="303"/>
      <c r="S532" s="138"/>
      <c r="T532" s="142"/>
      <c r="U532" s="303"/>
      <c r="V532" s="138"/>
      <c r="W532" s="142"/>
      <c r="X532" s="303"/>
      <c r="Y532" s="30"/>
      <c r="Z532" s="30"/>
      <c r="AA532" s="30"/>
      <c r="AB532" s="30"/>
      <c r="AC532" s="30"/>
      <c r="AD532" s="30"/>
      <c r="AE532" s="30"/>
      <c r="AF532" s="30"/>
      <c r="AG532" s="30"/>
      <c r="AH532" s="30"/>
      <c r="AI532" s="30"/>
      <c r="AJ532" s="30"/>
      <c r="AK532" s="30"/>
      <c r="AL532" s="30"/>
      <c r="AM532" s="30"/>
      <c r="AN532" s="30"/>
    </row>
    <row r="533">
      <c r="A533" s="138"/>
      <c r="B533" s="142"/>
      <c r="C533" s="303"/>
      <c r="D533" s="138"/>
      <c r="E533" s="142"/>
      <c r="F533" s="303"/>
      <c r="G533" s="138"/>
      <c r="H533" s="142"/>
      <c r="I533" s="303"/>
      <c r="J533" s="138"/>
      <c r="K533" s="142"/>
      <c r="L533" s="303"/>
      <c r="M533" s="138"/>
      <c r="N533" s="142"/>
      <c r="O533" s="303"/>
      <c r="P533" s="138"/>
      <c r="Q533" s="142"/>
      <c r="R533" s="303"/>
      <c r="S533" s="138"/>
      <c r="T533" s="142"/>
      <c r="U533" s="303"/>
      <c r="V533" s="138"/>
      <c r="W533" s="142"/>
      <c r="X533" s="303"/>
      <c r="Y533" s="30"/>
      <c r="Z533" s="30"/>
      <c r="AA533" s="30"/>
      <c r="AB533" s="30"/>
      <c r="AC533" s="30"/>
      <c r="AD533" s="30"/>
      <c r="AE533" s="30"/>
      <c r="AF533" s="30"/>
      <c r="AG533" s="30"/>
      <c r="AH533" s="30"/>
      <c r="AI533" s="30"/>
      <c r="AJ533" s="30"/>
      <c r="AK533" s="30"/>
      <c r="AL533" s="30"/>
      <c r="AM533" s="30"/>
      <c r="AN533" s="30"/>
    </row>
    <row r="534">
      <c r="A534" s="138"/>
      <c r="B534" s="142"/>
      <c r="C534" s="303"/>
      <c r="D534" s="138"/>
      <c r="E534" s="142"/>
      <c r="F534" s="303"/>
      <c r="G534" s="138"/>
      <c r="H534" s="142"/>
      <c r="I534" s="303"/>
      <c r="J534" s="138"/>
      <c r="K534" s="142"/>
      <c r="L534" s="303"/>
      <c r="M534" s="138"/>
      <c r="N534" s="142"/>
      <c r="O534" s="303"/>
      <c r="P534" s="138"/>
      <c r="Q534" s="142"/>
      <c r="R534" s="303"/>
      <c r="S534" s="138"/>
      <c r="T534" s="142"/>
      <c r="U534" s="303"/>
      <c r="V534" s="138"/>
      <c r="W534" s="142"/>
      <c r="X534" s="303"/>
      <c r="Y534" s="30"/>
      <c r="Z534" s="30"/>
      <c r="AA534" s="30"/>
      <c r="AB534" s="30"/>
      <c r="AC534" s="30"/>
      <c r="AD534" s="30"/>
      <c r="AE534" s="30"/>
      <c r="AF534" s="30"/>
      <c r="AG534" s="30"/>
      <c r="AH534" s="30"/>
      <c r="AI534" s="30"/>
      <c r="AJ534" s="30"/>
      <c r="AK534" s="30"/>
      <c r="AL534" s="30"/>
      <c r="AM534" s="30"/>
      <c r="AN534" s="30"/>
    </row>
    <row r="535">
      <c r="A535" s="138"/>
      <c r="B535" s="142"/>
      <c r="C535" s="303"/>
      <c r="D535" s="138"/>
      <c r="E535" s="142"/>
      <c r="F535" s="303"/>
      <c r="G535" s="138"/>
      <c r="H535" s="142"/>
      <c r="I535" s="303"/>
      <c r="J535" s="138"/>
      <c r="K535" s="142"/>
      <c r="L535" s="303"/>
      <c r="M535" s="138"/>
      <c r="N535" s="142"/>
      <c r="O535" s="303"/>
      <c r="P535" s="138"/>
      <c r="Q535" s="142"/>
      <c r="R535" s="303"/>
      <c r="S535" s="138"/>
      <c r="T535" s="142"/>
      <c r="U535" s="303"/>
      <c r="V535" s="138"/>
      <c r="W535" s="142"/>
      <c r="X535" s="303"/>
      <c r="Y535" s="30"/>
      <c r="Z535" s="30"/>
      <c r="AA535" s="30"/>
      <c r="AB535" s="30"/>
      <c r="AC535" s="30"/>
      <c r="AD535" s="30"/>
      <c r="AE535" s="30"/>
      <c r="AF535" s="30"/>
      <c r="AG535" s="30"/>
      <c r="AH535" s="30"/>
      <c r="AI535" s="30"/>
      <c r="AJ535" s="30"/>
      <c r="AK535" s="30"/>
      <c r="AL535" s="30"/>
      <c r="AM535" s="30"/>
      <c r="AN535" s="30"/>
    </row>
    <row r="536">
      <c r="A536" s="138"/>
      <c r="B536" s="142"/>
      <c r="C536" s="303"/>
      <c r="D536" s="138"/>
      <c r="E536" s="142"/>
      <c r="F536" s="303"/>
      <c r="G536" s="138"/>
      <c r="H536" s="142"/>
      <c r="I536" s="303"/>
      <c r="J536" s="138"/>
      <c r="K536" s="142"/>
      <c r="L536" s="303"/>
      <c r="M536" s="138"/>
      <c r="N536" s="142"/>
      <c r="O536" s="303"/>
      <c r="P536" s="138"/>
      <c r="Q536" s="142"/>
      <c r="R536" s="303"/>
      <c r="S536" s="138"/>
      <c r="T536" s="142"/>
      <c r="U536" s="303"/>
      <c r="V536" s="138"/>
      <c r="W536" s="142"/>
      <c r="X536" s="303"/>
      <c r="Y536" s="30"/>
      <c r="Z536" s="30"/>
      <c r="AA536" s="30"/>
      <c r="AB536" s="30"/>
      <c r="AC536" s="30"/>
      <c r="AD536" s="30"/>
      <c r="AE536" s="30"/>
      <c r="AF536" s="30"/>
      <c r="AG536" s="30"/>
      <c r="AH536" s="30"/>
      <c r="AI536" s="30"/>
      <c r="AJ536" s="30"/>
      <c r="AK536" s="30"/>
      <c r="AL536" s="30"/>
      <c r="AM536" s="30"/>
      <c r="AN536" s="30"/>
    </row>
    <row r="537">
      <c r="A537" s="138"/>
      <c r="B537" s="142"/>
      <c r="C537" s="303"/>
      <c r="D537" s="138"/>
      <c r="E537" s="142"/>
      <c r="F537" s="303"/>
      <c r="G537" s="138"/>
      <c r="H537" s="142"/>
      <c r="I537" s="303"/>
      <c r="J537" s="138"/>
      <c r="K537" s="142"/>
      <c r="L537" s="303"/>
      <c r="M537" s="138"/>
      <c r="N537" s="142"/>
      <c r="O537" s="303"/>
      <c r="P537" s="138"/>
      <c r="Q537" s="142"/>
      <c r="R537" s="303"/>
      <c r="S537" s="138"/>
      <c r="T537" s="142"/>
      <c r="U537" s="303"/>
      <c r="V537" s="138"/>
      <c r="W537" s="142"/>
      <c r="X537" s="303"/>
      <c r="Y537" s="30"/>
      <c r="Z537" s="30"/>
      <c r="AA537" s="30"/>
      <c r="AB537" s="30"/>
      <c r="AC537" s="30"/>
      <c r="AD537" s="30"/>
      <c r="AE537" s="30"/>
      <c r="AF537" s="30"/>
      <c r="AG537" s="30"/>
      <c r="AH537" s="30"/>
      <c r="AI537" s="30"/>
      <c r="AJ537" s="30"/>
      <c r="AK537" s="30"/>
      <c r="AL537" s="30"/>
      <c r="AM537" s="30"/>
      <c r="AN537" s="30"/>
    </row>
    <row r="538">
      <c r="A538" s="138"/>
      <c r="B538" s="142"/>
      <c r="C538" s="303"/>
      <c r="D538" s="138"/>
      <c r="E538" s="142"/>
      <c r="F538" s="303"/>
      <c r="G538" s="138"/>
      <c r="H538" s="142"/>
      <c r="I538" s="303"/>
      <c r="J538" s="138"/>
      <c r="K538" s="142"/>
      <c r="L538" s="303"/>
      <c r="M538" s="138"/>
      <c r="N538" s="142"/>
      <c r="O538" s="303"/>
      <c r="P538" s="138"/>
      <c r="Q538" s="142"/>
      <c r="R538" s="303"/>
      <c r="S538" s="138"/>
      <c r="T538" s="142"/>
      <c r="U538" s="303"/>
      <c r="V538" s="138"/>
      <c r="W538" s="142"/>
      <c r="X538" s="303"/>
      <c r="Y538" s="30"/>
      <c r="Z538" s="30"/>
      <c r="AA538" s="30"/>
      <c r="AB538" s="30"/>
      <c r="AC538" s="30"/>
      <c r="AD538" s="30"/>
      <c r="AE538" s="30"/>
      <c r="AF538" s="30"/>
      <c r="AG538" s="30"/>
      <c r="AH538" s="30"/>
      <c r="AI538" s="30"/>
      <c r="AJ538" s="30"/>
      <c r="AK538" s="30"/>
      <c r="AL538" s="30"/>
      <c r="AM538" s="30"/>
      <c r="AN538" s="30"/>
    </row>
    <row r="539">
      <c r="A539" s="138"/>
      <c r="B539" s="142"/>
      <c r="C539" s="303"/>
      <c r="D539" s="138"/>
      <c r="E539" s="142"/>
      <c r="F539" s="303"/>
      <c r="G539" s="138"/>
      <c r="H539" s="142"/>
      <c r="I539" s="303"/>
      <c r="J539" s="138"/>
      <c r="K539" s="142"/>
      <c r="L539" s="303"/>
      <c r="M539" s="138"/>
      <c r="N539" s="142"/>
      <c r="O539" s="303"/>
      <c r="P539" s="138"/>
      <c r="Q539" s="142"/>
      <c r="R539" s="303"/>
      <c r="S539" s="138"/>
      <c r="T539" s="142"/>
      <c r="U539" s="303"/>
      <c r="V539" s="138"/>
      <c r="W539" s="142"/>
      <c r="X539" s="303"/>
      <c r="Y539" s="30"/>
      <c r="Z539" s="30"/>
      <c r="AA539" s="30"/>
      <c r="AB539" s="30"/>
      <c r="AC539" s="30"/>
      <c r="AD539" s="30"/>
      <c r="AE539" s="30"/>
      <c r="AF539" s="30"/>
      <c r="AG539" s="30"/>
      <c r="AH539" s="30"/>
      <c r="AI539" s="30"/>
      <c r="AJ539" s="30"/>
      <c r="AK539" s="30"/>
      <c r="AL539" s="30"/>
      <c r="AM539" s="30"/>
      <c r="AN539" s="30"/>
    </row>
    <row r="540">
      <c r="A540" s="138"/>
      <c r="B540" s="142"/>
      <c r="C540" s="303"/>
      <c r="D540" s="138"/>
      <c r="E540" s="142"/>
      <c r="F540" s="303"/>
      <c r="G540" s="138"/>
      <c r="H540" s="142"/>
      <c r="I540" s="303"/>
      <c r="J540" s="138"/>
      <c r="K540" s="142"/>
      <c r="L540" s="303"/>
      <c r="M540" s="138"/>
      <c r="N540" s="142"/>
      <c r="O540" s="303"/>
      <c r="P540" s="138"/>
      <c r="Q540" s="142"/>
      <c r="R540" s="303"/>
      <c r="S540" s="138"/>
      <c r="T540" s="142"/>
      <c r="U540" s="303"/>
      <c r="V540" s="138"/>
      <c r="W540" s="142"/>
      <c r="X540" s="303"/>
      <c r="Y540" s="30"/>
      <c r="Z540" s="30"/>
      <c r="AA540" s="30"/>
      <c r="AB540" s="30"/>
      <c r="AC540" s="30"/>
      <c r="AD540" s="30"/>
      <c r="AE540" s="30"/>
      <c r="AF540" s="30"/>
      <c r="AG540" s="30"/>
      <c r="AH540" s="30"/>
      <c r="AI540" s="30"/>
      <c r="AJ540" s="30"/>
      <c r="AK540" s="30"/>
      <c r="AL540" s="30"/>
      <c r="AM540" s="30"/>
      <c r="AN540" s="30"/>
    </row>
    <row r="541">
      <c r="A541" s="138"/>
      <c r="B541" s="142"/>
      <c r="C541" s="303"/>
      <c r="D541" s="138"/>
      <c r="E541" s="142"/>
      <c r="F541" s="303"/>
      <c r="G541" s="138"/>
      <c r="H541" s="142"/>
      <c r="I541" s="303"/>
      <c r="J541" s="138"/>
      <c r="K541" s="142"/>
      <c r="L541" s="303"/>
      <c r="M541" s="138"/>
      <c r="N541" s="142"/>
      <c r="O541" s="303"/>
      <c r="P541" s="138"/>
      <c r="Q541" s="142"/>
      <c r="R541" s="303"/>
      <c r="S541" s="138"/>
      <c r="T541" s="142"/>
      <c r="U541" s="303"/>
      <c r="V541" s="138"/>
      <c r="W541" s="142"/>
      <c r="X541" s="303"/>
      <c r="Y541" s="30"/>
      <c r="Z541" s="30"/>
      <c r="AA541" s="30"/>
      <c r="AB541" s="30"/>
      <c r="AC541" s="30"/>
      <c r="AD541" s="30"/>
      <c r="AE541" s="30"/>
      <c r="AF541" s="30"/>
      <c r="AG541" s="30"/>
      <c r="AH541" s="30"/>
      <c r="AI541" s="30"/>
      <c r="AJ541" s="30"/>
      <c r="AK541" s="30"/>
      <c r="AL541" s="30"/>
      <c r="AM541" s="30"/>
      <c r="AN541" s="30"/>
    </row>
    <row r="542">
      <c r="A542" s="138"/>
      <c r="B542" s="142"/>
      <c r="C542" s="303"/>
      <c r="D542" s="138"/>
      <c r="E542" s="142"/>
      <c r="F542" s="303"/>
      <c r="G542" s="138"/>
      <c r="H542" s="142"/>
      <c r="I542" s="303"/>
      <c r="J542" s="138"/>
      <c r="K542" s="142"/>
      <c r="L542" s="303"/>
      <c r="M542" s="138"/>
      <c r="N542" s="142"/>
      <c r="O542" s="303"/>
      <c r="P542" s="138"/>
      <c r="Q542" s="142"/>
      <c r="R542" s="303"/>
      <c r="S542" s="138"/>
      <c r="T542" s="142"/>
      <c r="U542" s="303"/>
      <c r="V542" s="138"/>
      <c r="W542" s="142"/>
      <c r="X542" s="303"/>
      <c r="Y542" s="30"/>
      <c r="Z542" s="30"/>
      <c r="AA542" s="30"/>
      <c r="AB542" s="30"/>
      <c r="AC542" s="30"/>
      <c r="AD542" s="30"/>
      <c r="AE542" s="30"/>
      <c r="AF542" s="30"/>
      <c r="AG542" s="30"/>
      <c r="AH542" s="30"/>
      <c r="AI542" s="30"/>
      <c r="AJ542" s="30"/>
      <c r="AK542" s="30"/>
      <c r="AL542" s="30"/>
      <c r="AM542" s="30"/>
      <c r="AN542" s="30"/>
    </row>
    <row r="543">
      <c r="A543" s="138"/>
      <c r="B543" s="142"/>
      <c r="C543" s="303"/>
      <c r="D543" s="138"/>
      <c r="E543" s="142"/>
      <c r="F543" s="303"/>
      <c r="G543" s="138"/>
      <c r="H543" s="142"/>
      <c r="I543" s="303"/>
      <c r="J543" s="138"/>
      <c r="K543" s="142"/>
      <c r="L543" s="303"/>
      <c r="M543" s="138"/>
      <c r="N543" s="142"/>
      <c r="O543" s="303"/>
      <c r="P543" s="138"/>
      <c r="Q543" s="142"/>
      <c r="R543" s="303"/>
      <c r="S543" s="138"/>
      <c r="T543" s="142"/>
      <c r="U543" s="303"/>
      <c r="V543" s="138"/>
      <c r="W543" s="142"/>
      <c r="X543" s="303"/>
      <c r="Y543" s="30"/>
      <c r="Z543" s="30"/>
      <c r="AA543" s="30"/>
      <c r="AB543" s="30"/>
      <c r="AC543" s="30"/>
      <c r="AD543" s="30"/>
      <c r="AE543" s="30"/>
      <c r="AF543" s="30"/>
      <c r="AG543" s="30"/>
      <c r="AH543" s="30"/>
      <c r="AI543" s="30"/>
      <c r="AJ543" s="30"/>
      <c r="AK543" s="30"/>
      <c r="AL543" s="30"/>
      <c r="AM543" s="30"/>
      <c r="AN543" s="30"/>
    </row>
    <row r="544">
      <c r="A544" s="138"/>
      <c r="B544" s="142"/>
      <c r="C544" s="303"/>
      <c r="D544" s="138"/>
      <c r="E544" s="142"/>
      <c r="F544" s="303"/>
      <c r="G544" s="138"/>
      <c r="H544" s="142"/>
      <c r="I544" s="303"/>
      <c r="J544" s="138"/>
      <c r="K544" s="142"/>
      <c r="L544" s="303"/>
      <c r="M544" s="138"/>
      <c r="N544" s="142"/>
      <c r="O544" s="303"/>
      <c r="P544" s="138"/>
      <c r="Q544" s="142"/>
      <c r="R544" s="303"/>
      <c r="S544" s="138"/>
      <c r="T544" s="142"/>
      <c r="U544" s="303"/>
      <c r="V544" s="138"/>
      <c r="W544" s="142"/>
      <c r="X544" s="303"/>
      <c r="Y544" s="30"/>
      <c r="Z544" s="30"/>
      <c r="AA544" s="30"/>
      <c r="AB544" s="30"/>
      <c r="AC544" s="30"/>
      <c r="AD544" s="30"/>
      <c r="AE544" s="30"/>
      <c r="AF544" s="30"/>
      <c r="AG544" s="30"/>
      <c r="AH544" s="30"/>
      <c r="AI544" s="30"/>
      <c r="AJ544" s="30"/>
      <c r="AK544" s="30"/>
      <c r="AL544" s="30"/>
      <c r="AM544" s="30"/>
      <c r="AN544" s="30"/>
    </row>
    <row r="545">
      <c r="A545" s="138"/>
      <c r="B545" s="142"/>
      <c r="C545" s="303"/>
      <c r="D545" s="138"/>
      <c r="E545" s="142"/>
      <c r="F545" s="303"/>
      <c r="G545" s="138"/>
      <c r="H545" s="142"/>
      <c r="I545" s="303"/>
      <c r="J545" s="138"/>
      <c r="K545" s="142"/>
      <c r="L545" s="303"/>
      <c r="M545" s="138"/>
      <c r="N545" s="142"/>
      <c r="O545" s="303"/>
      <c r="P545" s="138"/>
      <c r="Q545" s="142"/>
      <c r="R545" s="303"/>
      <c r="S545" s="138"/>
      <c r="T545" s="142"/>
      <c r="U545" s="303"/>
      <c r="V545" s="138"/>
      <c r="W545" s="142"/>
      <c r="X545" s="303"/>
      <c r="Y545" s="30"/>
      <c r="Z545" s="30"/>
      <c r="AA545" s="30"/>
      <c r="AB545" s="30"/>
      <c r="AC545" s="30"/>
      <c r="AD545" s="30"/>
      <c r="AE545" s="30"/>
      <c r="AF545" s="30"/>
      <c r="AG545" s="30"/>
      <c r="AH545" s="30"/>
      <c r="AI545" s="30"/>
      <c r="AJ545" s="30"/>
      <c r="AK545" s="30"/>
      <c r="AL545" s="30"/>
      <c r="AM545" s="30"/>
      <c r="AN545" s="30"/>
    </row>
    <row r="546">
      <c r="A546" s="138"/>
      <c r="B546" s="142"/>
      <c r="C546" s="303"/>
      <c r="D546" s="138"/>
      <c r="E546" s="142"/>
      <c r="F546" s="303"/>
      <c r="G546" s="138"/>
      <c r="H546" s="142"/>
      <c r="I546" s="303"/>
      <c r="J546" s="138"/>
      <c r="K546" s="142"/>
      <c r="L546" s="303"/>
      <c r="M546" s="138"/>
      <c r="N546" s="142"/>
      <c r="O546" s="303"/>
      <c r="P546" s="138"/>
      <c r="Q546" s="142"/>
      <c r="R546" s="303"/>
      <c r="S546" s="138"/>
      <c r="T546" s="142"/>
      <c r="U546" s="303"/>
      <c r="V546" s="138"/>
      <c r="W546" s="142"/>
      <c r="X546" s="303"/>
      <c r="Y546" s="30"/>
      <c r="Z546" s="30"/>
      <c r="AA546" s="30"/>
      <c r="AB546" s="30"/>
      <c r="AC546" s="30"/>
      <c r="AD546" s="30"/>
      <c r="AE546" s="30"/>
      <c r="AF546" s="30"/>
      <c r="AG546" s="30"/>
      <c r="AH546" s="30"/>
      <c r="AI546" s="30"/>
      <c r="AJ546" s="30"/>
      <c r="AK546" s="30"/>
      <c r="AL546" s="30"/>
      <c r="AM546" s="30"/>
      <c r="AN546" s="30"/>
    </row>
    <row r="547">
      <c r="A547" s="138"/>
      <c r="B547" s="142"/>
      <c r="C547" s="303"/>
      <c r="D547" s="138"/>
      <c r="E547" s="142"/>
      <c r="F547" s="303"/>
      <c r="G547" s="138"/>
      <c r="H547" s="142"/>
      <c r="I547" s="303"/>
      <c r="J547" s="138"/>
      <c r="K547" s="142"/>
      <c r="L547" s="303"/>
      <c r="M547" s="138"/>
      <c r="N547" s="142"/>
      <c r="O547" s="303"/>
      <c r="P547" s="138"/>
      <c r="Q547" s="142"/>
      <c r="R547" s="303"/>
      <c r="S547" s="138"/>
      <c r="T547" s="142"/>
      <c r="U547" s="303"/>
      <c r="V547" s="138"/>
      <c r="W547" s="142"/>
      <c r="X547" s="303"/>
      <c r="Y547" s="30"/>
      <c r="Z547" s="30"/>
      <c r="AA547" s="30"/>
      <c r="AB547" s="30"/>
      <c r="AC547" s="30"/>
      <c r="AD547" s="30"/>
      <c r="AE547" s="30"/>
      <c r="AF547" s="30"/>
      <c r="AG547" s="30"/>
      <c r="AH547" s="30"/>
      <c r="AI547" s="30"/>
      <c r="AJ547" s="30"/>
      <c r="AK547" s="30"/>
      <c r="AL547" s="30"/>
      <c r="AM547" s="30"/>
      <c r="AN547" s="30"/>
    </row>
    <row r="548">
      <c r="A548" s="138"/>
      <c r="B548" s="142"/>
      <c r="C548" s="303"/>
      <c r="D548" s="138"/>
      <c r="E548" s="142"/>
      <c r="F548" s="303"/>
      <c r="G548" s="138"/>
      <c r="H548" s="142"/>
      <c r="I548" s="303"/>
      <c r="J548" s="138"/>
      <c r="K548" s="142"/>
      <c r="L548" s="303"/>
      <c r="M548" s="138"/>
      <c r="N548" s="142"/>
      <c r="O548" s="303"/>
      <c r="P548" s="138"/>
      <c r="Q548" s="142"/>
      <c r="R548" s="303"/>
      <c r="S548" s="138"/>
      <c r="T548" s="142"/>
      <c r="U548" s="303"/>
      <c r="V548" s="138"/>
      <c r="W548" s="142"/>
      <c r="X548" s="303"/>
      <c r="Y548" s="30"/>
      <c r="Z548" s="30"/>
      <c r="AA548" s="30"/>
      <c r="AB548" s="30"/>
      <c r="AC548" s="30"/>
      <c r="AD548" s="30"/>
      <c r="AE548" s="30"/>
      <c r="AF548" s="30"/>
      <c r="AG548" s="30"/>
      <c r="AH548" s="30"/>
      <c r="AI548" s="30"/>
      <c r="AJ548" s="30"/>
      <c r="AK548" s="30"/>
      <c r="AL548" s="30"/>
      <c r="AM548" s="30"/>
      <c r="AN548" s="30"/>
    </row>
    <row r="549">
      <c r="A549" s="138"/>
      <c r="B549" s="142"/>
      <c r="C549" s="303"/>
      <c r="D549" s="138"/>
      <c r="E549" s="142"/>
      <c r="F549" s="303"/>
      <c r="G549" s="138"/>
      <c r="H549" s="142"/>
      <c r="I549" s="303"/>
      <c r="J549" s="138"/>
      <c r="K549" s="142"/>
      <c r="L549" s="303"/>
      <c r="M549" s="138"/>
      <c r="N549" s="142"/>
      <c r="O549" s="303"/>
      <c r="P549" s="138"/>
      <c r="Q549" s="142"/>
      <c r="R549" s="303"/>
      <c r="S549" s="138"/>
      <c r="T549" s="142"/>
      <c r="U549" s="303"/>
      <c r="V549" s="138"/>
      <c r="W549" s="142"/>
      <c r="X549" s="303"/>
      <c r="Y549" s="30"/>
      <c r="Z549" s="30"/>
      <c r="AA549" s="30"/>
      <c r="AB549" s="30"/>
      <c r="AC549" s="30"/>
      <c r="AD549" s="30"/>
      <c r="AE549" s="30"/>
      <c r="AF549" s="30"/>
      <c r="AG549" s="30"/>
      <c r="AH549" s="30"/>
      <c r="AI549" s="30"/>
      <c r="AJ549" s="30"/>
      <c r="AK549" s="30"/>
      <c r="AL549" s="30"/>
      <c r="AM549" s="30"/>
      <c r="AN549" s="30"/>
    </row>
    <row r="550">
      <c r="A550" s="138"/>
      <c r="B550" s="142"/>
      <c r="C550" s="303"/>
      <c r="D550" s="138"/>
      <c r="E550" s="142"/>
      <c r="F550" s="303"/>
      <c r="G550" s="138"/>
      <c r="H550" s="142"/>
      <c r="I550" s="303"/>
      <c r="J550" s="138"/>
      <c r="K550" s="142"/>
      <c r="L550" s="303"/>
      <c r="M550" s="138"/>
      <c r="N550" s="142"/>
      <c r="O550" s="303"/>
      <c r="P550" s="138"/>
      <c r="Q550" s="142"/>
      <c r="R550" s="303"/>
      <c r="S550" s="138"/>
      <c r="T550" s="142"/>
      <c r="U550" s="303"/>
      <c r="V550" s="138"/>
      <c r="W550" s="142"/>
      <c r="X550" s="303"/>
      <c r="Y550" s="30"/>
      <c r="Z550" s="30"/>
      <c r="AA550" s="30"/>
      <c r="AB550" s="30"/>
      <c r="AC550" s="30"/>
      <c r="AD550" s="30"/>
      <c r="AE550" s="30"/>
      <c r="AF550" s="30"/>
      <c r="AG550" s="30"/>
      <c r="AH550" s="30"/>
      <c r="AI550" s="30"/>
      <c r="AJ550" s="30"/>
      <c r="AK550" s="30"/>
      <c r="AL550" s="30"/>
      <c r="AM550" s="30"/>
      <c r="AN550" s="30"/>
    </row>
    <row r="551">
      <c r="A551" s="138"/>
      <c r="B551" s="142"/>
      <c r="C551" s="303"/>
      <c r="D551" s="138"/>
      <c r="E551" s="142"/>
      <c r="F551" s="303"/>
      <c r="G551" s="138"/>
      <c r="H551" s="142"/>
      <c r="I551" s="303"/>
      <c r="J551" s="138"/>
      <c r="K551" s="142"/>
      <c r="L551" s="303"/>
      <c r="M551" s="138"/>
      <c r="N551" s="142"/>
      <c r="O551" s="303"/>
      <c r="P551" s="138"/>
      <c r="Q551" s="142"/>
      <c r="R551" s="303"/>
      <c r="S551" s="138"/>
      <c r="T551" s="142"/>
      <c r="U551" s="303"/>
      <c r="V551" s="138"/>
      <c r="W551" s="142"/>
      <c r="X551" s="303"/>
      <c r="Y551" s="30"/>
      <c r="Z551" s="30"/>
      <c r="AA551" s="30"/>
      <c r="AB551" s="30"/>
      <c r="AC551" s="30"/>
      <c r="AD551" s="30"/>
      <c r="AE551" s="30"/>
      <c r="AF551" s="30"/>
      <c r="AG551" s="30"/>
      <c r="AH551" s="30"/>
      <c r="AI551" s="30"/>
      <c r="AJ551" s="30"/>
      <c r="AK551" s="30"/>
      <c r="AL551" s="30"/>
      <c r="AM551" s="30"/>
      <c r="AN551" s="30"/>
    </row>
    <row r="552">
      <c r="A552" s="138"/>
      <c r="B552" s="142"/>
      <c r="C552" s="303"/>
      <c r="D552" s="138"/>
      <c r="E552" s="142"/>
      <c r="F552" s="303"/>
      <c r="G552" s="138"/>
      <c r="H552" s="142"/>
      <c r="I552" s="303"/>
      <c r="J552" s="138"/>
      <c r="K552" s="142"/>
      <c r="L552" s="303"/>
      <c r="M552" s="138"/>
      <c r="N552" s="142"/>
      <c r="O552" s="303"/>
      <c r="P552" s="138"/>
      <c r="Q552" s="142"/>
      <c r="R552" s="303"/>
      <c r="S552" s="138"/>
      <c r="T552" s="142"/>
      <c r="U552" s="303"/>
      <c r="V552" s="138"/>
      <c r="W552" s="142"/>
      <c r="X552" s="303"/>
      <c r="Y552" s="30"/>
      <c r="Z552" s="30"/>
      <c r="AA552" s="30"/>
      <c r="AB552" s="30"/>
      <c r="AC552" s="30"/>
      <c r="AD552" s="30"/>
      <c r="AE552" s="30"/>
      <c r="AF552" s="30"/>
      <c r="AG552" s="30"/>
      <c r="AH552" s="30"/>
      <c r="AI552" s="30"/>
      <c r="AJ552" s="30"/>
      <c r="AK552" s="30"/>
      <c r="AL552" s="30"/>
      <c r="AM552" s="30"/>
      <c r="AN552" s="30"/>
    </row>
    <row r="553">
      <c r="A553" s="138"/>
      <c r="B553" s="142"/>
      <c r="C553" s="303"/>
      <c r="D553" s="138"/>
      <c r="E553" s="142"/>
      <c r="F553" s="303"/>
      <c r="G553" s="138"/>
      <c r="H553" s="142"/>
      <c r="I553" s="303"/>
      <c r="J553" s="138"/>
      <c r="K553" s="142"/>
      <c r="L553" s="303"/>
      <c r="M553" s="138"/>
      <c r="N553" s="142"/>
      <c r="O553" s="303"/>
      <c r="P553" s="138"/>
      <c r="Q553" s="142"/>
      <c r="R553" s="303"/>
      <c r="S553" s="138"/>
      <c r="T553" s="142"/>
      <c r="U553" s="303"/>
      <c r="V553" s="138"/>
      <c r="W553" s="142"/>
      <c r="X553" s="303"/>
      <c r="Y553" s="30"/>
      <c r="Z553" s="30"/>
      <c r="AA553" s="30"/>
      <c r="AB553" s="30"/>
      <c r="AC553" s="30"/>
      <c r="AD553" s="30"/>
      <c r="AE553" s="30"/>
      <c r="AF553" s="30"/>
      <c r="AG553" s="30"/>
      <c r="AH553" s="30"/>
      <c r="AI553" s="30"/>
      <c r="AJ553" s="30"/>
      <c r="AK553" s="30"/>
      <c r="AL553" s="30"/>
      <c r="AM553" s="30"/>
      <c r="AN553" s="30"/>
    </row>
    <row r="554">
      <c r="A554" s="138"/>
      <c r="B554" s="142"/>
      <c r="C554" s="303"/>
      <c r="D554" s="138"/>
      <c r="E554" s="142"/>
      <c r="F554" s="303"/>
      <c r="G554" s="138"/>
      <c r="H554" s="142"/>
      <c r="I554" s="303"/>
      <c r="J554" s="138"/>
      <c r="K554" s="142"/>
      <c r="L554" s="303"/>
      <c r="M554" s="138"/>
      <c r="N554" s="142"/>
      <c r="O554" s="303"/>
      <c r="P554" s="138"/>
      <c r="Q554" s="142"/>
      <c r="R554" s="303"/>
      <c r="S554" s="138"/>
      <c r="T554" s="142"/>
      <c r="U554" s="303"/>
      <c r="V554" s="138"/>
      <c r="W554" s="142"/>
      <c r="X554" s="303"/>
      <c r="Y554" s="30"/>
      <c r="Z554" s="30"/>
      <c r="AA554" s="30"/>
      <c r="AB554" s="30"/>
      <c r="AC554" s="30"/>
      <c r="AD554" s="30"/>
      <c r="AE554" s="30"/>
      <c r="AF554" s="30"/>
      <c r="AG554" s="30"/>
      <c r="AH554" s="30"/>
      <c r="AI554" s="30"/>
      <c r="AJ554" s="30"/>
      <c r="AK554" s="30"/>
      <c r="AL554" s="30"/>
      <c r="AM554" s="30"/>
      <c r="AN554" s="30"/>
    </row>
    <row r="555">
      <c r="A555" s="138"/>
      <c r="B555" s="142"/>
      <c r="C555" s="303"/>
      <c r="D555" s="138"/>
      <c r="E555" s="142"/>
      <c r="F555" s="303"/>
      <c r="G555" s="138"/>
      <c r="H555" s="142"/>
      <c r="I555" s="303"/>
      <c r="J555" s="138"/>
      <c r="K555" s="142"/>
      <c r="L555" s="303"/>
      <c r="M555" s="138"/>
      <c r="N555" s="142"/>
      <c r="O555" s="303"/>
      <c r="P555" s="138"/>
      <c r="Q555" s="142"/>
      <c r="R555" s="303"/>
      <c r="S555" s="138"/>
      <c r="T555" s="142"/>
      <c r="U555" s="303"/>
      <c r="V555" s="138"/>
      <c r="W555" s="142"/>
      <c r="X555" s="303"/>
      <c r="Y555" s="30"/>
      <c r="Z555" s="30"/>
      <c r="AA555" s="30"/>
      <c r="AB555" s="30"/>
      <c r="AC555" s="30"/>
      <c r="AD555" s="30"/>
      <c r="AE555" s="30"/>
      <c r="AF555" s="30"/>
      <c r="AG555" s="30"/>
      <c r="AH555" s="30"/>
      <c r="AI555" s="30"/>
      <c r="AJ555" s="30"/>
      <c r="AK555" s="30"/>
      <c r="AL555" s="30"/>
      <c r="AM555" s="30"/>
      <c r="AN555" s="30"/>
    </row>
    <row r="556">
      <c r="A556" s="138"/>
      <c r="B556" s="142"/>
      <c r="C556" s="303"/>
      <c r="D556" s="138"/>
      <c r="E556" s="142"/>
      <c r="F556" s="303"/>
      <c r="G556" s="138"/>
      <c r="H556" s="142"/>
      <c r="I556" s="303"/>
      <c r="J556" s="138"/>
      <c r="K556" s="142"/>
      <c r="L556" s="303"/>
      <c r="M556" s="138"/>
      <c r="N556" s="142"/>
      <c r="O556" s="303"/>
      <c r="P556" s="138"/>
      <c r="Q556" s="142"/>
      <c r="R556" s="303"/>
      <c r="S556" s="138"/>
      <c r="T556" s="142"/>
      <c r="U556" s="303"/>
      <c r="V556" s="138"/>
      <c r="W556" s="142"/>
      <c r="X556" s="303"/>
      <c r="Y556" s="30"/>
      <c r="Z556" s="30"/>
      <c r="AA556" s="30"/>
      <c r="AB556" s="30"/>
      <c r="AC556" s="30"/>
      <c r="AD556" s="30"/>
      <c r="AE556" s="30"/>
      <c r="AF556" s="30"/>
      <c r="AG556" s="30"/>
      <c r="AH556" s="30"/>
      <c r="AI556" s="30"/>
      <c r="AJ556" s="30"/>
      <c r="AK556" s="30"/>
      <c r="AL556" s="30"/>
      <c r="AM556" s="30"/>
      <c r="AN556" s="30"/>
    </row>
    <row r="557">
      <c r="A557" s="138"/>
      <c r="B557" s="142"/>
      <c r="C557" s="303"/>
      <c r="D557" s="138"/>
      <c r="E557" s="142"/>
      <c r="F557" s="303"/>
      <c r="G557" s="138"/>
      <c r="H557" s="142"/>
      <c r="I557" s="303"/>
      <c r="J557" s="138"/>
      <c r="K557" s="142"/>
      <c r="L557" s="303"/>
      <c r="M557" s="138"/>
      <c r="N557" s="142"/>
      <c r="O557" s="303"/>
      <c r="P557" s="138"/>
      <c r="Q557" s="142"/>
      <c r="R557" s="303"/>
      <c r="S557" s="138"/>
      <c r="T557" s="142"/>
      <c r="U557" s="303"/>
      <c r="V557" s="138"/>
      <c r="W557" s="142"/>
      <c r="X557" s="303"/>
      <c r="Y557" s="30"/>
      <c r="Z557" s="30"/>
      <c r="AA557" s="30"/>
      <c r="AB557" s="30"/>
      <c r="AC557" s="30"/>
      <c r="AD557" s="30"/>
      <c r="AE557" s="30"/>
      <c r="AF557" s="30"/>
      <c r="AG557" s="30"/>
      <c r="AH557" s="30"/>
      <c r="AI557" s="30"/>
      <c r="AJ557" s="30"/>
      <c r="AK557" s="30"/>
      <c r="AL557" s="30"/>
      <c r="AM557" s="30"/>
      <c r="AN557" s="30"/>
    </row>
    <row r="558">
      <c r="A558" s="138"/>
      <c r="B558" s="142"/>
      <c r="C558" s="303"/>
      <c r="D558" s="138"/>
      <c r="E558" s="142"/>
      <c r="F558" s="303"/>
      <c r="G558" s="138"/>
      <c r="H558" s="142"/>
      <c r="I558" s="303"/>
      <c r="J558" s="138"/>
      <c r="K558" s="142"/>
      <c r="L558" s="303"/>
      <c r="M558" s="138"/>
      <c r="N558" s="142"/>
      <c r="O558" s="303"/>
      <c r="P558" s="138"/>
      <c r="Q558" s="142"/>
      <c r="R558" s="303"/>
      <c r="S558" s="138"/>
      <c r="T558" s="142"/>
      <c r="U558" s="303"/>
      <c r="V558" s="138"/>
      <c r="W558" s="142"/>
      <c r="X558" s="303"/>
      <c r="Y558" s="30"/>
      <c r="Z558" s="30"/>
      <c r="AA558" s="30"/>
      <c r="AB558" s="30"/>
      <c r="AC558" s="30"/>
      <c r="AD558" s="30"/>
      <c r="AE558" s="30"/>
      <c r="AF558" s="30"/>
      <c r="AG558" s="30"/>
      <c r="AH558" s="30"/>
      <c r="AI558" s="30"/>
      <c r="AJ558" s="30"/>
      <c r="AK558" s="30"/>
      <c r="AL558" s="30"/>
      <c r="AM558" s="30"/>
      <c r="AN558" s="30"/>
    </row>
    <row r="559">
      <c r="A559" s="138"/>
      <c r="B559" s="142"/>
      <c r="C559" s="303"/>
      <c r="D559" s="138"/>
      <c r="E559" s="142"/>
      <c r="F559" s="303"/>
      <c r="G559" s="138"/>
      <c r="H559" s="142"/>
      <c r="I559" s="303"/>
      <c r="J559" s="138"/>
      <c r="K559" s="142"/>
      <c r="L559" s="303"/>
      <c r="M559" s="138"/>
      <c r="N559" s="142"/>
      <c r="O559" s="303"/>
      <c r="P559" s="138"/>
      <c r="Q559" s="142"/>
      <c r="R559" s="303"/>
      <c r="S559" s="138"/>
      <c r="T559" s="142"/>
      <c r="U559" s="303"/>
      <c r="V559" s="138"/>
      <c r="W559" s="142"/>
      <c r="X559" s="303"/>
      <c r="Y559" s="30"/>
      <c r="Z559" s="30"/>
      <c r="AA559" s="30"/>
      <c r="AB559" s="30"/>
      <c r="AC559" s="30"/>
      <c r="AD559" s="30"/>
      <c r="AE559" s="30"/>
      <c r="AF559" s="30"/>
      <c r="AG559" s="30"/>
      <c r="AH559" s="30"/>
      <c r="AI559" s="30"/>
      <c r="AJ559" s="30"/>
      <c r="AK559" s="30"/>
      <c r="AL559" s="30"/>
      <c r="AM559" s="30"/>
      <c r="AN559" s="30"/>
    </row>
    <row r="560">
      <c r="A560" s="138"/>
      <c r="B560" s="142"/>
      <c r="C560" s="303"/>
      <c r="D560" s="138"/>
      <c r="E560" s="142"/>
      <c r="F560" s="303"/>
      <c r="G560" s="138"/>
      <c r="H560" s="142"/>
      <c r="I560" s="303"/>
      <c r="J560" s="138"/>
      <c r="K560" s="142"/>
      <c r="L560" s="303"/>
      <c r="M560" s="138"/>
      <c r="N560" s="142"/>
      <c r="O560" s="303"/>
      <c r="P560" s="138"/>
      <c r="Q560" s="142"/>
      <c r="R560" s="303"/>
      <c r="S560" s="138"/>
      <c r="T560" s="142"/>
      <c r="U560" s="303"/>
      <c r="V560" s="138"/>
      <c r="W560" s="142"/>
      <c r="X560" s="303"/>
      <c r="Y560" s="30"/>
      <c r="Z560" s="30"/>
      <c r="AA560" s="30"/>
      <c r="AB560" s="30"/>
      <c r="AC560" s="30"/>
      <c r="AD560" s="30"/>
      <c r="AE560" s="30"/>
      <c r="AF560" s="30"/>
      <c r="AG560" s="30"/>
      <c r="AH560" s="30"/>
      <c r="AI560" s="30"/>
      <c r="AJ560" s="30"/>
      <c r="AK560" s="30"/>
      <c r="AL560" s="30"/>
      <c r="AM560" s="30"/>
      <c r="AN560" s="30"/>
    </row>
    <row r="561">
      <c r="A561" s="138"/>
      <c r="B561" s="142"/>
      <c r="C561" s="303"/>
      <c r="D561" s="138"/>
      <c r="E561" s="142"/>
      <c r="F561" s="303"/>
      <c r="G561" s="138"/>
      <c r="H561" s="142"/>
      <c r="I561" s="303"/>
      <c r="J561" s="138"/>
      <c r="K561" s="142"/>
      <c r="L561" s="303"/>
      <c r="M561" s="138"/>
      <c r="N561" s="142"/>
      <c r="O561" s="303"/>
      <c r="P561" s="138"/>
      <c r="Q561" s="142"/>
      <c r="R561" s="303"/>
      <c r="S561" s="138"/>
      <c r="T561" s="142"/>
      <c r="U561" s="303"/>
      <c r="V561" s="138"/>
      <c r="W561" s="142"/>
      <c r="X561" s="303"/>
      <c r="Y561" s="30"/>
      <c r="Z561" s="30"/>
      <c r="AA561" s="30"/>
      <c r="AB561" s="30"/>
      <c r="AC561" s="30"/>
      <c r="AD561" s="30"/>
      <c r="AE561" s="30"/>
      <c r="AF561" s="30"/>
      <c r="AG561" s="30"/>
      <c r="AH561" s="30"/>
      <c r="AI561" s="30"/>
      <c r="AJ561" s="30"/>
      <c r="AK561" s="30"/>
      <c r="AL561" s="30"/>
      <c r="AM561" s="30"/>
      <c r="AN561" s="30"/>
    </row>
    <row r="562">
      <c r="A562" s="138"/>
      <c r="B562" s="142"/>
      <c r="C562" s="303"/>
      <c r="D562" s="138"/>
      <c r="E562" s="142"/>
      <c r="F562" s="303"/>
      <c r="G562" s="138"/>
      <c r="H562" s="142"/>
      <c r="I562" s="303"/>
      <c r="J562" s="138"/>
      <c r="K562" s="142"/>
      <c r="L562" s="303"/>
      <c r="M562" s="138"/>
      <c r="N562" s="142"/>
      <c r="O562" s="303"/>
      <c r="P562" s="138"/>
      <c r="Q562" s="142"/>
      <c r="R562" s="303"/>
      <c r="S562" s="138"/>
      <c r="T562" s="142"/>
      <c r="U562" s="303"/>
      <c r="V562" s="138"/>
      <c r="W562" s="142"/>
      <c r="X562" s="303"/>
      <c r="Y562" s="30"/>
      <c r="Z562" s="30"/>
      <c r="AA562" s="30"/>
      <c r="AB562" s="30"/>
      <c r="AC562" s="30"/>
      <c r="AD562" s="30"/>
      <c r="AE562" s="30"/>
      <c r="AF562" s="30"/>
      <c r="AG562" s="30"/>
      <c r="AH562" s="30"/>
      <c r="AI562" s="30"/>
      <c r="AJ562" s="30"/>
      <c r="AK562" s="30"/>
      <c r="AL562" s="30"/>
      <c r="AM562" s="30"/>
      <c r="AN562" s="30"/>
    </row>
    <row r="563">
      <c r="A563" s="138"/>
      <c r="B563" s="142"/>
      <c r="C563" s="303"/>
      <c r="D563" s="138"/>
      <c r="E563" s="142"/>
      <c r="F563" s="303"/>
      <c r="G563" s="138"/>
      <c r="H563" s="142"/>
      <c r="I563" s="303"/>
      <c r="J563" s="138"/>
      <c r="K563" s="142"/>
      <c r="L563" s="303"/>
      <c r="M563" s="138"/>
      <c r="N563" s="142"/>
      <c r="O563" s="303"/>
      <c r="P563" s="138"/>
      <c r="Q563" s="142"/>
      <c r="R563" s="303"/>
      <c r="S563" s="138"/>
      <c r="T563" s="142"/>
      <c r="U563" s="303"/>
      <c r="V563" s="138"/>
      <c r="W563" s="142"/>
      <c r="X563" s="303"/>
      <c r="Y563" s="30"/>
      <c r="Z563" s="30"/>
      <c r="AA563" s="30"/>
      <c r="AB563" s="30"/>
      <c r="AC563" s="30"/>
      <c r="AD563" s="30"/>
      <c r="AE563" s="30"/>
      <c r="AF563" s="30"/>
      <c r="AG563" s="30"/>
      <c r="AH563" s="30"/>
      <c r="AI563" s="30"/>
      <c r="AJ563" s="30"/>
      <c r="AK563" s="30"/>
      <c r="AL563" s="30"/>
      <c r="AM563" s="30"/>
      <c r="AN563" s="30"/>
    </row>
    <row r="564">
      <c r="A564" s="138"/>
      <c r="B564" s="142"/>
      <c r="C564" s="303"/>
      <c r="D564" s="138"/>
      <c r="E564" s="142"/>
      <c r="F564" s="303"/>
      <c r="G564" s="138"/>
      <c r="H564" s="142"/>
      <c r="I564" s="303"/>
      <c r="J564" s="138"/>
      <c r="K564" s="142"/>
      <c r="L564" s="303"/>
      <c r="M564" s="138"/>
      <c r="N564" s="142"/>
      <c r="O564" s="303"/>
      <c r="P564" s="138"/>
      <c r="Q564" s="142"/>
      <c r="R564" s="303"/>
      <c r="S564" s="138"/>
      <c r="T564" s="142"/>
      <c r="U564" s="303"/>
      <c r="V564" s="138"/>
      <c r="W564" s="142"/>
      <c r="X564" s="303"/>
      <c r="Y564" s="30"/>
      <c r="Z564" s="30"/>
      <c r="AA564" s="30"/>
      <c r="AB564" s="30"/>
      <c r="AC564" s="30"/>
      <c r="AD564" s="30"/>
      <c r="AE564" s="30"/>
      <c r="AF564" s="30"/>
      <c r="AG564" s="30"/>
      <c r="AH564" s="30"/>
      <c r="AI564" s="30"/>
      <c r="AJ564" s="30"/>
      <c r="AK564" s="30"/>
      <c r="AL564" s="30"/>
      <c r="AM564" s="30"/>
      <c r="AN564" s="30"/>
    </row>
    <row r="565">
      <c r="A565" s="138"/>
      <c r="B565" s="142"/>
      <c r="C565" s="303"/>
      <c r="D565" s="138"/>
      <c r="E565" s="142"/>
      <c r="F565" s="303"/>
      <c r="G565" s="138"/>
      <c r="H565" s="142"/>
      <c r="I565" s="303"/>
      <c r="J565" s="138"/>
      <c r="K565" s="142"/>
      <c r="L565" s="303"/>
      <c r="M565" s="138"/>
      <c r="N565" s="142"/>
      <c r="O565" s="303"/>
      <c r="P565" s="138"/>
      <c r="Q565" s="142"/>
      <c r="R565" s="303"/>
      <c r="S565" s="138"/>
      <c r="T565" s="142"/>
      <c r="U565" s="303"/>
      <c r="V565" s="138"/>
      <c r="W565" s="142"/>
      <c r="X565" s="303"/>
      <c r="Y565" s="30"/>
      <c r="Z565" s="30"/>
      <c r="AA565" s="30"/>
      <c r="AB565" s="30"/>
      <c r="AC565" s="30"/>
      <c r="AD565" s="30"/>
      <c r="AE565" s="30"/>
      <c r="AF565" s="30"/>
      <c r="AG565" s="30"/>
      <c r="AH565" s="30"/>
      <c r="AI565" s="30"/>
      <c r="AJ565" s="30"/>
      <c r="AK565" s="30"/>
      <c r="AL565" s="30"/>
      <c r="AM565" s="30"/>
      <c r="AN565" s="30"/>
    </row>
    <row r="566">
      <c r="A566" s="138"/>
      <c r="B566" s="142"/>
      <c r="C566" s="303"/>
      <c r="D566" s="138"/>
      <c r="E566" s="142"/>
      <c r="F566" s="303"/>
      <c r="G566" s="138"/>
      <c r="H566" s="142"/>
      <c r="I566" s="303"/>
      <c r="J566" s="138"/>
      <c r="K566" s="142"/>
      <c r="L566" s="303"/>
      <c r="M566" s="138"/>
      <c r="N566" s="142"/>
      <c r="O566" s="303"/>
      <c r="P566" s="138"/>
      <c r="Q566" s="142"/>
      <c r="R566" s="303"/>
      <c r="S566" s="138"/>
      <c r="T566" s="142"/>
      <c r="U566" s="303"/>
      <c r="V566" s="138"/>
      <c r="W566" s="142"/>
      <c r="X566" s="303"/>
      <c r="Y566" s="30"/>
      <c r="Z566" s="30"/>
      <c r="AA566" s="30"/>
      <c r="AB566" s="30"/>
      <c r="AC566" s="30"/>
      <c r="AD566" s="30"/>
      <c r="AE566" s="30"/>
      <c r="AF566" s="30"/>
      <c r="AG566" s="30"/>
      <c r="AH566" s="30"/>
      <c r="AI566" s="30"/>
      <c r="AJ566" s="30"/>
      <c r="AK566" s="30"/>
      <c r="AL566" s="30"/>
      <c r="AM566" s="30"/>
      <c r="AN566" s="30"/>
    </row>
    <row r="567">
      <c r="A567" s="138"/>
      <c r="B567" s="142"/>
      <c r="C567" s="303"/>
      <c r="D567" s="138"/>
      <c r="E567" s="142"/>
      <c r="F567" s="303"/>
      <c r="G567" s="138"/>
      <c r="H567" s="142"/>
      <c r="I567" s="303"/>
      <c r="J567" s="138"/>
      <c r="K567" s="142"/>
      <c r="L567" s="303"/>
      <c r="M567" s="138"/>
      <c r="N567" s="142"/>
      <c r="O567" s="303"/>
      <c r="P567" s="138"/>
      <c r="Q567" s="142"/>
      <c r="R567" s="303"/>
      <c r="S567" s="138"/>
      <c r="T567" s="142"/>
      <c r="U567" s="303"/>
      <c r="V567" s="138"/>
      <c r="W567" s="142"/>
      <c r="X567" s="303"/>
      <c r="Y567" s="30"/>
      <c r="Z567" s="30"/>
      <c r="AA567" s="30"/>
      <c r="AB567" s="30"/>
      <c r="AC567" s="30"/>
      <c r="AD567" s="30"/>
      <c r="AE567" s="30"/>
      <c r="AF567" s="30"/>
      <c r="AG567" s="30"/>
      <c r="AH567" s="30"/>
      <c r="AI567" s="30"/>
      <c r="AJ567" s="30"/>
      <c r="AK567" s="30"/>
      <c r="AL567" s="30"/>
      <c r="AM567" s="30"/>
      <c r="AN567" s="30"/>
    </row>
    <row r="568">
      <c r="A568" s="138"/>
      <c r="B568" s="142"/>
      <c r="C568" s="303"/>
      <c r="D568" s="138"/>
      <c r="E568" s="142"/>
      <c r="F568" s="303"/>
      <c r="G568" s="138"/>
      <c r="H568" s="142"/>
      <c r="I568" s="303"/>
      <c r="J568" s="138"/>
      <c r="K568" s="142"/>
      <c r="L568" s="303"/>
      <c r="M568" s="138"/>
      <c r="N568" s="142"/>
      <c r="O568" s="303"/>
      <c r="P568" s="138"/>
      <c r="Q568" s="142"/>
      <c r="R568" s="303"/>
      <c r="S568" s="138"/>
      <c r="T568" s="142"/>
      <c r="U568" s="303"/>
      <c r="V568" s="138"/>
      <c r="W568" s="142"/>
      <c r="X568" s="303"/>
      <c r="Y568" s="30"/>
      <c r="Z568" s="30"/>
      <c r="AA568" s="30"/>
      <c r="AB568" s="30"/>
      <c r="AC568" s="30"/>
      <c r="AD568" s="30"/>
      <c r="AE568" s="30"/>
      <c r="AF568" s="30"/>
      <c r="AG568" s="30"/>
      <c r="AH568" s="30"/>
      <c r="AI568" s="30"/>
      <c r="AJ568" s="30"/>
      <c r="AK568" s="30"/>
      <c r="AL568" s="30"/>
      <c r="AM568" s="30"/>
      <c r="AN568" s="30"/>
    </row>
    <row r="569">
      <c r="A569" s="138"/>
      <c r="B569" s="142"/>
      <c r="C569" s="303"/>
      <c r="D569" s="138"/>
      <c r="E569" s="142"/>
      <c r="F569" s="303"/>
      <c r="G569" s="138"/>
      <c r="H569" s="142"/>
      <c r="I569" s="303"/>
      <c r="J569" s="138"/>
      <c r="K569" s="142"/>
      <c r="L569" s="303"/>
      <c r="M569" s="138"/>
      <c r="N569" s="142"/>
      <c r="O569" s="303"/>
      <c r="P569" s="138"/>
      <c r="Q569" s="142"/>
      <c r="R569" s="303"/>
      <c r="S569" s="138"/>
      <c r="T569" s="142"/>
      <c r="U569" s="303"/>
      <c r="V569" s="138"/>
      <c r="W569" s="142"/>
      <c r="X569" s="303"/>
      <c r="Y569" s="30"/>
      <c r="Z569" s="30"/>
      <c r="AA569" s="30"/>
      <c r="AB569" s="30"/>
      <c r="AC569" s="30"/>
      <c r="AD569" s="30"/>
      <c r="AE569" s="30"/>
      <c r="AF569" s="30"/>
      <c r="AG569" s="30"/>
      <c r="AH569" s="30"/>
      <c r="AI569" s="30"/>
      <c r="AJ569" s="30"/>
      <c r="AK569" s="30"/>
      <c r="AL569" s="30"/>
      <c r="AM569" s="30"/>
      <c r="AN569" s="30"/>
    </row>
    <row r="570">
      <c r="A570" s="138"/>
      <c r="B570" s="142"/>
      <c r="C570" s="303"/>
      <c r="D570" s="138"/>
      <c r="E570" s="142"/>
      <c r="F570" s="303"/>
      <c r="G570" s="138"/>
      <c r="H570" s="142"/>
      <c r="I570" s="303"/>
      <c r="J570" s="138"/>
      <c r="K570" s="142"/>
      <c r="L570" s="303"/>
      <c r="M570" s="138"/>
      <c r="N570" s="142"/>
      <c r="O570" s="303"/>
      <c r="P570" s="138"/>
      <c r="Q570" s="142"/>
      <c r="R570" s="303"/>
      <c r="S570" s="138"/>
      <c r="T570" s="142"/>
      <c r="U570" s="303"/>
      <c r="V570" s="138"/>
      <c r="W570" s="142"/>
      <c r="X570" s="303"/>
      <c r="Y570" s="30"/>
      <c r="Z570" s="30"/>
      <c r="AA570" s="30"/>
      <c r="AB570" s="30"/>
      <c r="AC570" s="30"/>
      <c r="AD570" s="30"/>
      <c r="AE570" s="30"/>
      <c r="AF570" s="30"/>
      <c r="AG570" s="30"/>
      <c r="AH570" s="30"/>
      <c r="AI570" s="30"/>
      <c r="AJ570" s="30"/>
      <c r="AK570" s="30"/>
      <c r="AL570" s="30"/>
      <c r="AM570" s="30"/>
      <c r="AN570" s="30"/>
    </row>
    <row r="571">
      <c r="A571" s="138"/>
      <c r="B571" s="142"/>
      <c r="C571" s="303"/>
      <c r="D571" s="138"/>
      <c r="E571" s="142"/>
      <c r="F571" s="303"/>
      <c r="G571" s="138"/>
      <c r="H571" s="142"/>
      <c r="I571" s="303"/>
      <c r="J571" s="138"/>
      <c r="K571" s="142"/>
      <c r="L571" s="303"/>
      <c r="M571" s="138"/>
      <c r="N571" s="142"/>
      <c r="O571" s="303"/>
      <c r="P571" s="138"/>
      <c r="Q571" s="142"/>
      <c r="R571" s="303"/>
      <c r="S571" s="138"/>
      <c r="T571" s="142"/>
      <c r="U571" s="303"/>
      <c r="V571" s="138"/>
      <c r="W571" s="142"/>
      <c r="X571" s="303"/>
      <c r="Y571" s="30"/>
      <c r="Z571" s="30"/>
      <c r="AA571" s="30"/>
      <c r="AB571" s="30"/>
      <c r="AC571" s="30"/>
      <c r="AD571" s="30"/>
      <c r="AE571" s="30"/>
      <c r="AF571" s="30"/>
      <c r="AG571" s="30"/>
      <c r="AH571" s="30"/>
      <c r="AI571" s="30"/>
      <c r="AJ571" s="30"/>
      <c r="AK571" s="30"/>
      <c r="AL571" s="30"/>
      <c r="AM571" s="30"/>
      <c r="AN571" s="30"/>
    </row>
    <row r="572">
      <c r="A572" s="138"/>
      <c r="B572" s="142"/>
      <c r="C572" s="303"/>
      <c r="D572" s="138"/>
      <c r="E572" s="142"/>
      <c r="F572" s="303"/>
      <c r="G572" s="138"/>
      <c r="H572" s="142"/>
      <c r="I572" s="303"/>
      <c r="J572" s="138"/>
      <c r="K572" s="142"/>
      <c r="L572" s="303"/>
      <c r="M572" s="138"/>
      <c r="N572" s="142"/>
      <c r="O572" s="303"/>
      <c r="P572" s="138"/>
      <c r="Q572" s="142"/>
      <c r="R572" s="303"/>
      <c r="S572" s="138"/>
      <c r="T572" s="142"/>
      <c r="U572" s="303"/>
      <c r="V572" s="138"/>
      <c r="W572" s="142"/>
      <c r="X572" s="303"/>
      <c r="Y572" s="30"/>
      <c r="Z572" s="30"/>
      <c r="AA572" s="30"/>
      <c r="AB572" s="30"/>
      <c r="AC572" s="30"/>
      <c r="AD572" s="30"/>
      <c r="AE572" s="30"/>
      <c r="AF572" s="30"/>
      <c r="AG572" s="30"/>
      <c r="AH572" s="30"/>
      <c r="AI572" s="30"/>
      <c r="AJ572" s="30"/>
      <c r="AK572" s="30"/>
      <c r="AL572" s="30"/>
      <c r="AM572" s="30"/>
      <c r="AN572" s="30"/>
    </row>
    <row r="573">
      <c r="A573" s="138"/>
      <c r="B573" s="142"/>
      <c r="C573" s="303"/>
      <c r="D573" s="138"/>
      <c r="E573" s="142"/>
      <c r="F573" s="303"/>
      <c r="G573" s="138"/>
      <c r="H573" s="142"/>
      <c r="I573" s="303"/>
      <c r="J573" s="138"/>
      <c r="K573" s="142"/>
      <c r="L573" s="303"/>
      <c r="M573" s="138"/>
      <c r="N573" s="142"/>
      <c r="O573" s="303"/>
      <c r="P573" s="138"/>
      <c r="Q573" s="142"/>
      <c r="R573" s="303"/>
      <c r="S573" s="138"/>
      <c r="T573" s="142"/>
      <c r="U573" s="303"/>
      <c r="V573" s="138"/>
      <c r="W573" s="142"/>
      <c r="X573" s="303"/>
      <c r="Y573" s="30"/>
      <c r="Z573" s="30"/>
      <c r="AA573" s="30"/>
      <c r="AB573" s="30"/>
      <c r="AC573" s="30"/>
      <c r="AD573" s="30"/>
      <c r="AE573" s="30"/>
      <c r="AF573" s="30"/>
      <c r="AG573" s="30"/>
      <c r="AH573" s="30"/>
      <c r="AI573" s="30"/>
      <c r="AJ573" s="30"/>
      <c r="AK573" s="30"/>
      <c r="AL573" s="30"/>
      <c r="AM573" s="30"/>
      <c r="AN573" s="30"/>
    </row>
    <row r="574">
      <c r="A574" s="138"/>
      <c r="B574" s="142"/>
      <c r="C574" s="303"/>
      <c r="D574" s="138"/>
      <c r="E574" s="142"/>
      <c r="F574" s="303"/>
      <c r="G574" s="138"/>
      <c r="H574" s="142"/>
      <c r="I574" s="303"/>
      <c r="J574" s="138"/>
      <c r="K574" s="142"/>
      <c r="L574" s="303"/>
      <c r="M574" s="138"/>
      <c r="N574" s="142"/>
      <c r="O574" s="303"/>
      <c r="P574" s="138"/>
      <c r="Q574" s="142"/>
      <c r="R574" s="303"/>
      <c r="S574" s="138"/>
      <c r="T574" s="142"/>
      <c r="U574" s="303"/>
      <c r="V574" s="138"/>
      <c r="W574" s="142"/>
      <c r="X574" s="303"/>
      <c r="Y574" s="30"/>
      <c r="Z574" s="30"/>
      <c r="AA574" s="30"/>
      <c r="AB574" s="30"/>
      <c r="AC574" s="30"/>
      <c r="AD574" s="30"/>
      <c r="AE574" s="30"/>
      <c r="AF574" s="30"/>
      <c r="AG574" s="30"/>
      <c r="AH574" s="30"/>
      <c r="AI574" s="30"/>
      <c r="AJ574" s="30"/>
      <c r="AK574" s="30"/>
      <c r="AL574" s="30"/>
      <c r="AM574" s="30"/>
      <c r="AN574" s="30"/>
    </row>
    <row r="575">
      <c r="A575" s="138"/>
      <c r="B575" s="142"/>
      <c r="C575" s="303"/>
      <c r="D575" s="138"/>
      <c r="E575" s="142"/>
      <c r="F575" s="303"/>
      <c r="G575" s="138"/>
      <c r="H575" s="142"/>
      <c r="I575" s="303"/>
      <c r="J575" s="138"/>
      <c r="K575" s="142"/>
      <c r="L575" s="303"/>
      <c r="M575" s="138"/>
      <c r="N575" s="142"/>
      <c r="O575" s="303"/>
      <c r="P575" s="138"/>
      <c r="Q575" s="142"/>
      <c r="R575" s="303"/>
      <c r="S575" s="138"/>
      <c r="T575" s="142"/>
      <c r="U575" s="303"/>
      <c r="V575" s="138"/>
      <c r="W575" s="142"/>
      <c r="X575" s="303"/>
      <c r="Y575" s="30"/>
      <c r="Z575" s="30"/>
      <c r="AA575" s="30"/>
      <c r="AB575" s="30"/>
      <c r="AC575" s="30"/>
      <c r="AD575" s="30"/>
      <c r="AE575" s="30"/>
      <c r="AF575" s="30"/>
      <c r="AG575" s="30"/>
      <c r="AH575" s="30"/>
      <c r="AI575" s="30"/>
      <c r="AJ575" s="30"/>
      <c r="AK575" s="30"/>
      <c r="AL575" s="30"/>
      <c r="AM575" s="30"/>
      <c r="AN575" s="30"/>
    </row>
    <row r="576">
      <c r="A576" s="138"/>
      <c r="B576" s="142"/>
      <c r="C576" s="303"/>
      <c r="D576" s="138"/>
      <c r="E576" s="142"/>
      <c r="F576" s="303"/>
      <c r="G576" s="138"/>
      <c r="H576" s="142"/>
      <c r="I576" s="303"/>
      <c r="J576" s="138"/>
      <c r="K576" s="142"/>
      <c r="L576" s="303"/>
      <c r="M576" s="138"/>
      <c r="N576" s="142"/>
      <c r="O576" s="303"/>
      <c r="P576" s="138"/>
      <c r="Q576" s="142"/>
      <c r="R576" s="303"/>
      <c r="S576" s="138"/>
      <c r="T576" s="142"/>
      <c r="U576" s="303"/>
      <c r="V576" s="138"/>
      <c r="W576" s="142"/>
      <c r="X576" s="303"/>
      <c r="Y576" s="30"/>
      <c r="Z576" s="30"/>
      <c r="AA576" s="30"/>
      <c r="AB576" s="30"/>
      <c r="AC576" s="30"/>
      <c r="AD576" s="30"/>
      <c r="AE576" s="30"/>
      <c r="AF576" s="30"/>
      <c r="AG576" s="30"/>
      <c r="AH576" s="30"/>
      <c r="AI576" s="30"/>
      <c r="AJ576" s="30"/>
      <c r="AK576" s="30"/>
      <c r="AL576" s="30"/>
      <c r="AM576" s="30"/>
      <c r="AN576" s="30"/>
    </row>
    <row r="577">
      <c r="A577" s="138"/>
      <c r="B577" s="142"/>
      <c r="C577" s="303"/>
      <c r="D577" s="138"/>
      <c r="E577" s="142"/>
      <c r="F577" s="303"/>
      <c r="G577" s="138"/>
      <c r="H577" s="142"/>
      <c r="I577" s="303"/>
      <c r="J577" s="138"/>
      <c r="K577" s="142"/>
      <c r="L577" s="303"/>
      <c r="M577" s="138"/>
      <c r="N577" s="142"/>
      <c r="O577" s="303"/>
      <c r="P577" s="138"/>
      <c r="Q577" s="142"/>
      <c r="R577" s="303"/>
      <c r="S577" s="138"/>
      <c r="T577" s="142"/>
      <c r="U577" s="303"/>
      <c r="V577" s="138"/>
      <c r="W577" s="142"/>
      <c r="X577" s="303"/>
      <c r="Y577" s="30"/>
      <c r="Z577" s="30"/>
      <c r="AA577" s="30"/>
      <c r="AB577" s="30"/>
      <c r="AC577" s="30"/>
      <c r="AD577" s="30"/>
      <c r="AE577" s="30"/>
      <c r="AF577" s="30"/>
      <c r="AG577" s="30"/>
      <c r="AH577" s="30"/>
      <c r="AI577" s="30"/>
      <c r="AJ577" s="30"/>
      <c r="AK577" s="30"/>
      <c r="AL577" s="30"/>
      <c r="AM577" s="30"/>
      <c r="AN577" s="30"/>
    </row>
    <row r="578">
      <c r="A578" s="138"/>
      <c r="B578" s="142"/>
      <c r="C578" s="303"/>
      <c r="D578" s="138"/>
      <c r="E578" s="142"/>
      <c r="F578" s="303"/>
      <c r="G578" s="138"/>
      <c r="H578" s="142"/>
      <c r="I578" s="303"/>
      <c r="J578" s="138"/>
      <c r="K578" s="142"/>
      <c r="L578" s="303"/>
      <c r="M578" s="138"/>
      <c r="N578" s="142"/>
      <c r="O578" s="303"/>
      <c r="P578" s="138"/>
      <c r="Q578" s="142"/>
      <c r="R578" s="303"/>
      <c r="S578" s="138"/>
      <c r="T578" s="142"/>
      <c r="U578" s="303"/>
      <c r="V578" s="138"/>
      <c r="W578" s="142"/>
      <c r="X578" s="303"/>
      <c r="Y578" s="30"/>
      <c r="Z578" s="30"/>
      <c r="AA578" s="30"/>
      <c r="AB578" s="30"/>
      <c r="AC578" s="30"/>
      <c r="AD578" s="30"/>
      <c r="AE578" s="30"/>
      <c r="AF578" s="30"/>
      <c r="AG578" s="30"/>
      <c r="AH578" s="30"/>
      <c r="AI578" s="30"/>
      <c r="AJ578" s="30"/>
      <c r="AK578" s="30"/>
      <c r="AL578" s="30"/>
      <c r="AM578" s="30"/>
      <c r="AN578" s="30"/>
    </row>
    <row r="579">
      <c r="A579" s="138"/>
      <c r="B579" s="142"/>
      <c r="C579" s="303"/>
      <c r="D579" s="138"/>
      <c r="E579" s="142"/>
      <c r="F579" s="303"/>
      <c r="G579" s="138"/>
      <c r="H579" s="142"/>
      <c r="I579" s="303"/>
      <c r="J579" s="138"/>
      <c r="K579" s="142"/>
      <c r="L579" s="303"/>
      <c r="M579" s="138"/>
      <c r="N579" s="142"/>
      <c r="O579" s="303"/>
      <c r="P579" s="138"/>
      <c r="Q579" s="142"/>
      <c r="R579" s="303"/>
      <c r="S579" s="138"/>
      <c r="T579" s="142"/>
      <c r="U579" s="303"/>
      <c r="V579" s="138"/>
      <c r="W579" s="142"/>
      <c r="X579" s="303"/>
      <c r="Y579" s="30"/>
      <c r="Z579" s="30"/>
      <c r="AA579" s="30"/>
      <c r="AB579" s="30"/>
      <c r="AC579" s="30"/>
      <c r="AD579" s="30"/>
      <c r="AE579" s="30"/>
      <c r="AF579" s="30"/>
      <c r="AG579" s="30"/>
      <c r="AH579" s="30"/>
      <c r="AI579" s="30"/>
      <c r="AJ579" s="30"/>
      <c r="AK579" s="30"/>
      <c r="AL579" s="30"/>
      <c r="AM579" s="30"/>
      <c r="AN579" s="30"/>
    </row>
    <row r="580">
      <c r="A580" s="138"/>
      <c r="B580" s="142"/>
      <c r="C580" s="303"/>
      <c r="D580" s="138"/>
      <c r="E580" s="142"/>
      <c r="F580" s="303"/>
      <c r="G580" s="138"/>
      <c r="H580" s="142"/>
      <c r="I580" s="303"/>
      <c r="J580" s="138"/>
      <c r="K580" s="142"/>
      <c r="L580" s="303"/>
      <c r="M580" s="138"/>
      <c r="N580" s="142"/>
      <c r="O580" s="303"/>
      <c r="P580" s="138"/>
      <c r="Q580" s="142"/>
      <c r="R580" s="303"/>
      <c r="S580" s="138"/>
      <c r="T580" s="142"/>
      <c r="U580" s="303"/>
      <c r="V580" s="138"/>
      <c r="W580" s="142"/>
      <c r="X580" s="303"/>
      <c r="Y580" s="30"/>
      <c r="Z580" s="30"/>
      <c r="AA580" s="30"/>
      <c r="AB580" s="30"/>
      <c r="AC580" s="30"/>
      <c r="AD580" s="30"/>
      <c r="AE580" s="30"/>
      <c r="AF580" s="30"/>
      <c r="AG580" s="30"/>
      <c r="AH580" s="30"/>
      <c r="AI580" s="30"/>
      <c r="AJ580" s="30"/>
      <c r="AK580" s="30"/>
      <c r="AL580" s="30"/>
      <c r="AM580" s="30"/>
      <c r="AN580" s="30"/>
    </row>
    <row r="581">
      <c r="A581" s="138"/>
      <c r="B581" s="142"/>
      <c r="C581" s="303"/>
      <c r="D581" s="138"/>
      <c r="E581" s="142"/>
      <c r="F581" s="303"/>
      <c r="G581" s="138"/>
      <c r="H581" s="142"/>
      <c r="I581" s="303"/>
      <c r="J581" s="138"/>
      <c r="K581" s="142"/>
      <c r="L581" s="303"/>
      <c r="M581" s="138"/>
      <c r="N581" s="142"/>
      <c r="O581" s="303"/>
      <c r="P581" s="138"/>
      <c r="Q581" s="142"/>
      <c r="R581" s="303"/>
      <c r="S581" s="138"/>
      <c r="T581" s="142"/>
      <c r="U581" s="303"/>
      <c r="V581" s="138"/>
      <c r="W581" s="142"/>
      <c r="X581" s="303"/>
      <c r="Y581" s="30"/>
      <c r="Z581" s="30"/>
      <c r="AA581" s="30"/>
      <c r="AB581" s="30"/>
      <c r="AC581" s="30"/>
      <c r="AD581" s="30"/>
      <c r="AE581" s="30"/>
      <c r="AF581" s="30"/>
      <c r="AG581" s="30"/>
      <c r="AH581" s="30"/>
      <c r="AI581" s="30"/>
      <c r="AJ581" s="30"/>
      <c r="AK581" s="30"/>
      <c r="AL581" s="30"/>
      <c r="AM581" s="30"/>
      <c r="AN581" s="30"/>
    </row>
    <row r="582">
      <c r="A582" s="138"/>
      <c r="B582" s="142"/>
      <c r="C582" s="303"/>
      <c r="D582" s="138"/>
      <c r="E582" s="142"/>
      <c r="F582" s="303"/>
      <c r="G582" s="138"/>
      <c r="H582" s="142"/>
      <c r="I582" s="303"/>
      <c r="J582" s="138"/>
      <c r="K582" s="142"/>
      <c r="L582" s="303"/>
      <c r="M582" s="138"/>
      <c r="N582" s="142"/>
      <c r="O582" s="303"/>
      <c r="P582" s="138"/>
      <c r="Q582" s="142"/>
      <c r="R582" s="303"/>
      <c r="S582" s="138"/>
      <c r="T582" s="142"/>
      <c r="U582" s="303"/>
      <c r="V582" s="138"/>
      <c r="W582" s="142"/>
      <c r="X582" s="303"/>
      <c r="Y582" s="30"/>
      <c r="Z582" s="30"/>
      <c r="AA582" s="30"/>
      <c r="AB582" s="30"/>
      <c r="AC582" s="30"/>
      <c r="AD582" s="30"/>
      <c r="AE582" s="30"/>
      <c r="AF582" s="30"/>
      <c r="AG582" s="30"/>
      <c r="AH582" s="30"/>
      <c r="AI582" s="30"/>
      <c r="AJ582" s="30"/>
      <c r="AK582" s="30"/>
      <c r="AL582" s="30"/>
      <c r="AM582" s="30"/>
      <c r="AN582" s="30"/>
    </row>
    <row r="583">
      <c r="A583" s="138"/>
      <c r="B583" s="142"/>
      <c r="C583" s="303"/>
      <c r="D583" s="138"/>
      <c r="E583" s="142"/>
      <c r="F583" s="303"/>
      <c r="G583" s="138"/>
      <c r="H583" s="142"/>
      <c r="I583" s="303"/>
      <c r="J583" s="138"/>
      <c r="K583" s="142"/>
      <c r="L583" s="303"/>
      <c r="M583" s="138"/>
      <c r="N583" s="142"/>
      <c r="O583" s="303"/>
      <c r="P583" s="138"/>
      <c r="Q583" s="142"/>
      <c r="R583" s="303"/>
      <c r="S583" s="138"/>
      <c r="T583" s="142"/>
      <c r="U583" s="303"/>
      <c r="V583" s="138"/>
      <c r="W583" s="142"/>
      <c r="X583" s="303"/>
      <c r="Y583" s="30"/>
      <c r="Z583" s="30"/>
      <c r="AA583" s="30"/>
      <c r="AB583" s="30"/>
      <c r="AC583" s="30"/>
      <c r="AD583" s="30"/>
      <c r="AE583" s="30"/>
      <c r="AF583" s="30"/>
      <c r="AG583" s="30"/>
      <c r="AH583" s="30"/>
      <c r="AI583" s="30"/>
      <c r="AJ583" s="30"/>
      <c r="AK583" s="30"/>
      <c r="AL583" s="30"/>
      <c r="AM583" s="30"/>
      <c r="AN583" s="30"/>
    </row>
    <row r="584">
      <c r="A584" s="138"/>
      <c r="B584" s="142"/>
      <c r="C584" s="303"/>
      <c r="D584" s="138"/>
      <c r="E584" s="142"/>
      <c r="F584" s="303"/>
      <c r="G584" s="138"/>
      <c r="H584" s="142"/>
      <c r="I584" s="303"/>
      <c r="J584" s="138"/>
      <c r="K584" s="142"/>
      <c r="L584" s="303"/>
      <c r="M584" s="138"/>
      <c r="N584" s="142"/>
      <c r="O584" s="303"/>
      <c r="P584" s="138"/>
      <c r="Q584" s="142"/>
      <c r="R584" s="303"/>
      <c r="S584" s="138"/>
      <c r="T584" s="142"/>
      <c r="U584" s="303"/>
      <c r="V584" s="138"/>
      <c r="W584" s="142"/>
      <c r="X584" s="303"/>
      <c r="Y584" s="30"/>
      <c r="Z584" s="30"/>
      <c r="AA584" s="30"/>
      <c r="AB584" s="30"/>
      <c r="AC584" s="30"/>
      <c r="AD584" s="30"/>
      <c r="AE584" s="30"/>
      <c r="AF584" s="30"/>
      <c r="AG584" s="30"/>
      <c r="AH584" s="30"/>
      <c r="AI584" s="30"/>
      <c r="AJ584" s="30"/>
      <c r="AK584" s="30"/>
      <c r="AL584" s="30"/>
      <c r="AM584" s="30"/>
      <c r="AN584" s="30"/>
    </row>
    <row r="585">
      <c r="A585" s="138"/>
      <c r="B585" s="142"/>
      <c r="C585" s="303"/>
      <c r="D585" s="138"/>
      <c r="E585" s="142"/>
      <c r="F585" s="303"/>
      <c r="G585" s="138"/>
      <c r="H585" s="142"/>
      <c r="I585" s="303"/>
      <c r="J585" s="138"/>
      <c r="K585" s="142"/>
      <c r="L585" s="303"/>
      <c r="M585" s="138"/>
      <c r="N585" s="142"/>
      <c r="O585" s="303"/>
      <c r="P585" s="138"/>
      <c r="Q585" s="142"/>
      <c r="R585" s="303"/>
      <c r="S585" s="138"/>
      <c r="T585" s="142"/>
      <c r="U585" s="303"/>
      <c r="V585" s="138"/>
      <c r="W585" s="142"/>
      <c r="X585" s="303"/>
      <c r="Y585" s="30"/>
      <c r="Z585" s="30"/>
      <c r="AA585" s="30"/>
      <c r="AB585" s="30"/>
      <c r="AC585" s="30"/>
      <c r="AD585" s="30"/>
      <c r="AE585" s="30"/>
      <c r="AF585" s="30"/>
      <c r="AG585" s="30"/>
      <c r="AH585" s="30"/>
      <c r="AI585" s="30"/>
      <c r="AJ585" s="30"/>
      <c r="AK585" s="30"/>
      <c r="AL585" s="30"/>
      <c r="AM585" s="30"/>
      <c r="AN585" s="30"/>
    </row>
    <row r="586">
      <c r="A586" s="138"/>
      <c r="B586" s="142"/>
      <c r="C586" s="303"/>
      <c r="D586" s="138"/>
      <c r="E586" s="142"/>
      <c r="F586" s="303"/>
      <c r="G586" s="138"/>
      <c r="H586" s="142"/>
      <c r="I586" s="303"/>
      <c r="J586" s="138"/>
      <c r="K586" s="142"/>
      <c r="L586" s="303"/>
      <c r="M586" s="138"/>
      <c r="N586" s="142"/>
      <c r="O586" s="303"/>
      <c r="P586" s="138"/>
      <c r="Q586" s="142"/>
      <c r="R586" s="303"/>
      <c r="S586" s="138"/>
      <c r="T586" s="142"/>
      <c r="U586" s="303"/>
      <c r="V586" s="138"/>
      <c r="W586" s="142"/>
      <c r="X586" s="303"/>
      <c r="Y586" s="30"/>
      <c r="Z586" s="30"/>
      <c r="AA586" s="30"/>
      <c r="AB586" s="30"/>
      <c r="AC586" s="30"/>
      <c r="AD586" s="30"/>
      <c r="AE586" s="30"/>
      <c r="AF586" s="30"/>
      <c r="AG586" s="30"/>
      <c r="AH586" s="30"/>
      <c r="AI586" s="30"/>
      <c r="AJ586" s="30"/>
      <c r="AK586" s="30"/>
      <c r="AL586" s="30"/>
      <c r="AM586" s="30"/>
      <c r="AN586" s="30"/>
    </row>
    <row r="587">
      <c r="A587" s="138"/>
      <c r="B587" s="142"/>
      <c r="C587" s="303"/>
      <c r="D587" s="138"/>
      <c r="E587" s="142"/>
      <c r="F587" s="303"/>
      <c r="G587" s="138"/>
      <c r="H587" s="142"/>
      <c r="I587" s="303"/>
      <c r="J587" s="138"/>
      <c r="K587" s="142"/>
      <c r="L587" s="303"/>
      <c r="M587" s="138"/>
      <c r="N587" s="142"/>
      <c r="O587" s="303"/>
      <c r="P587" s="138"/>
      <c r="Q587" s="142"/>
      <c r="R587" s="303"/>
      <c r="S587" s="138"/>
      <c r="T587" s="142"/>
      <c r="U587" s="303"/>
      <c r="V587" s="138"/>
      <c r="W587" s="142"/>
      <c r="X587" s="303"/>
      <c r="Y587" s="30"/>
      <c r="Z587" s="30"/>
      <c r="AA587" s="30"/>
      <c r="AB587" s="30"/>
      <c r="AC587" s="30"/>
      <c r="AD587" s="30"/>
      <c r="AE587" s="30"/>
      <c r="AF587" s="30"/>
      <c r="AG587" s="30"/>
      <c r="AH587" s="30"/>
      <c r="AI587" s="30"/>
      <c r="AJ587" s="30"/>
      <c r="AK587" s="30"/>
      <c r="AL587" s="30"/>
      <c r="AM587" s="30"/>
      <c r="AN587" s="30"/>
    </row>
    <row r="588">
      <c r="A588" s="138"/>
      <c r="B588" s="142"/>
      <c r="C588" s="303"/>
      <c r="D588" s="138"/>
      <c r="E588" s="142"/>
      <c r="F588" s="303"/>
      <c r="G588" s="138"/>
      <c r="H588" s="142"/>
      <c r="I588" s="303"/>
      <c r="J588" s="138"/>
      <c r="K588" s="142"/>
      <c r="L588" s="303"/>
      <c r="M588" s="138"/>
      <c r="N588" s="142"/>
      <c r="O588" s="303"/>
      <c r="P588" s="138"/>
      <c r="Q588" s="142"/>
      <c r="R588" s="303"/>
      <c r="S588" s="138"/>
      <c r="T588" s="142"/>
      <c r="U588" s="303"/>
      <c r="V588" s="138"/>
      <c r="W588" s="142"/>
      <c r="X588" s="303"/>
      <c r="Y588" s="30"/>
      <c r="Z588" s="30"/>
      <c r="AA588" s="30"/>
      <c r="AB588" s="30"/>
      <c r="AC588" s="30"/>
      <c r="AD588" s="30"/>
      <c r="AE588" s="30"/>
      <c r="AF588" s="30"/>
      <c r="AG588" s="30"/>
      <c r="AH588" s="30"/>
      <c r="AI588" s="30"/>
      <c r="AJ588" s="30"/>
      <c r="AK588" s="30"/>
      <c r="AL588" s="30"/>
      <c r="AM588" s="30"/>
      <c r="AN588" s="30"/>
    </row>
    <row r="589">
      <c r="A589" s="138"/>
      <c r="B589" s="142"/>
      <c r="C589" s="303"/>
      <c r="D589" s="138"/>
      <c r="E589" s="142"/>
      <c r="F589" s="303"/>
      <c r="G589" s="138"/>
      <c r="H589" s="142"/>
      <c r="I589" s="303"/>
      <c r="J589" s="138"/>
      <c r="K589" s="142"/>
      <c r="L589" s="303"/>
      <c r="M589" s="138"/>
      <c r="N589" s="142"/>
      <c r="O589" s="303"/>
      <c r="P589" s="138"/>
      <c r="Q589" s="142"/>
      <c r="R589" s="303"/>
      <c r="S589" s="138"/>
      <c r="T589" s="142"/>
      <c r="U589" s="303"/>
      <c r="V589" s="138"/>
      <c r="W589" s="142"/>
      <c r="X589" s="303"/>
      <c r="Y589" s="30"/>
      <c r="Z589" s="30"/>
      <c r="AA589" s="30"/>
      <c r="AB589" s="30"/>
      <c r="AC589" s="30"/>
      <c r="AD589" s="30"/>
      <c r="AE589" s="30"/>
      <c r="AF589" s="30"/>
      <c r="AG589" s="30"/>
      <c r="AH589" s="30"/>
      <c r="AI589" s="30"/>
      <c r="AJ589" s="30"/>
      <c r="AK589" s="30"/>
      <c r="AL589" s="30"/>
      <c r="AM589" s="30"/>
      <c r="AN589" s="30"/>
    </row>
    <row r="590">
      <c r="A590" s="138"/>
      <c r="B590" s="142"/>
      <c r="C590" s="303"/>
      <c r="D590" s="138"/>
      <c r="E590" s="142"/>
      <c r="F590" s="303"/>
      <c r="G590" s="138"/>
      <c r="H590" s="142"/>
      <c r="I590" s="303"/>
      <c r="J590" s="138"/>
      <c r="K590" s="142"/>
      <c r="L590" s="303"/>
      <c r="M590" s="138"/>
      <c r="N590" s="142"/>
      <c r="O590" s="303"/>
      <c r="P590" s="138"/>
      <c r="Q590" s="142"/>
      <c r="R590" s="303"/>
      <c r="S590" s="138"/>
      <c r="T590" s="142"/>
      <c r="U590" s="303"/>
      <c r="V590" s="138"/>
      <c r="W590" s="142"/>
      <c r="X590" s="303"/>
      <c r="Y590" s="30"/>
      <c r="Z590" s="30"/>
      <c r="AA590" s="30"/>
      <c r="AB590" s="30"/>
      <c r="AC590" s="30"/>
      <c r="AD590" s="30"/>
      <c r="AE590" s="30"/>
      <c r="AF590" s="30"/>
      <c r="AG590" s="30"/>
      <c r="AH590" s="30"/>
      <c r="AI590" s="30"/>
      <c r="AJ590" s="30"/>
      <c r="AK590" s="30"/>
      <c r="AL590" s="30"/>
      <c r="AM590" s="30"/>
      <c r="AN590" s="30"/>
    </row>
    <row r="591">
      <c r="A591" s="138"/>
      <c r="B591" s="142"/>
      <c r="C591" s="303"/>
      <c r="D591" s="138"/>
      <c r="E591" s="142"/>
      <c r="F591" s="303"/>
      <c r="G591" s="138"/>
      <c r="H591" s="142"/>
      <c r="I591" s="303"/>
      <c r="J591" s="138"/>
      <c r="K591" s="142"/>
      <c r="L591" s="303"/>
      <c r="M591" s="138"/>
      <c r="N591" s="142"/>
      <c r="O591" s="303"/>
      <c r="P591" s="138"/>
      <c r="Q591" s="142"/>
      <c r="R591" s="303"/>
      <c r="S591" s="138"/>
      <c r="T591" s="142"/>
      <c r="U591" s="303"/>
      <c r="V591" s="138"/>
      <c r="W591" s="142"/>
      <c r="X591" s="303"/>
      <c r="Y591" s="30"/>
      <c r="Z591" s="30"/>
      <c r="AA591" s="30"/>
      <c r="AB591" s="30"/>
      <c r="AC591" s="30"/>
      <c r="AD591" s="30"/>
      <c r="AE591" s="30"/>
      <c r="AF591" s="30"/>
      <c r="AG591" s="30"/>
      <c r="AH591" s="30"/>
      <c r="AI591" s="30"/>
      <c r="AJ591" s="30"/>
      <c r="AK591" s="30"/>
      <c r="AL591" s="30"/>
      <c r="AM591" s="30"/>
      <c r="AN591" s="30"/>
    </row>
    <row r="592">
      <c r="A592" s="138"/>
      <c r="B592" s="142"/>
      <c r="C592" s="303"/>
      <c r="D592" s="138"/>
      <c r="E592" s="142"/>
      <c r="F592" s="303"/>
      <c r="G592" s="138"/>
      <c r="H592" s="142"/>
      <c r="I592" s="303"/>
      <c r="J592" s="138"/>
      <c r="K592" s="142"/>
      <c r="L592" s="303"/>
      <c r="M592" s="138"/>
      <c r="N592" s="142"/>
      <c r="O592" s="303"/>
      <c r="P592" s="138"/>
      <c r="Q592" s="142"/>
      <c r="R592" s="303"/>
      <c r="S592" s="138"/>
      <c r="T592" s="142"/>
      <c r="U592" s="303"/>
      <c r="V592" s="138"/>
      <c r="W592" s="142"/>
      <c r="X592" s="303"/>
      <c r="Y592" s="30"/>
      <c r="Z592" s="30"/>
      <c r="AA592" s="30"/>
      <c r="AB592" s="30"/>
      <c r="AC592" s="30"/>
      <c r="AD592" s="30"/>
      <c r="AE592" s="30"/>
      <c r="AF592" s="30"/>
      <c r="AG592" s="30"/>
      <c r="AH592" s="30"/>
      <c r="AI592" s="30"/>
      <c r="AJ592" s="30"/>
      <c r="AK592" s="30"/>
      <c r="AL592" s="30"/>
      <c r="AM592" s="30"/>
      <c r="AN592" s="30"/>
    </row>
    <row r="593">
      <c r="A593" s="138"/>
      <c r="B593" s="142"/>
      <c r="C593" s="303"/>
      <c r="D593" s="138"/>
      <c r="E593" s="142"/>
      <c r="F593" s="303"/>
      <c r="G593" s="138"/>
      <c r="H593" s="142"/>
      <c r="I593" s="303"/>
      <c r="J593" s="138"/>
      <c r="K593" s="142"/>
      <c r="L593" s="303"/>
      <c r="M593" s="138"/>
      <c r="N593" s="142"/>
      <c r="O593" s="303"/>
      <c r="P593" s="138"/>
      <c r="Q593" s="142"/>
      <c r="R593" s="303"/>
      <c r="S593" s="138"/>
      <c r="T593" s="142"/>
      <c r="U593" s="303"/>
      <c r="V593" s="138"/>
      <c r="W593" s="142"/>
      <c r="X593" s="303"/>
      <c r="Y593" s="30"/>
      <c r="Z593" s="30"/>
      <c r="AA593" s="30"/>
      <c r="AB593" s="30"/>
      <c r="AC593" s="30"/>
      <c r="AD593" s="30"/>
      <c r="AE593" s="30"/>
      <c r="AF593" s="30"/>
      <c r="AG593" s="30"/>
      <c r="AH593" s="30"/>
      <c r="AI593" s="30"/>
      <c r="AJ593" s="30"/>
      <c r="AK593" s="30"/>
      <c r="AL593" s="30"/>
      <c r="AM593" s="30"/>
      <c r="AN593" s="30"/>
    </row>
    <row r="594">
      <c r="A594" s="138"/>
      <c r="B594" s="142"/>
      <c r="C594" s="303"/>
      <c r="D594" s="138"/>
      <c r="E594" s="142"/>
      <c r="F594" s="303"/>
      <c r="G594" s="138"/>
      <c r="H594" s="142"/>
      <c r="I594" s="303"/>
      <c r="J594" s="138"/>
      <c r="K594" s="142"/>
      <c r="L594" s="303"/>
      <c r="M594" s="138"/>
      <c r="N594" s="142"/>
      <c r="O594" s="303"/>
      <c r="P594" s="138"/>
      <c r="Q594" s="142"/>
      <c r="R594" s="303"/>
      <c r="S594" s="138"/>
      <c r="T594" s="142"/>
      <c r="U594" s="303"/>
      <c r="V594" s="138"/>
      <c r="W594" s="142"/>
      <c r="X594" s="303"/>
      <c r="Y594" s="30"/>
      <c r="Z594" s="30"/>
      <c r="AA594" s="30"/>
      <c r="AB594" s="30"/>
      <c r="AC594" s="30"/>
      <c r="AD594" s="30"/>
      <c r="AE594" s="30"/>
      <c r="AF594" s="30"/>
      <c r="AG594" s="30"/>
      <c r="AH594" s="30"/>
      <c r="AI594" s="30"/>
      <c r="AJ594" s="30"/>
      <c r="AK594" s="30"/>
      <c r="AL594" s="30"/>
      <c r="AM594" s="30"/>
      <c r="AN594" s="30"/>
    </row>
    <row r="595">
      <c r="A595" s="138"/>
      <c r="B595" s="142"/>
      <c r="C595" s="303"/>
      <c r="D595" s="138"/>
      <c r="E595" s="142"/>
      <c r="F595" s="303"/>
      <c r="G595" s="138"/>
      <c r="H595" s="142"/>
      <c r="I595" s="303"/>
      <c r="J595" s="138"/>
      <c r="K595" s="142"/>
      <c r="L595" s="303"/>
      <c r="M595" s="138"/>
      <c r="N595" s="142"/>
      <c r="O595" s="303"/>
      <c r="P595" s="138"/>
      <c r="Q595" s="142"/>
      <c r="R595" s="303"/>
      <c r="S595" s="138"/>
      <c r="T595" s="142"/>
      <c r="U595" s="303"/>
      <c r="V595" s="138"/>
      <c r="W595" s="142"/>
      <c r="X595" s="303"/>
      <c r="Y595" s="30"/>
      <c r="Z595" s="30"/>
      <c r="AA595" s="30"/>
      <c r="AB595" s="30"/>
      <c r="AC595" s="30"/>
      <c r="AD595" s="30"/>
      <c r="AE595" s="30"/>
      <c r="AF595" s="30"/>
      <c r="AG595" s="30"/>
      <c r="AH595" s="30"/>
      <c r="AI595" s="30"/>
      <c r="AJ595" s="30"/>
      <c r="AK595" s="30"/>
      <c r="AL595" s="30"/>
      <c r="AM595" s="30"/>
      <c r="AN595" s="30"/>
    </row>
    <row r="596">
      <c r="A596" s="138"/>
      <c r="B596" s="142"/>
      <c r="C596" s="303"/>
      <c r="D596" s="138"/>
      <c r="E596" s="142"/>
      <c r="F596" s="303"/>
      <c r="G596" s="138"/>
      <c r="H596" s="142"/>
      <c r="I596" s="303"/>
      <c r="J596" s="138"/>
      <c r="K596" s="142"/>
      <c r="L596" s="303"/>
      <c r="M596" s="138"/>
      <c r="N596" s="142"/>
      <c r="O596" s="303"/>
      <c r="P596" s="138"/>
      <c r="Q596" s="142"/>
      <c r="R596" s="303"/>
      <c r="S596" s="138"/>
      <c r="T596" s="142"/>
      <c r="U596" s="303"/>
      <c r="V596" s="138"/>
      <c r="W596" s="142"/>
      <c r="X596" s="303"/>
      <c r="Y596" s="30"/>
      <c r="Z596" s="30"/>
      <c r="AA596" s="30"/>
      <c r="AB596" s="30"/>
      <c r="AC596" s="30"/>
      <c r="AD596" s="30"/>
      <c r="AE596" s="30"/>
      <c r="AF596" s="30"/>
      <c r="AG596" s="30"/>
      <c r="AH596" s="30"/>
      <c r="AI596" s="30"/>
      <c r="AJ596" s="30"/>
      <c r="AK596" s="30"/>
      <c r="AL596" s="30"/>
      <c r="AM596" s="30"/>
      <c r="AN596" s="30"/>
    </row>
    <row r="597">
      <c r="A597" s="138"/>
      <c r="B597" s="142"/>
      <c r="C597" s="303"/>
      <c r="D597" s="138"/>
      <c r="E597" s="142"/>
      <c r="F597" s="303"/>
      <c r="G597" s="138"/>
      <c r="H597" s="142"/>
      <c r="I597" s="303"/>
      <c r="J597" s="138"/>
      <c r="K597" s="142"/>
      <c r="L597" s="303"/>
      <c r="M597" s="138"/>
      <c r="N597" s="142"/>
      <c r="O597" s="303"/>
      <c r="P597" s="138"/>
      <c r="Q597" s="142"/>
      <c r="R597" s="303"/>
      <c r="S597" s="138"/>
      <c r="T597" s="142"/>
      <c r="U597" s="303"/>
      <c r="V597" s="138"/>
      <c r="W597" s="142"/>
      <c r="X597" s="303"/>
      <c r="Y597" s="30"/>
      <c r="Z597" s="30"/>
      <c r="AA597" s="30"/>
      <c r="AB597" s="30"/>
      <c r="AC597" s="30"/>
      <c r="AD597" s="30"/>
      <c r="AE597" s="30"/>
      <c r="AF597" s="30"/>
      <c r="AG597" s="30"/>
      <c r="AH597" s="30"/>
      <c r="AI597" s="30"/>
      <c r="AJ597" s="30"/>
      <c r="AK597" s="30"/>
      <c r="AL597" s="30"/>
      <c r="AM597" s="30"/>
      <c r="AN597" s="30"/>
    </row>
    <row r="598">
      <c r="A598" s="138"/>
      <c r="B598" s="142"/>
      <c r="C598" s="303"/>
      <c r="D598" s="138"/>
      <c r="E598" s="142"/>
      <c r="F598" s="303"/>
      <c r="G598" s="138"/>
      <c r="H598" s="142"/>
      <c r="I598" s="303"/>
      <c r="J598" s="138"/>
      <c r="K598" s="142"/>
      <c r="L598" s="303"/>
      <c r="M598" s="138"/>
      <c r="N598" s="142"/>
      <c r="O598" s="303"/>
      <c r="P598" s="138"/>
      <c r="Q598" s="142"/>
      <c r="R598" s="303"/>
      <c r="S598" s="138"/>
      <c r="T598" s="142"/>
      <c r="U598" s="303"/>
      <c r="V598" s="138"/>
      <c r="W598" s="142"/>
      <c r="X598" s="303"/>
      <c r="Y598" s="30"/>
      <c r="Z598" s="30"/>
      <c r="AA598" s="30"/>
      <c r="AB598" s="30"/>
      <c r="AC598" s="30"/>
      <c r="AD598" s="30"/>
      <c r="AE598" s="30"/>
      <c r="AF598" s="30"/>
      <c r="AG598" s="30"/>
      <c r="AH598" s="30"/>
      <c r="AI598" s="30"/>
      <c r="AJ598" s="30"/>
      <c r="AK598" s="30"/>
      <c r="AL598" s="30"/>
      <c r="AM598" s="30"/>
      <c r="AN598" s="30"/>
    </row>
    <row r="599">
      <c r="A599" s="138"/>
      <c r="B599" s="142"/>
      <c r="C599" s="303"/>
      <c r="D599" s="138"/>
      <c r="E599" s="142"/>
      <c r="F599" s="303"/>
      <c r="G599" s="138"/>
      <c r="H599" s="142"/>
      <c r="I599" s="303"/>
      <c r="J599" s="138"/>
      <c r="K599" s="142"/>
      <c r="L599" s="303"/>
      <c r="M599" s="138"/>
      <c r="N599" s="142"/>
      <c r="O599" s="303"/>
      <c r="P599" s="138"/>
      <c r="Q599" s="142"/>
      <c r="R599" s="303"/>
      <c r="S599" s="138"/>
      <c r="T599" s="142"/>
      <c r="U599" s="303"/>
      <c r="V599" s="138"/>
      <c r="W599" s="142"/>
      <c r="X599" s="303"/>
      <c r="Y599" s="30"/>
      <c r="Z599" s="30"/>
      <c r="AA599" s="30"/>
      <c r="AB599" s="30"/>
      <c r="AC599" s="30"/>
      <c r="AD599" s="30"/>
      <c r="AE599" s="30"/>
      <c r="AF599" s="30"/>
      <c r="AG599" s="30"/>
      <c r="AH599" s="30"/>
      <c r="AI599" s="30"/>
      <c r="AJ599" s="30"/>
      <c r="AK599" s="30"/>
      <c r="AL599" s="30"/>
      <c r="AM599" s="30"/>
      <c r="AN599" s="30"/>
    </row>
    <row r="600">
      <c r="A600" s="138"/>
      <c r="B600" s="142"/>
      <c r="C600" s="303"/>
      <c r="D600" s="138"/>
      <c r="E600" s="142"/>
      <c r="F600" s="303"/>
      <c r="G600" s="138"/>
      <c r="H600" s="142"/>
      <c r="I600" s="303"/>
      <c r="J600" s="138"/>
      <c r="K600" s="142"/>
      <c r="L600" s="303"/>
      <c r="M600" s="138"/>
      <c r="N600" s="142"/>
      <c r="O600" s="303"/>
      <c r="P600" s="138"/>
      <c r="Q600" s="142"/>
      <c r="R600" s="303"/>
      <c r="S600" s="138"/>
      <c r="T600" s="142"/>
      <c r="U600" s="303"/>
      <c r="V600" s="138"/>
      <c r="W600" s="142"/>
      <c r="X600" s="303"/>
      <c r="Y600" s="30"/>
      <c r="Z600" s="30"/>
      <c r="AA600" s="30"/>
      <c r="AB600" s="30"/>
      <c r="AC600" s="30"/>
      <c r="AD600" s="30"/>
      <c r="AE600" s="30"/>
      <c r="AF600" s="30"/>
      <c r="AG600" s="30"/>
      <c r="AH600" s="30"/>
      <c r="AI600" s="30"/>
      <c r="AJ600" s="30"/>
      <c r="AK600" s="30"/>
      <c r="AL600" s="30"/>
      <c r="AM600" s="30"/>
      <c r="AN600" s="30"/>
    </row>
    <row r="601">
      <c r="A601" s="138"/>
      <c r="B601" s="142"/>
      <c r="C601" s="303"/>
      <c r="D601" s="138"/>
      <c r="E601" s="142"/>
      <c r="F601" s="303"/>
      <c r="G601" s="138"/>
      <c r="H601" s="142"/>
      <c r="I601" s="303"/>
      <c r="J601" s="138"/>
      <c r="K601" s="142"/>
      <c r="L601" s="303"/>
      <c r="M601" s="138"/>
      <c r="N601" s="142"/>
      <c r="O601" s="303"/>
      <c r="P601" s="138"/>
      <c r="Q601" s="142"/>
      <c r="R601" s="303"/>
      <c r="S601" s="138"/>
      <c r="T601" s="142"/>
      <c r="U601" s="303"/>
      <c r="V601" s="138"/>
      <c r="W601" s="142"/>
      <c r="X601" s="303"/>
      <c r="Y601" s="30"/>
      <c r="Z601" s="30"/>
      <c r="AA601" s="30"/>
      <c r="AB601" s="30"/>
      <c r="AC601" s="30"/>
      <c r="AD601" s="30"/>
      <c r="AE601" s="30"/>
      <c r="AF601" s="30"/>
      <c r="AG601" s="30"/>
      <c r="AH601" s="30"/>
      <c r="AI601" s="30"/>
      <c r="AJ601" s="30"/>
      <c r="AK601" s="30"/>
      <c r="AL601" s="30"/>
      <c r="AM601" s="30"/>
      <c r="AN601" s="30"/>
    </row>
    <row r="602">
      <c r="A602" s="138"/>
      <c r="B602" s="142"/>
      <c r="C602" s="303"/>
      <c r="D602" s="138"/>
      <c r="E602" s="142"/>
      <c r="F602" s="303"/>
      <c r="G602" s="138"/>
      <c r="H602" s="142"/>
      <c r="I602" s="303"/>
      <c r="J602" s="138"/>
      <c r="K602" s="142"/>
      <c r="L602" s="303"/>
      <c r="M602" s="138"/>
      <c r="N602" s="142"/>
      <c r="O602" s="303"/>
      <c r="P602" s="138"/>
      <c r="Q602" s="142"/>
      <c r="R602" s="303"/>
      <c r="S602" s="138"/>
      <c r="T602" s="142"/>
      <c r="U602" s="303"/>
      <c r="V602" s="138"/>
      <c r="W602" s="142"/>
      <c r="X602" s="303"/>
      <c r="Y602" s="30"/>
      <c r="Z602" s="30"/>
      <c r="AA602" s="30"/>
      <c r="AB602" s="30"/>
      <c r="AC602" s="30"/>
      <c r="AD602" s="30"/>
      <c r="AE602" s="30"/>
      <c r="AF602" s="30"/>
      <c r="AG602" s="30"/>
      <c r="AH602" s="30"/>
      <c r="AI602" s="30"/>
      <c r="AJ602" s="30"/>
      <c r="AK602" s="30"/>
      <c r="AL602" s="30"/>
      <c r="AM602" s="30"/>
      <c r="AN602" s="30"/>
    </row>
    <row r="603">
      <c r="A603" s="138"/>
      <c r="B603" s="142"/>
      <c r="C603" s="303"/>
      <c r="D603" s="138"/>
      <c r="E603" s="142"/>
      <c r="F603" s="303"/>
      <c r="G603" s="138"/>
      <c r="H603" s="142"/>
      <c r="I603" s="303"/>
      <c r="J603" s="138"/>
      <c r="K603" s="142"/>
      <c r="L603" s="303"/>
      <c r="M603" s="138"/>
      <c r="N603" s="142"/>
      <c r="O603" s="303"/>
      <c r="P603" s="138"/>
      <c r="Q603" s="142"/>
      <c r="R603" s="303"/>
      <c r="S603" s="138"/>
      <c r="T603" s="142"/>
      <c r="U603" s="303"/>
      <c r="V603" s="138"/>
      <c r="W603" s="142"/>
      <c r="X603" s="303"/>
      <c r="Y603" s="30"/>
      <c r="Z603" s="30"/>
      <c r="AA603" s="30"/>
      <c r="AB603" s="30"/>
      <c r="AC603" s="30"/>
      <c r="AD603" s="30"/>
      <c r="AE603" s="30"/>
      <c r="AF603" s="30"/>
      <c r="AG603" s="30"/>
      <c r="AH603" s="30"/>
      <c r="AI603" s="30"/>
      <c r="AJ603" s="30"/>
      <c r="AK603" s="30"/>
      <c r="AL603" s="30"/>
      <c r="AM603" s="30"/>
      <c r="AN603" s="30"/>
    </row>
    <row r="604">
      <c r="A604" s="138"/>
      <c r="B604" s="142"/>
      <c r="C604" s="303"/>
      <c r="D604" s="138"/>
      <c r="E604" s="142"/>
      <c r="F604" s="303"/>
      <c r="G604" s="138"/>
      <c r="H604" s="142"/>
      <c r="I604" s="303"/>
      <c r="J604" s="138"/>
      <c r="K604" s="142"/>
      <c r="L604" s="303"/>
      <c r="M604" s="138"/>
      <c r="N604" s="142"/>
      <c r="O604" s="303"/>
      <c r="P604" s="138"/>
      <c r="Q604" s="142"/>
      <c r="R604" s="303"/>
      <c r="S604" s="138"/>
      <c r="T604" s="142"/>
      <c r="U604" s="303"/>
      <c r="V604" s="138"/>
      <c r="W604" s="142"/>
      <c r="X604" s="303"/>
      <c r="Y604" s="30"/>
      <c r="Z604" s="30"/>
      <c r="AA604" s="30"/>
      <c r="AB604" s="30"/>
      <c r="AC604" s="30"/>
      <c r="AD604" s="30"/>
      <c r="AE604" s="30"/>
      <c r="AF604" s="30"/>
      <c r="AG604" s="30"/>
      <c r="AH604" s="30"/>
      <c r="AI604" s="30"/>
      <c r="AJ604" s="30"/>
      <c r="AK604" s="30"/>
      <c r="AL604" s="30"/>
      <c r="AM604" s="30"/>
      <c r="AN604" s="30"/>
    </row>
    <row r="605">
      <c r="A605" s="138"/>
      <c r="B605" s="142"/>
      <c r="C605" s="303"/>
      <c r="D605" s="138"/>
      <c r="E605" s="142"/>
      <c r="F605" s="303"/>
      <c r="G605" s="138"/>
      <c r="H605" s="142"/>
      <c r="I605" s="303"/>
      <c r="J605" s="138"/>
      <c r="K605" s="142"/>
      <c r="L605" s="303"/>
      <c r="M605" s="138"/>
      <c r="N605" s="142"/>
      <c r="O605" s="303"/>
      <c r="P605" s="138"/>
      <c r="Q605" s="142"/>
      <c r="R605" s="303"/>
      <c r="S605" s="138"/>
      <c r="T605" s="142"/>
      <c r="U605" s="303"/>
      <c r="V605" s="138"/>
      <c r="W605" s="142"/>
      <c r="X605" s="303"/>
      <c r="Y605" s="30"/>
      <c r="Z605" s="30"/>
      <c r="AA605" s="30"/>
      <c r="AB605" s="30"/>
      <c r="AC605" s="30"/>
      <c r="AD605" s="30"/>
      <c r="AE605" s="30"/>
      <c r="AF605" s="30"/>
      <c r="AG605" s="30"/>
      <c r="AH605" s="30"/>
      <c r="AI605" s="30"/>
      <c r="AJ605" s="30"/>
      <c r="AK605" s="30"/>
      <c r="AL605" s="30"/>
      <c r="AM605" s="30"/>
      <c r="AN605" s="30"/>
    </row>
    <row r="606">
      <c r="A606" s="138"/>
      <c r="B606" s="142"/>
      <c r="C606" s="303"/>
      <c r="D606" s="138"/>
      <c r="E606" s="142"/>
      <c r="F606" s="303"/>
      <c r="G606" s="138"/>
      <c r="H606" s="142"/>
      <c r="I606" s="303"/>
      <c r="J606" s="138"/>
      <c r="K606" s="142"/>
      <c r="L606" s="303"/>
      <c r="M606" s="138"/>
      <c r="N606" s="142"/>
      <c r="O606" s="303"/>
      <c r="P606" s="138"/>
      <c r="Q606" s="142"/>
      <c r="R606" s="303"/>
      <c r="S606" s="138"/>
      <c r="T606" s="142"/>
      <c r="U606" s="303"/>
      <c r="V606" s="138"/>
      <c r="W606" s="142"/>
      <c r="X606" s="303"/>
      <c r="Y606" s="30"/>
      <c r="Z606" s="30"/>
      <c r="AA606" s="30"/>
      <c r="AB606" s="30"/>
      <c r="AC606" s="30"/>
      <c r="AD606" s="30"/>
      <c r="AE606" s="30"/>
      <c r="AF606" s="30"/>
      <c r="AG606" s="30"/>
      <c r="AH606" s="30"/>
      <c r="AI606" s="30"/>
      <c r="AJ606" s="30"/>
      <c r="AK606" s="30"/>
      <c r="AL606" s="30"/>
      <c r="AM606" s="30"/>
      <c r="AN606" s="30"/>
    </row>
    <row r="607">
      <c r="A607" s="138"/>
      <c r="B607" s="142"/>
      <c r="C607" s="303"/>
      <c r="D607" s="138"/>
      <c r="E607" s="142"/>
      <c r="F607" s="303"/>
      <c r="G607" s="138"/>
      <c r="H607" s="142"/>
      <c r="I607" s="303"/>
      <c r="J607" s="138"/>
      <c r="K607" s="142"/>
      <c r="L607" s="303"/>
      <c r="M607" s="138"/>
      <c r="N607" s="142"/>
      <c r="O607" s="303"/>
      <c r="P607" s="138"/>
      <c r="Q607" s="142"/>
      <c r="R607" s="303"/>
      <c r="S607" s="138"/>
      <c r="T607" s="142"/>
      <c r="U607" s="303"/>
      <c r="V607" s="138"/>
      <c r="W607" s="142"/>
      <c r="X607" s="303"/>
      <c r="Y607" s="30"/>
      <c r="Z607" s="30"/>
      <c r="AA607" s="30"/>
      <c r="AB607" s="30"/>
      <c r="AC607" s="30"/>
      <c r="AD607" s="30"/>
      <c r="AE607" s="30"/>
      <c r="AF607" s="30"/>
      <c r="AG607" s="30"/>
      <c r="AH607" s="30"/>
      <c r="AI607" s="30"/>
      <c r="AJ607" s="30"/>
      <c r="AK607" s="30"/>
      <c r="AL607" s="30"/>
      <c r="AM607" s="30"/>
      <c r="AN607" s="30"/>
    </row>
    <row r="608">
      <c r="A608" s="138"/>
      <c r="B608" s="142"/>
      <c r="C608" s="303"/>
      <c r="D608" s="138"/>
      <c r="E608" s="142"/>
      <c r="F608" s="303"/>
      <c r="G608" s="138"/>
      <c r="H608" s="142"/>
      <c r="I608" s="303"/>
      <c r="J608" s="138"/>
      <c r="K608" s="142"/>
      <c r="L608" s="303"/>
      <c r="M608" s="138"/>
      <c r="N608" s="142"/>
      <c r="O608" s="303"/>
      <c r="P608" s="138"/>
      <c r="Q608" s="142"/>
      <c r="R608" s="303"/>
      <c r="S608" s="138"/>
      <c r="T608" s="142"/>
      <c r="U608" s="303"/>
      <c r="V608" s="138"/>
      <c r="W608" s="142"/>
      <c r="X608" s="303"/>
      <c r="Y608" s="30"/>
      <c r="Z608" s="30"/>
      <c r="AA608" s="30"/>
      <c r="AB608" s="30"/>
      <c r="AC608" s="30"/>
      <c r="AD608" s="30"/>
      <c r="AE608" s="30"/>
      <c r="AF608" s="30"/>
      <c r="AG608" s="30"/>
      <c r="AH608" s="30"/>
      <c r="AI608" s="30"/>
      <c r="AJ608" s="30"/>
      <c r="AK608" s="30"/>
      <c r="AL608" s="30"/>
      <c r="AM608" s="30"/>
      <c r="AN608" s="30"/>
    </row>
    <row r="609">
      <c r="A609" s="138"/>
      <c r="B609" s="142"/>
      <c r="C609" s="303"/>
      <c r="D609" s="138"/>
      <c r="E609" s="142"/>
      <c r="F609" s="303"/>
      <c r="G609" s="138"/>
      <c r="H609" s="142"/>
      <c r="I609" s="303"/>
      <c r="J609" s="138"/>
      <c r="K609" s="142"/>
      <c r="L609" s="303"/>
      <c r="M609" s="138"/>
      <c r="N609" s="142"/>
      <c r="O609" s="303"/>
      <c r="P609" s="138"/>
      <c r="Q609" s="142"/>
      <c r="R609" s="303"/>
      <c r="S609" s="138"/>
      <c r="T609" s="142"/>
      <c r="U609" s="303"/>
      <c r="V609" s="138"/>
      <c r="W609" s="142"/>
      <c r="X609" s="303"/>
      <c r="Y609" s="30"/>
      <c r="Z609" s="30"/>
      <c r="AA609" s="30"/>
      <c r="AB609" s="30"/>
      <c r="AC609" s="30"/>
      <c r="AD609" s="30"/>
      <c r="AE609" s="30"/>
      <c r="AF609" s="30"/>
      <c r="AG609" s="30"/>
      <c r="AH609" s="30"/>
      <c r="AI609" s="30"/>
      <c r="AJ609" s="30"/>
      <c r="AK609" s="30"/>
      <c r="AL609" s="30"/>
      <c r="AM609" s="30"/>
      <c r="AN609" s="30"/>
    </row>
    <row r="610">
      <c r="A610" s="138"/>
      <c r="B610" s="142"/>
      <c r="C610" s="303"/>
      <c r="D610" s="138"/>
      <c r="E610" s="142"/>
      <c r="F610" s="303"/>
      <c r="G610" s="138"/>
      <c r="H610" s="142"/>
      <c r="I610" s="303"/>
      <c r="J610" s="138"/>
      <c r="K610" s="142"/>
      <c r="L610" s="303"/>
      <c r="M610" s="138"/>
      <c r="N610" s="142"/>
      <c r="O610" s="303"/>
      <c r="P610" s="138"/>
      <c r="Q610" s="142"/>
      <c r="R610" s="303"/>
      <c r="S610" s="138"/>
      <c r="T610" s="142"/>
      <c r="U610" s="303"/>
      <c r="V610" s="138"/>
      <c r="W610" s="142"/>
      <c r="X610" s="303"/>
      <c r="Y610" s="30"/>
      <c r="Z610" s="30"/>
      <c r="AA610" s="30"/>
      <c r="AB610" s="30"/>
      <c r="AC610" s="30"/>
      <c r="AD610" s="30"/>
      <c r="AE610" s="30"/>
      <c r="AF610" s="30"/>
      <c r="AG610" s="30"/>
      <c r="AH610" s="30"/>
      <c r="AI610" s="30"/>
      <c r="AJ610" s="30"/>
      <c r="AK610" s="30"/>
      <c r="AL610" s="30"/>
      <c r="AM610" s="30"/>
      <c r="AN610" s="30"/>
    </row>
    <row r="611">
      <c r="A611" s="138"/>
      <c r="B611" s="142"/>
      <c r="C611" s="303"/>
      <c r="D611" s="138"/>
      <c r="E611" s="142"/>
      <c r="F611" s="303"/>
      <c r="G611" s="138"/>
      <c r="H611" s="142"/>
      <c r="I611" s="303"/>
      <c r="J611" s="138"/>
      <c r="K611" s="142"/>
      <c r="L611" s="303"/>
      <c r="M611" s="138"/>
      <c r="N611" s="142"/>
      <c r="O611" s="303"/>
      <c r="P611" s="138"/>
      <c r="Q611" s="142"/>
      <c r="R611" s="303"/>
      <c r="S611" s="138"/>
      <c r="T611" s="142"/>
      <c r="U611" s="303"/>
      <c r="V611" s="138"/>
      <c r="W611" s="142"/>
      <c r="X611" s="303"/>
      <c r="Y611" s="30"/>
      <c r="Z611" s="30"/>
      <c r="AA611" s="30"/>
      <c r="AB611" s="30"/>
      <c r="AC611" s="30"/>
      <c r="AD611" s="30"/>
      <c r="AE611" s="30"/>
      <c r="AF611" s="30"/>
      <c r="AG611" s="30"/>
      <c r="AH611" s="30"/>
      <c r="AI611" s="30"/>
      <c r="AJ611" s="30"/>
      <c r="AK611" s="30"/>
      <c r="AL611" s="30"/>
      <c r="AM611" s="30"/>
      <c r="AN611" s="30"/>
    </row>
    <row r="612">
      <c r="A612" s="138"/>
      <c r="B612" s="142"/>
      <c r="C612" s="303"/>
      <c r="D612" s="138"/>
      <c r="E612" s="142"/>
      <c r="F612" s="303"/>
      <c r="G612" s="138"/>
      <c r="H612" s="142"/>
      <c r="I612" s="303"/>
      <c r="J612" s="138"/>
      <c r="K612" s="142"/>
      <c r="L612" s="303"/>
      <c r="M612" s="138"/>
      <c r="N612" s="142"/>
      <c r="O612" s="303"/>
      <c r="P612" s="138"/>
      <c r="Q612" s="142"/>
      <c r="R612" s="303"/>
      <c r="S612" s="138"/>
      <c r="T612" s="142"/>
      <c r="U612" s="303"/>
      <c r="V612" s="138"/>
      <c r="W612" s="142"/>
      <c r="X612" s="303"/>
      <c r="Y612" s="30"/>
      <c r="Z612" s="30"/>
      <c r="AA612" s="30"/>
      <c r="AB612" s="30"/>
      <c r="AC612" s="30"/>
      <c r="AD612" s="30"/>
      <c r="AE612" s="30"/>
      <c r="AF612" s="30"/>
      <c r="AG612" s="30"/>
      <c r="AH612" s="30"/>
      <c r="AI612" s="30"/>
      <c r="AJ612" s="30"/>
      <c r="AK612" s="30"/>
      <c r="AL612" s="30"/>
      <c r="AM612" s="30"/>
      <c r="AN612" s="30"/>
    </row>
    <row r="613">
      <c r="A613" s="138"/>
      <c r="B613" s="142"/>
      <c r="C613" s="303"/>
      <c r="D613" s="138"/>
      <c r="E613" s="142"/>
      <c r="F613" s="303"/>
      <c r="G613" s="138"/>
      <c r="H613" s="142"/>
      <c r="I613" s="303"/>
      <c r="J613" s="138"/>
      <c r="K613" s="142"/>
      <c r="L613" s="303"/>
      <c r="M613" s="138"/>
      <c r="N613" s="142"/>
      <c r="O613" s="303"/>
      <c r="P613" s="138"/>
      <c r="Q613" s="142"/>
      <c r="R613" s="303"/>
      <c r="S613" s="138"/>
      <c r="T613" s="142"/>
      <c r="U613" s="303"/>
      <c r="V613" s="138"/>
      <c r="W613" s="142"/>
      <c r="X613" s="303"/>
      <c r="Y613" s="30"/>
      <c r="Z613" s="30"/>
      <c r="AA613" s="30"/>
      <c r="AB613" s="30"/>
      <c r="AC613" s="30"/>
      <c r="AD613" s="30"/>
      <c r="AE613" s="30"/>
      <c r="AF613" s="30"/>
      <c r="AG613" s="30"/>
      <c r="AH613" s="30"/>
      <c r="AI613" s="30"/>
      <c r="AJ613" s="30"/>
      <c r="AK613" s="30"/>
      <c r="AL613" s="30"/>
      <c r="AM613" s="30"/>
      <c r="AN613" s="30"/>
    </row>
    <row r="614">
      <c r="A614" s="138"/>
      <c r="B614" s="142"/>
      <c r="C614" s="303"/>
      <c r="D614" s="138"/>
      <c r="E614" s="142"/>
      <c r="F614" s="303"/>
      <c r="G614" s="138"/>
      <c r="H614" s="142"/>
      <c r="I614" s="303"/>
      <c r="J614" s="138"/>
      <c r="K614" s="142"/>
      <c r="L614" s="303"/>
      <c r="M614" s="138"/>
      <c r="N614" s="142"/>
      <c r="O614" s="303"/>
      <c r="P614" s="138"/>
      <c r="Q614" s="142"/>
      <c r="R614" s="303"/>
      <c r="S614" s="138"/>
      <c r="T614" s="142"/>
      <c r="U614" s="303"/>
      <c r="V614" s="138"/>
      <c r="W614" s="142"/>
      <c r="X614" s="303"/>
      <c r="Y614" s="30"/>
      <c r="Z614" s="30"/>
      <c r="AA614" s="30"/>
      <c r="AB614" s="30"/>
      <c r="AC614" s="30"/>
      <c r="AD614" s="30"/>
      <c r="AE614" s="30"/>
      <c r="AF614" s="30"/>
      <c r="AG614" s="30"/>
      <c r="AH614" s="30"/>
      <c r="AI614" s="30"/>
      <c r="AJ614" s="30"/>
      <c r="AK614" s="30"/>
      <c r="AL614" s="30"/>
      <c r="AM614" s="30"/>
      <c r="AN614" s="30"/>
    </row>
    <row r="615">
      <c r="A615" s="138"/>
      <c r="B615" s="142"/>
      <c r="C615" s="303"/>
      <c r="D615" s="138"/>
      <c r="E615" s="142"/>
      <c r="F615" s="303"/>
      <c r="G615" s="138"/>
      <c r="H615" s="142"/>
      <c r="I615" s="303"/>
      <c r="J615" s="138"/>
      <c r="K615" s="142"/>
      <c r="L615" s="303"/>
      <c r="M615" s="138"/>
      <c r="N615" s="142"/>
      <c r="O615" s="303"/>
      <c r="P615" s="138"/>
      <c r="Q615" s="142"/>
      <c r="R615" s="303"/>
      <c r="S615" s="138"/>
      <c r="T615" s="142"/>
      <c r="U615" s="303"/>
      <c r="V615" s="138"/>
      <c r="W615" s="142"/>
      <c r="X615" s="303"/>
      <c r="Y615" s="30"/>
      <c r="Z615" s="30"/>
      <c r="AA615" s="30"/>
      <c r="AB615" s="30"/>
      <c r="AC615" s="30"/>
      <c r="AD615" s="30"/>
      <c r="AE615" s="30"/>
      <c r="AF615" s="30"/>
      <c r="AG615" s="30"/>
      <c r="AH615" s="30"/>
      <c r="AI615" s="30"/>
      <c r="AJ615" s="30"/>
      <c r="AK615" s="30"/>
      <c r="AL615" s="30"/>
      <c r="AM615" s="30"/>
      <c r="AN615" s="30"/>
    </row>
    <row r="616">
      <c r="A616" s="138"/>
      <c r="B616" s="142"/>
      <c r="C616" s="303"/>
      <c r="D616" s="138"/>
      <c r="E616" s="142"/>
      <c r="F616" s="303"/>
      <c r="G616" s="138"/>
      <c r="H616" s="142"/>
      <c r="I616" s="303"/>
      <c r="J616" s="138"/>
      <c r="K616" s="142"/>
      <c r="L616" s="303"/>
      <c r="M616" s="138"/>
      <c r="N616" s="142"/>
      <c r="O616" s="303"/>
      <c r="P616" s="138"/>
      <c r="Q616" s="142"/>
      <c r="R616" s="303"/>
      <c r="S616" s="138"/>
      <c r="T616" s="142"/>
      <c r="U616" s="303"/>
      <c r="V616" s="138"/>
      <c r="W616" s="142"/>
      <c r="X616" s="303"/>
      <c r="Y616" s="30"/>
      <c r="Z616" s="30"/>
      <c r="AA616" s="30"/>
      <c r="AB616" s="30"/>
      <c r="AC616" s="30"/>
      <c r="AD616" s="30"/>
      <c r="AE616" s="30"/>
      <c r="AF616" s="30"/>
      <c r="AG616" s="30"/>
      <c r="AH616" s="30"/>
      <c r="AI616" s="30"/>
      <c r="AJ616" s="30"/>
      <c r="AK616" s="30"/>
      <c r="AL616" s="30"/>
      <c r="AM616" s="30"/>
      <c r="AN616" s="30"/>
    </row>
    <row r="617">
      <c r="A617" s="138"/>
      <c r="B617" s="142"/>
      <c r="C617" s="303"/>
      <c r="D617" s="138"/>
      <c r="E617" s="142"/>
      <c r="F617" s="303"/>
      <c r="G617" s="138"/>
      <c r="H617" s="142"/>
      <c r="I617" s="303"/>
      <c r="J617" s="138"/>
      <c r="K617" s="142"/>
      <c r="L617" s="303"/>
      <c r="M617" s="138"/>
      <c r="N617" s="142"/>
      <c r="O617" s="303"/>
      <c r="P617" s="138"/>
      <c r="Q617" s="142"/>
      <c r="R617" s="303"/>
      <c r="S617" s="138"/>
      <c r="T617" s="142"/>
      <c r="U617" s="303"/>
      <c r="V617" s="138"/>
      <c r="W617" s="142"/>
      <c r="X617" s="303"/>
      <c r="Y617" s="30"/>
      <c r="Z617" s="30"/>
      <c r="AA617" s="30"/>
      <c r="AB617" s="30"/>
      <c r="AC617" s="30"/>
      <c r="AD617" s="30"/>
      <c r="AE617" s="30"/>
      <c r="AF617" s="30"/>
      <c r="AG617" s="30"/>
      <c r="AH617" s="30"/>
      <c r="AI617" s="30"/>
      <c r="AJ617" s="30"/>
      <c r="AK617" s="30"/>
      <c r="AL617" s="30"/>
      <c r="AM617" s="30"/>
      <c r="AN617" s="30"/>
    </row>
    <row r="618">
      <c r="A618" s="138"/>
      <c r="B618" s="142"/>
      <c r="C618" s="303"/>
      <c r="D618" s="138"/>
      <c r="E618" s="142"/>
      <c r="F618" s="303"/>
      <c r="G618" s="138"/>
      <c r="H618" s="142"/>
      <c r="I618" s="303"/>
      <c r="J618" s="138"/>
      <c r="K618" s="142"/>
      <c r="L618" s="303"/>
      <c r="M618" s="138"/>
      <c r="N618" s="142"/>
      <c r="O618" s="303"/>
      <c r="P618" s="138"/>
      <c r="Q618" s="142"/>
      <c r="R618" s="303"/>
      <c r="S618" s="138"/>
      <c r="T618" s="142"/>
      <c r="U618" s="303"/>
      <c r="V618" s="138"/>
      <c r="W618" s="142"/>
      <c r="X618" s="303"/>
      <c r="Y618" s="30"/>
      <c r="Z618" s="30"/>
      <c r="AA618" s="30"/>
      <c r="AB618" s="30"/>
      <c r="AC618" s="30"/>
      <c r="AD618" s="30"/>
      <c r="AE618" s="30"/>
      <c r="AF618" s="30"/>
      <c r="AG618" s="30"/>
      <c r="AH618" s="30"/>
      <c r="AI618" s="30"/>
      <c r="AJ618" s="30"/>
      <c r="AK618" s="30"/>
      <c r="AL618" s="30"/>
      <c r="AM618" s="30"/>
      <c r="AN618" s="30"/>
    </row>
    <row r="619">
      <c r="A619" s="138"/>
      <c r="B619" s="142"/>
      <c r="C619" s="303"/>
      <c r="D619" s="138"/>
      <c r="E619" s="142"/>
      <c r="F619" s="303"/>
      <c r="G619" s="138"/>
      <c r="H619" s="142"/>
      <c r="I619" s="303"/>
      <c r="J619" s="138"/>
      <c r="K619" s="142"/>
      <c r="L619" s="303"/>
      <c r="M619" s="138"/>
      <c r="N619" s="142"/>
      <c r="O619" s="303"/>
      <c r="P619" s="138"/>
      <c r="Q619" s="142"/>
      <c r="R619" s="303"/>
      <c r="S619" s="138"/>
      <c r="T619" s="142"/>
      <c r="U619" s="303"/>
      <c r="V619" s="138"/>
      <c r="W619" s="142"/>
      <c r="X619" s="303"/>
      <c r="Y619" s="30"/>
      <c r="Z619" s="30"/>
      <c r="AA619" s="30"/>
      <c r="AB619" s="30"/>
      <c r="AC619" s="30"/>
      <c r="AD619" s="30"/>
      <c r="AE619" s="30"/>
      <c r="AF619" s="30"/>
      <c r="AG619" s="30"/>
      <c r="AH619" s="30"/>
      <c r="AI619" s="30"/>
      <c r="AJ619" s="30"/>
      <c r="AK619" s="30"/>
      <c r="AL619" s="30"/>
      <c r="AM619" s="30"/>
      <c r="AN619" s="30"/>
    </row>
    <row r="620">
      <c r="A620" s="138"/>
      <c r="B620" s="142"/>
      <c r="C620" s="303"/>
      <c r="D620" s="138"/>
      <c r="E620" s="142"/>
      <c r="F620" s="303"/>
      <c r="G620" s="138"/>
      <c r="H620" s="142"/>
      <c r="I620" s="303"/>
      <c r="J620" s="138"/>
      <c r="K620" s="142"/>
      <c r="L620" s="303"/>
      <c r="M620" s="138"/>
      <c r="N620" s="142"/>
      <c r="O620" s="303"/>
      <c r="P620" s="138"/>
      <c r="Q620" s="142"/>
      <c r="R620" s="303"/>
      <c r="S620" s="138"/>
      <c r="T620" s="142"/>
      <c r="U620" s="303"/>
      <c r="V620" s="138"/>
      <c r="W620" s="142"/>
      <c r="X620" s="303"/>
      <c r="Y620" s="30"/>
      <c r="Z620" s="30"/>
      <c r="AA620" s="30"/>
      <c r="AB620" s="30"/>
      <c r="AC620" s="30"/>
      <c r="AD620" s="30"/>
      <c r="AE620" s="30"/>
      <c r="AF620" s="30"/>
      <c r="AG620" s="30"/>
      <c r="AH620" s="30"/>
      <c r="AI620" s="30"/>
      <c r="AJ620" s="30"/>
      <c r="AK620" s="30"/>
      <c r="AL620" s="30"/>
      <c r="AM620" s="30"/>
      <c r="AN620" s="30"/>
    </row>
    <row r="621">
      <c r="A621" s="138"/>
      <c r="B621" s="142"/>
      <c r="C621" s="303"/>
      <c r="D621" s="138"/>
      <c r="E621" s="142"/>
      <c r="F621" s="303"/>
      <c r="G621" s="138"/>
      <c r="H621" s="142"/>
      <c r="I621" s="303"/>
      <c r="J621" s="138"/>
      <c r="K621" s="142"/>
      <c r="L621" s="303"/>
      <c r="M621" s="138"/>
      <c r="N621" s="142"/>
      <c r="O621" s="303"/>
      <c r="P621" s="138"/>
      <c r="Q621" s="142"/>
      <c r="R621" s="303"/>
      <c r="S621" s="138"/>
      <c r="T621" s="142"/>
      <c r="U621" s="303"/>
      <c r="V621" s="138"/>
      <c r="W621" s="142"/>
      <c r="X621" s="303"/>
      <c r="Y621" s="30"/>
      <c r="Z621" s="30"/>
      <c r="AA621" s="30"/>
      <c r="AB621" s="30"/>
      <c r="AC621" s="30"/>
      <c r="AD621" s="30"/>
      <c r="AE621" s="30"/>
      <c r="AF621" s="30"/>
      <c r="AG621" s="30"/>
      <c r="AH621" s="30"/>
      <c r="AI621" s="30"/>
      <c r="AJ621" s="30"/>
      <c r="AK621" s="30"/>
      <c r="AL621" s="30"/>
      <c r="AM621" s="30"/>
      <c r="AN621" s="30"/>
    </row>
    <row r="622">
      <c r="A622" s="138"/>
      <c r="B622" s="142"/>
      <c r="C622" s="303"/>
      <c r="D622" s="138"/>
      <c r="E622" s="142"/>
      <c r="F622" s="303"/>
      <c r="G622" s="138"/>
      <c r="H622" s="142"/>
      <c r="I622" s="303"/>
      <c r="J622" s="138"/>
      <c r="K622" s="142"/>
      <c r="L622" s="303"/>
      <c r="M622" s="138"/>
      <c r="N622" s="142"/>
      <c r="O622" s="303"/>
      <c r="P622" s="138"/>
      <c r="Q622" s="142"/>
      <c r="R622" s="303"/>
      <c r="S622" s="138"/>
      <c r="T622" s="142"/>
      <c r="U622" s="303"/>
      <c r="V622" s="138"/>
      <c r="W622" s="142"/>
      <c r="X622" s="303"/>
      <c r="Y622" s="30"/>
      <c r="Z622" s="30"/>
      <c r="AA622" s="30"/>
      <c r="AB622" s="30"/>
      <c r="AC622" s="30"/>
      <c r="AD622" s="30"/>
      <c r="AE622" s="30"/>
      <c r="AF622" s="30"/>
      <c r="AG622" s="30"/>
      <c r="AH622" s="30"/>
      <c r="AI622" s="30"/>
      <c r="AJ622" s="30"/>
      <c r="AK622" s="30"/>
      <c r="AL622" s="30"/>
      <c r="AM622" s="30"/>
      <c r="AN622" s="30"/>
    </row>
    <row r="623">
      <c r="A623" s="138"/>
      <c r="B623" s="142"/>
      <c r="C623" s="303"/>
      <c r="D623" s="138"/>
      <c r="E623" s="142"/>
      <c r="F623" s="303"/>
      <c r="G623" s="138"/>
      <c r="H623" s="142"/>
      <c r="I623" s="303"/>
      <c r="J623" s="138"/>
      <c r="K623" s="142"/>
      <c r="L623" s="303"/>
      <c r="M623" s="138"/>
      <c r="N623" s="142"/>
      <c r="O623" s="303"/>
      <c r="P623" s="138"/>
      <c r="Q623" s="142"/>
      <c r="R623" s="303"/>
      <c r="S623" s="138"/>
      <c r="T623" s="142"/>
      <c r="U623" s="303"/>
      <c r="V623" s="138"/>
      <c r="W623" s="142"/>
      <c r="X623" s="303"/>
      <c r="Y623" s="30"/>
      <c r="Z623" s="30"/>
      <c r="AA623" s="30"/>
      <c r="AB623" s="30"/>
      <c r="AC623" s="30"/>
      <c r="AD623" s="30"/>
      <c r="AE623" s="30"/>
      <c r="AF623" s="30"/>
      <c r="AG623" s="30"/>
      <c r="AH623" s="30"/>
      <c r="AI623" s="30"/>
      <c r="AJ623" s="30"/>
      <c r="AK623" s="30"/>
      <c r="AL623" s="30"/>
      <c r="AM623" s="30"/>
      <c r="AN623" s="30"/>
    </row>
    <row r="624">
      <c r="A624" s="138"/>
      <c r="B624" s="142"/>
      <c r="C624" s="303"/>
      <c r="D624" s="138"/>
      <c r="E624" s="142"/>
      <c r="F624" s="303"/>
      <c r="G624" s="138"/>
      <c r="H624" s="142"/>
      <c r="I624" s="303"/>
      <c r="J624" s="138"/>
      <c r="K624" s="142"/>
      <c r="L624" s="303"/>
      <c r="M624" s="138"/>
      <c r="N624" s="142"/>
      <c r="O624" s="303"/>
      <c r="P624" s="138"/>
      <c r="Q624" s="142"/>
      <c r="R624" s="303"/>
      <c r="S624" s="138"/>
      <c r="T624" s="142"/>
      <c r="U624" s="303"/>
      <c r="V624" s="138"/>
      <c r="W624" s="142"/>
      <c r="X624" s="303"/>
      <c r="Y624" s="30"/>
      <c r="Z624" s="30"/>
      <c r="AA624" s="30"/>
      <c r="AB624" s="30"/>
      <c r="AC624" s="30"/>
      <c r="AD624" s="30"/>
      <c r="AE624" s="30"/>
      <c r="AF624" s="30"/>
      <c r="AG624" s="30"/>
      <c r="AH624" s="30"/>
      <c r="AI624" s="30"/>
      <c r="AJ624" s="30"/>
      <c r="AK624" s="30"/>
      <c r="AL624" s="30"/>
      <c r="AM624" s="30"/>
      <c r="AN624" s="30"/>
    </row>
    <row r="625">
      <c r="A625" s="138"/>
      <c r="B625" s="142"/>
      <c r="C625" s="303"/>
      <c r="D625" s="138"/>
      <c r="E625" s="142"/>
      <c r="F625" s="303"/>
      <c r="G625" s="138"/>
      <c r="H625" s="142"/>
      <c r="I625" s="303"/>
      <c r="J625" s="138"/>
      <c r="K625" s="142"/>
      <c r="L625" s="303"/>
      <c r="M625" s="138"/>
      <c r="N625" s="142"/>
      <c r="O625" s="303"/>
      <c r="P625" s="138"/>
      <c r="Q625" s="142"/>
      <c r="R625" s="303"/>
      <c r="S625" s="138"/>
      <c r="T625" s="142"/>
      <c r="U625" s="303"/>
      <c r="V625" s="138"/>
      <c r="W625" s="142"/>
      <c r="X625" s="303"/>
      <c r="Y625" s="30"/>
      <c r="Z625" s="30"/>
      <c r="AA625" s="30"/>
      <c r="AB625" s="30"/>
      <c r="AC625" s="30"/>
      <c r="AD625" s="30"/>
      <c r="AE625" s="30"/>
      <c r="AF625" s="30"/>
      <c r="AG625" s="30"/>
      <c r="AH625" s="30"/>
      <c r="AI625" s="30"/>
      <c r="AJ625" s="30"/>
      <c r="AK625" s="30"/>
      <c r="AL625" s="30"/>
      <c r="AM625" s="30"/>
      <c r="AN625" s="30"/>
    </row>
    <row r="626">
      <c r="A626" s="138"/>
      <c r="B626" s="142"/>
      <c r="C626" s="303"/>
      <c r="D626" s="138"/>
      <c r="E626" s="142"/>
      <c r="F626" s="303"/>
      <c r="G626" s="138"/>
      <c r="H626" s="142"/>
      <c r="I626" s="303"/>
      <c r="J626" s="138"/>
      <c r="K626" s="142"/>
      <c r="L626" s="303"/>
      <c r="M626" s="138"/>
      <c r="N626" s="142"/>
      <c r="O626" s="303"/>
      <c r="P626" s="138"/>
      <c r="Q626" s="142"/>
      <c r="R626" s="303"/>
      <c r="S626" s="138"/>
      <c r="T626" s="142"/>
      <c r="U626" s="303"/>
      <c r="V626" s="138"/>
      <c r="W626" s="142"/>
      <c r="X626" s="303"/>
      <c r="Y626" s="30"/>
      <c r="Z626" s="30"/>
      <c r="AA626" s="30"/>
      <c r="AB626" s="30"/>
      <c r="AC626" s="30"/>
      <c r="AD626" s="30"/>
      <c r="AE626" s="30"/>
      <c r="AF626" s="30"/>
      <c r="AG626" s="30"/>
      <c r="AH626" s="30"/>
      <c r="AI626" s="30"/>
      <c r="AJ626" s="30"/>
      <c r="AK626" s="30"/>
      <c r="AL626" s="30"/>
      <c r="AM626" s="30"/>
      <c r="AN626" s="30"/>
    </row>
    <row r="627">
      <c r="A627" s="138"/>
      <c r="B627" s="142"/>
      <c r="C627" s="303"/>
      <c r="D627" s="138"/>
      <c r="E627" s="142"/>
      <c r="F627" s="303"/>
      <c r="G627" s="138"/>
      <c r="H627" s="142"/>
      <c r="I627" s="303"/>
      <c r="J627" s="138"/>
      <c r="K627" s="142"/>
      <c r="L627" s="303"/>
      <c r="M627" s="138"/>
      <c r="N627" s="142"/>
      <c r="O627" s="303"/>
      <c r="P627" s="138"/>
      <c r="Q627" s="142"/>
      <c r="R627" s="303"/>
      <c r="S627" s="138"/>
      <c r="T627" s="142"/>
      <c r="U627" s="303"/>
      <c r="V627" s="138"/>
      <c r="W627" s="142"/>
      <c r="X627" s="303"/>
      <c r="Y627" s="30"/>
      <c r="Z627" s="30"/>
      <c r="AA627" s="30"/>
      <c r="AB627" s="30"/>
      <c r="AC627" s="30"/>
      <c r="AD627" s="30"/>
      <c r="AE627" s="30"/>
      <c r="AF627" s="30"/>
      <c r="AG627" s="30"/>
      <c r="AH627" s="30"/>
      <c r="AI627" s="30"/>
      <c r="AJ627" s="30"/>
      <c r="AK627" s="30"/>
      <c r="AL627" s="30"/>
      <c r="AM627" s="30"/>
      <c r="AN627" s="30"/>
    </row>
    <row r="628">
      <c r="A628" s="138"/>
      <c r="B628" s="142"/>
      <c r="C628" s="303"/>
      <c r="D628" s="138"/>
      <c r="E628" s="142"/>
      <c r="F628" s="303"/>
      <c r="G628" s="138"/>
      <c r="H628" s="142"/>
      <c r="I628" s="303"/>
      <c r="J628" s="138"/>
      <c r="K628" s="142"/>
      <c r="L628" s="303"/>
      <c r="M628" s="138"/>
      <c r="N628" s="142"/>
      <c r="O628" s="303"/>
      <c r="P628" s="138"/>
      <c r="Q628" s="142"/>
      <c r="R628" s="303"/>
      <c r="S628" s="138"/>
      <c r="T628" s="142"/>
      <c r="U628" s="303"/>
      <c r="V628" s="138"/>
      <c r="W628" s="142"/>
      <c r="X628" s="303"/>
      <c r="Y628" s="30"/>
      <c r="Z628" s="30"/>
      <c r="AA628" s="30"/>
      <c r="AB628" s="30"/>
      <c r="AC628" s="30"/>
      <c r="AD628" s="30"/>
      <c r="AE628" s="30"/>
      <c r="AF628" s="30"/>
      <c r="AG628" s="30"/>
      <c r="AH628" s="30"/>
      <c r="AI628" s="30"/>
      <c r="AJ628" s="30"/>
      <c r="AK628" s="30"/>
      <c r="AL628" s="30"/>
      <c r="AM628" s="30"/>
      <c r="AN628" s="30"/>
    </row>
    <row r="629">
      <c r="A629" s="138"/>
      <c r="B629" s="142"/>
      <c r="C629" s="303"/>
      <c r="D629" s="138"/>
      <c r="E629" s="142"/>
      <c r="F629" s="303"/>
      <c r="G629" s="138"/>
      <c r="H629" s="142"/>
      <c r="I629" s="303"/>
      <c r="J629" s="138"/>
      <c r="K629" s="142"/>
      <c r="L629" s="303"/>
      <c r="M629" s="138"/>
      <c r="N629" s="142"/>
      <c r="O629" s="303"/>
      <c r="P629" s="138"/>
      <c r="Q629" s="142"/>
      <c r="R629" s="303"/>
      <c r="S629" s="138"/>
      <c r="T629" s="142"/>
      <c r="U629" s="303"/>
      <c r="V629" s="138"/>
      <c r="W629" s="142"/>
      <c r="X629" s="303"/>
      <c r="Y629" s="30"/>
      <c r="Z629" s="30"/>
      <c r="AA629" s="30"/>
      <c r="AB629" s="30"/>
      <c r="AC629" s="30"/>
      <c r="AD629" s="30"/>
      <c r="AE629" s="30"/>
      <c r="AF629" s="30"/>
      <c r="AG629" s="30"/>
      <c r="AH629" s="30"/>
      <c r="AI629" s="30"/>
      <c r="AJ629" s="30"/>
      <c r="AK629" s="30"/>
      <c r="AL629" s="30"/>
      <c r="AM629" s="30"/>
      <c r="AN629" s="30"/>
    </row>
    <row r="630">
      <c r="A630" s="138"/>
      <c r="B630" s="142"/>
      <c r="C630" s="303"/>
      <c r="D630" s="138"/>
      <c r="E630" s="142"/>
      <c r="F630" s="303"/>
      <c r="G630" s="138"/>
      <c r="H630" s="142"/>
      <c r="I630" s="303"/>
      <c r="J630" s="138"/>
      <c r="K630" s="142"/>
      <c r="L630" s="303"/>
      <c r="M630" s="138"/>
      <c r="N630" s="142"/>
      <c r="O630" s="303"/>
      <c r="P630" s="138"/>
      <c r="Q630" s="142"/>
      <c r="R630" s="303"/>
      <c r="S630" s="138"/>
      <c r="T630" s="142"/>
      <c r="U630" s="303"/>
      <c r="V630" s="138"/>
      <c r="W630" s="142"/>
      <c r="X630" s="303"/>
      <c r="Y630" s="30"/>
      <c r="Z630" s="30"/>
      <c r="AA630" s="30"/>
      <c r="AB630" s="30"/>
      <c r="AC630" s="30"/>
      <c r="AD630" s="30"/>
      <c r="AE630" s="30"/>
      <c r="AF630" s="30"/>
      <c r="AG630" s="30"/>
      <c r="AH630" s="30"/>
      <c r="AI630" s="30"/>
      <c r="AJ630" s="30"/>
      <c r="AK630" s="30"/>
      <c r="AL630" s="30"/>
      <c r="AM630" s="30"/>
      <c r="AN630" s="30"/>
    </row>
    <row r="631">
      <c r="A631" s="138"/>
      <c r="B631" s="142"/>
      <c r="C631" s="303"/>
      <c r="D631" s="138"/>
      <c r="E631" s="142"/>
      <c r="F631" s="303"/>
      <c r="G631" s="138"/>
      <c r="H631" s="142"/>
      <c r="I631" s="303"/>
      <c r="J631" s="138"/>
      <c r="K631" s="142"/>
      <c r="L631" s="303"/>
      <c r="M631" s="138"/>
      <c r="N631" s="142"/>
      <c r="O631" s="303"/>
      <c r="P631" s="138"/>
      <c r="Q631" s="142"/>
      <c r="R631" s="303"/>
      <c r="S631" s="138"/>
      <c r="T631" s="142"/>
      <c r="U631" s="303"/>
      <c r="V631" s="138"/>
      <c r="W631" s="142"/>
      <c r="X631" s="303"/>
      <c r="Y631" s="30"/>
      <c r="Z631" s="30"/>
      <c r="AA631" s="30"/>
      <c r="AB631" s="30"/>
      <c r="AC631" s="30"/>
      <c r="AD631" s="30"/>
      <c r="AE631" s="30"/>
      <c r="AF631" s="30"/>
      <c r="AG631" s="30"/>
      <c r="AH631" s="30"/>
      <c r="AI631" s="30"/>
      <c r="AJ631" s="30"/>
      <c r="AK631" s="30"/>
      <c r="AL631" s="30"/>
      <c r="AM631" s="30"/>
      <c r="AN631" s="30"/>
    </row>
    <row r="632">
      <c r="A632" s="138"/>
      <c r="B632" s="142"/>
      <c r="C632" s="303"/>
      <c r="D632" s="138"/>
      <c r="E632" s="142"/>
      <c r="F632" s="303"/>
      <c r="G632" s="138"/>
      <c r="H632" s="142"/>
      <c r="I632" s="303"/>
      <c r="J632" s="138"/>
      <c r="K632" s="142"/>
      <c r="L632" s="303"/>
      <c r="M632" s="138"/>
      <c r="N632" s="142"/>
      <c r="O632" s="303"/>
      <c r="P632" s="138"/>
      <c r="Q632" s="142"/>
      <c r="R632" s="303"/>
      <c r="S632" s="138"/>
      <c r="T632" s="142"/>
      <c r="U632" s="303"/>
      <c r="V632" s="138"/>
      <c r="W632" s="142"/>
      <c r="X632" s="303"/>
      <c r="Y632" s="30"/>
      <c r="Z632" s="30"/>
      <c r="AA632" s="30"/>
      <c r="AB632" s="30"/>
      <c r="AC632" s="30"/>
      <c r="AD632" s="30"/>
      <c r="AE632" s="30"/>
      <c r="AF632" s="30"/>
      <c r="AG632" s="30"/>
      <c r="AH632" s="30"/>
      <c r="AI632" s="30"/>
      <c r="AJ632" s="30"/>
      <c r="AK632" s="30"/>
      <c r="AL632" s="30"/>
      <c r="AM632" s="30"/>
      <c r="AN632" s="30"/>
    </row>
    <row r="633">
      <c r="A633" s="138"/>
      <c r="B633" s="142"/>
      <c r="C633" s="303"/>
      <c r="D633" s="138"/>
      <c r="E633" s="142"/>
      <c r="F633" s="303"/>
      <c r="G633" s="138"/>
      <c r="H633" s="142"/>
      <c r="I633" s="303"/>
      <c r="J633" s="138"/>
      <c r="K633" s="142"/>
      <c r="L633" s="303"/>
      <c r="M633" s="138"/>
      <c r="N633" s="142"/>
      <c r="O633" s="303"/>
      <c r="P633" s="138"/>
      <c r="Q633" s="142"/>
      <c r="R633" s="303"/>
      <c r="S633" s="138"/>
      <c r="T633" s="142"/>
      <c r="U633" s="303"/>
      <c r="V633" s="138"/>
      <c r="W633" s="142"/>
      <c r="X633" s="303"/>
      <c r="Y633" s="30"/>
      <c r="Z633" s="30"/>
      <c r="AA633" s="30"/>
      <c r="AB633" s="30"/>
      <c r="AC633" s="30"/>
      <c r="AD633" s="30"/>
      <c r="AE633" s="30"/>
      <c r="AF633" s="30"/>
      <c r="AG633" s="30"/>
      <c r="AH633" s="30"/>
      <c r="AI633" s="30"/>
      <c r="AJ633" s="30"/>
      <c r="AK633" s="30"/>
      <c r="AL633" s="30"/>
      <c r="AM633" s="30"/>
      <c r="AN633" s="30"/>
    </row>
    <row r="634">
      <c r="A634" s="138"/>
      <c r="B634" s="142"/>
      <c r="C634" s="303"/>
      <c r="D634" s="138"/>
      <c r="E634" s="142"/>
      <c r="F634" s="303"/>
      <c r="G634" s="138"/>
      <c r="H634" s="142"/>
      <c r="I634" s="303"/>
      <c r="J634" s="138"/>
      <c r="K634" s="142"/>
      <c r="L634" s="303"/>
      <c r="M634" s="138"/>
      <c r="N634" s="142"/>
      <c r="O634" s="303"/>
      <c r="P634" s="138"/>
      <c r="Q634" s="142"/>
      <c r="R634" s="303"/>
      <c r="S634" s="138"/>
      <c r="T634" s="142"/>
      <c r="U634" s="303"/>
      <c r="V634" s="138"/>
      <c r="W634" s="142"/>
      <c r="X634" s="303"/>
      <c r="Y634" s="30"/>
      <c r="Z634" s="30"/>
      <c r="AA634" s="30"/>
      <c r="AB634" s="30"/>
      <c r="AC634" s="30"/>
      <c r="AD634" s="30"/>
      <c r="AE634" s="30"/>
      <c r="AF634" s="30"/>
      <c r="AG634" s="30"/>
      <c r="AH634" s="30"/>
      <c r="AI634" s="30"/>
      <c r="AJ634" s="30"/>
      <c r="AK634" s="30"/>
      <c r="AL634" s="30"/>
      <c r="AM634" s="30"/>
      <c r="AN634" s="30"/>
    </row>
    <row r="635">
      <c r="A635" s="138"/>
      <c r="B635" s="142"/>
      <c r="C635" s="303"/>
      <c r="D635" s="138"/>
      <c r="E635" s="142"/>
      <c r="F635" s="303"/>
      <c r="G635" s="138"/>
      <c r="H635" s="142"/>
      <c r="I635" s="303"/>
      <c r="J635" s="138"/>
      <c r="K635" s="142"/>
      <c r="L635" s="303"/>
      <c r="M635" s="138"/>
      <c r="N635" s="142"/>
      <c r="O635" s="303"/>
      <c r="P635" s="138"/>
      <c r="Q635" s="142"/>
      <c r="R635" s="303"/>
      <c r="S635" s="138"/>
      <c r="T635" s="142"/>
      <c r="U635" s="303"/>
      <c r="V635" s="138"/>
      <c r="W635" s="142"/>
      <c r="X635" s="303"/>
      <c r="Y635" s="30"/>
      <c r="Z635" s="30"/>
      <c r="AA635" s="30"/>
      <c r="AB635" s="30"/>
      <c r="AC635" s="30"/>
      <c r="AD635" s="30"/>
      <c r="AE635" s="30"/>
      <c r="AF635" s="30"/>
      <c r="AG635" s="30"/>
      <c r="AH635" s="30"/>
      <c r="AI635" s="30"/>
      <c r="AJ635" s="30"/>
      <c r="AK635" s="30"/>
      <c r="AL635" s="30"/>
      <c r="AM635" s="30"/>
      <c r="AN635" s="30"/>
    </row>
    <row r="636">
      <c r="A636" s="138"/>
      <c r="B636" s="142"/>
      <c r="C636" s="303"/>
      <c r="D636" s="138"/>
      <c r="E636" s="142"/>
      <c r="F636" s="303"/>
      <c r="G636" s="138"/>
      <c r="H636" s="142"/>
      <c r="I636" s="303"/>
      <c r="J636" s="138"/>
      <c r="K636" s="142"/>
      <c r="L636" s="303"/>
      <c r="M636" s="138"/>
      <c r="N636" s="142"/>
      <c r="O636" s="303"/>
      <c r="P636" s="138"/>
      <c r="Q636" s="142"/>
      <c r="R636" s="303"/>
      <c r="S636" s="138"/>
      <c r="T636" s="142"/>
      <c r="U636" s="303"/>
      <c r="V636" s="138"/>
      <c r="W636" s="142"/>
      <c r="X636" s="303"/>
      <c r="Y636" s="30"/>
      <c r="Z636" s="30"/>
      <c r="AA636" s="30"/>
      <c r="AB636" s="30"/>
      <c r="AC636" s="30"/>
      <c r="AD636" s="30"/>
      <c r="AE636" s="30"/>
      <c r="AF636" s="30"/>
      <c r="AG636" s="30"/>
      <c r="AH636" s="30"/>
      <c r="AI636" s="30"/>
      <c r="AJ636" s="30"/>
      <c r="AK636" s="30"/>
      <c r="AL636" s="30"/>
      <c r="AM636" s="30"/>
      <c r="AN636" s="30"/>
    </row>
    <row r="637">
      <c r="A637" s="138"/>
      <c r="B637" s="142"/>
      <c r="C637" s="303"/>
      <c r="D637" s="138"/>
      <c r="E637" s="142"/>
      <c r="F637" s="303"/>
      <c r="G637" s="138"/>
      <c r="H637" s="142"/>
      <c r="I637" s="303"/>
      <c r="J637" s="138"/>
      <c r="K637" s="142"/>
      <c r="L637" s="303"/>
      <c r="M637" s="138"/>
      <c r="N637" s="142"/>
      <c r="O637" s="303"/>
      <c r="P637" s="138"/>
      <c r="Q637" s="142"/>
      <c r="R637" s="303"/>
      <c r="S637" s="138"/>
      <c r="T637" s="142"/>
      <c r="U637" s="303"/>
      <c r="V637" s="138"/>
      <c r="W637" s="142"/>
      <c r="X637" s="303"/>
      <c r="Y637" s="30"/>
      <c r="Z637" s="30"/>
      <c r="AA637" s="30"/>
      <c r="AB637" s="30"/>
      <c r="AC637" s="30"/>
      <c r="AD637" s="30"/>
      <c r="AE637" s="30"/>
      <c r="AF637" s="30"/>
      <c r="AG637" s="30"/>
      <c r="AH637" s="30"/>
      <c r="AI637" s="30"/>
      <c r="AJ637" s="30"/>
      <c r="AK637" s="30"/>
      <c r="AL637" s="30"/>
      <c r="AM637" s="30"/>
      <c r="AN637" s="30"/>
    </row>
    <row r="638">
      <c r="A638" s="138"/>
      <c r="B638" s="142"/>
      <c r="C638" s="303"/>
      <c r="D638" s="138"/>
      <c r="E638" s="142"/>
      <c r="F638" s="303"/>
      <c r="G638" s="138"/>
      <c r="H638" s="142"/>
      <c r="I638" s="303"/>
      <c r="J638" s="138"/>
      <c r="K638" s="142"/>
      <c r="L638" s="303"/>
      <c r="M638" s="138"/>
      <c r="N638" s="142"/>
      <c r="O638" s="303"/>
      <c r="P638" s="138"/>
      <c r="Q638" s="142"/>
      <c r="R638" s="303"/>
      <c r="S638" s="138"/>
      <c r="T638" s="142"/>
      <c r="U638" s="303"/>
      <c r="V638" s="138"/>
      <c r="W638" s="142"/>
      <c r="X638" s="303"/>
      <c r="Y638" s="30"/>
      <c r="Z638" s="30"/>
      <c r="AA638" s="30"/>
      <c r="AB638" s="30"/>
      <c r="AC638" s="30"/>
      <c r="AD638" s="30"/>
      <c r="AE638" s="30"/>
      <c r="AF638" s="30"/>
      <c r="AG638" s="30"/>
      <c r="AH638" s="30"/>
      <c r="AI638" s="30"/>
      <c r="AJ638" s="30"/>
      <c r="AK638" s="30"/>
      <c r="AL638" s="30"/>
      <c r="AM638" s="30"/>
      <c r="AN638" s="30"/>
    </row>
    <row r="639">
      <c r="A639" s="138"/>
      <c r="B639" s="142"/>
      <c r="C639" s="303"/>
      <c r="D639" s="138"/>
      <c r="E639" s="142"/>
      <c r="F639" s="303"/>
      <c r="G639" s="138"/>
      <c r="H639" s="142"/>
      <c r="I639" s="303"/>
      <c r="J639" s="138"/>
      <c r="K639" s="142"/>
      <c r="L639" s="303"/>
      <c r="M639" s="138"/>
      <c r="N639" s="142"/>
      <c r="O639" s="303"/>
      <c r="P639" s="138"/>
      <c r="Q639" s="142"/>
      <c r="R639" s="303"/>
      <c r="S639" s="138"/>
      <c r="T639" s="142"/>
      <c r="U639" s="303"/>
      <c r="V639" s="138"/>
      <c r="W639" s="142"/>
      <c r="X639" s="303"/>
      <c r="Y639" s="30"/>
      <c r="Z639" s="30"/>
      <c r="AA639" s="30"/>
      <c r="AB639" s="30"/>
      <c r="AC639" s="30"/>
      <c r="AD639" s="30"/>
      <c r="AE639" s="30"/>
      <c r="AF639" s="30"/>
      <c r="AG639" s="30"/>
      <c r="AH639" s="30"/>
      <c r="AI639" s="30"/>
      <c r="AJ639" s="30"/>
      <c r="AK639" s="30"/>
      <c r="AL639" s="30"/>
      <c r="AM639" s="30"/>
      <c r="AN639" s="30"/>
    </row>
    <row r="640">
      <c r="A640" s="138"/>
      <c r="B640" s="142"/>
      <c r="C640" s="303"/>
      <c r="D640" s="138"/>
      <c r="E640" s="142"/>
      <c r="F640" s="303"/>
      <c r="G640" s="138"/>
      <c r="H640" s="142"/>
      <c r="I640" s="303"/>
      <c r="J640" s="138"/>
      <c r="K640" s="142"/>
      <c r="L640" s="303"/>
      <c r="M640" s="138"/>
      <c r="N640" s="142"/>
      <c r="O640" s="303"/>
      <c r="P640" s="138"/>
      <c r="Q640" s="142"/>
      <c r="R640" s="303"/>
      <c r="S640" s="138"/>
      <c r="T640" s="142"/>
      <c r="U640" s="303"/>
      <c r="V640" s="138"/>
      <c r="W640" s="142"/>
      <c r="X640" s="303"/>
      <c r="Y640" s="30"/>
      <c r="Z640" s="30"/>
      <c r="AA640" s="30"/>
      <c r="AB640" s="30"/>
      <c r="AC640" s="30"/>
      <c r="AD640" s="30"/>
      <c r="AE640" s="30"/>
      <c r="AF640" s="30"/>
      <c r="AG640" s="30"/>
      <c r="AH640" s="30"/>
      <c r="AI640" s="30"/>
      <c r="AJ640" s="30"/>
      <c r="AK640" s="30"/>
      <c r="AL640" s="30"/>
      <c r="AM640" s="30"/>
      <c r="AN640" s="30"/>
    </row>
    <row r="641">
      <c r="A641" s="138"/>
      <c r="B641" s="142"/>
      <c r="C641" s="303"/>
      <c r="D641" s="138"/>
      <c r="E641" s="142"/>
      <c r="F641" s="303"/>
      <c r="G641" s="138"/>
      <c r="H641" s="142"/>
      <c r="I641" s="303"/>
      <c r="J641" s="138"/>
      <c r="K641" s="142"/>
      <c r="L641" s="303"/>
      <c r="M641" s="138"/>
      <c r="N641" s="142"/>
      <c r="O641" s="303"/>
      <c r="P641" s="138"/>
      <c r="Q641" s="142"/>
      <c r="R641" s="303"/>
      <c r="S641" s="138"/>
      <c r="T641" s="142"/>
      <c r="U641" s="303"/>
      <c r="V641" s="138"/>
      <c r="W641" s="142"/>
      <c r="X641" s="303"/>
      <c r="Y641" s="30"/>
      <c r="Z641" s="30"/>
      <c r="AA641" s="30"/>
      <c r="AB641" s="30"/>
      <c r="AC641" s="30"/>
      <c r="AD641" s="30"/>
      <c r="AE641" s="30"/>
      <c r="AF641" s="30"/>
      <c r="AG641" s="30"/>
      <c r="AH641" s="30"/>
      <c r="AI641" s="30"/>
      <c r="AJ641" s="30"/>
      <c r="AK641" s="30"/>
      <c r="AL641" s="30"/>
      <c r="AM641" s="30"/>
      <c r="AN641" s="30"/>
    </row>
    <row r="642">
      <c r="A642" s="138"/>
      <c r="B642" s="142"/>
      <c r="C642" s="303"/>
      <c r="D642" s="138"/>
      <c r="E642" s="142"/>
      <c r="F642" s="303"/>
      <c r="G642" s="138"/>
      <c r="H642" s="142"/>
      <c r="I642" s="303"/>
      <c r="J642" s="138"/>
      <c r="K642" s="142"/>
      <c r="L642" s="303"/>
      <c r="M642" s="138"/>
      <c r="N642" s="142"/>
      <c r="O642" s="303"/>
      <c r="P642" s="138"/>
      <c r="Q642" s="142"/>
      <c r="R642" s="303"/>
      <c r="S642" s="138"/>
      <c r="T642" s="142"/>
      <c r="U642" s="303"/>
      <c r="V642" s="138"/>
      <c r="W642" s="142"/>
      <c r="X642" s="303"/>
      <c r="Y642" s="30"/>
      <c r="Z642" s="30"/>
      <c r="AA642" s="30"/>
      <c r="AB642" s="30"/>
      <c r="AC642" s="30"/>
      <c r="AD642" s="30"/>
      <c r="AE642" s="30"/>
      <c r="AF642" s="30"/>
      <c r="AG642" s="30"/>
      <c r="AH642" s="30"/>
      <c r="AI642" s="30"/>
      <c r="AJ642" s="30"/>
      <c r="AK642" s="30"/>
      <c r="AL642" s="30"/>
      <c r="AM642" s="30"/>
      <c r="AN642" s="30"/>
    </row>
    <row r="643">
      <c r="A643" s="138"/>
      <c r="B643" s="142"/>
      <c r="C643" s="303"/>
      <c r="D643" s="138"/>
      <c r="E643" s="142"/>
      <c r="F643" s="303"/>
      <c r="G643" s="138"/>
      <c r="H643" s="142"/>
      <c r="I643" s="303"/>
      <c r="J643" s="138"/>
      <c r="K643" s="142"/>
      <c r="L643" s="303"/>
      <c r="M643" s="138"/>
      <c r="N643" s="142"/>
      <c r="O643" s="303"/>
      <c r="P643" s="138"/>
      <c r="Q643" s="142"/>
      <c r="R643" s="303"/>
      <c r="S643" s="138"/>
      <c r="T643" s="142"/>
      <c r="U643" s="303"/>
      <c r="V643" s="138"/>
      <c r="W643" s="142"/>
      <c r="X643" s="303"/>
      <c r="Y643" s="30"/>
      <c r="Z643" s="30"/>
      <c r="AA643" s="30"/>
      <c r="AB643" s="30"/>
      <c r="AC643" s="30"/>
      <c r="AD643" s="30"/>
      <c r="AE643" s="30"/>
      <c r="AF643" s="30"/>
      <c r="AG643" s="30"/>
      <c r="AH643" s="30"/>
      <c r="AI643" s="30"/>
      <c r="AJ643" s="30"/>
      <c r="AK643" s="30"/>
      <c r="AL643" s="30"/>
      <c r="AM643" s="30"/>
      <c r="AN643" s="30"/>
    </row>
    <row r="644">
      <c r="A644" s="138"/>
      <c r="B644" s="142"/>
      <c r="C644" s="303"/>
      <c r="D644" s="138"/>
      <c r="E644" s="142"/>
      <c r="F644" s="303"/>
      <c r="G644" s="138"/>
      <c r="H644" s="142"/>
      <c r="I644" s="303"/>
      <c r="J644" s="138"/>
      <c r="K644" s="142"/>
      <c r="L644" s="303"/>
      <c r="M644" s="138"/>
      <c r="N644" s="142"/>
      <c r="O644" s="303"/>
      <c r="P644" s="138"/>
      <c r="Q644" s="142"/>
      <c r="R644" s="303"/>
      <c r="S644" s="138"/>
      <c r="T644" s="142"/>
      <c r="U644" s="303"/>
      <c r="V644" s="138"/>
      <c r="W644" s="142"/>
      <c r="X644" s="303"/>
      <c r="Y644" s="30"/>
      <c r="Z644" s="30"/>
      <c r="AA644" s="30"/>
      <c r="AB644" s="30"/>
      <c r="AC644" s="30"/>
      <c r="AD644" s="30"/>
      <c r="AE644" s="30"/>
      <c r="AF644" s="30"/>
      <c r="AG644" s="30"/>
      <c r="AH644" s="30"/>
      <c r="AI644" s="30"/>
      <c r="AJ644" s="30"/>
      <c r="AK644" s="30"/>
      <c r="AL644" s="30"/>
      <c r="AM644" s="30"/>
      <c r="AN644" s="30"/>
    </row>
    <row r="645">
      <c r="A645" s="138"/>
      <c r="B645" s="142"/>
      <c r="C645" s="303"/>
      <c r="D645" s="138"/>
      <c r="E645" s="142"/>
      <c r="F645" s="303"/>
      <c r="G645" s="138"/>
      <c r="H645" s="142"/>
      <c r="I645" s="303"/>
      <c r="J645" s="138"/>
      <c r="K645" s="142"/>
      <c r="L645" s="303"/>
      <c r="M645" s="138"/>
      <c r="N645" s="142"/>
      <c r="O645" s="303"/>
      <c r="P645" s="138"/>
      <c r="Q645" s="142"/>
      <c r="R645" s="303"/>
      <c r="S645" s="138"/>
      <c r="T645" s="142"/>
      <c r="U645" s="303"/>
      <c r="V645" s="138"/>
      <c r="W645" s="142"/>
      <c r="X645" s="303"/>
      <c r="Y645" s="30"/>
      <c r="Z645" s="30"/>
      <c r="AA645" s="30"/>
      <c r="AB645" s="30"/>
      <c r="AC645" s="30"/>
      <c r="AD645" s="30"/>
      <c r="AE645" s="30"/>
      <c r="AF645" s="30"/>
      <c r="AG645" s="30"/>
      <c r="AH645" s="30"/>
      <c r="AI645" s="30"/>
      <c r="AJ645" s="30"/>
      <c r="AK645" s="30"/>
      <c r="AL645" s="30"/>
      <c r="AM645" s="30"/>
      <c r="AN645" s="30"/>
    </row>
    <row r="646">
      <c r="A646" s="138"/>
      <c r="B646" s="142"/>
      <c r="C646" s="303"/>
      <c r="D646" s="138"/>
      <c r="E646" s="142"/>
      <c r="F646" s="303"/>
      <c r="G646" s="138"/>
      <c r="H646" s="142"/>
      <c r="I646" s="303"/>
      <c r="J646" s="138"/>
      <c r="K646" s="142"/>
      <c r="L646" s="303"/>
      <c r="M646" s="138"/>
      <c r="N646" s="142"/>
      <c r="O646" s="303"/>
      <c r="P646" s="138"/>
      <c r="Q646" s="142"/>
      <c r="R646" s="303"/>
      <c r="S646" s="138"/>
      <c r="T646" s="142"/>
      <c r="U646" s="303"/>
      <c r="V646" s="138"/>
      <c r="W646" s="142"/>
      <c r="X646" s="303"/>
      <c r="Y646" s="30"/>
      <c r="Z646" s="30"/>
      <c r="AA646" s="30"/>
      <c r="AB646" s="30"/>
      <c r="AC646" s="30"/>
      <c r="AD646" s="30"/>
      <c r="AE646" s="30"/>
      <c r="AF646" s="30"/>
      <c r="AG646" s="30"/>
      <c r="AH646" s="30"/>
      <c r="AI646" s="30"/>
      <c r="AJ646" s="30"/>
      <c r="AK646" s="30"/>
      <c r="AL646" s="30"/>
      <c r="AM646" s="30"/>
      <c r="AN646" s="30"/>
    </row>
    <row r="647">
      <c r="A647" s="138"/>
      <c r="B647" s="142"/>
      <c r="C647" s="303"/>
      <c r="D647" s="138"/>
      <c r="E647" s="142"/>
      <c r="F647" s="303"/>
      <c r="G647" s="138"/>
      <c r="H647" s="142"/>
      <c r="I647" s="303"/>
      <c r="J647" s="138"/>
      <c r="K647" s="142"/>
      <c r="L647" s="303"/>
      <c r="M647" s="138"/>
      <c r="N647" s="142"/>
      <c r="O647" s="303"/>
      <c r="P647" s="138"/>
      <c r="Q647" s="142"/>
      <c r="R647" s="303"/>
      <c r="S647" s="138"/>
      <c r="T647" s="142"/>
      <c r="U647" s="303"/>
      <c r="V647" s="138"/>
      <c r="W647" s="142"/>
      <c r="X647" s="303"/>
      <c r="Y647" s="30"/>
      <c r="Z647" s="30"/>
      <c r="AA647" s="30"/>
      <c r="AB647" s="30"/>
      <c r="AC647" s="30"/>
      <c r="AD647" s="30"/>
      <c r="AE647" s="30"/>
      <c r="AF647" s="30"/>
      <c r="AG647" s="30"/>
      <c r="AH647" s="30"/>
      <c r="AI647" s="30"/>
      <c r="AJ647" s="30"/>
      <c r="AK647" s="30"/>
      <c r="AL647" s="30"/>
      <c r="AM647" s="30"/>
      <c r="AN647" s="30"/>
    </row>
    <row r="648">
      <c r="A648" s="138"/>
      <c r="B648" s="142"/>
      <c r="C648" s="303"/>
      <c r="D648" s="138"/>
      <c r="E648" s="142"/>
      <c r="F648" s="303"/>
      <c r="G648" s="138"/>
      <c r="H648" s="142"/>
      <c r="I648" s="303"/>
      <c r="J648" s="138"/>
      <c r="K648" s="142"/>
      <c r="L648" s="303"/>
      <c r="M648" s="138"/>
      <c r="N648" s="142"/>
      <c r="O648" s="303"/>
      <c r="P648" s="138"/>
      <c r="Q648" s="142"/>
      <c r="R648" s="303"/>
      <c r="S648" s="138"/>
      <c r="T648" s="142"/>
      <c r="U648" s="303"/>
      <c r="V648" s="138"/>
      <c r="W648" s="142"/>
      <c r="X648" s="303"/>
      <c r="Y648" s="30"/>
      <c r="Z648" s="30"/>
      <c r="AA648" s="30"/>
      <c r="AB648" s="30"/>
      <c r="AC648" s="30"/>
      <c r="AD648" s="30"/>
      <c r="AE648" s="30"/>
      <c r="AF648" s="30"/>
      <c r="AG648" s="30"/>
      <c r="AH648" s="30"/>
      <c r="AI648" s="30"/>
      <c r="AJ648" s="30"/>
      <c r="AK648" s="30"/>
      <c r="AL648" s="30"/>
      <c r="AM648" s="30"/>
      <c r="AN648" s="30"/>
    </row>
    <row r="649">
      <c r="A649" s="138"/>
      <c r="B649" s="142"/>
      <c r="C649" s="303"/>
      <c r="D649" s="138"/>
      <c r="E649" s="142"/>
      <c r="F649" s="303"/>
      <c r="G649" s="138"/>
      <c r="H649" s="142"/>
      <c r="I649" s="303"/>
      <c r="J649" s="138"/>
      <c r="K649" s="142"/>
      <c r="L649" s="303"/>
      <c r="M649" s="138"/>
      <c r="N649" s="142"/>
      <c r="O649" s="303"/>
      <c r="P649" s="138"/>
      <c r="Q649" s="142"/>
      <c r="R649" s="303"/>
      <c r="S649" s="138"/>
      <c r="T649" s="142"/>
      <c r="U649" s="303"/>
      <c r="V649" s="138"/>
      <c r="W649" s="142"/>
      <c r="X649" s="303"/>
      <c r="Y649" s="30"/>
      <c r="Z649" s="30"/>
      <c r="AA649" s="30"/>
      <c r="AB649" s="30"/>
      <c r="AC649" s="30"/>
      <c r="AD649" s="30"/>
      <c r="AE649" s="30"/>
      <c r="AF649" s="30"/>
      <c r="AG649" s="30"/>
      <c r="AH649" s="30"/>
      <c r="AI649" s="30"/>
      <c r="AJ649" s="30"/>
      <c r="AK649" s="30"/>
      <c r="AL649" s="30"/>
      <c r="AM649" s="30"/>
      <c r="AN649" s="30"/>
    </row>
    <row r="650">
      <c r="A650" s="138"/>
      <c r="B650" s="142"/>
      <c r="C650" s="303"/>
      <c r="D650" s="138"/>
      <c r="E650" s="142"/>
      <c r="F650" s="303"/>
      <c r="G650" s="138"/>
      <c r="H650" s="142"/>
      <c r="I650" s="303"/>
      <c r="J650" s="138"/>
      <c r="K650" s="142"/>
      <c r="L650" s="303"/>
      <c r="M650" s="138"/>
      <c r="N650" s="142"/>
      <c r="O650" s="303"/>
      <c r="P650" s="138"/>
      <c r="Q650" s="142"/>
      <c r="R650" s="303"/>
      <c r="S650" s="138"/>
      <c r="T650" s="142"/>
      <c r="U650" s="303"/>
      <c r="V650" s="138"/>
      <c r="W650" s="142"/>
      <c r="X650" s="303"/>
      <c r="Y650" s="30"/>
      <c r="Z650" s="30"/>
      <c r="AA650" s="30"/>
      <c r="AB650" s="30"/>
      <c r="AC650" s="30"/>
      <c r="AD650" s="30"/>
      <c r="AE650" s="30"/>
      <c r="AF650" s="30"/>
      <c r="AG650" s="30"/>
      <c r="AH650" s="30"/>
      <c r="AI650" s="30"/>
      <c r="AJ650" s="30"/>
      <c r="AK650" s="30"/>
      <c r="AL650" s="30"/>
      <c r="AM650" s="30"/>
      <c r="AN650" s="30"/>
    </row>
    <row r="651">
      <c r="A651" s="138"/>
      <c r="B651" s="142"/>
      <c r="C651" s="303"/>
      <c r="D651" s="138"/>
      <c r="E651" s="142"/>
      <c r="F651" s="303"/>
      <c r="G651" s="138"/>
      <c r="H651" s="142"/>
      <c r="I651" s="303"/>
      <c r="J651" s="138"/>
      <c r="K651" s="142"/>
      <c r="L651" s="303"/>
      <c r="M651" s="138"/>
      <c r="N651" s="142"/>
      <c r="O651" s="303"/>
      <c r="P651" s="138"/>
      <c r="Q651" s="142"/>
      <c r="R651" s="303"/>
      <c r="S651" s="138"/>
      <c r="T651" s="142"/>
      <c r="U651" s="303"/>
      <c r="V651" s="138"/>
      <c r="W651" s="142"/>
      <c r="X651" s="303"/>
      <c r="Y651" s="30"/>
      <c r="Z651" s="30"/>
      <c r="AA651" s="30"/>
      <c r="AB651" s="30"/>
      <c r="AC651" s="30"/>
      <c r="AD651" s="30"/>
      <c r="AE651" s="30"/>
      <c r="AF651" s="30"/>
      <c r="AG651" s="30"/>
      <c r="AH651" s="30"/>
      <c r="AI651" s="30"/>
      <c r="AJ651" s="30"/>
      <c r="AK651" s="30"/>
      <c r="AL651" s="30"/>
      <c r="AM651" s="30"/>
      <c r="AN651" s="30"/>
    </row>
    <row r="652">
      <c r="A652" s="138"/>
      <c r="B652" s="142"/>
      <c r="C652" s="303"/>
      <c r="D652" s="138"/>
      <c r="E652" s="142"/>
      <c r="F652" s="303"/>
      <c r="G652" s="138"/>
      <c r="H652" s="142"/>
      <c r="I652" s="303"/>
      <c r="J652" s="138"/>
      <c r="K652" s="142"/>
      <c r="L652" s="303"/>
      <c r="M652" s="138"/>
      <c r="N652" s="142"/>
      <c r="O652" s="303"/>
      <c r="P652" s="138"/>
      <c r="Q652" s="142"/>
      <c r="R652" s="303"/>
      <c r="S652" s="138"/>
      <c r="T652" s="142"/>
      <c r="U652" s="303"/>
      <c r="V652" s="138"/>
      <c r="W652" s="142"/>
      <c r="X652" s="303"/>
      <c r="Y652" s="30"/>
      <c r="Z652" s="30"/>
      <c r="AA652" s="30"/>
      <c r="AB652" s="30"/>
      <c r="AC652" s="30"/>
      <c r="AD652" s="30"/>
      <c r="AE652" s="30"/>
      <c r="AF652" s="30"/>
      <c r="AG652" s="30"/>
      <c r="AH652" s="30"/>
      <c r="AI652" s="30"/>
      <c r="AJ652" s="30"/>
      <c r="AK652" s="30"/>
      <c r="AL652" s="30"/>
      <c r="AM652" s="30"/>
      <c r="AN652" s="30"/>
    </row>
    <row r="653">
      <c r="A653" s="138"/>
      <c r="B653" s="142"/>
      <c r="C653" s="303"/>
      <c r="D653" s="138"/>
      <c r="E653" s="142"/>
      <c r="F653" s="303"/>
      <c r="G653" s="138"/>
      <c r="H653" s="142"/>
      <c r="I653" s="303"/>
      <c r="J653" s="138"/>
      <c r="K653" s="142"/>
      <c r="L653" s="303"/>
      <c r="M653" s="138"/>
      <c r="N653" s="142"/>
      <c r="O653" s="303"/>
      <c r="P653" s="138"/>
      <c r="Q653" s="142"/>
      <c r="R653" s="303"/>
      <c r="S653" s="138"/>
      <c r="T653" s="142"/>
      <c r="U653" s="303"/>
      <c r="V653" s="138"/>
      <c r="W653" s="142"/>
      <c r="X653" s="303"/>
      <c r="Y653" s="30"/>
      <c r="Z653" s="30"/>
      <c r="AA653" s="30"/>
      <c r="AB653" s="30"/>
      <c r="AC653" s="30"/>
      <c r="AD653" s="30"/>
      <c r="AE653" s="30"/>
      <c r="AF653" s="30"/>
      <c r="AG653" s="30"/>
      <c r="AH653" s="30"/>
      <c r="AI653" s="30"/>
      <c r="AJ653" s="30"/>
      <c r="AK653" s="30"/>
      <c r="AL653" s="30"/>
      <c r="AM653" s="30"/>
      <c r="AN653" s="30"/>
    </row>
    <row r="654">
      <c r="A654" s="138"/>
      <c r="B654" s="142"/>
      <c r="C654" s="303"/>
      <c r="D654" s="138"/>
      <c r="E654" s="142"/>
      <c r="F654" s="303"/>
      <c r="G654" s="138"/>
      <c r="H654" s="142"/>
      <c r="I654" s="303"/>
      <c r="J654" s="138"/>
      <c r="K654" s="142"/>
      <c r="L654" s="303"/>
      <c r="M654" s="138"/>
      <c r="N654" s="142"/>
      <c r="O654" s="303"/>
      <c r="P654" s="138"/>
      <c r="Q654" s="142"/>
      <c r="R654" s="303"/>
      <c r="S654" s="138"/>
      <c r="T654" s="142"/>
      <c r="U654" s="303"/>
      <c r="V654" s="138"/>
      <c r="W654" s="142"/>
      <c r="X654" s="303"/>
      <c r="Y654" s="30"/>
      <c r="Z654" s="30"/>
      <c r="AA654" s="30"/>
      <c r="AB654" s="30"/>
      <c r="AC654" s="30"/>
      <c r="AD654" s="30"/>
      <c r="AE654" s="30"/>
      <c r="AF654" s="30"/>
      <c r="AG654" s="30"/>
      <c r="AH654" s="30"/>
      <c r="AI654" s="30"/>
      <c r="AJ654" s="30"/>
      <c r="AK654" s="30"/>
      <c r="AL654" s="30"/>
      <c r="AM654" s="30"/>
      <c r="AN654" s="30"/>
    </row>
    <row r="655">
      <c r="A655" s="138"/>
      <c r="B655" s="142"/>
      <c r="C655" s="303"/>
      <c r="D655" s="138"/>
      <c r="E655" s="142"/>
      <c r="F655" s="303"/>
      <c r="G655" s="138"/>
      <c r="H655" s="142"/>
      <c r="I655" s="303"/>
      <c r="J655" s="138"/>
      <c r="K655" s="142"/>
      <c r="L655" s="303"/>
      <c r="M655" s="138"/>
      <c r="N655" s="142"/>
      <c r="O655" s="303"/>
      <c r="P655" s="138"/>
      <c r="Q655" s="142"/>
      <c r="R655" s="303"/>
      <c r="S655" s="138"/>
      <c r="T655" s="142"/>
      <c r="U655" s="303"/>
      <c r="V655" s="138"/>
      <c r="W655" s="142"/>
      <c r="X655" s="303"/>
      <c r="Y655" s="30"/>
      <c r="Z655" s="30"/>
      <c r="AA655" s="30"/>
      <c r="AB655" s="30"/>
      <c r="AC655" s="30"/>
      <c r="AD655" s="30"/>
      <c r="AE655" s="30"/>
      <c r="AF655" s="30"/>
      <c r="AG655" s="30"/>
      <c r="AH655" s="30"/>
      <c r="AI655" s="30"/>
      <c r="AJ655" s="30"/>
      <c r="AK655" s="30"/>
      <c r="AL655" s="30"/>
      <c r="AM655" s="30"/>
      <c r="AN655" s="30"/>
    </row>
    <row r="656">
      <c r="A656" s="138"/>
      <c r="B656" s="142"/>
      <c r="C656" s="303"/>
      <c r="D656" s="138"/>
      <c r="E656" s="142"/>
      <c r="F656" s="303"/>
      <c r="G656" s="138"/>
      <c r="H656" s="142"/>
      <c r="I656" s="303"/>
      <c r="J656" s="138"/>
      <c r="K656" s="142"/>
      <c r="L656" s="303"/>
      <c r="M656" s="138"/>
      <c r="N656" s="142"/>
      <c r="O656" s="303"/>
      <c r="P656" s="138"/>
      <c r="Q656" s="142"/>
      <c r="R656" s="303"/>
      <c r="S656" s="138"/>
      <c r="T656" s="142"/>
      <c r="U656" s="303"/>
      <c r="V656" s="138"/>
      <c r="W656" s="142"/>
      <c r="X656" s="303"/>
      <c r="Y656" s="30"/>
      <c r="Z656" s="30"/>
      <c r="AA656" s="30"/>
      <c r="AB656" s="30"/>
      <c r="AC656" s="30"/>
      <c r="AD656" s="30"/>
      <c r="AE656" s="30"/>
      <c r="AF656" s="30"/>
      <c r="AG656" s="30"/>
      <c r="AH656" s="30"/>
      <c r="AI656" s="30"/>
      <c r="AJ656" s="30"/>
      <c r="AK656" s="30"/>
      <c r="AL656" s="30"/>
      <c r="AM656" s="30"/>
      <c r="AN656" s="30"/>
    </row>
    <row r="657">
      <c r="A657" s="138"/>
      <c r="B657" s="142"/>
      <c r="C657" s="303"/>
      <c r="D657" s="138"/>
      <c r="E657" s="142"/>
      <c r="F657" s="303"/>
      <c r="G657" s="138"/>
      <c r="H657" s="142"/>
      <c r="I657" s="303"/>
      <c r="J657" s="138"/>
      <c r="K657" s="142"/>
      <c r="L657" s="303"/>
      <c r="M657" s="138"/>
      <c r="N657" s="142"/>
      <c r="O657" s="303"/>
      <c r="P657" s="138"/>
      <c r="Q657" s="142"/>
      <c r="R657" s="303"/>
      <c r="S657" s="138"/>
      <c r="T657" s="142"/>
      <c r="U657" s="303"/>
      <c r="V657" s="138"/>
      <c r="W657" s="142"/>
      <c r="X657" s="303"/>
      <c r="Y657" s="30"/>
      <c r="Z657" s="30"/>
      <c r="AA657" s="30"/>
      <c r="AB657" s="30"/>
      <c r="AC657" s="30"/>
      <c r="AD657" s="30"/>
      <c r="AE657" s="30"/>
      <c r="AF657" s="30"/>
      <c r="AG657" s="30"/>
      <c r="AH657" s="30"/>
      <c r="AI657" s="30"/>
      <c r="AJ657" s="30"/>
      <c r="AK657" s="30"/>
      <c r="AL657" s="30"/>
      <c r="AM657" s="30"/>
      <c r="AN657" s="30"/>
    </row>
    <row r="658">
      <c r="A658" s="138"/>
      <c r="B658" s="142"/>
      <c r="C658" s="303"/>
      <c r="D658" s="138"/>
      <c r="E658" s="142"/>
      <c r="F658" s="303"/>
      <c r="G658" s="138"/>
      <c r="H658" s="142"/>
      <c r="I658" s="303"/>
      <c r="J658" s="138"/>
      <c r="K658" s="142"/>
      <c r="L658" s="303"/>
      <c r="M658" s="138"/>
      <c r="N658" s="142"/>
      <c r="O658" s="303"/>
      <c r="P658" s="138"/>
      <c r="Q658" s="142"/>
      <c r="R658" s="303"/>
      <c r="S658" s="138"/>
      <c r="T658" s="142"/>
      <c r="U658" s="303"/>
      <c r="V658" s="138"/>
      <c r="W658" s="142"/>
      <c r="X658" s="303"/>
      <c r="Y658" s="30"/>
      <c r="Z658" s="30"/>
      <c r="AA658" s="30"/>
      <c r="AB658" s="30"/>
      <c r="AC658" s="30"/>
      <c r="AD658" s="30"/>
      <c r="AE658" s="30"/>
      <c r="AF658" s="30"/>
      <c r="AG658" s="30"/>
      <c r="AH658" s="30"/>
      <c r="AI658" s="30"/>
      <c r="AJ658" s="30"/>
      <c r="AK658" s="30"/>
      <c r="AL658" s="30"/>
      <c r="AM658" s="30"/>
      <c r="AN658" s="30"/>
    </row>
    <row r="659">
      <c r="A659" s="138"/>
      <c r="B659" s="142"/>
      <c r="C659" s="303"/>
      <c r="D659" s="138"/>
      <c r="E659" s="142"/>
      <c r="F659" s="303"/>
      <c r="G659" s="138"/>
      <c r="H659" s="142"/>
      <c r="I659" s="303"/>
      <c r="J659" s="138"/>
      <c r="K659" s="142"/>
      <c r="L659" s="303"/>
      <c r="M659" s="138"/>
      <c r="N659" s="142"/>
      <c r="O659" s="303"/>
      <c r="P659" s="138"/>
      <c r="Q659" s="142"/>
      <c r="R659" s="303"/>
      <c r="S659" s="138"/>
      <c r="T659" s="142"/>
      <c r="U659" s="303"/>
      <c r="V659" s="138"/>
      <c r="W659" s="142"/>
      <c r="X659" s="303"/>
      <c r="Y659" s="30"/>
      <c r="Z659" s="30"/>
      <c r="AA659" s="30"/>
      <c r="AB659" s="30"/>
      <c r="AC659" s="30"/>
      <c r="AD659" s="30"/>
      <c r="AE659" s="30"/>
      <c r="AF659" s="30"/>
      <c r="AG659" s="30"/>
      <c r="AH659" s="30"/>
      <c r="AI659" s="30"/>
      <c r="AJ659" s="30"/>
      <c r="AK659" s="30"/>
      <c r="AL659" s="30"/>
      <c r="AM659" s="30"/>
      <c r="AN659" s="30"/>
    </row>
    <row r="660">
      <c r="A660" s="138"/>
      <c r="B660" s="142"/>
      <c r="C660" s="303"/>
      <c r="D660" s="138"/>
      <c r="E660" s="142"/>
      <c r="F660" s="303"/>
      <c r="G660" s="138"/>
      <c r="H660" s="142"/>
      <c r="I660" s="303"/>
      <c r="J660" s="138"/>
      <c r="K660" s="142"/>
      <c r="L660" s="303"/>
      <c r="M660" s="138"/>
      <c r="N660" s="142"/>
      <c r="O660" s="303"/>
      <c r="P660" s="138"/>
      <c r="Q660" s="142"/>
      <c r="R660" s="303"/>
      <c r="S660" s="138"/>
      <c r="T660" s="142"/>
      <c r="U660" s="303"/>
      <c r="V660" s="138"/>
      <c r="W660" s="142"/>
      <c r="X660" s="303"/>
      <c r="Y660" s="30"/>
      <c r="Z660" s="30"/>
      <c r="AA660" s="30"/>
      <c r="AB660" s="30"/>
      <c r="AC660" s="30"/>
      <c r="AD660" s="30"/>
      <c r="AE660" s="30"/>
      <c r="AF660" s="30"/>
      <c r="AG660" s="30"/>
      <c r="AH660" s="30"/>
      <c r="AI660" s="30"/>
      <c r="AJ660" s="30"/>
      <c r="AK660" s="30"/>
      <c r="AL660" s="30"/>
      <c r="AM660" s="30"/>
      <c r="AN660" s="30"/>
    </row>
    <row r="661">
      <c r="A661" s="138"/>
      <c r="B661" s="142"/>
      <c r="C661" s="303"/>
      <c r="D661" s="138"/>
      <c r="E661" s="142"/>
      <c r="F661" s="303"/>
      <c r="G661" s="138"/>
      <c r="H661" s="142"/>
      <c r="I661" s="303"/>
      <c r="J661" s="138"/>
      <c r="K661" s="142"/>
      <c r="L661" s="303"/>
      <c r="M661" s="138"/>
      <c r="N661" s="142"/>
      <c r="O661" s="303"/>
      <c r="P661" s="138"/>
      <c r="Q661" s="142"/>
      <c r="R661" s="303"/>
      <c r="S661" s="138"/>
      <c r="T661" s="142"/>
      <c r="U661" s="303"/>
      <c r="V661" s="138"/>
      <c r="W661" s="142"/>
      <c r="X661" s="303"/>
      <c r="Y661" s="30"/>
      <c r="Z661" s="30"/>
      <c r="AA661" s="30"/>
      <c r="AB661" s="30"/>
      <c r="AC661" s="30"/>
      <c r="AD661" s="30"/>
      <c r="AE661" s="30"/>
      <c r="AF661" s="30"/>
      <c r="AG661" s="30"/>
      <c r="AH661" s="30"/>
      <c r="AI661" s="30"/>
      <c r="AJ661" s="30"/>
      <c r="AK661" s="30"/>
      <c r="AL661" s="30"/>
      <c r="AM661" s="30"/>
      <c r="AN661" s="30"/>
    </row>
    <row r="662">
      <c r="A662" s="138"/>
      <c r="B662" s="142"/>
      <c r="C662" s="303"/>
      <c r="D662" s="138"/>
      <c r="E662" s="142"/>
      <c r="F662" s="303"/>
      <c r="G662" s="138"/>
      <c r="H662" s="142"/>
      <c r="I662" s="303"/>
      <c r="J662" s="138"/>
      <c r="K662" s="142"/>
      <c r="L662" s="303"/>
      <c r="M662" s="138"/>
      <c r="N662" s="142"/>
      <c r="O662" s="303"/>
      <c r="P662" s="138"/>
      <c r="Q662" s="142"/>
      <c r="R662" s="303"/>
      <c r="S662" s="138"/>
      <c r="T662" s="142"/>
      <c r="U662" s="303"/>
      <c r="V662" s="138"/>
      <c r="W662" s="142"/>
      <c r="X662" s="303"/>
      <c r="Y662" s="30"/>
      <c r="Z662" s="30"/>
      <c r="AA662" s="30"/>
      <c r="AB662" s="30"/>
      <c r="AC662" s="30"/>
      <c r="AD662" s="30"/>
      <c r="AE662" s="30"/>
      <c r="AF662" s="30"/>
      <c r="AG662" s="30"/>
      <c r="AH662" s="30"/>
      <c r="AI662" s="30"/>
      <c r="AJ662" s="30"/>
      <c r="AK662" s="30"/>
      <c r="AL662" s="30"/>
      <c r="AM662" s="30"/>
      <c r="AN662" s="30"/>
    </row>
    <row r="663">
      <c r="A663" s="138"/>
      <c r="B663" s="142"/>
      <c r="C663" s="303"/>
      <c r="D663" s="138"/>
      <c r="E663" s="142"/>
      <c r="F663" s="303"/>
      <c r="G663" s="138"/>
      <c r="H663" s="142"/>
      <c r="I663" s="303"/>
      <c r="J663" s="138"/>
      <c r="K663" s="142"/>
      <c r="L663" s="303"/>
      <c r="M663" s="138"/>
      <c r="N663" s="142"/>
      <c r="O663" s="303"/>
      <c r="P663" s="138"/>
      <c r="Q663" s="142"/>
      <c r="R663" s="303"/>
      <c r="S663" s="138"/>
      <c r="T663" s="142"/>
      <c r="U663" s="303"/>
      <c r="V663" s="138"/>
      <c r="W663" s="142"/>
      <c r="X663" s="303"/>
      <c r="Y663" s="30"/>
      <c r="Z663" s="30"/>
      <c r="AA663" s="30"/>
      <c r="AB663" s="30"/>
      <c r="AC663" s="30"/>
      <c r="AD663" s="30"/>
      <c r="AE663" s="30"/>
      <c r="AF663" s="30"/>
      <c r="AG663" s="30"/>
      <c r="AH663" s="30"/>
      <c r="AI663" s="30"/>
      <c r="AJ663" s="30"/>
      <c r="AK663" s="30"/>
      <c r="AL663" s="30"/>
      <c r="AM663" s="30"/>
      <c r="AN663" s="30"/>
    </row>
    <row r="664">
      <c r="A664" s="138"/>
      <c r="B664" s="142"/>
      <c r="C664" s="303"/>
      <c r="D664" s="138"/>
      <c r="E664" s="142"/>
      <c r="F664" s="303"/>
      <c r="G664" s="138"/>
      <c r="H664" s="142"/>
      <c r="I664" s="303"/>
      <c r="J664" s="138"/>
      <c r="K664" s="142"/>
      <c r="L664" s="303"/>
      <c r="M664" s="138"/>
      <c r="N664" s="142"/>
      <c r="O664" s="303"/>
      <c r="P664" s="138"/>
      <c r="Q664" s="142"/>
      <c r="R664" s="303"/>
      <c r="S664" s="138"/>
      <c r="T664" s="142"/>
      <c r="U664" s="303"/>
      <c r="V664" s="138"/>
      <c r="W664" s="142"/>
      <c r="X664" s="303"/>
      <c r="Y664" s="30"/>
      <c r="Z664" s="30"/>
      <c r="AA664" s="30"/>
      <c r="AB664" s="30"/>
      <c r="AC664" s="30"/>
      <c r="AD664" s="30"/>
      <c r="AE664" s="30"/>
      <c r="AF664" s="30"/>
      <c r="AG664" s="30"/>
      <c r="AH664" s="30"/>
      <c r="AI664" s="30"/>
      <c r="AJ664" s="30"/>
      <c r="AK664" s="30"/>
      <c r="AL664" s="30"/>
      <c r="AM664" s="30"/>
      <c r="AN664" s="30"/>
    </row>
    <row r="665">
      <c r="A665" s="138"/>
      <c r="B665" s="142"/>
      <c r="C665" s="303"/>
      <c r="D665" s="138"/>
      <c r="E665" s="142"/>
      <c r="F665" s="303"/>
      <c r="G665" s="138"/>
      <c r="H665" s="142"/>
      <c r="I665" s="303"/>
      <c r="J665" s="138"/>
      <c r="K665" s="142"/>
      <c r="L665" s="303"/>
      <c r="M665" s="138"/>
      <c r="N665" s="142"/>
      <c r="O665" s="303"/>
      <c r="P665" s="138"/>
      <c r="Q665" s="142"/>
      <c r="R665" s="303"/>
      <c r="S665" s="138"/>
      <c r="T665" s="142"/>
      <c r="U665" s="303"/>
      <c r="V665" s="138"/>
      <c r="W665" s="142"/>
      <c r="X665" s="303"/>
      <c r="Y665" s="30"/>
      <c r="Z665" s="30"/>
      <c r="AA665" s="30"/>
      <c r="AB665" s="30"/>
      <c r="AC665" s="30"/>
      <c r="AD665" s="30"/>
      <c r="AE665" s="30"/>
      <c r="AF665" s="30"/>
      <c r="AG665" s="30"/>
      <c r="AH665" s="30"/>
      <c r="AI665" s="30"/>
      <c r="AJ665" s="30"/>
      <c r="AK665" s="30"/>
      <c r="AL665" s="30"/>
      <c r="AM665" s="30"/>
      <c r="AN665" s="30"/>
    </row>
    <row r="666">
      <c r="A666" s="138"/>
      <c r="B666" s="142"/>
      <c r="C666" s="303"/>
      <c r="D666" s="138"/>
      <c r="E666" s="142"/>
      <c r="F666" s="303"/>
      <c r="G666" s="138"/>
      <c r="H666" s="142"/>
      <c r="I666" s="303"/>
      <c r="J666" s="138"/>
      <c r="K666" s="142"/>
      <c r="L666" s="303"/>
      <c r="M666" s="138"/>
      <c r="N666" s="142"/>
      <c r="O666" s="303"/>
      <c r="P666" s="138"/>
      <c r="Q666" s="142"/>
      <c r="R666" s="303"/>
      <c r="S666" s="138"/>
      <c r="T666" s="142"/>
      <c r="U666" s="303"/>
      <c r="V666" s="138"/>
      <c r="W666" s="142"/>
      <c r="X666" s="303"/>
      <c r="Y666" s="30"/>
      <c r="Z666" s="30"/>
      <c r="AA666" s="30"/>
      <c r="AB666" s="30"/>
      <c r="AC666" s="30"/>
      <c r="AD666" s="30"/>
      <c r="AE666" s="30"/>
      <c r="AF666" s="30"/>
      <c r="AG666" s="30"/>
      <c r="AH666" s="30"/>
      <c r="AI666" s="30"/>
      <c r="AJ666" s="30"/>
      <c r="AK666" s="30"/>
      <c r="AL666" s="30"/>
      <c r="AM666" s="30"/>
      <c r="AN666" s="30"/>
    </row>
    <row r="667">
      <c r="A667" s="138"/>
      <c r="B667" s="142"/>
      <c r="C667" s="303"/>
      <c r="D667" s="138"/>
      <c r="E667" s="142"/>
      <c r="F667" s="303"/>
      <c r="G667" s="138"/>
      <c r="H667" s="142"/>
      <c r="I667" s="303"/>
      <c r="J667" s="138"/>
      <c r="K667" s="142"/>
      <c r="L667" s="303"/>
      <c r="M667" s="138"/>
      <c r="N667" s="142"/>
      <c r="O667" s="303"/>
      <c r="P667" s="138"/>
      <c r="Q667" s="142"/>
      <c r="R667" s="303"/>
      <c r="S667" s="138"/>
      <c r="T667" s="142"/>
      <c r="U667" s="303"/>
      <c r="V667" s="138"/>
      <c r="W667" s="142"/>
      <c r="X667" s="303"/>
      <c r="Y667" s="30"/>
      <c r="Z667" s="30"/>
      <c r="AA667" s="30"/>
      <c r="AB667" s="30"/>
      <c r="AC667" s="30"/>
      <c r="AD667" s="30"/>
      <c r="AE667" s="30"/>
      <c r="AF667" s="30"/>
      <c r="AG667" s="30"/>
      <c r="AH667" s="30"/>
      <c r="AI667" s="30"/>
      <c r="AJ667" s="30"/>
      <c r="AK667" s="30"/>
      <c r="AL667" s="30"/>
      <c r="AM667" s="30"/>
      <c r="AN667" s="30"/>
    </row>
    <row r="668">
      <c r="A668" s="138"/>
      <c r="B668" s="142"/>
      <c r="C668" s="303"/>
      <c r="D668" s="138"/>
      <c r="E668" s="142"/>
      <c r="F668" s="303"/>
      <c r="G668" s="138"/>
      <c r="H668" s="142"/>
      <c r="I668" s="303"/>
      <c r="J668" s="138"/>
      <c r="K668" s="142"/>
      <c r="L668" s="303"/>
      <c r="M668" s="138"/>
      <c r="N668" s="142"/>
      <c r="O668" s="303"/>
      <c r="P668" s="138"/>
      <c r="Q668" s="142"/>
      <c r="R668" s="303"/>
      <c r="S668" s="138"/>
      <c r="T668" s="142"/>
      <c r="U668" s="303"/>
      <c r="V668" s="138"/>
      <c r="W668" s="142"/>
      <c r="X668" s="303"/>
      <c r="Y668" s="30"/>
      <c r="Z668" s="30"/>
      <c r="AA668" s="30"/>
      <c r="AB668" s="30"/>
      <c r="AC668" s="30"/>
      <c r="AD668" s="30"/>
      <c r="AE668" s="30"/>
      <c r="AF668" s="30"/>
      <c r="AG668" s="30"/>
      <c r="AH668" s="30"/>
      <c r="AI668" s="30"/>
      <c r="AJ668" s="30"/>
      <c r="AK668" s="30"/>
      <c r="AL668" s="30"/>
      <c r="AM668" s="30"/>
      <c r="AN668" s="30"/>
    </row>
    <row r="669">
      <c r="A669" s="138"/>
      <c r="B669" s="142"/>
      <c r="C669" s="303"/>
      <c r="D669" s="138"/>
      <c r="E669" s="142"/>
      <c r="F669" s="303"/>
      <c r="G669" s="138"/>
      <c r="H669" s="142"/>
      <c r="I669" s="303"/>
      <c r="J669" s="138"/>
      <c r="K669" s="142"/>
      <c r="L669" s="303"/>
      <c r="M669" s="138"/>
      <c r="N669" s="142"/>
      <c r="O669" s="303"/>
      <c r="P669" s="138"/>
      <c r="Q669" s="142"/>
      <c r="R669" s="303"/>
      <c r="S669" s="138"/>
      <c r="T669" s="142"/>
      <c r="U669" s="303"/>
      <c r="V669" s="138"/>
      <c r="W669" s="142"/>
      <c r="X669" s="303"/>
      <c r="Y669" s="30"/>
      <c r="Z669" s="30"/>
      <c r="AA669" s="30"/>
      <c r="AB669" s="30"/>
      <c r="AC669" s="30"/>
      <c r="AD669" s="30"/>
      <c r="AE669" s="30"/>
      <c r="AF669" s="30"/>
      <c r="AG669" s="30"/>
      <c r="AH669" s="30"/>
      <c r="AI669" s="30"/>
      <c r="AJ669" s="30"/>
      <c r="AK669" s="30"/>
      <c r="AL669" s="30"/>
      <c r="AM669" s="30"/>
      <c r="AN669" s="30"/>
    </row>
    <row r="670">
      <c r="A670" s="138"/>
      <c r="B670" s="142"/>
      <c r="C670" s="303"/>
      <c r="D670" s="138"/>
      <c r="E670" s="142"/>
      <c r="F670" s="303"/>
      <c r="G670" s="138"/>
      <c r="H670" s="142"/>
      <c r="I670" s="303"/>
      <c r="J670" s="138"/>
      <c r="K670" s="142"/>
      <c r="L670" s="303"/>
      <c r="M670" s="138"/>
      <c r="N670" s="142"/>
      <c r="O670" s="303"/>
      <c r="P670" s="138"/>
      <c r="Q670" s="142"/>
      <c r="R670" s="303"/>
      <c r="S670" s="138"/>
      <c r="T670" s="142"/>
      <c r="U670" s="303"/>
      <c r="V670" s="138"/>
      <c r="W670" s="142"/>
      <c r="X670" s="303"/>
      <c r="Y670" s="30"/>
      <c r="Z670" s="30"/>
      <c r="AA670" s="30"/>
      <c r="AB670" s="30"/>
      <c r="AC670" s="30"/>
      <c r="AD670" s="30"/>
      <c r="AE670" s="30"/>
      <c r="AF670" s="30"/>
      <c r="AG670" s="30"/>
      <c r="AH670" s="30"/>
      <c r="AI670" s="30"/>
      <c r="AJ670" s="30"/>
      <c r="AK670" s="30"/>
      <c r="AL670" s="30"/>
      <c r="AM670" s="30"/>
      <c r="AN670" s="30"/>
    </row>
    <row r="671">
      <c r="A671" s="138"/>
      <c r="B671" s="142"/>
      <c r="C671" s="303"/>
      <c r="D671" s="138"/>
      <c r="E671" s="142"/>
      <c r="F671" s="303"/>
      <c r="G671" s="138"/>
      <c r="H671" s="142"/>
      <c r="I671" s="303"/>
      <c r="J671" s="138"/>
      <c r="K671" s="142"/>
      <c r="L671" s="303"/>
      <c r="M671" s="138"/>
      <c r="N671" s="142"/>
      <c r="O671" s="303"/>
      <c r="P671" s="138"/>
      <c r="Q671" s="142"/>
      <c r="R671" s="303"/>
      <c r="S671" s="138"/>
      <c r="T671" s="142"/>
      <c r="U671" s="303"/>
      <c r="V671" s="138"/>
      <c r="W671" s="142"/>
      <c r="X671" s="303"/>
      <c r="Y671" s="30"/>
      <c r="Z671" s="30"/>
      <c r="AA671" s="30"/>
      <c r="AB671" s="30"/>
      <c r="AC671" s="30"/>
      <c r="AD671" s="30"/>
      <c r="AE671" s="30"/>
      <c r="AF671" s="30"/>
      <c r="AG671" s="30"/>
      <c r="AH671" s="30"/>
      <c r="AI671" s="30"/>
      <c r="AJ671" s="30"/>
      <c r="AK671" s="30"/>
      <c r="AL671" s="30"/>
      <c r="AM671" s="30"/>
      <c r="AN671" s="30"/>
    </row>
    <row r="672">
      <c r="A672" s="138"/>
      <c r="B672" s="142"/>
      <c r="C672" s="303"/>
      <c r="D672" s="138"/>
      <c r="E672" s="142"/>
      <c r="F672" s="303"/>
      <c r="G672" s="138"/>
      <c r="H672" s="142"/>
      <c r="I672" s="303"/>
      <c r="J672" s="138"/>
      <c r="K672" s="142"/>
      <c r="L672" s="303"/>
      <c r="M672" s="138"/>
      <c r="N672" s="142"/>
      <c r="O672" s="303"/>
      <c r="P672" s="138"/>
      <c r="Q672" s="142"/>
      <c r="R672" s="303"/>
      <c r="S672" s="138"/>
      <c r="T672" s="142"/>
      <c r="U672" s="303"/>
      <c r="V672" s="138"/>
      <c r="W672" s="142"/>
      <c r="X672" s="303"/>
      <c r="Y672" s="30"/>
      <c r="Z672" s="30"/>
      <c r="AA672" s="30"/>
      <c r="AB672" s="30"/>
      <c r="AC672" s="30"/>
      <c r="AD672" s="30"/>
      <c r="AE672" s="30"/>
      <c r="AF672" s="30"/>
      <c r="AG672" s="30"/>
      <c r="AH672" s="30"/>
      <c r="AI672" s="30"/>
      <c r="AJ672" s="30"/>
      <c r="AK672" s="30"/>
      <c r="AL672" s="30"/>
      <c r="AM672" s="30"/>
      <c r="AN672" s="30"/>
    </row>
    <row r="673">
      <c r="A673" s="138"/>
      <c r="B673" s="142"/>
      <c r="C673" s="303"/>
      <c r="D673" s="138"/>
      <c r="E673" s="142"/>
      <c r="F673" s="303"/>
      <c r="G673" s="138"/>
      <c r="H673" s="142"/>
      <c r="I673" s="303"/>
      <c r="J673" s="138"/>
      <c r="K673" s="142"/>
      <c r="L673" s="303"/>
      <c r="M673" s="138"/>
      <c r="N673" s="142"/>
      <c r="O673" s="303"/>
      <c r="P673" s="138"/>
      <c r="Q673" s="142"/>
      <c r="R673" s="303"/>
      <c r="S673" s="138"/>
      <c r="T673" s="142"/>
      <c r="U673" s="303"/>
      <c r="V673" s="138"/>
      <c r="W673" s="142"/>
      <c r="X673" s="303"/>
      <c r="Y673" s="30"/>
      <c r="Z673" s="30"/>
      <c r="AA673" s="30"/>
      <c r="AB673" s="30"/>
      <c r="AC673" s="30"/>
      <c r="AD673" s="30"/>
      <c r="AE673" s="30"/>
      <c r="AF673" s="30"/>
      <c r="AG673" s="30"/>
      <c r="AH673" s="30"/>
      <c r="AI673" s="30"/>
      <c r="AJ673" s="30"/>
      <c r="AK673" s="30"/>
      <c r="AL673" s="30"/>
      <c r="AM673" s="30"/>
      <c r="AN673" s="30"/>
    </row>
    <row r="674">
      <c r="A674" s="138"/>
      <c r="B674" s="142"/>
      <c r="C674" s="303"/>
      <c r="D674" s="138"/>
      <c r="E674" s="142"/>
      <c r="F674" s="303"/>
      <c r="G674" s="138"/>
      <c r="H674" s="142"/>
      <c r="I674" s="303"/>
      <c r="J674" s="138"/>
      <c r="K674" s="142"/>
      <c r="L674" s="303"/>
      <c r="M674" s="138"/>
      <c r="N674" s="142"/>
      <c r="O674" s="303"/>
      <c r="P674" s="138"/>
      <c r="Q674" s="142"/>
      <c r="R674" s="303"/>
      <c r="S674" s="138"/>
      <c r="T674" s="142"/>
      <c r="U674" s="303"/>
      <c r="V674" s="138"/>
      <c r="W674" s="142"/>
      <c r="X674" s="303"/>
      <c r="Y674" s="30"/>
      <c r="Z674" s="30"/>
      <c r="AA674" s="30"/>
      <c r="AB674" s="30"/>
      <c r="AC674" s="30"/>
      <c r="AD674" s="30"/>
      <c r="AE674" s="30"/>
      <c r="AF674" s="30"/>
      <c r="AG674" s="30"/>
      <c r="AH674" s="30"/>
      <c r="AI674" s="30"/>
      <c r="AJ674" s="30"/>
      <c r="AK674" s="30"/>
      <c r="AL674" s="30"/>
      <c r="AM674" s="30"/>
      <c r="AN674" s="30"/>
    </row>
    <row r="675">
      <c r="A675" s="138"/>
      <c r="B675" s="142"/>
      <c r="C675" s="303"/>
      <c r="D675" s="138"/>
      <c r="E675" s="142"/>
      <c r="F675" s="303"/>
      <c r="G675" s="138"/>
      <c r="H675" s="142"/>
      <c r="I675" s="303"/>
      <c r="J675" s="138"/>
      <c r="K675" s="142"/>
      <c r="L675" s="303"/>
      <c r="M675" s="138"/>
      <c r="N675" s="142"/>
      <c r="O675" s="303"/>
      <c r="P675" s="138"/>
      <c r="Q675" s="142"/>
      <c r="R675" s="303"/>
      <c r="S675" s="138"/>
      <c r="T675" s="142"/>
      <c r="U675" s="303"/>
      <c r="V675" s="138"/>
      <c r="W675" s="142"/>
      <c r="X675" s="303"/>
      <c r="Y675" s="30"/>
      <c r="Z675" s="30"/>
      <c r="AA675" s="30"/>
      <c r="AB675" s="30"/>
      <c r="AC675" s="30"/>
      <c r="AD675" s="30"/>
      <c r="AE675" s="30"/>
      <c r="AF675" s="30"/>
      <c r="AG675" s="30"/>
      <c r="AH675" s="30"/>
      <c r="AI675" s="30"/>
      <c r="AJ675" s="30"/>
      <c r="AK675" s="30"/>
      <c r="AL675" s="30"/>
      <c r="AM675" s="30"/>
      <c r="AN675" s="30"/>
    </row>
    <row r="676">
      <c r="A676" s="138"/>
      <c r="B676" s="142"/>
      <c r="C676" s="303"/>
      <c r="D676" s="138"/>
      <c r="E676" s="142"/>
      <c r="F676" s="303"/>
      <c r="G676" s="138"/>
      <c r="H676" s="142"/>
      <c r="I676" s="303"/>
      <c r="J676" s="138"/>
      <c r="K676" s="142"/>
      <c r="L676" s="303"/>
      <c r="M676" s="138"/>
      <c r="N676" s="142"/>
      <c r="O676" s="303"/>
      <c r="P676" s="138"/>
      <c r="Q676" s="142"/>
      <c r="R676" s="303"/>
      <c r="S676" s="138"/>
      <c r="T676" s="142"/>
      <c r="U676" s="303"/>
      <c r="V676" s="138"/>
      <c r="W676" s="142"/>
      <c r="X676" s="303"/>
      <c r="Y676" s="30"/>
      <c r="Z676" s="30"/>
      <c r="AA676" s="30"/>
      <c r="AB676" s="30"/>
      <c r="AC676" s="30"/>
      <c r="AD676" s="30"/>
      <c r="AE676" s="30"/>
      <c r="AF676" s="30"/>
      <c r="AG676" s="30"/>
      <c r="AH676" s="30"/>
      <c r="AI676" s="30"/>
      <c r="AJ676" s="30"/>
      <c r="AK676" s="30"/>
      <c r="AL676" s="30"/>
      <c r="AM676" s="30"/>
      <c r="AN676" s="30"/>
    </row>
    <row r="677">
      <c r="A677" s="138"/>
      <c r="B677" s="142"/>
      <c r="C677" s="303"/>
      <c r="D677" s="138"/>
      <c r="E677" s="142"/>
      <c r="F677" s="303"/>
      <c r="G677" s="138"/>
      <c r="H677" s="142"/>
      <c r="I677" s="303"/>
      <c r="J677" s="138"/>
      <c r="K677" s="142"/>
      <c r="L677" s="303"/>
      <c r="M677" s="138"/>
      <c r="N677" s="142"/>
      <c r="O677" s="303"/>
      <c r="P677" s="138"/>
      <c r="Q677" s="142"/>
      <c r="R677" s="303"/>
      <c r="S677" s="138"/>
      <c r="T677" s="142"/>
      <c r="U677" s="303"/>
      <c r="V677" s="138"/>
      <c r="W677" s="142"/>
      <c r="X677" s="303"/>
      <c r="Y677" s="30"/>
      <c r="Z677" s="30"/>
      <c r="AA677" s="30"/>
      <c r="AB677" s="30"/>
      <c r="AC677" s="30"/>
      <c r="AD677" s="30"/>
      <c r="AE677" s="30"/>
      <c r="AF677" s="30"/>
      <c r="AG677" s="30"/>
      <c r="AH677" s="30"/>
      <c r="AI677" s="30"/>
      <c r="AJ677" s="30"/>
      <c r="AK677" s="30"/>
      <c r="AL677" s="30"/>
      <c r="AM677" s="30"/>
      <c r="AN677" s="30"/>
    </row>
    <row r="678">
      <c r="A678" s="138"/>
      <c r="B678" s="142"/>
      <c r="C678" s="303"/>
      <c r="D678" s="138"/>
      <c r="E678" s="142"/>
      <c r="F678" s="303"/>
      <c r="G678" s="138"/>
      <c r="H678" s="142"/>
      <c r="I678" s="303"/>
      <c r="J678" s="138"/>
      <c r="K678" s="142"/>
      <c r="L678" s="303"/>
      <c r="M678" s="138"/>
      <c r="N678" s="142"/>
      <c r="O678" s="303"/>
      <c r="P678" s="138"/>
      <c r="Q678" s="142"/>
      <c r="R678" s="303"/>
      <c r="S678" s="138"/>
      <c r="T678" s="142"/>
      <c r="U678" s="303"/>
      <c r="V678" s="138"/>
      <c r="W678" s="142"/>
      <c r="X678" s="303"/>
      <c r="Y678" s="30"/>
      <c r="Z678" s="30"/>
      <c r="AA678" s="30"/>
      <c r="AB678" s="30"/>
      <c r="AC678" s="30"/>
      <c r="AD678" s="30"/>
      <c r="AE678" s="30"/>
      <c r="AF678" s="30"/>
      <c r="AG678" s="30"/>
      <c r="AH678" s="30"/>
      <c r="AI678" s="30"/>
      <c r="AJ678" s="30"/>
      <c r="AK678" s="30"/>
      <c r="AL678" s="30"/>
      <c r="AM678" s="30"/>
      <c r="AN678" s="30"/>
    </row>
    <row r="679">
      <c r="A679" s="138"/>
      <c r="B679" s="142"/>
      <c r="C679" s="303"/>
      <c r="D679" s="138"/>
      <c r="E679" s="142"/>
      <c r="F679" s="303"/>
      <c r="G679" s="138"/>
      <c r="H679" s="142"/>
      <c r="I679" s="303"/>
      <c r="J679" s="138"/>
      <c r="K679" s="142"/>
      <c r="L679" s="303"/>
      <c r="M679" s="138"/>
      <c r="N679" s="142"/>
      <c r="O679" s="303"/>
      <c r="P679" s="138"/>
      <c r="Q679" s="142"/>
      <c r="R679" s="303"/>
      <c r="S679" s="138"/>
      <c r="T679" s="142"/>
      <c r="U679" s="303"/>
      <c r="V679" s="138"/>
      <c r="W679" s="142"/>
      <c r="X679" s="303"/>
      <c r="Y679" s="30"/>
      <c r="Z679" s="30"/>
      <c r="AA679" s="30"/>
      <c r="AB679" s="30"/>
      <c r="AC679" s="30"/>
      <c r="AD679" s="30"/>
      <c r="AE679" s="30"/>
      <c r="AF679" s="30"/>
      <c r="AG679" s="30"/>
      <c r="AH679" s="30"/>
      <c r="AI679" s="30"/>
      <c r="AJ679" s="30"/>
      <c r="AK679" s="30"/>
      <c r="AL679" s="30"/>
      <c r="AM679" s="30"/>
      <c r="AN679" s="30"/>
    </row>
    <row r="680">
      <c r="A680" s="138"/>
      <c r="B680" s="142"/>
      <c r="C680" s="303"/>
      <c r="D680" s="138"/>
      <c r="E680" s="142"/>
      <c r="F680" s="303"/>
      <c r="G680" s="138"/>
      <c r="H680" s="142"/>
      <c r="I680" s="303"/>
      <c r="J680" s="138"/>
      <c r="K680" s="142"/>
      <c r="L680" s="303"/>
      <c r="M680" s="138"/>
      <c r="N680" s="142"/>
      <c r="O680" s="303"/>
      <c r="P680" s="138"/>
      <c r="Q680" s="142"/>
      <c r="R680" s="303"/>
      <c r="S680" s="138"/>
      <c r="T680" s="142"/>
      <c r="U680" s="303"/>
      <c r="V680" s="138"/>
      <c r="W680" s="142"/>
      <c r="X680" s="303"/>
      <c r="Y680" s="30"/>
      <c r="Z680" s="30"/>
      <c r="AA680" s="30"/>
      <c r="AB680" s="30"/>
      <c r="AC680" s="30"/>
      <c r="AD680" s="30"/>
      <c r="AE680" s="30"/>
      <c r="AF680" s="30"/>
      <c r="AG680" s="30"/>
      <c r="AH680" s="30"/>
      <c r="AI680" s="30"/>
      <c r="AJ680" s="30"/>
      <c r="AK680" s="30"/>
      <c r="AL680" s="30"/>
      <c r="AM680" s="30"/>
      <c r="AN680" s="30"/>
    </row>
    <row r="681">
      <c r="A681" s="138"/>
      <c r="B681" s="142"/>
      <c r="C681" s="303"/>
      <c r="D681" s="138"/>
      <c r="E681" s="142"/>
      <c r="F681" s="303"/>
      <c r="G681" s="138"/>
      <c r="H681" s="142"/>
      <c r="I681" s="303"/>
      <c r="J681" s="138"/>
      <c r="K681" s="142"/>
      <c r="L681" s="303"/>
      <c r="M681" s="138"/>
      <c r="N681" s="142"/>
      <c r="O681" s="303"/>
      <c r="P681" s="138"/>
      <c r="Q681" s="142"/>
      <c r="R681" s="303"/>
      <c r="S681" s="138"/>
      <c r="T681" s="142"/>
      <c r="U681" s="303"/>
      <c r="V681" s="138"/>
      <c r="W681" s="142"/>
      <c r="X681" s="303"/>
      <c r="Y681" s="30"/>
      <c r="Z681" s="30"/>
      <c r="AA681" s="30"/>
      <c r="AB681" s="30"/>
      <c r="AC681" s="30"/>
      <c r="AD681" s="30"/>
      <c r="AE681" s="30"/>
      <c r="AF681" s="30"/>
      <c r="AG681" s="30"/>
      <c r="AH681" s="30"/>
      <c r="AI681" s="30"/>
      <c r="AJ681" s="30"/>
      <c r="AK681" s="30"/>
      <c r="AL681" s="30"/>
      <c r="AM681" s="30"/>
      <c r="AN681" s="30"/>
    </row>
    <row r="682">
      <c r="A682" s="138"/>
      <c r="B682" s="142"/>
      <c r="C682" s="303"/>
      <c r="D682" s="138"/>
      <c r="E682" s="142"/>
      <c r="F682" s="303"/>
      <c r="G682" s="138"/>
      <c r="H682" s="142"/>
      <c r="I682" s="303"/>
      <c r="J682" s="138"/>
      <c r="K682" s="142"/>
      <c r="L682" s="303"/>
      <c r="M682" s="138"/>
      <c r="N682" s="142"/>
      <c r="O682" s="303"/>
      <c r="P682" s="138"/>
      <c r="Q682" s="142"/>
      <c r="R682" s="303"/>
      <c r="S682" s="138"/>
      <c r="T682" s="142"/>
      <c r="U682" s="303"/>
      <c r="V682" s="138"/>
      <c r="W682" s="142"/>
      <c r="X682" s="303"/>
      <c r="Y682" s="30"/>
      <c r="Z682" s="30"/>
      <c r="AA682" s="30"/>
      <c r="AB682" s="30"/>
      <c r="AC682" s="30"/>
      <c r="AD682" s="30"/>
      <c r="AE682" s="30"/>
      <c r="AF682" s="30"/>
      <c r="AG682" s="30"/>
      <c r="AH682" s="30"/>
      <c r="AI682" s="30"/>
      <c r="AJ682" s="30"/>
      <c r="AK682" s="30"/>
      <c r="AL682" s="30"/>
      <c r="AM682" s="30"/>
      <c r="AN682" s="30"/>
    </row>
    <row r="683">
      <c r="A683" s="138"/>
      <c r="B683" s="142"/>
      <c r="C683" s="303"/>
      <c r="D683" s="138"/>
      <c r="E683" s="142"/>
      <c r="F683" s="303"/>
      <c r="G683" s="138"/>
      <c r="H683" s="142"/>
      <c r="I683" s="303"/>
      <c r="J683" s="138"/>
      <c r="K683" s="142"/>
      <c r="L683" s="303"/>
      <c r="M683" s="138"/>
      <c r="N683" s="142"/>
      <c r="O683" s="303"/>
      <c r="P683" s="138"/>
      <c r="Q683" s="142"/>
      <c r="R683" s="303"/>
      <c r="S683" s="138"/>
      <c r="T683" s="142"/>
      <c r="U683" s="303"/>
      <c r="V683" s="138"/>
      <c r="W683" s="142"/>
      <c r="X683" s="303"/>
      <c r="Y683" s="30"/>
      <c r="Z683" s="30"/>
      <c r="AA683" s="30"/>
      <c r="AB683" s="30"/>
      <c r="AC683" s="30"/>
      <c r="AD683" s="30"/>
      <c r="AE683" s="30"/>
      <c r="AF683" s="30"/>
      <c r="AG683" s="30"/>
      <c r="AH683" s="30"/>
      <c r="AI683" s="30"/>
      <c r="AJ683" s="30"/>
      <c r="AK683" s="30"/>
      <c r="AL683" s="30"/>
      <c r="AM683" s="30"/>
      <c r="AN683" s="30"/>
    </row>
    <row r="684">
      <c r="A684" s="138"/>
      <c r="B684" s="142"/>
      <c r="C684" s="303"/>
      <c r="D684" s="138"/>
      <c r="E684" s="142"/>
      <c r="F684" s="303"/>
      <c r="G684" s="138"/>
      <c r="H684" s="142"/>
      <c r="I684" s="303"/>
      <c r="J684" s="138"/>
      <c r="K684" s="142"/>
      <c r="L684" s="303"/>
      <c r="M684" s="138"/>
      <c r="N684" s="142"/>
      <c r="O684" s="303"/>
      <c r="P684" s="138"/>
      <c r="Q684" s="142"/>
      <c r="R684" s="303"/>
      <c r="S684" s="138"/>
      <c r="T684" s="142"/>
      <c r="U684" s="303"/>
      <c r="V684" s="138"/>
      <c r="W684" s="142"/>
      <c r="X684" s="303"/>
      <c r="Y684" s="30"/>
      <c r="Z684" s="30"/>
      <c r="AA684" s="30"/>
      <c r="AB684" s="30"/>
      <c r="AC684" s="30"/>
      <c r="AD684" s="30"/>
      <c r="AE684" s="30"/>
      <c r="AF684" s="30"/>
      <c r="AG684" s="30"/>
      <c r="AH684" s="30"/>
      <c r="AI684" s="30"/>
      <c r="AJ684" s="30"/>
      <c r="AK684" s="30"/>
      <c r="AL684" s="30"/>
      <c r="AM684" s="30"/>
      <c r="AN684" s="30"/>
    </row>
    <row r="685">
      <c r="A685" s="138"/>
      <c r="B685" s="142"/>
      <c r="C685" s="303"/>
      <c r="D685" s="138"/>
      <c r="E685" s="142"/>
      <c r="F685" s="303"/>
      <c r="G685" s="138"/>
      <c r="H685" s="142"/>
      <c r="I685" s="303"/>
      <c r="J685" s="138"/>
      <c r="K685" s="142"/>
      <c r="L685" s="303"/>
      <c r="M685" s="138"/>
      <c r="N685" s="142"/>
      <c r="O685" s="303"/>
      <c r="P685" s="138"/>
      <c r="Q685" s="142"/>
      <c r="R685" s="303"/>
      <c r="S685" s="138"/>
      <c r="T685" s="142"/>
      <c r="U685" s="303"/>
      <c r="V685" s="138"/>
      <c r="W685" s="142"/>
      <c r="X685" s="303"/>
      <c r="Y685" s="30"/>
      <c r="Z685" s="30"/>
      <c r="AA685" s="30"/>
      <c r="AB685" s="30"/>
      <c r="AC685" s="30"/>
      <c r="AD685" s="30"/>
      <c r="AE685" s="30"/>
      <c r="AF685" s="30"/>
      <c r="AG685" s="30"/>
      <c r="AH685" s="30"/>
      <c r="AI685" s="30"/>
      <c r="AJ685" s="30"/>
      <c r="AK685" s="30"/>
      <c r="AL685" s="30"/>
      <c r="AM685" s="30"/>
      <c r="AN685" s="30"/>
    </row>
    <row r="686">
      <c r="A686" s="138"/>
      <c r="B686" s="142"/>
      <c r="C686" s="303"/>
      <c r="D686" s="138"/>
      <c r="E686" s="142"/>
      <c r="F686" s="303"/>
      <c r="G686" s="138"/>
      <c r="H686" s="142"/>
      <c r="I686" s="303"/>
      <c r="J686" s="138"/>
      <c r="K686" s="142"/>
      <c r="L686" s="303"/>
      <c r="M686" s="138"/>
      <c r="N686" s="142"/>
      <c r="O686" s="303"/>
      <c r="P686" s="138"/>
      <c r="Q686" s="142"/>
      <c r="R686" s="303"/>
      <c r="S686" s="138"/>
      <c r="T686" s="142"/>
      <c r="U686" s="303"/>
      <c r="V686" s="138"/>
      <c r="W686" s="142"/>
      <c r="X686" s="303"/>
      <c r="Y686" s="30"/>
      <c r="Z686" s="30"/>
      <c r="AA686" s="30"/>
      <c r="AB686" s="30"/>
      <c r="AC686" s="30"/>
      <c r="AD686" s="30"/>
      <c r="AE686" s="30"/>
      <c r="AF686" s="30"/>
      <c r="AG686" s="30"/>
      <c r="AH686" s="30"/>
      <c r="AI686" s="30"/>
      <c r="AJ686" s="30"/>
      <c r="AK686" s="30"/>
      <c r="AL686" s="30"/>
      <c r="AM686" s="30"/>
      <c r="AN686" s="30"/>
    </row>
    <row r="687">
      <c r="A687" s="138"/>
      <c r="B687" s="142"/>
      <c r="C687" s="303"/>
      <c r="D687" s="138"/>
      <c r="E687" s="142"/>
      <c r="F687" s="303"/>
      <c r="G687" s="138"/>
      <c r="H687" s="142"/>
      <c r="I687" s="303"/>
      <c r="J687" s="138"/>
      <c r="K687" s="142"/>
      <c r="L687" s="303"/>
      <c r="M687" s="138"/>
      <c r="N687" s="142"/>
      <c r="O687" s="303"/>
      <c r="P687" s="138"/>
      <c r="Q687" s="142"/>
      <c r="R687" s="303"/>
      <c r="S687" s="138"/>
      <c r="T687" s="142"/>
      <c r="U687" s="303"/>
      <c r="V687" s="138"/>
      <c r="W687" s="142"/>
      <c r="X687" s="303"/>
      <c r="Y687" s="30"/>
      <c r="Z687" s="30"/>
      <c r="AA687" s="30"/>
      <c r="AB687" s="30"/>
      <c r="AC687" s="30"/>
      <c r="AD687" s="30"/>
      <c r="AE687" s="30"/>
      <c r="AF687" s="30"/>
      <c r="AG687" s="30"/>
      <c r="AH687" s="30"/>
      <c r="AI687" s="30"/>
      <c r="AJ687" s="30"/>
      <c r="AK687" s="30"/>
      <c r="AL687" s="30"/>
      <c r="AM687" s="30"/>
      <c r="AN687" s="30"/>
    </row>
    <row r="688">
      <c r="A688" s="138"/>
      <c r="B688" s="142"/>
      <c r="C688" s="303"/>
      <c r="D688" s="138"/>
      <c r="E688" s="142"/>
      <c r="F688" s="303"/>
      <c r="G688" s="138"/>
      <c r="H688" s="142"/>
      <c r="I688" s="303"/>
      <c r="J688" s="138"/>
      <c r="K688" s="142"/>
      <c r="L688" s="303"/>
      <c r="M688" s="138"/>
      <c r="N688" s="142"/>
      <c r="O688" s="303"/>
      <c r="P688" s="138"/>
      <c r="Q688" s="142"/>
      <c r="R688" s="303"/>
      <c r="S688" s="138"/>
      <c r="T688" s="142"/>
      <c r="U688" s="303"/>
      <c r="V688" s="138"/>
      <c r="W688" s="142"/>
      <c r="X688" s="303"/>
      <c r="Y688" s="30"/>
      <c r="Z688" s="30"/>
      <c r="AA688" s="30"/>
      <c r="AB688" s="30"/>
      <c r="AC688" s="30"/>
      <c r="AD688" s="30"/>
      <c r="AE688" s="30"/>
      <c r="AF688" s="30"/>
      <c r="AG688" s="30"/>
      <c r="AH688" s="30"/>
      <c r="AI688" s="30"/>
      <c r="AJ688" s="30"/>
      <c r="AK688" s="30"/>
      <c r="AL688" s="30"/>
      <c r="AM688" s="30"/>
      <c r="AN688" s="30"/>
    </row>
    <row r="689">
      <c r="A689" s="138"/>
      <c r="B689" s="142"/>
      <c r="C689" s="303"/>
      <c r="D689" s="138"/>
      <c r="E689" s="142"/>
      <c r="F689" s="303"/>
      <c r="G689" s="138"/>
      <c r="H689" s="142"/>
      <c r="I689" s="303"/>
      <c r="J689" s="138"/>
      <c r="K689" s="142"/>
      <c r="L689" s="303"/>
      <c r="M689" s="138"/>
      <c r="N689" s="142"/>
      <c r="O689" s="303"/>
      <c r="P689" s="138"/>
      <c r="Q689" s="142"/>
      <c r="R689" s="303"/>
      <c r="S689" s="138"/>
      <c r="T689" s="142"/>
      <c r="U689" s="303"/>
      <c r="V689" s="138"/>
      <c r="W689" s="142"/>
      <c r="X689" s="303"/>
      <c r="Y689" s="30"/>
      <c r="Z689" s="30"/>
      <c r="AA689" s="30"/>
      <c r="AB689" s="30"/>
      <c r="AC689" s="30"/>
      <c r="AD689" s="30"/>
      <c r="AE689" s="30"/>
      <c r="AF689" s="30"/>
      <c r="AG689" s="30"/>
      <c r="AH689" s="30"/>
      <c r="AI689" s="30"/>
      <c r="AJ689" s="30"/>
      <c r="AK689" s="30"/>
      <c r="AL689" s="30"/>
      <c r="AM689" s="30"/>
      <c r="AN689" s="30"/>
    </row>
    <row r="690">
      <c r="A690" s="138"/>
      <c r="B690" s="142"/>
      <c r="C690" s="303"/>
      <c r="D690" s="138"/>
      <c r="E690" s="142"/>
      <c r="F690" s="303"/>
      <c r="G690" s="138"/>
      <c r="H690" s="142"/>
      <c r="I690" s="303"/>
      <c r="J690" s="138"/>
      <c r="K690" s="142"/>
      <c r="L690" s="303"/>
      <c r="M690" s="138"/>
      <c r="N690" s="142"/>
      <c r="O690" s="303"/>
      <c r="P690" s="138"/>
      <c r="Q690" s="142"/>
      <c r="R690" s="303"/>
      <c r="S690" s="138"/>
      <c r="T690" s="142"/>
      <c r="U690" s="303"/>
      <c r="V690" s="138"/>
      <c r="W690" s="142"/>
      <c r="X690" s="303"/>
      <c r="Y690" s="30"/>
      <c r="Z690" s="30"/>
      <c r="AA690" s="30"/>
      <c r="AB690" s="30"/>
      <c r="AC690" s="30"/>
      <c r="AD690" s="30"/>
      <c r="AE690" s="30"/>
      <c r="AF690" s="30"/>
      <c r="AG690" s="30"/>
      <c r="AH690" s="30"/>
      <c r="AI690" s="30"/>
      <c r="AJ690" s="30"/>
      <c r="AK690" s="30"/>
      <c r="AL690" s="30"/>
      <c r="AM690" s="30"/>
      <c r="AN690" s="30"/>
    </row>
    <row r="691">
      <c r="A691" s="138"/>
      <c r="B691" s="142"/>
      <c r="C691" s="303"/>
      <c r="D691" s="138"/>
      <c r="E691" s="142"/>
      <c r="F691" s="303"/>
      <c r="G691" s="138"/>
      <c r="H691" s="142"/>
      <c r="I691" s="303"/>
      <c r="J691" s="138"/>
      <c r="K691" s="142"/>
      <c r="L691" s="303"/>
      <c r="M691" s="138"/>
      <c r="N691" s="142"/>
      <c r="O691" s="303"/>
      <c r="P691" s="138"/>
      <c r="Q691" s="142"/>
      <c r="R691" s="303"/>
      <c r="S691" s="138"/>
      <c r="T691" s="142"/>
      <c r="U691" s="303"/>
      <c r="V691" s="138"/>
      <c r="W691" s="142"/>
      <c r="X691" s="303"/>
      <c r="Y691" s="30"/>
      <c r="Z691" s="30"/>
      <c r="AA691" s="30"/>
      <c r="AB691" s="30"/>
      <c r="AC691" s="30"/>
      <c r="AD691" s="30"/>
      <c r="AE691" s="30"/>
      <c r="AF691" s="30"/>
      <c r="AG691" s="30"/>
      <c r="AH691" s="30"/>
      <c r="AI691" s="30"/>
      <c r="AJ691" s="30"/>
      <c r="AK691" s="30"/>
      <c r="AL691" s="30"/>
      <c r="AM691" s="30"/>
      <c r="AN691" s="30"/>
    </row>
    <row r="692">
      <c r="A692" s="138"/>
      <c r="B692" s="142"/>
      <c r="C692" s="303"/>
      <c r="D692" s="138"/>
      <c r="E692" s="142"/>
      <c r="F692" s="303"/>
      <c r="G692" s="138"/>
      <c r="H692" s="142"/>
      <c r="I692" s="303"/>
      <c r="J692" s="138"/>
      <c r="K692" s="142"/>
      <c r="L692" s="303"/>
      <c r="M692" s="138"/>
      <c r="N692" s="142"/>
      <c r="O692" s="303"/>
      <c r="P692" s="138"/>
      <c r="Q692" s="142"/>
      <c r="R692" s="303"/>
      <c r="S692" s="138"/>
      <c r="T692" s="142"/>
      <c r="U692" s="303"/>
      <c r="V692" s="138"/>
      <c r="W692" s="142"/>
      <c r="X692" s="303"/>
      <c r="Y692" s="30"/>
      <c r="Z692" s="30"/>
      <c r="AA692" s="30"/>
      <c r="AB692" s="30"/>
      <c r="AC692" s="30"/>
      <c r="AD692" s="30"/>
      <c r="AE692" s="30"/>
      <c r="AF692" s="30"/>
      <c r="AG692" s="30"/>
      <c r="AH692" s="30"/>
      <c r="AI692" s="30"/>
      <c r="AJ692" s="30"/>
      <c r="AK692" s="30"/>
      <c r="AL692" s="30"/>
      <c r="AM692" s="30"/>
      <c r="AN692" s="30"/>
    </row>
    <row r="693">
      <c r="A693" s="138"/>
      <c r="B693" s="142"/>
      <c r="C693" s="303"/>
      <c r="D693" s="138"/>
      <c r="E693" s="142"/>
      <c r="F693" s="303"/>
      <c r="G693" s="138"/>
      <c r="H693" s="142"/>
      <c r="I693" s="303"/>
      <c r="J693" s="138"/>
      <c r="K693" s="142"/>
      <c r="L693" s="303"/>
      <c r="M693" s="138"/>
      <c r="N693" s="142"/>
      <c r="O693" s="303"/>
      <c r="P693" s="138"/>
      <c r="Q693" s="142"/>
      <c r="R693" s="303"/>
      <c r="S693" s="138"/>
      <c r="T693" s="142"/>
      <c r="U693" s="303"/>
      <c r="V693" s="138"/>
      <c r="W693" s="142"/>
      <c r="X693" s="303"/>
      <c r="Y693" s="30"/>
      <c r="Z693" s="30"/>
      <c r="AA693" s="30"/>
      <c r="AB693" s="30"/>
      <c r="AC693" s="30"/>
      <c r="AD693" s="30"/>
      <c r="AE693" s="30"/>
      <c r="AF693" s="30"/>
      <c r="AG693" s="30"/>
      <c r="AH693" s="30"/>
      <c r="AI693" s="30"/>
      <c r="AJ693" s="30"/>
      <c r="AK693" s="30"/>
      <c r="AL693" s="30"/>
      <c r="AM693" s="30"/>
      <c r="AN693" s="30"/>
    </row>
    <row r="694">
      <c r="A694" s="138"/>
      <c r="B694" s="142"/>
      <c r="C694" s="303"/>
      <c r="D694" s="138"/>
      <c r="E694" s="142"/>
      <c r="F694" s="303"/>
      <c r="G694" s="138"/>
      <c r="H694" s="142"/>
      <c r="I694" s="303"/>
      <c r="J694" s="138"/>
      <c r="K694" s="142"/>
      <c r="L694" s="303"/>
      <c r="M694" s="138"/>
      <c r="N694" s="142"/>
      <c r="O694" s="303"/>
      <c r="P694" s="138"/>
      <c r="Q694" s="142"/>
      <c r="R694" s="303"/>
      <c r="S694" s="138"/>
      <c r="T694" s="142"/>
      <c r="U694" s="303"/>
      <c r="V694" s="138"/>
      <c r="W694" s="142"/>
      <c r="X694" s="303"/>
      <c r="Y694" s="30"/>
      <c r="Z694" s="30"/>
      <c r="AA694" s="30"/>
      <c r="AB694" s="30"/>
      <c r="AC694" s="30"/>
      <c r="AD694" s="30"/>
      <c r="AE694" s="30"/>
      <c r="AF694" s="30"/>
      <c r="AG694" s="30"/>
      <c r="AH694" s="30"/>
      <c r="AI694" s="30"/>
      <c r="AJ694" s="30"/>
      <c r="AK694" s="30"/>
      <c r="AL694" s="30"/>
      <c r="AM694" s="30"/>
      <c r="AN694" s="30"/>
    </row>
    <row r="695">
      <c r="A695" s="138"/>
      <c r="B695" s="142"/>
      <c r="C695" s="303"/>
      <c r="D695" s="138"/>
      <c r="E695" s="142"/>
      <c r="F695" s="303"/>
      <c r="G695" s="138"/>
      <c r="H695" s="142"/>
      <c r="I695" s="303"/>
      <c r="J695" s="138"/>
      <c r="K695" s="142"/>
      <c r="L695" s="303"/>
      <c r="M695" s="138"/>
      <c r="N695" s="142"/>
      <c r="O695" s="303"/>
      <c r="P695" s="138"/>
      <c r="Q695" s="142"/>
      <c r="R695" s="303"/>
      <c r="S695" s="138"/>
      <c r="T695" s="142"/>
      <c r="U695" s="303"/>
      <c r="V695" s="138"/>
      <c r="W695" s="142"/>
      <c r="X695" s="303"/>
      <c r="Y695" s="30"/>
      <c r="Z695" s="30"/>
      <c r="AA695" s="30"/>
      <c r="AB695" s="30"/>
      <c r="AC695" s="30"/>
      <c r="AD695" s="30"/>
      <c r="AE695" s="30"/>
      <c r="AF695" s="30"/>
      <c r="AG695" s="30"/>
      <c r="AH695" s="30"/>
      <c r="AI695" s="30"/>
      <c r="AJ695" s="30"/>
      <c r="AK695" s="30"/>
      <c r="AL695" s="30"/>
      <c r="AM695" s="30"/>
      <c r="AN695" s="30"/>
    </row>
    <row r="696">
      <c r="A696" s="138"/>
      <c r="B696" s="142"/>
      <c r="C696" s="303"/>
      <c r="D696" s="138"/>
      <c r="E696" s="142"/>
      <c r="F696" s="303"/>
      <c r="G696" s="138"/>
      <c r="H696" s="142"/>
      <c r="I696" s="303"/>
      <c r="J696" s="138"/>
      <c r="K696" s="142"/>
      <c r="L696" s="303"/>
      <c r="M696" s="138"/>
      <c r="N696" s="142"/>
      <c r="O696" s="303"/>
      <c r="P696" s="138"/>
      <c r="Q696" s="142"/>
      <c r="R696" s="303"/>
      <c r="S696" s="138"/>
      <c r="T696" s="142"/>
      <c r="U696" s="303"/>
      <c r="V696" s="138"/>
      <c r="W696" s="142"/>
      <c r="X696" s="303"/>
      <c r="Y696" s="30"/>
      <c r="Z696" s="30"/>
      <c r="AA696" s="30"/>
      <c r="AB696" s="30"/>
      <c r="AC696" s="30"/>
      <c r="AD696" s="30"/>
      <c r="AE696" s="30"/>
      <c r="AF696" s="30"/>
      <c r="AG696" s="30"/>
      <c r="AH696" s="30"/>
      <c r="AI696" s="30"/>
      <c r="AJ696" s="30"/>
      <c r="AK696" s="30"/>
      <c r="AL696" s="30"/>
      <c r="AM696" s="30"/>
      <c r="AN696" s="30"/>
    </row>
    <row r="697">
      <c r="A697" s="138"/>
      <c r="B697" s="142"/>
      <c r="C697" s="303"/>
      <c r="D697" s="138"/>
      <c r="E697" s="142"/>
      <c r="F697" s="303"/>
      <c r="G697" s="138"/>
      <c r="H697" s="142"/>
      <c r="I697" s="303"/>
      <c r="J697" s="138"/>
      <c r="K697" s="142"/>
      <c r="L697" s="303"/>
      <c r="M697" s="138"/>
      <c r="N697" s="142"/>
      <c r="O697" s="303"/>
      <c r="P697" s="138"/>
      <c r="Q697" s="142"/>
      <c r="R697" s="303"/>
      <c r="S697" s="138"/>
      <c r="T697" s="142"/>
      <c r="U697" s="303"/>
      <c r="V697" s="138"/>
      <c r="W697" s="142"/>
      <c r="X697" s="303"/>
      <c r="Y697" s="30"/>
      <c r="Z697" s="30"/>
      <c r="AA697" s="30"/>
      <c r="AB697" s="30"/>
      <c r="AC697" s="30"/>
      <c r="AD697" s="30"/>
      <c r="AE697" s="30"/>
      <c r="AF697" s="30"/>
      <c r="AG697" s="30"/>
      <c r="AH697" s="30"/>
      <c r="AI697" s="30"/>
      <c r="AJ697" s="30"/>
      <c r="AK697" s="30"/>
      <c r="AL697" s="30"/>
      <c r="AM697" s="30"/>
      <c r="AN697" s="30"/>
    </row>
    <row r="698">
      <c r="A698" s="138"/>
      <c r="B698" s="142"/>
      <c r="C698" s="303"/>
      <c r="D698" s="138"/>
      <c r="E698" s="142"/>
      <c r="F698" s="303"/>
      <c r="G698" s="138"/>
      <c r="H698" s="142"/>
      <c r="I698" s="303"/>
      <c r="J698" s="138"/>
      <c r="K698" s="142"/>
      <c r="L698" s="303"/>
      <c r="M698" s="138"/>
      <c r="N698" s="142"/>
      <c r="O698" s="303"/>
      <c r="P698" s="138"/>
      <c r="Q698" s="142"/>
      <c r="R698" s="303"/>
      <c r="S698" s="138"/>
      <c r="T698" s="142"/>
      <c r="U698" s="303"/>
      <c r="V698" s="138"/>
      <c r="W698" s="142"/>
      <c r="X698" s="303"/>
      <c r="Y698" s="30"/>
      <c r="Z698" s="30"/>
      <c r="AA698" s="30"/>
      <c r="AB698" s="30"/>
      <c r="AC698" s="30"/>
      <c r="AD698" s="30"/>
      <c r="AE698" s="30"/>
      <c r="AF698" s="30"/>
      <c r="AG698" s="30"/>
      <c r="AH698" s="30"/>
      <c r="AI698" s="30"/>
      <c r="AJ698" s="30"/>
      <c r="AK698" s="30"/>
      <c r="AL698" s="30"/>
      <c r="AM698" s="30"/>
      <c r="AN698" s="30"/>
    </row>
    <row r="699">
      <c r="A699" s="138"/>
      <c r="B699" s="142"/>
      <c r="C699" s="303"/>
      <c r="D699" s="138"/>
      <c r="E699" s="142"/>
      <c r="F699" s="303"/>
      <c r="G699" s="138"/>
      <c r="H699" s="142"/>
      <c r="I699" s="303"/>
      <c r="J699" s="138"/>
      <c r="K699" s="142"/>
      <c r="L699" s="303"/>
      <c r="M699" s="138"/>
      <c r="N699" s="142"/>
      <c r="O699" s="303"/>
      <c r="P699" s="138"/>
      <c r="Q699" s="142"/>
      <c r="R699" s="303"/>
      <c r="S699" s="138"/>
      <c r="T699" s="142"/>
      <c r="U699" s="303"/>
      <c r="V699" s="138"/>
      <c r="W699" s="142"/>
      <c r="X699" s="303"/>
      <c r="Y699" s="30"/>
      <c r="Z699" s="30"/>
      <c r="AA699" s="30"/>
      <c r="AB699" s="30"/>
      <c r="AC699" s="30"/>
      <c r="AD699" s="30"/>
      <c r="AE699" s="30"/>
      <c r="AF699" s="30"/>
      <c r="AG699" s="30"/>
      <c r="AH699" s="30"/>
      <c r="AI699" s="30"/>
      <c r="AJ699" s="30"/>
      <c r="AK699" s="30"/>
      <c r="AL699" s="30"/>
      <c r="AM699" s="30"/>
      <c r="AN699" s="30"/>
    </row>
    <row r="700">
      <c r="A700" s="138"/>
      <c r="B700" s="142"/>
      <c r="C700" s="303"/>
      <c r="D700" s="138"/>
      <c r="E700" s="142"/>
      <c r="F700" s="303"/>
      <c r="G700" s="138"/>
      <c r="H700" s="142"/>
      <c r="I700" s="303"/>
      <c r="J700" s="138"/>
      <c r="K700" s="142"/>
      <c r="L700" s="303"/>
      <c r="M700" s="138"/>
      <c r="N700" s="142"/>
      <c r="O700" s="303"/>
      <c r="P700" s="138"/>
      <c r="Q700" s="142"/>
      <c r="R700" s="303"/>
      <c r="S700" s="138"/>
      <c r="T700" s="142"/>
      <c r="U700" s="303"/>
      <c r="V700" s="138"/>
      <c r="W700" s="142"/>
      <c r="X700" s="303"/>
      <c r="Y700" s="30"/>
      <c r="Z700" s="30"/>
      <c r="AA700" s="30"/>
      <c r="AB700" s="30"/>
      <c r="AC700" s="30"/>
      <c r="AD700" s="30"/>
      <c r="AE700" s="30"/>
      <c r="AF700" s="30"/>
      <c r="AG700" s="30"/>
      <c r="AH700" s="30"/>
      <c r="AI700" s="30"/>
      <c r="AJ700" s="30"/>
      <c r="AK700" s="30"/>
      <c r="AL700" s="30"/>
      <c r="AM700" s="30"/>
      <c r="AN700" s="30"/>
    </row>
    <row r="701">
      <c r="A701" s="138"/>
      <c r="B701" s="142"/>
      <c r="C701" s="303"/>
      <c r="D701" s="138"/>
      <c r="E701" s="142"/>
      <c r="F701" s="303"/>
      <c r="G701" s="138"/>
      <c r="H701" s="142"/>
      <c r="I701" s="303"/>
      <c r="J701" s="138"/>
      <c r="K701" s="142"/>
      <c r="L701" s="303"/>
      <c r="M701" s="138"/>
      <c r="N701" s="142"/>
      <c r="O701" s="303"/>
      <c r="P701" s="138"/>
      <c r="Q701" s="142"/>
      <c r="R701" s="303"/>
      <c r="S701" s="138"/>
      <c r="T701" s="142"/>
      <c r="U701" s="303"/>
      <c r="V701" s="138"/>
      <c r="W701" s="142"/>
      <c r="X701" s="303"/>
      <c r="Y701" s="30"/>
      <c r="Z701" s="30"/>
      <c r="AA701" s="30"/>
      <c r="AB701" s="30"/>
      <c r="AC701" s="30"/>
      <c r="AD701" s="30"/>
      <c r="AE701" s="30"/>
      <c r="AF701" s="30"/>
      <c r="AG701" s="30"/>
      <c r="AH701" s="30"/>
      <c r="AI701" s="30"/>
      <c r="AJ701" s="30"/>
      <c r="AK701" s="30"/>
      <c r="AL701" s="30"/>
      <c r="AM701" s="30"/>
      <c r="AN701" s="30"/>
    </row>
    <row r="702">
      <c r="A702" s="138"/>
      <c r="B702" s="142"/>
      <c r="C702" s="303"/>
      <c r="D702" s="138"/>
      <c r="E702" s="142"/>
      <c r="F702" s="303"/>
      <c r="G702" s="138"/>
      <c r="H702" s="142"/>
      <c r="I702" s="303"/>
      <c r="J702" s="138"/>
      <c r="K702" s="142"/>
      <c r="L702" s="303"/>
      <c r="M702" s="138"/>
      <c r="N702" s="142"/>
      <c r="O702" s="303"/>
      <c r="P702" s="138"/>
      <c r="Q702" s="142"/>
      <c r="R702" s="303"/>
      <c r="S702" s="138"/>
      <c r="T702" s="142"/>
      <c r="U702" s="303"/>
      <c r="V702" s="138"/>
      <c r="W702" s="142"/>
      <c r="X702" s="303"/>
      <c r="Y702" s="30"/>
      <c r="Z702" s="30"/>
      <c r="AA702" s="30"/>
      <c r="AB702" s="30"/>
      <c r="AC702" s="30"/>
      <c r="AD702" s="30"/>
      <c r="AE702" s="30"/>
      <c r="AF702" s="30"/>
      <c r="AG702" s="30"/>
      <c r="AH702" s="30"/>
      <c r="AI702" s="30"/>
      <c r="AJ702" s="30"/>
      <c r="AK702" s="30"/>
      <c r="AL702" s="30"/>
      <c r="AM702" s="30"/>
      <c r="AN702" s="30"/>
    </row>
    <row r="703">
      <c r="A703" s="138"/>
      <c r="B703" s="142"/>
      <c r="C703" s="303"/>
      <c r="D703" s="138"/>
      <c r="E703" s="142"/>
      <c r="F703" s="303"/>
      <c r="G703" s="138"/>
      <c r="H703" s="142"/>
      <c r="I703" s="303"/>
      <c r="J703" s="138"/>
      <c r="K703" s="142"/>
      <c r="L703" s="303"/>
      <c r="M703" s="138"/>
      <c r="N703" s="142"/>
      <c r="O703" s="303"/>
      <c r="P703" s="138"/>
      <c r="Q703" s="142"/>
      <c r="R703" s="303"/>
      <c r="S703" s="138"/>
      <c r="T703" s="142"/>
      <c r="U703" s="303"/>
      <c r="V703" s="138"/>
      <c r="W703" s="142"/>
      <c r="X703" s="303"/>
      <c r="Y703" s="30"/>
      <c r="Z703" s="30"/>
      <c r="AA703" s="30"/>
      <c r="AB703" s="30"/>
      <c r="AC703" s="30"/>
      <c r="AD703" s="30"/>
      <c r="AE703" s="30"/>
      <c r="AF703" s="30"/>
      <c r="AG703" s="30"/>
      <c r="AH703" s="30"/>
      <c r="AI703" s="30"/>
      <c r="AJ703" s="30"/>
      <c r="AK703" s="30"/>
      <c r="AL703" s="30"/>
      <c r="AM703" s="30"/>
      <c r="AN703" s="30"/>
    </row>
    <row r="704">
      <c r="A704" s="138"/>
      <c r="B704" s="142"/>
      <c r="C704" s="303"/>
      <c r="D704" s="138"/>
      <c r="E704" s="142"/>
      <c r="F704" s="303"/>
      <c r="G704" s="138"/>
      <c r="H704" s="142"/>
      <c r="I704" s="303"/>
      <c r="J704" s="138"/>
      <c r="K704" s="142"/>
      <c r="L704" s="303"/>
      <c r="M704" s="138"/>
      <c r="N704" s="142"/>
      <c r="O704" s="303"/>
      <c r="P704" s="138"/>
      <c r="Q704" s="142"/>
      <c r="R704" s="303"/>
      <c r="S704" s="138"/>
      <c r="T704" s="142"/>
      <c r="U704" s="303"/>
      <c r="V704" s="138"/>
      <c r="W704" s="142"/>
      <c r="X704" s="303"/>
      <c r="Y704" s="30"/>
      <c r="Z704" s="30"/>
      <c r="AA704" s="30"/>
      <c r="AB704" s="30"/>
      <c r="AC704" s="30"/>
      <c r="AD704" s="30"/>
      <c r="AE704" s="30"/>
      <c r="AF704" s="30"/>
      <c r="AG704" s="30"/>
      <c r="AH704" s="30"/>
      <c r="AI704" s="30"/>
      <c r="AJ704" s="30"/>
      <c r="AK704" s="30"/>
      <c r="AL704" s="30"/>
      <c r="AM704" s="30"/>
      <c r="AN704" s="30"/>
    </row>
    <row r="705">
      <c r="A705" s="138"/>
      <c r="B705" s="142"/>
      <c r="C705" s="303"/>
      <c r="D705" s="138"/>
      <c r="E705" s="142"/>
      <c r="F705" s="303"/>
      <c r="G705" s="138"/>
      <c r="H705" s="142"/>
      <c r="I705" s="303"/>
      <c r="J705" s="138"/>
      <c r="K705" s="142"/>
      <c r="L705" s="303"/>
      <c r="M705" s="138"/>
      <c r="N705" s="142"/>
      <c r="O705" s="303"/>
      <c r="P705" s="138"/>
      <c r="Q705" s="142"/>
      <c r="R705" s="303"/>
      <c r="S705" s="138"/>
      <c r="T705" s="142"/>
      <c r="U705" s="303"/>
      <c r="V705" s="138"/>
      <c r="W705" s="142"/>
      <c r="X705" s="303"/>
      <c r="Y705" s="30"/>
      <c r="Z705" s="30"/>
      <c r="AA705" s="30"/>
      <c r="AB705" s="30"/>
      <c r="AC705" s="30"/>
      <c r="AD705" s="30"/>
      <c r="AE705" s="30"/>
      <c r="AF705" s="30"/>
      <c r="AG705" s="30"/>
      <c r="AH705" s="30"/>
      <c r="AI705" s="30"/>
      <c r="AJ705" s="30"/>
      <c r="AK705" s="30"/>
      <c r="AL705" s="30"/>
      <c r="AM705" s="30"/>
      <c r="AN705" s="30"/>
    </row>
    <row r="706">
      <c r="A706" s="138"/>
      <c r="B706" s="142"/>
      <c r="C706" s="303"/>
      <c r="D706" s="138"/>
      <c r="E706" s="142"/>
      <c r="F706" s="303"/>
      <c r="G706" s="138"/>
      <c r="H706" s="142"/>
      <c r="I706" s="303"/>
      <c r="J706" s="138"/>
      <c r="K706" s="142"/>
      <c r="L706" s="303"/>
      <c r="M706" s="138"/>
      <c r="N706" s="142"/>
      <c r="O706" s="303"/>
      <c r="P706" s="138"/>
      <c r="Q706" s="142"/>
      <c r="R706" s="303"/>
      <c r="S706" s="138"/>
      <c r="T706" s="142"/>
      <c r="U706" s="303"/>
      <c r="V706" s="138"/>
      <c r="W706" s="142"/>
      <c r="X706" s="303"/>
      <c r="Y706" s="30"/>
      <c r="Z706" s="30"/>
      <c r="AA706" s="30"/>
      <c r="AB706" s="30"/>
      <c r="AC706" s="30"/>
      <c r="AD706" s="30"/>
      <c r="AE706" s="30"/>
      <c r="AF706" s="30"/>
      <c r="AG706" s="30"/>
      <c r="AH706" s="30"/>
      <c r="AI706" s="30"/>
      <c r="AJ706" s="30"/>
      <c r="AK706" s="30"/>
      <c r="AL706" s="30"/>
      <c r="AM706" s="30"/>
      <c r="AN706" s="30"/>
    </row>
    <row r="707">
      <c r="A707" s="138"/>
      <c r="B707" s="142"/>
      <c r="C707" s="303"/>
      <c r="D707" s="138"/>
      <c r="E707" s="142"/>
      <c r="F707" s="303"/>
      <c r="G707" s="138"/>
      <c r="H707" s="142"/>
      <c r="I707" s="303"/>
      <c r="J707" s="138"/>
      <c r="K707" s="142"/>
      <c r="L707" s="303"/>
      <c r="M707" s="138"/>
      <c r="N707" s="142"/>
      <c r="O707" s="303"/>
      <c r="P707" s="138"/>
      <c r="Q707" s="142"/>
      <c r="R707" s="303"/>
      <c r="S707" s="138"/>
      <c r="T707" s="142"/>
      <c r="U707" s="303"/>
      <c r="V707" s="138"/>
      <c r="W707" s="142"/>
      <c r="X707" s="303"/>
      <c r="Y707" s="30"/>
      <c r="Z707" s="30"/>
      <c r="AA707" s="30"/>
      <c r="AB707" s="30"/>
      <c r="AC707" s="30"/>
      <c r="AD707" s="30"/>
      <c r="AE707" s="30"/>
      <c r="AF707" s="30"/>
      <c r="AG707" s="30"/>
      <c r="AH707" s="30"/>
      <c r="AI707" s="30"/>
      <c r="AJ707" s="30"/>
      <c r="AK707" s="30"/>
      <c r="AL707" s="30"/>
      <c r="AM707" s="30"/>
      <c r="AN707" s="30"/>
    </row>
    <row r="708">
      <c r="A708" s="138"/>
      <c r="B708" s="142"/>
      <c r="C708" s="303"/>
      <c r="D708" s="138"/>
      <c r="E708" s="142"/>
      <c r="F708" s="303"/>
      <c r="G708" s="138"/>
      <c r="H708" s="142"/>
      <c r="I708" s="303"/>
      <c r="J708" s="138"/>
      <c r="K708" s="142"/>
      <c r="L708" s="303"/>
      <c r="M708" s="138"/>
      <c r="N708" s="142"/>
      <c r="O708" s="303"/>
      <c r="P708" s="138"/>
      <c r="Q708" s="142"/>
      <c r="R708" s="303"/>
      <c r="S708" s="138"/>
      <c r="T708" s="142"/>
      <c r="U708" s="303"/>
      <c r="V708" s="138"/>
      <c r="W708" s="142"/>
      <c r="X708" s="303"/>
      <c r="Y708" s="30"/>
      <c r="Z708" s="30"/>
      <c r="AA708" s="30"/>
      <c r="AB708" s="30"/>
      <c r="AC708" s="30"/>
      <c r="AD708" s="30"/>
      <c r="AE708" s="30"/>
      <c r="AF708" s="30"/>
      <c r="AG708" s="30"/>
      <c r="AH708" s="30"/>
      <c r="AI708" s="30"/>
      <c r="AJ708" s="30"/>
      <c r="AK708" s="30"/>
      <c r="AL708" s="30"/>
      <c r="AM708" s="30"/>
      <c r="AN708" s="30"/>
    </row>
    <row r="709">
      <c r="A709" s="138"/>
      <c r="B709" s="142"/>
      <c r="C709" s="303"/>
      <c r="D709" s="138"/>
      <c r="E709" s="142"/>
      <c r="F709" s="303"/>
      <c r="G709" s="138"/>
      <c r="H709" s="142"/>
      <c r="I709" s="303"/>
      <c r="J709" s="138"/>
      <c r="K709" s="142"/>
      <c r="L709" s="303"/>
      <c r="M709" s="138"/>
      <c r="N709" s="142"/>
      <c r="O709" s="303"/>
      <c r="P709" s="138"/>
      <c r="Q709" s="142"/>
      <c r="R709" s="303"/>
      <c r="S709" s="138"/>
      <c r="T709" s="142"/>
      <c r="U709" s="303"/>
      <c r="V709" s="138"/>
      <c r="W709" s="142"/>
      <c r="X709" s="303"/>
      <c r="Y709" s="30"/>
      <c r="Z709" s="30"/>
      <c r="AA709" s="30"/>
      <c r="AB709" s="30"/>
      <c r="AC709" s="30"/>
      <c r="AD709" s="30"/>
      <c r="AE709" s="30"/>
      <c r="AF709" s="30"/>
      <c r="AG709" s="30"/>
      <c r="AH709" s="30"/>
      <c r="AI709" s="30"/>
      <c r="AJ709" s="30"/>
      <c r="AK709" s="30"/>
      <c r="AL709" s="30"/>
      <c r="AM709" s="30"/>
      <c r="AN709" s="30"/>
    </row>
    <row r="710">
      <c r="A710" s="138"/>
      <c r="B710" s="142"/>
      <c r="C710" s="303"/>
      <c r="D710" s="138"/>
      <c r="E710" s="142"/>
      <c r="F710" s="303"/>
      <c r="G710" s="138"/>
      <c r="H710" s="142"/>
      <c r="I710" s="303"/>
      <c r="J710" s="138"/>
      <c r="K710" s="142"/>
      <c r="L710" s="303"/>
      <c r="M710" s="138"/>
      <c r="N710" s="142"/>
      <c r="O710" s="303"/>
      <c r="P710" s="138"/>
      <c r="Q710" s="142"/>
      <c r="R710" s="303"/>
      <c r="S710" s="138"/>
      <c r="T710" s="142"/>
      <c r="U710" s="303"/>
      <c r="V710" s="138"/>
      <c r="W710" s="142"/>
      <c r="X710" s="303"/>
      <c r="Y710" s="30"/>
      <c r="Z710" s="30"/>
      <c r="AA710" s="30"/>
      <c r="AB710" s="30"/>
      <c r="AC710" s="30"/>
      <c r="AD710" s="30"/>
      <c r="AE710" s="30"/>
      <c r="AF710" s="30"/>
      <c r="AG710" s="30"/>
      <c r="AH710" s="30"/>
      <c r="AI710" s="30"/>
      <c r="AJ710" s="30"/>
      <c r="AK710" s="30"/>
      <c r="AL710" s="30"/>
      <c r="AM710" s="30"/>
      <c r="AN710" s="30"/>
    </row>
    <row r="711">
      <c r="A711" s="138"/>
      <c r="B711" s="142"/>
      <c r="C711" s="303"/>
      <c r="D711" s="138"/>
      <c r="E711" s="142"/>
      <c r="F711" s="303"/>
      <c r="G711" s="138"/>
      <c r="H711" s="142"/>
      <c r="I711" s="303"/>
      <c r="J711" s="138"/>
      <c r="K711" s="142"/>
      <c r="L711" s="303"/>
      <c r="M711" s="138"/>
      <c r="N711" s="142"/>
      <c r="O711" s="303"/>
      <c r="P711" s="138"/>
      <c r="Q711" s="142"/>
      <c r="R711" s="303"/>
      <c r="S711" s="138"/>
      <c r="T711" s="142"/>
      <c r="U711" s="303"/>
      <c r="V711" s="138"/>
      <c r="W711" s="142"/>
      <c r="X711" s="303"/>
      <c r="Y711" s="30"/>
      <c r="Z711" s="30"/>
      <c r="AA711" s="30"/>
      <c r="AB711" s="30"/>
      <c r="AC711" s="30"/>
      <c r="AD711" s="30"/>
      <c r="AE711" s="30"/>
      <c r="AF711" s="30"/>
      <c r="AG711" s="30"/>
      <c r="AH711" s="30"/>
      <c r="AI711" s="30"/>
      <c r="AJ711" s="30"/>
      <c r="AK711" s="30"/>
      <c r="AL711" s="30"/>
      <c r="AM711" s="30"/>
      <c r="AN711" s="30"/>
    </row>
    <row r="712">
      <c r="A712" s="138"/>
      <c r="B712" s="142"/>
      <c r="C712" s="303"/>
      <c r="D712" s="138"/>
      <c r="E712" s="142"/>
      <c r="F712" s="303"/>
      <c r="G712" s="138"/>
      <c r="H712" s="142"/>
      <c r="I712" s="303"/>
      <c r="J712" s="138"/>
      <c r="K712" s="142"/>
      <c r="L712" s="303"/>
      <c r="M712" s="138"/>
      <c r="N712" s="142"/>
      <c r="O712" s="303"/>
      <c r="P712" s="138"/>
      <c r="Q712" s="142"/>
      <c r="R712" s="303"/>
      <c r="S712" s="138"/>
      <c r="T712" s="142"/>
      <c r="U712" s="303"/>
      <c r="V712" s="138"/>
      <c r="W712" s="142"/>
      <c r="X712" s="303"/>
      <c r="Y712" s="30"/>
      <c r="Z712" s="30"/>
      <c r="AA712" s="30"/>
      <c r="AB712" s="30"/>
      <c r="AC712" s="30"/>
      <c r="AD712" s="30"/>
      <c r="AE712" s="30"/>
      <c r="AF712" s="30"/>
      <c r="AG712" s="30"/>
      <c r="AH712" s="30"/>
      <c r="AI712" s="30"/>
      <c r="AJ712" s="30"/>
      <c r="AK712" s="30"/>
      <c r="AL712" s="30"/>
      <c r="AM712" s="30"/>
      <c r="AN712" s="30"/>
    </row>
    <row r="713">
      <c r="A713" s="138"/>
      <c r="B713" s="142"/>
      <c r="C713" s="303"/>
      <c r="D713" s="138"/>
      <c r="E713" s="142"/>
      <c r="F713" s="303"/>
      <c r="G713" s="138"/>
      <c r="H713" s="142"/>
      <c r="I713" s="303"/>
      <c r="J713" s="138"/>
      <c r="K713" s="142"/>
      <c r="L713" s="303"/>
      <c r="M713" s="138"/>
      <c r="N713" s="142"/>
      <c r="O713" s="303"/>
      <c r="P713" s="138"/>
      <c r="Q713" s="142"/>
      <c r="R713" s="303"/>
      <c r="S713" s="138"/>
      <c r="T713" s="142"/>
      <c r="U713" s="303"/>
      <c r="V713" s="138"/>
      <c r="W713" s="142"/>
      <c r="X713" s="303"/>
      <c r="Y713" s="30"/>
      <c r="Z713" s="30"/>
      <c r="AA713" s="30"/>
      <c r="AB713" s="30"/>
      <c r="AC713" s="30"/>
      <c r="AD713" s="30"/>
      <c r="AE713" s="30"/>
      <c r="AF713" s="30"/>
      <c r="AG713" s="30"/>
      <c r="AH713" s="30"/>
      <c r="AI713" s="30"/>
      <c r="AJ713" s="30"/>
      <c r="AK713" s="30"/>
      <c r="AL713" s="30"/>
      <c r="AM713" s="30"/>
      <c r="AN713" s="30"/>
    </row>
    <row r="714">
      <c r="A714" s="138"/>
      <c r="B714" s="142"/>
      <c r="C714" s="303"/>
      <c r="D714" s="138"/>
      <c r="E714" s="142"/>
      <c r="F714" s="303"/>
      <c r="G714" s="138"/>
      <c r="H714" s="142"/>
      <c r="I714" s="303"/>
      <c r="J714" s="138"/>
      <c r="K714" s="142"/>
      <c r="L714" s="303"/>
      <c r="M714" s="138"/>
      <c r="N714" s="142"/>
      <c r="O714" s="303"/>
      <c r="P714" s="138"/>
      <c r="Q714" s="142"/>
      <c r="R714" s="303"/>
      <c r="S714" s="138"/>
      <c r="T714" s="142"/>
      <c r="U714" s="303"/>
      <c r="V714" s="138"/>
      <c r="W714" s="142"/>
      <c r="X714" s="303"/>
      <c r="Y714" s="30"/>
      <c r="Z714" s="30"/>
      <c r="AA714" s="30"/>
      <c r="AB714" s="30"/>
      <c r="AC714" s="30"/>
      <c r="AD714" s="30"/>
      <c r="AE714" s="30"/>
      <c r="AF714" s="30"/>
      <c r="AG714" s="30"/>
      <c r="AH714" s="30"/>
      <c r="AI714" s="30"/>
      <c r="AJ714" s="30"/>
      <c r="AK714" s="30"/>
      <c r="AL714" s="30"/>
      <c r="AM714" s="30"/>
      <c r="AN714" s="30"/>
    </row>
    <row r="715">
      <c r="A715" s="138"/>
      <c r="B715" s="142"/>
      <c r="C715" s="303"/>
      <c r="D715" s="138"/>
      <c r="E715" s="142"/>
      <c r="F715" s="303"/>
      <c r="G715" s="138"/>
      <c r="H715" s="142"/>
      <c r="I715" s="303"/>
      <c r="J715" s="138"/>
      <c r="K715" s="142"/>
      <c r="L715" s="303"/>
      <c r="M715" s="138"/>
      <c r="N715" s="142"/>
      <c r="O715" s="303"/>
      <c r="P715" s="138"/>
      <c r="Q715" s="142"/>
      <c r="R715" s="303"/>
      <c r="S715" s="138"/>
      <c r="T715" s="142"/>
      <c r="U715" s="303"/>
      <c r="V715" s="138"/>
      <c r="W715" s="142"/>
      <c r="X715" s="303"/>
      <c r="Y715" s="30"/>
      <c r="Z715" s="30"/>
      <c r="AA715" s="30"/>
      <c r="AB715" s="30"/>
      <c r="AC715" s="30"/>
      <c r="AD715" s="30"/>
      <c r="AE715" s="30"/>
      <c r="AF715" s="30"/>
      <c r="AG715" s="30"/>
      <c r="AH715" s="30"/>
      <c r="AI715" s="30"/>
      <c r="AJ715" s="30"/>
      <c r="AK715" s="30"/>
      <c r="AL715" s="30"/>
      <c r="AM715" s="30"/>
      <c r="AN715" s="30"/>
    </row>
    <row r="716">
      <c r="A716" s="138"/>
      <c r="B716" s="142"/>
      <c r="C716" s="303"/>
      <c r="D716" s="138"/>
      <c r="E716" s="142"/>
      <c r="F716" s="303"/>
      <c r="G716" s="138"/>
      <c r="H716" s="142"/>
      <c r="I716" s="303"/>
      <c r="J716" s="138"/>
      <c r="K716" s="142"/>
      <c r="L716" s="303"/>
      <c r="M716" s="138"/>
      <c r="N716" s="142"/>
      <c r="O716" s="303"/>
      <c r="P716" s="138"/>
      <c r="Q716" s="142"/>
      <c r="R716" s="303"/>
      <c r="S716" s="138"/>
      <c r="T716" s="142"/>
      <c r="U716" s="303"/>
      <c r="V716" s="138"/>
      <c r="W716" s="142"/>
      <c r="X716" s="303"/>
      <c r="Y716" s="30"/>
      <c r="Z716" s="30"/>
      <c r="AA716" s="30"/>
      <c r="AB716" s="30"/>
      <c r="AC716" s="30"/>
      <c r="AD716" s="30"/>
      <c r="AE716" s="30"/>
      <c r="AF716" s="30"/>
      <c r="AG716" s="30"/>
      <c r="AH716" s="30"/>
      <c r="AI716" s="30"/>
      <c r="AJ716" s="30"/>
      <c r="AK716" s="30"/>
      <c r="AL716" s="30"/>
      <c r="AM716" s="30"/>
      <c r="AN716" s="30"/>
    </row>
    <row r="717">
      <c r="A717" s="138"/>
      <c r="B717" s="142"/>
      <c r="C717" s="303"/>
      <c r="D717" s="138"/>
      <c r="E717" s="142"/>
      <c r="F717" s="303"/>
      <c r="G717" s="138"/>
      <c r="H717" s="142"/>
      <c r="I717" s="303"/>
      <c r="J717" s="138"/>
      <c r="K717" s="142"/>
      <c r="L717" s="303"/>
      <c r="M717" s="138"/>
      <c r="N717" s="142"/>
      <c r="O717" s="303"/>
      <c r="P717" s="138"/>
      <c r="Q717" s="142"/>
      <c r="R717" s="303"/>
      <c r="S717" s="138"/>
      <c r="T717" s="142"/>
      <c r="U717" s="303"/>
      <c r="V717" s="138"/>
      <c r="W717" s="142"/>
      <c r="X717" s="303"/>
      <c r="Y717" s="30"/>
      <c r="Z717" s="30"/>
      <c r="AA717" s="30"/>
      <c r="AB717" s="30"/>
      <c r="AC717" s="30"/>
      <c r="AD717" s="30"/>
      <c r="AE717" s="30"/>
      <c r="AF717" s="30"/>
      <c r="AG717" s="30"/>
      <c r="AH717" s="30"/>
      <c r="AI717" s="30"/>
      <c r="AJ717" s="30"/>
      <c r="AK717" s="30"/>
      <c r="AL717" s="30"/>
      <c r="AM717" s="30"/>
      <c r="AN717" s="30"/>
    </row>
    <row r="718">
      <c r="A718" s="138"/>
      <c r="B718" s="142"/>
      <c r="C718" s="303"/>
      <c r="D718" s="138"/>
      <c r="E718" s="142"/>
      <c r="F718" s="303"/>
      <c r="G718" s="138"/>
      <c r="H718" s="142"/>
      <c r="I718" s="303"/>
      <c r="J718" s="138"/>
      <c r="K718" s="142"/>
      <c r="L718" s="303"/>
      <c r="M718" s="138"/>
      <c r="N718" s="142"/>
      <c r="O718" s="303"/>
      <c r="P718" s="138"/>
      <c r="Q718" s="142"/>
      <c r="R718" s="303"/>
      <c r="S718" s="138"/>
      <c r="T718" s="142"/>
      <c r="U718" s="303"/>
      <c r="V718" s="138"/>
      <c r="W718" s="142"/>
      <c r="X718" s="303"/>
      <c r="Y718" s="30"/>
      <c r="Z718" s="30"/>
      <c r="AA718" s="30"/>
      <c r="AB718" s="30"/>
      <c r="AC718" s="30"/>
      <c r="AD718" s="30"/>
      <c r="AE718" s="30"/>
      <c r="AF718" s="30"/>
      <c r="AG718" s="30"/>
      <c r="AH718" s="30"/>
      <c r="AI718" s="30"/>
      <c r="AJ718" s="30"/>
      <c r="AK718" s="30"/>
      <c r="AL718" s="30"/>
      <c r="AM718" s="30"/>
      <c r="AN718" s="30"/>
    </row>
    <row r="719">
      <c r="A719" s="138"/>
      <c r="B719" s="142"/>
      <c r="C719" s="303"/>
      <c r="D719" s="138"/>
      <c r="E719" s="142"/>
      <c r="F719" s="303"/>
      <c r="G719" s="138"/>
      <c r="H719" s="142"/>
      <c r="I719" s="303"/>
      <c r="J719" s="138"/>
      <c r="K719" s="142"/>
      <c r="L719" s="303"/>
      <c r="M719" s="138"/>
      <c r="N719" s="142"/>
      <c r="O719" s="303"/>
      <c r="P719" s="138"/>
      <c r="Q719" s="142"/>
      <c r="R719" s="303"/>
      <c r="S719" s="138"/>
      <c r="T719" s="142"/>
      <c r="U719" s="303"/>
      <c r="V719" s="138"/>
      <c r="W719" s="142"/>
      <c r="X719" s="303"/>
      <c r="Y719" s="30"/>
      <c r="Z719" s="30"/>
      <c r="AA719" s="30"/>
      <c r="AB719" s="30"/>
      <c r="AC719" s="30"/>
      <c r="AD719" s="30"/>
      <c r="AE719" s="30"/>
      <c r="AF719" s="30"/>
      <c r="AG719" s="30"/>
      <c r="AH719" s="30"/>
      <c r="AI719" s="30"/>
      <c r="AJ719" s="30"/>
      <c r="AK719" s="30"/>
      <c r="AL719" s="30"/>
      <c r="AM719" s="30"/>
      <c r="AN719" s="30"/>
    </row>
    <row r="720">
      <c r="A720" s="138"/>
      <c r="B720" s="142"/>
      <c r="C720" s="303"/>
      <c r="D720" s="138"/>
      <c r="E720" s="142"/>
      <c r="F720" s="303"/>
      <c r="G720" s="138"/>
      <c r="H720" s="142"/>
      <c r="I720" s="303"/>
      <c r="J720" s="138"/>
      <c r="K720" s="142"/>
      <c r="L720" s="303"/>
      <c r="M720" s="138"/>
      <c r="N720" s="142"/>
      <c r="O720" s="303"/>
      <c r="P720" s="138"/>
      <c r="Q720" s="142"/>
      <c r="R720" s="303"/>
      <c r="S720" s="138"/>
      <c r="T720" s="142"/>
      <c r="U720" s="303"/>
      <c r="V720" s="138"/>
      <c r="W720" s="142"/>
      <c r="X720" s="303"/>
      <c r="Y720" s="30"/>
      <c r="Z720" s="30"/>
      <c r="AA720" s="30"/>
      <c r="AB720" s="30"/>
      <c r="AC720" s="30"/>
      <c r="AD720" s="30"/>
      <c r="AE720" s="30"/>
      <c r="AF720" s="30"/>
      <c r="AG720" s="30"/>
      <c r="AH720" s="30"/>
      <c r="AI720" s="30"/>
      <c r="AJ720" s="30"/>
      <c r="AK720" s="30"/>
      <c r="AL720" s="30"/>
      <c r="AM720" s="30"/>
      <c r="AN720" s="30"/>
    </row>
    <row r="721">
      <c r="A721" s="138"/>
      <c r="B721" s="142"/>
      <c r="C721" s="303"/>
      <c r="D721" s="138"/>
      <c r="E721" s="142"/>
      <c r="F721" s="303"/>
      <c r="G721" s="138"/>
      <c r="H721" s="142"/>
      <c r="I721" s="303"/>
      <c r="J721" s="138"/>
      <c r="K721" s="142"/>
      <c r="L721" s="303"/>
      <c r="M721" s="138"/>
      <c r="N721" s="142"/>
      <c r="O721" s="303"/>
      <c r="P721" s="138"/>
      <c r="Q721" s="142"/>
      <c r="R721" s="303"/>
      <c r="S721" s="138"/>
      <c r="T721" s="142"/>
      <c r="U721" s="303"/>
      <c r="V721" s="138"/>
      <c r="W721" s="142"/>
      <c r="X721" s="303"/>
      <c r="Y721" s="30"/>
      <c r="Z721" s="30"/>
      <c r="AA721" s="30"/>
      <c r="AB721" s="30"/>
      <c r="AC721" s="30"/>
      <c r="AD721" s="30"/>
      <c r="AE721" s="30"/>
      <c r="AF721" s="30"/>
      <c r="AG721" s="30"/>
      <c r="AH721" s="30"/>
      <c r="AI721" s="30"/>
      <c r="AJ721" s="30"/>
      <c r="AK721" s="30"/>
      <c r="AL721" s="30"/>
      <c r="AM721" s="30"/>
      <c r="AN721" s="30"/>
    </row>
    <row r="722">
      <c r="A722" s="138"/>
      <c r="B722" s="142"/>
      <c r="C722" s="303"/>
      <c r="D722" s="138"/>
      <c r="E722" s="142"/>
      <c r="F722" s="303"/>
      <c r="G722" s="138"/>
      <c r="H722" s="142"/>
      <c r="I722" s="303"/>
      <c r="J722" s="138"/>
      <c r="K722" s="142"/>
      <c r="L722" s="303"/>
      <c r="M722" s="138"/>
      <c r="N722" s="142"/>
      <c r="O722" s="303"/>
      <c r="P722" s="138"/>
      <c r="Q722" s="142"/>
      <c r="R722" s="303"/>
      <c r="S722" s="138"/>
      <c r="T722" s="142"/>
      <c r="U722" s="303"/>
      <c r="V722" s="138"/>
      <c r="W722" s="142"/>
      <c r="X722" s="303"/>
      <c r="Y722" s="30"/>
      <c r="Z722" s="30"/>
      <c r="AA722" s="30"/>
      <c r="AB722" s="30"/>
      <c r="AC722" s="30"/>
      <c r="AD722" s="30"/>
      <c r="AE722" s="30"/>
      <c r="AF722" s="30"/>
      <c r="AG722" s="30"/>
      <c r="AH722" s="30"/>
      <c r="AI722" s="30"/>
      <c r="AJ722" s="30"/>
      <c r="AK722" s="30"/>
      <c r="AL722" s="30"/>
      <c r="AM722" s="30"/>
      <c r="AN722" s="30"/>
    </row>
    <row r="723">
      <c r="A723" s="138"/>
      <c r="B723" s="142"/>
      <c r="C723" s="303"/>
      <c r="D723" s="138"/>
      <c r="E723" s="142"/>
      <c r="F723" s="303"/>
      <c r="G723" s="138"/>
      <c r="H723" s="142"/>
      <c r="I723" s="303"/>
      <c r="J723" s="138"/>
      <c r="K723" s="142"/>
      <c r="L723" s="303"/>
      <c r="M723" s="138"/>
      <c r="N723" s="142"/>
      <c r="O723" s="303"/>
      <c r="P723" s="138"/>
      <c r="Q723" s="142"/>
      <c r="R723" s="303"/>
      <c r="S723" s="138"/>
      <c r="T723" s="142"/>
      <c r="U723" s="303"/>
      <c r="V723" s="138"/>
      <c r="W723" s="142"/>
      <c r="X723" s="303"/>
      <c r="Y723" s="30"/>
      <c r="Z723" s="30"/>
      <c r="AA723" s="30"/>
      <c r="AB723" s="30"/>
      <c r="AC723" s="30"/>
      <c r="AD723" s="30"/>
      <c r="AE723" s="30"/>
      <c r="AF723" s="30"/>
      <c r="AG723" s="30"/>
      <c r="AH723" s="30"/>
      <c r="AI723" s="30"/>
      <c r="AJ723" s="30"/>
      <c r="AK723" s="30"/>
      <c r="AL723" s="30"/>
      <c r="AM723" s="30"/>
      <c r="AN723" s="30"/>
    </row>
    <row r="724">
      <c r="A724" s="138"/>
      <c r="B724" s="142"/>
      <c r="C724" s="303"/>
      <c r="D724" s="138"/>
      <c r="E724" s="142"/>
      <c r="F724" s="303"/>
      <c r="G724" s="138"/>
      <c r="H724" s="142"/>
      <c r="I724" s="303"/>
      <c r="J724" s="138"/>
      <c r="K724" s="142"/>
      <c r="L724" s="303"/>
      <c r="M724" s="138"/>
      <c r="N724" s="142"/>
      <c r="O724" s="303"/>
      <c r="P724" s="138"/>
      <c r="Q724" s="142"/>
      <c r="R724" s="303"/>
      <c r="S724" s="138"/>
      <c r="T724" s="142"/>
      <c r="U724" s="303"/>
      <c r="V724" s="138"/>
      <c r="W724" s="142"/>
      <c r="X724" s="303"/>
      <c r="Y724" s="30"/>
      <c r="Z724" s="30"/>
      <c r="AA724" s="30"/>
      <c r="AB724" s="30"/>
      <c r="AC724" s="30"/>
      <c r="AD724" s="30"/>
      <c r="AE724" s="30"/>
      <c r="AF724" s="30"/>
      <c r="AG724" s="30"/>
      <c r="AH724" s="30"/>
      <c r="AI724" s="30"/>
      <c r="AJ724" s="30"/>
      <c r="AK724" s="30"/>
      <c r="AL724" s="30"/>
      <c r="AM724" s="30"/>
      <c r="AN724" s="30"/>
    </row>
    <row r="725">
      <c r="A725" s="138"/>
      <c r="B725" s="142"/>
      <c r="C725" s="303"/>
      <c r="D725" s="138"/>
      <c r="E725" s="142"/>
      <c r="F725" s="303"/>
      <c r="G725" s="138"/>
      <c r="H725" s="142"/>
      <c r="I725" s="303"/>
      <c r="J725" s="138"/>
      <c r="K725" s="142"/>
      <c r="L725" s="303"/>
      <c r="M725" s="138"/>
      <c r="N725" s="142"/>
      <c r="O725" s="303"/>
      <c r="P725" s="138"/>
      <c r="Q725" s="142"/>
      <c r="R725" s="303"/>
      <c r="S725" s="138"/>
      <c r="T725" s="142"/>
      <c r="U725" s="303"/>
      <c r="V725" s="138"/>
      <c r="W725" s="142"/>
      <c r="X725" s="303"/>
      <c r="Y725" s="30"/>
      <c r="Z725" s="30"/>
      <c r="AA725" s="30"/>
      <c r="AB725" s="30"/>
      <c r="AC725" s="30"/>
      <c r="AD725" s="30"/>
      <c r="AE725" s="30"/>
      <c r="AF725" s="30"/>
      <c r="AG725" s="30"/>
      <c r="AH725" s="30"/>
      <c r="AI725" s="30"/>
      <c r="AJ725" s="30"/>
      <c r="AK725" s="30"/>
      <c r="AL725" s="30"/>
      <c r="AM725" s="30"/>
      <c r="AN725" s="30"/>
    </row>
    <row r="726">
      <c r="A726" s="138"/>
      <c r="B726" s="142"/>
      <c r="C726" s="303"/>
      <c r="D726" s="138"/>
      <c r="E726" s="142"/>
      <c r="F726" s="303"/>
      <c r="G726" s="138"/>
      <c r="H726" s="142"/>
      <c r="I726" s="303"/>
      <c r="J726" s="138"/>
      <c r="K726" s="142"/>
      <c r="L726" s="303"/>
      <c r="M726" s="138"/>
      <c r="N726" s="142"/>
      <c r="O726" s="303"/>
      <c r="P726" s="138"/>
      <c r="Q726" s="142"/>
      <c r="R726" s="303"/>
      <c r="S726" s="138"/>
      <c r="T726" s="142"/>
      <c r="U726" s="303"/>
      <c r="V726" s="138"/>
      <c r="W726" s="142"/>
      <c r="X726" s="303"/>
      <c r="Y726" s="30"/>
      <c r="Z726" s="30"/>
      <c r="AA726" s="30"/>
      <c r="AB726" s="30"/>
      <c r="AC726" s="30"/>
      <c r="AD726" s="30"/>
      <c r="AE726" s="30"/>
      <c r="AF726" s="30"/>
      <c r="AG726" s="30"/>
      <c r="AH726" s="30"/>
      <c r="AI726" s="30"/>
      <c r="AJ726" s="30"/>
      <c r="AK726" s="30"/>
      <c r="AL726" s="30"/>
      <c r="AM726" s="30"/>
      <c r="AN726" s="30"/>
    </row>
    <row r="727">
      <c r="A727" s="138"/>
      <c r="B727" s="142"/>
      <c r="C727" s="303"/>
      <c r="D727" s="138"/>
      <c r="E727" s="142"/>
      <c r="F727" s="303"/>
      <c r="G727" s="138"/>
      <c r="H727" s="142"/>
      <c r="I727" s="303"/>
      <c r="J727" s="138"/>
      <c r="K727" s="142"/>
      <c r="L727" s="303"/>
      <c r="M727" s="138"/>
      <c r="N727" s="142"/>
      <c r="O727" s="303"/>
      <c r="P727" s="138"/>
      <c r="Q727" s="142"/>
      <c r="R727" s="303"/>
      <c r="S727" s="138"/>
      <c r="T727" s="142"/>
      <c r="U727" s="303"/>
      <c r="V727" s="138"/>
      <c r="W727" s="142"/>
      <c r="X727" s="303"/>
      <c r="Y727" s="30"/>
      <c r="Z727" s="30"/>
      <c r="AA727" s="30"/>
      <c r="AB727" s="30"/>
      <c r="AC727" s="30"/>
      <c r="AD727" s="30"/>
      <c r="AE727" s="30"/>
      <c r="AF727" s="30"/>
      <c r="AG727" s="30"/>
      <c r="AH727" s="30"/>
      <c r="AI727" s="30"/>
      <c r="AJ727" s="30"/>
      <c r="AK727" s="30"/>
      <c r="AL727" s="30"/>
      <c r="AM727" s="30"/>
      <c r="AN727" s="30"/>
    </row>
    <row r="728">
      <c r="A728" s="138"/>
      <c r="B728" s="142"/>
      <c r="C728" s="303"/>
      <c r="D728" s="138"/>
      <c r="E728" s="142"/>
      <c r="F728" s="303"/>
      <c r="G728" s="138"/>
      <c r="H728" s="142"/>
      <c r="I728" s="303"/>
      <c r="J728" s="138"/>
      <c r="K728" s="142"/>
      <c r="L728" s="303"/>
      <c r="M728" s="138"/>
      <c r="N728" s="142"/>
      <c r="O728" s="303"/>
      <c r="P728" s="138"/>
      <c r="Q728" s="142"/>
      <c r="R728" s="303"/>
      <c r="S728" s="138"/>
      <c r="T728" s="142"/>
      <c r="U728" s="303"/>
      <c r="V728" s="138"/>
      <c r="W728" s="142"/>
      <c r="X728" s="303"/>
      <c r="Y728" s="30"/>
      <c r="Z728" s="30"/>
      <c r="AA728" s="30"/>
      <c r="AB728" s="30"/>
      <c r="AC728" s="30"/>
      <c r="AD728" s="30"/>
      <c r="AE728" s="30"/>
      <c r="AF728" s="30"/>
      <c r="AG728" s="30"/>
      <c r="AH728" s="30"/>
      <c r="AI728" s="30"/>
      <c r="AJ728" s="30"/>
      <c r="AK728" s="30"/>
      <c r="AL728" s="30"/>
      <c r="AM728" s="30"/>
      <c r="AN728" s="30"/>
    </row>
    <row r="729">
      <c r="A729" s="138"/>
      <c r="B729" s="142"/>
      <c r="C729" s="303"/>
      <c r="D729" s="138"/>
      <c r="E729" s="142"/>
      <c r="F729" s="303"/>
      <c r="G729" s="138"/>
      <c r="H729" s="142"/>
      <c r="I729" s="303"/>
      <c r="J729" s="138"/>
      <c r="K729" s="142"/>
      <c r="L729" s="303"/>
      <c r="M729" s="138"/>
      <c r="N729" s="142"/>
      <c r="O729" s="303"/>
      <c r="P729" s="138"/>
      <c r="Q729" s="142"/>
      <c r="R729" s="303"/>
      <c r="S729" s="138"/>
      <c r="T729" s="142"/>
      <c r="U729" s="303"/>
      <c r="V729" s="138"/>
      <c r="W729" s="142"/>
      <c r="X729" s="303"/>
      <c r="Y729" s="30"/>
      <c r="Z729" s="30"/>
      <c r="AA729" s="30"/>
      <c r="AB729" s="30"/>
      <c r="AC729" s="30"/>
      <c r="AD729" s="30"/>
      <c r="AE729" s="30"/>
      <c r="AF729" s="30"/>
      <c r="AG729" s="30"/>
      <c r="AH729" s="30"/>
      <c r="AI729" s="30"/>
      <c r="AJ729" s="30"/>
      <c r="AK729" s="30"/>
      <c r="AL729" s="30"/>
      <c r="AM729" s="30"/>
      <c r="AN729" s="30"/>
    </row>
    <row r="730">
      <c r="A730" s="138"/>
      <c r="B730" s="142"/>
      <c r="C730" s="303"/>
      <c r="D730" s="138"/>
      <c r="E730" s="142"/>
      <c r="F730" s="303"/>
      <c r="G730" s="138"/>
      <c r="H730" s="142"/>
      <c r="I730" s="303"/>
      <c r="J730" s="138"/>
      <c r="K730" s="142"/>
      <c r="L730" s="303"/>
      <c r="M730" s="138"/>
      <c r="N730" s="142"/>
      <c r="O730" s="303"/>
      <c r="P730" s="138"/>
      <c r="Q730" s="142"/>
      <c r="R730" s="303"/>
      <c r="S730" s="138"/>
      <c r="T730" s="142"/>
      <c r="U730" s="303"/>
      <c r="V730" s="138"/>
      <c r="W730" s="142"/>
      <c r="X730" s="303"/>
      <c r="Y730" s="30"/>
      <c r="Z730" s="30"/>
      <c r="AA730" s="30"/>
      <c r="AB730" s="30"/>
      <c r="AC730" s="30"/>
      <c r="AD730" s="30"/>
      <c r="AE730" s="30"/>
      <c r="AF730" s="30"/>
      <c r="AG730" s="30"/>
      <c r="AH730" s="30"/>
      <c r="AI730" s="30"/>
      <c r="AJ730" s="30"/>
      <c r="AK730" s="30"/>
      <c r="AL730" s="30"/>
      <c r="AM730" s="30"/>
      <c r="AN730" s="30"/>
    </row>
    <row r="731">
      <c r="A731" s="138"/>
      <c r="B731" s="142"/>
      <c r="C731" s="303"/>
      <c r="D731" s="138"/>
      <c r="E731" s="142"/>
      <c r="F731" s="303"/>
      <c r="G731" s="138"/>
      <c r="H731" s="142"/>
      <c r="I731" s="303"/>
      <c r="J731" s="138"/>
      <c r="K731" s="142"/>
      <c r="L731" s="303"/>
      <c r="M731" s="138"/>
      <c r="N731" s="142"/>
      <c r="O731" s="303"/>
      <c r="P731" s="138"/>
      <c r="Q731" s="142"/>
      <c r="R731" s="303"/>
      <c r="S731" s="138"/>
      <c r="T731" s="142"/>
      <c r="U731" s="303"/>
      <c r="V731" s="138"/>
      <c r="W731" s="142"/>
      <c r="X731" s="303"/>
      <c r="Y731" s="30"/>
      <c r="Z731" s="30"/>
      <c r="AA731" s="30"/>
      <c r="AB731" s="30"/>
      <c r="AC731" s="30"/>
      <c r="AD731" s="30"/>
      <c r="AE731" s="30"/>
      <c r="AF731" s="30"/>
      <c r="AG731" s="30"/>
      <c r="AH731" s="30"/>
      <c r="AI731" s="30"/>
      <c r="AJ731" s="30"/>
      <c r="AK731" s="30"/>
      <c r="AL731" s="30"/>
      <c r="AM731" s="30"/>
      <c r="AN731" s="30"/>
    </row>
    <row r="732">
      <c r="A732" s="138"/>
      <c r="B732" s="142"/>
      <c r="C732" s="303"/>
      <c r="D732" s="138"/>
      <c r="E732" s="142"/>
      <c r="F732" s="303"/>
      <c r="G732" s="138"/>
      <c r="H732" s="142"/>
      <c r="I732" s="303"/>
      <c r="J732" s="138"/>
      <c r="K732" s="142"/>
      <c r="L732" s="303"/>
      <c r="M732" s="138"/>
      <c r="N732" s="142"/>
      <c r="O732" s="303"/>
      <c r="P732" s="138"/>
      <c r="Q732" s="142"/>
      <c r="R732" s="303"/>
      <c r="S732" s="138"/>
      <c r="T732" s="142"/>
      <c r="U732" s="303"/>
      <c r="V732" s="138"/>
      <c r="W732" s="142"/>
      <c r="X732" s="303"/>
      <c r="Y732" s="30"/>
      <c r="Z732" s="30"/>
      <c r="AA732" s="30"/>
      <c r="AB732" s="30"/>
      <c r="AC732" s="30"/>
      <c r="AD732" s="30"/>
      <c r="AE732" s="30"/>
      <c r="AF732" s="30"/>
      <c r="AG732" s="30"/>
      <c r="AH732" s="30"/>
      <c r="AI732" s="30"/>
      <c r="AJ732" s="30"/>
      <c r="AK732" s="30"/>
      <c r="AL732" s="30"/>
      <c r="AM732" s="30"/>
      <c r="AN732" s="30"/>
    </row>
    <row r="733">
      <c r="A733" s="138"/>
      <c r="B733" s="142"/>
      <c r="C733" s="303"/>
      <c r="D733" s="138"/>
      <c r="E733" s="142"/>
      <c r="F733" s="303"/>
      <c r="G733" s="138"/>
      <c r="H733" s="142"/>
      <c r="I733" s="303"/>
      <c r="J733" s="138"/>
      <c r="K733" s="142"/>
      <c r="L733" s="303"/>
      <c r="M733" s="138"/>
      <c r="N733" s="142"/>
      <c r="O733" s="303"/>
      <c r="P733" s="138"/>
      <c r="Q733" s="142"/>
      <c r="R733" s="303"/>
      <c r="S733" s="138"/>
      <c r="T733" s="142"/>
      <c r="U733" s="303"/>
      <c r="V733" s="138"/>
      <c r="W733" s="142"/>
      <c r="X733" s="303"/>
      <c r="Y733" s="30"/>
      <c r="Z733" s="30"/>
      <c r="AA733" s="30"/>
      <c r="AB733" s="30"/>
      <c r="AC733" s="30"/>
      <c r="AD733" s="30"/>
      <c r="AE733" s="30"/>
      <c r="AF733" s="30"/>
      <c r="AG733" s="30"/>
      <c r="AH733" s="30"/>
      <c r="AI733" s="30"/>
      <c r="AJ733" s="30"/>
      <c r="AK733" s="30"/>
      <c r="AL733" s="30"/>
      <c r="AM733" s="30"/>
      <c r="AN733" s="30"/>
    </row>
    <row r="734">
      <c r="A734" s="138"/>
      <c r="B734" s="142"/>
      <c r="C734" s="303"/>
      <c r="D734" s="138"/>
      <c r="E734" s="142"/>
      <c r="F734" s="303"/>
      <c r="G734" s="138"/>
      <c r="H734" s="142"/>
      <c r="I734" s="303"/>
      <c r="J734" s="138"/>
      <c r="K734" s="142"/>
      <c r="L734" s="303"/>
      <c r="M734" s="138"/>
      <c r="N734" s="142"/>
      <c r="O734" s="303"/>
      <c r="P734" s="138"/>
      <c r="Q734" s="142"/>
      <c r="R734" s="303"/>
      <c r="S734" s="138"/>
      <c r="T734" s="142"/>
      <c r="U734" s="303"/>
      <c r="V734" s="138"/>
      <c r="W734" s="142"/>
      <c r="X734" s="303"/>
      <c r="Y734" s="30"/>
      <c r="Z734" s="30"/>
      <c r="AA734" s="30"/>
      <c r="AB734" s="30"/>
      <c r="AC734" s="30"/>
      <c r="AD734" s="30"/>
      <c r="AE734" s="30"/>
      <c r="AF734" s="30"/>
      <c r="AG734" s="30"/>
      <c r="AH734" s="30"/>
      <c r="AI734" s="30"/>
      <c r="AJ734" s="30"/>
      <c r="AK734" s="30"/>
      <c r="AL734" s="30"/>
      <c r="AM734" s="30"/>
      <c r="AN734" s="30"/>
    </row>
    <row r="735">
      <c r="A735" s="138"/>
      <c r="B735" s="142"/>
      <c r="C735" s="303"/>
      <c r="D735" s="138"/>
      <c r="E735" s="142"/>
      <c r="F735" s="303"/>
      <c r="G735" s="138"/>
      <c r="H735" s="142"/>
      <c r="I735" s="303"/>
      <c r="J735" s="138"/>
      <c r="K735" s="142"/>
      <c r="L735" s="303"/>
      <c r="M735" s="138"/>
      <c r="N735" s="142"/>
      <c r="O735" s="303"/>
      <c r="P735" s="138"/>
      <c r="Q735" s="142"/>
      <c r="R735" s="303"/>
      <c r="S735" s="138"/>
      <c r="T735" s="142"/>
      <c r="U735" s="303"/>
      <c r="V735" s="138"/>
      <c r="W735" s="142"/>
      <c r="X735" s="303"/>
      <c r="Y735" s="30"/>
      <c r="Z735" s="30"/>
      <c r="AA735" s="30"/>
      <c r="AB735" s="30"/>
      <c r="AC735" s="30"/>
      <c r="AD735" s="30"/>
      <c r="AE735" s="30"/>
      <c r="AF735" s="30"/>
      <c r="AG735" s="30"/>
      <c r="AH735" s="30"/>
      <c r="AI735" s="30"/>
      <c r="AJ735" s="30"/>
      <c r="AK735" s="30"/>
      <c r="AL735" s="30"/>
      <c r="AM735" s="30"/>
      <c r="AN735" s="30"/>
    </row>
    <row r="736">
      <c r="A736" s="138"/>
      <c r="B736" s="142"/>
      <c r="C736" s="303"/>
      <c r="D736" s="138"/>
      <c r="E736" s="142"/>
      <c r="F736" s="303"/>
      <c r="G736" s="138"/>
      <c r="H736" s="142"/>
      <c r="I736" s="303"/>
      <c r="J736" s="138"/>
      <c r="K736" s="142"/>
      <c r="L736" s="303"/>
      <c r="M736" s="138"/>
      <c r="N736" s="142"/>
      <c r="O736" s="303"/>
      <c r="P736" s="138"/>
      <c r="Q736" s="142"/>
      <c r="R736" s="303"/>
      <c r="S736" s="138"/>
      <c r="T736" s="142"/>
      <c r="U736" s="303"/>
      <c r="V736" s="138"/>
      <c r="W736" s="142"/>
      <c r="X736" s="303"/>
      <c r="Y736" s="30"/>
      <c r="Z736" s="30"/>
      <c r="AA736" s="30"/>
      <c r="AB736" s="30"/>
      <c r="AC736" s="30"/>
      <c r="AD736" s="30"/>
      <c r="AE736" s="30"/>
      <c r="AF736" s="30"/>
      <c r="AG736" s="30"/>
      <c r="AH736" s="30"/>
      <c r="AI736" s="30"/>
      <c r="AJ736" s="30"/>
      <c r="AK736" s="30"/>
      <c r="AL736" s="30"/>
      <c r="AM736" s="30"/>
      <c r="AN736" s="30"/>
    </row>
    <row r="737">
      <c r="A737" s="138"/>
      <c r="B737" s="142"/>
      <c r="C737" s="303"/>
      <c r="D737" s="138"/>
      <c r="E737" s="142"/>
      <c r="F737" s="303"/>
      <c r="G737" s="138"/>
      <c r="H737" s="142"/>
      <c r="I737" s="303"/>
      <c r="J737" s="138"/>
      <c r="K737" s="142"/>
      <c r="L737" s="303"/>
      <c r="M737" s="138"/>
      <c r="N737" s="142"/>
      <c r="O737" s="303"/>
      <c r="P737" s="138"/>
      <c r="Q737" s="142"/>
      <c r="R737" s="303"/>
      <c r="S737" s="138"/>
      <c r="T737" s="142"/>
      <c r="U737" s="303"/>
      <c r="V737" s="138"/>
      <c r="W737" s="142"/>
      <c r="X737" s="303"/>
      <c r="Y737" s="30"/>
      <c r="Z737" s="30"/>
      <c r="AA737" s="30"/>
      <c r="AB737" s="30"/>
      <c r="AC737" s="30"/>
      <c r="AD737" s="30"/>
      <c r="AE737" s="30"/>
      <c r="AF737" s="30"/>
      <c r="AG737" s="30"/>
      <c r="AH737" s="30"/>
      <c r="AI737" s="30"/>
      <c r="AJ737" s="30"/>
      <c r="AK737" s="30"/>
      <c r="AL737" s="30"/>
      <c r="AM737" s="30"/>
      <c r="AN737" s="30"/>
    </row>
    <row r="738">
      <c r="A738" s="138"/>
      <c r="B738" s="142"/>
      <c r="C738" s="303"/>
      <c r="D738" s="138"/>
      <c r="E738" s="142"/>
      <c r="F738" s="303"/>
      <c r="G738" s="138"/>
      <c r="H738" s="142"/>
      <c r="I738" s="303"/>
      <c r="J738" s="138"/>
      <c r="K738" s="142"/>
      <c r="L738" s="303"/>
      <c r="M738" s="138"/>
      <c r="N738" s="142"/>
      <c r="O738" s="303"/>
      <c r="P738" s="138"/>
      <c r="Q738" s="142"/>
      <c r="R738" s="303"/>
      <c r="S738" s="138"/>
      <c r="T738" s="142"/>
      <c r="U738" s="303"/>
      <c r="V738" s="138"/>
      <c r="W738" s="142"/>
      <c r="X738" s="303"/>
      <c r="Y738" s="30"/>
      <c r="Z738" s="30"/>
      <c r="AA738" s="30"/>
      <c r="AB738" s="30"/>
      <c r="AC738" s="30"/>
      <c r="AD738" s="30"/>
      <c r="AE738" s="30"/>
      <c r="AF738" s="30"/>
      <c r="AG738" s="30"/>
      <c r="AH738" s="30"/>
      <c r="AI738" s="30"/>
      <c r="AJ738" s="30"/>
      <c r="AK738" s="30"/>
      <c r="AL738" s="30"/>
      <c r="AM738" s="30"/>
      <c r="AN738" s="30"/>
    </row>
    <row r="739">
      <c r="A739" s="138"/>
      <c r="B739" s="142"/>
      <c r="C739" s="303"/>
      <c r="D739" s="138"/>
      <c r="E739" s="142"/>
      <c r="F739" s="303"/>
      <c r="G739" s="138"/>
      <c r="H739" s="142"/>
      <c r="I739" s="303"/>
      <c r="J739" s="138"/>
      <c r="K739" s="142"/>
      <c r="L739" s="303"/>
      <c r="M739" s="138"/>
      <c r="N739" s="142"/>
      <c r="O739" s="303"/>
      <c r="P739" s="138"/>
      <c r="Q739" s="142"/>
      <c r="R739" s="303"/>
      <c r="S739" s="138"/>
      <c r="T739" s="142"/>
      <c r="U739" s="303"/>
      <c r="V739" s="138"/>
      <c r="W739" s="142"/>
      <c r="X739" s="303"/>
      <c r="Y739" s="30"/>
      <c r="Z739" s="30"/>
      <c r="AA739" s="30"/>
      <c r="AB739" s="30"/>
      <c r="AC739" s="30"/>
      <c r="AD739" s="30"/>
      <c r="AE739" s="30"/>
      <c r="AF739" s="30"/>
      <c r="AG739" s="30"/>
      <c r="AH739" s="30"/>
      <c r="AI739" s="30"/>
      <c r="AJ739" s="30"/>
      <c r="AK739" s="30"/>
      <c r="AL739" s="30"/>
      <c r="AM739" s="30"/>
      <c r="AN739" s="30"/>
    </row>
    <row r="740">
      <c r="A740" s="138"/>
      <c r="B740" s="142"/>
      <c r="C740" s="303"/>
      <c r="D740" s="138"/>
      <c r="E740" s="142"/>
      <c r="F740" s="303"/>
      <c r="G740" s="138"/>
      <c r="H740" s="142"/>
      <c r="I740" s="303"/>
      <c r="J740" s="138"/>
      <c r="K740" s="142"/>
      <c r="L740" s="303"/>
      <c r="M740" s="138"/>
      <c r="N740" s="142"/>
      <c r="O740" s="303"/>
      <c r="P740" s="138"/>
      <c r="Q740" s="142"/>
      <c r="R740" s="303"/>
      <c r="S740" s="138"/>
      <c r="T740" s="142"/>
      <c r="U740" s="303"/>
      <c r="V740" s="138"/>
      <c r="W740" s="142"/>
      <c r="X740" s="303"/>
      <c r="Y740" s="30"/>
      <c r="Z740" s="30"/>
      <c r="AA740" s="30"/>
      <c r="AB740" s="30"/>
      <c r="AC740" s="30"/>
      <c r="AD740" s="30"/>
      <c r="AE740" s="30"/>
      <c r="AF740" s="30"/>
      <c r="AG740" s="30"/>
      <c r="AH740" s="30"/>
      <c r="AI740" s="30"/>
      <c r="AJ740" s="30"/>
      <c r="AK740" s="30"/>
      <c r="AL740" s="30"/>
      <c r="AM740" s="30"/>
      <c r="AN740" s="30"/>
    </row>
    <row r="741">
      <c r="A741" s="138"/>
      <c r="B741" s="142"/>
      <c r="C741" s="303"/>
      <c r="D741" s="138"/>
      <c r="E741" s="142"/>
      <c r="F741" s="303"/>
      <c r="G741" s="138"/>
      <c r="H741" s="142"/>
      <c r="I741" s="303"/>
      <c r="J741" s="138"/>
      <c r="K741" s="142"/>
      <c r="L741" s="303"/>
      <c r="M741" s="138"/>
      <c r="N741" s="142"/>
      <c r="O741" s="303"/>
      <c r="P741" s="138"/>
      <c r="Q741" s="142"/>
      <c r="R741" s="303"/>
      <c r="S741" s="138"/>
      <c r="T741" s="142"/>
      <c r="U741" s="303"/>
      <c r="V741" s="138"/>
      <c r="W741" s="142"/>
      <c r="X741" s="303"/>
      <c r="Y741" s="30"/>
      <c r="Z741" s="30"/>
      <c r="AA741" s="30"/>
      <c r="AB741" s="30"/>
      <c r="AC741" s="30"/>
      <c r="AD741" s="30"/>
      <c r="AE741" s="30"/>
      <c r="AF741" s="30"/>
      <c r="AG741" s="30"/>
      <c r="AH741" s="30"/>
      <c r="AI741" s="30"/>
      <c r="AJ741" s="30"/>
      <c r="AK741" s="30"/>
      <c r="AL741" s="30"/>
      <c r="AM741" s="30"/>
      <c r="AN741" s="30"/>
    </row>
    <row r="742">
      <c r="A742" s="138"/>
      <c r="B742" s="142"/>
      <c r="C742" s="303"/>
      <c r="D742" s="138"/>
      <c r="E742" s="142"/>
      <c r="F742" s="303"/>
      <c r="G742" s="138"/>
      <c r="H742" s="142"/>
      <c r="I742" s="303"/>
      <c r="J742" s="138"/>
      <c r="K742" s="142"/>
      <c r="L742" s="303"/>
      <c r="M742" s="138"/>
      <c r="N742" s="142"/>
      <c r="O742" s="303"/>
      <c r="P742" s="138"/>
      <c r="Q742" s="142"/>
      <c r="R742" s="303"/>
      <c r="S742" s="138"/>
      <c r="T742" s="142"/>
      <c r="U742" s="303"/>
      <c r="V742" s="138"/>
      <c r="W742" s="142"/>
      <c r="X742" s="303"/>
      <c r="Y742" s="30"/>
      <c r="Z742" s="30"/>
      <c r="AA742" s="30"/>
      <c r="AB742" s="30"/>
      <c r="AC742" s="30"/>
      <c r="AD742" s="30"/>
      <c r="AE742" s="30"/>
      <c r="AF742" s="30"/>
      <c r="AG742" s="30"/>
      <c r="AH742" s="30"/>
      <c r="AI742" s="30"/>
      <c r="AJ742" s="30"/>
      <c r="AK742" s="30"/>
      <c r="AL742" s="30"/>
      <c r="AM742" s="30"/>
      <c r="AN742" s="30"/>
    </row>
    <row r="743">
      <c r="A743" s="138"/>
      <c r="B743" s="142"/>
      <c r="C743" s="303"/>
      <c r="D743" s="138"/>
      <c r="E743" s="142"/>
      <c r="F743" s="303"/>
      <c r="G743" s="138"/>
      <c r="H743" s="142"/>
      <c r="I743" s="303"/>
      <c r="J743" s="138"/>
      <c r="K743" s="142"/>
      <c r="L743" s="303"/>
      <c r="M743" s="138"/>
      <c r="N743" s="142"/>
      <c r="O743" s="303"/>
      <c r="P743" s="138"/>
      <c r="Q743" s="142"/>
      <c r="R743" s="303"/>
      <c r="S743" s="138"/>
      <c r="T743" s="142"/>
      <c r="U743" s="303"/>
      <c r="V743" s="138"/>
      <c r="W743" s="142"/>
      <c r="X743" s="303"/>
      <c r="Y743" s="30"/>
      <c r="Z743" s="30"/>
      <c r="AA743" s="30"/>
      <c r="AB743" s="30"/>
      <c r="AC743" s="30"/>
      <c r="AD743" s="30"/>
      <c r="AE743" s="30"/>
      <c r="AF743" s="30"/>
      <c r="AG743" s="30"/>
      <c r="AH743" s="30"/>
      <c r="AI743" s="30"/>
      <c r="AJ743" s="30"/>
      <c r="AK743" s="30"/>
      <c r="AL743" s="30"/>
      <c r="AM743" s="30"/>
      <c r="AN743" s="30"/>
    </row>
    <row r="744">
      <c r="A744" s="138"/>
      <c r="B744" s="142"/>
      <c r="C744" s="303"/>
      <c r="D744" s="138"/>
      <c r="E744" s="142"/>
      <c r="F744" s="303"/>
      <c r="G744" s="138"/>
      <c r="H744" s="142"/>
      <c r="I744" s="303"/>
      <c r="J744" s="138"/>
      <c r="K744" s="142"/>
      <c r="L744" s="303"/>
      <c r="M744" s="138"/>
      <c r="N744" s="142"/>
      <c r="O744" s="303"/>
      <c r="P744" s="138"/>
      <c r="Q744" s="142"/>
      <c r="R744" s="303"/>
      <c r="S744" s="138"/>
      <c r="T744" s="142"/>
      <c r="U744" s="303"/>
      <c r="V744" s="138"/>
      <c r="W744" s="142"/>
      <c r="X744" s="303"/>
      <c r="Y744" s="30"/>
      <c r="Z744" s="30"/>
      <c r="AA744" s="30"/>
      <c r="AB744" s="30"/>
      <c r="AC744" s="30"/>
      <c r="AD744" s="30"/>
      <c r="AE744" s="30"/>
      <c r="AF744" s="30"/>
      <c r="AG744" s="30"/>
      <c r="AH744" s="30"/>
      <c r="AI744" s="30"/>
      <c r="AJ744" s="30"/>
      <c r="AK744" s="30"/>
      <c r="AL744" s="30"/>
      <c r="AM744" s="30"/>
      <c r="AN744" s="30"/>
    </row>
    <row r="745">
      <c r="A745" s="138"/>
      <c r="B745" s="142"/>
      <c r="C745" s="303"/>
      <c r="D745" s="138"/>
      <c r="E745" s="142"/>
      <c r="F745" s="303"/>
      <c r="G745" s="138"/>
      <c r="H745" s="142"/>
      <c r="I745" s="303"/>
      <c r="J745" s="138"/>
      <c r="K745" s="142"/>
      <c r="L745" s="303"/>
      <c r="M745" s="138"/>
      <c r="N745" s="142"/>
      <c r="O745" s="303"/>
      <c r="P745" s="138"/>
      <c r="Q745" s="142"/>
      <c r="R745" s="303"/>
      <c r="S745" s="138"/>
      <c r="T745" s="142"/>
      <c r="U745" s="303"/>
      <c r="V745" s="138"/>
      <c r="W745" s="142"/>
      <c r="X745" s="303"/>
      <c r="Y745" s="30"/>
      <c r="Z745" s="30"/>
      <c r="AA745" s="30"/>
      <c r="AB745" s="30"/>
      <c r="AC745" s="30"/>
      <c r="AD745" s="30"/>
      <c r="AE745" s="30"/>
      <c r="AF745" s="30"/>
      <c r="AG745" s="30"/>
      <c r="AH745" s="30"/>
      <c r="AI745" s="30"/>
      <c r="AJ745" s="30"/>
      <c r="AK745" s="30"/>
      <c r="AL745" s="30"/>
      <c r="AM745" s="30"/>
      <c r="AN745" s="30"/>
    </row>
    <row r="746">
      <c r="A746" s="138"/>
      <c r="B746" s="142"/>
      <c r="C746" s="303"/>
      <c r="D746" s="138"/>
      <c r="E746" s="142"/>
      <c r="F746" s="303"/>
      <c r="G746" s="138"/>
      <c r="H746" s="142"/>
      <c r="I746" s="303"/>
      <c r="J746" s="138"/>
      <c r="K746" s="142"/>
      <c r="L746" s="303"/>
      <c r="M746" s="138"/>
      <c r="N746" s="142"/>
      <c r="O746" s="303"/>
      <c r="P746" s="138"/>
      <c r="Q746" s="142"/>
      <c r="R746" s="303"/>
      <c r="S746" s="138"/>
      <c r="T746" s="142"/>
      <c r="U746" s="303"/>
      <c r="V746" s="138"/>
      <c r="W746" s="142"/>
      <c r="X746" s="303"/>
      <c r="Y746" s="30"/>
      <c r="Z746" s="30"/>
      <c r="AA746" s="30"/>
      <c r="AB746" s="30"/>
      <c r="AC746" s="30"/>
      <c r="AD746" s="30"/>
      <c r="AE746" s="30"/>
      <c r="AF746" s="30"/>
      <c r="AG746" s="30"/>
      <c r="AH746" s="30"/>
      <c r="AI746" s="30"/>
      <c r="AJ746" s="30"/>
      <c r="AK746" s="30"/>
      <c r="AL746" s="30"/>
      <c r="AM746" s="30"/>
      <c r="AN746" s="30"/>
    </row>
    <row r="747">
      <c r="A747" s="138"/>
      <c r="B747" s="142"/>
      <c r="C747" s="303"/>
      <c r="D747" s="138"/>
      <c r="E747" s="142"/>
      <c r="F747" s="303"/>
      <c r="G747" s="138"/>
      <c r="H747" s="142"/>
      <c r="I747" s="303"/>
      <c r="J747" s="138"/>
      <c r="K747" s="142"/>
      <c r="L747" s="303"/>
      <c r="M747" s="138"/>
      <c r="N747" s="142"/>
      <c r="O747" s="303"/>
      <c r="P747" s="138"/>
      <c r="Q747" s="142"/>
      <c r="R747" s="303"/>
      <c r="S747" s="138"/>
      <c r="T747" s="142"/>
      <c r="U747" s="303"/>
      <c r="V747" s="138"/>
      <c r="W747" s="142"/>
      <c r="X747" s="303"/>
      <c r="Y747" s="30"/>
      <c r="Z747" s="30"/>
      <c r="AA747" s="30"/>
      <c r="AB747" s="30"/>
      <c r="AC747" s="30"/>
      <c r="AD747" s="30"/>
      <c r="AE747" s="30"/>
      <c r="AF747" s="30"/>
      <c r="AG747" s="30"/>
      <c r="AH747" s="30"/>
      <c r="AI747" s="30"/>
      <c r="AJ747" s="30"/>
      <c r="AK747" s="30"/>
      <c r="AL747" s="30"/>
      <c r="AM747" s="30"/>
      <c r="AN747" s="30"/>
    </row>
    <row r="748">
      <c r="A748" s="138"/>
      <c r="B748" s="142"/>
      <c r="C748" s="303"/>
      <c r="D748" s="138"/>
      <c r="E748" s="142"/>
      <c r="F748" s="303"/>
      <c r="G748" s="138"/>
      <c r="H748" s="142"/>
      <c r="I748" s="303"/>
      <c r="J748" s="138"/>
      <c r="K748" s="142"/>
      <c r="L748" s="303"/>
      <c r="M748" s="138"/>
      <c r="N748" s="142"/>
      <c r="O748" s="303"/>
      <c r="P748" s="138"/>
      <c r="Q748" s="142"/>
      <c r="R748" s="303"/>
      <c r="S748" s="138"/>
      <c r="T748" s="142"/>
      <c r="U748" s="303"/>
      <c r="V748" s="138"/>
      <c r="W748" s="142"/>
      <c r="X748" s="303"/>
      <c r="Y748" s="30"/>
      <c r="Z748" s="30"/>
      <c r="AA748" s="30"/>
      <c r="AB748" s="30"/>
      <c r="AC748" s="30"/>
      <c r="AD748" s="30"/>
      <c r="AE748" s="30"/>
      <c r="AF748" s="30"/>
      <c r="AG748" s="30"/>
      <c r="AH748" s="30"/>
      <c r="AI748" s="30"/>
      <c r="AJ748" s="30"/>
      <c r="AK748" s="30"/>
      <c r="AL748" s="30"/>
      <c r="AM748" s="30"/>
      <c r="AN748" s="30"/>
    </row>
    <row r="749">
      <c r="A749" s="138"/>
      <c r="B749" s="142"/>
      <c r="C749" s="303"/>
      <c r="D749" s="138"/>
      <c r="E749" s="142"/>
      <c r="F749" s="303"/>
      <c r="G749" s="138"/>
      <c r="H749" s="142"/>
      <c r="I749" s="303"/>
      <c r="J749" s="138"/>
      <c r="K749" s="142"/>
      <c r="L749" s="303"/>
      <c r="M749" s="138"/>
      <c r="N749" s="142"/>
      <c r="O749" s="303"/>
      <c r="P749" s="138"/>
      <c r="Q749" s="142"/>
      <c r="R749" s="303"/>
      <c r="S749" s="138"/>
      <c r="T749" s="142"/>
      <c r="U749" s="303"/>
      <c r="V749" s="138"/>
      <c r="W749" s="142"/>
      <c r="X749" s="303"/>
      <c r="Y749" s="30"/>
      <c r="Z749" s="30"/>
      <c r="AA749" s="30"/>
      <c r="AB749" s="30"/>
      <c r="AC749" s="30"/>
      <c r="AD749" s="30"/>
      <c r="AE749" s="30"/>
      <c r="AF749" s="30"/>
      <c r="AG749" s="30"/>
      <c r="AH749" s="30"/>
      <c r="AI749" s="30"/>
      <c r="AJ749" s="30"/>
      <c r="AK749" s="30"/>
      <c r="AL749" s="30"/>
      <c r="AM749" s="30"/>
      <c r="AN749" s="30"/>
    </row>
    <row r="750">
      <c r="A750" s="138"/>
      <c r="B750" s="142"/>
      <c r="C750" s="303"/>
      <c r="D750" s="138"/>
      <c r="E750" s="142"/>
      <c r="F750" s="303"/>
      <c r="G750" s="138"/>
      <c r="H750" s="142"/>
      <c r="I750" s="303"/>
      <c r="J750" s="138"/>
      <c r="K750" s="142"/>
      <c r="L750" s="303"/>
      <c r="M750" s="138"/>
      <c r="N750" s="142"/>
      <c r="O750" s="303"/>
      <c r="P750" s="138"/>
      <c r="Q750" s="142"/>
      <c r="R750" s="303"/>
      <c r="S750" s="138"/>
      <c r="T750" s="142"/>
      <c r="U750" s="303"/>
      <c r="V750" s="138"/>
      <c r="W750" s="142"/>
      <c r="X750" s="303"/>
      <c r="Y750" s="30"/>
      <c r="Z750" s="30"/>
      <c r="AA750" s="30"/>
      <c r="AB750" s="30"/>
      <c r="AC750" s="30"/>
      <c r="AD750" s="30"/>
      <c r="AE750" s="30"/>
      <c r="AF750" s="30"/>
      <c r="AG750" s="30"/>
      <c r="AH750" s="30"/>
      <c r="AI750" s="30"/>
      <c r="AJ750" s="30"/>
      <c r="AK750" s="30"/>
      <c r="AL750" s="30"/>
      <c r="AM750" s="30"/>
      <c r="AN750" s="30"/>
    </row>
    <row r="751">
      <c r="A751" s="138"/>
      <c r="B751" s="142"/>
      <c r="C751" s="303"/>
      <c r="D751" s="138"/>
      <c r="E751" s="142"/>
      <c r="F751" s="303"/>
      <c r="G751" s="138"/>
      <c r="H751" s="142"/>
      <c r="I751" s="303"/>
      <c r="J751" s="138"/>
      <c r="K751" s="142"/>
      <c r="L751" s="303"/>
      <c r="M751" s="138"/>
      <c r="N751" s="142"/>
      <c r="O751" s="303"/>
      <c r="P751" s="138"/>
      <c r="Q751" s="142"/>
      <c r="R751" s="303"/>
      <c r="S751" s="138"/>
      <c r="T751" s="142"/>
      <c r="U751" s="303"/>
      <c r="V751" s="138"/>
      <c r="W751" s="142"/>
      <c r="X751" s="303"/>
      <c r="Y751" s="30"/>
      <c r="Z751" s="30"/>
      <c r="AA751" s="30"/>
      <c r="AB751" s="30"/>
      <c r="AC751" s="30"/>
      <c r="AD751" s="30"/>
      <c r="AE751" s="30"/>
      <c r="AF751" s="30"/>
      <c r="AG751" s="30"/>
      <c r="AH751" s="30"/>
      <c r="AI751" s="30"/>
      <c r="AJ751" s="30"/>
      <c r="AK751" s="30"/>
      <c r="AL751" s="30"/>
      <c r="AM751" s="30"/>
      <c r="AN751" s="30"/>
    </row>
    <row r="752">
      <c r="A752" s="138"/>
      <c r="B752" s="142"/>
      <c r="C752" s="303"/>
      <c r="D752" s="138"/>
      <c r="E752" s="142"/>
      <c r="F752" s="303"/>
      <c r="G752" s="138"/>
      <c r="H752" s="142"/>
      <c r="I752" s="303"/>
      <c r="J752" s="138"/>
      <c r="K752" s="142"/>
      <c r="L752" s="303"/>
      <c r="M752" s="138"/>
      <c r="N752" s="142"/>
      <c r="O752" s="303"/>
      <c r="P752" s="138"/>
      <c r="Q752" s="142"/>
      <c r="R752" s="303"/>
      <c r="S752" s="138"/>
      <c r="T752" s="142"/>
      <c r="U752" s="303"/>
      <c r="V752" s="138"/>
      <c r="W752" s="142"/>
      <c r="X752" s="303"/>
      <c r="Y752" s="30"/>
      <c r="Z752" s="30"/>
      <c r="AA752" s="30"/>
      <c r="AB752" s="30"/>
      <c r="AC752" s="30"/>
      <c r="AD752" s="30"/>
      <c r="AE752" s="30"/>
      <c r="AF752" s="30"/>
      <c r="AG752" s="30"/>
      <c r="AH752" s="30"/>
      <c r="AI752" s="30"/>
      <c r="AJ752" s="30"/>
      <c r="AK752" s="30"/>
      <c r="AL752" s="30"/>
      <c r="AM752" s="30"/>
      <c r="AN752" s="30"/>
    </row>
    <row r="753">
      <c r="A753" s="138"/>
      <c r="B753" s="142"/>
      <c r="C753" s="303"/>
      <c r="D753" s="138"/>
      <c r="E753" s="142"/>
      <c r="F753" s="303"/>
      <c r="G753" s="138"/>
      <c r="H753" s="142"/>
      <c r="I753" s="303"/>
      <c r="J753" s="138"/>
      <c r="K753" s="142"/>
      <c r="L753" s="303"/>
      <c r="M753" s="138"/>
      <c r="N753" s="142"/>
      <c r="O753" s="303"/>
      <c r="P753" s="138"/>
      <c r="Q753" s="142"/>
      <c r="R753" s="303"/>
      <c r="S753" s="138"/>
      <c r="T753" s="142"/>
      <c r="U753" s="303"/>
      <c r="V753" s="138"/>
      <c r="W753" s="142"/>
      <c r="X753" s="303"/>
      <c r="Y753" s="30"/>
      <c r="Z753" s="30"/>
      <c r="AA753" s="30"/>
      <c r="AB753" s="30"/>
      <c r="AC753" s="30"/>
      <c r="AD753" s="30"/>
      <c r="AE753" s="30"/>
      <c r="AF753" s="30"/>
      <c r="AG753" s="30"/>
      <c r="AH753" s="30"/>
      <c r="AI753" s="30"/>
      <c r="AJ753" s="30"/>
      <c r="AK753" s="30"/>
      <c r="AL753" s="30"/>
      <c r="AM753" s="30"/>
      <c r="AN753" s="30"/>
    </row>
    <row r="754">
      <c r="A754" s="138"/>
      <c r="B754" s="142"/>
      <c r="C754" s="303"/>
      <c r="D754" s="138"/>
      <c r="E754" s="142"/>
      <c r="F754" s="303"/>
      <c r="G754" s="138"/>
      <c r="H754" s="142"/>
      <c r="I754" s="303"/>
      <c r="J754" s="138"/>
      <c r="K754" s="142"/>
      <c r="L754" s="303"/>
      <c r="M754" s="138"/>
      <c r="N754" s="142"/>
      <c r="O754" s="303"/>
      <c r="P754" s="138"/>
      <c r="Q754" s="142"/>
      <c r="R754" s="303"/>
      <c r="S754" s="138"/>
      <c r="T754" s="142"/>
      <c r="U754" s="303"/>
      <c r="V754" s="138"/>
      <c r="W754" s="142"/>
      <c r="X754" s="303"/>
      <c r="Y754" s="30"/>
      <c r="Z754" s="30"/>
      <c r="AA754" s="30"/>
      <c r="AB754" s="30"/>
      <c r="AC754" s="30"/>
      <c r="AD754" s="30"/>
      <c r="AE754" s="30"/>
      <c r="AF754" s="30"/>
      <c r="AG754" s="30"/>
      <c r="AH754" s="30"/>
      <c r="AI754" s="30"/>
      <c r="AJ754" s="30"/>
      <c r="AK754" s="30"/>
      <c r="AL754" s="30"/>
      <c r="AM754" s="30"/>
      <c r="AN754" s="30"/>
    </row>
    <row r="755">
      <c r="A755" s="138"/>
      <c r="B755" s="142"/>
      <c r="C755" s="303"/>
      <c r="D755" s="138"/>
      <c r="E755" s="142"/>
      <c r="F755" s="303"/>
      <c r="G755" s="138"/>
      <c r="H755" s="142"/>
      <c r="I755" s="303"/>
      <c r="J755" s="138"/>
      <c r="K755" s="142"/>
      <c r="L755" s="303"/>
      <c r="M755" s="138"/>
      <c r="N755" s="142"/>
      <c r="O755" s="303"/>
      <c r="P755" s="138"/>
      <c r="Q755" s="142"/>
      <c r="R755" s="303"/>
      <c r="S755" s="138"/>
      <c r="T755" s="142"/>
      <c r="U755" s="303"/>
      <c r="V755" s="138"/>
      <c r="W755" s="142"/>
      <c r="X755" s="303"/>
      <c r="Y755" s="30"/>
      <c r="Z755" s="30"/>
      <c r="AA755" s="30"/>
      <c r="AB755" s="30"/>
      <c r="AC755" s="30"/>
      <c r="AD755" s="30"/>
      <c r="AE755" s="30"/>
      <c r="AF755" s="30"/>
      <c r="AG755" s="30"/>
      <c r="AH755" s="30"/>
      <c r="AI755" s="30"/>
      <c r="AJ755" s="30"/>
      <c r="AK755" s="30"/>
      <c r="AL755" s="30"/>
      <c r="AM755" s="30"/>
      <c r="AN755" s="30"/>
    </row>
    <row r="756">
      <c r="A756" s="138"/>
      <c r="B756" s="142"/>
      <c r="C756" s="303"/>
      <c r="D756" s="138"/>
      <c r="E756" s="142"/>
      <c r="F756" s="303"/>
      <c r="G756" s="138"/>
      <c r="H756" s="142"/>
      <c r="I756" s="303"/>
      <c r="J756" s="138"/>
      <c r="K756" s="142"/>
      <c r="L756" s="303"/>
      <c r="M756" s="138"/>
      <c r="N756" s="142"/>
      <c r="O756" s="303"/>
      <c r="P756" s="138"/>
      <c r="Q756" s="142"/>
      <c r="R756" s="303"/>
      <c r="S756" s="138"/>
      <c r="T756" s="142"/>
      <c r="U756" s="303"/>
      <c r="V756" s="138"/>
      <c r="W756" s="142"/>
      <c r="X756" s="303"/>
      <c r="Y756" s="30"/>
      <c r="Z756" s="30"/>
      <c r="AA756" s="30"/>
      <c r="AB756" s="30"/>
      <c r="AC756" s="30"/>
      <c r="AD756" s="30"/>
      <c r="AE756" s="30"/>
      <c r="AF756" s="30"/>
      <c r="AG756" s="30"/>
      <c r="AH756" s="30"/>
      <c r="AI756" s="30"/>
      <c r="AJ756" s="30"/>
      <c r="AK756" s="30"/>
      <c r="AL756" s="30"/>
      <c r="AM756" s="30"/>
      <c r="AN756" s="30"/>
    </row>
    <row r="757">
      <c r="A757" s="138"/>
      <c r="B757" s="142"/>
      <c r="C757" s="303"/>
      <c r="D757" s="138"/>
      <c r="E757" s="142"/>
      <c r="F757" s="303"/>
      <c r="G757" s="138"/>
      <c r="H757" s="142"/>
      <c r="I757" s="303"/>
      <c r="J757" s="138"/>
      <c r="K757" s="142"/>
      <c r="L757" s="303"/>
      <c r="M757" s="138"/>
      <c r="N757" s="142"/>
      <c r="O757" s="303"/>
      <c r="P757" s="138"/>
      <c r="Q757" s="142"/>
      <c r="R757" s="303"/>
      <c r="S757" s="138"/>
      <c r="T757" s="142"/>
      <c r="U757" s="303"/>
      <c r="V757" s="138"/>
      <c r="W757" s="142"/>
      <c r="X757" s="303"/>
      <c r="Y757" s="30"/>
      <c r="Z757" s="30"/>
      <c r="AA757" s="30"/>
      <c r="AB757" s="30"/>
      <c r="AC757" s="30"/>
      <c r="AD757" s="30"/>
      <c r="AE757" s="30"/>
      <c r="AF757" s="30"/>
      <c r="AG757" s="30"/>
      <c r="AH757" s="30"/>
      <c r="AI757" s="30"/>
      <c r="AJ757" s="30"/>
      <c r="AK757" s="30"/>
      <c r="AL757" s="30"/>
      <c r="AM757" s="30"/>
      <c r="AN757" s="30"/>
    </row>
    <row r="758">
      <c r="A758" s="138"/>
      <c r="B758" s="142"/>
      <c r="C758" s="303"/>
      <c r="D758" s="138"/>
      <c r="E758" s="142"/>
      <c r="F758" s="303"/>
      <c r="G758" s="138"/>
      <c r="H758" s="142"/>
      <c r="I758" s="303"/>
      <c r="J758" s="138"/>
      <c r="K758" s="142"/>
      <c r="L758" s="303"/>
      <c r="M758" s="138"/>
      <c r="N758" s="142"/>
      <c r="O758" s="303"/>
      <c r="P758" s="138"/>
      <c r="Q758" s="142"/>
      <c r="R758" s="303"/>
      <c r="S758" s="138"/>
      <c r="T758" s="142"/>
      <c r="U758" s="303"/>
      <c r="V758" s="138"/>
      <c r="W758" s="142"/>
      <c r="X758" s="303"/>
      <c r="Y758" s="30"/>
      <c r="Z758" s="30"/>
      <c r="AA758" s="30"/>
      <c r="AB758" s="30"/>
      <c r="AC758" s="30"/>
      <c r="AD758" s="30"/>
      <c r="AE758" s="30"/>
      <c r="AF758" s="30"/>
      <c r="AG758" s="30"/>
      <c r="AH758" s="30"/>
      <c r="AI758" s="30"/>
      <c r="AJ758" s="30"/>
      <c r="AK758" s="30"/>
      <c r="AL758" s="30"/>
      <c r="AM758" s="30"/>
      <c r="AN758" s="30"/>
    </row>
    <row r="759">
      <c r="A759" s="138"/>
      <c r="B759" s="142"/>
      <c r="C759" s="303"/>
      <c r="D759" s="138"/>
      <c r="E759" s="142"/>
      <c r="F759" s="303"/>
      <c r="G759" s="138"/>
      <c r="H759" s="142"/>
      <c r="I759" s="303"/>
      <c r="J759" s="138"/>
      <c r="K759" s="142"/>
      <c r="L759" s="303"/>
      <c r="M759" s="138"/>
      <c r="N759" s="142"/>
      <c r="O759" s="303"/>
      <c r="P759" s="138"/>
      <c r="Q759" s="142"/>
      <c r="R759" s="303"/>
      <c r="S759" s="138"/>
      <c r="T759" s="142"/>
      <c r="U759" s="303"/>
      <c r="V759" s="138"/>
      <c r="W759" s="142"/>
      <c r="X759" s="303"/>
      <c r="Y759" s="30"/>
      <c r="Z759" s="30"/>
      <c r="AA759" s="30"/>
      <c r="AB759" s="30"/>
      <c r="AC759" s="30"/>
      <c r="AD759" s="30"/>
      <c r="AE759" s="30"/>
      <c r="AF759" s="30"/>
      <c r="AG759" s="30"/>
      <c r="AH759" s="30"/>
      <c r="AI759" s="30"/>
      <c r="AJ759" s="30"/>
      <c r="AK759" s="30"/>
      <c r="AL759" s="30"/>
      <c r="AM759" s="30"/>
      <c r="AN759" s="30"/>
    </row>
    <row r="760">
      <c r="A760" s="138"/>
      <c r="B760" s="142"/>
      <c r="C760" s="303"/>
      <c r="D760" s="138"/>
      <c r="E760" s="142"/>
      <c r="F760" s="303"/>
      <c r="G760" s="138"/>
      <c r="H760" s="142"/>
      <c r="I760" s="303"/>
      <c r="J760" s="138"/>
      <c r="K760" s="142"/>
      <c r="L760" s="303"/>
      <c r="M760" s="138"/>
      <c r="N760" s="142"/>
      <c r="O760" s="303"/>
      <c r="P760" s="138"/>
      <c r="Q760" s="142"/>
      <c r="R760" s="303"/>
      <c r="S760" s="138"/>
      <c r="T760" s="142"/>
      <c r="U760" s="303"/>
      <c r="V760" s="138"/>
      <c r="W760" s="142"/>
      <c r="X760" s="303"/>
      <c r="Y760" s="30"/>
      <c r="Z760" s="30"/>
      <c r="AA760" s="30"/>
      <c r="AB760" s="30"/>
      <c r="AC760" s="30"/>
      <c r="AD760" s="30"/>
      <c r="AE760" s="30"/>
      <c r="AF760" s="30"/>
      <c r="AG760" s="30"/>
      <c r="AH760" s="30"/>
      <c r="AI760" s="30"/>
      <c r="AJ760" s="30"/>
      <c r="AK760" s="30"/>
      <c r="AL760" s="30"/>
      <c r="AM760" s="30"/>
      <c r="AN760" s="30"/>
    </row>
    <row r="761">
      <c r="A761" s="138"/>
      <c r="B761" s="142"/>
      <c r="C761" s="303"/>
      <c r="D761" s="138"/>
      <c r="E761" s="142"/>
      <c r="F761" s="303"/>
      <c r="G761" s="138"/>
      <c r="H761" s="142"/>
      <c r="I761" s="303"/>
      <c r="J761" s="138"/>
      <c r="K761" s="142"/>
      <c r="L761" s="303"/>
      <c r="M761" s="138"/>
      <c r="N761" s="142"/>
      <c r="O761" s="303"/>
      <c r="P761" s="138"/>
      <c r="Q761" s="142"/>
      <c r="R761" s="303"/>
      <c r="S761" s="138"/>
      <c r="T761" s="142"/>
      <c r="U761" s="303"/>
      <c r="V761" s="138"/>
      <c r="W761" s="142"/>
      <c r="X761" s="303"/>
      <c r="Y761" s="30"/>
      <c r="Z761" s="30"/>
      <c r="AA761" s="30"/>
      <c r="AB761" s="30"/>
      <c r="AC761" s="30"/>
      <c r="AD761" s="30"/>
      <c r="AE761" s="30"/>
      <c r="AF761" s="30"/>
      <c r="AG761" s="30"/>
      <c r="AH761" s="30"/>
      <c r="AI761" s="30"/>
      <c r="AJ761" s="30"/>
      <c r="AK761" s="30"/>
      <c r="AL761" s="30"/>
      <c r="AM761" s="30"/>
      <c r="AN761" s="30"/>
    </row>
    <row r="762">
      <c r="A762" s="138"/>
      <c r="B762" s="142"/>
      <c r="C762" s="303"/>
      <c r="D762" s="138"/>
      <c r="E762" s="142"/>
      <c r="F762" s="303"/>
      <c r="G762" s="138"/>
      <c r="H762" s="142"/>
      <c r="I762" s="303"/>
      <c r="J762" s="138"/>
      <c r="K762" s="142"/>
      <c r="L762" s="303"/>
      <c r="M762" s="138"/>
      <c r="N762" s="142"/>
      <c r="O762" s="303"/>
      <c r="P762" s="138"/>
      <c r="Q762" s="142"/>
      <c r="R762" s="303"/>
      <c r="S762" s="138"/>
      <c r="T762" s="142"/>
      <c r="U762" s="303"/>
      <c r="V762" s="138"/>
      <c r="W762" s="142"/>
      <c r="X762" s="303"/>
      <c r="Y762" s="30"/>
      <c r="Z762" s="30"/>
      <c r="AA762" s="30"/>
      <c r="AB762" s="30"/>
      <c r="AC762" s="30"/>
      <c r="AD762" s="30"/>
      <c r="AE762" s="30"/>
      <c r="AF762" s="30"/>
      <c r="AG762" s="30"/>
      <c r="AH762" s="30"/>
      <c r="AI762" s="30"/>
      <c r="AJ762" s="30"/>
      <c r="AK762" s="30"/>
      <c r="AL762" s="30"/>
      <c r="AM762" s="30"/>
      <c r="AN762" s="30"/>
    </row>
    <row r="763">
      <c r="A763" s="138"/>
      <c r="B763" s="142"/>
      <c r="C763" s="303"/>
      <c r="D763" s="138"/>
      <c r="E763" s="142"/>
      <c r="F763" s="303"/>
      <c r="G763" s="138"/>
      <c r="H763" s="142"/>
      <c r="I763" s="303"/>
      <c r="J763" s="138"/>
      <c r="K763" s="142"/>
      <c r="L763" s="303"/>
      <c r="M763" s="138"/>
      <c r="N763" s="142"/>
      <c r="O763" s="303"/>
      <c r="P763" s="138"/>
      <c r="Q763" s="142"/>
      <c r="R763" s="303"/>
      <c r="S763" s="138"/>
      <c r="T763" s="142"/>
      <c r="U763" s="303"/>
      <c r="V763" s="138"/>
      <c r="W763" s="142"/>
      <c r="X763" s="303"/>
      <c r="Y763" s="30"/>
      <c r="Z763" s="30"/>
      <c r="AA763" s="30"/>
      <c r="AB763" s="30"/>
      <c r="AC763" s="30"/>
      <c r="AD763" s="30"/>
      <c r="AE763" s="30"/>
      <c r="AF763" s="30"/>
      <c r="AG763" s="30"/>
      <c r="AH763" s="30"/>
      <c r="AI763" s="30"/>
      <c r="AJ763" s="30"/>
      <c r="AK763" s="30"/>
      <c r="AL763" s="30"/>
      <c r="AM763" s="30"/>
      <c r="AN763" s="30"/>
    </row>
    <row r="764">
      <c r="A764" s="138"/>
      <c r="B764" s="142"/>
      <c r="C764" s="303"/>
      <c r="D764" s="138"/>
      <c r="E764" s="142"/>
      <c r="F764" s="303"/>
      <c r="G764" s="138"/>
      <c r="H764" s="142"/>
      <c r="I764" s="303"/>
      <c r="J764" s="138"/>
      <c r="K764" s="142"/>
      <c r="L764" s="303"/>
      <c r="M764" s="138"/>
      <c r="N764" s="142"/>
      <c r="O764" s="303"/>
      <c r="P764" s="138"/>
      <c r="Q764" s="142"/>
      <c r="R764" s="303"/>
      <c r="S764" s="138"/>
      <c r="T764" s="142"/>
      <c r="U764" s="303"/>
      <c r="V764" s="138"/>
      <c r="W764" s="142"/>
      <c r="X764" s="303"/>
      <c r="Y764" s="30"/>
      <c r="Z764" s="30"/>
      <c r="AA764" s="30"/>
      <c r="AB764" s="30"/>
      <c r="AC764" s="30"/>
      <c r="AD764" s="30"/>
      <c r="AE764" s="30"/>
      <c r="AF764" s="30"/>
      <c r="AG764" s="30"/>
      <c r="AH764" s="30"/>
      <c r="AI764" s="30"/>
      <c r="AJ764" s="30"/>
      <c r="AK764" s="30"/>
      <c r="AL764" s="30"/>
      <c r="AM764" s="30"/>
      <c r="AN764" s="30"/>
    </row>
    <row r="765">
      <c r="A765" s="138"/>
      <c r="B765" s="142"/>
      <c r="C765" s="303"/>
      <c r="D765" s="138"/>
      <c r="E765" s="142"/>
      <c r="F765" s="303"/>
      <c r="G765" s="138"/>
      <c r="H765" s="142"/>
      <c r="I765" s="303"/>
      <c r="J765" s="138"/>
      <c r="K765" s="142"/>
      <c r="L765" s="303"/>
      <c r="M765" s="138"/>
      <c r="N765" s="142"/>
      <c r="O765" s="303"/>
      <c r="P765" s="138"/>
      <c r="Q765" s="142"/>
      <c r="R765" s="303"/>
      <c r="S765" s="138"/>
      <c r="T765" s="142"/>
      <c r="U765" s="303"/>
      <c r="V765" s="138"/>
      <c r="W765" s="142"/>
      <c r="X765" s="303"/>
      <c r="Y765" s="30"/>
      <c r="Z765" s="30"/>
      <c r="AA765" s="30"/>
      <c r="AB765" s="30"/>
      <c r="AC765" s="30"/>
      <c r="AD765" s="30"/>
      <c r="AE765" s="30"/>
      <c r="AF765" s="30"/>
      <c r="AG765" s="30"/>
      <c r="AH765" s="30"/>
      <c r="AI765" s="30"/>
      <c r="AJ765" s="30"/>
      <c r="AK765" s="30"/>
      <c r="AL765" s="30"/>
      <c r="AM765" s="30"/>
      <c r="AN765" s="30"/>
    </row>
    <row r="766">
      <c r="A766" s="138"/>
      <c r="B766" s="142"/>
      <c r="C766" s="303"/>
      <c r="D766" s="138"/>
      <c r="E766" s="142"/>
      <c r="F766" s="303"/>
      <c r="G766" s="138"/>
      <c r="H766" s="142"/>
      <c r="I766" s="303"/>
      <c r="J766" s="138"/>
      <c r="K766" s="142"/>
      <c r="L766" s="303"/>
      <c r="M766" s="138"/>
      <c r="N766" s="142"/>
      <c r="O766" s="303"/>
      <c r="P766" s="138"/>
      <c r="Q766" s="142"/>
      <c r="R766" s="303"/>
      <c r="S766" s="138"/>
      <c r="T766" s="142"/>
      <c r="U766" s="303"/>
      <c r="V766" s="138"/>
      <c r="W766" s="142"/>
      <c r="X766" s="303"/>
      <c r="Y766" s="30"/>
      <c r="Z766" s="30"/>
      <c r="AA766" s="30"/>
      <c r="AB766" s="30"/>
      <c r="AC766" s="30"/>
      <c r="AD766" s="30"/>
      <c r="AE766" s="30"/>
      <c r="AF766" s="30"/>
      <c r="AG766" s="30"/>
      <c r="AH766" s="30"/>
      <c r="AI766" s="30"/>
      <c r="AJ766" s="30"/>
      <c r="AK766" s="30"/>
      <c r="AL766" s="30"/>
      <c r="AM766" s="30"/>
      <c r="AN766" s="30"/>
    </row>
    <row r="767">
      <c r="A767" s="138"/>
      <c r="B767" s="142"/>
      <c r="C767" s="303"/>
      <c r="D767" s="138"/>
      <c r="E767" s="142"/>
      <c r="F767" s="303"/>
      <c r="G767" s="138"/>
      <c r="H767" s="142"/>
      <c r="I767" s="303"/>
      <c r="J767" s="138"/>
      <c r="K767" s="142"/>
      <c r="L767" s="303"/>
      <c r="M767" s="138"/>
      <c r="N767" s="142"/>
      <c r="O767" s="303"/>
      <c r="P767" s="138"/>
      <c r="Q767" s="142"/>
      <c r="R767" s="303"/>
      <c r="S767" s="138"/>
      <c r="T767" s="142"/>
      <c r="U767" s="303"/>
      <c r="V767" s="138"/>
      <c r="W767" s="142"/>
      <c r="X767" s="303"/>
      <c r="Y767" s="30"/>
      <c r="Z767" s="30"/>
      <c r="AA767" s="30"/>
      <c r="AB767" s="30"/>
      <c r="AC767" s="30"/>
      <c r="AD767" s="30"/>
      <c r="AE767" s="30"/>
      <c r="AF767" s="30"/>
      <c r="AG767" s="30"/>
      <c r="AH767" s="30"/>
      <c r="AI767" s="30"/>
      <c r="AJ767" s="30"/>
      <c r="AK767" s="30"/>
      <c r="AL767" s="30"/>
      <c r="AM767" s="30"/>
      <c r="AN767" s="30"/>
    </row>
    <row r="768">
      <c r="A768" s="138"/>
      <c r="B768" s="142"/>
      <c r="C768" s="303"/>
      <c r="D768" s="138"/>
      <c r="E768" s="142"/>
      <c r="F768" s="303"/>
      <c r="G768" s="138"/>
      <c r="H768" s="142"/>
      <c r="I768" s="303"/>
      <c r="J768" s="138"/>
      <c r="K768" s="142"/>
      <c r="L768" s="303"/>
      <c r="M768" s="138"/>
      <c r="N768" s="142"/>
      <c r="O768" s="303"/>
      <c r="P768" s="138"/>
      <c r="Q768" s="142"/>
      <c r="R768" s="303"/>
      <c r="S768" s="138"/>
      <c r="T768" s="142"/>
      <c r="U768" s="303"/>
      <c r="V768" s="138"/>
      <c r="W768" s="142"/>
      <c r="X768" s="303"/>
      <c r="Y768" s="30"/>
      <c r="Z768" s="30"/>
      <c r="AA768" s="30"/>
      <c r="AB768" s="30"/>
      <c r="AC768" s="30"/>
      <c r="AD768" s="30"/>
      <c r="AE768" s="30"/>
      <c r="AF768" s="30"/>
      <c r="AG768" s="30"/>
      <c r="AH768" s="30"/>
      <c r="AI768" s="30"/>
      <c r="AJ768" s="30"/>
      <c r="AK768" s="30"/>
      <c r="AL768" s="30"/>
      <c r="AM768" s="30"/>
      <c r="AN768" s="30"/>
    </row>
    <row r="769">
      <c r="A769" s="138"/>
      <c r="B769" s="142"/>
      <c r="C769" s="303"/>
      <c r="D769" s="138"/>
      <c r="E769" s="142"/>
      <c r="F769" s="303"/>
      <c r="G769" s="138"/>
      <c r="H769" s="142"/>
      <c r="I769" s="303"/>
      <c r="J769" s="138"/>
      <c r="K769" s="142"/>
      <c r="L769" s="303"/>
      <c r="M769" s="138"/>
      <c r="N769" s="142"/>
      <c r="O769" s="303"/>
      <c r="P769" s="138"/>
      <c r="Q769" s="142"/>
      <c r="R769" s="303"/>
      <c r="S769" s="138"/>
      <c r="T769" s="142"/>
      <c r="U769" s="303"/>
      <c r="V769" s="138"/>
      <c r="W769" s="142"/>
      <c r="X769" s="303"/>
      <c r="Y769" s="30"/>
      <c r="Z769" s="30"/>
      <c r="AA769" s="30"/>
      <c r="AB769" s="30"/>
      <c r="AC769" s="30"/>
      <c r="AD769" s="30"/>
      <c r="AE769" s="30"/>
      <c r="AF769" s="30"/>
      <c r="AG769" s="30"/>
      <c r="AH769" s="30"/>
      <c r="AI769" s="30"/>
      <c r="AJ769" s="30"/>
      <c r="AK769" s="30"/>
      <c r="AL769" s="30"/>
      <c r="AM769" s="30"/>
      <c r="AN769" s="30"/>
    </row>
    <row r="770">
      <c r="A770" s="138"/>
      <c r="B770" s="142"/>
      <c r="C770" s="303"/>
      <c r="D770" s="138"/>
      <c r="E770" s="142"/>
      <c r="F770" s="303"/>
      <c r="G770" s="138"/>
      <c r="H770" s="142"/>
      <c r="I770" s="303"/>
      <c r="J770" s="138"/>
      <c r="K770" s="142"/>
      <c r="L770" s="303"/>
      <c r="M770" s="138"/>
      <c r="N770" s="142"/>
      <c r="O770" s="303"/>
      <c r="P770" s="138"/>
      <c r="Q770" s="142"/>
      <c r="R770" s="303"/>
      <c r="S770" s="138"/>
      <c r="T770" s="142"/>
      <c r="U770" s="303"/>
      <c r="V770" s="138"/>
      <c r="W770" s="142"/>
      <c r="X770" s="303"/>
      <c r="Y770" s="30"/>
      <c r="Z770" s="30"/>
      <c r="AA770" s="30"/>
      <c r="AB770" s="30"/>
      <c r="AC770" s="30"/>
      <c r="AD770" s="30"/>
      <c r="AE770" s="30"/>
      <c r="AF770" s="30"/>
      <c r="AG770" s="30"/>
      <c r="AH770" s="30"/>
      <c r="AI770" s="30"/>
      <c r="AJ770" s="30"/>
      <c r="AK770" s="30"/>
      <c r="AL770" s="30"/>
      <c r="AM770" s="30"/>
      <c r="AN770" s="30"/>
    </row>
    <row r="771">
      <c r="A771" s="138"/>
      <c r="B771" s="142"/>
      <c r="C771" s="303"/>
      <c r="D771" s="138"/>
      <c r="E771" s="142"/>
      <c r="F771" s="303"/>
      <c r="G771" s="138"/>
      <c r="H771" s="142"/>
      <c r="I771" s="303"/>
      <c r="J771" s="138"/>
      <c r="K771" s="142"/>
      <c r="L771" s="303"/>
      <c r="M771" s="138"/>
      <c r="N771" s="142"/>
      <c r="O771" s="303"/>
      <c r="P771" s="138"/>
      <c r="Q771" s="142"/>
      <c r="R771" s="303"/>
      <c r="S771" s="138"/>
      <c r="T771" s="142"/>
      <c r="U771" s="303"/>
      <c r="V771" s="138"/>
      <c r="W771" s="142"/>
      <c r="X771" s="303"/>
      <c r="Y771" s="30"/>
      <c r="Z771" s="30"/>
      <c r="AA771" s="30"/>
      <c r="AB771" s="30"/>
      <c r="AC771" s="30"/>
      <c r="AD771" s="30"/>
      <c r="AE771" s="30"/>
      <c r="AF771" s="30"/>
      <c r="AG771" s="30"/>
      <c r="AH771" s="30"/>
      <c r="AI771" s="30"/>
      <c r="AJ771" s="30"/>
      <c r="AK771" s="30"/>
      <c r="AL771" s="30"/>
      <c r="AM771" s="30"/>
      <c r="AN771" s="30"/>
    </row>
    <row r="772">
      <c r="A772" s="138"/>
      <c r="B772" s="142"/>
      <c r="C772" s="303"/>
      <c r="D772" s="138"/>
      <c r="E772" s="142"/>
      <c r="F772" s="303"/>
      <c r="G772" s="138"/>
      <c r="H772" s="142"/>
      <c r="I772" s="303"/>
      <c r="J772" s="138"/>
      <c r="K772" s="142"/>
      <c r="L772" s="303"/>
      <c r="M772" s="138"/>
      <c r="N772" s="142"/>
      <c r="O772" s="303"/>
      <c r="P772" s="138"/>
      <c r="Q772" s="142"/>
      <c r="R772" s="303"/>
      <c r="S772" s="138"/>
      <c r="T772" s="142"/>
      <c r="U772" s="303"/>
      <c r="V772" s="138"/>
      <c r="W772" s="142"/>
      <c r="X772" s="303"/>
      <c r="Y772" s="30"/>
      <c r="Z772" s="30"/>
      <c r="AA772" s="30"/>
      <c r="AB772" s="30"/>
      <c r="AC772" s="30"/>
      <c r="AD772" s="30"/>
      <c r="AE772" s="30"/>
      <c r="AF772" s="30"/>
      <c r="AG772" s="30"/>
      <c r="AH772" s="30"/>
      <c r="AI772" s="30"/>
      <c r="AJ772" s="30"/>
      <c r="AK772" s="30"/>
      <c r="AL772" s="30"/>
      <c r="AM772" s="30"/>
      <c r="AN772" s="30"/>
    </row>
    <row r="773">
      <c r="A773" s="138"/>
      <c r="B773" s="142"/>
      <c r="C773" s="303"/>
      <c r="D773" s="138"/>
      <c r="E773" s="142"/>
      <c r="F773" s="303"/>
      <c r="G773" s="138"/>
      <c r="H773" s="142"/>
      <c r="I773" s="303"/>
      <c r="J773" s="138"/>
      <c r="K773" s="142"/>
      <c r="L773" s="303"/>
      <c r="M773" s="138"/>
      <c r="N773" s="142"/>
      <c r="O773" s="303"/>
      <c r="P773" s="138"/>
      <c r="Q773" s="142"/>
      <c r="R773" s="303"/>
      <c r="S773" s="138"/>
      <c r="T773" s="142"/>
      <c r="U773" s="303"/>
      <c r="V773" s="138"/>
      <c r="W773" s="142"/>
      <c r="X773" s="303"/>
      <c r="Y773" s="30"/>
      <c r="Z773" s="30"/>
      <c r="AA773" s="30"/>
      <c r="AB773" s="30"/>
      <c r="AC773" s="30"/>
      <c r="AD773" s="30"/>
      <c r="AE773" s="30"/>
      <c r="AF773" s="30"/>
      <c r="AG773" s="30"/>
      <c r="AH773" s="30"/>
      <c r="AI773" s="30"/>
      <c r="AJ773" s="30"/>
      <c r="AK773" s="30"/>
      <c r="AL773" s="30"/>
      <c r="AM773" s="30"/>
      <c r="AN773" s="30"/>
    </row>
    <row r="774">
      <c r="A774" s="138"/>
      <c r="B774" s="142"/>
      <c r="C774" s="303"/>
      <c r="D774" s="138"/>
      <c r="E774" s="142"/>
      <c r="F774" s="303"/>
      <c r="G774" s="138"/>
      <c r="H774" s="142"/>
      <c r="I774" s="303"/>
      <c r="J774" s="138"/>
      <c r="K774" s="142"/>
      <c r="L774" s="303"/>
      <c r="M774" s="138"/>
      <c r="N774" s="142"/>
      <c r="O774" s="303"/>
      <c r="P774" s="138"/>
      <c r="Q774" s="142"/>
      <c r="R774" s="303"/>
      <c r="S774" s="138"/>
      <c r="T774" s="142"/>
      <c r="U774" s="303"/>
      <c r="V774" s="138"/>
      <c r="W774" s="142"/>
      <c r="X774" s="303"/>
      <c r="Y774" s="30"/>
      <c r="Z774" s="30"/>
      <c r="AA774" s="30"/>
      <c r="AB774" s="30"/>
      <c r="AC774" s="30"/>
      <c r="AD774" s="30"/>
      <c r="AE774" s="30"/>
      <c r="AF774" s="30"/>
      <c r="AG774" s="30"/>
      <c r="AH774" s="30"/>
      <c r="AI774" s="30"/>
      <c r="AJ774" s="30"/>
      <c r="AK774" s="30"/>
      <c r="AL774" s="30"/>
      <c r="AM774" s="30"/>
      <c r="AN774" s="30"/>
    </row>
    <row r="775">
      <c r="A775" s="138"/>
      <c r="B775" s="142"/>
      <c r="C775" s="303"/>
      <c r="D775" s="138"/>
      <c r="E775" s="142"/>
      <c r="F775" s="303"/>
      <c r="G775" s="138"/>
      <c r="H775" s="142"/>
      <c r="I775" s="303"/>
      <c r="J775" s="138"/>
      <c r="K775" s="142"/>
      <c r="L775" s="303"/>
      <c r="M775" s="138"/>
      <c r="N775" s="142"/>
      <c r="O775" s="303"/>
      <c r="P775" s="138"/>
      <c r="Q775" s="142"/>
      <c r="R775" s="303"/>
      <c r="S775" s="138"/>
      <c r="T775" s="142"/>
      <c r="U775" s="303"/>
      <c r="V775" s="138"/>
      <c r="W775" s="142"/>
      <c r="X775" s="303"/>
      <c r="Y775" s="30"/>
      <c r="Z775" s="30"/>
      <c r="AA775" s="30"/>
      <c r="AB775" s="30"/>
      <c r="AC775" s="30"/>
      <c r="AD775" s="30"/>
      <c r="AE775" s="30"/>
      <c r="AF775" s="30"/>
      <c r="AG775" s="30"/>
      <c r="AH775" s="30"/>
      <c r="AI775" s="30"/>
      <c r="AJ775" s="30"/>
      <c r="AK775" s="30"/>
      <c r="AL775" s="30"/>
      <c r="AM775" s="30"/>
      <c r="AN775" s="30"/>
    </row>
    <row r="776">
      <c r="A776" s="138"/>
      <c r="B776" s="142"/>
      <c r="C776" s="303"/>
      <c r="D776" s="138"/>
      <c r="E776" s="142"/>
      <c r="F776" s="303"/>
      <c r="G776" s="138"/>
      <c r="H776" s="142"/>
      <c r="I776" s="303"/>
      <c r="J776" s="138"/>
      <c r="K776" s="142"/>
      <c r="L776" s="303"/>
      <c r="M776" s="138"/>
      <c r="N776" s="142"/>
      <c r="O776" s="303"/>
      <c r="P776" s="138"/>
      <c r="Q776" s="142"/>
      <c r="R776" s="303"/>
      <c r="S776" s="138"/>
      <c r="T776" s="142"/>
      <c r="U776" s="303"/>
      <c r="V776" s="138"/>
      <c r="W776" s="142"/>
      <c r="X776" s="303"/>
      <c r="Y776" s="30"/>
      <c r="Z776" s="30"/>
      <c r="AA776" s="30"/>
      <c r="AB776" s="30"/>
      <c r="AC776" s="30"/>
      <c r="AD776" s="30"/>
      <c r="AE776" s="30"/>
      <c r="AF776" s="30"/>
      <c r="AG776" s="30"/>
      <c r="AH776" s="30"/>
      <c r="AI776" s="30"/>
      <c r="AJ776" s="30"/>
      <c r="AK776" s="30"/>
      <c r="AL776" s="30"/>
      <c r="AM776" s="30"/>
      <c r="AN776" s="30"/>
    </row>
    <row r="777">
      <c r="A777" s="138"/>
      <c r="B777" s="142"/>
      <c r="C777" s="303"/>
      <c r="D777" s="138"/>
      <c r="E777" s="142"/>
      <c r="F777" s="303"/>
      <c r="G777" s="138"/>
      <c r="H777" s="142"/>
      <c r="I777" s="303"/>
      <c r="J777" s="138"/>
      <c r="K777" s="142"/>
      <c r="L777" s="303"/>
      <c r="M777" s="138"/>
      <c r="N777" s="142"/>
      <c r="O777" s="303"/>
      <c r="P777" s="138"/>
      <c r="Q777" s="142"/>
      <c r="R777" s="303"/>
      <c r="S777" s="138"/>
      <c r="T777" s="142"/>
      <c r="U777" s="303"/>
      <c r="V777" s="138"/>
      <c r="W777" s="142"/>
      <c r="X777" s="303"/>
      <c r="Y777" s="30"/>
      <c r="Z777" s="30"/>
      <c r="AA777" s="30"/>
      <c r="AB777" s="30"/>
      <c r="AC777" s="30"/>
      <c r="AD777" s="30"/>
      <c r="AE777" s="30"/>
      <c r="AF777" s="30"/>
      <c r="AG777" s="30"/>
      <c r="AH777" s="30"/>
      <c r="AI777" s="30"/>
      <c r="AJ777" s="30"/>
      <c r="AK777" s="30"/>
      <c r="AL777" s="30"/>
      <c r="AM777" s="30"/>
      <c r="AN777" s="30"/>
    </row>
    <row r="778">
      <c r="A778" s="138"/>
      <c r="B778" s="142"/>
      <c r="C778" s="303"/>
      <c r="D778" s="138"/>
      <c r="E778" s="142"/>
      <c r="F778" s="303"/>
      <c r="G778" s="138"/>
      <c r="H778" s="142"/>
      <c r="I778" s="303"/>
      <c r="J778" s="138"/>
      <c r="K778" s="142"/>
      <c r="L778" s="303"/>
      <c r="M778" s="138"/>
      <c r="N778" s="142"/>
      <c r="O778" s="303"/>
      <c r="P778" s="138"/>
      <c r="Q778" s="142"/>
      <c r="R778" s="303"/>
      <c r="S778" s="138"/>
      <c r="T778" s="142"/>
      <c r="U778" s="303"/>
      <c r="V778" s="138"/>
      <c r="W778" s="142"/>
      <c r="X778" s="303"/>
      <c r="Y778" s="30"/>
      <c r="Z778" s="30"/>
      <c r="AA778" s="30"/>
      <c r="AB778" s="30"/>
      <c r="AC778" s="30"/>
      <c r="AD778" s="30"/>
      <c r="AE778" s="30"/>
      <c r="AF778" s="30"/>
      <c r="AG778" s="30"/>
      <c r="AH778" s="30"/>
      <c r="AI778" s="30"/>
      <c r="AJ778" s="30"/>
      <c r="AK778" s="30"/>
      <c r="AL778" s="30"/>
      <c r="AM778" s="30"/>
      <c r="AN778" s="30"/>
    </row>
    <row r="779">
      <c r="A779" s="138"/>
      <c r="B779" s="142"/>
      <c r="C779" s="303"/>
      <c r="D779" s="138"/>
      <c r="E779" s="142"/>
      <c r="F779" s="303"/>
      <c r="G779" s="138"/>
      <c r="H779" s="142"/>
      <c r="I779" s="303"/>
      <c r="J779" s="138"/>
      <c r="K779" s="142"/>
      <c r="L779" s="303"/>
      <c r="M779" s="138"/>
      <c r="N779" s="142"/>
      <c r="O779" s="303"/>
      <c r="P779" s="138"/>
      <c r="Q779" s="142"/>
      <c r="R779" s="303"/>
      <c r="S779" s="138"/>
      <c r="T779" s="142"/>
      <c r="U779" s="303"/>
      <c r="V779" s="138"/>
      <c r="W779" s="142"/>
      <c r="X779" s="303"/>
      <c r="Y779" s="30"/>
      <c r="Z779" s="30"/>
      <c r="AA779" s="30"/>
      <c r="AB779" s="30"/>
      <c r="AC779" s="30"/>
      <c r="AD779" s="30"/>
      <c r="AE779" s="30"/>
      <c r="AF779" s="30"/>
      <c r="AG779" s="30"/>
      <c r="AH779" s="30"/>
      <c r="AI779" s="30"/>
      <c r="AJ779" s="30"/>
      <c r="AK779" s="30"/>
      <c r="AL779" s="30"/>
      <c r="AM779" s="30"/>
      <c r="AN779" s="30"/>
    </row>
    <row r="780">
      <c r="A780" s="138"/>
      <c r="B780" s="142"/>
      <c r="C780" s="303"/>
      <c r="D780" s="138"/>
      <c r="E780" s="142"/>
      <c r="F780" s="303"/>
      <c r="G780" s="138"/>
      <c r="H780" s="142"/>
      <c r="I780" s="303"/>
      <c r="J780" s="138"/>
      <c r="K780" s="142"/>
      <c r="L780" s="303"/>
      <c r="M780" s="138"/>
      <c r="N780" s="142"/>
      <c r="O780" s="303"/>
      <c r="P780" s="138"/>
      <c r="Q780" s="142"/>
      <c r="R780" s="303"/>
      <c r="S780" s="138"/>
      <c r="T780" s="142"/>
      <c r="U780" s="303"/>
      <c r="V780" s="138"/>
      <c r="W780" s="142"/>
      <c r="X780" s="303"/>
      <c r="Y780" s="30"/>
      <c r="Z780" s="30"/>
      <c r="AA780" s="30"/>
      <c r="AB780" s="30"/>
      <c r="AC780" s="30"/>
      <c r="AD780" s="30"/>
      <c r="AE780" s="30"/>
      <c r="AF780" s="30"/>
      <c r="AG780" s="30"/>
      <c r="AH780" s="30"/>
      <c r="AI780" s="30"/>
      <c r="AJ780" s="30"/>
      <c r="AK780" s="30"/>
      <c r="AL780" s="30"/>
      <c r="AM780" s="30"/>
      <c r="AN780" s="30"/>
    </row>
    <row r="781">
      <c r="A781" s="138"/>
      <c r="B781" s="142"/>
      <c r="C781" s="303"/>
      <c r="D781" s="138"/>
      <c r="E781" s="142"/>
      <c r="F781" s="303"/>
      <c r="G781" s="138"/>
      <c r="H781" s="142"/>
      <c r="I781" s="303"/>
      <c r="J781" s="138"/>
      <c r="K781" s="142"/>
      <c r="L781" s="303"/>
      <c r="M781" s="138"/>
      <c r="N781" s="142"/>
      <c r="O781" s="303"/>
      <c r="P781" s="138"/>
      <c r="Q781" s="142"/>
      <c r="R781" s="303"/>
      <c r="S781" s="138"/>
      <c r="T781" s="142"/>
      <c r="U781" s="303"/>
      <c r="V781" s="138"/>
      <c r="W781" s="142"/>
      <c r="X781" s="303"/>
      <c r="Y781" s="30"/>
      <c r="Z781" s="30"/>
      <c r="AA781" s="30"/>
      <c r="AB781" s="30"/>
      <c r="AC781" s="30"/>
      <c r="AD781" s="30"/>
      <c r="AE781" s="30"/>
      <c r="AF781" s="30"/>
      <c r="AG781" s="30"/>
      <c r="AH781" s="30"/>
      <c r="AI781" s="30"/>
      <c r="AJ781" s="30"/>
      <c r="AK781" s="30"/>
      <c r="AL781" s="30"/>
      <c r="AM781" s="30"/>
      <c r="AN781" s="30"/>
    </row>
    <row r="782">
      <c r="A782" s="138"/>
      <c r="B782" s="142"/>
      <c r="C782" s="303"/>
      <c r="D782" s="138"/>
      <c r="E782" s="142"/>
      <c r="F782" s="303"/>
      <c r="G782" s="138"/>
      <c r="H782" s="142"/>
      <c r="I782" s="303"/>
      <c r="J782" s="138"/>
      <c r="K782" s="142"/>
      <c r="L782" s="303"/>
      <c r="M782" s="138"/>
      <c r="N782" s="142"/>
      <c r="O782" s="303"/>
      <c r="P782" s="138"/>
      <c r="Q782" s="142"/>
      <c r="R782" s="303"/>
      <c r="S782" s="138"/>
      <c r="T782" s="142"/>
      <c r="U782" s="303"/>
      <c r="V782" s="138"/>
      <c r="W782" s="142"/>
      <c r="X782" s="303"/>
      <c r="Y782" s="30"/>
      <c r="Z782" s="30"/>
      <c r="AA782" s="30"/>
      <c r="AB782" s="30"/>
      <c r="AC782" s="30"/>
      <c r="AD782" s="30"/>
      <c r="AE782" s="30"/>
      <c r="AF782" s="30"/>
      <c r="AG782" s="30"/>
      <c r="AH782" s="30"/>
      <c r="AI782" s="30"/>
      <c r="AJ782" s="30"/>
      <c r="AK782" s="30"/>
      <c r="AL782" s="30"/>
      <c r="AM782" s="30"/>
      <c r="AN782" s="30"/>
    </row>
    <row r="783">
      <c r="A783" s="138"/>
      <c r="B783" s="142"/>
      <c r="C783" s="303"/>
      <c r="D783" s="138"/>
      <c r="E783" s="142"/>
      <c r="F783" s="303"/>
      <c r="G783" s="138"/>
      <c r="H783" s="142"/>
      <c r="I783" s="303"/>
      <c r="J783" s="138"/>
      <c r="K783" s="142"/>
      <c r="L783" s="303"/>
      <c r="M783" s="138"/>
      <c r="N783" s="142"/>
      <c r="O783" s="303"/>
      <c r="P783" s="138"/>
      <c r="Q783" s="142"/>
      <c r="R783" s="303"/>
      <c r="S783" s="138"/>
      <c r="T783" s="142"/>
      <c r="U783" s="303"/>
      <c r="V783" s="138"/>
      <c r="W783" s="142"/>
      <c r="X783" s="303"/>
      <c r="Y783" s="30"/>
      <c r="Z783" s="30"/>
      <c r="AA783" s="30"/>
      <c r="AB783" s="30"/>
      <c r="AC783" s="30"/>
      <c r="AD783" s="30"/>
      <c r="AE783" s="30"/>
      <c r="AF783" s="30"/>
      <c r="AG783" s="30"/>
      <c r="AH783" s="30"/>
      <c r="AI783" s="30"/>
      <c r="AJ783" s="30"/>
      <c r="AK783" s="30"/>
      <c r="AL783" s="30"/>
      <c r="AM783" s="30"/>
      <c r="AN783" s="30"/>
    </row>
    <row r="784">
      <c r="A784" s="138"/>
      <c r="B784" s="142"/>
      <c r="C784" s="303"/>
      <c r="D784" s="138"/>
      <c r="E784" s="142"/>
      <c r="F784" s="303"/>
      <c r="G784" s="138"/>
      <c r="H784" s="142"/>
      <c r="I784" s="303"/>
      <c r="J784" s="138"/>
      <c r="K784" s="142"/>
      <c r="L784" s="303"/>
      <c r="M784" s="138"/>
      <c r="N784" s="142"/>
      <c r="O784" s="303"/>
      <c r="P784" s="138"/>
      <c r="Q784" s="142"/>
      <c r="R784" s="303"/>
      <c r="S784" s="138"/>
      <c r="T784" s="142"/>
      <c r="U784" s="303"/>
      <c r="V784" s="138"/>
      <c r="W784" s="142"/>
      <c r="X784" s="303"/>
      <c r="Y784" s="30"/>
      <c r="Z784" s="30"/>
      <c r="AA784" s="30"/>
      <c r="AB784" s="30"/>
      <c r="AC784" s="30"/>
      <c r="AD784" s="30"/>
      <c r="AE784" s="30"/>
      <c r="AF784" s="30"/>
      <c r="AG784" s="30"/>
      <c r="AH784" s="30"/>
      <c r="AI784" s="30"/>
      <c r="AJ784" s="30"/>
      <c r="AK784" s="30"/>
      <c r="AL784" s="30"/>
      <c r="AM784" s="30"/>
      <c r="AN784" s="30"/>
    </row>
    <row r="785">
      <c r="A785" s="138"/>
      <c r="B785" s="142"/>
      <c r="C785" s="303"/>
      <c r="D785" s="138"/>
      <c r="E785" s="142"/>
      <c r="F785" s="303"/>
      <c r="G785" s="138"/>
      <c r="H785" s="142"/>
      <c r="I785" s="303"/>
      <c r="J785" s="138"/>
      <c r="K785" s="142"/>
      <c r="L785" s="303"/>
      <c r="M785" s="138"/>
      <c r="N785" s="142"/>
      <c r="O785" s="303"/>
      <c r="P785" s="138"/>
      <c r="Q785" s="142"/>
      <c r="R785" s="303"/>
      <c r="S785" s="138"/>
      <c r="T785" s="142"/>
      <c r="U785" s="303"/>
      <c r="V785" s="138"/>
      <c r="W785" s="142"/>
      <c r="X785" s="303"/>
      <c r="Y785" s="30"/>
      <c r="Z785" s="30"/>
      <c r="AA785" s="30"/>
      <c r="AB785" s="30"/>
      <c r="AC785" s="30"/>
      <c r="AD785" s="30"/>
      <c r="AE785" s="30"/>
      <c r="AF785" s="30"/>
      <c r="AG785" s="30"/>
      <c r="AH785" s="30"/>
      <c r="AI785" s="30"/>
      <c r="AJ785" s="30"/>
      <c r="AK785" s="30"/>
      <c r="AL785" s="30"/>
      <c r="AM785" s="30"/>
      <c r="AN785" s="30"/>
    </row>
    <row r="786">
      <c r="A786" s="138"/>
      <c r="B786" s="142"/>
      <c r="C786" s="303"/>
      <c r="D786" s="138"/>
      <c r="E786" s="142"/>
      <c r="F786" s="303"/>
      <c r="G786" s="138"/>
      <c r="H786" s="142"/>
      <c r="I786" s="303"/>
      <c r="J786" s="138"/>
      <c r="K786" s="142"/>
      <c r="L786" s="303"/>
      <c r="M786" s="138"/>
      <c r="N786" s="142"/>
      <c r="O786" s="303"/>
      <c r="P786" s="138"/>
      <c r="Q786" s="142"/>
      <c r="R786" s="303"/>
      <c r="S786" s="138"/>
      <c r="T786" s="142"/>
      <c r="U786" s="303"/>
      <c r="V786" s="138"/>
      <c r="W786" s="142"/>
      <c r="X786" s="303"/>
      <c r="Y786" s="30"/>
      <c r="Z786" s="30"/>
      <c r="AA786" s="30"/>
      <c r="AB786" s="30"/>
      <c r="AC786" s="30"/>
      <c r="AD786" s="30"/>
      <c r="AE786" s="30"/>
      <c r="AF786" s="30"/>
      <c r="AG786" s="30"/>
      <c r="AH786" s="30"/>
      <c r="AI786" s="30"/>
      <c r="AJ786" s="30"/>
      <c r="AK786" s="30"/>
      <c r="AL786" s="30"/>
      <c r="AM786" s="30"/>
      <c r="AN786" s="30"/>
    </row>
    <row r="787">
      <c r="A787" s="138"/>
      <c r="B787" s="142"/>
      <c r="C787" s="303"/>
      <c r="D787" s="138"/>
      <c r="E787" s="142"/>
      <c r="F787" s="303"/>
      <c r="G787" s="138"/>
      <c r="H787" s="142"/>
      <c r="I787" s="303"/>
      <c r="J787" s="138"/>
      <c r="K787" s="142"/>
      <c r="L787" s="303"/>
      <c r="M787" s="138"/>
      <c r="N787" s="142"/>
      <c r="O787" s="303"/>
      <c r="P787" s="138"/>
      <c r="Q787" s="142"/>
      <c r="R787" s="303"/>
      <c r="S787" s="138"/>
      <c r="T787" s="142"/>
      <c r="U787" s="303"/>
      <c r="V787" s="138"/>
      <c r="W787" s="142"/>
      <c r="X787" s="303"/>
      <c r="Y787" s="30"/>
      <c r="Z787" s="30"/>
      <c r="AA787" s="30"/>
      <c r="AB787" s="30"/>
      <c r="AC787" s="30"/>
      <c r="AD787" s="30"/>
      <c r="AE787" s="30"/>
      <c r="AF787" s="30"/>
      <c r="AG787" s="30"/>
      <c r="AH787" s="30"/>
      <c r="AI787" s="30"/>
      <c r="AJ787" s="30"/>
      <c r="AK787" s="30"/>
      <c r="AL787" s="30"/>
      <c r="AM787" s="30"/>
      <c r="AN787" s="30"/>
    </row>
    <row r="788">
      <c r="A788" s="138"/>
      <c r="B788" s="142"/>
      <c r="C788" s="303"/>
      <c r="D788" s="138"/>
      <c r="E788" s="142"/>
      <c r="F788" s="303"/>
      <c r="G788" s="138"/>
      <c r="H788" s="142"/>
      <c r="I788" s="303"/>
      <c r="J788" s="138"/>
      <c r="K788" s="142"/>
      <c r="L788" s="303"/>
      <c r="M788" s="138"/>
      <c r="N788" s="142"/>
      <c r="O788" s="303"/>
      <c r="P788" s="138"/>
      <c r="Q788" s="142"/>
      <c r="R788" s="303"/>
      <c r="S788" s="138"/>
      <c r="T788" s="142"/>
      <c r="U788" s="303"/>
      <c r="V788" s="138"/>
      <c r="W788" s="142"/>
      <c r="X788" s="303"/>
      <c r="Y788" s="30"/>
      <c r="Z788" s="30"/>
      <c r="AA788" s="30"/>
      <c r="AB788" s="30"/>
      <c r="AC788" s="30"/>
      <c r="AD788" s="30"/>
      <c r="AE788" s="30"/>
      <c r="AF788" s="30"/>
      <c r="AG788" s="30"/>
      <c r="AH788" s="30"/>
      <c r="AI788" s="30"/>
      <c r="AJ788" s="30"/>
      <c r="AK788" s="30"/>
      <c r="AL788" s="30"/>
      <c r="AM788" s="30"/>
      <c r="AN788" s="30"/>
    </row>
    <row r="789">
      <c r="A789" s="138"/>
      <c r="B789" s="142"/>
      <c r="C789" s="303"/>
      <c r="D789" s="138"/>
      <c r="E789" s="142"/>
      <c r="F789" s="303"/>
      <c r="G789" s="138"/>
      <c r="H789" s="142"/>
      <c r="I789" s="303"/>
      <c r="J789" s="138"/>
      <c r="K789" s="142"/>
      <c r="L789" s="303"/>
      <c r="M789" s="138"/>
      <c r="N789" s="142"/>
      <c r="O789" s="303"/>
      <c r="P789" s="138"/>
      <c r="Q789" s="142"/>
      <c r="R789" s="303"/>
      <c r="S789" s="138"/>
      <c r="T789" s="142"/>
      <c r="U789" s="303"/>
      <c r="V789" s="138"/>
      <c r="W789" s="142"/>
      <c r="X789" s="303"/>
      <c r="Y789" s="30"/>
      <c r="Z789" s="30"/>
      <c r="AA789" s="30"/>
      <c r="AB789" s="30"/>
      <c r="AC789" s="30"/>
      <c r="AD789" s="30"/>
      <c r="AE789" s="30"/>
      <c r="AF789" s="30"/>
      <c r="AG789" s="30"/>
      <c r="AH789" s="30"/>
      <c r="AI789" s="30"/>
      <c r="AJ789" s="30"/>
      <c r="AK789" s="30"/>
      <c r="AL789" s="30"/>
      <c r="AM789" s="30"/>
      <c r="AN789" s="30"/>
    </row>
    <row r="790">
      <c r="A790" s="138"/>
      <c r="B790" s="142"/>
      <c r="C790" s="303"/>
      <c r="D790" s="138"/>
      <c r="E790" s="142"/>
      <c r="F790" s="303"/>
      <c r="G790" s="138"/>
      <c r="H790" s="142"/>
      <c r="I790" s="303"/>
      <c r="J790" s="138"/>
      <c r="K790" s="142"/>
      <c r="L790" s="303"/>
      <c r="M790" s="138"/>
      <c r="N790" s="142"/>
      <c r="O790" s="303"/>
      <c r="P790" s="138"/>
      <c r="Q790" s="142"/>
      <c r="R790" s="303"/>
      <c r="S790" s="138"/>
      <c r="T790" s="142"/>
      <c r="U790" s="303"/>
      <c r="V790" s="138"/>
      <c r="W790" s="142"/>
      <c r="X790" s="303"/>
      <c r="Y790" s="30"/>
      <c r="Z790" s="30"/>
      <c r="AA790" s="30"/>
      <c r="AB790" s="30"/>
      <c r="AC790" s="30"/>
      <c r="AD790" s="30"/>
      <c r="AE790" s="30"/>
      <c r="AF790" s="30"/>
      <c r="AG790" s="30"/>
      <c r="AH790" s="30"/>
      <c r="AI790" s="30"/>
      <c r="AJ790" s="30"/>
      <c r="AK790" s="30"/>
      <c r="AL790" s="30"/>
      <c r="AM790" s="30"/>
      <c r="AN790" s="30"/>
    </row>
    <row r="791">
      <c r="A791" s="138"/>
      <c r="B791" s="142"/>
      <c r="C791" s="303"/>
      <c r="D791" s="138"/>
      <c r="E791" s="142"/>
      <c r="F791" s="303"/>
      <c r="G791" s="138"/>
      <c r="H791" s="142"/>
      <c r="I791" s="303"/>
      <c r="J791" s="138"/>
      <c r="K791" s="142"/>
      <c r="L791" s="303"/>
      <c r="M791" s="138"/>
      <c r="N791" s="142"/>
      <c r="O791" s="303"/>
      <c r="P791" s="138"/>
      <c r="Q791" s="142"/>
      <c r="R791" s="303"/>
      <c r="S791" s="138"/>
      <c r="T791" s="142"/>
      <c r="U791" s="303"/>
      <c r="V791" s="138"/>
      <c r="W791" s="142"/>
      <c r="X791" s="303"/>
      <c r="Y791" s="30"/>
      <c r="Z791" s="30"/>
      <c r="AA791" s="30"/>
      <c r="AB791" s="30"/>
      <c r="AC791" s="30"/>
      <c r="AD791" s="30"/>
      <c r="AE791" s="30"/>
      <c r="AF791" s="30"/>
      <c r="AG791" s="30"/>
      <c r="AH791" s="30"/>
      <c r="AI791" s="30"/>
      <c r="AJ791" s="30"/>
      <c r="AK791" s="30"/>
      <c r="AL791" s="30"/>
      <c r="AM791" s="30"/>
      <c r="AN791" s="30"/>
    </row>
    <row r="792">
      <c r="A792" s="138"/>
      <c r="B792" s="142"/>
      <c r="C792" s="303"/>
      <c r="D792" s="138"/>
      <c r="E792" s="142"/>
      <c r="F792" s="303"/>
      <c r="G792" s="138"/>
      <c r="H792" s="142"/>
      <c r="I792" s="303"/>
      <c r="J792" s="138"/>
      <c r="K792" s="142"/>
      <c r="L792" s="303"/>
      <c r="M792" s="138"/>
      <c r="N792" s="142"/>
      <c r="O792" s="303"/>
      <c r="P792" s="138"/>
      <c r="Q792" s="142"/>
      <c r="R792" s="303"/>
      <c r="S792" s="138"/>
      <c r="T792" s="142"/>
      <c r="U792" s="303"/>
      <c r="V792" s="138"/>
      <c r="W792" s="142"/>
      <c r="X792" s="303"/>
      <c r="Y792" s="30"/>
      <c r="Z792" s="30"/>
      <c r="AA792" s="30"/>
      <c r="AB792" s="30"/>
      <c r="AC792" s="30"/>
      <c r="AD792" s="30"/>
      <c r="AE792" s="30"/>
      <c r="AF792" s="30"/>
      <c r="AG792" s="30"/>
      <c r="AH792" s="30"/>
      <c r="AI792" s="30"/>
      <c r="AJ792" s="30"/>
      <c r="AK792" s="30"/>
      <c r="AL792" s="30"/>
      <c r="AM792" s="30"/>
      <c r="AN792" s="30"/>
    </row>
    <row r="793">
      <c r="A793" s="138"/>
      <c r="B793" s="142"/>
      <c r="C793" s="303"/>
      <c r="D793" s="138"/>
      <c r="E793" s="142"/>
      <c r="F793" s="303"/>
      <c r="G793" s="138"/>
      <c r="H793" s="142"/>
      <c r="I793" s="303"/>
      <c r="J793" s="138"/>
      <c r="K793" s="142"/>
      <c r="L793" s="303"/>
      <c r="M793" s="138"/>
      <c r="N793" s="142"/>
      <c r="O793" s="303"/>
      <c r="P793" s="138"/>
      <c r="Q793" s="142"/>
      <c r="R793" s="303"/>
      <c r="S793" s="138"/>
      <c r="T793" s="142"/>
      <c r="U793" s="303"/>
      <c r="V793" s="138"/>
      <c r="W793" s="142"/>
      <c r="X793" s="303"/>
      <c r="Y793" s="30"/>
      <c r="Z793" s="30"/>
      <c r="AA793" s="30"/>
      <c r="AB793" s="30"/>
      <c r="AC793" s="30"/>
      <c r="AD793" s="30"/>
      <c r="AE793" s="30"/>
      <c r="AF793" s="30"/>
      <c r="AG793" s="30"/>
      <c r="AH793" s="30"/>
      <c r="AI793" s="30"/>
      <c r="AJ793" s="30"/>
      <c r="AK793" s="30"/>
      <c r="AL793" s="30"/>
      <c r="AM793" s="30"/>
      <c r="AN793" s="30"/>
    </row>
    <row r="794">
      <c r="A794" s="138"/>
      <c r="B794" s="142"/>
      <c r="C794" s="303"/>
      <c r="D794" s="138"/>
      <c r="E794" s="142"/>
      <c r="F794" s="303"/>
      <c r="G794" s="138"/>
      <c r="H794" s="142"/>
      <c r="I794" s="303"/>
      <c r="J794" s="138"/>
      <c r="K794" s="142"/>
      <c r="L794" s="303"/>
      <c r="M794" s="138"/>
      <c r="N794" s="142"/>
      <c r="O794" s="303"/>
      <c r="P794" s="138"/>
      <c r="Q794" s="142"/>
      <c r="R794" s="303"/>
      <c r="S794" s="138"/>
      <c r="T794" s="142"/>
      <c r="U794" s="303"/>
      <c r="V794" s="138"/>
      <c r="W794" s="142"/>
      <c r="X794" s="303"/>
      <c r="Y794" s="30"/>
      <c r="Z794" s="30"/>
      <c r="AA794" s="30"/>
      <c r="AB794" s="30"/>
      <c r="AC794" s="30"/>
      <c r="AD794" s="30"/>
      <c r="AE794" s="30"/>
      <c r="AF794" s="30"/>
      <c r="AG794" s="30"/>
      <c r="AH794" s="30"/>
      <c r="AI794" s="30"/>
      <c r="AJ794" s="30"/>
      <c r="AK794" s="30"/>
      <c r="AL794" s="30"/>
      <c r="AM794" s="30"/>
      <c r="AN794" s="30"/>
    </row>
    <row r="795">
      <c r="A795" s="138"/>
      <c r="B795" s="142"/>
      <c r="C795" s="303"/>
      <c r="D795" s="138"/>
      <c r="E795" s="142"/>
      <c r="F795" s="303"/>
      <c r="G795" s="138"/>
      <c r="H795" s="142"/>
      <c r="I795" s="303"/>
      <c r="J795" s="138"/>
      <c r="K795" s="142"/>
      <c r="L795" s="303"/>
      <c r="M795" s="138"/>
      <c r="N795" s="142"/>
      <c r="O795" s="303"/>
      <c r="P795" s="138"/>
      <c r="Q795" s="142"/>
      <c r="R795" s="303"/>
      <c r="S795" s="138"/>
      <c r="T795" s="142"/>
      <c r="U795" s="303"/>
      <c r="V795" s="138"/>
      <c r="W795" s="142"/>
      <c r="X795" s="303"/>
      <c r="Y795" s="30"/>
      <c r="Z795" s="30"/>
      <c r="AA795" s="30"/>
      <c r="AB795" s="30"/>
      <c r="AC795" s="30"/>
      <c r="AD795" s="30"/>
      <c r="AE795" s="30"/>
      <c r="AF795" s="30"/>
      <c r="AG795" s="30"/>
      <c r="AH795" s="30"/>
      <c r="AI795" s="30"/>
      <c r="AJ795" s="30"/>
      <c r="AK795" s="30"/>
      <c r="AL795" s="30"/>
      <c r="AM795" s="30"/>
      <c r="AN795" s="30"/>
    </row>
    <row r="796">
      <c r="A796" s="138"/>
      <c r="B796" s="142"/>
      <c r="C796" s="303"/>
      <c r="D796" s="138"/>
      <c r="E796" s="142"/>
      <c r="F796" s="303"/>
      <c r="G796" s="138"/>
      <c r="H796" s="142"/>
      <c r="I796" s="303"/>
      <c r="J796" s="138"/>
      <c r="K796" s="142"/>
      <c r="L796" s="303"/>
      <c r="M796" s="138"/>
      <c r="N796" s="142"/>
      <c r="O796" s="303"/>
      <c r="P796" s="138"/>
      <c r="Q796" s="142"/>
      <c r="R796" s="303"/>
      <c r="S796" s="138"/>
      <c r="T796" s="142"/>
      <c r="U796" s="303"/>
      <c r="V796" s="138"/>
      <c r="W796" s="142"/>
      <c r="X796" s="303"/>
      <c r="Y796" s="30"/>
      <c r="Z796" s="30"/>
      <c r="AA796" s="30"/>
      <c r="AB796" s="30"/>
      <c r="AC796" s="30"/>
      <c r="AD796" s="30"/>
      <c r="AE796" s="30"/>
      <c r="AF796" s="30"/>
      <c r="AG796" s="30"/>
      <c r="AH796" s="30"/>
      <c r="AI796" s="30"/>
      <c r="AJ796" s="30"/>
      <c r="AK796" s="30"/>
      <c r="AL796" s="30"/>
      <c r="AM796" s="30"/>
      <c r="AN796" s="30"/>
    </row>
    <row r="797">
      <c r="A797" s="138"/>
      <c r="B797" s="142"/>
      <c r="C797" s="303"/>
      <c r="D797" s="138"/>
      <c r="E797" s="142"/>
      <c r="F797" s="303"/>
      <c r="G797" s="138"/>
      <c r="H797" s="142"/>
      <c r="I797" s="303"/>
      <c r="J797" s="138"/>
      <c r="K797" s="142"/>
      <c r="L797" s="303"/>
      <c r="M797" s="138"/>
      <c r="N797" s="142"/>
      <c r="O797" s="303"/>
      <c r="P797" s="138"/>
      <c r="Q797" s="142"/>
      <c r="R797" s="303"/>
      <c r="S797" s="138"/>
      <c r="T797" s="142"/>
      <c r="U797" s="303"/>
      <c r="V797" s="138"/>
      <c r="W797" s="142"/>
      <c r="X797" s="303"/>
      <c r="Y797" s="30"/>
      <c r="Z797" s="30"/>
      <c r="AA797" s="30"/>
      <c r="AB797" s="30"/>
      <c r="AC797" s="30"/>
      <c r="AD797" s="30"/>
      <c r="AE797" s="30"/>
      <c r="AF797" s="30"/>
      <c r="AG797" s="30"/>
      <c r="AH797" s="30"/>
      <c r="AI797" s="30"/>
      <c r="AJ797" s="30"/>
      <c r="AK797" s="30"/>
      <c r="AL797" s="30"/>
      <c r="AM797" s="30"/>
      <c r="AN797" s="30"/>
    </row>
    <row r="798">
      <c r="A798" s="138"/>
      <c r="B798" s="142"/>
      <c r="C798" s="303"/>
      <c r="D798" s="138"/>
      <c r="E798" s="142"/>
      <c r="F798" s="303"/>
      <c r="G798" s="138"/>
      <c r="H798" s="142"/>
      <c r="I798" s="303"/>
      <c r="J798" s="138"/>
      <c r="K798" s="142"/>
      <c r="L798" s="303"/>
      <c r="M798" s="138"/>
      <c r="N798" s="142"/>
      <c r="O798" s="303"/>
      <c r="P798" s="138"/>
      <c r="Q798" s="142"/>
      <c r="R798" s="303"/>
      <c r="S798" s="138"/>
      <c r="T798" s="142"/>
      <c r="U798" s="303"/>
      <c r="V798" s="138"/>
      <c r="W798" s="142"/>
      <c r="X798" s="303"/>
      <c r="Y798" s="30"/>
      <c r="Z798" s="30"/>
      <c r="AA798" s="30"/>
      <c r="AB798" s="30"/>
      <c r="AC798" s="30"/>
      <c r="AD798" s="30"/>
      <c r="AE798" s="30"/>
      <c r="AF798" s="30"/>
      <c r="AG798" s="30"/>
      <c r="AH798" s="30"/>
      <c r="AI798" s="30"/>
      <c r="AJ798" s="30"/>
      <c r="AK798" s="30"/>
      <c r="AL798" s="30"/>
      <c r="AM798" s="30"/>
      <c r="AN798" s="30"/>
    </row>
    <row r="799">
      <c r="A799" s="138"/>
      <c r="B799" s="142"/>
      <c r="C799" s="303"/>
      <c r="D799" s="138"/>
      <c r="E799" s="142"/>
      <c r="F799" s="303"/>
      <c r="G799" s="138"/>
      <c r="H799" s="142"/>
      <c r="I799" s="303"/>
      <c r="J799" s="138"/>
      <c r="K799" s="142"/>
      <c r="L799" s="303"/>
      <c r="M799" s="138"/>
      <c r="N799" s="142"/>
      <c r="O799" s="303"/>
      <c r="P799" s="138"/>
      <c r="Q799" s="142"/>
      <c r="R799" s="303"/>
      <c r="S799" s="138"/>
      <c r="T799" s="142"/>
      <c r="U799" s="303"/>
      <c r="V799" s="138"/>
      <c r="W799" s="142"/>
      <c r="X799" s="303"/>
      <c r="Y799" s="30"/>
      <c r="Z799" s="30"/>
      <c r="AA799" s="30"/>
      <c r="AB799" s="30"/>
      <c r="AC799" s="30"/>
      <c r="AD799" s="30"/>
      <c r="AE799" s="30"/>
      <c r="AF799" s="30"/>
      <c r="AG799" s="30"/>
      <c r="AH799" s="30"/>
      <c r="AI799" s="30"/>
      <c r="AJ799" s="30"/>
      <c r="AK799" s="30"/>
      <c r="AL799" s="30"/>
      <c r="AM799" s="30"/>
      <c r="AN799" s="30"/>
    </row>
    <row r="800">
      <c r="A800" s="138"/>
      <c r="B800" s="142"/>
      <c r="C800" s="303"/>
      <c r="D800" s="138"/>
      <c r="E800" s="142"/>
      <c r="F800" s="303"/>
      <c r="G800" s="138"/>
      <c r="H800" s="142"/>
      <c r="I800" s="303"/>
      <c r="J800" s="138"/>
      <c r="K800" s="142"/>
      <c r="L800" s="303"/>
      <c r="M800" s="138"/>
      <c r="N800" s="142"/>
      <c r="O800" s="303"/>
      <c r="P800" s="138"/>
      <c r="Q800" s="142"/>
      <c r="R800" s="303"/>
      <c r="S800" s="138"/>
      <c r="T800" s="142"/>
      <c r="U800" s="303"/>
      <c r="V800" s="138"/>
      <c r="W800" s="142"/>
      <c r="X800" s="303"/>
      <c r="Y800" s="30"/>
      <c r="Z800" s="30"/>
      <c r="AA800" s="30"/>
      <c r="AB800" s="30"/>
      <c r="AC800" s="30"/>
      <c r="AD800" s="30"/>
      <c r="AE800" s="30"/>
      <c r="AF800" s="30"/>
      <c r="AG800" s="30"/>
      <c r="AH800" s="30"/>
      <c r="AI800" s="30"/>
      <c r="AJ800" s="30"/>
      <c r="AK800" s="30"/>
      <c r="AL800" s="30"/>
      <c r="AM800" s="30"/>
      <c r="AN800" s="30"/>
    </row>
    <row r="801">
      <c r="A801" s="138"/>
      <c r="B801" s="142"/>
      <c r="C801" s="303"/>
      <c r="D801" s="138"/>
      <c r="E801" s="142"/>
      <c r="F801" s="303"/>
      <c r="G801" s="138"/>
      <c r="H801" s="142"/>
      <c r="I801" s="303"/>
      <c r="J801" s="138"/>
      <c r="K801" s="142"/>
      <c r="L801" s="303"/>
      <c r="M801" s="138"/>
      <c r="N801" s="142"/>
      <c r="O801" s="303"/>
      <c r="P801" s="138"/>
      <c r="Q801" s="142"/>
      <c r="R801" s="303"/>
      <c r="S801" s="138"/>
      <c r="T801" s="142"/>
      <c r="U801" s="303"/>
      <c r="V801" s="138"/>
      <c r="W801" s="142"/>
      <c r="X801" s="303"/>
      <c r="Y801" s="30"/>
      <c r="Z801" s="30"/>
      <c r="AA801" s="30"/>
      <c r="AB801" s="30"/>
      <c r="AC801" s="30"/>
      <c r="AD801" s="30"/>
      <c r="AE801" s="30"/>
      <c r="AF801" s="30"/>
      <c r="AG801" s="30"/>
      <c r="AH801" s="30"/>
      <c r="AI801" s="30"/>
      <c r="AJ801" s="30"/>
      <c r="AK801" s="30"/>
      <c r="AL801" s="30"/>
      <c r="AM801" s="30"/>
      <c r="AN801" s="30"/>
    </row>
    <row r="802">
      <c r="A802" s="138"/>
      <c r="B802" s="142"/>
      <c r="C802" s="303"/>
      <c r="D802" s="138"/>
      <c r="E802" s="142"/>
      <c r="F802" s="303"/>
      <c r="G802" s="138"/>
      <c r="H802" s="142"/>
      <c r="I802" s="303"/>
      <c r="J802" s="138"/>
      <c r="K802" s="142"/>
      <c r="L802" s="303"/>
      <c r="M802" s="138"/>
      <c r="N802" s="142"/>
      <c r="O802" s="303"/>
      <c r="P802" s="138"/>
      <c r="Q802" s="142"/>
      <c r="R802" s="303"/>
      <c r="S802" s="138"/>
      <c r="T802" s="142"/>
      <c r="U802" s="303"/>
      <c r="V802" s="138"/>
      <c r="W802" s="142"/>
      <c r="X802" s="303"/>
      <c r="Y802" s="30"/>
      <c r="Z802" s="30"/>
      <c r="AA802" s="30"/>
      <c r="AB802" s="30"/>
      <c r="AC802" s="30"/>
      <c r="AD802" s="30"/>
      <c r="AE802" s="30"/>
      <c r="AF802" s="30"/>
      <c r="AG802" s="30"/>
      <c r="AH802" s="30"/>
      <c r="AI802" s="30"/>
      <c r="AJ802" s="30"/>
      <c r="AK802" s="30"/>
      <c r="AL802" s="30"/>
      <c r="AM802" s="30"/>
      <c r="AN802" s="30"/>
    </row>
    <row r="803">
      <c r="A803" s="138"/>
      <c r="B803" s="142"/>
      <c r="C803" s="303"/>
      <c r="D803" s="138"/>
      <c r="E803" s="142"/>
      <c r="F803" s="303"/>
      <c r="G803" s="138"/>
      <c r="H803" s="142"/>
      <c r="I803" s="303"/>
      <c r="J803" s="138"/>
      <c r="K803" s="142"/>
      <c r="L803" s="303"/>
      <c r="M803" s="138"/>
      <c r="N803" s="142"/>
      <c r="O803" s="303"/>
      <c r="P803" s="138"/>
      <c r="Q803" s="142"/>
      <c r="R803" s="303"/>
      <c r="S803" s="138"/>
      <c r="T803" s="142"/>
      <c r="U803" s="303"/>
      <c r="V803" s="138"/>
      <c r="W803" s="142"/>
      <c r="X803" s="303"/>
      <c r="Y803" s="30"/>
      <c r="Z803" s="30"/>
      <c r="AA803" s="30"/>
      <c r="AB803" s="30"/>
      <c r="AC803" s="30"/>
      <c r="AD803" s="30"/>
      <c r="AE803" s="30"/>
      <c r="AF803" s="30"/>
      <c r="AG803" s="30"/>
      <c r="AH803" s="30"/>
      <c r="AI803" s="30"/>
      <c r="AJ803" s="30"/>
      <c r="AK803" s="30"/>
      <c r="AL803" s="30"/>
      <c r="AM803" s="30"/>
      <c r="AN803" s="30"/>
    </row>
    <row r="804">
      <c r="A804" s="138"/>
      <c r="B804" s="142"/>
      <c r="C804" s="303"/>
      <c r="D804" s="138"/>
      <c r="E804" s="142"/>
      <c r="F804" s="303"/>
      <c r="G804" s="138"/>
      <c r="H804" s="142"/>
      <c r="I804" s="303"/>
      <c r="J804" s="138"/>
      <c r="K804" s="142"/>
      <c r="L804" s="303"/>
      <c r="M804" s="138"/>
      <c r="N804" s="142"/>
      <c r="O804" s="303"/>
      <c r="P804" s="138"/>
      <c r="Q804" s="142"/>
      <c r="R804" s="303"/>
      <c r="S804" s="138"/>
      <c r="T804" s="142"/>
      <c r="U804" s="303"/>
      <c r="V804" s="138"/>
      <c r="W804" s="142"/>
      <c r="X804" s="303"/>
      <c r="Y804" s="30"/>
      <c r="Z804" s="30"/>
      <c r="AA804" s="30"/>
      <c r="AB804" s="30"/>
      <c r="AC804" s="30"/>
      <c r="AD804" s="30"/>
      <c r="AE804" s="30"/>
      <c r="AF804" s="30"/>
      <c r="AG804" s="30"/>
      <c r="AH804" s="30"/>
      <c r="AI804" s="30"/>
      <c r="AJ804" s="30"/>
      <c r="AK804" s="30"/>
      <c r="AL804" s="30"/>
      <c r="AM804" s="30"/>
      <c r="AN804" s="30"/>
    </row>
    <row r="805">
      <c r="A805" s="138"/>
      <c r="B805" s="142"/>
      <c r="C805" s="303"/>
      <c r="D805" s="138"/>
      <c r="E805" s="142"/>
      <c r="F805" s="303"/>
      <c r="G805" s="138"/>
      <c r="H805" s="142"/>
      <c r="I805" s="303"/>
      <c r="J805" s="138"/>
      <c r="K805" s="142"/>
      <c r="L805" s="303"/>
      <c r="M805" s="138"/>
      <c r="N805" s="142"/>
      <c r="O805" s="303"/>
      <c r="P805" s="138"/>
      <c r="Q805" s="142"/>
      <c r="R805" s="303"/>
      <c r="S805" s="138"/>
      <c r="T805" s="142"/>
      <c r="U805" s="303"/>
      <c r="V805" s="138"/>
      <c r="W805" s="142"/>
      <c r="X805" s="303"/>
      <c r="Y805" s="30"/>
      <c r="Z805" s="30"/>
      <c r="AA805" s="30"/>
      <c r="AB805" s="30"/>
      <c r="AC805" s="30"/>
      <c r="AD805" s="30"/>
      <c r="AE805" s="30"/>
      <c r="AF805" s="30"/>
      <c r="AG805" s="30"/>
      <c r="AH805" s="30"/>
      <c r="AI805" s="30"/>
      <c r="AJ805" s="30"/>
      <c r="AK805" s="30"/>
      <c r="AL805" s="30"/>
      <c r="AM805" s="30"/>
      <c r="AN805" s="30"/>
    </row>
    <row r="806">
      <c r="A806" s="138"/>
      <c r="B806" s="142"/>
      <c r="C806" s="303"/>
      <c r="D806" s="138"/>
      <c r="E806" s="142"/>
      <c r="F806" s="303"/>
      <c r="G806" s="138"/>
      <c r="H806" s="142"/>
      <c r="I806" s="303"/>
      <c r="J806" s="138"/>
      <c r="K806" s="142"/>
      <c r="L806" s="303"/>
      <c r="M806" s="138"/>
      <c r="N806" s="142"/>
      <c r="O806" s="303"/>
      <c r="P806" s="138"/>
      <c r="Q806" s="142"/>
      <c r="R806" s="303"/>
      <c r="S806" s="138"/>
      <c r="T806" s="142"/>
      <c r="U806" s="303"/>
      <c r="V806" s="138"/>
      <c r="W806" s="142"/>
      <c r="X806" s="303"/>
      <c r="Y806" s="30"/>
      <c r="Z806" s="30"/>
      <c r="AA806" s="30"/>
      <c r="AB806" s="30"/>
      <c r="AC806" s="30"/>
      <c r="AD806" s="30"/>
      <c r="AE806" s="30"/>
      <c r="AF806" s="30"/>
      <c r="AG806" s="30"/>
      <c r="AH806" s="30"/>
      <c r="AI806" s="30"/>
      <c r="AJ806" s="30"/>
      <c r="AK806" s="30"/>
      <c r="AL806" s="30"/>
      <c r="AM806" s="30"/>
      <c r="AN806" s="30"/>
    </row>
    <row r="807">
      <c r="A807" s="138"/>
      <c r="B807" s="142"/>
      <c r="C807" s="303"/>
      <c r="D807" s="138"/>
      <c r="E807" s="142"/>
      <c r="F807" s="303"/>
      <c r="G807" s="138"/>
      <c r="H807" s="142"/>
      <c r="I807" s="303"/>
      <c r="J807" s="138"/>
      <c r="K807" s="142"/>
      <c r="L807" s="303"/>
      <c r="M807" s="138"/>
      <c r="N807" s="142"/>
      <c r="O807" s="303"/>
      <c r="P807" s="138"/>
      <c r="Q807" s="142"/>
      <c r="R807" s="303"/>
      <c r="S807" s="138"/>
      <c r="T807" s="142"/>
      <c r="U807" s="303"/>
      <c r="V807" s="138"/>
      <c r="W807" s="142"/>
      <c r="X807" s="303"/>
      <c r="Y807" s="30"/>
      <c r="Z807" s="30"/>
      <c r="AA807" s="30"/>
      <c r="AB807" s="30"/>
      <c r="AC807" s="30"/>
      <c r="AD807" s="30"/>
      <c r="AE807" s="30"/>
      <c r="AF807" s="30"/>
      <c r="AG807" s="30"/>
      <c r="AH807" s="30"/>
      <c r="AI807" s="30"/>
      <c r="AJ807" s="30"/>
      <c r="AK807" s="30"/>
      <c r="AL807" s="30"/>
      <c r="AM807" s="30"/>
      <c r="AN807" s="30"/>
    </row>
    <row r="808">
      <c r="A808" s="138"/>
      <c r="B808" s="142"/>
      <c r="C808" s="303"/>
      <c r="D808" s="138"/>
      <c r="E808" s="142"/>
      <c r="F808" s="303"/>
      <c r="G808" s="138"/>
      <c r="H808" s="142"/>
      <c r="I808" s="303"/>
      <c r="J808" s="138"/>
      <c r="K808" s="142"/>
      <c r="L808" s="303"/>
      <c r="M808" s="138"/>
      <c r="N808" s="142"/>
      <c r="O808" s="303"/>
      <c r="P808" s="138"/>
      <c r="Q808" s="142"/>
      <c r="R808" s="303"/>
      <c r="S808" s="138"/>
      <c r="T808" s="142"/>
      <c r="U808" s="303"/>
      <c r="V808" s="138"/>
      <c r="W808" s="142"/>
      <c r="X808" s="303"/>
      <c r="Y808" s="30"/>
      <c r="Z808" s="30"/>
      <c r="AA808" s="30"/>
      <c r="AB808" s="30"/>
      <c r="AC808" s="30"/>
      <c r="AD808" s="30"/>
      <c r="AE808" s="30"/>
      <c r="AF808" s="30"/>
      <c r="AG808" s="30"/>
      <c r="AH808" s="30"/>
      <c r="AI808" s="30"/>
      <c r="AJ808" s="30"/>
      <c r="AK808" s="30"/>
      <c r="AL808" s="30"/>
      <c r="AM808" s="30"/>
      <c r="AN808" s="30"/>
    </row>
    <row r="809">
      <c r="A809" s="138"/>
      <c r="B809" s="142"/>
      <c r="C809" s="303"/>
      <c r="D809" s="138"/>
      <c r="E809" s="142"/>
      <c r="F809" s="303"/>
      <c r="G809" s="138"/>
      <c r="H809" s="142"/>
      <c r="I809" s="303"/>
      <c r="J809" s="138"/>
      <c r="K809" s="142"/>
      <c r="L809" s="303"/>
      <c r="M809" s="138"/>
      <c r="N809" s="142"/>
      <c r="O809" s="303"/>
      <c r="P809" s="138"/>
      <c r="Q809" s="142"/>
      <c r="R809" s="303"/>
      <c r="S809" s="138"/>
      <c r="T809" s="142"/>
      <c r="U809" s="303"/>
      <c r="V809" s="138"/>
      <c r="W809" s="142"/>
      <c r="X809" s="303"/>
      <c r="Y809" s="30"/>
      <c r="Z809" s="30"/>
      <c r="AA809" s="30"/>
      <c r="AB809" s="30"/>
      <c r="AC809" s="30"/>
      <c r="AD809" s="30"/>
      <c r="AE809" s="30"/>
      <c r="AF809" s="30"/>
      <c r="AG809" s="30"/>
      <c r="AH809" s="30"/>
      <c r="AI809" s="30"/>
      <c r="AJ809" s="30"/>
      <c r="AK809" s="30"/>
      <c r="AL809" s="30"/>
      <c r="AM809" s="30"/>
      <c r="AN809" s="30"/>
    </row>
    <row r="810">
      <c r="A810" s="138"/>
      <c r="B810" s="142"/>
      <c r="C810" s="303"/>
      <c r="D810" s="138"/>
      <c r="E810" s="142"/>
      <c r="F810" s="303"/>
      <c r="G810" s="138"/>
      <c r="H810" s="142"/>
      <c r="I810" s="303"/>
      <c r="J810" s="138"/>
      <c r="K810" s="142"/>
      <c r="L810" s="303"/>
      <c r="M810" s="138"/>
      <c r="N810" s="142"/>
      <c r="O810" s="303"/>
      <c r="P810" s="138"/>
      <c r="Q810" s="142"/>
      <c r="R810" s="303"/>
      <c r="S810" s="138"/>
      <c r="T810" s="142"/>
      <c r="U810" s="303"/>
      <c r="V810" s="138"/>
      <c r="W810" s="142"/>
      <c r="X810" s="303"/>
      <c r="Y810" s="30"/>
      <c r="Z810" s="30"/>
      <c r="AA810" s="30"/>
      <c r="AB810" s="30"/>
      <c r="AC810" s="30"/>
      <c r="AD810" s="30"/>
      <c r="AE810" s="30"/>
      <c r="AF810" s="30"/>
      <c r="AG810" s="30"/>
      <c r="AH810" s="30"/>
      <c r="AI810" s="30"/>
      <c r="AJ810" s="30"/>
      <c r="AK810" s="30"/>
      <c r="AL810" s="30"/>
      <c r="AM810" s="30"/>
      <c r="AN810" s="30"/>
    </row>
    <row r="811">
      <c r="A811" s="138"/>
      <c r="B811" s="142"/>
      <c r="C811" s="303"/>
      <c r="D811" s="138"/>
      <c r="E811" s="142"/>
      <c r="F811" s="303"/>
      <c r="G811" s="138"/>
      <c r="H811" s="142"/>
      <c r="I811" s="303"/>
      <c r="J811" s="138"/>
      <c r="K811" s="142"/>
      <c r="L811" s="303"/>
      <c r="M811" s="138"/>
      <c r="N811" s="142"/>
      <c r="O811" s="303"/>
      <c r="P811" s="138"/>
      <c r="Q811" s="142"/>
      <c r="R811" s="303"/>
      <c r="S811" s="138"/>
      <c r="T811" s="142"/>
      <c r="U811" s="303"/>
      <c r="V811" s="138"/>
      <c r="W811" s="142"/>
      <c r="X811" s="303"/>
      <c r="Y811" s="30"/>
      <c r="Z811" s="30"/>
      <c r="AA811" s="30"/>
      <c r="AB811" s="30"/>
      <c r="AC811" s="30"/>
      <c r="AD811" s="30"/>
      <c r="AE811" s="30"/>
      <c r="AF811" s="30"/>
      <c r="AG811" s="30"/>
      <c r="AH811" s="30"/>
      <c r="AI811" s="30"/>
      <c r="AJ811" s="30"/>
      <c r="AK811" s="30"/>
      <c r="AL811" s="30"/>
      <c r="AM811" s="30"/>
      <c r="AN811" s="30"/>
    </row>
    <row r="812">
      <c r="A812" s="138"/>
      <c r="B812" s="142"/>
      <c r="C812" s="303"/>
      <c r="D812" s="138"/>
      <c r="E812" s="142"/>
      <c r="F812" s="303"/>
      <c r="G812" s="138"/>
      <c r="H812" s="142"/>
      <c r="I812" s="303"/>
      <c r="J812" s="138"/>
      <c r="K812" s="142"/>
      <c r="L812" s="303"/>
      <c r="M812" s="138"/>
      <c r="N812" s="142"/>
      <c r="O812" s="303"/>
      <c r="P812" s="138"/>
      <c r="Q812" s="142"/>
      <c r="R812" s="303"/>
      <c r="S812" s="138"/>
      <c r="T812" s="142"/>
      <c r="U812" s="303"/>
      <c r="V812" s="138"/>
      <c r="W812" s="142"/>
      <c r="X812" s="303"/>
      <c r="Y812" s="30"/>
      <c r="Z812" s="30"/>
      <c r="AA812" s="30"/>
      <c r="AB812" s="30"/>
      <c r="AC812" s="30"/>
      <c r="AD812" s="30"/>
      <c r="AE812" s="30"/>
      <c r="AF812" s="30"/>
      <c r="AG812" s="30"/>
      <c r="AH812" s="30"/>
      <c r="AI812" s="30"/>
      <c r="AJ812" s="30"/>
      <c r="AK812" s="30"/>
      <c r="AL812" s="30"/>
      <c r="AM812" s="30"/>
      <c r="AN812" s="30"/>
    </row>
    <row r="813">
      <c r="A813" s="138"/>
      <c r="B813" s="142"/>
      <c r="C813" s="303"/>
      <c r="D813" s="138"/>
      <c r="E813" s="142"/>
      <c r="F813" s="303"/>
      <c r="G813" s="138"/>
      <c r="H813" s="142"/>
      <c r="I813" s="303"/>
      <c r="J813" s="138"/>
      <c r="K813" s="142"/>
      <c r="L813" s="303"/>
      <c r="M813" s="138"/>
      <c r="N813" s="142"/>
      <c r="O813" s="303"/>
      <c r="P813" s="138"/>
      <c r="Q813" s="142"/>
      <c r="R813" s="303"/>
      <c r="S813" s="138"/>
      <c r="T813" s="142"/>
      <c r="U813" s="303"/>
      <c r="V813" s="138"/>
      <c r="W813" s="142"/>
      <c r="X813" s="303"/>
      <c r="Y813" s="30"/>
      <c r="Z813" s="30"/>
      <c r="AA813" s="30"/>
      <c r="AB813" s="30"/>
      <c r="AC813" s="30"/>
      <c r="AD813" s="30"/>
      <c r="AE813" s="30"/>
      <c r="AF813" s="30"/>
      <c r="AG813" s="30"/>
      <c r="AH813" s="30"/>
      <c r="AI813" s="30"/>
      <c r="AJ813" s="30"/>
      <c r="AK813" s="30"/>
      <c r="AL813" s="30"/>
      <c r="AM813" s="30"/>
      <c r="AN813" s="30"/>
    </row>
    <row r="814">
      <c r="A814" s="138"/>
      <c r="B814" s="142"/>
      <c r="C814" s="303"/>
      <c r="D814" s="138"/>
      <c r="E814" s="142"/>
      <c r="F814" s="303"/>
      <c r="G814" s="138"/>
      <c r="H814" s="142"/>
      <c r="I814" s="303"/>
      <c r="J814" s="138"/>
      <c r="K814" s="142"/>
      <c r="L814" s="303"/>
      <c r="M814" s="138"/>
      <c r="N814" s="142"/>
      <c r="O814" s="303"/>
      <c r="P814" s="138"/>
      <c r="Q814" s="142"/>
      <c r="R814" s="303"/>
      <c r="S814" s="138"/>
      <c r="T814" s="142"/>
      <c r="U814" s="303"/>
      <c r="V814" s="138"/>
      <c r="W814" s="142"/>
      <c r="X814" s="303"/>
      <c r="Y814" s="30"/>
      <c r="Z814" s="30"/>
      <c r="AA814" s="30"/>
      <c r="AB814" s="30"/>
      <c r="AC814" s="30"/>
      <c r="AD814" s="30"/>
      <c r="AE814" s="30"/>
      <c r="AF814" s="30"/>
      <c r="AG814" s="30"/>
      <c r="AH814" s="30"/>
      <c r="AI814" s="30"/>
      <c r="AJ814" s="30"/>
      <c r="AK814" s="30"/>
      <c r="AL814" s="30"/>
      <c r="AM814" s="30"/>
      <c r="AN814" s="30"/>
    </row>
    <row r="815">
      <c r="A815" s="138"/>
      <c r="B815" s="142"/>
      <c r="C815" s="303"/>
      <c r="D815" s="138"/>
      <c r="E815" s="142"/>
      <c r="F815" s="303"/>
      <c r="G815" s="138"/>
      <c r="H815" s="142"/>
      <c r="I815" s="303"/>
      <c r="J815" s="138"/>
      <c r="K815" s="142"/>
      <c r="L815" s="303"/>
      <c r="M815" s="138"/>
      <c r="N815" s="142"/>
      <c r="O815" s="303"/>
      <c r="P815" s="138"/>
      <c r="Q815" s="142"/>
      <c r="R815" s="303"/>
      <c r="S815" s="138"/>
      <c r="T815" s="142"/>
      <c r="U815" s="303"/>
      <c r="V815" s="138"/>
      <c r="W815" s="142"/>
      <c r="X815" s="303"/>
      <c r="Y815" s="30"/>
      <c r="Z815" s="30"/>
      <c r="AA815" s="30"/>
      <c r="AB815" s="30"/>
      <c r="AC815" s="30"/>
      <c r="AD815" s="30"/>
      <c r="AE815" s="30"/>
      <c r="AF815" s="30"/>
      <c r="AG815" s="30"/>
      <c r="AH815" s="30"/>
      <c r="AI815" s="30"/>
      <c r="AJ815" s="30"/>
      <c r="AK815" s="30"/>
      <c r="AL815" s="30"/>
      <c r="AM815" s="30"/>
      <c r="AN815" s="30"/>
    </row>
    <row r="816">
      <c r="A816" s="138"/>
      <c r="B816" s="142"/>
      <c r="C816" s="303"/>
      <c r="D816" s="138"/>
      <c r="E816" s="142"/>
      <c r="F816" s="303"/>
      <c r="G816" s="138"/>
      <c r="H816" s="142"/>
      <c r="I816" s="303"/>
      <c r="J816" s="138"/>
      <c r="K816" s="142"/>
      <c r="L816" s="303"/>
      <c r="M816" s="138"/>
      <c r="N816" s="142"/>
      <c r="O816" s="303"/>
      <c r="P816" s="138"/>
      <c r="Q816" s="142"/>
      <c r="R816" s="303"/>
      <c r="S816" s="138"/>
      <c r="T816" s="142"/>
      <c r="U816" s="303"/>
      <c r="V816" s="138"/>
      <c r="W816" s="142"/>
      <c r="X816" s="303"/>
      <c r="Y816" s="30"/>
      <c r="Z816" s="30"/>
      <c r="AA816" s="30"/>
      <c r="AB816" s="30"/>
      <c r="AC816" s="30"/>
      <c r="AD816" s="30"/>
      <c r="AE816" s="30"/>
      <c r="AF816" s="30"/>
      <c r="AG816" s="30"/>
      <c r="AH816" s="30"/>
      <c r="AI816" s="30"/>
      <c r="AJ816" s="30"/>
      <c r="AK816" s="30"/>
      <c r="AL816" s="30"/>
      <c r="AM816" s="30"/>
      <c r="AN816" s="30"/>
    </row>
    <row r="817">
      <c r="A817" s="138"/>
      <c r="B817" s="142"/>
      <c r="C817" s="303"/>
      <c r="D817" s="138"/>
      <c r="E817" s="142"/>
      <c r="F817" s="303"/>
      <c r="G817" s="138"/>
      <c r="H817" s="142"/>
      <c r="I817" s="303"/>
      <c r="J817" s="138"/>
      <c r="K817" s="142"/>
      <c r="L817" s="303"/>
      <c r="M817" s="138"/>
      <c r="N817" s="142"/>
      <c r="O817" s="303"/>
      <c r="P817" s="138"/>
      <c r="Q817" s="142"/>
      <c r="R817" s="303"/>
      <c r="S817" s="138"/>
      <c r="T817" s="142"/>
      <c r="U817" s="303"/>
      <c r="V817" s="138"/>
      <c r="W817" s="142"/>
      <c r="X817" s="303"/>
      <c r="Y817" s="30"/>
      <c r="Z817" s="30"/>
      <c r="AA817" s="30"/>
      <c r="AB817" s="30"/>
      <c r="AC817" s="30"/>
      <c r="AD817" s="30"/>
      <c r="AE817" s="30"/>
      <c r="AF817" s="30"/>
      <c r="AG817" s="30"/>
      <c r="AH817" s="30"/>
      <c r="AI817" s="30"/>
      <c r="AJ817" s="30"/>
      <c r="AK817" s="30"/>
      <c r="AL817" s="30"/>
      <c r="AM817" s="30"/>
      <c r="AN817" s="30"/>
    </row>
    <row r="818">
      <c r="A818" s="138"/>
      <c r="B818" s="142"/>
      <c r="C818" s="303"/>
      <c r="D818" s="138"/>
      <c r="E818" s="142"/>
      <c r="F818" s="303"/>
      <c r="G818" s="138"/>
      <c r="H818" s="142"/>
      <c r="I818" s="303"/>
      <c r="J818" s="138"/>
      <c r="K818" s="142"/>
      <c r="L818" s="303"/>
      <c r="M818" s="138"/>
      <c r="N818" s="142"/>
      <c r="O818" s="303"/>
      <c r="P818" s="138"/>
      <c r="Q818" s="142"/>
      <c r="R818" s="303"/>
      <c r="S818" s="138"/>
      <c r="T818" s="142"/>
      <c r="U818" s="303"/>
      <c r="V818" s="138"/>
      <c r="W818" s="142"/>
      <c r="X818" s="303"/>
      <c r="Y818" s="30"/>
      <c r="Z818" s="30"/>
      <c r="AA818" s="30"/>
      <c r="AB818" s="30"/>
      <c r="AC818" s="30"/>
      <c r="AD818" s="30"/>
      <c r="AE818" s="30"/>
      <c r="AF818" s="30"/>
      <c r="AG818" s="30"/>
      <c r="AH818" s="30"/>
      <c r="AI818" s="30"/>
      <c r="AJ818" s="30"/>
      <c r="AK818" s="30"/>
      <c r="AL818" s="30"/>
      <c r="AM818" s="30"/>
      <c r="AN818" s="30"/>
    </row>
    <row r="819">
      <c r="A819" s="138"/>
      <c r="B819" s="142"/>
      <c r="C819" s="303"/>
      <c r="D819" s="138"/>
      <c r="E819" s="142"/>
      <c r="F819" s="303"/>
      <c r="G819" s="138"/>
      <c r="H819" s="142"/>
      <c r="I819" s="303"/>
      <c r="J819" s="138"/>
      <c r="K819" s="142"/>
      <c r="L819" s="303"/>
      <c r="M819" s="138"/>
      <c r="N819" s="142"/>
      <c r="O819" s="303"/>
      <c r="P819" s="138"/>
      <c r="Q819" s="142"/>
      <c r="R819" s="303"/>
      <c r="S819" s="138"/>
      <c r="T819" s="142"/>
      <c r="U819" s="303"/>
      <c r="V819" s="138"/>
      <c r="W819" s="142"/>
      <c r="X819" s="303"/>
      <c r="Y819" s="30"/>
      <c r="Z819" s="30"/>
      <c r="AA819" s="30"/>
      <c r="AB819" s="30"/>
      <c r="AC819" s="30"/>
      <c r="AD819" s="30"/>
      <c r="AE819" s="30"/>
      <c r="AF819" s="30"/>
      <c r="AG819" s="30"/>
      <c r="AH819" s="30"/>
      <c r="AI819" s="30"/>
      <c r="AJ819" s="30"/>
      <c r="AK819" s="30"/>
      <c r="AL819" s="30"/>
      <c r="AM819" s="30"/>
      <c r="AN819" s="30"/>
    </row>
    <row r="820">
      <c r="A820" s="138"/>
      <c r="B820" s="142"/>
      <c r="C820" s="303"/>
      <c r="D820" s="138"/>
      <c r="E820" s="142"/>
      <c r="F820" s="303"/>
      <c r="G820" s="138"/>
      <c r="H820" s="142"/>
      <c r="I820" s="303"/>
      <c r="J820" s="138"/>
      <c r="K820" s="142"/>
      <c r="L820" s="303"/>
      <c r="M820" s="138"/>
      <c r="N820" s="142"/>
      <c r="O820" s="303"/>
      <c r="P820" s="138"/>
      <c r="Q820" s="142"/>
      <c r="R820" s="303"/>
      <c r="S820" s="138"/>
      <c r="T820" s="142"/>
      <c r="U820" s="303"/>
      <c r="V820" s="138"/>
      <c r="W820" s="142"/>
      <c r="X820" s="303"/>
      <c r="Y820" s="30"/>
      <c r="Z820" s="30"/>
      <c r="AA820" s="30"/>
      <c r="AB820" s="30"/>
      <c r="AC820" s="30"/>
      <c r="AD820" s="30"/>
      <c r="AE820" s="30"/>
      <c r="AF820" s="30"/>
      <c r="AG820" s="30"/>
      <c r="AH820" s="30"/>
      <c r="AI820" s="30"/>
      <c r="AJ820" s="30"/>
      <c r="AK820" s="30"/>
      <c r="AL820" s="30"/>
      <c r="AM820" s="30"/>
      <c r="AN820" s="30"/>
    </row>
    <row r="821">
      <c r="A821" s="138"/>
      <c r="B821" s="142"/>
      <c r="C821" s="303"/>
      <c r="D821" s="138"/>
      <c r="E821" s="142"/>
      <c r="F821" s="303"/>
      <c r="G821" s="138"/>
      <c r="H821" s="142"/>
      <c r="I821" s="303"/>
      <c r="J821" s="138"/>
      <c r="K821" s="142"/>
      <c r="L821" s="303"/>
      <c r="M821" s="138"/>
      <c r="N821" s="142"/>
      <c r="O821" s="303"/>
      <c r="P821" s="138"/>
      <c r="Q821" s="142"/>
      <c r="R821" s="303"/>
      <c r="S821" s="138"/>
      <c r="T821" s="142"/>
      <c r="U821" s="303"/>
      <c r="V821" s="138"/>
      <c r="W821" s="142"/>
      <c r="X821" s="303"/>
      <c r="Y821" s="30"/>
      <c r="Z821" s="30"/>
      <c r="AA821" s="30"/>
      <c r="AB821" s="30"/>
      <c r="AC821" s="30"/>
      <c r="AD821" s="30"/>
      <c r="AE821" s="30"/>
      <c r="AF821" s="30"/>
      <c r="AG821" s="30"/>
      <c r="AH821" s="30"/>
      <c r="AI821" s="30"/>
      <c r="AJ821" s="30"/>
      <c r="AK821" s="30"/>
      <c r="AL821" s="30"/>
      <c r="AM821" s="30"/>
      <c r="AN821" s="30"/>
    </row>
    <row r="822">
      <c r="A822" s="138"/>
      <c r="B822" s="142"/>
      <c r="C822" s="303"/>
      <c r="D822" s="138"/>
      <c r="E822" s="142"/>
      <c r="F822" s="303"/>
      <c r="G822" s="138"/>
      <c r="H822" s="142"/>
      <c r="I822" s="303"/>
      <c r="J822" s="138"/>
      <c r="K822" s="142"/>
      <c r="L822" s="303"/>
      <c r="M822" s="138"/>
      <c r="N822" s="142"/>
      <c r="O822" s="303"/>
      <c r="P822" s="138"/>
      <c r="Q822" s="142"/>
      <c r="R822" s="303"/>
      <c r="S822" s="138"/>
      <c r="T822" s="142"/>
      <c r="U822" s="303"/>
      <c r="V822" s="138"/>
      <c r="W822" s="142"/>
      <c r="X822" s="303"/>
      <c r="Y822" s="30"/>
      <c r="Z822" s="30"/>
      <c r="AA822" s="30"/>
      <c r="AB822" s="30"/>
      <c r="AC822" s="30"/>
      <c r="AD822" s="30"/>
      <c r="AE822" s="30"/>
      <c r="AF822" s="30"/>
      <c r="AG822" s="30"/>
      <c r="AH822" s="30"/>
      <c r="AI822" s="30"/>
      <c r="AJ822" s="30"/>
      <c r="AK822" s="30"/>
      <c r="AL822" s="30"/>
      <c r="AM822" s="30"/>
      <c r="AN822" s="30"/>
    </row>
    <row r="823">
      <c r="A823" s="138"/>
      <c r="B823" s="142"/>
      <c r="C823" s="303"/>
      <c r="D823" s="138"/>
      <c r="E823" s="142"/>
      <c r="F823" s="303"/>
      <c r="G823" s="138"/>
      <c r="H823" s="142"/>
      <c r="I823" s="303"/>
      <c r="J823" s="138"/>
      <c r="K823" s="142"/>
      <c r="L823" s="303"/>
      <c r="M823" s="138"/>
      <c r="N823" s="142"/>
      <c r="O823" s="303"/>
      <c r="P823" s="138"/>
      <c r="Q823" s="142"/>
      <c r="R823" s="303"/>
      <c r="S823" s="138"/>
      <c r="T823" s="142"/>
      <c r="U823" s="303"/>
      <c r="V823" s="138"/>
      <c r="W823" s="142"/>
      <c r="X823" s="303"/>
      <c r="Y823" s="30"/>
      <c r="Z823" s="30"/>
      <c r="AA823" s="30"/>
      <c r="AB823" s="30"/>
      <c r="AC823" s="30"/>
      <c r="AD823" s="30"/>
      <c r="AE823" s="30"/>
      <c r="AF823" s="30"/>
      <c r="AG823" s="30"/>
      <c r="AH823" s="30"/>
      <c r="AI823" s="30"/>
      <c r="AJ823" s="30"/>
      <c r="AK823" s="30"/>
      <c r="AL823" s="30"/>
      <c r="AM823" s="30"/>
      <c r="AN823" s="30"/>
    </row>
    <row r="824">
      <c r="A824" s="138"/>
      <c r="B824" s="142"/>
      <c r="C824" s="303"/>
      <c r="D824" s="138"/>
      <c r="E824" s="142"/>
      <c r="F824" s="303"/>
      <c r="G824" s="138"/>
      <c r="H824" s="142"/>
      <c r="I824" s="303"/>
      <c r="J824" s="138"/>
      <c r="K824" s="142"/>
      <c r="L824" s="303"/>
      <c r="M824" s="138"/>
      <c r="N824" s="142"/>
      <c r="O824" s="303"/>
      <c r="P824" s="138"/>
      <c r="Q824" s="142"/>
      <c r="R824" s="303"/>
      <c r="S824" s="138"/>
      <c r="T824" s="142"/>
      <c r="U824" s="303"/>
      <c r="V824" s="138"/>
      <c r="W824" s="142"/>
      <c r="X824" s="303"/>
      <c r="Y824" s="30"/>
      <c r="Z824" s="30"/>
      <c r="AA824" s="30"/>
      <c r="AB824" s="30"/>
      <c r="AC824" s="30"/>
      <c r="AD824" s="30"/>
      <c r="AE824" s="30"/>
      <c r="AF824" s="30"/>
      <c r="AG824" s="30"/>
      <c r="AH824" s="30"/>
      <c r="AI824" s="30"/>
      <c r="AJ824" s="30"/>
      <c r="AK824" s="30"/>
      <c r="AL824" s="30"/>
      <c r="AM824" s="30"/>
      <c r="AN824" s="30"/>
    </row>
    <row r="825">
      <c r="A825" s="138"/>
      <c r="B825" s="142"/>
      <c r="C825" s="303"/>
      <c r="D825" s="138"/>
      <c r="E825" s="142"/>
      <c r="F825" s="303"/>
      <c r="G825" s="138"/>
      <c r="H825" s="142"/>
      <c r="I825" s="303"/>
      <c r="J825" s="138"/>
      <c r="K825" s="142"/>
      <c r="L825" s="303"/>
      <c r="M825" s="138"/>
      <c r="N825" s="142"/>
      <c r="O825" s="303"/>
      <c r="P825" s="138"/>
      <c r="Q825" s="142"/>
      <c r="R825" s="303"/>
      <c r="S825" s="138"/>
      <c r="T825" s="142"/>
      <c r="U825" s="303"/>
      <c r="V825" s="138"/>
      <c r="W825" s="142"/>
      <c r="X825" s="303"/>
      <c r="Y825" s="30"/>
      <c r="Z825" s="30"/>
      <c r="AA825" s="30"/>
      <c r="AB825" s="30"/>
      <c r="AC825" s="30"/>
      <c r="AD825" s="30"/>
      <c r="AE825" s="30"/>
      <c r="AF825" s="30"/>
      <c r="AG825" s="30"/>
      <c r="AH825" s="30"/>
      <c r="AI825" s="30"/>
      <c r="AJ825" s="30"/>
      <c r="AK825" s="30"/>
      <c r="AL825" s="30"/>
      <c r="AM825" s="30"/>
      <c r="AN825" s="30"/>
    </row>
    <row r="826">
      <c r="A826" s="138"/>
      <c r="B826" s="142"/>
      <c r="C826" s="303"/>
      <c r="D826" s="138"/>
      <c r="E826" s="142"/>
      <c r="F826" s="303"/>
      <c r="G826" s="138"/>
      <c r="H826" s="142"/>
      <c r="I826" s="303"/>
      <c r="J826" s="138"/>
      <c r="K826" s="142"/>
      <c r="L826" s="303"/>
      <c r="M826" s="138"/>
      <c r="N826" s="142"/>
      <c r="O826" s="303"/>
      <c r="P826" s="138"/>
      <c r="Q826" s="142"/>
      <c r="R826" s="303"/>
      <c r="S826" s="138"/>
      <c r="T826" s="142"/>
      <c r="U826" s="303"/>
      <c r="V826" s="138"/>
      <c r="W826" s="142"/>
      <c r="X826" s="303"/>
      <c r="Y826" s="30"/>
      <c r="Z826" s="30"/>
      <c r="AA826" s="30"/>
      <c r="AB826" s="30"/>
      <c r="AC826" s="30"/>
      <c r="AD826" s="30"/>
      <c r="AE826" s="30"/>
      <c r="AF826" s="30"/>
      <c r="AG826" s="30"/>
      <c r="AH826" s="30"/>
      <c r="AI826" s="30"/>
      <c r="AJ826" s="30"/>
      <c r="AK826" s="30"/>
      <c r="AL826" s="30"/>
      <c r="AM826" s="30"/>
      <c r="AN826" s="30"/>
    </row>
    <row r="827">
      <c r="A827" s="138"/>
      <c r="B827" s="142"/>
      <c r="C827" s="303"/>
      <c r="D827" s="138"/>
      <c r="E827" s="142"/>
      <c r="F827" s="303"/>
      <c r="G827" s="138"/>
      <c r="H827" s="142"/>
      <c r="I827" s="303"/>
      <c r="J827" s="138"/>
      <c r="K827" s="142"/>
      <c r="L827" s="303"/>
      <c r="M827" s="138"/>
      <c r="N827" s="142"/>
      <c r="O827" s="303"/>
      <c r="P827" s="138"/>
      <c r="Q827" s="142"/>
      <c r="R827" s="303"/>
      <c r="S827" s="138"/>
      <c r="T827" s="142"/>
      <c r="U827" s="303"/>
      <c r="V827" s="138"/>
      <c r="W827" s="142"/>
      <c r="X827" s="303"/>
      <c r="Y827" s="30"/>
      <c r="Z827" s="30"/>
      <c r="AA827" s="30"/>
      <c r="AB827" s="30"/>
      <c r="AC827" s="30"/>
      <c r="AD827" s="30"/>
      <c r="AE827" s="30"/>
      <c r="AF827" s="30"/>
      <c r="AG827" s="30"/>
      <c r="AH827" s="30"/>
      <c r="AI827" s="30"/>
      <c r="AJ827" s="30"/>
      <c r="AK827" s="30"/>
      <c r="AL827" s="30"/>
      <c r="AM827" s="30"/>
      <c r="AN827" s="30"/>
    </row>
    <row r="828">
      <c r="A828" s="138"/>
      <c r="B828" s="142"/>
      <c r="C828" s="303"/>
      <c r="D828" s="138"/>
      <c r="E828" s="142"/>
      <c r="F828" s="303"/>
      <c r="G828" s="138"/>
      <c r="H828" s="142"/>
      <c r="I828" s="303"/>
      <c r="J828" s="138"/>
      <c r="K828" s="142"/>
      <c r="L828" s="303"/>
      <c r="M828" s="138"/>
      <c r="N828" s="142"/>
      <c r="O828" s="303"/>
      <c r="P828" s="138"/>
      <c r="Q828" s="142"/>
      <c r="R828" s="303"/>
      <c r="S828" s="138"/>
      <c r="T828" s="142"/>
      <c r="U828" s="303"/>
      <c r="V828" s="138"/>
      <c r="W828" s="142"/>
      <c r="X828" s="303"/>
      <c r="Y828" s="30"/>
      <c r="Z828" s="30"/>
      <c r="AA828" s="30"/>
      <c r="AB828" s="30"/>
      <c r="AC828" s="30"/>
      <c r="AD828" s="30"/>
      <c r="AE828" s="30"/>
      <c r="AF828" s="30"/>
      <c r="AG828" s="30"/>
      <c r="AH828" s="30"/>
      <c r="AI828" s="30"/>
      <c r="AJ828" s="30"/>
      <c r="AK828" s="30"/>
      <c r="AL828" s="30"/>
      <c r="AM828" s="30"/>
      <c r="AN828" s="30"/>
    </row>
    <row r="829">
      <c r="A829" s="138"/>
      <c r="B829" s="142"/>
      <c r="C829" s="303"/>
      <c r="D829" s="138"/>
      <c r="E829" s="142"/>
      <c r="F829" s="303"/>
      <c r="G829" s="138"/>
      <c r="H829" s="142"/>
      <c r="I829" s="303"/>
      <c r="J829" s="138"/>
      <c r="K829" s="142"/>
      <c r="L829" s="303"/>
      <c r="M829" s="138"/>
      <c r="N829" s="142"/>
      <c r="O829" s="303"/>
      <c r="P829" s="138"/>
      <c r="Q829" s="142"/>
      <c r="R829" s="303"/>
      <c r="S829" s="138"/>
      <c r="T829" s="142"/>
      <c r="U829" s="303"/>
      <c r="V829" s="138"/>
      <c r="W829" s="142"/>
      <c r="X829" s="303"/>
      <c r="Y829" s="30"/>
      <c r="Z829" s="30"/>
      <c r="AA829" s="30"/>
      <c r="AB829" s="30"/>
      <c r="AC829" s="30"/>
      <c r="AD829" s="30"/>
      <c r="AE829" s="30"/>
      <c r="AF829" s="30"/>
      <c r="AG829" s="30"/>
      <c r="AH829" s="30"/>
      <c r="AI829" s="30"/>
      <c r="AJ829" s="30"/>
      <c r="AK829" s="30"/>
      <c r="AL829" s="30"/>
      <c r="AM829" s="30"/>
      <c r="AN829" s="30"/>
    </row>
    <row r="830">
      <c r="A830" s="138"/>
      <c r="B830" s="142"/>
      <c r="C830" s="303"/>
      <c r="D830" s="138"/>
      <c r="E830" s="142"/>
      <c r="F830" s="303"/>
      <c r="G830" s="138"/>
      <c r="H830" s="142"/>
      <c r="I830" s="303"/>
      <c r="J830" s="138"/>
      <c r="K830" s="142"/>
      <c r="L830" s="303"/>
      <c r="M830" s="138"/>
      <c r="N830" s="142"/>
      <c r="O830" s="303"/>
      <c r="P830" s="138"/>
      <c r="Q830" s="142"/>
      <c r="R830" s="303"/>
      <c r="S830" s="138"/>
      <c r="T830" s="142"/>
      <c r="U830" s="303"/>
      <c r="V830" s="138"/>
      <c r="W830" s="142"/>
      <c r="X830" s="303"/>
      <c r="Y830" s="30"/>
      <c r="Z830" s="30"/>
      <c r="AA830" s="30"/>
      <c r="AB830" s="30"/>
      <c r="AC830" s="30"/>
      <c r="AD830" s="30"/>
      <c r="AE830" s="30"/>
      <c r="AF830" s="30"/>
      <c r="AG830" s="30"/>
      <c r="AH830" s="30"/>
      <c r="AI830" s="30"/>
      <c r="AJ830" s="30"/>
      <c r="AK830" s="30"/>
      <c r="AL830" s="30"/>
      <c r="AM830" s="30"/>
      <c r="AN830" s="30"/>
    </row>
    <row r="831">
      <c r="A831" s="138"/>
      <c r="B831" s="142"/>
      <c r="C831" s="303"/>
      <c r="D831" s="138"/>
      <c r="E831" s="142"/>
      <c r="F831" s="303"/>
      <c r="G831" s="138"/>
      <c r="H831" s="142"/>
      <c r="I831" s="303"/>
      <c r="J831" s="138"/>
      <c r="K831" s="142"/>
      <c r="L831" s="303"/>
      <c r="M831" s="138"/>
      <c r="N831" s="142"/>
      <c r="O831" s="303"/>
      <c r="P831" s="138"/>
      <c r="Q831" s="142"/>
      <c r="R831" s="303"/>
      <c r="S831" s="138"/>
      <c r="T831" s="142"/>
      <c r="U831" s="303"/>
      <c r="V831" s="138"/>
      <c r="W831" s="142"/>
      <c r="X831" s="303"/>
      <c r="Y831" s="30"/>
      <c r="Z831" s="30"/>
      <c r="AA831" s="30"/>
      <c r="AB831" s="30"/>
      <c r="AC831" s="30"/>
      <c r="AD831" s="30"/>
      <c r="AE831" s="30"/>
      <c r="AF831" s="30"/>
      <c r="AG831" s="30"/>
      <c r="AH831" s="30"/>
      <c r="AI831" s="30"/>
      <c r="AJ831" s="30"/>
      <c r="AK831" s="30"/>
      <c r="AL831" s="30"/>
      <c r="AM831" s="30"/>
      <c r="AN831" s="30"/>
    </row>
    <row r="832">
      <c r="A832" s="138"/>
      <c r="B832" s="142"/>
      <c r="C832" s="303"/>
      <c r="D832" s="138"/>
      <c r="E832" s="142"/>
      <c r="F832" s="303"/>
      <c r="G832" s="138"/>
      <c r="H832" s="142"/>
      <c r="I832" s="303"/>
      <c r="J832" s="138"/>
      <c r="K832" s="142"/>
      <c r="L832" s="303"/>
      <c r="M832" s="138"/>
      <c r="N832" s="142"/>
      <c r="O832" s="303"/>
      <c r="P832" s="138"/>
      <c r="Q832" s="142"/>
      <c r="R832" s="303"/>
      <c r="S832" s="138"/>
      <c r="T832" s="142"/>
      <c r="U832" s="303"/>
      <c r="V832" s="138"/>
      <c r="W832" s="142"/>
      <c r="X832" s="303"/>
      <c r="Y832" s="30"/>
      <c r="Z832" s="30"/>
      <c r="AA832" s="30"/>
      <c r="AB832" s="30"/>
      <c r="AC832" s="30"/>
      <c r="AD832" s="30"/>
      <c r="AE832" s="30"/>
      <c r="AF832" s="30"/>
      <c r="AG832" s="30"/>
      <c r="AH832" s="30"/>
      <c r="AI832" s="30"/>
      <c r="AJ832" s="30"/>
      <c r="AK832" s="30"/>
      <c r="AL832" s="30"/>
      <c r="AM832" s="30"/>
      <c r="AN832" s="30"/>
    </row>
    <row r="833">
      <c r="A833" s="138"/>
      <c r="B833" s="142"/>
      <c r="C833" s="303"/>
      <c r="D833" s="138"/>
      <c r="E833" s="142"/>
      <c r="F833" s="303"/>
      <c r="G833" s="138"/>
      <c r="H833" s="142"/>
      <c r="I833" s="303"/>
      <c r="J833" s="138"/>
      <c r="K833" s="142"/>
      <c r="L833" s="303"/>
      <c r="M833" s="138"/>
      <c r="N833" s="142"/>
      <c r="O833" s="303"/>
      <c r="P833" s="138"/>
      <c r="Q833" s="142"/>
      <c r="R833" s="303"/>
      <c r="S833" s="138"/>
      <c r="T833" s="142"/>
      <c r="U833" s="303"/>
      <c r="V833" s="138"/>
      <c r="W833" s="142"/>
      <c r="X833" s="303"/>
      <c r="Y833" s="30"/>
      <c r="Z833" s="30"/>
      <c r="AA833" s="30"/>
      <c r="AB833" s="30"/>
      <c r="AC833" s="30"/>
      <c r="AD833" s="30"/>
      <c r="AE833" s="30"/>
      <c r="AF833" s="30"/>
      <c r="AG833" s="30"/>
      <c r="AH833" s="30"/>
      <c r="AI833" s="30"/>
      <c r="AJ833" s="30"/>
      <c r="AK833" s="30"/>
      <c r="AL833" s="30"/>
      <c r="AM833" s="30"/>
      <c r="AN833" s="30"/>
    </row>
    <row r="834">
      <c r="A834" s="138"/>
      <c r="B834" s="142"/>
      <c r="C834" s="303"/>
      <c r="D834" s="138"/>
      <c r="E834" s="142"/>
      <c r="F834" s="303"/>
      <c r="G834" s="138"/>
      <c r="H834" s="142"/>
      <c r="I834" s="303"/>
      <c r="J834" s="138"/>
      <c r="K834" s="142"/>
      <c r="L834" s="303"/>
      <c r="M834" s="138"/>
      <c r="N834" s="142"/>
      <c r="O834" s="303"/>
      <c r="P834" s="138"/>
      <c r="Q834" s="142"/>
      <c r="R834" s="303"/>
      <c r="S834" s="138"/>
      <c r="T834" s="142"/>
      <c r="U834" s="303"/>
      <c r="V834" s="138"/>
      <c r="W834" s="142"/>
      <c r="X834" s="303"/>
      <c r="Y834" s="30"/>
      <c r="Z834" s="30"/>
      <c r="AA834" s="30"/>
      <c r="AB834" s="30"/>
      <c r="AC834" s="30"/>
      <c r="AD834" s="30"/>
      <c r="AE834" s="30"/>
      <c r="AF834" s="30"/>
      <c r="AG834" s="30"/>
      <c r="AH834" s="30"/>
      <c r="AI834" s="30"/>
      <c r="AJ834" s="30"/>
      <c r="AK834" s="30"/>
      <c r="AL834" s="30"/>
      <c r="AM834" s="30"/>
      <c r="AN834" s="30"/>
    </row>
    <row r="835">
      <c r="A835" s="138"/>
      <c r="B835" s="142"/>
      <c r="C835" s="303"/>
      <c r="D835" s="138"/>
      <c r="E835" s="142"/>
      <c r="F835" s="303"/>
      <c r="G835" s="138"/>
      <c r="H835" s="142"/>
      <c r="I835" s="303"/>
      <c r="J835" s="138"/>
      <c r="K835" s="142"/>
      <c r="L835" s="303"/>
      <c r="M835" s="138"/>
      <c r="N835" s="142"/>
      <c r="O835" s="303"/>
      <c r="P835" s="138"/>
      <c r="Q835" s="142"/>
      <c r="R835" s="303"/>
      <c r="S835" s="138"/>
      <c r="T835" s="142"/>
      <c r="U835" s="303"/>
      <c r="V835" s="138"/>
      <c r="W835" s="142"/>
      <c r="X835" s="303"/>
      <c r="Y835" s="30"/>
      <c r="Z835" s="30"/>
      <c r="AA835" s="30"/>
      <c r="AB835" s="30"/>
      <c r="AC835" s="30"/>
      <c r="AD835" s="30"/>
      <c r="AE835" s="30"/>
      <c r="AF835" s="30"/>
      <c r="AG835" s="30"/>
      <c r="AH835" s="30"/>
      <c r="AI835" s="30"/>
      <c r="AJ835" s="30"/>
      <c r="AK835" s="30"/>
      <c r="AL835" s="30"/>
      <c r="AM835" s="30"/>
      <c r="AN835" s="30"/>
    </row>
    <row r="836">
      <c r="A836" s="138"/>
      <c r="B836" s="142"/>
      <c r="C836" s="303"/>
      <c r="D836" s="138"/>
      <c r="E836" s="142"/>
      <c r="F836" s="303"/>
      <c r="G836" s="138"/>
      <c r="H836" s="142"/>
      <c r="I836" s="303"/>
      <c r="J836" s="138"/>
      <c r="K836" s="142"/>
      <c r="L836" s="303"/>
      <c r="M836" s="138"/>
      <c r="N836" s="142"/>
      <c r="O836" s="303"/>
      <c r="P836" s="138"/>
      <c r="Q836" s="142"/>
      <c r="R836" s="303"/>
      <c r="S836" s="138"/>
      <c r="T836" s="142"/>
      <c r="U836" s="303"/>
      <c r="V836" s="138"/>
      <c r="W836" s="142"/>
      <c r="X836" s="303"/>
      <c r="Y836" s="30"/>
      <c r="Z836" s="30"/>
      <c r="AA836" s="30"/>
      <c r="AB836" s="30"/>
      <c r="AC836" s="30"/>
      <c r="AD836" s="30"/>
      <c r="AE836" s="30"/>
      <c r="AF836" s="30"/>
      <c r="AG836" s="30"/>
      <c r="AH836" s="30"/>
      <c r="AI836" s="30"/>
      <c r="AJ836" s="30"/>
      <c r="AK836" s="30"/>
      <c r="AL836" s="30"/>
      <c r="AM836" s="30"/>
      <c r="AN836" s="30"/>
    </row>
    <row r="837">
      <c r="A837" s="138"/>
      <c r="B837" s="142"/>
      <c r="C837" s="303"/>
      <c r="D837" s="138"/>
      <c r="E837" s="142"/>
      <c r="F837" s="303"/>
      <c r="G837" s="138"/>
      <c r="H837" s="142"/>
      <c r="I837" s="303"/>
      <c r="J837" s="138"/>
      <c r="K837" s="142"/>
      <c r="L837" s="303"/>
      <c r="M837" s="138"/>
      <c r="N837" s="142"/>
      <c r="O837" s="303"/>
      <c r="P837" s="138"/>
      <c r="Q837" s="142"/>
      <c r="R837" s="303"/>
      <c r="S837" s="138"/>
      <c r="T837" s="142"/>
      <c r="U837" s="303"/>
      <c r="V837" s="138"/>
      <c r="W837" s="142"/>
      <c r="X837" s="303"/>
      <c r="Y837" s="30"/>
      <c r="Z837" s="30"/>
      <c r="AA837" s="30"/>
      <c r="AB837" s="30"/>
      <c r="AC837" s="30"/>
      <c r="AD837" s="30"/>
      <c r="AE837" s="30"/>
      <c r="AF837" s="30"/>
      <c r="AG837" s="30"/>
      <c r="AH837" s="30"/>
      <c r="AI837" s="30"/>
      <c r="AJ837" s="30"/>
      <c r="AK837" s="30"/>
      <c r="AL837" s="30"/>
      <c r="AM837" s="30"/>
      <c r="AN837" s="30"/>
    </row>
    <row r="838">
      <c r="A838" s="138"/>
      <c r="B838" s="142"/>
      <c r="C838" s="303"/>
      <c r="D838" s="138"/>
      <c r="E838" s="142"/>
      <c r="F838" s="303"/>
      <c r="G838" s="138"/>
      <c r="H838" s="142"/>
      <c r="I838" s="303"/>
      <c r="J838" s="138"/>
      <c r="K838" s="142"/>
      <c r="L838" s="303"/>
      <c r="M838" s="138"/>
      <c r="N838" s="142"/>
      <c r="O838" s="303"/>
      <c r="P838" s="138"/>
      <c r="Q838" s="142"/>
      <c r="R838" s="303"/>
      <c r="S838" s="138"/>
      <c r="T838" s="142"/>
      <c r="U838" s="303"/>
      <c r="V838" s="138"/>
      <c r="W838" s="142"/>
      <c r="X838" s="303"/>
      <c r="Y838" s="30"/>
      <c r="Z838" s="30"/>
      <c r="AA838" s="30"/>
      <c r="AB838" s="30"/>
      <c r="AC838" s="30"/>
      <c r="AD838" s="30"/>
      <c r="AE838" s="30"/>
      <c r="AF838" s="30"/>
      <c r="AG838" s="30"/>
      <c r="AH838" s="30"/>
      <c r="AI838" s="30"/>
      <c r="AJ838" s="30"/>
      <c r="AK838" s="30"/>
      <c r="AL838" s="30"/>
      <c r="AM838" s="30"/>
      <c r="AN838" s="30"/>
    </row>
    <row r="839">
      <c r="A839" s="138"/>
      <c r="B839" s="142"/>
      <c r="C839" s="303"/>
      <c r="D839" s="138"/>
      <c r="E839" s="142"/>
      <c r="F839" s="303"/>
      <c r="G839" s="138"/>
      <c r="H839" s="142"/>
      <c r="I839" s="303"/>
      <c r="J839" s="138"/>
      <c r="K839" s="142"/>
      <c r="L839" s="303"/>
      <c r="M839" s="138"/>
      <c r="N839" s="142"/>
      <c r="O839" s="303"/>
      <c r="P839" s="138"/>
      <c r="Q839" s="142"/>
      <c r="R839" s="303"/>
      <c r="S839" s="138"/>
      <c r="T839" s="142"/>
      <c r="U839" s="303"/>
      <c r="V839" s="138"/>
      <c r="W839" s="142"/>
      <c r="X839" s="303"/>
      <c r="Y839" s="30"/>
      <c r="Z839" s="30"/>
      <c r="AA839" s="30"/>
      <c r="AB839" s="30"/>
      <c r="AC839" s="30"/>
      <c r="AD839" s="30"/>
      <c r="AE839" s="30"/>
      <c r="AF839" s="30"/>
      <c r="AG839" s="30"/>
      <c r="AH839" s="30"/>
      <c r="AI839" s="30"/>
      <c r="AJ839" s="30"/>
      <c r="AK839" s="30"/>
      <c r="AL839" s="30"/>
      <c r="AM839" s="30"/>
      <c r="AN839" s="30"/>
    </row>
    <row r="840">
      <c r="A840" s="138"/>
      <c r="B840" s="142"/>
      <c r="C840" s="303"/>
      <c r="D840" s="138"/>
      <c r="E840" s="142"/>
      <c r="F840" s="303"/>
      <c r="G840" s="138"/>
      <c r="H840" s="142"/>
      <c r="I840" s="303"/>
      <c r="J840" s="138"/>
      <c r="K840" s="142"/>
      <c r="L840" s="303"/>
      <c r="M840" s="138"/>
      <c r="N840" s="142"/>
      <c r="O840" s="303"/>
      <c r="P840" s="138"/>
      <c r="Q840" s="142"/>
      <c r="R840" s="303"/>
      <c r="S840" s="138"/>
      <c r="T840" s="142"/>
      <c r="U840" s="303"/>
      <c r="V840" s="138"/>
      <c r="W840" s="142"/>
      <c r="X840" s="303"/>
      <c r="Y840" s="30"/>
      <c r="Z840" s="30"/>
      <c r="AA840" s="30"/>
      <c r="AB840" s="30"/>
      <c r="AC840" s="30"/>
      <c r="AD840" s="30"/>
      <c r="AE840" s="30"/>
      <c r="AF840" s="30"/>
      <c r="AG840" s="30"/>
      <c r="AH840" s="30"/>
      <c r="AI840" s="30"/>
      <c r="AJ840" s="30"/>
      <c r="AK840" s="30"/>
      <c r="AL840" s="30"/>
      <c r="AM840" s="30"/>
      <c r="AN840" s="30"/>
    </row>
    <row r="841">
      <c r="A841" s="138"/>
      <c r="B841" s="142"/>
      <c r="C841" s="303"/>
      <c r="D841" s="138"/>
      <c r="E841" s="142"/>
      <c r="F841" s="303"/>
      <c r="G841" s="138"/>
      <c r="H841" s="142"/>
      <c r="I841" s="303"/>
      <c r="J841" s="138"/>
      <c r="K841" s="142"/>
      <c r="L841" s="303"/>
      <c r="M841" s="138"/>
      <c r="N841" s="142"/>
      <c r="O841" s="303"/>
      <c r="P841" s="138"/>
      <c r="Q841" s="142"/>
      <c r="R841" s="303"/>
      <c r="S841" s="138"/>
      <c r="T841" s="142"/>
      <c r="U841" s="303"/>
      <c r="V841" s="138"/>
      <c r="W841" s="142"/>
      <c r="X841" s="303"/>
      <c r="Y841" s="30"/>
      <c r="Z841" s="30"/>
      <c r="AA841" s="30"/>
      <c r="AB841" s="30"/>
      <c r="AC841" s="30"/>
      <c r="AD841" s="30"/>
      <c r="AE841" s="30"/>
      <c r="AF841" s="30"/>
      <c r="AG841" s="30"/>
      <c r="AH841" s="30"/>
      <c r="AI841" s="30"/>
      <c r="AJ841" s="30"/>
      <c r="AK841" s="30"/>
      <c r="AL841" s="30"/>
      <c r="AM841" s="30"/>
      <c r="AN841" s="30"/>
    </row>
    <row r="842">
      <c r="A842" s="138"/>
      <c r="B842" s="142"/>
      <c r="C842" s="303"/>
      <c r="D842" s="138"/>
      <c r="E842" s="142"/>
      <c r="F842" s="303"/>
      <c r="G842" s="138"/>
      <c r="H842" s="142"/>
      <c r="I842" s="303"/>
      <c r="J842" s="138"/>
      <c r="K842" s="142"/>
      <c r="L842" s="303"/>
      <c r="M842" s="138"/>
      <c r="N842" s="142"/>
      <c r="O842" s="303"/>
      <c r="P842" s="138"/>
      <c r="Q842" s="142"/>
      <c r="R842" s="303"/>
      <c r="S842" s="138"/>
      <c r="T842" s="142"/>
      <c r="U842" s="303"/>
      <c r="V842" s="138"/>
      <c r="W842" s="142"/>
      <c r="X842" s="303"/>
      <c r="Y842" s="30"/>
      <c r="Z842" s="30"/>
      <c r="AA842" s="30"/>
      <c r="AB842" s="30"/>
      <c r="AC842" s="30"/>
      <c r="AD842" s="30"/>
      <c r="AE842" s="30"/>
      <c r="AF842" s="30"/>
      <c r="AG842" s="30"/>
      <c r="AH842" s="30"/>
      <c r="AI842" s="30"/>
      <c r="AJ842" s="30"/>
      <c r="AK842" s="30"/>
      <c r="AL842" s="30"/>
      <c r="AM842" s="30"/>
      <c r="AN842" s="30"/>
    </row>
    <row r="843">
      <c r="A843" s="138"/>
      <c r="B843" s="142"/>
      <c r="C843" s="303"/>
      <c r="D843" s="138"/>
      <c r="E843" s="142"/>
      <c r="F843" s="303"/>
      <c r="G843" s="138"/>
      <c r="H843" s="142"/>
      <c r="I843" s="303"/>
      <c r="J843" s="138"/>
      <c r="K843" s="142"/>
      <c r="L843" s="303"/>
      <c r="M843" s="138"/>
      <c r="N843" s="142"/>
      <c r="O843" s="303"/>
      <c r="P843" s="138"/>
      <c r="Q843" s="142"/>
      <c r="R843" s="303"/>
      <c r="S843" s="138"/>
      <c r="T843" s="142"/>
      <c r="U843" s="303"/>
      <c r="V843" s="138"/>
      <c r="W843" s="142"/>
      <c r="X843" s="303"/>
      <c r="Y843" s="30"/>
      <c r="Z843" s="30"/>
      <c r="AA843" s="30"/>
      <c r="AB843" s="30"/>
      <c r="AC843" s="30"/>
      <c r="AD843" s="30"/>
      <c r="AE843" s="30"/>
      <c r="AF843" s="30"/>
      <c r="AG843" s="30"/>
      <c r="AH843" s="30"/>
      <c r="AI843" s="30"/>
      <c r="AJ843" s="30"/>
      <c r="AK843" s="30"/>
      <c r="AL843" s="30"/>
      <c r="AM843" s="30"/>
      <c r="AN843" s="30"/>
    </row>
    <row r="844">
      <c r="A844" s="138"/>
      <c r="B844" s="142"/>
      <c r="C844" s="303"/>
      <c r="D844" s="138"/>
      <c r="E844" s="142"/>
      <c r="F844" s="303"/>
      <c r="G844" s="138"/>
      <c r="H844" s="142"/>
      <c r="I844" s="303"/>
      <c r="J844" s="138"/>
      <c r="K844" s="142"/>
      <c r="L844" s="303"/>
      <c r="M844" s="138"/>
      <c r="N844" s="142"/>
      <c r="O844" s="303"/>
      <c r="P844" s="138"/>
      <c r="Q844" s="142"/>
      <c r="R844" s="303"/>
      <c r="S844" s="138"/>
      <c r="T844" s="142"/>
      <c r="U844" s="303"/>
      <c r="V844" s="138"/>
      <c r="W844" s="142"/>
      <c r="X844" s="303"/>
      <c r="Y844" s="30"/>
      <c r="Z844" s="30"/>
      <c r="AA844" s="30"/>
      <c r="AB844" s="30"/>
      <c r="AC844" s="30"/>
      <c r="AD844" s="30"/>
      <c r="AE844" s="30"/>
      <c r="AF844" s="30"/>
      <c r="AG844" s="30"/>
      <c r="AH844" s="30"/>
      <c r="AI844" s="30"/>
      <c r="AJ844" s="30"/>
      <c r="AK844" s="30"/>
      <c r="AL844" s="30"/>
      <c r="AM844" s="30"/>
      <c r="AN844" s="30"/>
    </row>
    <row r="845">
      <c r="A845" s="138"/>
      <c r="B845" s="142"/>
      <c r="C845" s="303"/>
      <c r="D845" s="138"/>
      <c r="E845" s="142"/>
      <c r="F845" s="303"/>
      <c r="G845" s="138"/>
      <c r="H845" s="142"/>
      <c r="I845" s="303"/>
      <c r="J845" s="138"/>
      <c r="K845" s="142"/>
      <c r="L845" s="303"/>
      <c r="M845" s="138"/>
      <c r="N845" s="142"/>
      <c r="O845" s="303"/>
      <c r="P845" s="138"/>
      <c r="Q845" s="142"/>
      <c r="R845" s="303"/>
      <c r="S845" s="138"/>
      <c r="T845" s="142"/>
      <c r="U845" s="303"/>
      <c r="V845" s="138"/>
      <c r="W845" s="142"/>
      <c r="X845" s="303"/>
      <c r="Y845" s="30"/>
      <c r="Z845" s="30"/>
      <c r="AA845" s="30"/>
      <c r="AB845" s="30"/>
      <c r="AC845" s="30"/>
      <c r="AD845" s="30"/>
      <c r="AE845" s="30"/>
      <c r="AF845" s="30"/>
      <c r="AG845" s="30"/>
      <c r="AH845" s="30"/>
      <c r="AI845" s="30"/>
      <c r="AJ845" s="30"/>
      <c r="AK845" s="30"/>
      <c r="AL845" s="30"/>
      <c r="AM845" s="30"/>
      <c r="AN845" s="30"/>
    </row>
    <row r="846">
      <c r="A846" s="138"/>
      <c r="B846" s="142"/>
      <c r="C846" s="303"/>
      <c r="D846" s="138"/>
      <c r="E846" s="142"/>
      <c r="F846" s="303"/>
      <c r="G846" s="138"/>
      <c r="H846" s="142"/>
      <c r="I846" s="303"/>
      <c r="J846" s="138"/>
      <c r="K846" s="142"/>
      <c r="L846" s="303"/>
      <c r="M846" s="138"/>
      <c r="N846" s="142"/>
      <c r="O846" s="303"/>
      <c r="P846" s="138"/>
      <c r="Q846" s="142"/>
      <c r="R846" s="303"/>
      <c r="S846" s="138"/>
      <c r="T846" s="142"/>
      <c r="U846" s="303"/>
      <c r="V846" s="138"/>
      <c r="W846" s="142"/>
      <c r="X846" s="303"/>
      <c r="Y846" s="30"/>
      <c r="Z846" s="30"/>
      <c r="AA846" s="30"/>
      <c r="AB846" s="30"/>
      <c r="AC846" s="30"/>
      <c r="AD846" s="30"/>
      <c r="AE846" s="30"/>
      <c r="AF846" s="30"/>
      <c r="AG846" s="30"/>
      <c r="AH846" s="30"/>
      <c r="AI846" s="30"/>
      <c r="AJ846" s="30"/>
      <c r="AK846" s="30"/>
      <c r="AL846" s="30"/>
      <c r="AM846" s="30"/>
      <c r="AN846" s="30"/>
    </row>
    <row r="847">
      <c r="A847" s="138"/>
      <c r="B847" s="142"/>
      <c r="C847" s="303"/>
      <c r="D847" s="138"/>
      <c r="E847" s="142"/>
      <c r="F847" s="303"/>
      <c r="G847" s="138"/>
      <c r="H847" s="142"/>
      <c r="I847" s="303"/>
      <c r="J847" s="138"/>
      <c r="K847" s="142"/>
      <c r="L847" s="303"/>
      <c r="M847" s="138"/>
      <c r="N847" s="142"/>
      <c r="O847" s="303"/>
      <c r="P847" s="138"/>
      <c r="Q847" s="142"/>
      <c r="R847" s="303"/>
      <c r="S847" s="138"/>
      <c r="T847" s="142"/>
      <c r="U847" s="303"/>
      <c r="V847" s="138"/>
      <c r="W847" s="142"/>
      <c r="X847" s="303"/>
      <c r="Y847" s="30"/>
      <c r="Z847" s="30"/>
      <c r="AA847" s="30"/>
      <c r="AB847" s="30"/>
      <c r="AC847" s="30"/>
      <c r="AD847" s="30"/>
      <c r="AE847" s="30"/>
      <c r="AF847" s="30"/>
      <c r="AG847" s="30"/>
      <c r="AH847" s="30"/>
      <c r="AI847" s="30"/>
      <c r="AJ847" s="30"/>
      <c r="AK847" s="30"/>
      <c r="AL847" s="30"/>
      <c r="AM847" s="30"/>
      <c r="AN847" s="30"/>
    </row>
    <row r="848">
      <c r="A848" s="138"/>
      <c r="B848" s="142"/>
      <c r="C848" s="303"/>
      <c r="D848" s="138"/>
      <c r="E848" s="142"/>
      <c r="F848" s="303"/>
      <c r="G848" s="138"/>
      <c r="H848" s="142"/>
      <c r="I848" s="303"/>
      <c r="J848" s="138"/>
      <c r="K848" s="142"/>
      <c r="L848" s="303"/>
      <c r="M848" s="138"/>
      <c r="N848" s="142"/>
      <c r="O848" s="303"/>
      <c r="P848" s="138"/>
      <c r="Q848" s="142"/>
      <c r="R848" s="303"/>
      <c r="S848" s="138"/>
      <c r="T848" s="142"/>
      <c r="U848" s="303"/>
      <c r="V848" s="138"/>
      <c r="W848" s="142"/>
      <c r="X848" s="303"/>
      <c r="Y848" s="30"/>
      <c r="Z848" s="30"/>
      <c r="AA848" s="30"/>
      <c r="AB848" s="30"/>
      <c r="AC848" s="30"/>
      <c r="AD848" s="30"/>
      <c r="AE848" s="30"/>
      <c r="AF848" s="30"/>
      <c r="AG848" s="30"/>
      <c r="AH848" s="30"/>
      <c r="AI848" s="30"/>
      <c r="AJ848" s="30"/>
      <c r="AK848" s="30"/>
      <c r="AL848" s="30"/>
      <c r="AM848" s="30"/>
      <c r="AN848" s="30"/>
    </row>
    <row r="849">
      <c r="A849" s="138"/>
      <c r="B849" s="142"/>
      <c r="C849" s="303"/>
      <c r="D849" s="138"/>
      <c r="E849" s="142"/>
      <c r="F849" s="303"/>
      <c r="G849" s="138"/>
      <c r="H849" s="142"/>
      <c r="I849" s="303"/>
      <c r="J849" s="138"/>
      <c r="K849" s="142"/>
      <c r="L849" s="303"/>
      <c r="M849" s="138"/>
      <c r="N849" s="142"/>
      <c r="O849" s="303"/>
      <c r="P849" s="138"/>
      <c r="Q849" s="142"/>
      <c r="R849" s="303"/>
      <c r="S849" s="138"/>
      <c r="T849" s="142"/>
      <c r="U849" s="303"/>
      <c r="V849" s="138"/>
      <c r="W849" s="142"/>
      <c r="X849" s="303"/>
      <c r="Y849" s="30"/>
      <c r="Z849" s="30"/>
      <c r="AA849" s="30"/>
      <c r="AB849" s="30"/>
      <c r="AC849" s="30"/>
      <c r="AD849" s="30"/>
      <c r="AE849" s="30"/>
      <c r="AF849" s="30"/>
      <c r="AG849" s="30"/>
      <c r="AH849" s="30"/>
      <c r="AI849" s="30"/>
      <c r="AJ849" s="30"/>
      <c r="AK849" s="30"/>
      <c r="AL849" s="30"/>
      <c r="AM849" s="30"/>
      <c r="AN849" s="30"/>
    </row>
    <row r="850">
      <c r="A850" s="138"/>
      <c r="B850" s="142"/>
      <c r="C850" s="303"/>
      <c r="D850" s="138"/>
      <c r="E850" s="142"/>
      <c r="F850" s="303"/>
      <c r="G850" s="138"/>
      <c r="H850" s="142"/>
      <c r="I850" s="303"/>
      <c r="J850" s="138"/>
      <c r="K850" s="142"/>
      <c r="L850" s="303"/>
      <c r="M850" s="138"/>
      <c r="N850" s="142"/>
      <c r="O850" s="303"/>
      <c r="P850" s="138"/>
      <c r="Q850" s="142"/>
      <c r="R850" s="303"/>
      <c r="S850" s="138"/>
      <c r="T850" s="142"/>
      <c r="U850" s="303"/>
      <c r="V850" s="138"/>
      <c r="W850" s="142"/>
      <c r="X850" s="303"/>
      <c r="Y850" s="30"/>
      <c r="Z850" s="30"/>
      <c r="AA850" s="30"/>
      <c r="AB850" s="30"/>
      <c r="AC850" s="30"/>
      <c r="AD850" s="30"/>
      <c r="AE850" s="30"/>
      <c r="AF850" s="30"/>
      <c r="AG850" s="30"/>
      <c r="AH850" s="30"/>
      <c r="AI850" s="30"/>
      <c r="AJ850" s="30"/>
      <c r="AK850" s="30"/>
      <c r="AL850" s="30"/>
      <c r="AM850" s="30"/>
      <c r="AN850" s="30"/>
    </row>
    <row r="851">
      <c r="A851" s="138"/>
      <c r="B851" s="142"/>
      <c r="C851" s="303"/>
      <c r="D851" s="138"/>
      <c r="E851" s="142"/>
      <c r="F851" s="303"/>
      <c r="G851" s="138"/>
      <c r="H851" s="142"/>
      <c r="I851" s="303"/>
      <c r="J851" s="138"/>
      <c r="K851" s="142"/>
      <c r="L851" s="303"/>
      <c r="M851" s="138"/>
      <c r="N851" s="142"/>
      <c r="O851" s="303"/>
      <c r="P851" s="138"/>
      <c r="Q851" s="142"/>
      <c r="R851" s="303"/>
      <c r="S851" s="138"/>
      <c r="T851" s="142"/>
      <c r="U851" s="303"/>
      <c r="V851" s="138"/>
      <c r="W851" s="142"/>
      <c r="X851" s="303"/>
      <c r="Y851" s="30"/>
      <c r="Z851" s="30"/>
      <c r="AA851" s="30"/>
      <c r="AB851" s="30"/>
      <c r="AC851" s="30"/>
      <c r="AD851" s="30"/>
      <c r="AE851" s="30"/>
      <c r="AF851" s="30"/>
      <c r="AG851" s="30"/>
      <c r="AH851" s="30"/>
      <c r="AI851" s="30"/>
      <c r="AJ851" s="30"/>
      <c r="AK851" s="30"/>
      <c r="AL851" s="30"/>
      <c r="AM851" s="30"/>
      <c r="AN851" s="30"/>
    </row>
    <row r="852">
      <c r="A852" s="138"/>
      <c r="B852" s="142"/>
      <c r="C852" s="303"/>
      <c r="D852" s="138"/>
      <c r="E852" s="142"/>
      <c r="F852" s="303"/>
      <c r="G852" s="138"/>
      <c r="H852" s="142"/>
      <c r="I852" s="303"/>
      <c r="J852" s="138"/>
      <c r="K852" s="142"/>
      <c r="L852" s="303"/>
      <c r="M852" s="138"/>
      <c r="N852" s="142"/>
      <c r="O852" s="303"/>
      <c r="P852" s="138"/>
      <c r="Q852" s="142"/>
      <c r="R852" s="303"/>
      <c r="S852" s="138"/>
      <c r="T852" s="142"/>
      <c r="U852" s="303"/>
      <c r="V852" s="138"/>
      <c r="W852" s="142"/>
      <c r="X852" s="303"/>
      <c r="Y852" s="30"/>
      <c r="Z852" s="30"/>
      <c r="AA852" s="30"/>
      <c r="AB852" s="30"/>
      <c r="AC852" s="30"/>
      <c r="AD852" s="30"/>
      <c r="AE852" s="30"/>
      <c r="AF852" s="30"/>
      <c r="AG852" s="30"/>
      <c r="AH852" s="30"/>
      <c r="AI852" s="30"/>
      <c r="AJ852" s="30"/>
      <c r="AK852" s="30"/>
      <c r="AL852" s="30"/>
      <c r="AM852" s="30"/>
      <c r="AN852" s="30"/>
    </row>
    <row r="853">
      <c r="A853" s="138"/>
      <c r="B853" s="142"/>
      <c r="C853" s="303"/>
      <c r="D853" s="138"/>
      <c r="E853" s="142"/>
      <c r="F853" s="303"/>
      <c r="G853" s="138"/>
      <c r="H853" s="142"/>
      <c r="I853" s="303"/>
      <c r="J853" s="138"/>
      <c r="K853" s="142"/>
      <c r="L853" s="303"/>
      <c r="M853" s="138"/>
      <c r="N853" s="142"/>
      <c r="O853" s="303"/>
      <c r="P853" s="138"/>
      <c r="Q853" s="142"/>
      <c r="R853" s="303"/>
      <c r="S853" s="138"/>
      <c r="T853" s="142"/>
      <c r="U853" s="303"/>
      <c r="V853" s="138"/>
      <c r="W853" s="142"/>
      <c r="X853" s="303"/>
      <c r="Y853" s="30"/>
      <c r="Z853" s="30"/>
      <c r="AA853" s="30"/>
      <c r="AB853" s="30"/>
      <c r="AC853" s="30"/>
      <c r="AD853" s="30"/>
      <c r="AE853" s="30"/>
      <c r="AF853" s="30"/>
      <c r="AG853" s="30"/>
      <c r="AH853" s="30"/>
      <c r="AI853" s="30"/>
      <c r="AJ853" s="30"/>
      <c r="AK853" s="30"/>
      <c r="AL853" s="30"/>
      <c r="AM853" s="30"/>
      <c r="AN853" s="30"/>
    </row>
    <row r="854">
      <c r="A854" s="138"/>
      <c r="B854" s="142"/>
      <c r="C854" s="303"/>
      <c r="D854" s="138"/>
      <c r="E854" s="142"/>
      <c r="F854" s="303"/>
      <c r="G854" s="138"/>
      <c r="H854" s="142"/>
      <c r="I854" s="303"/>
      <c r="J854" s="138"/>
      <c r="K854" s="142"/>
      <c r="L854" s="303"/>
      <c r="M854" s="138"/>
      <c r="N854" s="142"/>
      <c r="O854" s="303"/>
      <c r="P854" s="138"/>
      <c r="Q854" s="142"/>
      <c r="R854" s="303"/>
      <c r="S854" s="138"/>
      <c r="T854" s="142"/>
      <c r="U854" s="303"/>
      <c r="V854" s="138"/>
      <c r="W854" s="142"/>
      <c r="X854" s="303"/>
      <c r="Y854" s="30"/>
      <c r="Z854" s="30"/>
      <c r="AA854" s="30"/>
      <c r="AB854" s="30"/>
      <c r="AC854" s="30"/>
      <c r="AD854" s="30"/>
      <c r="AE854" s="30"/>
      <c r="AF854" s="30"/>
      <c r="AG854" s="30"/>
      <c r="AH854" s="30"/>
      <c r="AI854" s="30"/>
      <c r="AJ854" s="30"/>
      <c r="AK854" s="30"/>
      <c r="AL854" s="30"/>
      <c r="AM854" s="30"/>
      <c r="AN854" s="30"/>
    </row>
    <row r="855">
      <c r="A855" s="138"/>
      <c r="B855" s="142"/>
      <c r="C855" s="303"/>
      <c r="D855" s="138"/>
      <c r="E855" s="142"/>
      <c r="F855" s="303"/>
      <c r="G855" s="138"/>
      <c r="H855" s="142"/>
      <c r="I855" s="303"/>
      <c r="J855" s="138"/>
      <c r="K855" s="142"/>
      <c r="L855" s="303"/>
      <c r="M855" s="138"/>
      <c r="N855" s="142"/>
      <c r="O855" s="303"/>
      <c r="P855" s="138"/>
      <c r="Q855" s="142"/>
      <c r="R855" s="303"/>
      <c r="S855" s="138"/>
      <c r="T855" s="142"/>
      <c r="U855" s="303"/>
      <c r="V855" s="138"/>
      <c r="W855" s="142"/>
      <c r="X855" s="303"/>
      <c r="Y855" s="30"/>
      <c r="Z855" s="30"/>
      <c r="AA855" s="30"/>
      <c r="AB855" s="30"/>
      <c r="AC855" s="30"/>
      <c r="AD855" s="30"/>
      <c r="AE855" s="30"/>
      <c r="AF855" s="30"/>
      <c r="AG855" s="30"/>
      <c r="AH855" s="30"/>
      <c r="AI855" s="30"/>
      <c r="AJ855" s="30"/>
      <c r="AK855" s="30"/>
      <c r="AL855" s="30"/>
      <c r="AM855" s="30"/>
      <c r="AN855" s="30"/>
    </row>
    <row r="856">
      <c r="A856" s="138"/>
      <c r="B856" s="142"/>
      <c r="C856" s="303"/>
      <c r="D856" s="138"/>
      <c r="E856" s="142"/>
      <c r="F856" s="303"/>
      <c r="G856" s="138"/>
      <c r="H856" s="142"/>
      <c r="I856" s="303"/>
      <c r="J856" s="138"/>
      <c r="K856" s="142"/>
      <c r="L856" s="303"/>
      <c r="M856" s="138"/>
      <c r="N856" s="142"/>
      <c r="O856" s="303"/>
      <c r="P856" s="138"/>
      <c r="Q856" s="142"/>
      <c r="R856" s="303"/>
      <c r="S856" s="138"/>
      <c r="T856" s="142"/>
      <c r="U856" s="303"/>
      <c r="V856" s="138"/>
      <c r="W856" s="142"/>
      <c r="X856" s="303"/>
      <c r="Y856" s="30"/>
      <c r="Z856" s="30"/>
      <c r="AA856" s="30"/>
      <c r="AB856" s="30"/>
      <c r="AC856" s="30"/>
      <c r="AD856" s="30"/>
      <c r="AE856" s="30"/>
      <c r="AF856" s="30"/>
      <c r="AG856" s="30"/>
      <c r="AH856" s="30"/>
      <c r="AI856" s="30"/>
      <c r="AJ856" s="30"/>
      <c r="AK856" s="30"/>
      <c r="AL856" s="30"/>
      <c r="AM856" s="30"/>
      <c r="AN856" s="30"/>
    </row>
    <row r="857">
      <c r="A857" s="138"/>
      <c r="B857" s="142"/>
      <c r="C857" s="303"/>
      <c r="D857" s="138"/>
      <c r="E857" s="142"/>
      <c r="F857" s="303"/>
      <c r="G857" s="138"/>
      <c r="H857" s="142"/>
      <c r="I857" s="303"/>
      <c r="J857" s="138"/>
      <c r="K857" s="142"/>
      <c r="L857" s="303"/>
      <c r="M857" s="138"/>
      <c r="N857" s="142"/>
      <c r="O857" s="303"/>
      <c r="P857" s="138"/>
      <c r="Q857" s="142"/>
      <c r="R857" s="303"/>
      <c r="S857" s="138"/>
      <c r="T857" s="142"/>
      <c r="U857" s="303"/>
      <c r="V857" s="138"/>
      <c r="W857" s="142"/>
      <c r="X857" s="303"/>
      <c r="Y857" s="30"/>
      <c r="Z857" s="30"/>
      <c r="AA857" s="30"/>
      <c r="AB857" s="30"/>
      <c r="AC857" s="30"/>
      <c r="AD857" s="30"/>
      <c r="AE857" s="30"/>
      <c r="AF857" s="30"/>
      <c r="AG857" s="30"/>
      <c r="AH857" s="30"/>
      <c r="AI857" s="30"/>
      <c r="AJ857" s="30"/>
      <c r="AK857" s="30"/>
      <c r="AL857" s="30"/>
      <c r="AM857" s="30"/>
      <c r="AN857" s="30"/>
    </row>
    <row r="858">
      <c r="A858" s="138"/>
      <c r="B858" s="142"/>
      <c r="C858" s="303"/>
      <c r="D858" s="138"/>
      <c r="E858" s="142"/>
      <c r="F858" s="303"/>
      <c r="G858" s="138"/>
      <c r="H858" s="142"/>
      <c r="I858" s="303"/>
      <c r="J858" s="138"/>
      <c r="K858" s="142"/>
      <c r="L858" s="303"/>
      <c r="M858" s="138"/>
      <c r="N858" s="142"/>
      <c r="O858" s="303"/>
      <c r="P858" s="138"/>
      <c r="Q858" s="142"/>
      <c r="R858" s="303"/>
      <c r="S858" s="138"/>
      <c r="T858" s="142"/>
      <c r="U858" s="303"/>
      <c r="V858" s="138"/>
      <c r="W858" s="142"/>
      <c r="X858" s="303"/>
      <c r="Y858" s="30"/>
      <c r="Z858" s="30"/>
      <c r="AA858" s="30"/>
      <c r="AB858" s="30"/>
      <c r="AC858" s="30"/>
      <c r="AD858" s="30"/>
      <c r="AE858" s="30"/>
      <c r="AF858" s="30"/>
      <c r="AG858" s="30"/>
      <c r="AH858" s="30"/>
      <c r="AI858" s="30"/>
      <c r="AJ858" s="30"/>
      <c r="AK858" s="30"/>
      <c r="AL858" s="30"/>
      <c r="AM858" s="30"/>
      <c r="AN858" s="30"/>
    </row>
    <row r="859">
      <c r="A859" s="138"/>
      <c r="B859" s="142"/>
      <c r="C859" s="303"/>
      <c r="D859" s="138"/>
      <c r="E859" s="142"/>
      <c r="F859" s="303"/>
      <c r="G859" s="138"/>
      <c r="H859" s="142"/>
      <c r="I859" s="303"/>
      <c r="J859" s="138"/>
      <c r="K859" s="142"/>
      <c r="L859" s="303"/>
      <c r="M859" s="138"/>
      <c r="N859" s="142"/>
      <c r="O859" s="303"/>
      <c r="P859" s="138"/>
      <c r="Q859" s="142"/>
      <c r="R859" s="303"/>
      <c r="S859" s="138"/>
      <c r="T859" s="142"/>
      <c r="U859" s="303"/>
      <c r="V859" s="138"/>
      <c r="W859" s="142"/>
      <c r="X859" s="303"/>
      <c r="Y859" s="30"/>
      <c r="Z859" s="30"/>
      <c r="AA859" s="30"/>
      <c r="AB859" s="30"/>
      <c r="AC859" s="30"/>
      <c r="AD859" s="30"/>
      <c r="AE859" s="30"/>
      <c r="AF859" s="30"/>
      <c r="AG859" s="30"/>
      <c r="AH859" s="30"/>
      <c r="AI859" s="30"/>
      <c r="AJ859" s="30"/>
      <c r="AK859" s="30"/>
      <c r="AL859" s="30"/>
      <c r="AM859" s="30"/>
      <c r="AN859" s="30"/>
    </row>
    <row r="860">
      <c r="A860" s="138"/>
      <c r="B860" s="142"/>
      <c r="C860" s="303"/>
      <c r="D860" s="138"/>
      <c r="E860" s="142"/>
      <c r="F860" s="303"/>
      <c r="G860" s="138"/>
      <c r="H860" s="142"/>
      <c r="I860" s="303"/>
      <c r="J860" s="138"/>
      <c r="K860" s="142"/>
      <c r="L860" s="303"/>
      <c r="M860" s="138"/>
      <c r="N860" s="142"/>
      <c r="O860" s="303"/>
      <c r="P860" s="138"/>
      <c r="Q860" s="142"/>
      <c r="R860" s="303"/>
      <c r="S860" s="138"/>
      <c r="T860" s="142"/>
      <c r="U860" s="303"/>
      <c r="V860" s="138"/>
      <c r="W860" s="142"/>
      <c r="X860" s="303"/>
      <c r="Y860" s="30"/>
      <c r="Z860" s="30"/>
      <c r="AA860" s="30"/>
      <c r="AB860" s="30"/>
      <c r="AC860" s="30"/>
      <c r="AD860" s="30"/>
      <c r="AE860" s="30"/>
      <c r="AF860" s="30"/>
      <c r="AG860" s="30"/>
      <c r="AH860" s="30"/>
      <c r="AI860" s="30"/>
      <c r="AJ860" s="30"/>
      <c r="AK860" s="30"/>
      <c r="AL860" s="30"/>
      <c r="AM860" s="30"/>
      <c r="AN860" s="30"/>
    </row>
    <row r="861">
      <c r="A861" s="138"/>
      <c r="B861" s="142"/>
      <c r="C861" s="303"/>
      <c r="D861" s="138"/>
      <c r="E861" s="142"/>
      <c r="F861" s="303"/>
      <c r="G861" s="138"/>
      <c r="H861" s="142"/>
      <c r="I861" s="303"/>
      <c r="J861" s="138"/>
      <c r="K861" s="142"/>
      <c r="L861" s="303"/>
      <c r="M861" s="138"/>
      <c r="N861" s="142"/>
      <c r="O861" s="303"/>
      <c r="P861" s="138"/>
      <c r="Q861" s="142"/>
      <c r="R861" s="303"/>
      <c r="S861" s="138"/>
      <c r="T861" s="142"/>
      <c r="U861" s="303"/>
      <c r="V861" s="138"/>
      <c r="W861" s="142"/>
      <c r="X861" s="303"/>
      <c r="Y861" s="30"/>
      <c r="Z861" s="30"/>
      <c r="AA861" s="30"/>
      <c r="AB861" s="30"/>
      <c r="AC861" s="30"/>
      <c r="AD861" s="30"/>
      <c r="AE861" s="30"/>
      <c r="AF861" s="30"/>
      <c r="AG861" s="30"/>
      <c r="AH861" s="30"/>
      <c r="AI861" s="30"/>
      <c r="AJ861" s="30"/>
      <c r="AK861" s="30"/>
      <c r="AL861" s="30"/>
      <c r="AM861" s="30"/>
      <c r="AN861" s="30"/>
    </row>
    <row r="862">
      <c r="A862" s="138"/>
      <c r="B862" s="142"/>
      <c r="C862" s="303"/>
      <c r="D862" s="138"/>
      <c r="E862" s="142"/>
      <c r="F862" s="303"/>
      <c r="G862" s="138"/>
      <c r="H862" s="142"/>
      <c r="I862" s="303"/>
      <c r="J862" s="138"/>
      <c r="K862" s="142"/>
      <c r="L862" s="303"/>
      <c r="M862" s="138"/>
      <c r="N862" s="142"/>
      <c r="O862" s="303"/>
      <c r="P862" s="138"/>
      <c r="Q862" s="142"/>
      <c r="R862" s="303"/>
      <c r="S862" s="138"/>
      <c r="T862" s="142"/>
      <c r="U862" s="303"/>
      <c r="V862" s="138"/>
      <c r="W862" s="142"/>
      <c r="X862" s="303"/>
      <c r="Y862" s="30"/>
      <c r="Z862" s="30"/>
      <c r="AA862" s="30"/>
      <c r="AB862" s="30"/>
      <c r="AC862" s="30"/>
      <c r="AD862" s="30"/>
      <c r="AE862" s="30"/>
      <c r="AF862" s="30"/>
      <c r="AG862" s="30"/>
      <c r="AH862" s="30"/>
      <c r="AI862" s="30"/>
      <c r="AJ862" s="30"/>
      <c r="AK862" s="30"/>
      <c r="AL862" s="30"/>
      <c r="AM862" s="30"/>
      <c r="AN862" s="30"/>
    </row>
    <row r="863">
      <c r="A863" s="138"/>
      <c r="B863" s="142"/>
      <c r="C863" s="303"/>
      <c r="D863" s="138"/>
      <c r="E863" s="142"/>
      <c r="F863" s="303"/>
      <c r="G863" s="138"/>
      <c r="H863" s="142"/>
      <c r="I863" s="303"/>
      <c r="J863" s="138"/>
      <c r="K863" s="142"/>
      <c r="L863" s="303"/>
      <c r="M863" s="138"/>
      <c r="N863" s="142"/>
      <c r="O863" s="303"/>
      <c r="P863" s="138"/>
      <c r="Q863" s="142"/>
      <c r="R863" s="303"/>
      <c r="S863" s="138"/>
      <c r="T863" s="142"/>
      <c r="U863" s="303"/>
      <c r="V863" s="138"/>
      <c r="W863" s="142"/>
      <c r="X863" s="303"/>
      <c r="Y863" s="30"/>
      <c r="Z863" s="30"/>
      <c r="AA863" s="30"/>
      <c r="AB863" s="30"/>
      <c r="AC863" s="30"/>
      <c r="AD863" s="30"/>
      <c r="AE863" s="30"/>
      <c r="AF863" s="30"/>
      <c r="AG863" s="30"/>
      <c r="AH863" s="30"/>
      <c r="AI863" s="30"/>
      <c r="AJ863" s="30"/>
      <c r="AK863" s="30"/>
      <c r="AL863" s="30"/>
      <c r="AM863" s="30"/>
      <c r="AN863" s="30"/>
    </row>
    <row r="864">
      <c r="A864" s="138"/>
      <c r="B864" s="142"/>
      <c r="C864" s="303"/>
      <c r="D864" s="138"/>
      <c r="E864" s="142"/>
      <c r="F864" s="303"/>
      <c r="G864" s="138"/>
      <c r="H864" s="142"/>
      <c r="I864" s="303"/>
      <c r="J864" s="138"/>
      <c r="K864" s="142"/>
      <c r="L864" s="303"/>
      <c r="M864" s="138"/>
      <c r="N864" s="142"/>
      <c r="O864" s="303"/>
      <c r="P864" s="138"/>
      <c r="Q864" s="142"/>
      <c r="R864" s="303"/>
      <c r="S864" s="138"/>
      <c r="T864" s="142"/>
      <c r="U864" s="303"/>
      <c r="V864" s="138"/>
      <c r="W864" s="142"/>
      <c r="X864" s="303"/>
      <c r="Y864" s="30"/>
      <c r="Z864" s="30"/>
      <c r="AA864" s="30"/>
      <c r="AB864" s="30"/>
      <c r="AC864" s="30"/>
      <c r="AD864" s="30"/>
      <c r="AE864" s="30"/>
      <c r="AF864" s="30"/>
      <c r="AG864" s="30"/>
      <c r="AH864" s="30"/>
      <c r="AI864" s="30"/>
      <c r="AJ864" s="30"/>
      <c r="AK864" s="30"/>
      <c r="AL864" s="30"/>
      <c r="AM864" s="30"/>
      <c r="AN864" s="30"/>
    </row>
    <row r="865">
      <c r="A865" s="138"/>
      <c r="B865" s="142"/>
      <c r="C865" s="303"/>
      <c r="D865" s="138"/>
      <c r="E865" s="142"/>
      <c r="F865" s="303"/>
      <c r="G865" s="138"/>
      <c r="H865" s="142"/>
      <c r="I865" s="303"/>
      <c r="J865" s="138"/>
      <c r="K865" s="142"/>
      <c r="L865" s="303"/>
      <c r="M865" s="138"/>
      <c r="N865" s="142"/>
      <c r="O865" s="303"/>
      <c r="P865" s="138"/>
      <c r="Q865" s="142"/>
      <c r="R865" s="303"/>
      <c r="S865" s="138"/>
      <c r="T865" s="142"/>
      <c r="U865" s="303"/>
      <c r="V865" s="138"/>
      <c r="W865" s="142"/>
      <c r="X865" s="303"/>
      <c r="Y865" s="30"/>
      <c r="Z865" s="30"/>
      <c r="AA865" s="30"/>
      <c r="AB865" s="30"/>
      <c r="AC865" s="30"/>
      <c r="AD865" s="30"/>
      <c r="AE865" s="30"/>
      <c r="AF865" s="30"/>
      <c r="AG865" s="30"/>
      <c r="AH865" s="30"/>
      <c r="AI865" s="30"/>
      <c r="AJ865" s="30"/>
      <c r="AK865" s="30"/>
      <c r="AL865" s="30"/>
      <c r="AM865" s="30"/>
      <c r="AN865" s="30"/>
    </row>
    <row r="866">
      <c r="A866" s="138"/>
      <c r="B866" s="142"/>
      <c r="C866" s="303"/>
      <c r="D866" s="138"/>
      <c r="E866" s="142"/>
      <c r="F866" s="303"/>
      <c r="G866" s="138"/>
      <c r="H866" s="142"/>
      <c r="I866" s="303"/>
      <c r="J866" s="138"/>
      <c r="K866" s="142"/>
      <c r="L866" s="303"/>
      <c r="M866" s="138"/>
      <c r="N866" s="142"/>
      <c r="O866" s="303"/>
      <c r="P866" s="138"/>
      <c r="Q866" s="142"/>
      <c r="R866" s="303"/>
      <c r="S866" s="138"/>
      <c r="T866" s="142"/>
      <c r="U866" s="303"/>
      <c r="V866" s="138"/>
      <c r="W866" s="142"/>
      <c r="X866" s="303"/>
      <c r="Y866" s="30"/>
      <c r="Z866" s="30"/>
      <c r="AA866" s="30"/>
      <c r="AB866" s="30"/>
      <c r="AC866" s="30"/>
      <c r="AD866" s="30"/>
      <c r="AE866" s="30"/>
      <c r="AF866" s="30"/>
      <c r="AG866" s="30"/>
      <c r="AH866" s="30"/>
      <c r="AI866" s="30"/>
      <c r="AJ866" s="30"/>
      <c r="AK866" s="30"/>
      <c r="AL866" s="30"/>
      <c r="AM866" s="30"/>
      <c r="AN866" s="30"/>
    </row>
    <row r="867">
      <c r="A867" s="138"/>
      <c r="B867" s="142"/>
      <c r="C867" s="303"/>
      <c r="D867" s="138"/>
      <c r="E867" s="142"/>
      <c r="F867" s="303"/>
      <c r="G867" s="138"/>
      <c r="H867" s="142"/>
      <c r="I867" s="303"/>
      <c r="J867" s="138"/>
      <c r="K867" s="142"/>
      <c r="L867" s="303"/>
      <c r="M867" s="138"/>
      <c r="N867" s="142"/>
      <c r="O867" s="303"/>
      <c r="P867" s="138"/>
      <c r="Q867" s="142"/>
      <c r="R867" s="303"/>
      <c r="S867" s="138"/>
      <c r="T867" s="142"/>
      <c r="U867" s="303"/>
      <c r="V867" s="138"/>
      <c r="W867" s="142"/>
      <c r="X867" s="303"/>
      <c r="Y867" s="30"/>
      <c r="Z867" s="30"/>
      <c r="AA867" s="30"/>
      <c r="AB867" s="30"/>
      <c r="AC867" s="30"/>
      <c r="AD867" s="30"/>
      <c r="AE867" s="30"/>
      <c r="AF867" s="30"/>
      <c r="AG867" s="30"/>
      <c r="AH867" s="30"/>
      <c r="AI867" s="30"/>
      <c r="AJ867" s="30"/>
      <c r="AK867" s="30"/>
      <c r="AL867" s="30"/>
      <c r="AM867" s="30"/>
      <c r="AN867" s="30"/>
    </row>
    <row r="868">
      <c r="A868" s="138"/>
      <c r="B868" s="142"/>
      <c r="C868" s="303"/>
      <c r="D868" s="138"/>
      <c r="E868" s="142"/>
      <c r="F868" s="303"/>
      <c r="G868" s="138"/>
      <c r="H868" s="142"/>
      <c r="I868" s="303"/>
      <c r="J868" s="138"/>
      <c r="K868" s="142"/>
      <c r="L868" s="303"/>
      <c r="M868" s="138"/>
      <c r="N868" s="142"/>
      <c r="O868" s="303"/>
      <c r="P868" s="138"/>
      <c r="Q868" s="142"/>
      <c r="R868" s="303"/>
      <c r="S868" s="138"/>
      <c r="T868" s="142"/>
      <c r="U868" s="303"/>
      <c r="V868" s="138"/>
      <c r="W868" s="142"/>
      <c r="X868" s="303"/>
      <c r="Y868" s="30"/>
      <c r="Z868" s="30"/>
      <c r="AA868" s="30"/>
      <c r="AB868" s="30"/>
      <c r="AC868" s="30"/>
      <c r="AD868" s="30"/>
      <c r="AE868" s="30"/>
      <c r="AF868" s="30"/>
      <c r="AG868" s="30"/>
      <c r="AH868" s="30"/>
      <c r="AI868" s="30"/>
      <c r="AJ868" s="30"/>
      <c r="AK868" s="30"/>
      <c r="AL868" s="30"/>
      <c r="AM868" s="30"/>
      <c r="AN868" s="30"/>
    </row>
    <row r="869">
      <c r="A869" s="138"/>
      <c r="B869" s="142"/>
      <c r="C869" s="303"/>
      <c r="D869" s="138"/>
      <c r="E869" s="142"/>
      <c r="F869" s="303"/>
      <c r="G869" s="138"/>
      <c r="H869" s="142"/>
      <c r="I869" s="303"/>
      <c r="J869" s="138"/>
      <c r="K869" s="142"/>
      <c r="L869" s="303"/>
      <c r="M869" s="138"/>
      <c r="N869" s="142"/>
      <c r="O869" s="303"/>
      <c r="P869" s="138"/>
      <c r="Q869" s="142"/>
      <c r="R869" s="303"/>
      <c r="S869" s="138"/>
      <c r="T869" s="142"/>
      <c r="U869" s="303"/>
      <c r="V869" s="138"/>
      <c r="W869" s="142"/>
      <c r="X869" s="303"/>
      <c r="Y869" s="30"/>
      <c r="Z869" s="30"/>
      <c r="AA869" s="30"/>
      <c r="AB869" s="30"/>
      <c r="AC869" s="30"/>
      <c r="AD869" s="30"/>
      <c r="AE869" s="30"/>
      <c r="AF869" s="30"/>
      <c r="AG869" s="30"/>
      <c r="AH869" s="30"/>
      <c r="AI869" s="30"/>
      <c r="AJ869" s="30"/>
      <c r="AK869" s="30"/>
      <c r="AL869" s="30"/>
      <c r="AM869" s="30"/>
      <c r="AN869" s="30"/>
    </row>
    <row r="870">
      <c r="A870" s="138"/>
      <c r="B870" s="142"/>
      <c r="C870" s="303"/>
      <c r="D870" s="138"/>
      <c r="E870" s="142"/>
      <c r="F870" s="303"/>
      <c r="G870" s="138"/>
      <c r="H870" s="142"/>
      <c r="I870" s="303"/>
      <c r="J870" s="138"/>
      <c r="K870" s="142"/>
      <c r="L870" s="303"/>
      <c r="M870" s="138"/>
      <c r="N870" s="142"/>
      <c r="O870" s="303"/>
      <c r="P870" s="138"/>
      <c r="Q870" s="142"/>
      <c r="R870" s="303"/>
      <c r="S870" s="138"/>
      <c r="T870" s="142"/>
      <c r="U870" s="303"/>
      <c r="V870" s="138"/>
      <c r="W870" s="142"/>
      <c r="X870" s="303"/>
      <c r="Y870" s="30"/>
      <c r="Z870" s="30"/>
      <c r="AA870" s="30"/>
      <c r="AB870" s="30"/>
      <c r="AC870" s="30"/>
      <c r="AD870" s="30"/>
      <c r="AE870" s="30"/>
      <c r="AF870" s="30"/>
      <c r="AG870" s="30"/>
      <c r="AH870" s="30"/>
      <c r="AI870" s="30"/>
      <c r="AJ870" s="30"/>
      <c r="AK870" s="30"/>
      <c r="AL870" s="30"/>
      <c r="AM870" s="30"/>
      <c r="AN870" s="30"/>
    </row>
    <row r="871">
      <c r="A871" s="138"/>
      <c r="B871" s="142"/>
      <c r="C871" s="303"/>
      <c r="D871" s="138"/>
      <c r="E871" s="142"/>
      <c r="F871" s="303"/>
      <c r="G871" s="138"/>
      <c r="H871" s="142"/>
      <c r="I871" s="303"/>
      <c r="J871" s="138"/>
      <c r="K871" s="142"/>
      <c r="L871" s="303"/>
      <c r="M871" s="138"/>
      <c r="N871" s="142"/>
      <c r="O871" s="303"/>
      <c r="P871" s="138"/>
      <c r="Q871" s="142"/>
      <c r="R871" s="303"/>
      <c r="S871" s="138"/>
      <c r="T871" s="142"/>
      <c r="U871" s="303"/>
      <c r="V871" s="138"/>
      <c r="W871" s="142"/>
      <c r="X871" s="303"/>
      <c r="Y871" s="30"/>
      <c r="Z871" s="30"/>
      <c r="AA871" s="30"/>
      <c r="AB871" s="30"/>
      <c r="AC871" s="30"/>
      <c r="AD871" s="30"/>
      <c r="AE871" s="30"/>
      <c r="AF871" s="30"/>
      <c r="AG871" s="30"/>
      <c r="AH871" s="30"/>
      <c r="AI871" s="30"/>
      <c r="AJ871" s="30"/>
      <c r="AK871" s="30"/>
      <c r="AL871" s="30"/>
      <c r="AM871" s="30"/>
      <c r="AN871" s="30"/>
    </row>
    <row r="872">
      <c r="A872" s="138"/>
      <c r="B872" s="142"/>
      <c r="C872" s="303"/>
      <c r="D872" s="138"/>
      <c r="E872" s="142"/>
      <c r="F872" s="303"/>
      <c r="G872" s="138"/>
      <c r="H872" s="142"/>
      <c r="I872" s="303"/>
      <c r="J872" s="138"/>
      <c r="K872" s="142"/>
      <c r="L872" s="303"/>
      <c r="M872" s="138"/>
      <c r="N872" s="142"/>
      <c r="O872" s="303"/>
      <c r="P872" s="138"/>
      <c r="Q872" s="142"/>
      <c r="R872" s="303"/>
      <c r="S872" s="138"/>
      <c r="T872" s="142"/>
      <c r="U872" s="303"/>
      <c r="V872" s="138"/>
      <c r="W872" s="142"/>
      <c r="X872" s="303"/>
      <c r="Y872" s="30"/>
      <c r="Z872" s="30"/>
      <c r="AA872" s="30"/>
      <c r="AB872" s="30"/>
      <c r="AC872" s="30"/>
      <c r="AD872" s="30"/>
      <c r="AE872" s="30"/>
      <c r="AF872" s="30"/>
      <c r="AG872" s="30"/>
      <c r="AH872" s="30"/>
      <c r="AI872" s="30"/>
      <c r="AJ872" s="30"/>
      <c r="AK872" s="30"/>
      <c r="AL872" s="30"/>
      <c r="AM872" s="30"/>
      <c r="AN872" s="30"/>
    </row>
    <row r="873">
      <c r="A873" s="138"/>
      <c r="B873" s="142"/>
      <c r="C873" s="303"/>
      <c r="D873" s="138"/>
      <c r="E873" s="142"/>
      <c r="F873" s="303"/>
      <c r="G873" s="138"/>
      <c r="H873" s="142"/>
      <c r="I873" s="303"/>
      <c r="J873" s="138"/>
      <c r="K873" s="142"/>
      <c r="L873" s="303"/>
      <c r="M873" s="138"/>
      <c r="N873" s="142"/>
      <c r="O873" s="303"/>
      <c r="P873" s="138"/>
      <c r="Q873" s="142"/>
      <c r="R873" s="303"/>
      <c r="S873" s="138"/>
      <c r="T873" s="142"/>
      <c r="U873" s="303"/>
      <c r="V873" s="138"/>
      <c r="W873" s="142"/>
      <c r="X873" s="303"/>
      <c r="Y873" s="30"/>
      <c r="Z873" s="30"/>
      <c r="AA873" s="30"/>
      <c r="AB873" s="30"/>
      <c r="AC873" s="30"/>
      <c r="AD873" s="30"/>
      <c r="AE873" s="30"/>
      <c r="AF873" s="30"/>
      <c r="AG873" s="30"/>
      <c r="AH873" s="30"/>
      <c r="AI873" s="30"/>
      <c r="AJ873" s="30"/>
      <c r="AK873" s="30"/>
      <c r="AL873" s="30"/>
      <c r="AM873" s="30"/>
      <c r="AN873" s="30"/>
    </row>
    <row r="874">
      <c r="A874" s="138"/>
      <c r="B874" s="142"/>
      <c r="C874" s="303"/>
      <c r="D874" s="138"/>
      <c r="E874" s="142"/>
      <c r="F874" s="303"/>
      <c r="G874" s="138"/>
      <c r="H874" s="142"/>
      <c r="I874" s="303"/>
      <c r="J874" s="138"/>
      <c r="K874" s="142"/>
      <c r="L874" s="303"/>
      <c r="M874" s="138"/>
      <c r="N874" s="142"/>
      <c r="O874" s="303"/>
      <c r="P874" s="138"/>
      <c r="Q874" s="142"/>
      <c r="R874" s="303"/>
      <c r="S874" s="138"/>
      <c r="T874" s="142"/>
      <c r="U874" s="303"/>
      <c r="V874" s="138"/>
      <c r="W874" s="142"/>
      <c r="X874" s="303"/>
      <c r="Y874" s="30"/>
      <c r="Z874" s="30"/>
      <c r="AA874" s="30"/>
      <c r="AB874" s="30"/>
      <c r="AC874" s="30"/>
      <c r="AD874" s="30"/>
      <c r="AE874" s="30"/>
      <c r="AF874" s="30"/>
      <c r="AG874" s="30"/>
      <c r="AH874" s="30"/>
      <c r="AI874" s="30"/>
      <c r="AJ874" s="30"/>
      <c r="AK874" s="30"/>
      <c r="AL874" s="30"/>
      <c r="AM874" s="30"/>
      <c r="AN874" s="30"/>
    </row>
    <row r="875">
      <c r="A875" s="138"/>
      <c r="B875" s="142"/>
      <c r="C875" s="303"/>
      <c r="D875" s="138"/>
      <c r="E875" s="142"/>
      <c r="F875" s="303"/>
      <c r="G875" s="138"/>
      <c r="H875" s="142"/>
      <c r="I875" s="303"/>
      <c r="J875" s="138"/>
      <c r="K875" s="142"/>
      <c r="L875" s="303"/>
      <c r="M875" s="138"/>
      <c r="N875" s="142"/>
      <c r="O875" s="303"/>
      <c r="P875" s="138"/>
      <c r="Q875" s="142"/>
      <c r="R875" s="303"/>
      <c r="S875" s="138"/>
      <c r="T875" s="142"/>
      <c r="U875" s="303"/>
      <c r="V875" s="138"/>
      <c r="W875" s="142"/>
      <c r="X875" s="303"/>
      <c r="Y875" s="30"/>
      <c r="Z875" s="30"/>
      <c r="AA875" s="30"/>
      <c r="AB875" s="30"/>
      <c r="AC875" s="30"/>
      <c r="AD875" s="30"/>
      <c r="AE875" s="30"/>
      <c r="AF875" s="30"/>
      <c r="AG875" s="30"/>
      <c r="AH875" s="30"/>
      <c r="AI875" s="30"/>
      <c r="AJ875" s="30"/>
      <c r="AK875" s="30"/>
      <c r="AL875" s="30"/>
      <c r="AM875" s="30"/>
      <c r="AN875" s="30"/>
    </row>
    <row r="876">
      <c r="A876" s="138"/>
      <c r="B876" s="142"/>
      <c r="C876" s="303"/>
      <c r="D876" s="138"/>
      <c r="E876" s="142"/>
      <c r="F876" s="303"/>
      <c r="G876" s="138"/>
      <c r="H876" s="142"/>
      <c r="I876" s="303"/>
      <c r="J876" s="138"/>
      <c r="K876" s="142"/>
      <c r="L876" s="303"/>
      <c r="M876" s="138"/>
      <c r="N876" s="142"/>
      <c r="O876" s="303"/>
      <c r="P876" s="138"/>
      <c r="Q876" s="142"/>
      <c r="R876" s="303"/>
      <c r="S876" s="138"/>
      <c r="T876" s="142"/>
      <c r="U876" s="303"/>
      <c r="V876" s="138"/>
      <c r="W876" s="142"/>
      <c r="X876" s="303"/>
      <c r="Y876" s="30"/>
      <c r="Z876" s="30"/>
      <c r="AA876" s="30"/>
      <c r="AB876" s="30"/>
      <c r="AC876" s="30"/>
      <c r="AD876" s="30"/>
      <c r="AE876" s="30"/>
      <c r="AF876" s="30"/>
      <c r="AG876" s="30"/>
      <c r="AH876" s="30"/>
      <c r="AI876" s="30"/>
      <c r="AJ876" s="30"/>
      <c r="AK876" s="30"/>
      <c r="AL876" s="30"/>
      <c r="AM876" s="30"/>
      <c r="AN876" s="30"/>
    </row>
    <row r="877">
      <c r="A877" s="138"/>
      <c r="B877" s="142"/>
      <c r="C877" s="303"/>
      <c r="D877" s="138"/>
      <c r="E877" s="142"/>
      <c r="F877" s="303"/>
      <c r="G877" s="138"/>
      <c r="H877" s="142"/>
      <c r="I877" s="303"/>
      <c r="J877" s="138"/>
      <c r="K877" s="142"/>
      <c r="L877" s="303"/>
      <c r="M877" s="138"/>
      <c r="N877" s="142"/>
      <c r="O877" s="303"/>
      <c r="P877" s="138"/>
      <c r="Q877" s="142"/>
      <c r="R877" s="303"/>
      <c r="S877" s="138"/>
      <c r="T877" s="142"/>
      <c r="U877" s="303"/>
      <c r="V877" s="138"/>
      <c r="W877" s="142"/>
      <c r="X877" s="303"/>
      <c r="Y877" s="30"/>
      <c r="Z877" s="30"/>
      <c r="AA877" s="30"/>
      <c r="AB877" s="30"/>
      <c r="AC877" s="30"/>
      <c r="AD877" s="30"/>
      <c r="AE877" s="30"/>
      <c r="AF877" s="30"/>
      <c r="AG877" s="30"/>
      <c r="AH877" s="30"/>
      <c r="AI877" s="30"/>
      <c r="AJ877" s="30"/>
      <c r="AK877" s="30"/>
      <c r="AL877" s="30"/>
      <c r="AM877" s="30"/>
      <c r="AN877" s="30"/>
    </row>
    <row r="878">
      <c r="A878" s="138"/>
      <c r="B878" s="142"/>
      <c r="C878" s="303"/>
      <c r="D878" s="138"/>
      <c r="E878" s="142"/>
      <c r="F878" s="303"/>
      <c r="G878" s="138"/>
      <c r="H878" s="142"/>
      <c r="I878" s="303"/>
      <c r="J878" s="138"/>
      <c r="K878" s="142"/>
      <c r="L878" s="303"/>
      <c r="M878" s="138"/>
      <c r="N878" s="142"/>
      <c r="O878" s="303"/>
      <c r="P878" s="138"/>
      <c r="Q878" s="142"/>
      <c r="R878" s="303"/>
      <c r="S878" s="138"/>
      <c r="T878" s="142"/>
      <c r="U878" s="303"/>
      <c r="V878" s="138"/>
      <c r="W878" s="142"/>
      <c r="X878" s="303"/>
      <c r="Y878" s="30"/>
      <c r="Z878" s="30"/>
      <c r="AA878" s="30"/>
      <c r="AB878" s="30"/>
      <c r="AC878" s="30"/>
      <c r="AD878" s="30"/>
      <c r="AE878" s="30"/>
      <c r="AF878" s="30"/>
      <c r="AG878" s="30"/>
      <c r="AH878" s="30"/>
      <c r="AI878" s="30"/>
      <c r="AJ878" s="30"/>
      <c r="AK878" s="30"/>
      <c r="AL878" s="30"/>
      <c r="AM878" s="30"/>
      <c r="AN878" s="30"/>
    </row>
    <row r="879">
      <c r="A879" s="138"/>
      <c r="B879" s="142"/>
      <c r="C879" s="303"/>
      <c r="D879" s="138"/>
      <c r="E879" s="142"/>
      <c r="F879" s="303"/>
      <c r="G879" s="138"/>
      <c r="H879" s="142"/>
      <c r="I879" s="303"/>
      <c r="J879" s="138"/>
      <c r="K879" s="142"/>
      <c r="L879" s="303"/>
      <c r="M879" s="138"/>
      <c r="N879" s="142"/>
      <c r="O879" s="303"/>
      <c r="P879" s="138"/>
      <c r="Q879" s="142"/>
      <c r="R879" s="303"/>
      <c r="S879" s="138"/>
      <c r="T879" s="142"/>
      <c r="U879" s="303"/>
      <c r="V879" s="138"/>
      <c r="W879" s="142"/>
      <c r="X879" s="303"/>
      <c r="Y879" s="30"/>
      <c r="Z879" s="30"/>
      <c r="AA879" s="30"/>
      <c r="AB879" s="30"/>
      <c r="AC879" s="30"/>
      <c r="AD879" s="30"/>
      <c r="AE879" s="30"/>
      <c r="AF879" s="30"/>
      <c r="AG879" s="30"/>
      <c r="AH879" s="30"/>
      <c r="AI879" s="30"/>
      <c r="AJ879" s="30"/>
      <c r="AK879" s="30"/>
      <c r="AL879" s="30"/>
      <c r="AM879" s="30"/>
      <c r="AN879" s="30"/>
    </row>
    <row r="880">
      <c r="A880" s="138"/>
      <c r="B880" s="142"/>
      <c r="C880" s="303"/>
      <c r="D880" s="138"/>
      <c r="E880" s="142"/>
      <c r="F880" s="303"/>
      <c r="G880" s="138"/>
      <c r="H880" s="142"/>
      <c r="I880" s="303"/>
      <c r="J880" s="138"/>
      <c r="K880" s="142"/>
      <c r="L880" s="303"/>
      <c r="M880" s="138"/>
      <c r="N880" s="142"/>
      <c r="O880" s="303"/>
      <c r="P880" s="138"/>
      <c r="Q880" s="142"/>
      <c r="R880" s="303"/>
      <c r="S880" s="138"/>
      <c r="T880" s="142"/>
      <c r="U880" s="303"/>
      <c r="V880" s="138"/>
      <c r="W880" s="142"/>
      <c r="X880" s="303"/>
      <c r="Y880" s="30"/>
      <c r="Z880" s="30"/>
      <c r="AA880" s="30"/>
      <c r="AB880" s="30"/>
      <c r="AC880" s="30"/>
      <c r="AD880" s="30"/>
      <c r="AE880" s="30"/>
      <c r="AF880" s="30"/>
      <c r="AG880" s="30"/>
      <c r="AH880" s="30"/>
      <c r="AI880" s="30"/>
      <c r="AJ880" s="30"/>
      <c r="AK880" s="30"/>
      <c r="AL880" s="30"/>
      <c r="AM880" s="30"/>
      <c r="AN880" s="30"/>
    </row>
    <row r="881">
      <c r="A881" s="138"/>
      <c r="B881" s="142"/>
      <c r="C881" s="303"/>
      <c r="D881" s="138"/>
      <c r="E881" s="142"/>
      <c r="F881" s="303"/>
      <c r="G881" s="138"/>
      <c r="H881" s="142"/>
      <c r="I881" s="303"/>
      <c r="J881" s="138"/>
      <c r="K881" s="142"/>
      <c r="L881" s="303"/>
      <c r="M881" s="138"/>
      <c r="N881" s="142"/>
      <c r="O881" s="303"/>
      <c r="P881" s="138"/>
      <c r="Q881" s="142"/>
      <c r="R881" s="303"/>
      <c r="S881" s="138"/>
      <c r="T881" s="142"/>
      <c r="U881" s="303"/>
      <c r="V881" s="138"/>
      <c r="W881" s="142"/>
      <c r="X881" s="303"/>
      <c r="Y881" s="30"/>
      <c r="Z881" s="30"/>
      <c r="AA881" s="30"/>
      <c r="AB881" s="30"/>
      <c r="AC881" s="30"/>
      <c r="AD881" s="30"/>
      <c r="AE881" s="30"/>
      <c r="AF881" s="30"/>
      <c r="AG881" s="30"/>
      <c r="AH881" s="30"/>
      <c r="AI881" s="30"/>
      <c r="AJ881" s="30"/>
      <c r="AK881" s="30"/>
      <c r="AL881" s="30"/>
      <c r="AM881" s="30"/>
      <c r="AN881" s="30"/>
    </row>
    <row r="882">
      <c r="A882" s="138"/>
      <c r="B882" s="142"/>
      <c r="C882" s="303"/>
      <c r="D882" s="138"/>
      <c r="E882" s="142"/>
      <c r="F882" s="303"/>
      <c r="G882" s="138"/>
      <c r="H882" s="142"/>
      <c r="I882" s="303"/>
      <c r="J882" s="138"/>
      <c r="K882" s="142"/>
      <c r="L882" s="303"/>
      <c r="M882" s="138"/>
      <c r="N882" s="142"/>
      <c r="O882" s="303"/>
      <c r="P882" s="138"/>
      <c r="Q882" s="142"/>
      <c r="R882" s="303"/>
      <c r="S882" s="138"/>
      <c r="T882" s="142"/>
      <c r="U882" s="303"/>
      <c r="V882" s="138"/>
      <c r="W882" s="142"/>
      <c r="X882" s="303"/>
      <c r="Y882" s="30"/>
      <c r="Z882" s="30"/>
      <c r="AA882" s="30"/>
      <c r="AB882" s="30"/>
      <c r="AC882" s="30"/>
      <c r="AD882" s="30"/>
      <c r="AE882" s="30"/>
      <c r="AF882" s="30"/>
      <c r="AG882" s="30"/>
      <c r="AH882" s="30"/>
      <c r="AI882" s="30"/>
      <c r="AJ882" s="30"/>
      <c r="AK882" s="30"/>
      <c r="AL882" s="30"/>
      <c r="AM882" s="30"/>
      <c r="AN882" s="30"/>
    </row>
    <row r="883">
      <c r="A883" s="138"/>
      <c r="B883" s="142"/>
      <c r="C883" s="303"/>
      <c r="D883" s="138"/>
      <c r="E883" s="142"/>
      <c r="F883" s="303"/>
      <c r="G883" s="138"/>
      <c r="H883" s="142"/>
      <c r="I883" s="303"/>
      <c r="J883" s="138"/>
      <c r="K883" s="142"/>
      <c r="L883" s="303"/>
      <c r="M883" s="138"/>
      <c r="N883" s="142"/>
      <c r="O883" s="303"/>
      <c r="P883" s="138"/>
      <c r="Q883" s="142"/>
      <c r="R883" s="303"/>
      <c r="S883" s="138"/>
      <c r="T883" s="142"/>
      <c r="U883" s="303"/>
      <c r="V883" s="138"/>
      <c r="W883" s="142"/>
      <c r="X883" s="303"/>
      <c r="Y883" s="30"/>
      <c r="Z883" s="30"/>
      <c r="AA883" s="30"/>
      <c r="AB883" s="30"/>
      <c r="AC883" s="30"/>
      <c r="AD883" s="30"/>
      <c r="AE883" s="30"/>
      <c r="AF883" s="30"/>
      <c r="AG883" s="30"/>
      <c r="AH883" s="30"/>
      <c r="AI883" s="30"/>
      <c r="AJ883" s="30"/>
      <c r="AK883" s="30"/>
      <c r="AL883" s="30"/>
      <c r="AM883" s="30"/>
      <c r="AN883" s="30"/>
    </row>
    <row r="884">
      <c r="A884" s="138"/>
      <c r="B884" s="142"/>
      <c r="C884" s="303"/>
      <c r="D884" s="138"/>
      <c r="E884" s="142"/>
      <c r="F884" s="303"/>
      <c r="G884" s="138"/>
      <c r="H884" s="142"/>
      <c r="I884" s="303"/>
      <c r="J884" s="138"/>
      <c r="K884" s="142"/>
      <c r="L884" s="303"/>
      <c r="M884" s="138"/>
      <c r="N884" s="142"/>
      <c r="O884" s="303"/>
      <c r="P884" s="138"/>
      <c r="Q884" s="142"/>
      <c r="R884" s="303"/>
      <c r="S884" s="138"/>
      <c r="T884" s="142"/>
      <c r="U884" s="303"/>
      <c r="V884" s="138"/>
      <c r="W884" s="142"/>
      <c r="X884" s="303"/>
      <c r="Y884" s="30"/>
      <c r="Z884" s="30"/>
      <c r="AA884" s="30"/>
      <c r="AB884" s="30"/>
      <c r="AC884" s="30"/>
      <c r="AD884" s="30"/>
      <c r="AE884" s="30"/>
      <c r="AF884" s="30"/>
      <c r="AG884" s="30"/>
      <c r="AH884" s="30"/>
      <c r="AI884" s="30"/>
      <c r="AJ884" s="30"/>
      <c r="AK884" s="30"/>
      <c r="AL884" s="30"/>
      <c r="AM884" s="30"/>
      <c r="AN884" s="30"/>
    </row>
    <row r="885">
      <c r="A885" s="138"/>
      <c r="B885" s="142"/>
      <c r="C885" s="303"/>
      <c r="D885" s="138"/>
      <c r="E885" s="142"/>
      <c r="F885" s="303"/>
      <c r="G885" s="138"/>
      <c r="H885" s="142"/>
      <c r="I885" s="303"/>
      <c r="J885" s="138"/>
      <c r="K885" s="142"/>
      <c r="L885" s="303"/>
      <c r="M885" s="138"/>
      <c r="N885" s="142"/>
      <c r="O885" s="303"/>
      <c r="P885" s="138"/>
      <c r="Q885" s="142"/>
      <c r="R885" s="303"/>
      <c r="S885" s="138"/>
      <c r="T885" s="142"/>
      <c r="U885" s="303"/>
      <c r="V885" s="138"/>
      <c r="W885" s="142"/>
      <c r="X885" s="303"/>
      <c r="Y885" s="30"/>
      <c r="Z885" s="30"/>
      <c r="AA885" s="30"/>
      <c r="AB885" s="30"/>
      <c r="AC885" s="30"/>
      <c r="AD885" s="30"/>
      <c r="AE885" s="30"/>
      <c r="AF885" s="30"/>
      <c r="AG885" s="30"/>
      <c r="AH885" s="30"/>
      <c r="AI885" s="30"/>
      <c r="AJ885" s="30"/>
      <c r="AK885" s="30"/>
      <c r="AL885" s="30"/>
      <c r="AM885" s="30"/>
      <c r="AN885" s="30"/>
    </row>
    <row r="886">
      <c r="A886" s="138"/>
      <c r="B886" s="142"/>
      <c r="C886" s="303"/>
      <c r="D886" s="138"/>
      <c r="E886" s="142"/>
      <c r="F886" s="303"/>
      <c r="G886" s="138"/>
      <c r="H886" s="142"/>
      <c r="I886" s="303"/>
      <c r="J886" s="138"/>
      <c r="K886" s="142"/>
      <c r="L886" s="303"/>
      <c r="M886" s="138"/>
      <c r="N886" s="142"/>
      <c r="O886" s="303"/>
      <c r="P886" s="138"/>
      <c r="Q886" s="142"/>
      <c r="R886" s="303"/>
      <c r="S886" s="138"/>
      <c r="T886" s="142"/>
      <c r="U886" s="303"/>
      <c r="V886" s="138"/>
      <c r="W886" s="142"/>
      <c r="X886" s="303"/>
      <c r="Y886" s="30"/>
      <c r="Z886" s="30"/>
      <c r="AA886" s="30"/>
      <c r="AB886" s="30"/>
      <c r="AC886" s="30"/>
      <c r="AD886" s="30"/>
      <c r="AE886" s="30"/>
      <c r="AF886" s="30"/>
      <c r="AG886" s="30"/>
      <c r="AH886" s="30"/>
      <c r="AI886" s="30"/>
      <c r="AJ886" s="30"/>
      <c r="AK886" s="30"/>
      <c r="AL886" s="30"/>
      <c r="AM886" s="30"/>
      <c r="AN886" s="30"/>
    </row>
    <row r="887">
      <c r="A887" s="138"/>
      <c r="B887" s="142"/>
      <c r="C887" s="303"/>
      <c r="D887" s="138"/>
      <c r="E887" s="142"/>
      <c r="F887" s="303"/>
      <c r="G887" s="138"/>
      <c r="H887" s="142"/>
      <c r="I887" s="303"/>
      <c r="J887" s="138"/>
      <c r="K887" s="142"/>
      <c r="L887" s="303"/>
      <c r="M887" s="138"/>
      <c r="N887" s="142"/>
      <c r="O887" s="303"/>
      <c r="P887" s="138"/>
      <c r="Q887" s="142"/>
      <c r="R887" s="303"/>
      <c r="S887" s="138"/>
      <c r="T887" s="142"/>
      <c r="U887" s="303"/>
      <c r="V887" s="138"/>
      <c r="W887" s="142"/>
      <c r="X887" s="303"/>
      <c r="Y887" s="30"/>
      <c r="Z887" s="30"/>
      <c r="AA887" s="30"/>
      <c r="AB887" s="30"/>
      <c r="AC887" s="30"/>
      <c r="AD887" s="30"/>
      <c r="AE887" s="30"/>
      <c r="AF887" s="30"/>
      <c r="AG887" s="30"/>
      <c r="AH887" s="30"/>
      <c r="AI887" s="30"/>
      <c r="AJ887" s="30"/>
      <c r="AK887" s="30"/>
      <c r="AL887" s="30"/>
      <c r="AM887" s="30"/>
      <c r="AN887" s="30"/>
    </row>
    <row r="888">
      <c r="A888" s="138"/>
      <c r="B888" s="142"/>
      <c r="C888" s="303"/>
      <c r="D888" s="138"/>
      <c r="E888" s="142"/>
      <c r="F888" s="303"/>
      <c r="G888" s="138"/>
      <c r="H888" s="142"/>
      <c r="I888" s="303"/>
      <c r="J888" s="138"/>
      <c r="K888" s="142"/>
      <c r="L888" s="303"/>
      <c r="M888" s="138"/>
      <c r="N888" s="142"/>
      <c r="O888" s="303"/>
      <c r="P888" s="138"/>
      <c r="Q888" s="142"/>
      <c r="R888" s="303"/>
      <c r="S888" s="138"/>
      <c r="T888" s="142"/>
      <c r="U888" s="303"/>
      <c r="V888" s="138"/>
      <c r="W888" s="142"/>
      <c r="X888" s="303"/>
      <c r="Y888" s="30"/>
      <c r="Z888" s="30"/>
      <c r="AA888" s="30"/>
      <c r="AB888" s="30"/>
      <c r="AC888" s="30"/>
      <c r="AD888" s="30"/>
      <c r="AE888" s="30"/>
      <c r="AF888" s="30"/>
      <c r="AG888" s="30"/>
      <c r="AH888" s="30"/>
      <c r="AI888" s="30"/>
      <c r="AJ888" s="30"/>
      <c r="AK888" s="30"/>
      <c r="AL888" s="30"/>
      <c r="AM888" s="30"/>
      <c r="AN888" s="30"/>
    </row>
    <row r="889">
      <c r="A889" s="138"/>
      <c r="B889" s="142"/>
      <c r="C889" s="303"/>
      <c r="D889" s="138"/>
      <c r="E889" s="142"/>
      <c r="F889" s="303"/>
      <c r="G889" s="138"/>
      <c r="H889" s="142"/>
      <c r="I889" s="303"/>
      <c r="J889" s="138"/>
      <c r="K889" s="142"/>
      <c r="L889" s="303"/>
      <c r="M889" s="138"/>
      <c r="N889" s="142"/>
      <c r="O889" s="303"/>
      <c r="P889" s="138"/>
      <c r="Q889" s="142"/>
      <c r="R889" s="303"/>
      <c r="S889" s="138"/>
      <c r="T889" s="142"/>
      <c r="U889" s="303"/>
      <c r="V889" s="138"/>
      <c r="W889" s="142"/>
      <c r="X889" s="303"/>
      <c r="Y889" s="30"/>
      <c r="Z889" s="30"/>
      <c r="AA889" s="30"/>
      <c r="AB889" s="30"/>
      <c r="AC889" s="30"/>
      <c r="AD889" s="30"/>
      <c r="AE889" s="30"/>
      <c r="AF889" s="30"/>
      <c r="AG889" s="30"/>
      <c r="AH889" s="30"/>
      <c r="AI889" s="30"/>
      <c r="AJ889" s="30"/>
      <c r="AK889" s="30"/>
      <c r="AL889" s="30"/>
      <c r="AM889" s="30"/>
      <c r="AN889" s="30"/>
    </row>
    <row r="890">
      <c r="A890" s="138"/>
      <c r="B890" s="142"/>
      <c r="C890" s="303"/>
      <c r="D890" s="138"/>
      <c r="E890" s="142"/>
      <c r="F890" s="303"/>
      <c r="G890" s="138"/>
      <c r="H890" s="142"/>
      <c r="I890" s="303"/>
      <c r="J890" s="138"/>
      <c r="K890" s="142"/>
      <c r="L890" s="303"/>
      <c r="M890" s="138"/>
      <c r="N890" s="142"/>
      <c r="O890" s="303"/>
      <c r="P890" s="138"/>
      <c r="Q890" s="142"/>
      <c r="R890" s="303"/>
      <c r="S890" s="138"/>
      <c r="T890" s="142"/>
      <c r="U890" s="303"/>
      <c r="V890" s="138"/>
      <c r="W890" s="142"/>
      <c r="X890" s="303"/>
      <c r="Y890" s="30"/>
      <c r="Z890" s="30"/>
      <c r="AA890" s="30"/>
      <c r="AB890" s="30"/>
      <c r="AC890" s="30"/>
      <c r="AD890" s="30"/>
      <c r="AE890" s="30"/>
      <c r="AF890" s="30"/>
      <c r="AG890" s="30"/>
      <c r="AH890" s="30"/>
      <c r="AI890" s="30"/>
      <c r="AJ890" s="30"/>
      <c r="AK890" s="30"/>
      <c r="AL890" s="30"/>
      <c r="AM890" s="30"/>
      <c r="AN890" s="30"/>
    </row>
    <row r="891">
      <c r="A891" s="138"/>
      <c r="B891" s="142"/>
      <c r="C891" s="303"/>
      <c r="D891" s="138"/>
      <c r="E891" s="142"/>
      <c r="F891" s="303"/>
      <c r="G891" s="138"/>
      <c r="H891" s="142"/>
      <c r="I891" s="303"/>
      <c r="J891" s="138"/>
      <c r="K891" s="142"/>
      <c r="L891" s="303"/>
      <c r="M891" s="138"/>
      <c r="N891" s="142"/>
      <c r="O891" s="303"/>
      <c r="P891" s="138"/>
      <c r="Q891" s="142"/>
      <c r="R891" s="303"/>
      <c r="S891" s="138"/>
      <c r="T891" s="142"/>
      <c r="U891" s="303"/>
      <c r="V891" s="138"/>
      <c r="W891" s="142"/>
      <c r="X891" s="303"/>
      <c r="Y891" s="30"/>
      <c r="Z891" s="30"/>
      <c r="AA891" s="30"/>
      <c r="AB891" s="30"/>
      <c r="AC891" s="30"/>
      <c r="AD891" s="30"/>
      <c r="AE891" s="30"/>
      <c r="AF891" s="30"/>
      <c r="AG891" s="30"/>
      <c r="AH891" s="30"/>
      <c r="AI891" s="30"/>
      <c r="AJ891" s="30"/>
      <c r="AK891" s="30"/>
      <c r="AL891" s="30"/>
      <c r="AM891" s="30"/>
      <c r="AN891" s="30"/>
    </row>
    <row r="892">
      <c r="A892" s="138"/>
      <c r="B892" s="142"/>
      <c r="C892" s="303"/>
      <c r="D892" s="138"/>
      <c r="E892" s="142"/>
      <c r="F892" s="303"/>
      <c r="G892" s="138"/>
      <c r="H892" s="142"/>
      <c r="I892" s="303"/>
      <c r="J892" s="138"/>
      <c r="K892" s="142"/>
      <c r="L892" s="303"/>
      <c r="M892" s="138"/>
      <c r="N892" s="142"/>
      <c r="O892" s="303"/>
      <c r="P892" s="138"/>
      <c r="Q892" s="142"/>
      <c r="R892" s="303"/>
      <c r="S892" s="138"/>
      <c r="T892" s="142"/>
      <c r="U892" s="303"/>
      <c r="V892" s="138"/>
      <c r="W892" s="142"/>
      <c r="X892" s="303"/>
      <c r="Y892" s="30"/>
      <c r="Z892" s="30"/>
      <c r="AA892" s="30"/>
      <c r="AB892" s="30"/>
      <c r="AC892" s="30"/>
      <c r="AD892" s="30"/>
      <c r="AE892" s="30"/>
      <c r="AF892" s="30"/>
      <c r="AG892" s="30"/>
      <c r="AH892" s="30"/>
      <c r="AI892" s="30"/>
      <c r="AJ892" s="30"/>
      <c r="AK892" s="30"/>
      <c r="AL892" s="30"/>
      <c r="AM892" s="30"/>
      <c r="AN892" s="30"/>
    </row>
    <row r="893">
      <c r="A893" s="138"/>
      <c r="B893" s="142"/>
      <c r="C893" s="303"/>
      <c r="D893" s="138"/>
      <c r="E893" s="142"/>
      <c r="F893" s="303"/>
      <c r="G893" s="138"/>
      <c r="H893" s="142"/>
      <c r="I893" s="303"/>
      <c r="J893" s="138"/>
      <c r="K893" s="142"/>
      <c r="L893" s="303"/>
      <c r="M893" s="138"/>
      <c r="N893" s="142"/>
      <c r="O893" s="303"/>
      <c r="P893" s="138"/>
      <c r="Q893" s="142"/>
      <c r="R893" s="303"/>
      <c r="S893" s="138"/>
      <c r="T893" s="142"/>
      <c r="U893" s="303"/>
      <c r="V893" s="138"/>
      <c r="W893" s="142"/>
      <c r="X893" s="303"/>
      <c r="Y893" s="30"/>
      <c r="Z893" s="30"/>
      <c r="AA893" s="30"/>
      <c r="AB893" s="30"/>
      <c r="AC893" s="30"/>
      <c r="AD893" s="30"/>
      <c r="AE893" s="30"/>
      <c r="AF893" s="30"/>
      <c r="AG893" s="30"/>
      <c r="AH893" s="30"/>
      <c r="AI893" s="30"/>
      <c r="AJ893" s="30"/>
      <c r="AK893" s="30"/>
      <c r="AL893" s="30"/>
      <c r="AM893" s="30"/>
      <c r="AN893" s="30"/>
    </row>
    <row r="894">
      <c r="A894" s="138"/>
      <c r="B894" s="142"/>
      <c r="C894" s="303"/>
      <c r="D894" s="138"/>
      <c r="E894" s="142"/>
      <c r="F894" s="303"/>
      <c r="G894" s="138"/>
      <c r="H894" s="142"/>
      <c r="I894" s="303"/>
      <c r="J894" s="138"/>
      <c r="K894" s="142"/>
      <c r="L894" s="303"/>
      <c r="M894" s="138"/>
      <c r="N894" s="142"/>
      <c r="O894" s="303"/>
      <c r="P894" s="138"/>
      <c r="Q894" s="142"/>
      <c r="R894" s="303"/>
      <c r="S894" s="138"/>
      <c r="T894" s="142"/>
      <c r="U894" s="303"/>
      <c r="V894" s="138"/>
      <c r="W894" s="142"/>
      <c r="X894" s="303"/>
      <c r="Y894" s="30"/>
      <c r="Z894" s="30"/>
      <c r="AA894" s="30"/>
      <c r="AB894" s="30"/>
      <c r="AC894" s="30"/>
      <c r="AD894" s="30"/>
      <c r="AE894" s="30"/>
      <c r="AF894" s="30"/>
      <c r="AG894" s="30"/>
      <c r="AH894" s="30"/>
      <c r="AI894" s="30"/>
      <c r="AJ894" s="30"/>
      <c r="AK894" s="30"/>
      <c r="AL894" s="30"/>
      <c r="AM894" s="30"/>
      <c r="AN894" s="30"/>
    </row>
    <row r="895">
      <c r="A895" s="138"/>
      <c r="B895" s="142"/>
      <c r="C895" s="303"/>
      <c r="D895" s="138"/>
      <c r="E895" s="142"/>
      <c r="F895" s="303"/>
      <c r="G895" s="138"/>
      <c r="H895" s="142"/>
      <c r="I895" s="303"/>
      <c r="J895" s="138"/>
      <c r="K895" s="142"/>
      <c r="L895" s="303"/>
      <c r="M895" s="138"/>
      <c r="N895" s="142"/>
      <c r="O895" s="303"/>
      <c r="P895" s="138"/>
      <c r="Q895" s="142"/>
      <c r="R895" s="303"/>
      <c r="S895" s="138"/>
      <c r="T895" s="142"/>
      <c r="U895" s="303"/>
      <c r="V895" s="138"/>
      <c r="W895" s="142"/>
      <c r="X895" s="303"/>
      <c r="Y895" s="30"/>
      <c r="Z895" s="30"/>
      <c r="AA895" s="30"/>
      <c r="AB895" s="30"/>
      <c r="AC895" s="30"/>
      <c r="AD895" s="30"/>
      <c r="AE895" s="30"/>
      <c r="AF895" s="30"/>
      <c r="AG895" s="30"/>
      <c r="AH895" s="30"/>
      <c r="AI895" s="30"/>
      <c r="AJ895" s="30"/>
      <c r="AK895" s="30"/>
      <c r="AL895" s="30"/>
      <c r="AM895" s="30"/>
      <c r="AN895" s="30"/>
    </row>
    <row r="896">
      <c r="A896" s="138"/>
      <c r="B896" s="142"/>
      <c r="C896" s="303"/>
      <c r="D896" s="138"/>
      <c r="E896" s="142"/>
      <c r="F896" s="303"/>
      <c r="G896" s="138"/>
      <c r="H896" s="142"/>
      <c r="I896" s="303"/>
      <c r="J896" s="138"/>
      <c r="K896" s="142"/>
      <c r="L896" s="303"/>
      <c r="M896" s="138"/>
      <c r="N896" s="142"/>
      <c r="O896" s="303"/>
      <c r="P896" s="138"/>
      <c r="Q896" s="142"/>
      <c r="R896" s="303"/>
      <c r="S896" s="138"/>
      <c r="T896" s="142"/>
      <c r="U896" s="303"/>
      <c r="V896" s="138"/>
      <c r="W896" s="142"/>
      <c r="X896" s="303"/>
      <c r="Y896" s="30"/>
      <c r="Z896" s="30"/>
      <c r="AA896" s="30"/>
      <c r="AB896" s="30"/>
      <c r="AC896" s="30"/>
      <c r="AD896" s="30"/>
      <c r="AE896" s="30"/>
      <c r="AF896" s="30"/>
      <c r="AG896" s="30"/>
      <c r="AH896" s="30"/>
      <c r="AI896" s="30"/>
      <c r="AJ896" s="30"/>
      <c r="AK896" s="30"/>
      <c r="AL896" s="30"/>
      <c r="AM896" s="30"/>
      <c r="AN896" s="30"/>
    </row>
    <row r="897">
      <c r="A897" s="138"/>
      <c r="B897" s="142"/>
      <c r="C897" s="303"/>
      <c r="D897" s="138"/>
      <c r="E897" s="142"/>
      <c r="F897" s="303"/>
      <c r="G897" s="138"/>
      <c r="H897" s="142"/>
      <c r="I897" s="303"/>
      <c r="J897" s="138"/>
      <c r="K897" s="142"/>
      <c r="L897" s="303"/>
      <c r="M897" s="138"/>
      <c r="N897" s="142"/>
      <c r="O897" s="303"/>
      <c r="P897" s="138"/>
      <c r="Q897" s="142"/>
      <c r="R897" s="303"/>
      <c r="S897" s="138"/>
      <c r="T897" s="142"/>
      <c r="U897" s="303"/>
      <c r="V897" s="138"/>
      <c r="W897" s="142"/>
      <c r="X897" s="303"/>
      <c r="Y897" s="30"/>
      <c r="Z897" s="30"/>
      <c r="AA897" s="30"/>
      <c r="AB897" s="30"/>
      <c r="AC897" s="30"/>
      <c r="AD897" s="30"/>
      <c r="AE897" s="30"/>
      <c r="AF897" s="30"/>
      <c r="AG897" s="30"/>
      <c r="AH897" s="30"/>
      <c r="AI897" s="30"/>
      <c r="AJ897" s="30"/>
      <c r="AK897" s="30"/>
      <c r="AL897" s="30"/>
      <c r="AM897" s="30"/>
      <c r="AN897" s="30"/>
    </row>
    <row r="898">
      <c r="A898" s="138"/>
      <c r="B898" s="142"/>
      <c r="C898" s="303"/>
      <c r="D898" s="138"/>
      <c r="E898" s="142"/>
      <c r="F898" s="303"/>
      <c r="G898" s="138"/>
      <c r="H898" s="142"/>
      <c r="I898" s="303"/>
      <c r="J898" s="138"/>
      <c r="K898" s="142"/>
      <c r="L898" s="303"/>
      <c r="M898" s="138"/>
      <c r="N898" s="142"/>
      <c r="O898" s="303"/>
      <c r="P898" s="138"/>
      <c r="Q898" s="142"/>
      <c r="R898" s="303"/>
      <c r="S898" s="138"/>
      <c r="T898" s="142"/>
      <c r="U898" s="303"/>
      <c r="V898" s="138"/>
      <c r="W898" s="142"/>
      <c r="X898" s="303"/>
      <c r="Y898" s="30"/>
      <c r="Z898" s="30"/>
      <c r="AA898" s="30"/>
      <c r="AB898" s="30"/>
      <c r="AC898" s="30"/>
      <c r="AD898" s="30"/>
      <c r="AE898" s="30"/>
      <c r="AF898" s="30"/>
      <c r="AG898" s="30"/>
      <c r="AH898" s="30"/>
      <c r="AI898" s="30"/>
      <c r="AJ898" s="30"/>
      <c r="AK898" s="30"/>
      <c r="AL898" s="30"/>
      <c r="AM898" s="30"/>
      <c r="AN898" s="30"/>
    </row>
    <row r="899">
      <c r="A899" s="138"/>
      <c r="B899" s="142"/>
      <c r="C899" s="303"/>
      <c r="D899" s="138"/>
      <c r="E899" s="142"/>
      <c r="F899" s="303"/>
      <c r="G899" s="138"/>
      <c r="H899" s="142"/>
      <c r="I899" s="303"/>
      <c r="J899" s="138"/>
      <c r="K899" s="142"/>
      <c r="L899" s="303"/>
      <c r="M899" s="138"/>
      <c r="N899" s="142"/>
      <c r="O899" s="303"/>
      <c r="P899" s="138"/>
      <c r="Q899" s="142"/>
      <c r="R899" s="303"/>
      <c r="S899" s="138"/>
      <c r="T899" s="142"/>
      <c r="U899" s="303"/>
      <c r="V899" s="138"/>
      <c r="W899" s="142"/>
      <c r="X899" s="303"/>
      <c r="Y899" s="30"/>
      <c r="Z899" s="30"/>
      <c r="AA899" s="30"/>
      <c r="AB899" s="30"/>
      <c r="AC899" s="30"/>
      <c r="AD899" s="30"/>
      <c r="AE899" s="30"/>
      <c r="AF899" s="30"/>
      <c r="AG899" s="30"/>
      <c r="AH899" s="30"/>
      <c r="AI899" s="30"/>
      <c r="AJ899" s="30"/>
      <c r="AK899" s="30"/>
      <c r="AL899" s="30"/>
      <c r="AM899" s="30"/>
      <c r="AN899" s="30"/>
    </row>
    <row r="900">
      <c r="A900" s="138"/>
      <c r="B900" s="142"/>
      <c r="C900" s="303"/>
      <c r="D900" s="138"/>
      <c r="E900" s="142"/>
      <c r="F900" s="303"/>
      <c r="G900" s="138"/>
      <c r="H900" s="142"/>
      <c r="I900" s="303"/>
      <c r="J900" s="138"/>
      <c r="K900" s="142"/>
      <c r="L900" s="303"/>
      <c r="M900" s="138"/>
      <c r="N900" s="142"/>
      <c r="O900" s="303"/>
      <c r="P900" s="138"/>
      <c r="Q900" s="142"/>
      <c r="R900" s="303"/>
      <c r="S900" s="138"/>
      <c r="T900" s="142"/>
      <c r="U900" s="303"/>
      <c r="V900" s="138"/>
      <c r="W900" s="142"/>
      <c r="X900" s="303"/>
      <c r="Y900" s="30"/>
      <c r="Z900" s="30"/>
      <c r="AA900" s="30"/>
      <c r="AB900" s="30"/>
      <c r="AC900" s="30"/>
      <c r="AD900" s="30"/>
      <c r="AE900" s="30"/>
      <c r="AF900" s="30"/>
      <c r="AG900" s="30"/>
      <c r="AH900" s="30"/>
      <c r="AI900" s="30"/>
      <c r="AJ900" s="30"/>
      <c r="AK900" s="30"/>
      <c r="AL900" s="30"/>
      <c r="AM900" s="30"/>
      <c r="AN900" s="30"/>
    </row>
    <row r="901">
      <c r="A901" s="138"/>
      <c r="B901" s="142"/>
      <c r="C901" s="303"/>
      <c r="D901" s="138"/>
      <c r="E901" s="142"/>
      <c r="F901" s="303"/>
      <c r="G901" s="138"/>
      <c r="H901" s="142"/>
      <c r="I901" s="303"/>
      <c r="J901" s="138"/>
      <c r="K901" s="142"/>
      <c r="L901" s="303"/>
      <c r="M901" s="138"/>
      <c r="N901" s="142"/>
      <c r="O901" s="303"/>
      <c r="P901" s="138"/>
      <c r="Q901" s="142"/>
      <c r="R901" s="303"/>
      <c r="S901" s="138"/>
      <c r="T901" s="142"/>
      <c r="U901" s="303"/>
      <c r="V901" s="138"/>
      <c r="W901" s="142"/>
      <c r="X901" s="303"/>
      <c r="Y901" s="30"/>
      <c r="Z901" s="30"/>
      <c r="AA901" s="30"/>
      <c r="AB901" s="30"/>
      <c r="AC901" s="30"/>
      <c r="AD901" s="30"/>
      <c r="AE901" s="30"/>
      <c r="AF901" s="30"/>
      <c r="AG901" s="30"/>
      <c r="AH901" s="30"/>
      <c r="AI901" s="30"/>
      <c r="AJ901" s="30"/>
      <c r="AK901" s="30"/>
      <c r="AL901" s="30"/>
      <c r="AM901" s="30"/>
      <c r="AN901" s="30"/>
    </row>
    <row r="902">
      <c r="A902" s="138"/>
      <c r="B902" s="142"/>
      <c r="C902" s="303"/>
      <c r="D902" s="138"/>
      <c r="E902" s="142"/>
      <c r="F902" s="303"/>
      <c r="G902" s="138"/>
      <c r="H902" s="142"/>
      <c r="I902" s="303"/>
      <c r="J902" s="138"/>
      <c r="K902" s="142"/>
      <c r="L902" s="303"/>
      <c r="M902" s="138"/>
      <c r="N902" s="142"/>
      <c r="O902" s="303"/>
      <c r="P902" s="138"/>
      <c r="Q902" s="142"/>
      <c r="R902" s="303"/>
      <c r="S902" s="138"/>
      <c r="T902" s="142"/>
      <c r="U902" s="303"/>
      <c r="V902" s="138"/>
      <c r="W902" s="142"/>
      <c r="X902" s="303"/>
      <c r="Y902" s="30"/>
      <c r="Z902" s="30"/>
      <c r="AA902" s="30"/>
      <c r="AB902" s="30"/>
      <c r="AC902" s="30"/>
      <c r="AD902" s="30"/>
      <c r="AE902" s="30"/>
      <c r="AF902" s="30"/>
      <c r="AG902" s="30"/>
      <c r="AH902" s="30"/>
      <c r="AI902" s="30"/>
      <c r="AJ902" s="30"/>
      <c r="AK902" s="30"/>
      <c r="AL902" s="30"/>
      <c r="AM902" s="30"/>
      <c r="AN902" s="30"/>
    </row>
    <row r="903">
      <c r="A903" s="138"/>
      <c r="B903" s="142"/>
      <c r="C903" s="303"/>
      <c r="D903" s="138"/>
      <c r="E903" s="142"/>
      <c r="F903" s="303"/>
      <c r="G903" s="138"/>
      <c r="H903" s="142"/>
      <c r="I903" s="303"/>
      <c r="J903" s="138"/>
      <c r="K903" s="142"/>
      <c r="L903" s="303"/>
      <c r="M903" s="138"/>
      <c r="N903" s="142"/>
      <c r="O903" s="303"/>
      <c r="P903" s="138"/>
      <c r="Q903" s="142"/>
      <c r="R903" s="303"/>
      <c r="S903" s="138"/>
      <c r="T903" s="142"/>
      <c r="U903" s="303"/>
      <c r="V903" s="138"/>
      <c r="W903" s="142"/>
      <c r="X903" s="303"/>
      <c r="Y903" s="30"/>
      <c r="Z903" s="30"/>
      <c r="AA903" s="30"/>
      <c r="AB903" s="30"/>
      <c r="AC903" s="30"/>
      <c r="AD903" s="30"/>
      <c r="AE903" s="30"/>
      <c r="AF903" s="30"/>
      <c r="AG903" s="30"/>
      <c r="AH903" s="30"/>
      <c r="AI903" s="30"/>
      <c r="AJ903" s="30"/>
      <c r="AK903" s="30"/>
      <c r="AL903" s="30"/>
      <c r="AM903" s="30"/>
      <c r="AN903" s="30"/>
    </row>
    <row r="904">
      <c r="A904" s="138"/>
      <c r="B904" s="142"/>
      <c r="C904" s="303"/>
      <c r="D904" s="138"/>
      <c r="E904" s="142"/>
      <c r="F904" s="303"/>
      <c r="G904" s="138"/>
      <c r="H904" s="142"/>
      <c r="I904" s="303"/>
      <c r="J904" s="138"/>
      <c r="K904" s="142"/>
      <c r="L904" s="303"/>
      <c r="M904" s="138"/>
      <c r="N904" s="142"/>
      <c r="O904" s="303"/>
      <c r="P904" s="138"/>
      <c r="Q904" s="142"/>
      <c r="R904" s="303"/>
      <c r="S904" s="138"/>
      <c r="T904" s="142"/>
      <c r="U904" s="303"/>
      <c r="V904" s="138"/>
      <c r="W904" s="142"/>
      <c r="X904" s="303"/>
      <c r="Y904" s="30"/>
      <c r="Z904" s="30"/>
      <c r="AA904" s="30"/>
      <c r="AB904" s="30"/>
      <c r="AC904" s="30"/>
      <c r="AD904" s="30"/>
      <c r="AE904" s="30"/>
      <c r="AF904" s="30"/>
      <c r="AG904" s="30"/>
      <c r="AH904" s="30"/>
      <c r="AI904" s="30"/>
      <c r="AJ904" s="30"/>
      <c r="AK904" s="30"/>
      <c r="AL904" s="30"/>
      <c r="AM904" s="30"/>
      <c r="AN904" s="30"/>
    </row>
    <row r="905">
      <c r="A905" s="138"/>
      <c r="B905" s="142"/>
      <c r="C905" s="303"/>
      <c r="D905" s="138"/>
      <c r="E905" s="142"/>
      <c r="F905" s="303"/>
      <c r="G905" s="138"/>
      <c r="H905" s="142"/>
      <c r="I905" s="303"/>
      <c r="J905" s="138"/>
      <c r="K905" s="142"/>
      <c r="L905" s="303"/>
      <c r="M905" s="138"/>
      <c r="N905" s="142"/>
      <c r="O905" s="303"/>
      <c r="P905" s="138"/>
      <c r="Q905" s="142"/>
      <c r="R905" s="303"/>
      <c r="S905" s="138"/>
      <c r="T905" s="142"/>
      <c r="U905" s="303"/>
      <c r="V905" s="138"/>
      <c r="W905" s="142"/>
      <c r="X905" s="303"/>
      <c r="Y905" s="30"/>
      <c r="Z905" s="30"/>
      <c r="AA905" s="30"/>
      <c r="AB905" s="30"/>
      <c r="AC905" s="30"/>
      <c r="AD905" s="30"/>
      <c r="AE905" s="30"/>
      <c r="AF905" s="30"/>
      <c r="AG905" s="30"/>
      <c r="AH905" s="30"/>
      <c r="AI905" s="30"/>
      <c r="AJ905" s="30"/>
      <c r="AK905" s="30"/>
      <c r="AL905" s="30"/>
      <c r="AM905" s="30"/>
      <c r="AN905" s="30"/>
    </row>
    <row r="906">
      <c r="A906" s="138"/>
      <c r="B906" s="142"/>
      <c r="C906" s="303"/>
      <c r="D906" s="138"/>
      <c r="E906" s="142"/>
      <c r="F906" s="303"/>
      <c r="G906" s="138"/>
      <c r="H906" s="142"/>
      <c r="I906" s="303"/>
      <c r="J906" s="138"/>
      <c r="K906" s="142"/>
      <c r="L906" s="303"/>
      <c r="M906" s="138"/>
      <c r="N906" s="142"/>
      <c r="O906" s="303"/>
      <c r="P906" s="138"/>
      <c r="Q906" s="142"/>
      <c r="R906" s="303"/>
      <c r="S906" s="138"/>
      <c r="T906" s="142"/>
      <c r="U906" s="303"/>
      <c r="V906" s="138"/>
      <c r="W906" s="142"/>
      <c r="X906" s="303"/>
      <c r="Y906" s="30"/>
      <c r="Z906" s="30"/>
      <c r="AA906" s="30"/>
      <c r="AB906" s="30"/>
      <c r="AC906" s="30"/>
      <c r="AD906" s="30"/>
      <c r="AE906" s="30"/>
      <c r="AF906" s="30"/>
      <c r="AG906" s="30"/>
      <c r="AH906" s="30"/>
      <c r="AI906" s="30"/>
      <c r="AJ906" s="30"/>
      <c r="AK906" s="30"/>
      <c r="AL906" s="30"/>
      <c r="AM906" s="30"/>
      <c r="AN906" s="30"/>
    </row>
    <row r="907">
      <c r="A907" s="138"/>
      <c r="B907" s="142"/>
      <c r="C907" s="303"/>
      <c r="D907" s="138"/>
      <c r="E907" s="142"/>
      <c r="F907" s="303"/>
      <c r="G907" s="138"/>
      <c r="H907" s="142"/>
      <c r="I907" s="303"/>
      <c r="J907" s="138"/>
      <c r="K907" s="142"/>
      <c r="L907" s="303"/>
      <c r="M907" s="138"/>
      <c r="N907" s="142"/>
      <c r="O907" s="303"/>
      <c r="P907" s="138"/>
      <c r="Q907" s="142"/>
      <c r="R907" s="303"/>
      <c r="S907" s="138"/>
      <c r="T907" s="142"/>
      <c r="U907" s="303"/>
      <c r="V907" s="138"/>
      <c r="W907" s="142"/>
      <c r="X907" s="303"/>
      <c r="Y907" s="30"/>
      <c r="Z907" s="30"/>
      <c r="AA907" s="30"/>
      <c r="AB907" s="30"/>
      <c r="AC907" s="30"/>
      <c r="AD907" s="30"/>
      <c r="AE907" s="30"/>
      <c r="AF907" s="30"/>
      <c r="AG907" s="30"/>
      <c r="AH907" s="30"/>
      <c r="AI907" s="30"/>
      <c r="AJ907" s="30"/>
      <c r="AK907" s="30"/>
      <c r="AL907" s="30"/>
      <c r="AM907" s="30"/>
      <c r="AN907" s="30"/>
    </row>
    <row r="908">
      <c r="A908" s="138"/>
      <c r="B908" s="142"/>
      <c r="C908" s="303"/>
      <c r="D908" s="138"/>
      <c r="E908" s="142"/>
      <c r="F908" s="303"/>
      <c r="G908" s="138"/>
      <c r="H908" s="142"/>
      <c r="I908" s="303"/>
      <c r="J908" s="138"/>
      <c r="K908" s="142"/>
      <c r="L908" s="303"/>
      <c r="M908" s="138"/>
      <c r="N908" s="142"/>
      <c r="O908" s="303"/>
      <c r="P908" s="138"/>
      <c r="Q908" s="142"/>
      <c r="R908" s="303"/>
      <c r="S908" s="138"/>
      <c r="T908" s="142"/>
      <c r="U908" s="303"/>
      <c r="V908" s="138"/>
      <c r="W908" s="142"/>
      <c r="X908" s="303"/>
      <c r="Y908" s="30"/>
      <c r="Z908" s="30"/>
      <c r="AA908" s="30"/>
      <c r="AB908" s="30"/>
      <c r="AC908" s="30"/>
      <c r="AD908" s="30"/>
      <c r="AE908" s="30"/>
      <c r="AF908" s="30"/>
      <c r="AG908" s="30"/>
      <c r="AH908" s="30"/>
      <c r="AI908" s="30"/>
      <c r="AJ908" s="30"/>
      <c r="AK908" s="30"/>
      <c r="AL908" s="30"/>
      <c r="AM908" s="30"/>
      <c r="AN908" s="30"/>
    </row>
    <row r="909">
      <c r="A909" s="138"/>
      <c r="B909" s="142"/>
      <c r="C909" s="303"/>
      <c r="D909" s="138"/>
      <c r="E909" s="142"/>
      <c r="F909" s="303"/>
      <c r="G909" s="138"/>
      <c r="H909" s="142"/>
      <c r="I909" s="303"/>
      <c r="J909" s="138"/>
      <c r="K909" s="142"/>
      <c r="L909" s="303"/>
      <c r="M909" s="138"/>
      <c r="N909" s="142"/>
      <c r="O909" s="303"/>
      <c r="P909" s="138"/>
      <c r="Q909" s="142"/>
      <c r="R909" s="303"/>
      <c r="S909" s="138"/>
      <c r="T909" s="142"/>
      <c r="U909" s="303"/>
      <c r="V909" s="138"/>
      <c r="W909" s="142"/>
      <c r="X909" s="303"/>
      <c r="Y909" s="30"/>
      <c r="Z909" s="30"/>
      <c r="AA909" s="30"/>
      <c r="AB909" s="30"/>
      <c r="AC909" s="30"/>
      <c r="AD909" s="30"/>
      <c r="AE909" s="30"/>
      <c r="AF909" s="30"/>
      <c r="AG909" s="30"/>
      <c r="AH909" s="30"/>
      <c r="AI909" s="30"/>
      <c r="AJ909" s="30"/>
      <c r="AK909" s="30"/>
      <c r="AL909" s="30"/>
      <c r="AM909" s="30"/>
      <c r="AN909" s="30"/>
    </row>
    <row r="910">
      <c r="A910" s="138"/>
      <c r="B910" s="142"/>
      <c r="C910" s="303"/>
      <c r="D910" s="138"/>
      <c r="E910" s="142"/>
      <c r="F910" s="303"/>
      <c r="G910" s="138"/>
      <c r="H910" s="142"/>
      <c r="I910" s="303"/>
      <c r="J910" s="138"/>
      <c r="K910" s="142"/>
      <c r="L910" s="303"/>
      <c r="M910" s="138"/>
      <c r="N910" s="142"/>
      <c r="O910" s="303"/>
      <c r="P910" s="138"/>
      <c r="Q910" s="142"/>
      <c r="R910" s="303"/>
      <c r="S910" s="138"/>
      <c r="T910" s="142"/>
      <c r="U910" s="303"/>
      <c r="V910" s="138"/>
      <c r="W910" s="142"/>
      <c r="X910" s="303"/>
      <c r="Y910" s="30"/>
      <c r="Z910" s="30"/>
      <c r="AA910" s="30"/>
      <c r="AB910" s="30"/>
      <c r="AC910" s="30"/>
      <c r="AD910" s="30"/>
      <c r="AE910" s="30"/>
      <c r="AF910" s="30"/>
      <c r="AG910" s="30"/>
      <c r="AH910" s="30"/>
      <c r="AI910" s="30"/>
      <c r="AJ910" s="30"/>
      <c r="AK910" s="30"/>
      <c r="AL910" s="30"/>
      <c r="AM910" s="30"/>
      <c r="AN910" s="30"/>
    </row>
    <row r="911">
      <c r="A911" s="138"/>
      <c r="B911" s="142"/>
      <c r="C911" s="303"/>
      <c r="D911" s="138"/>
      <c r="E911" s="142"/>
      <c r="F911" s="303"/>
      <c r="G911" s="138"/>
      <c r="H911" s="142"/>
      <c r="I911" s="303"/>
      <c r="J911" s="138"/>
      <c r="K911" s="142"/>
      <c r="L911" s="303"/>
      <c r="M911" s="138"/>
      <c r="N911" s="142"/>
      <c r="O911" s="303"/>
      <c r="P911" s="138"/>
      <c r="Q911" s="142"/>
      <c r="R911" s="303"/>
      <c r="S911" s="138"/>
      <c r="T911" s="142"/>
      <c r="U911" s="303"/>
      <c r="V911" s="138"/>
      <c r="W911" s="142"/>
      <c r="X911" s="303"/>
      <c r="Y911" s="30"/>
      <c r="Z911" s="30"/>
      <c r="AA911" s="30"/>
      <c r="AB911" s="30"/>
      <c r="AC911" s="30"/>
      <c r="AD911" s="30"/>
      <c r="AE911" s="30"/>
      <c r="AF911" s="30"/>
      <c r="AG911" s="30"/>
      <c r="AH911" s="30"/>
      <c r="AI911" s="30"/>
      <c r="AJ911" s="30"/>
      <c r="AK911" s="30"/>
      <c r="AL911" s="30"/>
      <c r="AM911" s="30"/>
      <c r="AN911" s="30"/>
    </row>
    <row r="912">
      <c r="A912" s="138"/>
      <c r="B912" s="142"/>
      <c r="C912" s="303"/>
      <c r="D912" s="138"/>
      <c r="E912" s="142"/>
      <c r="F912" s="303"/>
      <c r="G912" s="138"/>
      <c r="H912" s="142"/>
      <c r="I912" s="303"/>
      <c r="J912" s="138"/>
      <c r="K912" s="142"/>
      <c r="L912" s="303"/>
      <c r="M912" s="138"/>
      <c r="N912" s="142"/>
      <c r="O912" s="303"/>
      <c r="P912" s="138"/>
      <c r="Q912" s="142"/>
      <c r="R912" s="303"/>
      <c r="S912" s="138"/>
      <c r="T912" s="142"/>
      <c r="U912" s="303"/>
      <c r="V912" s="138"/>
      <c r="W912" s="142"/>
      <c r="X912" s="303"/>
      <c r="Y912" s="30"/>
      <c r="Z912" s="30"/>
      <c r="AA912" s="30"/>
      <c r="AB912" s="30"/>
      <c r="AC912" s="30"/>
      <c r="AD912" s="30"/>
      <c r="AE912" s="30"/>
      <c r="AF912" s="30"/>
      <c r="AG912" s="30"/>
      <c r="AH912" s="30"/>
      <c r="AI912" s="30"/>
      <c r="AJ912" s="30"/>
      <c r="AK912" s="30"/>
      <c r="AL912" s="30"/>
      <c r="AM912" s="30"/>
      <c r="AN912" s="30"/>
    </row>
    <row r="913">
      <c r="A913" s="138"/>
      <c r="B913" s="142"/>
      <c r="C913" s="303"/>
      <c r="D913" s="138"/>
      <c r="E913" s="142"/>
      <c r="F913" s="303"/>
      <c r="G913" s="138"/>
      <c r="H913" s="142"/>
      <c r="I913" s="303"/>
      <c r="J913" s="138"/>
      <c r="K913" s="142"/>
      <c r="L913" s="303"/>
      <c r="M913" s="138"/>
      <c r="N913" s="142"/>
      <c r="O913" s="303"/>
      <c r="P913" s="138"/>
      <c r="Q913" s="142"/>
      <c r="R913" s="303"/>
      <c r="S913" s="138"/>
      <c r="T913" s="142"/>
      <c r="U913" s="303"/>
      <c r="V913" s="138"/>
      <c r="W913" s="142"/>
      <c r="X913" s="303"/>
      <c r="Y913" s="30"/>
      <c r="Z913" s="30"/>
      <c r="AA913" s="30"/>
      <c r="AB913" s="30"/>
      <c r="AC913" s="30"/>
      <c r="AD913" s="30"/>
      <c r="AE913" s="30"/>
      <c r="AF913" s="30"/>
      <c r="AG913" s="30"/>
      <c r="AH913" s="30"/>
      <c r="AI913" s="30"/>
      <c r="AJ913" s="30"/>
      <c r="AK913" s="30"/>
      <c r="AL913" s="30"/>
      <c r="AM913" s="30"/>
      <c r="AN913" s="30"/>
    </row>
    <row r="914">
      <c r="A914" s="138"/>
      <c r="B914" s="142"/>
      <c r="C914" s="303"/>
      <c r="D914" s="138"/>
      <c r="E914" s="142"/>
      <c r="F914" s="303"/>
      <c r="G914" s="138"/>
      <c r="H914" s="142"/>
      <c r="I914" s="303"/>
      <c r="J914" s="138"/>
      <c r="K914" s="142"/>
      <c r="L914" s="303"/>
      <c r="M914" s="138"/>
      <c r="N914" s="142"/>
      <c r="O914" s="303"/>
      <c r="P914" s="138"/>
      <c r="Q914" s="142"/>
      <c r="R914" s="303"/>
      <c r="S914" s="138"/>
      <c r="T914" s="142"/>
      <c r="U914" s="303"/>
      <c r="V914" s="138"/>
      <c r="W914" s="142"/>
      <c r="X914" s="303"/>
      <c r="Y914" s="30"/>
      <c r="Z914" s="30"/>
      <c r="AA914" s="30"/>
      <c r="AB914" s="30"/>
      <c r="AC914" s="30"/>
      <c r="AD914" s="30"/>
      <c r="AE914" s="30"/>
      <c r="AF914" s="30"/>
      <c r="AG914" s="30"/>
      <c r="AH914" s="30"/>
      <c r="AI914" s="30"/>
      <c r="AJ914" s="30"/>
      <c r="AK914" s="30"/>
      <c r="AL914" s="30"/>
      <c r="AM914" s="30"/>
      <c r="AN914" s="30"/>
    </row>
    <row r="915">
      <c r="A915" s="138"/>
      <c r="B915" s="142"/>
      <c r="C915" s="303"/>
      <c r="D915" s="138"/>
      <c r="E915" s="142"/>
      <c r="F915" s="303"/>
      <c r="G915" s="138"/>
      <c r="H915" s="142"/>
      <c r="I915" s="303"/>
      <c r="J915" s="138"/>
      <c r="K915" s="142"/>
      <c r="L915" s="303"/>
      <c r="M915" s="138"/>
      <c r="N915" s="142"/>
      <c r="O915" s="303"/>
      <c r="P915" s="138"/>
      <c r="Q915" s="142"/>
      <c r="R915" s="303"/>
      <c r="S915" s="138"/>
      <c r="T915" s="142"/>
      <c r="U915" s="303"/>
      <c r="V915" s="138"/>
      <c r="W915" s="142"/>
      <c r="X915" s="303"/>
      <c r="Y915" s="30"/>
      <c r="Z915" s="30"/>
      <c r="AA915" s="30"/>
      <c r="AB915" s="30"/>
      <c r="AC915" s="30"/>
      <c r="AD915" s="30"/>
      <c r="AE915" s="30"/>
      <c r="AF915" s="30"/>
      <c r="AG915" s="30"/>
      <c r="AH915" s="30"/>
      <c r="AI915" s="30"/>
      <c r="AJ915" s="30"/>
      <c r="AK915" s="30"/>
      <c r="AL915" s="30"/>
      <c r="AM915" s="30"/>
      <c r="AN915" s="30"/>
    </row>
    <row r="916">
      <c r="A916" s="138"/>
      <c r="B916" s="142"/>
      <c r="C916" s="303"/>
      <c r="D916" s="138"/>
      <c r="E916" s="142"/>
      <c r="F916" s="303"/>
      <c r="G916" s="138"/>
      <c r="H916" s="142"/>
      <c r="I916" s="303"/>
      <c r="J916" s="138"/>
      <c r="K916" s="142"/>
      <c r="L916" s="303"/>
      <c r="M916" s="138"/>
      <c r="N916" s="142"/>
      <c r="O916" s="303"/>
      <c r="P916" s="138"/>
      <c r="Q916" s="142"/>
      <c r="R916" s="303"/>
      <c r="S916" s="138"/>
      <c r="T916" s="142"/>
      <c r="U916" s="303"/>
      <c r="V916" s="138"/>
      <c r="W916" s="142"/>
      <c r="X916" s="303"/>
      <c r="Y916" s="30"/>
      <c r="Z916" s="30"/>
      <c r="AA916" s="30"/>
      <c r="AB916" s="30"/>
      <c r="AC916" s="30"/>
      <c r="AD916" s="30"/>
      <c r="AE916" s="30"/>
      <c r="AF916" s="30"/>
      <c r="AG916" s="30"/>
      <c r="AH916" s="30"/>
      <c r="AI916" s="30"/>
      <c r="AJ916" s="30"/>
      <c r="AK916" s="30"/>
      <c r="AL916" s="30"/>
      <c r="AM916" s="30"/>
      <c r="AN916" s="30"/>
    </row>
    <row r="917">
      <c r="A917" s="138"/>
      <c r="B917" s="142"/>
      <c r="C917" s="303"/>
      <c r="D917" s="138"/>
      <c r="E917" s="142"/>
      <c r="F917" s="303"/>
      <c r="G917" s="138"/>
      <c r="H917" s="142"/>
      <c r="I917" s="303"/>
      <c r="J917" s="138"/>
      <c r="K917" s="142"/>
      <c r="L917" s="303"/>
      <c r="M917" s="138"/>
      <c r="N917" s="142"/>
      <c r="O917" s="303"/>
      <c r="P917" s="138"/>
      <c r="Q917" s="142"/>
      <c r="R917" s="303"/>
      <c r="S917" s="138"/>
      <c r="T917" s="142"/>
      <c r="U917" s="303"/>
      <c r="V917" s="138"/>
      <c r="W917" s="142"/>
      <c r="X917" s="303"/>
      <c r="Y917" s="30"/>
      <c r="Z917" s="30"/>
      <c r="AA917" s="30"/>
      <c r="AB917" s="30"/>
      <c r="AC917" s="30"/>
      <c r="AD917" s="30"/>
      <c r="AE917" s="30"/>
      <c r="AF917" s="30"/>
      <c r="AG917" s="30"/>
      <c r="AH917" s="30"/>
      <c r="AI917" s="30"/>
      <c r="AJ917" s="30"/>
      <c r="AK917" s="30"/>
      <c r="AL917" s="30"/>
      <c r="AM917" s="30"/>
      <c r="AN917" s="30"/>
    </row>
    <row r="918">
      <c r="A918" s="138"/>
      <c r="B918" s="142"/>
      <c r="C918" s="303"/>
      <c r="D918" s="138"/>
      <c r="E918" s="142"/>
      <c r="F918" s="303"/>
      <c r="G918" s="138"/>
      <c r="H918" s="142"/>
      <c r="I918" s="303"/>
      <c r="J918" s="138"/>
      <c r="K918" s="142"/>
      <c r="L918" s="303"/>
      <c r="M918" s="138"/>
      <c r="N918" s="142"/>
      <c r="O918" s="303"/>
      <c r="P918" s="138"/>
      <c r="Q918" s="142"/>
      <c r="R918" s="303"/>
      <c r="S918" s="138"/>
      <c r="T918" s="142"/>
      <c r="U918" s="303"/>
      <c r="V918" s="138"/>
      <c r="W918" s="142"/>
      <c r="X918" s="303"/>
      <c r="Y918" s="30"/>
      <c r="Z918" s="30"/>
      <c r="AA918" s="30"/>
      <c r="AB918" s="30"/>
      <c r="AC918" s="30"/>
      <c r="AD918" s="30"/>
      <c r="AE918" s="30"/>
      <c r="AF918" s="30"/>
      <c r="AG918" s="30"/>
      <c r="AH918" s="30"/>
      <c r="AI918" s="30"/>
      <c r="AJ918" s="30"/>
      <c r="AK918" s="30"/>
      <c r="AL918" s="30"/>
      <c r="AM918" s="30"/>
      <c r="AN918" s="30"/>
    </row>
    <row r="919">
      <c r="A919" s="138"/>
      <c r="B919" s="142"/>
      <c r="C919" s="303"/>
      <c r="D919" s="138"/>
      <c r="E919" s="142"/>
      <c r="F919" s="303"/>
      <c r="G919" s="138"/>
      <c r="H919" s="142"/>
      <c r="I919" s="303"/>
      <c r="J919" s="138"/>
      <c r="K919" s="142"/>
      <c r="L919" s="303"/>
      <c r="M919" s="138"/>
      <c r="N919" s="142"/>
      <c r="O919" s="303"/>
      <c r="P919" s="138"/>
      <c r="Q919" s="142"/>
      <c r="R919" s="303"/>
      <c r="S919" s="138"/>
      <c r="T919" s="142"/>
      <c r="U919" s="303"/>
      <c r="V919" s="138"/>
      <c r="W919" s="142"/>
      <c r="X919" s="303"/>
      <c r="Y919" s="30"/>
      <c r="Z919" s="30"/>
      <c r="AA919" s="30"/>
      <c r="AB919" s="30"/>
      <c r="AC919" s="30"/>
      <c r="AD919" s="30"/>
      <c r="AE919" s="30"/>
      <c r="AF919" s="30"/>
      <c r="AG919" s="30"/>
      <c r="AH919" s="30"/>
      <c r="AI919" s="30"/>
      <c r="AJ919" s="30"/>
      <c r="AK919" s="30"/>
      <c r="AL919" s="30"/>
      <c r="AM919" s="30"/>
      <c r="AN919" s="30"/>
    </row>
    <row r="920">
      <c r="A920" s="138"/>
      <c r="B920" s="142"/>
      <c r="C920" s="303"/>
      <c r="D920" s="138"/>
      <c r="E920" s="142"/>
      <c r="F920" s="303"/>
      <c r="G920" s="138"/>
      <c r="H920" s="142"/>
      <c r="I920" s="303"/>
      <c r="J920" s="138"/>
      <c r="K920" s="142"/>
      <c r="L920" s="303"/>
      <c r="M920" s="138"/>
      <c r="N920" s="142"/>
      <c r="O920" s="303"/>
      <c r="P920" s="138"/>
      <c r="Q920" s="142"/>
      <c r="R920" s="303"/>
      <c r="S920" s="138"/>
      <c r="T920" s="142"/>
      <c r="U920" s="303"/>
      <c r="V920" s="138"/>
      <c r="W920" s="142"/>
      <c r="X920" s="303"/>
      <c r="Y920" s="30"/>
      <c r="Z920" s="30"/>
      <c r="AA920" s="30"/>
      <c r="AB920" s="30"/>
      <c r="AC920" s="30"/>
      <c r="AD920" s="30"/>
      <c r="AE920" s="30"/>
      <c r="AF920" s="30"/>
      <c r="AG920" s="30"/>
      <c r="AH920" s="30"/>
      <c r="AI920" s="30"/>
      <c r="AJ920" s="30"/>
      <c r="AK920" s="30"/>
      <c r="AL920" s="30"/>
      <c r="AM920" s="30"/>
      <c r="AN920" s="30"/>
    </row>
    <row r="921">
      <c r="A921" s="138"/>
      <c r="B921" s="142"/>
      <c r="C921" s="303"/>
      <c r="D921" s="138"/>
      <c r="E921" s="142"/>
      <c r="F921" s="303"/>
      <c r="G921" s="138"/>
      <c r="H921" s="142"/>
      <c r="I921" s="303"/>
      <c r="J921" s="138"/>
      <c r="K921" s="142"/>
      <c r="L921" s="303"/>
      <c r="M921" s="138"/>
      <c r="N921" s="142"/>
      <c r="O921" s="303"/>
      <c r="P921" s="138"/>
      <c r="Q921" s="142"/>
      <c r="R921" s="303"/>
      <c r="S921" s="138"/>
      <c r="T921" s="142"/>
      <c r="U921" s="303"/>
      <c r="V921" s="138"/>
      <c r="W921" s="142"/>
      <c r="X921" s="303"/>
      <c r="Y921" s="30"/>
      <c r="Z921" s="30"/>
      <c r="AA921" s="30"/>
      <c r="AB921" s="30"/>
      <c r="AC921" s="30"/>
      <c r="AD921" s="30"/>
      <c r="AE921" s="30"/>
      <c r="AF921" s="30"/>
      <c r="AG921" s="30"/>
      <c r="AH921" s="30"/>
      <c r="AI921" s="30"/>
      <c r="AJ921" s="30"/>
      <c r="AK921" s="30"/>
      <c r="AL921" s="30"/>
      <c r="AM921" s="30"/>
      <c r="AN921" s="30"/>
    </row>
    <row r="922">
      <c r="A922" s="138"/>
      <c r="B922" s="142"/>
      <c r="C922" s="303"/>
      <c r="D922" s="138"/>
      <c r="E922" s="142"/>
      <c r="F922" s="303"/>
      <c r="G922" s="138"/>
      <c r="H922" s="142"/>
      <c r="I922" s="303"/>
      <c r="J922" s="138"/>
      <c r="K922" s="142"/>
      <c r="L922" s="303"/>
      <c r="M922" s="138"/>
      <c r="N922" s="142"/>
      <c r="O922" s="303"/>
      <c r="P922" s="138"/>
      <c r="Q922" s="142"/>
      <c r="R922" s="303"/>
      <c r="S922" s="138"/>
      <c r="T922" s="142"/>
      <c r="U922" s="303"/>
      <c r="V922" s="138"/>
      <c r="W922" s="142"/>
      <c r="X922" s="303"/>
      <c r="Y922" s="30"/>
      <c r="Z922" s="30"/>
      <c r="AA922" s="30"/>
      <c r="AB922" s="30"/>
      <c r="AC922" s="30"/>
      <c r="AD922" s="30"/>
      <c r="AE922" s="30"/>
      <c r="AF922" s="30"/>
      <c r="AG922" s="30"/>
      <c r="AH922" s="30"/>
      <c r="AI922" s="30"/>
      <c r="AJ922" s="30"/>
      <c r="AK922" s="30"/>
      <c r="AL922" s="30"/>
      <c r="AM922" s="30"/>
      <c r="AN922" s="30"/>
    </row>
    <row r="923">
      <c r="A923" s="138"/>
      <c r="B923" s="142"/>
      <c r="C923" s="303"/>
      <c r="D923" s="138"/>
      <c r="E923" s="142"/>
      <c r="F923" s="303"/>
      <c r="G923" s="138"/>
      <c r="H923" s="142"/>
      <c r="I923" s="303"/>
      <c r="J923" s="138"/>
      <c r="K923" s="142"/>
      <c r="L923" s="303"/>
      <c r="M923" s="138"/>
      <c r="N923" s="142"/>
      <c r="O923" s="303"/>
      <c r="P923" s="138"/>
      <c r="Q923" s="142"/>
      <c r="R923" s="303"/>
      <c r="S923" s="138"/>
      <c r="T923" s="142"/>
      <c r="U923" s="303"/>
      <c r="V923" s="138"/>
      <c r="W923" s="142"/>
      <c r="X923" s="303"/>
      <c r="Y923" s="30"/>
      <c r="Z923" s="30"/>
      <c r="AA923" s="30"/>
      <c r="AB923" s="30"/>
      <c r="AC923" s="30"/>
      <c r="AD923" s="30"/>
      <c r="AE923" s="30"/>
      <c r="AF923" s="30"/>
      <c r="AG923" s="30"/>
      <c r="AH923" s="30"/>
      <c r="AI923" s="30"/>
      <c r="AJ923" s="30"/>
      <c r="AK923" s="30"/>
      <c r="AL923" s="30"/>
      <c r="AM923" s="30"/>
      <c r="AN923" s="30"/>
    </row>
    <row r="924">
      <c r="A924" s="138"/>
      <c r="B924" s="142"/>
      <c r="C924" s="303"/>
      <c r="D924" s="138"/>
      <c r="E924" s="142"/>
      <c r="F924" s="303"/>
      <c r="G924" s="138"/>
      <c r="H924" s="142"/>
      <c r="I924" s="303"/>
      <c r="J924" s="138"/>
      <c r="K924" s="142"/>
      <c r="L924" s="303"/>
      <c r="M924" s="138"/>
      <c r="N924" s="142"/>
      <c r="O924" s="303"/>
      <c r="P924" s="138"/>
      <c r="Q924" s="142"/>
      <c r="R924" s="303"/>
      <c r="S924" s="138"/>
      <c r="T924" s="142"/>
      <c r="U924" s="303"/>
      <c r="V924" s="138"/>
      <c r="W924" s="142"/>
      <c r="X924" s="303"/>
      <c r="Y924" s="30"/>
      <c r="Z924" s="30"/>
      <c r="AA924" s="30"/>
      <c r="AB924" s="30"/>
      <c r="AC924" s="30"/>
      <c r="AD924" s="30"/>
      <c r="AE924" s="30"/>
      <c r="AF924" s="30"/>
      <c r="AG924" s="30"/>
      <c r="AH924" s="30"/>
      <c r="AI924" s="30"/>
      <c r="AJ924" s="30"/>
      <c r="AK924" s="30"/>
      <c r="AL924" s="30"/>
      <c r="AM924" s="30"/>
      <c r="AN924" s="30"/>
    </row>
    <row r="925">
      <c r="A925" s="138"/>
      <c r="B925" s="142"/>
      <c r="C925" s="303"/>
      <c r="D925" s="138"/>
      <c r="E925" s="142"/>
      <c r="F925" s="303"/>
      <c r="G925" s="138"/>
      <c r="H925" s="142"/>
      <c r="I925" s="303"/>
      <c r="J925" s="138"/>
      <c r="K925" s="142"/>
      <c r="L925" s="303"/>
      <c r="M925" s="138"/>
      <c r="N925" s="142"/>
      <c r="O925" s="303"/>
      <c r="P925" s="138"/>
      <c r="Q925" s="142"/>
      <c r="R925" s="303"/>
      <c r="S925" s="138"/>
      <c r="T925" s="142"/>
      <c r="U925" s="303"/>
      <c r="V925" s="138"/>
      <c r="W925" s="142"/>
      <c r="X925" s="303"/>
      <c r="Y925" s="30"/>
      <c r="Z925" s="30"/>
      <c r="AA925" s="30"/>
      <c r="AB925" s="30"/>
      <c r="AC925" s="30"/>
      <c r="AD925" s="30"/>
      <c r="AE925" s="30"/>
      <c r="AF925" s="30"/>
      <c r="AG925" s="30"/>
      <c r="AH925" s="30"/>
      <c r="AI925" s="30"/>
      <c r="AJ925" s="30"/>
      <c r="AK925" s="30"/>
      <c r="AL925" s="30"/>
      <c r="AM925" s="30"/>
      <c r="AN925" s="30"/>
    </row>
    <row r="926">
      <c r="A926" s="138"/>
      <c r="B926" s="142"/>
      <c r="C926" s="303"/>
      <c r="D926" s="138"/>
      <c r="E926" s="142"/>
      <c r="F926" s="303"/>
      <c r="G926" s="138"/>
      <c r="H926" s="142"/>
      <c r="I926" s="303"/>
      <c r="J926" s="138"/>
      <c r="K926" s="142"/>
      <c r="L926" s="303"/>
      <c r="M926" s="138"/>
      <c r="N926" s="142"/>
      <c r="O926" s="303"/>
      <c r="P926" s="138"/>
      <c r="Q926" s="142"/>
      <c r="R926" s="303"/>
      <c r="S926" s="138"/>
      <c r="T926" s="142"/>
      <c r="U926" s="303"/>
      <c r="V926" s="138"/>
      <c r="W926" s="142"/>
      <c r="X926" s="303"/>
      <c r="Y926" s="30"/>
      <c r="Z926" s="30"/>
      <c r="AA926" s="30"/>
      <c r="AB926" s="30"/>
      <c r="AC926" s="30"/>
      <c r="AD926" s="30"/>
      <c r="AE926" s="30"/>
      <c r="AF926" s="30"/>
      <c r="AG926" s="30"/>
      <c r="AH926" s="30"/>
      <c r="AI926" s="30"/>
      <c r="AJ926" s="30"/>
      <c r="AK926" s="30"/>
      <c r="AL926" s="30"/>
      <c r="AM926" s="30"/>
      <c r="AN926" s="30"/>
    </row>
    <row r="927">
      <c r="A927" s="138"/>
      <c r="B927" s="142"/>
      <c r="C927" s="303"/>
      <c r="D927" s="138"/>
      <c r="E927" s="142"/>
      <c r="F927" s="303"/>
      <c r="G927" s="138"/>
      <c r="H927" s="142"/>
      <c r="I927" s="303"/>
      <c r="J927" s="138"/>
      <c r="K927" s="142"/>
      <c r="L927" s="303"/>
      <c r="M927" s="138"/>
      <c r="N927" s="142"/>
      <c r="O927" s="303"/>
      <c r="P927" s="138"/>
      <c r="Q927" s="142"/>
      <c r="R927" s="303"/>
      <c r="S927" s="138"/>
      <c r="T927" s="142"/>
      <c r="U927" s="303"/>
      <c r="V927" s="138"/>
      <c r="W927" s="142"/>
      <c r="X927" s="303"/>
      <c r="Y927" s="30"/>
      <c r="Z927" s="30"/>
      <c r="AA927" s="30"/>
      <c r="AB927" s="30"/>
      <c r="AC927" s="30"/>
      <c r="AD927" s="30"/>
      <c r="AE927" s="30"/>
      <c r="AF927" s="30"/>
      <c r="AG927" s="30"/>
      <c r="AH927" s="30"/>
      <c r="AI927" s="30"/>
      <c r="AJ927" s="30"/>
      <c r="AK927" s="30"/>
      <c r="AL927" s="30"/>
      <c r="AM927" s="30"/>
      <c r="AN927" s="30"/>
    </row>
    <row r="928">
      <c r="A928" s="138"/>
      <c r="B928" s="142"/>
      <c r="C928" s="303"/>
      <c r="D928" s="138"/>
      <c r="E928" s="142"/>
      <c r="F928" s="303"/>
      <c r="G928" s="138"/>
      <c r="H928" s="142"/>
      <c r="I928" s="303"/>
      <c r="J928" s="138"/>
      <c r="K928" s="142"/>
      <c r="L928" s="303"/>
      <c r="M928" s="138"/>
      <c r="N928" s="142"/>
      <c r="O928" s="303"/>
      <c r="P928" s="138"/>
      <c r="Q928" s="142"/>
      <c r="R928" s="303"/>
      <c r="S928" s="138"/>
      <c r="T928" s="142"/>
      <c r="U928" s="303"/>
      <c r="V928" s="138"/>
      <c r="W928" s="142"/>
      <c r="X928" s="303"/>
      <c r="Y928" s="30"/>
      <c r="Z928" s="30"/>
      <c r="AA928" s="30"/>
      <c r="AB928" s="30"/>
      <c r="AC928" s="30"/>
      <c r="AD928" s="30"/>
      <c r="AE928" s="30"/>
      <c r="AF928" s="30"/>
      <c r="AG928" s="30"/>
      <c r="AH928" s="30"/>
      <c r="AI928" s="30"/>
      <c r="AJ928" s="30"/>
      <c r="AK928" s="30"/>
      <c r="AL928" s="30"/>
      <c r="AM928" s="30"/>
      <c r="AN928" s="30"/>
    </row>
    <row r="929">
      <c r="A929" s="138"/>
      <c r="B929" s="142"/>
      <c r="C929" s="303"/>
      <c r="D929" s="138"/>
      <c r="E929" s="142"/>
      <c r="F929" s="303"/>
      <c r="G929" s="138"/>
      <c r="H929" s="142"/>
      <c r="I929" s="303"/>
      <c r="J929" s="138"/>
      <c r="K929" s="142"/>
      <c r="L929" s="303"/>
      <c r="M929" s="138"/>
      <c r="N929" s="142"/>
      <c r="O929" s="303"/>
      <c r="P929" s="138"/>
      <c r="Q929" s="142"/>
      <c r="R929" s="303"/>
      <c r="S929" s="138"/>
      <c r="T929" s="142"/>
      <c r="U929" s="303"/>
      <c r="V929" s="138"/>
      <c r="W929" s="142"/>
      <c r="X929" s="303"/>
      <c r="Y929" s="30"/>
      <c r="Z929" s="30"/>
      <c r="AA929" s="30"/>
      <c r="AB929" s="30"/>
      <c r="AC929" s="30"/>
      <c r="AD929" s="30"/>
      <c r="AE929" s="30"/>
      <c r="AF929" s="30"/>
      <c r="AG929" s="30"/>
      <c r="AH929" s="30"/>
      <c r="AI929" s="30"/>
      <c r="AJ929" s="30"/>
      <c r="AK929" s="30"/>
      <c r="AL929" s="30"/>
      <c r="AM929" s="30"/>
      <c r="AN929" s="30"/>
    </row>
    <row r="930">
      <c r="A930" s="138"/>
      <c r="B930" s="142"/>
      <c r="C930" s="303"/>
      <c r="D930" s="138"/>
      <c r="E930" s="142"/>
      <c r="F930" s="303"/>
      <c r="G930" s="138"/>
      <c r="H930" s="142"/>
      <c r="I930" s="303"/>
      <c r="J930" s="138"/>
      <c r="K930" s="142"/>
      <c r="L930" s="303"/>
      <c r="M930" s="138"/>
      <c r="N930" s="142"/>
      <c r="O930" s="303"/>
      <c r="P930" s="138"/>
      <c r="Q930" s="142"/>
      <c r="R930" s="303"/>
      <c r="S930" s="138"/>
      <c r="T930" s="142"/>
      <c r="U930" s="303"/>
      <c r="V930" s="138"/>
      <c r="W930" s="142"/>
      <c r="X930" s="303"/>
      <c r="Y930" s="30"/>
      <c r="Z930" s="30"/>
      <c r="AA930" s="30"/>
      <c r="AB930" s="30"/>
      <c r="AC930" s="30"/>
      <c r="AD930" s="30"/>
      <c r="AE930" s="30"/>
      <c r="AF930" s="30"/>
      <c r="AG930" s="30"/>
      <c r="AH930" s="30"/>
      <c r="AI930" s="30"/>
      <c r="AJ930" s="30"/>
      <c r="AK930" s="30"/>
      <c r="AL930" s="30"/>
      <c r="AM930" s="30"/>
      <c r="AN930" s="30"/>
    </row>
    <row r="931">
      <c r="A931" s="138"/>
      <c r="B931" s="142"/>
      <c r="C931" s="303"/>
      <c r="D931" s="138"/>
      <c r="E931" s="142"/>
      <c r="F931" s="303"/>
      <c r="G931" s="138"/>
      <c r="H931" s="142"/>
      <c r="I931" s="303"/>
      <c r="J931" s="138"/>
      <c r="K931" s="142"/>
      <c r="L931" s="303"/>
      <c r="M931" s="138"/>
      <c r="N931" s="142"/>
      <c r="O931" s="303"/>
      <c r="P931" s="138"/>
      <c r="Q931" s="142"/>
      <c r="R931" s="303"/>
      <c r="S931" s="138"/>
      <c r="T931" s="142"/>
      <c r="U931" s="303"/>
      <c r="V931" s="138"/>
      <c r="W931" s="142"/>
      <c r="X931" s="303"/>
      <c r="Y931" s="30"/>
      <c r="Z931" s="30"/>
      <c r="AA931" s="30"/>
      <c r="AB931" s="30"/>
      <c r="AC931" s="30"/>
      <c r="AD931" s="30"/>
      <c r="AE931" s="30"/>
      <c r="AF931" s="30"/>
      <c r="AG931" s="30"/>
      <c r="AH931" s="30"/>
      <c r="AI931" s="30"/>
      <c r="AJ931" s="30"/>
      <c r="AK931" s="30"/>
      <c r="AL931" s="30"/>
      <c r="AM931" s="30"/>
      <c r="AN931" s="30"/>
    </row>
    <row r="932">
      <c r="A932" s="138"/>
      <c r="B932" s="142"/>
      <c r="C932" s="303"/>
      <c r="D932" s="138"/>
      <c r="E932" s="142"/>
      <c r="F932" s="303"/>
      <c r="G932" s="138"/>
      <c r="H932" s="142"/>
      <c r="I932" s="303"/>
      <c r="J932" s="138"/>
      <c r="K932" s="142"/>
      <c r="L932" s="303"/>
      <c r="M932" s="138"/>
      <c r="N932" s="142"/>
      <c r="O932" s="303"/>
      <c r="P932" s="138"/>
      <c r="Q932" s="142"/>
      <c r="R932" s="303"/>
      <c r="S932" s="138"/>
      <c r="T932" s="142"/>
      <c r="U932" s="303"/>
      <c r="V932" s="138"/>
      <c r="W932" s="142"/>
      <c r="X932" s="303"/>
      <c r="Y932" s="30"/>
      <c r="Z932" s="30"/>
      <c r="AA932" s="30"/>
      <c r="AB932" s="30"/>
      <c r="AC932" s="30"/>
      <c r="AD932" s="30"/>
      <c r="AE932" s="30"/>
      <c r="AF932" s="30"/>
      <c r="AG932" s="30"/>
      <c r="AH932" s="30"/>
      <c r="AI932" s="30"/>
      <c r="AJ932" s="30"/>
      <c r="AK932" s="30"/>
      <c r="AL932" s="30"/>
      <c r="AM932" s="30"/>
      <c r="AN932" s="30"/>
    </row>
    <row r="933">
      <c r="A933" s="138"/>
      <c r="B933" s="142"/>
      <c r="C933" s="303"/>
      <c r="D933" s="138"/>
      <c r="E933" s="142"/>
      <c r="F933" s="303"/>
      <c r="G933" s="138"/>
      <c r="H933" s="142"/>
      <c r="I933" s="303"/>
      <c r="J933" s="138"/>
      <c r="K933" s="142"/>
      <c r="L933" s="303"/>
      <c r="M933" s="138"/>
      <c r="N933" s="142"/>
      <c r="O933" s="303"/>
      <c r="P933" s="138"/>
      <c r="Q933" s="142"/>
      <c r="R933" s="303"/>
      <c r="S933" s="138"/>
      <c r="T933" s="142"/>
      <c r="U933" s="303"/>
      <c r="V933" s="138"/>
      <c r="W933" s="142"/>
      <c r="X933" s="303"/>
      <c r="Y933" s="30"/>
      <c r="Z933" s="30"/>
      <c r="AA933" s="30"/>
      <c r="AB933" s="30"/>
      <c r="AC933" s="30"/>
      <c r="AD933" s="30"/>
      <c r="AE933" s="30"/>
      <c r="AF933" s="30"/>
      <c r="AG933" s="30"/>
      <c r="AH933" s="30"/>
      <c r="AI933" s="30"/>
      <c r="AJ933" s="30"/>
      <c r="AK933" s="30"/>
      <c r="AL933" s="30"/>
      <c r="AM933" s="30"/>
      <c r="AN933" s="30"/>
    </row>
    <row r="934">
      <c r="A934" s="138"/>
      <c r="B934" s="142"/>
      <c r="C934" s="303"/>
      <c r="D934" s="138"/>
      <c r="E934" s="142"/>
      <c r="F934" s="303"/>
      <c r="G934" s="138"/>
      <c r="H934" s="142"/>
      <c r="I934" s="303"/>
      <c r="J934" s="138"/>
      <c r="K934" s="142"/>
      <c r="L934" s="303"/>
      <c r="M934" s="138"/>
      <c r="N934" s="142"/>
      <c r="O934" s="303"/>
      <c r="P934" s="138"/>
      <c r="Q934" s="142"/>
      <c r="R934" s="303"/>
      <c r="S934" s="138"/>
      <c r="T934" s="142"/>
      <c r="U934" s="303"/>
      <c r="V934" s="138"/>
      <c r="W934" s="142"/>
      <c r="X934" s="303"/>
      <c r="Y934" s="30"/>
      <c r="Z934" s="30"/>
      <c r="AA934" s="30"/>
      <c r="AB934" s="30"/>
      <c r="AC934" s="30"/>
      <c r="AD934" s="30"/>
      <c r="AE934" s="30"/>
      <c r="AF934" s="30"/>
      <c r="AG934" s="30"/>
      <c r="AH934" s="30"/>
      <c r="AI934" s="30"/>
      <c r="AJ934" s="30"/>
      <c r="AK934" s="30"/>
      <c r="AL934" s="30"/>
      <c r="AM934" s="30"/>
      <c r="AN934" s="30"/>
    </row>
    <row r="935">
      <c r="A935" s="138"/>
      <c r="B935" s="142"/>
      <c r="C935" s="303"/>
      <c r="D935" s="138"/>
      <c r="E935" s="142"/>
      <c r="F935" s="303"/>
      <c r="G935" s="138"/>
      <c r="H935" s="142"/>
      <c r="I935" s="303"/>
      <c r="J935" s="138"/>
      <c r="K935" s="142"/>
      <c r="L935" s="303"/>
      <c r="M935" s="138"/>
      <c r="N935" s="142"/>
      <c r="O935" s="303"/>
      <c r="P935" s="138"/>
      <c r="Q935" s="142"/>
      <c r="R935" s="303"/>
      <c r="S935" s="138"/>
      <c r="T935" s="142"/>
      <c r="U935" s="303"/>
      <c r="V935" s="138"/>
      <c r="W935" s="142"/>
      <c r="X935" s="303"/>
      <c r="Y935" s="30"/>
      <c r="Z935" s="30"/>
      <c r="AA935" s="30"/>
      <c r="AB935" s="30"/>
      <c r="AC935" s="30"/>
      <c r="AD935" s="30"/>
      <c r="AE935" s="30"/>
      <c r="AF935" s="30"/>
      <c r="AG935" s="30"/>
      <c r="AH935" s="30"/>
      <c r="AI935" s="30"/>
      <c r="AJ935" s="30"/>
      <c r="AK935" s="30"/>
      <c r="AL935" s="30"/>
      <c r="AM935" s="30"/>
      <c r="AN935" s="30"/>
    </row>
    <row r="936">
      <c r="A936" s="138"/>
      <c r="B936" s="142"/>
      <c r="C936" s="303"/>
      <c r="D936" s="138"/>
      <c r="E936" s="142"/>
      <c r="F936" s="303"/>
      <c r="G936" s="138"/>
      <c r="H936" s="142"/>
      <c r="I936" s="303"/>
      <c r="J936" s="138"/>
      <c r="K936" s="142"/>
      <c r="L936" s="303"/>
      <c r="M936" s="138"/>
      <c r="N936" s="142"/>
      <c r="O936" s="303"/>
      <c r="P936" s="138"/>
      <c r="Q936" s="142"/>
      <c r="R936" s="303"/>
      <c r="S936" s="138"/>
      <c r="T936" s="142"/>
      <c r="U936" s="303"/>
      <c r="V936" s="138"/>
      <c r="W936" s="142"/>
      <c r="X936" s="303"/>
      <c r="Y936" s="30"/>
      <c r="Z936" s="30"/>
      <c r="AA936" s="30"/>
      <c r="AB936" s="30"/>
      <c r="AC936" s="30"/>
      <c r="AD936" s="30"/>
      <c r="AE936" s="30"/>
      <c r="AF936" s="30"/>
      <c r="AG936" s="30"/>
      <c r="AH936" s="30"/>
      <c r="AI936" s="30"/>
      <c r="AJ936" s="30"/>
      <c r="AK936" s="30"/>
      <c r="AL936" s="30"/>
      <c r="AM936" s="30"/>
      <c r="AN936" s="30"/>
    </row>
    <row r="937">
      <c r="A937" s="138"/>
      <c r="B937" s="142"/>
      <c r="C937" s="303"/>
      <c r="D937" s="138"/>
      <c r="E937" s="142"/>
      <c r="F937" s="303"/>
      <c r="G937" s="138"/>
      <c r="H937" s="142"/>
      <c r="I937" s="303"/>
      <c r="J937" s="138"/>
      <c r="K937" s="142"/>
      <c r="L937" s="303"/>
      <c r="M937" s="138"/>
      <c r="N937" s="142"/>
      <c r="O937" s="303"/>
      <c r="P937" s="138"/>
      <c r="Q937" s="142"/>
      <c r="R937" s="303"/>
      <c r="S937" s="138"/>
      <c r="T937" s="142"/>
      <c r="U937" s="303"/>
      <c r="V937" s="138"/>
      <c r="W937" s="142"/>
      <c r="X937" s="303"/>
      <c r="Y937" s="30"/>
      <c r="Z937" s="30"/>
      <c r="AA937" s="30"/>
      <c r="AB937" s="30"/>
      <c r="AC937" s="30"/>
      <c r="AD937" s="30"/>
      <c r="AE937" s="30"/>
      <c r="AF937" s="30"/>
      <c r="AG937" s="30"/>
      <c r="AH937" s="30"/>
      <c r="AI937" s="30"/>
      <c r="AJ937" s="30"/>
      <c r="AK937" s="30"/>
      <c r="AL937" s="30"/>
      <c r="AM937" s="30"/>
      <c r="AN937" s="30"/>
    </row>
    <row r="938">
      <c r="A938" s="138"/>
      <c r="B938" s="142"/>
      <c r="C938" s="303"/>
      <c r="D938" s="138"/>
      <c r="E938" s="142"/>
      <c r="F938" s="303"/>
      <c r="G938" s="138"/>
      <c r="H938" s="142"/>
      <c r="I938" s="303"/>
      <c r="J938" s="138"/>
      <c r="K938" s="142"/>
      <c r="L938" s="303"/>
      <c r="M938" s="138"/>
      <c r="N938" s="142"/>
      <c r="O938" s="303"/>
      <c r="P938" s="138"/>
      <c r="Q938" s="142"/>
      <c r="R938" s="303"/>
      <c r="S938" s="138"/>
      <c r="T938" s="142"/>
      <c r="U938" s="303"/>
      <c r="V938" s="138"/>
      <c r="W938" s="142"/>
      <c r="X938" s="303"/>
      <c r="Y938" s="30"/>
      <c r="Z938" s="30"/>
      <c r="AA938" s="30"/>
      <c r="AB938" s="30"/>
      <c r="AC938" s="30"/>
      <c r="AD938" s="30"/>
      <c r="AE938" s="30"/>
      <c r="AF938" s="30"/>
      <c r="AG938" s="30"/>
      <c r="AH938" s="30"/>
      <c r="AI938" s="30"/>
      <c r="AJ938" s="30"/>
      <c r="AK938" s="30"/>
      <c r="AL938" s="30"/>
      <c r="AM938" s="30"/>
      <c r="AN938" s="30"/>
    </row>
    <row r="939">
      <c r="A939" s="138"/>
      <c r="B939" s="142"/>
      <c r="C939" s="303"/>
      <c r="D939" s="138"/>
      <c r="E939" s="142"/>
      <c r="F939" s="303"/>
      <c r="G939" s="138"/>
      <c r="H939" s="142"/>
      <c r="I939" s="303"/>
      <c r="J939" s="138"/>
      <c r="K939" s="142"/>
      <c r="L939" s="303"/>
      <c r="M939" s="138"/>
      <c r="N939" s="142"/>
      <c r="O939" s="303"/>
      <c r="P939" s="138"/>
      <c r="Q939" s="142"/>
      <c r="R939" s="303"/>
      <c r="S939" s="138"/>
      <c r="T939" s="142"/>
      <c r="U939" s="303"/>
      <c r="V939" s="138"/>
      <c r="W939" s="142"/>
      <c r="X939" s="303"/>
      <c r="Y939" s="30"/>
      <c r="Z939" s="30"/>
      <c r="AA939" s="30"/>
      <c r="AB939" s="30"/>
      <c r="AC939" s="30"/>
      <c r="AD939" s="30"/>
      <c r="AE939" s="30"/>
      <c r="AF939" s="30"/>
      <c r="AG939" s="30"/>
      <c r="AH939" s="30"/>
      <c r="AI939" s="30"/>
      <c r="AJ939" s="30"/>
      <c r="AK939" s="30"/>
      <c r="AL939" s="30"/>
      <c r="AM939" s="30"/>
      <c r="AN939" s="30"/>
    </row>
    <row r="940">
      <c r="A940" s="138"/>
      <c r="B940" s="142"/>
      <c r="C940" s="303"/>
      <c r="D940" s="138"/>
      <c r="E940" s="142"/>
      <c r="F940" s="303"/>
      <c r="G940" s="138"/>
      <c r="H940" s="142"/>
      <c r="I940" s="303"/>
      <c r="J940" s="138"/>
      <c r="K940" s="142"/>
      <c r="L940" s="303"/>
      <c r="M940" s="138"/>
      <c r="N940" s="142"/>
      <c r="O940" s="303"/>
      <c r="P940" s="138"/>
      <c r="Q940" s="142"/>
      <c r="R940" s="303"/>
      <c r="S940" s="138"/>
      <c r="T940" s="142"/>
      <c r="U940" s="303"/>
      <c r="V940" s="138"/>
      <c r="W940" s="142"/>
      <c r="X940" s="303"/>
      <c r="Y940" s="30"/>
      <c r="Z940" s="30"/>
      <c r="AA940" s="30"/>
      <c r="AB940" s="30"/>
      <c r="AC940" s="30"/>
      <c r="AD940" s="30"/>
      <c r="AE940" s="30"/>
      <c r="AF940" s="30"/>
      <c r="AG940" s="30"/>
      <c r="AH940" s="30"/>
      <c r="AI940" s="30"/>
      <c r="AJ940" s="30"/>
      <c r="AK940" s="30"/>
      <c r="AL940" s="30"/>
      <c r="AM940" s="30"/>
      <c r="AN940" s="30"/>
    </row>
    <row r="941">
      <c r="A941" s="138"/>
      <c r="B941" s="142"/>
      <c r="C941" s="303"/>
      <c r="D941" s="138"/>
      <c r="E941" s="142"/>
      <c r="F941" s="303"/>
      <c r="G941" s="138"/>
      <c r="H941" s="142"/>
      <c r="I941" s="303"/>
      <c r="J941" s="138"/>
      <c r="K941" s="142"/>
      <c r="L941" s="303"/>
      <c r="M941" s="138"/>
      <c r="N941" s="142"/>
      <c r="O941" s="303"/>
      <c r="P941" s="138"/>
      <c r="Q941" s="142"/>
      <c r="R941" s="303"/>
      <c r="S941" s="138"/>
      <c r="T941" s="142"/>
      <c r="U941" s="303"/>
      <c r="V941" s="138"/>
      <c r="W941" s="142"/>
      <c r="X941" s="303"/>
      <c r="Y941" s="30"/>
      <c r="Z941" s="30"/>
      <c r="AA941" s="30"/>
      <c r="AB941" s="30"/>
      <c r="AC941" s="30"/>
      <c r="AD941" s="30"/>
      <c r="AE941" s="30"/>
      <c r="AF941" s="30"/>
      <c r="AG941" s="30"/>
      <c r="AH941" s="30"/>
      <c r="AI941" s="30"/>
      <c r="AJ941" s="30"/>
      <c r="AK941" s="30"/>
      <c r="AL941" s="30"/>
      <c r="AM941" s="30"/>
      <c r="AN941" s="30"/>
    </row>
    <row r="942">
      <c r="A942" s="138"/>
      <c r="B942" s="142"/>
      <c r="C942" s="303"/>
      <c r="D942" s="138"/>
      <c r="E942" s="142"/>
      <c r="F942" s="303"/>
      <c r="G942" s="138"/>
      <c r="H942" s="142"/>
      <c r="I942" s="303"/>
      <c r="J942" s="138"/>
      <c r="K942" s="142"/>
      <c r="L942" s="303"/>
      <c r="M942" s="138"/>
      <c r="N942" s="142"/>
      <c r="O942" s="303"/>
      <c r="P942" s="138"/>
      <c r="Q942" s="142"/>
      <c r="R942" s="303"/>
      <c r="S942" s="138"/>
      <c r="T942" s="142"/>
      <c r="U942" s="303"/>
      <c r="V942" s="138"/>
      <c r="W942" s="142"/>
      <c r="X942" s="303"/>
      <c r="Y942" s="30"/>
      <c r="Z942" s="30"/>
      <c r="AA942" s="30"/>
      <c r="AB942" s="30"/>
      <c r="AC942" s="30"/>
      <c r="AD942" s="30"/>
      <c r="AE942" s="30"/>
      <c r="AF942" s="30"/>
      <c r="AG942" s="30"/>
      <c r="AH942" s="30"/>
      <c r="AI942" s="30"/>
      <c r="AJ942" s="30"/>
      <c r="AK942" s="30"/>
      <c r="AL942" s="30"/>
      <c r="AM942" s="30"/>
      <c r="AN942" s="30"/>
    </row>
    <row r="943">
      <c r="A943" s="138"/>
      <c r="B943" s="142"/>
      <c r="C943" s="303"/>
      <c r="D943" s="138"/>
      <c r="E943" s="142"/>
      <c r="F943" s="303"/>
      <c r="G943" s="138"/>
      <c r="H943" s="142"/>
      <c r="I943" s="303"/>
      <c r="J943" s="138"/>
      <c r="K943" s="142"/>
      <c r="L943" s="303"/>
      <c r="M943" s="138"/>
      <c r="N943" s="142"/>
      <c r="O943" s="303"/>
      <c r="P943" s="138"/>
      <c r="Q943" s="142"/>
      <c r="R943" s="303"/>
      <c r="S943" s="138"/>
      <c r="T943" s="142"/>
      <c r="U943" s="303"/>
      <c r="V943" s="138"/>
      <c r="W943" s="142"/>
      <c r="X943" s="303"/>
      <c r="Y943" s="30"/>
      <c r="Z943" s="30"/>
      <c r="AA943" s="30"/>
      <c r="AB943" s="30"/>
      <c r="AC943" s="30"/>
      <c r="AD943" s="30"/>
      <c r="AE943" s="30"/>
      <c r="AF943" s="30"/>
      <c r="AG943" s="30"/>
      <c r="AH943" s="30"/>
      <c r="AI943" s="30"/>
      <c r="AJ943" s="30"/>
      <c r="AK943" s="30"/>
      <c r="AL943" s="30"/>
      <c r="AM943" s="30"/>
      <c r="AN943" s="30"/>
    </row>
    <row r="944">
      <c r="A944" s="138"/>
      <c r="B944" s="142"/>
      <c r="C944" s="303"/>
      <c r="D944" s="138"/>
      <c r="E944" s="142"/>
      <c r="F944" s="303"/>
      <c r="G944" s="138"/>
      <c r="H944" s="142"/>
      <c r="I944" s="303"/>
      <c r="J944" s="138"/>
      <c r="K944" s="142"/>
      <c r="L944" s="303"/>
      <c r="M944" s="138"/>
      <c r="N944" s="142"/>
      <c r="O944" s="303"/>
      <c r="P944" s="138"/>
      <c r="Q944" s="142"/>
      <c r="R944" s="303"/>
      <c r="S944" s="138"/>
      <c r="T944" s="142"/>
      <c r="U944" s="303"/>
      <c r="V944" s="138"/>
      <c r="W944" s="142"/>
      <c r="X944" s="303"/>
      <c r="Y944" s="30"/>
      <c r="Z944" s="30"/>
      <c r="AA944" s="30"/>
      <c r="AB944" s="30"/>
      <c r="AC944" s="30"/>
      <c r="AD944" s="30"/>
      <c r="AE944" s="30"/>
      <c r="AF944" s="30"/>
      <c r="AG944" s="30"/>
      <c r="AH944" s="30"/>
      <c r="AI944" s="30"/>
      <c r="AJ944" s="30"/>
      <c r="AK944" s="30"/>
      <c r="AL944" s="30"/>
      <c r="AM944" s="30"/>
      <c r="AN944" s="30"/>
    </row>
    <row r="945">
      <c r="A945" s="138"/>
      <c r="B945" s="142"/>
      <c r="C945" s="303"/>
      <c r="D945" s="138"/>
      <c r="E945" s="142"/>
      <c r="F945" s="303"/>
      <c r="G945" s="138"/>
      <c r="H945" s="142"/>
      <c r="I945" s="303"/>
      <c r="J945" s="138"/>
      <c r="K945" s="142"/>
      <c r="L945" s="303"/>
      <c r="M945" s="138"/>
      <c r="N945" s="142"/>
      <c r="O945" s="303"/>
      <c r="P945" s="138"/>
      <c r="Q945" s="142"/>
      <c r="R945" s="303"/>
      <c r="S945" s="138"/>
      <c r="T945" s="142"/>
      <c r="U945" s="303"/>
      <c r="V945" s="138"/>
      <c r="W945" s="142"/>
      <c r="X945" s="303"/>
      <c r="Y945" s="30"/>
      <c r="Z945" s="30"/>
      <c r="AA945" s="30"/>
      <c r="AB945" s="30"/>
      <c r="AC945" s="30"/>
      <c r="AD945" s="30"/>
      <c r="AE945" s="30"/>
      <c r="AF945" s="30"/>
      <c r="AG945" s="30"/>
      <c r="AH945" s="30"/>
      <c r="AI945" s="30"/>
      <c r="AJ945" s="30"/>
      <c r="AK945" s="30"/>
      <c r="AL945" s="30"/>
      <c r="AM945" s="30"/>
      <c r="AN945" s="30"/>
    </row>
    <row r="946">
      <c r="A946" s="138"/>
      <c r="B946" s="142"/>
      <c r="C946" s="303"/>
      <c r="D946" s="138"/>
      <c r="E946" s="142"/>
      <c r="F946" s="303"/>
      <c r="G946" s="138"/>
      <c r="H946" s="142"/>
      <c r="I946" s="303"/>
      <c r="J946" s="138"/>
      <c r="K946" s="142"/>
      <c r="L946" s="303"/>
      <c r="M946" s="138"/>
      <c r="N946" s="142"/>
      <c r="O946" s="303"/>
      <c r="P946" s="138"/>
      <c r="Q946" s="142"/>
      <c r="R946" s="303"/>
      <c r="S946" s="138"/>
      <c r="T946" s="142"/>
      <c r="U946" s="303"/>
      <c r="V946" s="138"/>
      <c r="W946" s="142"/>
      <c r="X946" s="303"/>
      <c r="Y946" s="30"/>
      <c r="Z946" s="30"/>
      <c r="AA946" s="30"/>
      <c r="AB946" s="30"/>
      <c r="AC946" s="30"/>
      <c r="AD946" s="30"/>
      <c r="AE946" s="30"/>
      <c r="AF946" s="30"/>
      <c r="AG946" s="30"/>
      <c r="AH946" s="30"/>
      <c r="AI946" s="30"/>
      <c r="AJ946" s="30"/>
      <c r="AK946" s="30"/>
      <c r="AL946" s="30"/>
      <c r="AM946" s="30"/>
      <c r="AN946" s="30"/>
    </row>
    <row r="947">
      <c r="A947" s="138"/>
      <c r="B947" s="142"/>
      <c r="C947" s="303"/>
      <c r="D947" s="138"/>
      <c r="E947" s="142"/>
      <c r="F947" s="303"/>
      <c r="G947" s="138"/>
      <c r="H947" s="142"/>
      <c r="I947" s="303"/>
      <c r="J947" s="138"/>
      <c r="K947" s="142"/>
      <c r="L947" s="303"/>
      <c r="M947" s="138"/>
      <c r="N947" s="142"/>
      <c r="O947" s="303"/>
      <c r="P947" s="138"/>
      <c r="Q947" s="142"/>
      <c r="R947" s="303"/>
      <c r="S947" s="138"/>
      <c r="T947" s="142"/>
      <c r="U947" s="303"/>
      <c r="V947" s="138"/>
      <c r="W947" s="142"/>
      <c r="X947" s="303"/>
      <c r="Y947" s="30"/>
      <c r="Z947" s="30"/>
      <c r="AA947" s="30"/>
      <c r="AB947" s="30"/>
      <c r="AC947" s="30"/>
      <c r="AD947" s="30"/>
      <c r="AE947" s="30"/>
      <c r="AF947" s="30"/>
      <c r="AG947" s="30"/>
      <c r="AH947" s="30"/>
      <c r="AI947" s="30"/>
      <c r="AJ947" s="30"/>
      <c r="AK947" s="30"/>
      <c r="AL947" s="30"/>
      <c r="AM947" s="30"/>
      <c r="AN947" s="30"/>
    </row>
    <row r="948">
      <c r="A948" s="138"/>
      <c r="B948" s="142"/>
      <c r="C948" s="303"/>
      <c r="D948" s="138"/>
      <c r="E948" s="142"/>
      <c r="F948" s="303"/>
      <c r="G948" s="138"/>
      <c r="H948" s="142"/>
      <c r="I948" s="303"/>
      <c r="J948" s="138"/>
      <c r="K948" s="142"/>
      <c r="L948" s="303"/>
      <c r="M948" s="138"/>
      <c r="N948" s="142"/>
      <c r="O948" s="303"/>
      <c r="P948" s="138"/>
      <c r="Q948" s="142"/>
      <c r="R948" s="303"/>
      <c r="S948" s="138"/>
      <c r="T948" s="142"/>
      <c r="U948" s="303"/>
      <c r="V948" s="138"/>
      <c r="W948" s="142"/>
      <c r="X948" s="303"/>
      <c r="Y948" s="30"/>
      <c r="Z948" s="30"/>
      <c r="AA948" s="30"/>
      <c r="AB948" s="30"/>
      <c r="AC948" s="30"/>
      <c r="AD948" s="30"/>
      <c r="AE948" s="30"/>
      <c r="AF948" s="30"/>
      <c r="AG948" s="30"/>
      <c r="AH948" s="30"/>
      <c r="AI948" s="30"/>
      <c r="AJ948" s="30"/>
      <c r="AK948" s="30"/>
      <c r="AL948" s="30"/>
      <c r="AM948" s="30"/>
      <c r="AN948" s="30"/>
    </row>
    <row r="949">
      <c r="A949" s="138"/>
      <c r="B949" s="142"/>
      <c r="C949" s="303"/>
      <c r="D949" s="138"/>
      <c r="E949" s="142"/>
      <c r="F949" s="303"/>
      <c r="G949" s="138"/>
      <c r="H949" s="142"/>
      <c r="I949" s="303"/>
      <c r="J949" s="138"/>
      <c r="K949" s="142"/>
      <c r="L949" s="303"/>
      <c r="M949" s="138"/>
      <c r="N949" s="142"/>
      <c r="O949" s="303"/>
      <c r="P949" s="138"/>
      <c r="Q949" s="142"/>
      <c r="R949" s="303"/>
      <c r="S949" s="138"/>
      <c r="T949" s="142"/>
      <c r="U949" s="303"/>
      <c r="V949" s="138"/>
      <c r="W949" s="142"/>
      <c r="X949" s="303"/>
      <c r="Y949" s="30"/>
      <c r="Z949" s="30"/>
      <c r="AA949" s="30"/>
      <c r="AB949" s="30"/>
      <c r="AC949" s="30"/>
      <c r="AD949" s="30"/>
      <c r="AE949" s="30"/>
      <c r="AF949" s="30"/>
      <c r="AG949" s="30"/>
      <c r="AH949" s="30"/>
      <c r="AI949" s="30"/>
      <c r="AJ949" s="30"/>
      <c r="AK949" s="30"/>
      <c r="AL949" s="30"/>
      <c r="AM949" s="30"/>
      <c r="AN949" s="30"/>
    </row>
    <row r="950">
      <c r="A950" s="138"/>
      <c r="B950" s="142"/>
      <c r="C950" s="303"/>
      <c r="D950" s="138"/>
      <c r="E950" s="142"/>
      <c r="F950" s="303"/>
      <c r="G950" s="138"/>
      <c r="H950" s="142"/>
      <c r="I950" s="303"/>
      <c r="J950" s="138"/>
      <c r="K950" s="142"/>
      <c r="L950" s="303"/>
      <c r="M950" s="138"/>
      <c r="N950" s="142"/>
      <c r="O950" s="303"/>
      <c r="P950" s="138"/>
      <c r="Q950" s="142"/>
      <c r="R950" s="303"/>
      <c r="S950" s="138"/>
      <c r="T950" s="142"/>
      <c r="U950" s="303"/>
      <c r="V950" s="138"/>
      <c r="W950" s="142"/>
      <c r="X950" s="303"/>
      <c r="Y950" s="30"/>
      <c r="Z950" s="30"/>
      <c r="AA950" s="30"/>
      <c r="AB950" s="30"/>
      <c r="AC950" s="30"/>
      <c r="AD950" s="30"/>
      <c r="AE950" s="30"/>
      <c r="AF950" s="30"/>
      <c r="AG950" s="30"/>
      <c r="AH950" s="30"/>
      <c r="AI950" s="30"/>
      <c r="AJ950" s="30"/>
      <c r="AK950" s="30"/>
      <c r="AL950" s="30"/>
      <c r="AM950" s="30"/>
      <c r="AN950" s="30"/>
    </row>
    <row r="951">
      <c r="A951" s="138"/>
      <c r="B951" s="142"/>
      <c r="C951" s="303"/>
      <c r="D951" s="138"/>
      <c r="E951" s="142"/>
      <c r="F951" s="303"/>
      <c r="G951" s="138"/>
      <c r="H951" s="142"/>
      <c r="I951" s="303"/>
      <c r="J951" s="138"/>
      <c r="K951" s="142"/>
      <c r="L951" s="303"/>
      <c r="M951" s="138"/>
      <c r="N951" s="142"/>
      <c r="O951" s="303"/>
      <c r="P951" s="138"/>
      <c r="Q951" s="142"/>
      <c r="R951" s="303"/>
      <c r="S951" s="138"/>
      <c r="T951" s="142"/>
      <c r="U951" s="303"/>
      <c r="V951" s="138"/>
      <c r="W951" s="142"/>
      <c r="X951" s="303"/>
      <c r="Y951" s="30"/>
      <c r="Z951" s="30"/>
      <c r="AA951" s="30"/>
      <c r="AB951" s="30"/>
      <c r="AC951" s="30"/>
      <c r="AD951" s="30"/>
      <c r="AE951" s="30"/>
      <c r="AF951" s="30"/>
      <c r="AG951" s="30"/>
      <c r="AH951" s="30"/>
      <c r="AI951" s="30"/>
      <c r="AJ951" s="30"/>
      <c r="AK951" s="30"/>
      <c r="AL951" s="30"/>
      <c r="AM951" s="30"/>
      <c r="AN951" s="30"/>
    </row>
    <row r="952">
      <c r="A952" s="138"/>
      <c r="B952" s="142"/>
      <c r="C952" s="303"/>
      <c r="D952" s="138"/>
      <c r="E952" s="142"/>
      <c r="F952" s="303"/>
      <c r="G952" s="138"/>
      <c r="H952" s="142"/>
      <c r="I952" s="303"/>
      <c r="J952" s="138"/>
      <c r="K952" s="142"/>
      <c r="L952" s="303"/>
      <c r="M952" s="138"/>
      <c r="N952" s="142"/>
      <c r="O952" s="303"/>
      <c r="P952" s="138"/>
      <c r="Q952" s="142"/>
      <c r="R952" s="303"/>
      <c r="S952" s="138"/>
      <c r="T952" s="142"/>
      <c r="U952" s="303"/>
      <c r="V952" s="138"/>
      <c r="W952" s="142"/>
      <c r="X952" s="303"/>
      <c r="Y952" s="30"/>
      <c r="Z952" s="30"/>
      <c r="AA952" s="30"/>
      <c r="AB952" s="30"/>
      <c r="AC952" s="30"/>
      <c r="AD952" s="30"/>
      <c r="AE952" s="30"/>
      <c r="AF952" s="30"/>
      <c r="AG952" s="30"/>
      <c r="AH952" s="30"/>
      <c r="AI952" s="30"/>
      <c r="AJ952" s="30"/>
      <c r="AK952" s="30"/>
      <c r="AL952" s="30"/>
      <c r="AM952" s="30"/>
      <c r="AN952" s="30"/>
    </row>
    <row r="953">
      <c r="A953" s="138"/>
      <c r="B953" s="142"/>
      <c r="C953" s="303"/>
      <c r="D953" s="138"/>
      <c r="E953" s="142"/>
      <c r="F953" s="303"/>
      <c r="G953" s="138"/>
      <c r="H953" s="142"/>
      <c r="I953" s="303"/>
      <c r="J953" s="138"/>
      <c r="K953" s="142"/>
      <c r="L953" s="303"/>
      <c r="M953" s="138"/>
      <c r="N953" s="142"/>
      <c r="O953" s="303"/>
      <c r="P953" s="138"/>
      <c r="Q953" s="142"/>
      <c r="R953" s="303"/>
      <c r="S953" s="138"/>
      <c r="T953" s="142"/>
      <c r="U953" s="303"/>
      <c r="V953" s="138"/>
      <c r="W953" s="142"/>
      <c r="X953" s="303"/>
      <c r="Y953" s="30"/>
      <c r="Z953" s="30"/>
      <c r="AA953" s="30"/>
      <c r="AB953" s="30"/>
      <c r="AC953" s="30"/>
      <c r="AD953" s="30"/>
      <c r="AE953" s="30"/>
      <c r="AF953" s="30"/>
      <c r="AG953" s="30"/>
      <c r="AH953" s="30"/>
      <c r="AI953" s="30"/>
      <c r="AJ953" s="30"/>
      <c r="AK953" s="30"/>
      <c r="AL953" s="30"/>
      <c r="AM953" s="30"/>
      <c r="AN953" s="30"/>
    </row>
    <row r="954">
      <c r="A954" s="138"/>
      <c r="B954" s="142"/>
      <c r="C954" s="303"/>
      <c r="D954" s="138"/>
      <c r="E954" s="142"/>
      <c r="F954" s="303"/>
      <c r="G954" s="138"/>
      <c r="H954" s="142"/>
      <c r="I954" s="303"/>
      <c r="J954" s="138"/>
      <c r="K954" s="142"/>
      <c r="L954" s="303"/>
      <c r="M954" s="138"/>
      <c r="N954" s="142"/>
      <c r="O954" s="303"/>
      <c r="P954" s="138"/>
      <c r="Q954" s="142"/>
      <c r="R954" s="303"/>
      <c r="S954" s="138"/>
      <c r="T954" s="142"/>
      <c r="U954" s="303"/>
      <c r="V954" s="138"/>
      <c r="W954" s="142"/>
      <c r="X954" s="303"/>
      <c r="Y954" s="30"/>
      <c r="Z954" s="30"/>
      <c r="AA954" s="30"/>
      <c r="AB954" s="30"/>
      <c r="AC954" s="30"/>
      <c r="AD954" s="30"/>
      <c r="AE954" s="30"/>
      <c r="AF954" s="30"/>
      <c r="AG954" s="30"/>
      <c r="AH954" s="30"/>
      <c r="AI954" s="30"/>
      <c r="AJ954" s="30"/>
      <c r="AK954" s="30"/>
      <c r="AL954" s="30"/>
      <c r="AM954" s="30"/>
      <c r="AN954" s="30"/>
    </row>
    <row r="955">
      <c r="A955" s="138"/>
      <c r="B955" s="142"/>
      <c r="C955" s="303"/>
      <c r="D955" s="138"/>
      <c r="E955" s="142"/>
      <c r="F955" s="303"/>
      <c r="G955" s="138"/>
      <c r="H955" s="142"/>
      <c r="I955" s="303"/>
      <c r="J955" s="138"/>
      <c r="K955" s="142"/>
      <c r="L955" s="303"/>
      <c r="M955" s="138"/>
      <c r="N955" s="142"/>
      <c r="O955" s="303"/>
      <c r="P955" s="138"/>
      <c r="Q955" s="142"/>
      <c r="R955" s="303"/>
      <c r="S955" s="138"/>
      <c r="T955" s="142"/>
      <c r="U955" s="303"/>
      <c r="V955" s="138"/>
      <c r="W955" s="142"/>
      <c r="X955" s="303"/>
      <c r="Y955" s="30"/>
      <c r="Z955" s="30"/>
      <c r="AA955" s="30"/>
      <c r="AB955" s="30"/>
      <c r="AC955" s="30"/>
      <c r="AD955" s="30"/>
      <c r="AE955" s="30"/>
      <c r="AF955" s="30"/>
      <c r="AG955" s="30"/>
      <c r="AH955" s="30"/>
      <c r="AI955" s="30"/>
      <c r="AJ955" s="30"/>
      <c r="AK955" s="30"/>
      <c r="AL955" s="30"/>
      <c r="AM955" s="30"/>
      <c r="AN955" s="30"/>
    </row>
    <row r="956">
      <c r="A956" s="138"/>
      <c r="B956" s="142"/>
      <c r="C956" s="303"/>
      <c r="D956" s="138"/>
      <c r="E956" s="142"/>
      <c r="F956" s="303"/>
      <c r="G956" s="138"/>
      <c r="H956" s="142"/>
      <c r="I956" s="303"/>
      <c r="J956" s="138"/>
      <c r="K956" s="142"/>
      <c r="L956" s="303"/>
      <c r="M956" s="138"/>
      <c r="N956" s="142"/>
      <c r="O956" s="303"/>
      <c r="P956" s="138"/>
      <c r="Q956" s="142"/>
      <c r="R956" s="303"/>
      <c r="S956" s="138"/>
      <c r="T956" s="142"/>
      <c r="U956" s="303"/>
      <c r="V956" s="138"/>
      <c r="W956" s="142"/>
      <c r="X956" s="303"/>
      <c r="Y956" s="30"/>
      <c r="Z956" s="30"/>
      <c r="AA956" s="30"/>
      <c r="AB956" s="30"/>
      <c r="AC956" s="30"/>
      <c r="AD956" s="30"/>
      <c r="AE956" s="30"/>
      <c r="AF956" s="30"/>
      <c r="AG956" s="30"/>
      <c r="AH956" s="30"/>
      <c r="AI956" s="30"/>
      <c r="AJ956" s="30"/>
      <c r="AK956" s="30"/>
      <c r="AL956" s="30"/>
      <c r="AM956" s="30"/>
      <c r="AN956" s="30"/>
    </row>
    <row r="957">
      <c r="A957" s="138"/>
      <c r="B957" s="142"/>
      <c r="C957" s="303"/>
      <c r="D957" s="138"/>
      <c r="E957" s="142"/>
      <c r="F957" s="303"/>
      <c r="G957" s="138"/>
      <c r="H957" s="142"/>
      <c r="I957" s="303"/>
      <c r="J957" s="138"/>
      <c r="K957" s="142"/>
      <c r="L957" s="303"/>
      <c r="M957" s="138"/>
      <c r="N957" s="142"/>
      <c r="O957" s="303"/>
      <c r="P957" s="138"/>
      <c r="Q957" s="142"/>
      <c r="R957" s="303"/>
      <c r="S957" s="138"/>
      <c r="T957" s="142"/>
      <c r="U957" s="303"/>
      <c r="V957" s="138"/>
      <c r="W957" s="142"/>
      <c r="X957" s="303"/>
      <c r="Y957" s="30"/>
      <c r="Z957" s="30"/>
      <c r="AA957" s="30"/>
      <c r="AB957" s="30"/>
      <c r="AC957" s="30"/>
      <c r="AD957" s="30"/>
      <c r="AE957" s="30"/>
      <c r="AF957" s="30"/>
      <c r="AG957" s="30"/>
      <c r="AH957" s="30"/>
      <c r="AI957" s="30"/>
      <c r="AJ957" s="30"/>
      <c r="AK957" s="30"/>
      <c r="AL957" s="30"/>
      <c r="AM957" s="30"/>
      <c r="AN957" s="30"/>
    </row>
    <row r="958">
      <c r="A958" s="138"/>
      <c r="B958" s="142"/>
      <c r="C958" s="303"/>
      <c r="D958" s="138"/>
      <c r="E958" s="142"/>
      <c r="F958" s="303"/>
      <c r="G958" s="138"/>
      <c r="H958" s="142"/>
      <c r="I958" s="303"/>
      <c r="J958" s="138"/>
      <c r="K958" s="142"/>
      <c r="L958" s="303"/>
      <c r="M958" s="138"/>
      <c r="N958" s="142"/>
      <c r="O958" s="303"/>
      <c r="P958" s="138"/>
      <c r="Q958" s="142"/>
      <c r="R958" s="303"/>
      <c r="S958" s="138"/>
      <c r="T958" s="142"/>
      <c r="U958" s="303"/>
      <c r="V958" s="138"/>
      <c r="W958" s="142"/>
      <c r="X958" s="303"/>
      <c r="Y958" s="30"/>
      <c r="Z958" s="30"/>
      <c r="AA958" s="30"/>
      <c r="AB958" s="30"/>
      <c r="AC958" s="30"/>
      <c r="AD958" s="30"/>
      <c r="AE958" s="30"/>
      <c r="AF958" s="30"/>
      <c r="AG958" s="30"/>
      <c r="AH958" s="30"/>
      <c r="AI958" s="30"/>
      <c r="AJ958" s="30"/>
      <c r="AK958" s="30"/>
      <c r="AL958" s="30"/>
      <c r="AM958" s="30"/>
      <c r="AN958" s="30"/>
    </row>
    <row r="959">
      <c r="A959" s="138"/>
      <c r="B959" s="142"/>
      <c r="C959" s="303"/>
      <c r="D959" s="138"/>
      <c r="E959" s="142"/>
      <c r="F959" s="303"/>
      <c r="G959" s="138"/>
      <c r="H959" s="142"/>
      <c r="I959" s="303"/>
      <c r="J959" s="138"/>
      <c r="K959" s="142"/>
      <c r="L959" s="303"/>
      <c r="M959" s="138"/>
      <c r="N959" s="142"/>
      <c r="O959" s="303"/>
      <c r="P959" s="138"/>
      <c r="Q959" s="142"/>
      <c r="R959" s="303"/>
      <c r="S959" s="138"/>
      <c r="T959" s="142"/>
      <c r="U959" s="303"/>
      <c r="V959" s="138"/>
      <c r="W959" s="142"/>
      <c r="X959" s="303"/>
      <c r="Y959" s="30"/>
      <c r="Z959" s="30"/>
      <c r="AA959" s="30"/>
      <c r="AB959" s="30"/>
      <c r="AC959" s="30"/>
      <c r="AD959" s="30"/>
      <c r="AE959" s="30"/>
      <c r="AF959" s="30"/>
      <c r="AG959" s="30"/>
      <c r="AH959" s="30"/>
      <c r="AI959" s="30"/>
      <c r="AJ959" s="30"/>
      <c r="AK959" s="30"/>
      <c r="AL959" s="30"/>
      <c r="AM959" s="30"/>
      <c r="AN959" s="30"/>
    </row>
    <row r="960">
      <c r="A960" s="138"/>
      <c r="B960" s="142"/>
      <c r="C960" s="303"/>
      <c r="D960" s="138"/>
      <c r="E960" s="142"/>
      <c r="F960" s="303"/>
      <c r="G960" s="138"/>
      <c r="H960" s="142"/>
      <c r="I960" s="303"/>
      <c r="J960" s="138"/>
      <c r="K960" s="142"/>
      <c r="L960" s="303"/>
      <c r="M960" s="138"/>
      <c r="N960" s="142"/>
      <c r="O960" s="303"/>
      <c r="P960" s="138"/>
      <c r="Q960" s="142"/>
      <c r="R960" s="303"/>
      <c r="S960" s="138"/>
      <c r="T960" s="142"/>
      <c r="U960" s="303"/>
      <c r="V960" s="138"/>
      <c r="W960" s="142"/>
      <c r="X960" s="303"/>
      <c r="Y960" s="30"/>
      <c r="Z960" s="30"/>
      <c r="AA960" s="30"/>
      <c r="AB960" s="30"/>
      <c r="AC960" s="30"/>
      <c r="AD960" s="30"/>
      <c r="AE960" s="30"/>
      <c r="AF960" s="30"/>
      <c r="AG960" s="30"/>
      <c r="AH960" s="30"/>
      <c r="AI960" s="30"/>
      <c r="AJ960" s="30"/>
      <c r="AK960" s="30"/>
      <c r="AL960" s="30"/>
      <c r="AM960" s="30"/>
      <c r="AN960" s="30"/>
    </row>
    <row r="961">
      <c r="A961" s="138"/>
      <c r="B961" s="142"/>
      <c r="C961" s="303"/>
      <c r="D961" s="138"/>
      <c r="E961" s="142"/>
      <c r="F961" s="303"/>
      <c r="G961" s="138"/>
      <c r="H961" s="142"/>
      <c r="I961" s="303"/>
      <c r="J961" s="138"/>
      <c r="K961" s="142"/>
      <c r="L961" s="303"/>
      <c r="M961" s="138"/>
      <c r="N961" s="142"/>
      <c r="O961" s="303"/>
      <c r="P961" s="138"/>
      <c r="Q961" s="142"/>
      <c r="R961" s="303"/>
      <c r="S961" s="138"/>
      <c r="T961" s="142"/>
      <c r="U961" s="303"/>
      <c r="V961" s="138"/>
      <c r="W961" s="142"/>
      <c r="X961" s="303"/>
      <c r="Y961" s="30"/>
      <c r="Z961" s="30"/>
      <c r="AA961" s="30"/>
      <c r="AB961" s="30"/>
      <c r="AC961" s="30"/>
      <c r="AD961" s="30"/>
      <c r="AE961" s="30"/>
      <c r="AF961" s="30"/>
      <c r="AG961" s="30"/>
      <c r="AH961" s="30"/>
      <c r="AI961" s="30"/>
      <c r="AJ961" s="30"/>
      <c r="AK961" s="30"/>
      <c r="AL961" s="30"/>
      <c r="AM961" s="30"/>
      <c r="AN961" s="30"/>
    </row>
    <row r="962">
      <c r="A962" s="138"/>
      <c r="B962" s="142"/>
      <c r="C962" s="303"/>
      <c r="D962" s="138"/>
      <c r="E962" s="142"/>
      <c r="F962" s="303"/>
      <c r="G962" s="138"/>
      <c r="H962" s="142"/>
      <c r="I962" s="303"/>
      <c r="J962" s="138"/>
      <c r="K962" s="142"/>
      <c r="L962" s="303"/>
      <c r="M962" s="138"/>
      <c r="N962" s="142"/>
      <c r="O962" s="303"/>
      <c r="P962" s="138"/>
      <c r="Q962" s="142"/>
      <c r="R962" s="303"/>
      <c r="S962" s="138"/>
      <c r="T962" s="142"/>
      <c r="U962" s="303"/>
      <c r="V962" s="138"/>
      <c r="W962" s="142"/>
      <c r="X962" s="303"/>
      <c r="Y962" s="30"/>
      <c r="Z962" s="30"/>
      <c r="AA962" s="30"/>
      <c r="AB962" s="30"/>
      <c r="AC962" s="30"/>
      <c r="AD962" s="30"/>
      <c r="AE962" s="30"/>
      <c r="AF962" s="30"/>
      <c r="AG962" s="30"/>
      <c r="AH962" s="30"/>
      <c r="AI962" s="30"/>
      <c r="AJ962" s="30"/>
      <c r="AK962" s="30"/>
      <c r="AL962" s="30"/>
      <c r="AM962" s="30"/>
      <c r="AN962" s="30"/>
    </row>
    <row r="963">
      <c r="A963" s="138"/>
      <c r="B963" s="142"/>
      <c r="C963" s="303"/>
      <c r="D963" s="138"/>
      <c r="E963" s="142"/>
      <c r="F963" s="303"/>
      <c r="G963" s="138"/>
      <c r="H963" s="142"/>
      <c r="I963" s="303"/>
      <c r="J963" s="138"/>
      <c r="K963" s="142"/>
      <c r="L963" s="303"/>
      <c r="M963" s="138"/>
      <c r="N963" s="142"/>
      <c r="O963" s="303"/>
      <c r="P963" s="138"/>
      <c r="Q963" s="142"/>
      <c r="R963" s="303"/>
      <c r="S963" s="138"/>
      <c r="T963" s="142"/>
      <c r="U963" s="303"/>
      <c r="V963" s="138"/>
      <c r="W963" s="142"/>
      <c r="X963" s="303"/>
      <c r="Y963" s="30"/>
      <c r="Z963" s="30"/>
      <c r="AA963" s="30"/>
      <c r="AB963" s="30"/>
      <c r="AC963" s="30"/>
      <c r="AD963" s="30"/>
      <c r="AE963" s="30"/>
      <c r="AF963" s="30"/>
      <c r="AG963" s="30"/>
      <c r="AH963" s="30"/>
      <c r="AI963" s="30"/>
      <c r="AJ963" s="30"/>
      <c r="AK963" s="30"/>
      <c r="AL963" s="30"/>
      <c r="AM963" s="30"/>
      <c r="AN963" s="30"/>
    </row>
    <row r="964">
      <c r="A964" s="138"/>
      <c r="B964" s="142"/>
      <c r="C964" s="303"/>
      <c r="D964" s="138"/>
      <c r="E964" s="142"/>
      <c r="F964" s="303"/>
      <c r="G964" s="138"/>
      <c r="H964" s="142"/>
      <c r="I964" s="303"/>
      <c r="J964" s="138"/>
      <c r="K964" s="142"/>
      <c r="L964" s="303"/>
      <c r="M964" s="138"/>
      <c r="N964" s="142"/>
      <c r="O964" s="303"/>
      <c r="P964" s="138"/>
      <c r="Q964" s="142"/>
      <c r="R964" s="303"/>
      <c r="S964" s="138"/>
      <c r="T964" s="142"/>
      <c r="U964" s="303"/>
      <c r="V964" s="138"/>
      <c r="W964" s="142"/>
      <c r="X964" s="303"/>
      <c r="Y964" s="30"/>
      <c r="Z964" s="30"/>
      <c r="AA964" s="30"/>
      <c r="AB964" s="30"/>
      <c r="AC964" s="30"/>
      <c r="AD964" s="30"/>
      <c r="AE964" s="30"/>
      <c r="AF964" s="30"/>
      <c r="AG964" s="30"/>
      <c r="AH964" s="30"/>
      <c r="AI964" s="30"/>
      <c r="AJ964" s="30"/>
      <c r="AK964" s="30"/>
      <c r="AL964" s="30"/>
      <c r="AM964" s="30"/>
      <c r="AN964" s="30"/>
    </row>
    <row r="965">
      <c r="A965" s="138"/>
      <c r="B965" s="142"/>
      <c r="C965" s="303"/>
      <c r="D965" s="138"/>
      <c r="E965" s="142"/>
      <c r="F965" s="303"/>
      <c r="G965" s="138"/>
      <c r="H965" s="142"/>
      <c r="I965" s="303"/>
      <c r="J965" s="138"/>
      <c r="K965" s="142"/>
      <c r="L965" s="303"/>
      <c r="M965" s="138"/>
      <c r="N965" s="142"/>
      <c r="O965" s="303"/>
      <c r="P965" s="138"/>
      <c r="Q965" s="142"/>
      <c r="R965" s="303"/>
      <c r="S965" s="138"/>
      <c r="T965" s="142"/>
      <c r="U965" s="303"/>
      <c r="V965" s="138"/>
      <c r="W965" s="142"/>
      <c r="X965" s="303"/>
      <c r="Y965" s="30"/>
      <c r="Z965" s="30"/>
      <c r="AA965" s="30"/>
      <c r="AB965" s="30"/>
      <c r="AC965" s="30"/>
      <c r="AD965" s="30"/>
      <c r="AE965" s="30"/>
      <c r="AF965" s="30"/>
      <c r="AG965" s="30"/>
      <c r="AH965" s="30"/>
      <c r="AI965" s="30"/>
      <c r="AJ965" s="30"/>
      <c r="AK965" s="30"/>
      <c r="AL965" s="30"/>
      <c r="AM965" s="30"/>
      <c r="AN965" s="30"/>
    </row>
    <row r="966">
      <c r="A966" s="138"/>
      <c r="B966" s="142"/>
      <c r="C966" s="303"/>
      <c r="D966" s="138"/>
      <c r="E966" s="142"/>
      <c r="F966" s="303"/>
      <c r="G966" s="138"/>
      <c r="H966" s="142"/>
      <c r="I966" s="303"/>
      <c r="J966" s="138"/>
      <c r="K966" s="142"/>
      <c r="L966" s="303"/>
      <c r="M966" s="138"/>
      <c r="N966" s="142"/>
      <c r="O966" s="303"/>
      <c r="P966" s="138"/>
      <c r="Q966" s="142"/>
      <c r="R966" s="303"/>
      <c r="S966" s="138"/>
      <c r="T966" s="142"/>
      <c r="U966" s="303"/>
      <c r="V966" s="138"/>
      <c r="W966" s="142"/>
      <c r="X966" s="303"/>
      <c r="Y966" s="30"/>
      <c r="Z966" s="30"/>
      <c r="AA966" s="30"/>
      <c r="AB966" s="30"/>
      <c r="AC966" s="30"/>
      <c r="AD966" s="30"/>
      <c r="AE966" s="30"/>
      <c r="AF966" s="30"/>
      <c r="AG966" s="30"/>
      <c r="AH966" s="30"/>
      <c r="AI966" s="30"/>
      <c r="AJ966" s="30"/>
      <c r="AK966" s="30"/>
      <c r="AL966" s="30"/>
      <c r="AM966" s="30"/>
      <c r="AN966" s="30"/>
    </row>
    <row r="967">
      <c r="A967" s="138"/>
      <c r="B967" s="142"/>
      <c r="C967" s="303"/>
      <c r="D967" s="138"/>
      <c r="E967" s="142"/>
      <c r="F967" s="303"/>
      <c r="G967" s="138"/>
      <c r="H967" s="142"/>
      <c r="I967" s="303"/>
      <c r="J967" s="138"/>
      <c r="K967" s="142"/>
      <c r="L967" s="303"/>
      <c r="M967" s="138"/>
      <c r="N967" s="142"/>
      <c r="O967" s="303"/>
      <c r="P967" s="138"/>
      <c r="Q967" s="142"/>
      <c r="R967" s="303"/>
      <c r="S967" s="138"/>
      <c r="T967" s="142"/>
      <c r="U967" s="303"/>
      <c r="V967" s="138"/>
      <c r="W967" s="142"/>
      <c r="X967" s="303"/>
      <c r="Y967" s="30"/>
      <c r="Z967" s="30"/>
      <c r="AA967" s="30"/>
      <c r="AB967" s="30"/>
      <c r="AC967" s="30"/>
      <c r="AD967" s="30"/>
      <c r="AE967" s="30"/>
      <c r="AF967" s="30"/>
      <c r="AG967" s="30"/>
      <c r="AH967" s="30"/>
      <c r="AI967" s="30"/>
      <c r="AJ967" s="30"/>
      <c r="AK967" s="30"/>
      <c r="AL967" s="30"/>
      <c r="AM967" s="30"/>
      <c r="AN967" s="30"/>
    </row>
    <row r="968">
      <c r="A968" s="138"/>
      <c r="B968" s="142"/>
      <c r="C968" s="303"/>
      <c r="D968" s="138"/>
      <c r="E968" s="142"/>
      <c r="F968" s="303"/>
      <c r="G968" s="138"/>
      <c r="H968" s="142"/>
      <c r="I968" s="303"/>
      <c r="J968" s="138"/>
      <c r="K968" s="142"/>
      <c r="L968" s="303"/>
      <c r="M968" s="138"/>
      <c r="N968" s="142"/>
      <c r="O968" s="303"/>
      <c r="P968" s="138"/>
      <c r="Q968" s="142"/>
      <c r="R968" s="303"/>
      <c r="S968" s="138"/>
      <c r="T968" s="142"/>
      <c r="U968" s="303"/>
      <c r="V968" s="138"/>
      <c r="W968" s="142"/>
      <c r="X968" s="303"/>
      <c r="Y968" s="30"/>
      <c r="Z968" s="30"/>
      <c r="AA968" s="30"/>
      <c r="AB968" s="30"/>
      <c r="AC968" s="30"/>
      <c r="AD968" s="30"/>
      <c r="AE968" s="30"/>
      <c r="AF968" s="30"/>
      <c r="AG968" s="30"/>
      <c r="AH968" s="30"/>
      <c r="AI968" s="30"/>
      <c r="AJ968" s="30"/>
      <c r="AK968" s="30"/>
      <c r="AL968" s="30"/>
      <c r="AM968" s="30"/>
      <c r="AN968" s="30"/>
    </row>
    <row r="969">
      <c r="A969" s="138"/>
      <c r="B969" s="142"/>
      <c r="C969" s="303"/>
      <c r="D969" s="138"/>
      <c r="E969" s="142"/>
      <c r="F969" s="303"/>
      <c r="G969" s="138"/>
      <c r="H969" s="142"/>
      <c r="I969" s="303"/>
      <c r="J969" s="138"/>
      <c r="K969" s="142"/>
      <c r="L969" s="303"/>
      <c r="M969" s="138"/>
      <c r="N969" s="142"/>
      <c r="O969" s="303"/>
      <c r="P969" s="138"/>
      <c r="Q969" s="142"/>
      <c r="R969" s="303"/>
      <c r="S969" s="138"/>
      <c r="T969" s="142"/>
      <c r="U969" s="303"/>
      <c r="V969" s="138"/>
      <c r="W969" s="142"/>
      <c r="X969" s="303"/>
      <c r="Y969" s="30"/>
      <c r="Z969" s="30"/>
      <c r="AA969" s="30"/>
      <c r="AB969" s="30"/>
      <c r="AC969" s="30"/>
      <c r="AD969" s="30"/>
      <c r="AE969" s="30"/>
      <c r="AF969" s="30"/>
      <c r="AG969" s="30"/>
      <c r="AH969" s="30"/>
      <c r="AI969" s="30"/>
      <c r="AJ969" s="30"/>
      <c r="AK969" s="30"/>
      <c r="AL969" s="30"/>
      <c r="AM969" s="30"/>
      <c r="AN969" s="30"/>
    </row>
    <row r="970">
      <c r="A970" s="138"/>
      <c r="B970" s="142"/>
      <c r="C970" s="303"/>
      <c r="D970" s="138"/>
      <c r="E970" s="142"/>
      <c r="F970" s="303"/>
      <c r="G970" s="138"/>
      <c r="H970" s="142"/>
      <c r="I970" s="303"/>
      <c r="J970" s="138"/>
      <c r="K970" s="142"/>
      <c r="L970" s="303"/>
      <c r="M970" s="138"/>
      <c r="N970" s="142"/>
      <c r="O970" s="303"/>
      <c r="P970" s="138"/>
      <c r="Q970" s="142"/>
      <c r="R970" s="303"/>
      <c r="S970" s="138"/>
      <c r="T970" s="142"/>
      <c r="U970" s="303"/>
      <c r="V970" s="138"/>
      <c r="W970" s="142"/>
      <c r="X970" s="303"/>
      <c r="Y970" s="30"/>
      <c r="Z970" s="30"/>
      <c r="AA970" s="30"/>
      <c r="AB970" s="30"/>
      <c r="AC970" s="30"/>
      <c r="AD970" s="30"/>
      <c r="AE970" s="30"/>
      <c r="AF970" s="30"/>
      <c r="AG970" s="30"/>
      <c r="AH970" s="30"/>
      <c r="AI970" s="30"/>
      <c r="AJ970" s="30"/>
      <c r="AK970" s="30"/>
      <c r="AL970" s="30"/>
      <c r="AM970" s="30"/>
      <c r="AN970" s="30"/>
    </row>
    <row r="971">
      <c r="A971" s="138"/>
      <c r="B971" s="142"/>
      <c r="C971" s="303"/>
      <c r="D971" s="138"/>
      <c r="E971" s="142"/>
      <c r="F971" s="303"/>
      <c r="G971" s="138"/>
      <c r="H971" s="142"/>
      <c r="I971" s="303"/>
      <c r="J971" s="138"/>
      <c r="K971" s="142"/>
      <c r="L971" s="303"/>
      <c r="M971" s="138"/>
      <c r="N971" s="142"/>
      <c r="O971" s="303"/>
      <c r="P971" s="138"/>
      <c r="Q971" s="142"/>
      <c r="R971" s="303"/>
      <c r="S971" s="138"/>
      <c r="T971" s="142"/>
      <c r="U971" s="303"/>
      <c r="V971" s="138"/>
      <c r="W971" s="142"/>
      <c r="X971" s="303"/>
      <c r="Y971" s="30"/>
      <c r="Z971" s="30"/>
      <c r="AA971" s="30"/>
      <c r="AB971" s="30"/>
      <c r="AC971" s="30"/>
      <c r="AD971" s="30"/>
      <c r="AE971" s="30"/>
      <c r="AF971" s="30"/>
      <c r="AG971" s="30"/>
      <c r="AH971" s="30"/>
      <c r="AI971" s="30"/>
      <c r="AJ971" s="30"/>
      <c r="AK971" s="30"/>
      <c r="AL971" s="30"/>
      <c r="AM971" s="30"/>
      <c r="AN971" s="30"/>
    </row>
    <row r="972">
      <c r="A972" s="138"/>
      <c r="B972" s="142"/>
      <c r="C972" s="303"/>
      <c r="D972" s="138"/>
      <c r="E972" s="142"/>
      <c r="F972" s="303"/>
      <c r="G972" s="138"/>
      <c r="H972" s="142"/>
      <c r="I972" s="303"/>
      <c r="J972" s="138"/>
      <c r="K972" s="142"/>
      <c r="L972" s="303"/>
      <c r="M972" s="138"/>
      <c r="N972" s="142"/>
      <c r="O972" s="303"/>
      <c r="P972" s="138"/>
      <c r="Q972" s="142"/>
      <c r="R972" s="303"/>
      <c r="S972" s="138"/>
      <c r="T972" s="142"/>
      <c r="U972" s="303"/>
      <c r="V972" s="138"/>
      <c r="W972" s="142"/>
      <c r="X972" s="303"/>
      <c r="Y972" s="30"/>
      <c r="Z972" s="30"/>
      <c r="AA972" s="30"/>
      <c r="AB972" s="30"/>
      <c r="AC972" s="30"/>
      <c r="AD972" s="30"/>
      <c r="AE972" s="30"/>
      <c r="AF972" s="30"/>
      <c r="AG972" s="30"/>
      <c r="AH972" s="30"/>
      <c r="AI972" s="30"/>
      <c r="AJ972" s="30"/>
      <c r="AK972" s="30"/>
      <c r="AL972" s="30"/>
      <c r="AM972" s="30"/>
      <c r="AN972" s="30"/>
    </row>
    <row r="973">
      <c r="A973" s="138"/>
      <c r="B973" s="142"/>
      <c r="C973" s="303"/>
      <c r="D973" s="138"/>
      <c r="E973" s="142"/>
      <c r="F973" s="303"/>
      <c r="G973" s="138"/>
      <c r="H973" s="142"/>
      <c r="I973" s="303"/>
      <c r="J973" s="138"/>
      <c r="K973" s="142"/>
      <c r="L973" s="303"/>
      <c r="M973" s="138"/>
      <c r="N973" s="142"/>
      <c r="O973" s="303"/>
      <c r="P973" s="138"/>
      <c r="Q973" s="142"/>
      <c r="R973" s="303"/>
      <c r="S973" s="138"/>
      <c r="T973" s="142"/>
      <c r="U973" s="303"/>
      <c r="V973" s="138"/>
      <c r="W973" s="142"/>
      <c r="X973" s="303"/>
      <c r="Y973" s="30"/>
      <c r="Z973" s="30"/>
      <c r="AA973" s="30"/>
      <c r="AB973" s="30"/>
      <c r="AC973" s="30"/>
      <c r="AD973" s="30"/>
      <c r="AE973" s="30"/>
      <c r="AF973" s="30"/>
      <c r="AG973" s="30"/>
      <c r="AH973" s="30"/>
      <c r="AI973" s="30"/>
      <c r="AJ973" s="30"/>
      <c r="AK973" s="30"/>
      <c r="AL973" s="30"/>
      <c r="AM973" s="30"/>
      <c r="AN973" s="30"/>
    </row>
    <row r="974">
      <c r="A974" s="138"/>
      <c r="B974" s="142"/>
      <c r="C974" s="303"/>
      <c r="D974" s="138"/>
      <c r="E974" s="142"/>
      <c r="F974" s="303"/>
      <c r="G974" s="138"/>
      <c r="H974" s="142"/>
      <c r="I974" s="303"/>
      <c r="J974" s="138"/>
      <c r="K974" s="142"/>
      <c r="L974" s="303"/>
      <c r="M974" s="138"/>
      <c r="N974" s="142"/>
      <c r="O974" s="303"/>
      <c r="P974" s="138"/>
      <c r="Q974" s="142"/>
      <c r="R974" s="303"/>
      <c r="S974" s="138"/>
      <c r="T974" s="142"/>
      <c r="U974" s="303"/>
      <c r="V974" s="138"/>
      <c r="W974" s="142"/>
      <c r="X974" s="303"/>
      <c r="Y974" s="30"/>
      <c r="Z974" s="30"/>
      <c r="AA974" s="30"/>
      <c r="AB974" s="30"/>
      <c r="AC974" s="30"/>
      <c r="AD974" s="30"/>
      <c r="AE974" s="30"/>
      <c r="AF974" s="30"/>
      <c r="AG974" s="30"/>
      <c r="AH974" s="30"/>
      <c r="AI974" s="30"/>
      <c r="AJ974" s="30"/>
      <c r="AK974" s="30"/>
      <c r="AL974" s="30"/>
      <c r="AM974" s="30"/>
      <c r="AN974" s="30"/>
    </row>
    <row r="975">
      <c r="A975" s="138"/>
      <c r="B975" s="142"/>
      <c r="C975" s="303"/>
      <c r="D975" s="138"/>
      <c r="E975" s="142"/>
      <c r="F975" s="303"/>
      <c r="G975" s="138"/>
      <c r="H975" s="142"/>
      <c r="I975" s="303"/>
      <c r="J975" s="138"/>
      <c r="K975" s="142"/>
      <c r="L975" s="303"/>
      <c r="M975" s="138"/>
      <c r="N975" s="142"/>
      <c r="O975" s="303"/>
      <c r="P975" s="138"/>
      <c r="Q975" s="142"/>
      <c r="R975" s="303"/>
      <c r="S975" s="138"/>
      <c r="T975" s="142"/>
      <c r="U975" s="303"/>
      <c r="V975" s="138"/>
      <c r="W975" s="142"/>
      <c r="X975" s="303"/>
      <c r="Y975" s="30"/>
      <c r="Z975" s="30"/>
      <c r="AA975" s="30"/>
      <c r="AB975" s="30"/>
      <c r="AC975" s="30"/>
      <c r="AD975" s="30"/>
      <c r="AE975" s="30"/>
      <c r="AF975" s="30"/>
      <c r="AG975" s="30"/>
      <c r="AH975" s="30"/>
      <c r="AI975" s="30"/>
      <c r="AJ975" s="30"/>
      <c r="AK975" s="30"/>
      <c r="AL975" s="30"/>
      <c r="AM975" s="30"/>
      <c r="AN975" s="30"/>
    </row>
    <row r="976">
      <c r="A976" s="138"/>
      <c r="B976" s="142"/>
      <c r="C976" s="303"/>
      <c r="D976" s="138"/>
      <c r="E976" s="142"/>
      <c r="F976" s="303"/>
      <c r="G976" s="138"/>
      <c r="H976" s="142"/>
      <c r="I976" s="303"/>
      <c r="J976" s="138"/>
      <c r="K976" s="142"/>
      <c r="L976" s="303"/>
      <c r="M976" s="138"/>
      <c r="N976" s="142"/>
      <c r="O976" s="303"/>
      <c r="P976" s="138"/>
      <c r="Q976" s="142"/>
      <c r="R976" s="303"/>
      <c r="S976" s="138"/>
      <c r="T976" s="142"/>
      <c r="U976" s="303"/>
      <c r="V976" s="138"/>
      <c r="W976" s="142"/>
      <c r="X976" s="303"/>
      <c r="Y976" s="30"/>
      <c r="Z976" s="30"/>
      <c r="AA976" s="30"/>
      <c r="AB976" s="30"/>
      <c r="AC976" s="30"/>
      <c r="AD976" s="30"/>
      <c r="AE976" s="30"/>
      <c r="AF976" s="30"/>
      <c r="AG976" s="30"/>
      <c r="AH976" s="30"/>
      <c r="AI976" s="30"/>
      <c r="AJ976" s="30"/>
      <c r="AK976" s="30"/>
      <c r="AL976" s="30"/>
      <c r="AM976" s="30"/>
      <c r="AN976" s="30"/>
    </row>
    <row r="977">
      <c r="A977" s="138"/>
      <c r="B977" s="142"/>
      <c r="C977" s="303"/>
      <c r="D977" s="138"/>
      <c r="E977" s="142"/>
      <c r="F977" s="303"/>
      <c r="G977" s="138"/>
      <c r="H977" s="142"/>
      <c r="I977" s="303"/>
      <c r="J977" s="138"/>
      <c r="K977" s="142"/>
      <c r="L977" s="303"/>
      <c r="M977" s="138"/>
      <c r="N977" s="142"/>
      <c r="O977" s="303"/>
      <c r="P977" s="138"/>
      <c r="Q977" s="142"/>
      <c r="R977" s="303"/>
      <c r="S977" s="138"/>
      <c r="T977" s="142"/>
      <c r="U977" s="303"/>
      <c r="V977" s="138"/>
      <c r="W977" s="142"/>
      <c r="X977" s="303"/>
      <c r="Y977" s="30"/>
      <c r="Z977" s="30"/>
      <c r="AA977" s="30"/>
      <c r="AB977" s="30"/>
      <c r="AC977" s="30"/>
      <c r="AD977" s="30"/>
      <c r="AE977" s="30"/>
      <c r="AF977" s="30"/>
      <c r="AG977" s="30"/>
      <c r="AH977" s="30"/>
      <c r="AI977" s="30"/>
      <c r="AJ977" s="30"/>
      <c r="AK977" s="30"/>
      <c r="AL977" s="30"/>
      <c r="AM977" s="30"/>
      <c r="AN977" s="30"/>
    </row>
    <row r="978">
      <c r="A978" s="138"/>
      <c r="B978" s="142"/>
      <c r="C978" s="303"/>
      <c r="D978" s="138"/>
      <c r="E978" s="142"/>
      <c r="F978" s="303"/>
      <c r="G978" s="138"/>
      <c r="H978" s="142"/>
      <c r="I978" s="303"/>
      <c r="J978" s="138"/>
      <c r="K978" s="142"/>
      <c r="L978" s="303"/>
      <c r="M978" s="138"/>
      <c r="N978" s="142"/>
      <c r="O978" s="303"/>
      <c r="P978" s="138"/>
      <c r="Q978" s="142"/>
      <c r="R978" s="303"/>
      <c r="S978" s="138"/>
      <c r="T978" s="142"/>
      <c r="U978" s="303"/>
      <c r="V978" s="138"/>
      <c r="W978" s="142"/>
      <c r="X978" s="303"/>
      <c r="Y978" s="30"/>
      <c r="Z978" s="30"/>
      <c r="AA978" s="30"/>
      <c r="AB978" s="30"/>
      <c r="AC978" s="30"/>
      <c r="AD978" s="30"/>
      <c r="AE978" s="30"/>
      <c r="AF978" s="30"/>
      <c r="AG978" s="30"/>
      <c r="AH978" s="30"/>
      <c r="AI978" s="30"/>
      <c r="AJ978" s="30"/>
      <c r="AK978" s="30"/>
      <c r="AL978" s="30"/>
      <c r="AM978" s="30"/>
      <c r="AN978" s="30"/>
    </row>
    <row r="979">
      <c r="A979" s="138"/>
      <c r="B979" s="142"/>
      <c r="C979" s="303"/>
      <c r="D979" s="138"/>
      <c r="E979" s="142"/>
      <c r="F979" s="303"/>
      <c r="G979" s="138"/>
      <c r="H979" s="142"/>
      <c r="I979" s="303"/>
      <c r="J979" s="138"/>
      <c r="K979" s="142"/>
      <c r="L979" s="303"/>
      <c r="M979" s="138"/>
      <c r="N979" s="142"/>
      <c r="O979" s="303"/>
      <c r="P979" s="138"/>
      <c r="Q979" s="142"/>
      <c r="R979" s="303"/>
      <c r="S979" s="138"/>
      <c r="T979" s="142"/>
      <c r="U979" s="303"/>
      <c r="V979" s="138"/>
      <c r="W979" s="142"/>
      <c r="X979" s="303"/>
      <c r="Y979" s="30"/>
      <c r="Z979" s="30"/>
      <c r="AA979" s="30"/>
      <c r="AB979" s="30"/>
      <c r="AC979" s="30"/>
      <c r="AD979" s="30"/>
      <c r="AE979" s="30"/>
      <c r="AF979" s="30"/>
      <c r="AG979" s="30"/>
      <c r="AH979" s="30"/>
      <c r="AI979" s="30"/>
      <c r="AJ979" s="30"/>
      <c r="AK979" s="30"/>
      <c r="AL979" s="30"/>
      <c r="AM979" s="30"/>
      <c r="AN979" s="30"/>
    </row>
    <row r="980">
      <c r="A980" s="138"/>
      <c r="B980" s="142"/>
      <c r="C980" s="303"/>
      <c r="D980" s="138"/>
      <c r="E980" s="142"/>
      <c r="F980" s="303"/>
      <c r="G980" s="138"/>
      <c r="H980" s="142"/>
      <c r="I980" s="303"/>
      <c r="J980" s="138"/>
      <c r="K980" s="142"/>
      <c r="L980" s="303"/>
      <c r="M980" s="138"/>
      <c r="N980" s="142"/>
      <c r="O980" s="303"/>
      <c r="P980" s="138"/>
      <c r="Q980" s="142"/>
      <c r="R980" s="303"/>
      <c r="S980" s="138"/>
      <c r="T980" s="142"/>
      <c r="U980" s="303"/>
      <c r="V980" s="138"/>
      <c r="W980" s="142"/>
      <c r="X980" s="303"/>
      <c r="Y980" s="30"/>
      <c r="Z980" s="30"/>
      <c r="AA980" s="30"/>
      <c r="AB980" s="30"/>
      <c r="AC980" s="30"/>
      <c r="AD980" s="30"/>
      <c r="AE980" s="30"/>
      <c r="AF980" s="30"/>
      <c r="AG980" s="30"/>
      <c r="AH980" s="30"/>
      <c r="AI980" s="30"/>
      <c r="AJ980" s="30"/>
      <c r="AK980" s="30"/>
      <c r="AL980" s="30"/>
      <c r="AM980" s="30"/>
      <c r="AN980" s="30"/>
    </row>
    <row r="981">
      <c r="A981" s="138"/>
      <c r="B981" s="142"/>
      <c r="C981" s="303"/>
      <c r="D981" s="138"/>
      <c r="E981" s="142"/>
      <c r="F981" s="303"/>
      <c r="G981" s="138"/>
      <c r="H981" s="142"/>
      <c r="I981" s="303"/>
      <c r="J981" s="138"/>
      <c r="K981" s="142"/>
      <c r="L981" s="303"/>
      <c r="M981" s="138"/>
      <c r="N981" s="142"/>
      <c r="O981" s="303"/>
      <c r="P981" s="138"/>
      <c r="Q981" s="142"/>
      <c r="R981" s="303"/>
      <c r="S981" s="138"/>
      <c r="T981" s="142"/>
      <c r="U981" s="303"/>
      <c r="V981" s="138"/>
      <c r="W981" s="142"/>
      <c r="X981" s="303"/>
      <c r="Y981" s="30"/>
      <c r="Z981" s="30"/>
      <c r="AA981" s="30"/>
      <c r="AB981" s="30"/>
      <c r="AC981" s="30"/>
      <c r="AD981" s="30"/>
      <c r="AE981" s="30"/>
      <c r="AF981" s="30"/>
      <c r="AG981" s="30"/>
      <c r="AH981" s="30"/>
      <c r="AI981" s="30"/>
      <c r="AJ981" s="30"/>
      <c r="AK981" s="30"/>
      <c r="AL981" s="30"/>
      <c r="AM981" s="30"/>
      <c r="AN981" s="30"/>
    </row>
    <row r="982">
      <c r="A982" s="138"/>
      <c r="B982" s="142"/>
      <c r="C982" s="303"/>
      <c r="D982" s="138"/>
      <c r="E982" s="142"/>
      <c r="F982" s="303"/>
      <c r="G982" s="138"/>
      <c r="H982" s="142"/>
      <c r="I982" s="303"/>
      <c r="J982" s="138"/>
      <c r="K982" s="142"/>
      <c r="L982" s="303"/>
      <c r="M982" s="138"/>
      <c r="N982" s="142"/>
      <c r="O982" s="303"/>
      <c r="P982" s="138"/>
      <c r="Q982" s="142"/>
      <c r="R982" s="303"/>
      <c r="S982" s="138"/>
      <c r="T982" s="142"/>
      <c r="U982" s="303"/>
      <c r="V982" s="138"/>
      <c r="W982" s="142"/>
      <c r="X982" s="303"/>
      <c r="Y982" s="30"/>
      <c r="Z982" s="30"/>
      <c r="AA982" s="30"/>
      <c r="AB982" s="30"/>
      <c r="AC982" s="30"/>
      <c r="AD982" s="30"/>
      <c r="AE982" s="30"/>
      <c r="AF982" s="30"/>
      <c r="AG982" s="30"/>
      <c r="AH982" s="30"/>
      <c r="AI982" s="30"/>
      <c r="AJ982" s="30"/>
      <c r="AK982" s="30"/>
      <c r="AL982" s="30"/>
      <c r="AM982" s="30"/>
      <c r="AN982" s="30"/>
    </row>
    <row r="983">
      <c r="A983" s="138"/>
      <c r="B983" s="142"/>
      <c r="C983" s="303"/>
      <c r="D983" s="138"/>
      <c r="E983" s="142"/>
      <c r="F983" s="303"/>
      <c r="G983" s="138"/>
      <c r="H983" s="142"/>
      <c r="I983" s="303"/>
      <c r="J983" s="138"/>
      <c r="K983" s="142"/>
      <c r="L983" s="303"/>
      <c r="M983" s="138"/>
      <c r="N983" s="142"/>
      <c r="O983" s="303"/>
      <c r="P983" s="138"/>
      <c r="Q983" s="142"/>
      <c r="R983" s="303"/>
      <c r="S983" s="138"/>
      <c r="T983" s="142"/>
      <c r="U983" s="303"/>
      <c r="V983" s="138"/>
      <c r="W983" s="142"/>
      <c r="X983" s="303"/>
      <c r="Y983" s="30"/>
      <c r="Z983" s="30"/>
      <c r="AA983" s="30"/>
      <c r="AB983" s="30"/>
      <c r="AC983" s="30"/>
      <c r="AD983" s="30"/>
      <c r="AE983" s="30"/>
      <c r="AF983" s="30"/>
      <c r="AG983" s="30"/>
      <c r="AH983" s="30"/>
      <c r="AI983" s="30"/>
      <c r="AJ983" s="30"/>
      <c r="AK983" s="30"/>
      <c r="AL983" s="30"/>
      <c r="AM983" s="30"/>
      <c r="AN983" s="30"/>
    </row>
    <row r="984">
      <c r="A984" s="138"/>
      <c r="B984" s="142"/>
      <c r="C984" s="303"/>
      <c r="D984" s="138"/>
      <c r="E984" s="142"/>
      <c r="F984" s="303"/>
      <c r="G984" s="138"/>
      <c r="H984" s="142"/>
      <c r="I984" s="303"/>
      <c r="J984" s="138"/>
      <c r="K984" s="142"/>
      <c r="L984" s="303"/>
      <c r="M984" s="138"/>
      <c r="N984" s="142"/>
      <c r="O984" s="303"/>
      <c r="P984" s="138"/>
      <c r="Q984" s="142"/>
      <c r="R984" s="303"/>
      <c r="S984" s="138"/>
      <c r="T984" s="142"/>
      <c r="U984" s="303"/>
      <c r="V984" s="138"/>
      <c r="W984" s="142"/>
      <c r="X984" s="303"/>
      <c r="Y984" s="30"/>
      <c r="Z984" s="30"/>
      <c r="AA984" s="30"/>
      <c r="AB984" s="30"/>
      <c r="AC984" s="30"/>
      <c r="AD984" s="30"/>
      <c r="AE984" s="30"/>
      <c r="AF984" s="30"/>
      <c r="AG984" s="30"/>
      <c r="AH984" s="30"/>
      <c r="AI984" s="30"/>
      <c r="AJ984" s="30"/>
      <c r="AK984" s="30"/>
      <c r="AL984" s="30"/>
      <c r="AM984" s="30"/>
      <c r="AN984" s="30"/>
    </row>
    <row r="985">
      <c r="A985" s="138"/>
      <c r="B985" s="142"/>
      <c r="C985" s="303"/>
      <c r="D985" s="138"/>
      <c r="E985" s="142"/>
      <c r="F985" s="303"/>
      <c r="G985" s="138"/>
      <c r="H985" s="142"/>
      <c r="I985" s="303"/>
      <c r="J985" s="138"/>
      <c r="K985" s="142"/>
      <c r="L985" s="303"/>
      <c r="M985" s="138"/>
      <c r="N985" s="142"/>
      <c r="O985" s="303"/>
      <c r="P985" s="138"/>
      <c r="Q985" s="142"/>
      <c r="R985" s="303"/>
      <c r="S985" s="138"/>
      <c r="T985" s="142"/>
      <c r="U985" s="303"/>
      <c r="V985" s="138"/>
      <c r="W985" s="142"/>
      <c r="X985" s="303"/>
      <c r="Y985" s="30"/>
      <c r="Z985" s="30"/>
      <c r="AA985" s="30"/>
      <c r="AB985" s="30"/>
      <c r="AC985" s="30"/>
      <c r="AD985" s="30"/>
      <c r="AE985" s="30"/>
      <c r="AF985" s="30"/>
      <c r="AG985" s="30"/>
      <c r="AH985" s="30"/>
      <c r="AI985" s="30"/>
      <c r="AJ985" s="30"/>
      <c r="AK985" s="30"/>
      <c r="AL985" s="30"/>
      <c r="AM985" s="30"/>
      <c r="AN985" s="30"/>
    </row>
    <row r="986">
      <c r="A986" s="138"/>
      <c r="B986" s="142"/>
      <c r="C986" s="303"/>
      <c r="D986" s="138"/>
      <c r="E986" s="142"/>
      <c r="F986" s="303"/>
      <c r="G986" s="138"/>
      <c r="H986" s="142"/>
      <c r="I986" s="303"/>
      <c r="J986" s="138"/>
      <c r="K986" s="142"/>
      <c r="L986" s="303"/>
      <c r="M986" s="138"/>
      <c r="N986" s="142"/>
      <c r="O986" s="303"/>
      <c r="P986" s="138"/>
      <c r="Q986" s="142"/>
      <c r="R986" s="303"/>
      <c r="S986" s="138"/>
      <c r="T986" s="142"/>
      <c r="U986" s="303"/>
      <c r="V986" s="138"/>
      <c r="W986" s="142"/>
      <c r="X986" s="303"/>
      <c r="Y986" s="30"/>
      <c r="Z986" s="30"/>
      <c r="AA986" s="30"/>
      <c r="AB986" s="30"/>
      <c r="AC986" s="30"/>
      <c r="AD986" s="30"/>
      <c r="AE986" s="30"/>
      <c r="AF986" s="30"/>
      <c r="AG986" s="30"/>
      <c r="AH986" s="30"/>
      <c r="AI986" s="30"/>
      <c r="AJ986" s="30"/>
      <c r="AK986" s="30"/>
      <c r="AL986" s="30"/>
      <c r="AM986" s="30"/>
      <c r="AN986" s="30"/>
    </row>
    <row r="987">
      <c r="A987" s="138"/>
      <c r="B987" s="142"/>
      <c r="C987" s="303"/>
      <c r="D987" s="138"/>
      <c r="E987" s="142"/>
      <c r="F987" s="303"/>
      <c r="G987" s="138"/>
      <c r="H987" s="142"/>
      <c r="I987" s="303"/>
      <c r="J987" s="138"/>
      <c r="K987" s="142"/>
      <c r="L987" s="303"/>
      <c r="M987" s="138"/>
      <c r="N987" s="142"/>
      <c r="O987" s="303"/>
      <c r="P987" s="138"/>
      <c r="Q987" s="142"/>
      <c r="R987" s="303"/>
      <c r="S987" s="138"/>
      <c r="T987" s="142"/>
      <c r="U987" s="303"/>
      <c r="V987" s="138"/>
      <c r="W987" s="142"/>
      <c r="X987" s="303"/>
      <c r="Y987" s="30"/>
      <c r="Z987" s="30"/>
      <c r="AA987" s="30"/>
      <c r="AB987" s="30"/>
      <c r="AC987" s="30"/>
      <c r="AD987" s="30"/>
      <c r="AE987" s="30"/>
      <c r="AF987" s="30"/>
      <c r="AG987" s="30"/>
      <c r="AH987" s="30"/>
      <c r="AI987" s="30"/>
      <c r="AJ987" s="30"/>
      <c r="AK987" s="30"/>
      <c r="AL987" s="30"/>
      <c r="AM987" s="30"/>
      <c r="AN987" s="30"/>
    </row>
    <row r="988">
      <c r="A988" s="138"/>
      <c r="B988" s="142"/>
      <c r="C988" s="303"/>
      <c r="D988" s="138"/>
      <c r="E988" s="142"/>
      <c r="F988" s="303"/>
      <c r="G988" s="138"/>
      <c r="H988" s="142"/>
      <c r="I988" s="303"/>
      <c r="J988" s="138"/>
      <c r="K988" s="142"/>
      <c r="L988" s="303"/>
      <c r="M988" s="138"/>
      <c r="N988" s="142"/>
      <c r="O988" s="303"/>
      <c r="P988" s="138"/>
      <c r="Q988" s="142"/>
      <c r="R988" s="303"/>
      <c r="S988" s="138"/>
      <c r="T988" s="142"/>
      <c r="U988" s="303"/>
      <c r="V988" s="138"/>
      <c r="W988" s="142"/>
      <c r="X988" s="303"/>
      <c r="Y988" s="30"/>
      <c r="Z988" s="30"/>
      <c r="AA988" s="30"/>
      <c r="AB988" s="30"/>
      <c r="AC988" s="30"/>
      <c r="AD988" s="30"/>
      <c r="AE988" s="30"/>
      <c r="AF988" s="30"/>
      <c r="AG988" s="30"/>
      <c r="AH988" s="30"/>
      <c r="AI988" s="30"/>
      <c r="AJ988" s="30"/>
      <c r="AK988" s="30"/>
      <c r="AL988" s="30"/>
      <c r="AM988" s="30"/>
      <c r="AN988" s="30"/>
    </row>
    <row r="989">
      <c r="A989" s="138"/>
      <c r="B989" s="142"/>
      <c r="C989" s="303"/>
      <c r="D989" s="138"/>
      <c r="E989" s="142"/>
      <c r="F989" s="303"/>
      <c r="G989" s="138"/>
      <c r="H989" s="142"/>
      <c r="I989" s="303"/>
      <c r="J989" s="138"/>
      <c r="K989" s="142"/>
      <c r="L989" s="303"/>
      <c r="M989" s="138"/>
      <c r="N989" s="142"/>
      <c r="O989" s="303"/>
      <c r="P989" s="138"/>
      <c r="Q989" s="142"/>
      <c r="R989" s="303"/>
      <c r="S989" s="138"/>
      <c r="T989" s="142"/>
      <c r="U989" s="303"/>
      <c r="V989" s="138"/>
      <c r="W989" s="142"/>
      <c r="X989" s="303"/>
      <c r="Y989" s="30"/>
      <c r="Z989" s="30"/>
      <c r="AA989" s="30"/>
      <c r="AB989" s="30"/>
      <c r="AC989" s="30"/>
      <c r="AD989" s="30"/>
      <c r="AE989" s="30"/>
      <c r="AF989" s="30"/>
      <c r="AG989" s="30"/>
      <c r="AH989" s="30"/>
      <c r="AI989" s="30"/>
      <c r="AJ989" s="30"/>
      <c r="AK989" s="30"/>
      <c r="AL989" s="30"/>
      <c r="AM989" s="30"/>
      <c r="AN989" s="30"/>
    </row>
    <row r="990">
      <c r="A990" s="138"/>
      <c r="B990" s="142"/>
      <c r="C990" s="303"/>
      <c r="D990" s="138"/>
      <c r="E990" s="142"/>
      <c r="F990" s="303"/>
      <c r="G990" s="138"/>
      <c r="H990" s="142"/>
      <c r="I990" s="303"/>
      <c r="J990" s="138"/>
      <c r="K990" s="142"/>
      <c r="L990" s="303"/>
      <c r="M990" s="138"/>
      <c r="N990" s="142"/>
      <c r="O990" s="303"/>
      <c r="P990" s="138"/>
      <c r="Q990" s="142"/>
      <c r="R990" s="303"/>
      <c r="S990" s="138"/>
      <c r="T990" s="142"/>
      <c r="U990" s="303"/>
      <c r="V990" s="138"/>
      <c r="W990" s="142"/>
      <c r="X990" s="303"/>
      <c r="Y990" s="30"/>
      <c r="Z990" s="30"/>
      <c r="AA990" s="30"/>
      <c r="AB990" s="30"/>
      <c r="AC990" s="30"/>
      <c r="AD990" s="30"/>
      <c r="AE990" s="30"/>
      <c r="AF990" s="30"/>
      <c r="AG990" s="30"/>
      <c r="AH990" s="30"/>
      <c r="AI990" s="30"/>
      <c r="AJ990" s="30"/>
      <c r="AK990" s="30"/>
      <c r="AL990" s="30"/>
      <c r="AM990" s="30"/>
      <c r="AN990" s="30"/>
    </row>
    <row r="991">
      <c r="A991" s="138"/>
      <c r="B991" s="142"/>
      <c r="C991" s="303"/>
      <c r="D991" s="138"/>
      <c r="E991" s="142"/>
      <c r="F991" s="303"/>
      <c r="G991" s="138"/>
      <c r="H991" s="142"/>
      <c r="I991" s="303"/>
      <c r="J991" s="138"/>
      <c r="K991" s="142"/>
      <c r="L991" s="303"/>
      <c r="M991" s="138"/>
      <c r="N991" s="142"/>
      <c r="O991" s="303"/>
      <c r="P991" s="138"/>
      <c r="Q991" s="142"/>
      <c r="R991" s="303"/>
      <c r="S991" s="138"/>
      <c r="T991" s="142"/>
      <c r="U991" s="303"/>
      <c r="V991" s="138"/>
      <c r="W991" s="142"/>
      <c r="X991" s="303"/>
      <c r="Y991" s="30"/>
      <c r="Z991" s="30"/>
      <c r="AA991" s="30"/>
      <c r="AB991" s="30"/>
      <c r="AC991" s="30"/>
      <c r="AD991" s="30"/>
      <c r="AE991" s="30"/>
      <c r="AF991" s="30"/>
      <c r="AG991" s="30"/>
      <c r="AH991" s="30"/>
      <c r="AI991" s="30"/>
      <c r="AJ991" s="30"/>
      <c r="AK991" s="30"/>
      <c r="AL991" s="30"/>
      <c r="AM991" s="30"/>
      <c r="AN991" s="30"/>
    </row>
    <row r="992">
      <c r="A992" s="138"/>
      <c r="B992" s="142"/>
      <c r="C992" s="303"/>
      <c r="D992" s="138"/>
      <c r="E992" s="142"/>
      <c r="F992" s="303"/>
      <c r="G992" s="138"/>
      <c r="H992" s="142"/>
      <c r="I992" s="303"/>
      <c r="J992" s="138"/>
      <c r="K992" s="142"/>
      <c r="L992" s="303"/>
      <c r="M992" s="138"/>
      <c r="N992" s="142"/>
      <c r="O992" s="303"/>
      <c r="P992" s="138"/>
      <c r="Q992" s="142"/>
      <c r="R992" s="303"/>
      <c r="S992" s="138"/>
      <c r="T992" s="142"/>
      <c r="U992" s="303"/>
      <c r="V992" s="138"/>
      <c r="W992" s="142"/>
      <c r="X992" s="303"/>
      <c r="Y992" s="30"/>
      <c r="Z992" s="30"/>
      <c r="AA992" s="30"/>
      <c r="AB992" s="30"/>
      <c r="AC992" s="30"/>
      <c r="AD992" s="30"/>
      <c r="AE992" s="30"/>
      <c r="AF992" s="30"/>
      <c r="AG992" s="30"/>
      <c r="AH992" s="30"/>
      <c r="AI992" s="30"/>
      <c r="AJ992" s="30"/>
      <c r="AK992" s="30"/>
      <c r="AL992" s="30"/>
      <c r="AM992" s="30"/>
      <c r="AN992" s="30"/>
    </row>
    <row r="993">
      <c r="A993" s="138"/>
      <c r="B993" s="142"/>
      <c r="C993" s="303"/>
      <c r="D993" s="138"/>
      <c r="E993" s="142"/>
      <c r="F993" s="303"/>
      <c r="G993" s="138"/>
      <c r="H993" s="142"/>
      <c r="I993" s="303"/>
      <c r="J993" s="138"/>
      <c r="K993" s="142"/>
      <c r="L993" s="303"/>
      <c r="M993" s="138"/>
      <c r="N993" s="142"/>
      <c r="O993" s="303"/>
      <c r="P993" s="138"/>
      <c r="Q993" s="142"/>
      <c r="R993" s="303"/>
      <c r="S993" s="138"/>
      <c r="T993" s="142"/>
      <c r="U993" s="303"/>
      <c r="V993" s="138"/>
      <c r="W993" s="142"/>
      <c r="X993" s="303"/>
      <c r="Y993" s="30"/>
      <c r="Z993" s="30"/>
      <c r="AA993" s="30"/>
      <c r="AB993" s="30"/>
      <c r="AC993" s="30"/>
      <c r="AD993" s="30"/>
      <c r="AE993" s="30"/>
      <c r="AF993" s="30"/>
      <c r="AG993" s="30"/>
      <c r="AH993" s="30"/>
      <c r="AI993" s="30"/>
      <c r="AJ993" s="30"/>
      <c r="AK993" s="30"/>
      <c r="AL993" s="30"/>
      <c r="AM993" s="30"/>
      <c r="AN993" s="30"/>
    </row>
    <row r="994">
      <c r="A994" s="138"/>
      <c r="B994" s="142"/>
      <c r="C994" s="303"/>
      <c r="D994" s="138"/>
      <c r="E994" s="142"/>
      <c r="F994" s="303"/>
      <c r="G994" s="138"/>
      <c r="H994" s="142"/>
      <c r="I994" s="303"/>
      <c r="J994" s="138"/>
      <c r="K994" s="142"/>
      <c r="L994" s="303"/>
      <c r="M994" s="138"/>
      <c r="N994" s="142"/>
      <c r="O994" s="303"/>
      <c r="P994" s="138"/>
      <c r="Q994" s="142"/>
      <c r="R994" s="303"/>
      <c r="S994" s="138"/>
      <c r="T994" s="142"/>
      <c r="U994" s="303"/>
      <c r="V994" s="138"/>
      <c r="W994" s="142"/>
      <c r="X994" s="303"/>
      <c r="Y994" s="30"/>
      <c r="Z994" s="30"/>
      <c r="AA994" s="30"/>
      <c r="AB994" s="30"/>
      <c r="AC994" s="30"/>
      <c r="AD994" s="30"/>
      <c r="AE994" s="30"/>
      <c r="AF994" s="30"/>
      <c r="AG994" s="30"/>
      <c r="AH994" s="30"/>
      <c r="AI994" s="30"/>
      <c r="AJ994" s="30"/>
      <c r="AK994" s="30"/>
      <c r="AL994" s="30"/>
      <c r="AM994" s="30"/>
      <c r="AN994" s="30"/>
    </row>
    <row r="995">
      <c r="A995" s="138"/>
      <c r="B995" s="142"/>
      <c r="C995" s="303"/>
      <c r="D995" s="138"/>
      <c r="E995" s="142"/>
      <c r="F995" s="303"/>
      <c r="G995" s="138"/>
      <c r="H995" s="142"/>
      <c r="I995" s="303"/>
      <c r="J995" s="138"/>
      <c r="K995" s="142"/>
      <c r="L995" s="303"/>
      <c r="M995" s="138"/>
      <c r="N995" s="142"/>
      <c r="O995" s="303"/>
      <c r="P995" s="138"/>
      <c r="Q995" s="142"/>
      <c r="R995" s="303"/>
      <c r="S995" s="138"/>
      <c r="T995" s="142"/>
      <c r="U995" s="303"/>
      <c r="V995" s="138"/>
      <c r="W995" s="142"/>
      <c r="X995" s="303"/>
      <c r="Y995" s="30"/>
      <c r="Z995" s="30"/>
      <c r="AA995" s="30"/>
      <c r="AB995" s="30"/>
      <c r="AC995" s="30"/>
      <c r="AD995" s="30"/>
      <c r="AE995" s="30"/>
      <c r="AF995" s="30"/>
      <c r="AG995" s="30"/>
      <c r="AH995" s="30"/>
      <c r="AI995" s="30"/>
      <c r="AJ995" s="30"/>
      <c r="AK995" s="30"/>
      <c r="AL995" s="30"/>
      <c r="AM995" s="30"/>
      <c r="AN995" s="30"/>
    </row>
    <row r="996">
      <c r="A996" s="138"/>
      <c r="B996" s="142"/>
      <c r="C996" s="303"/>
      <c r="D996" s="138"/>
      <c r="E996" s="142"/>
      <c r="F996" s="303"/>
      <c r="G996" s="138"/>
      <c r="H996" s="142"/>
      <c r="I996" s="303"/>
      <c r="J996" s="138"/>
      <c r="K996" s="142"/>
      <c r="L996" s="303"/>
      <c r="M996" s="138"/>
      <c r="N996" s="142"/>
      <c r="O996" s="303"/>
      <c r="P996" s="138"/>
      <c r="Q996" s="142"/>
      <c r="R996" s="303"/>
      <c r="S996" s="138"/>
      <c r="T996" s="142"/>
      <c r="U996" s="303"/>
      <c r="V996" s="138"/>
      <c r="W996" s="142"/>
      <c r="X996" s="303"/>
      <c r="Y996" s="30"/>
      <c r="Z996" s="30"/>
      <c r="AA996" s="30"/>
      <c r="AB996" s="30"/>
      <c r="AC996" s="30"/>
      <c r="AD996" s="30"/>
      <c r="AE996" s="30"/>
      <c r="AF996" s="30"/>
      <c r="AG996" s="30"/>
      <c r="AH996" s="30"/>
      <c r="AI996" s="30"/>
      <c r="AJ996" s="30"/>
      <c r="AK996" s="30"/>
      <c r="AL996" s="30"/>
      <c r="AM996" s="30"/>
      <c r="AN996" s="30"/>
    </row>
    <row r="997">
      <c r="A997" s="138"/>
      <c r="B997" s="142"/>
      <c r="C997" s="303"/>
      <c r="D997" s="138"/>
      <c r="E997" s="142"/>
      <c r="F997" s="303"/>
      <c r="G997" s="138"/>
      <c r="H997" s="142"/>
      <c r="I997" s="303"/>
      <c r="J997" s="138"/>
      <c r="K997" s="142"/>
      <c r="L997" s="303"/>
      <c r="M997" s="138"/>
      <c r="N997" s="142"/>
      <c r="O997" s="303"/>
      <c r="P997" s="138"/>
      <c r="Q997" s="142"/>
      <c r="R997" s="303"/>
      <c r="S997" s="138"/>
      <c r="T997" s="142"/>
      <c r="U997" s="303"/>
      <c r="V997" s="138"/>
      <c r="W997" s="142"/>
      <c r="X997" s="303"/>
      <c r="Y997" s="30"/>
      <c r="Z997" s="30"/>
      <c r="AA997" s="30"/>
      <c r="AB997" s="30"/>
      <c r="AC997" s="30"/>
      <c r="AD997" s="30"/>
      <c r="AE997" s="30"/>
      <c r="AF997" s="30"/>
      <c r="AG997" s="30"/>
      <c r="AH997" s="30"/>
      <c r="AI997" s="30"/>
      <c r="AJ997" s="30"/>
      <c r="AK997" s="30"/>
      <c r="AL997" s="30"/>
      <c r="AM997" s="30"/>
      <c r="AN997" s="30"/>
    </row>
    <row r="998">
      <c r="A998" s="138"/>
      <c r="B998" s="142"/>
      <c r="C998" s="303"/>
      <c r="D998" s="138"/>
      <c r="E998" s="142"/>
      <c r="F998" s="303"/>
      <c r="G998" s="138"/>
      <c r="H998" s="142"/>
      <c r="I998" s="303"/>
      <c r="J998" s="138"/>
      <c r="K998" s="142"/>
      <c r="L998" s="303"/>
      <c r="M998" s="138"/>
      <c r="N998" s="142"/>
      <c r="O998" s="303"/>
      <c r="P998" s="138"/>
      <c r="Q998" s="142"/>
      <c r="R998" s="303"/>
      <c r="S998" s="138"/>
      <c r="T998" s="142"/>
      <c r="U998" s="303"/>
      <c r="V998" s="138"/>
      <c r="W998" s="142"/>
      <c r="X998" s="303"/>
      <c r="Y998" s="30"/>
      <c r="Z998" s="30"/>
      <c r="AA998" s="30"/>
      <c r="AB998" s="30"/>
      <c r="AC998" s="30"/>
      <c r="AD998" s="30"/>
      <c r="AE998" s="30"/>
      <c r="AF998" s="30"/>
      <c r="AG998" s="30"/>
      <c r="AH998" s="30"/>
      <c r="AI998" s="30"/>
      <c r="AJ998" s="30"/>
      <c r="AK998" s="30"/>
      <c r="AL998" s="30"/>
      <c r="AM998" s="30"/>
      <c r="AN998" s="30"/>
    </row>
    <row r="999">
      <c r="A999" s="138"/>
      <c r="B999" s="142"/>
      <c r="C999" s="303"/>
      <c r="D999" s="138"/>
      <c r="E999" s="142"/>
      <c r="F999" s="303"/>
      <c r="G999" s="138"/>
      <c r="H999" s="142"/>
      <c r="I999" s="303"/>
      <c r="J999" s="138"/>
      <c r="K999" s="142"/>
      <c r="L999" s="303"/>
      <c r="M999" s="138"/>
      <c r="N999" s="142"/>
      <c r="O999" s="303"/>
      <c r="P999" s="138"/>
      <c r="Q999" s="142"/>
      <c r="R999" s="303"/>
      <c r="S999" s="138"/>
      <c r="T999" s="142"/>
      <c r="U999" s="303"/>
      <c r="V999" s="138"/>
      <c r="W999" s="142"/>
      <c r="X999" s="303"/>
      <c r="Y999" s="30"/>
      <c r="Z999" s="30"/>
      <c r="AA999" s="30"/>
      <c r="AB999" s="30"/>
      <c r="AC999" s="30"/>
      <c r="AD999" s="30"/>
      <c r="AE999" s="30"/>
      <c r="AF999" s="30"/>
      <c r="AG999" s="30"/>
      <c r="AH999" s="30"/>
      <c r="AI999" s="30"/>
      <c r="AJ999" s="30"/>
      <c r="AK999" s="30"/>
      <c r="AL999" s="30"/>
      <c r="AM999" s="30"/>
      <c r="AN999" s="30"/>
    </row>
    <row r="1000">
      <c r="A1000" s="138"/>
      <c r="B1000" s="142"/>
      <c r="C1000" s="303"/>
      <c r="D1000" s="138"/>
      <c r="E1000" s="142"/>
      <c r="F1000" s="303"/>
      <c r="G1000" s="138"/>
      <c r="H1000" s="142"/>
      <c r="I1000" s="303"/>
      <c r="J1000" s="138"/>
      <c r="K1000" s="142"/>
      <c r="L1000" s="303"/>
      <c r="M1000" s="138"/>
      <c r="N1000" s="142"/>
      <c r="O1000" s="303"/>
      <c r="P1000" s="138"/>
      <c r="Q1000" s="142"/>
      <c r="R1000" s="303"/>
      <c r="S1000" s="138"/>
      <c r="T1000" s="142"/>
      <c r="U1000" s="303"/>
      <c r="V1000" s="138"/>
      <c r="W1000" s="142"/>
      <c r="X1000" s="303"/>
      <c r="Y1000" s="30"/>
      <c r="Z1000" s="30"/>
      <c r="AA1000" s="30"/>
      <c r="AB1000" s="30"/>
      <c r="AC1000" s="30"/>
      <c r="AD1000" s="30"/>
      <c r="AE1000" s="30"/>
      <c r="AF1000" s="30"/>
      <c r="AG1000" s="30"/>
      <c r="AH1000" s="30"/>
      <c r="AI1000" s="30"/>
      <c r="AJ1000" s="30"/>
      <c r="AK1000" s="30"/>
      <c r="AL1000" s="30"/>
      <c r="AM1000" s="30"/>
      <c r="AN1000" s="30"/>
    </row>
    <row r="1001">
      <c r="A1001" s="138"/>
      <c r="B1001" s="142"/>
      <c r="C1001" s="303"/>
      <c r="D1001" s="138"/>
      <c r="E1001" s="142"/>
      <c r="F1001" s="303"/>
      <c r="G1001" s="138"/>
      <c r="H1001" s="142"/>
      <c r="I1001" s="303"/>
      <c r="J1001" s="138"/>
      <c r="K1001" s="142"/>
      <c r="L1001" s="303"/>
      <c r="M1001" s="138"/>
      <c r="N1001" s="142"/>
      <c r="O1001" s="303"/>
      <c r="P1001" s="138"/>
      <c r="Q1001" s="142"/>
      <c r="R1001" s="303"/>
      <c r="S1001" s="138"/>
      <c r="T1001" s="142"/>
      <c r="U1001" s="303"/>
      <c r="V1001" s="138"/>
      <c r="W1001" s="142"/>
      <c r="X1001" s="303"/>
      <c r="Y1001" s="30"/>
      <c r="Z1001" s="30"/>
      <c r="AA1001" s="30"/>
      <c r="AB1001" s="30"/>
      <c r="AC1001" s="30"/>
      <c r="AD1001" s="30"/>
      <c r="AE1001" s="30"/>
      <c r="AF1001" s="30"/>
      <c r="AG1001" s="30"/>
      <c r="AH1001" s="30"/>
      <c r="AI1001" s="30"/>
      <c r="AJ1001" s="30"/>
      <c r="AK1001" s="30"/>
      <c r="AL1001" s="30"/>
      <c r="AM1001" s="30"/>
      <c r="AN1001" s="30"/>
    </row>
    <row r="1002">
      <c r="A1002" s="138"/>
      <c r="B1002" s="142"/>
      <c r="C1002" s="303"/>
      <c r="D1002" s="138"/>
      <c r="E1002" s="142"/>
      <c r="F1002" s="303"/>
      <c r="G1002" s="138"/>
      <c r="H1002" s="142"/>
      <c r="I1002" s="303"/>
      <c r="J1002" s="138"/>
      <c r="K1002" s="142"/>
      <c r="L1002" s="303"/>
      <c r="M1002" s="138"/>
      <c r="N1002" s="142"/>
      <c r="O1002" s="303"/>
      <c r="P1002" s="138"/>
      <c r="Q1002" s="142"/>
      <c r="R1002" s="303"/>
      <c r="S1002" s="138"/>
      <c r="T1002" s="142"/>
      <c r="U1002" s="303"/>
      <c r="V1002" s="138"/>
      <c r="W1002" s="142"/>
      <c r="X1002" s="303"/>
      <c r="Y1002" s="30"/>
      <c r="Z1002" s="30"/>
      <c r="AA1002" s="30"/>
      <c r="AB1002" s="30"/>
      <c r="AC1002" s="30"/>
      <c r="AD1002" s="30"/>
      <c r="AE1002" s="30"/>
      <c r="AF1002" s="30"/>
      <c r="AG1002" s="30"/>
      <c r="AH1002" s="30"/>
      <c r="AI1002" s="30"/>
      <c r="AJ1002" s="30"/>
      <c r="AK1002" s="30"/>
      <c r="AL1002" s="30"/>
      <c r="AM1002" s="30"/>
      <c r="AN1002" s="30"/>
    </row>
    <row r="1003">
      <c r="A1003" s="138"/>
      <c r="B1003" s="142"/>
      <c r="C1003" s="303"/>
      <c r="D1003" s="138"/>
      <c r="E1003" s="142"/>
      <c r="F1003" s="303"/>
      <c r="G1003" s="138"/>
      <c r="H1003" s="142"/>
      <c r="I1003" s="303"/>
      <c r="J1003" s="138"/>
      <c r="K1003" s="142"/>
      <c r="L1003" s="303"/>
      <c r="M1003" s="138"/>
      <c r="N1003" s="142"/>
      <c r="O1003" s="303"/>
      <c r="P1003" s="138"/>
      <c r="Q1003" s="142"/>
      <c r="R1003" s="303"/>
      <c r="S1003" s="138"/>
      <c r="T1003" s="142"/>
      <c r="U1003" s="303"/>
      <c r="V1003" s="138"/>
      <c r="W1003" s="142"/>
      <c r="X1003" s="303"/>
      <c r="Y1003" s="30"/>
      <c r="Z1003" s="30"/>
      <c r="AA1003" s="30"/>
      <c r="AB1003" s="30"/>
      <c r="AC1003" s="30"/>
      <c r="AD1003" s="30"/>
      <c r="AE1003" s="30"/>
      <c r="AF1003" s="30"/>
      <c r="AG1003" s="30"/>
      <c r="AH1003" s="30"/>
      <c r="AI1003" s="30"/>
      <c r="AJ1003" s="30"/>
      <c r="AK1003" s="30"/>
      <c r="AL1003" s="30"/>
      <c r="AM1003" s="30"/>
      <c r="AN1003" s="30"/>
    </row>
    <row r="1004">
      <c r="A1004" s="138"/>
      <c r="B1004" s="142"/>
      <c r="C1004" s="303"/>
      <c r="D1004" s="138"/>
      <c r="E1004" s="142"/>
      <c r="F1004" s="303"/>
      <c r="G1004" s="138"/>
      <c r="H1004" s="142"/>
      <c r="I1004" s="303"/>
      <c r="J1004" s="138"/>
      <c r="K1004" s="142"/>
      <c r="L1004" s="303"/>
      <c r="M1004" s="138"/>
      <c r="N1004" s="142"/>
      <c r="O1004" s="303"/>
      <c r="P1004" s="138"/>
      <c r="Q1004" s="142"/>
      <c r="R1004" s="303"/>
      <c r="S1004" s="138"/>
      <c r="T1004" s="142"/>
      <c r="U1004" s="303"/>
      <c r="V1004" s="138"/>
      <c r="W1004" s="142"/>
      <c r="X1004" s="303"/>
      <c r="Y1004" s="30"/>
      <c r="Z1004" s="30"/>
      <c r="AA1004" s="30"/>
      <c r="AB1004" s="30"/>
      <c r="AC1004" s="30"/>
      <c r="AD1004" s="30"/>
      <c r="AE1004" s="30"/>
      <c r="AF1004" s="30"/>
      <c r="AG1004" s="30"/>
      <c r="AH1004" s="30"/>
      <c r="AI1004" s="30"/>
      <c r="AJ1004" s="30"/>
      <c r="AK1004" s="30"/>
      <c r="AL1004" s="30"/>
      <c r="AM1004" s="30"/>
      <c r="AN1004" s="30"/>
    </row>
    <row r="1005">
      <c r="A1005" s="138"/>
      <c r="B1005" s="142"/>
      <c r="C1005" s="303"/>
      <c r="D1005" s="138"/>
      <c r="E1005" s="142"/>
      <c r="F1005" s="303"/>
      <c r="G1005" s="138"/>
      <c r="H1005" s="142"/>
      <c r="I1005" s="303"/>
      <c r="J1005" s="138"/>
      <c r="K1005" s="142"/>
      <c r="L1005" s="303"/>
      <c r="M1005" s="138"/>
      <c r="N1005" s="142"/>
      <c r="O1005" s="303"/>
      <c r="P1005" s="138"/>
      <c r="Q1005" s="142"/>
      <c r="R1005" s="303"/>
      <c r="S1005" s="138"/>
      <c r="T1005" s="142"/>
      <c r="U1005" s="303"/>
      <c r="V1005" s="138"/>
      <c r="W1005" s="142"/>
      <c r="X1005" s="303"/>
      <c r="Y1005" s="138"/>
      <c r="Z1005" s="142"/>
      <c r="AA1005" s="303"/>
      <c r="AB1005" s="30"/>
      <c r="AC1005" s="30"/>
      <c r="AD1005" s="30"/>
      <c r="AE1005" s="30"/>
      <c r="AF1005" s="30"/>
      <c r="AG1005" s="30"/>
      <c r="AH1005" s="30"/>
      <c r="AI1005" s="30"/>
      <c r="AJ1005" s="30"/>
      <c r="AK1005" s="30"/>
      <c r="AL1005" s="30"/>
      <c r="AM1005" s="30"/>
      <c r="AN1005" s="30"/>
    </row>
    <row r="1006">
      <c r="A1006" s="138"/>
      <c r="B1006" s="142"/>
      <c r="C1006" s="303"/>
      <c r="D1006" s="138"/>
      <c r="E1006" s="142"/>
      <c r="F1006" s="303"/>
      <c r="G1006" s="138"/>
      <c r="H1006" s="142"/>
      <c r="I1006" s="303"/>
      <c r="J1006" s="138"/>
      <c r="K1006" s="142"/>
      <c r="L1006" s="303"/>
      <c r="M1006" s="138"/>
      <c r="N1006" s="142"/>
      <c r="O1006" s="303"/>
      <c r="P1006" s="138"/>
      <c r="Q1006" s="142"/>
      <c r="R1006" s="303"/>
      <c r="S1006" s="138"/>
      <c r="T1006" s="142"/>
      <c r="U1006" s="303"/>
      <c r="V1006" s="138"/>
      <c r="W1006" s="142"/>
      <c r="X1006" s="303"/>
      <c r="Y1006" s="138"/>
      <c r="Z1006" s="142"/>
      <c r="AA1006" s="303"/>
      <c r="AB1006" s="30"/>
      <c r="AC1006" s="30"/>
      <c r="AD1006" s="30"/>
      <c r="AE1006" s="30"/>
      <c r="AF1006" s="30"/>
      <c r="AG1006" s="30"/>
      <c r="AH1006" s="30"/>
      <c r="AI1006" s="30"/>
      <c r="AJ1006" s="30"/>
      <c r="AK1006" s="30"/>
      <c r="AL1006" s="30"/>
      <c r="AM1006" s="30"/>
      <c r="AN1006" s="30"/>
    </row>
    <row r="1007">
      <c r="A1007" s="138"/>
      <c r="B1007" s="142"/>
      <c r="C1007" s="303"/>
      <c r="D1007" s="138"/>
      <c r="E1007" s="142"/>
      <c r="F1007" s="303"/>
      <c r="G1007" s="138"/>
      <c r="H1007" s="142"/>
      <c r="I1007" s="303"/>
      <c r="J1007" s="138"/>
      <c r="K1007" s="142"/>
      <c r="L1007" s="303"/>
      <c r="M1007" s="138"/>
      <c r="N1007" s="142"/>
      <c r="O1007" s="303"/>
      <c r="P1007" s="138"/>
      <c r="Q1007" s="142"/>
      <c r="R1007" s="303"/>
      <c r="S1007" s="138"/>
      <c r="T1007" s="142"/>
      <c r="U1007" s="303"/>
      <c r="V1007" s="138"/>
      <c r="W1007" s="142"/>
      <c r="X1007" s="303"/>
      <c r="Y1007" s="138"/>
      <c r="Z1007" s="142"/>
      <c r="AA1007" s="303"/>
      <c r="AB1007" s="30"/>
      <c r="AC1007" s="30"/>
      <c r="AD1007" s="30"/>
      <c r="AE1007" s="30"/>
      <c r="AF1007" s="30"/>
      <c r="AG1007" s="30"/>
      <c r="AH1007" s="30"/>
      <c r="AI1007" s="30"/>
      <c r="AJ1007" s="30"/>
      <c r="AK1007" s="30"/>
      <c r="AL1007" s="30"/>
      <c r="AM1007" s="30"/>
      <c r="AN1007" s="30"/>
    </row>
    <row r="1008">
      <c r="A1008" s="138"/>
      <c r="B1008" s="142"/>
      <c r="C1008" s="303"/>
      <c r="D1008" s="138"/>
      <c r="E1008" s="142"/>
      <c r="F1008" s="303"/>
      <c r="G1008" s="138"/>
      <c r="H1008" s="142"/>
      <c r="I1008" s="303"/>
      <c r="J1008" s="138"/>
      <c r="K1008" s="142"/>
      <c r="L1008" s="303"/>
      <c r="M1008" s="138"/>
      <c r="N1008" s="142"/>
      <c r="O1008" s="303"/>
      <c r="P1008" s="138"/>
      <c r="Q1008" s="142"/>
      <c r="R1008" s="303"/>
      <c r="S1008" s="138"/>
      <c r="T1008" s="142"/>
      <c r="U1008" s="303"/>
      <c r="V1008" s="138"/>
      <c r="W1008" s="142"/>
      <c r="X1008" s="303"/>
      <c r="Y1008" s="138"/>
      <c r="Z1008" s="142"/>
      <c r="AA1008" s="303"/>
      <c r="AB1008" s="30"/>
      <c r="AC1008" s="30"/>
      <c r="AD1008" s="30"/>
      <c r="AE1008" s="30"/>
      <c r="AF1008" s="30"/>
      <c r="AG1008" s="30"/>
      <c r="AH1008" s="30"/>
      <c r="AI1008" s="30"/>
      <c r="AJ1008" s="30"/>
      <c r="AK1008" s="30"/>
      <c r="AL1008" s="30"/>
      <c r="AM1008" s="30"/>
      <c r="AN1008" s="30"/>
    </row>
    <row r="1009">
      <c r="A1009" s="138"/>
      <c r="B1009" s="142"/>
      <c r="C1009" s="303"/>
      <c r="D1009" s="138"/>
      <c r="E1009" s="142"/>
      <c r="F1009" s="303"/>
      <c r="G1009" s="138"/>
      <c r="H1009" s="142"/>
      <c r="I1009" s="303"/>
      <c r="J1009" s="138"/>
      <c r="K1009" s="142"/>
      <c r="L1009" s="303"/>
      <c r="M1009" s="138"/>
      <c r="N1009" s="142"/>
      <c r="O1009" s="303"/>
      <c r="P1009" s="138"/>
      <c r="Q1009" s="142"/>
      <c r="R1009" s="303"/>
      <c r="S1009" s="138"/>
      <c r="T1009" s="142"/>
      <c r="U1009" s="303"/>
      <c r="V1009" s="138"/>
      <c r="W1009" s="142"/>
      <c r="X1009" s="303"/>
      <c r="Y1009" s="138"/>
      <c r="Z1009" s="142"/>
      <c r="AA1009" s="303"/>
      <c r="AB1009" s="30"/>
      <c r="AC1009" s="30"/>
      <c r="AD1009" s="30"/>
      <c r="AE1009" s="30"/>
      <c r="AF1009" s="30"/>
      <c r="AG1009" s="30"/>
      <c r="AH1009" s="30"/>
      <c r="AI1009" s="30"/>
      <c r="AJ1009" s="30"/>
      <c r="AK1009" s="30"/>
      <c r="AL1009" s="30"/>
      <c r="AM1009" s="30"/>
      <c r="AN1009" s="30"/>
    </row>
    <row r="1010">
      <c r="A1010" s="138"/>
      <c r="B1010" s="142"/>
      <c r="C1010" s="303"/>
      <c r="D1010" s="138"/>
      <c r="E1010" s="142"/>
      <c r="F1010" s="303"/>
      <c r="G1010" s="138"/>
      <c r="H1010" s="142"/>
      <c r="I1010" s="303"/>
      <c r="J1010" s="138"/>
      <c r="K1010" s="142"/>
      <c r="L1010" s="303"/>
      <c r="M1010" s="138"/>
      <c r="N1010" s="142"/>
      <c r="O1010" s="303"/>
      <c r="P1010" s="138"/>
      <c r="Q1010" s="142"/>
      <c r="R1010" s="303"/>
      <c r="S1010" s="138"/>
      <c r="T1010" s="142"/>
      <c r="U1010" s="303"/>
      <c r="V1010" s="138"/>
      <c r="W1010" s="142"/>
      <c r="X1010" s="303"/>
      <c r="Y1010" s="138"/>
      <c r="Z1010" s="142"/>
      <c r="AA1010" s="303"/>
      <c r="AB1010" s="30"/>
      <c r="AC1010" s="30"/>
      <c r="AD1010" s="30"/>
      <c r="AE1010" s="30"/>
      <c r="AF1010" s="30"/>
      <c r="AG1010" s="30"/>
      <c r="AH1010" s="30"/>
      <c r="AI1010" s="30"/>
      <c r="AJ1010" s="30"/>
      <c r="AK1010" s="30"/>
      <c r="AL1010" s="30"/>
      <c r="AM1010" s="30"/>
      <c r="AN1010" s="30"/>
    </row>
    <row r="1011">
      <c r="A1011" s="138"/>
      <c r="B1011" s="142"/>
      <c r="C1011" s="303"/>
      <c r="D1011" s="138"/>
      <c r="E1011" s="142"/>
      <c r="F1011" s="303"/>
      <c r="G1011" s="138"/>
      <c r="H1011" s="142"/>
      <c r="I1011" s="303"/>
      <c r="J1011" s="138"/>
      <c r="K1011" s="142"/>
      <c r="L1011" s="303"/>
      <c r="M1011" s="138"/>
      <c r="N1011" s="142"/>
      <c r="O1011" s="303"/>
      <c r="P1011" s="138"/>
      <c r="Q1011" s="142"/>
      <c r="R1011" s="303"/>
      <c r="S1011" s="138"/>
      <c r="T1011" s="142"/>
      <c r="U1011" s="303"/>
      <c r="V1011" s="138"/>
      <c r="W1011" s="142"/>
      <c r="X1011" s="303"/>
      <c r="Y1011" s="138"/>
      <c r="Z1011" s="142"/>
      <c r="AA1011" s="303"/>
      <c r="AB1011" s="30"/>
      <c r="AC1011" s="30"/>
      <c r="AD1011" s="30"/>
      <c r="AE1011" s="30"/>
      <c r="AF1011" s="30"/>
      <c r="AG1011" s="30"/>
      <c r="AH1011" s="30"/>
      <c r="AI1011" s="30"/>
      <c r="AJ1011" s="30"/>
      <c r="AK1011" s="30"/>
      <c r="AL1011" s="30"/>
      <c r="AM1011" s="30"/>
      <c r="AN1011" s="30"/>
    </row>
    <row r="1012">
      <c r="A1012" s="138"/>
      <c r="B1012" s="142"/>
      <c r="C1012" s="303"/>
      <c r="D1012" s="138"/>
      <c r="E1012" s="142"/>
      <c r="F1012" s="303"/>
      <c r="G1012" s="138"/>
      <c r="H1012" s="142"/>
      <c r="I1012" s="303"/>
      <c r="J1012" s="138"/>
      <c r="K1012" s="142"/>
      <c r="L1012" s="303"/>
      <c r="M1012" s="138"/>
      <c r="N1012" s="142"/>
      <c r="O1012" s="303"/>
      <c r="P1012" s="138"/>
      <c r="Q1012" s="142"/>
      <c r="R1012" s="303"/>
      <c r="S1012" s="138"/>
      <c r="T1012" s="142"/>
      <c r="U1012" s="303"/>
      <c r="V1012" s="138"/>
      <c r="W1012" s="142"/>
      <c r="X1012" s="303"/>
      <c r="Y1012" s="138"/>
      <c r="Z1012" s="142"/>
      <c r="AA1012" s="303"/>
      <c r="AB1012" s="30"/>
      <c r="AC1012" s="30"/>
      <c r="AD1012" s="30"/>
      <c r="AE1012" s="30"/>
      <c r="AF1012" s="30"/>
      <c r="AG1012" s="30"/>
      <c r="AH1012" s="30"/>
      <c r="AI1012" s="30"/>
      <c r="AJ1012" s="30"/>
      <c r="AK1012" s="30"/>
      <c r="AL1012" s="30"/>
      <c r="AM1012" s="30"/>
      <c r="AN1012" s="30"/>
    </row>
    <row r="1013">
      <c r="A1013" s="138"/>
      <c r="B1013" s="142"/>
      <c r="C1013" s="303"/>
      <c r="D1013" s="138"/>
      <c r="E1013" s="142"/>
      <c r="F1013" s="303"/>
      <c r="G1013" s="138"/>
      <c r="H1013" s="142"/>
      <c r="I1013" s="303"/>
      <c r="J1013" s="138"/>
      <c r="K1013" s="142"/>
      <c r="L1013" s="303"/>
      <c r="M1013" s="138"/>
      <c r="N1013" s="142"/>
      <c r="O1013" s="303"/>
      <c r="P1013" s="138"/>
      <c r="Q1013" s="142"/>
      <c r="R1013" s="303"/>
      <c r="S1013" s="138"/>
      <c r="T1013" s="142"/>
      <c r="U1013" s="303"/>
      <c r="V1013" s="138"/>
      <c r="W1013" s="142"/>
      <c r="X1013" s="303"/>
      <c r="Y1013" s="138"/>
      <c r="Z1013" s="142"/>
      <c r="AA1013" s="303"/>
      <c r="AB1013" s="30"/>
      <c r="AC1013" s="30"/>
      <c r="AD1013" s="30"/>
      <c r="AE1013" s="30"/>
      <c r="AF1013" s="30"/>
      <c r="AG1013" s="30"/>
      <c r="AH1013" s="30"/>
      <c r="AI1013" s="30"/>
      <c r="AJ1013" s="30"/>
      <c r="AK1013" s="30"/>
      <c r="AL1013" s="30"/>
      <c r="AM1013" s="30"/>
      <c r="AN1013" s="30"/>
    </row>
    <row r="1014">
      <c r="A1014" s="138"/>
      <c r="B1014" s="142"/>
      <c r="C1014" s="303"/>
      <c r="D1014" s="138"/>
      <c r="E1014" s="142"/>
      <c r="F1014" s="303"/>
      <c r="G1014" s="138"/>
      <c r="H1014" s="142"/>
      <c r="I1014" s="303"/>
      <c r="J1014" s="138"/>
      <c r="K1014" s="142"/>
      <c r="L1014" s="303"/>
      <c r="M1014" s="138"/>
      <c r="N1014" s="142"/>
      <c r="O1014" s="303"/>
      <c r="P1014" s="138"/>
      <c r="Q1014" s="142"/>
      <c r="R1014" s="303"/>
      <c r="S1014" s="138"/>
      <c r="T1014" s="142"/>
      <c r="U1014" s="303"/>
      <c r="V1014" s="138"/>
      <c r="W1014" s="142"/>
      <c r="X1014" s="303"/>
      <c r="Y1014" s="138"/>
      <c r="Z1014" s="142"/>
      <c r="AA1014" s="303"/>
      <c r="AB1014" s="30"/>
      <c r="AC1014" s="30"/>
      <c r="AD1014" s="30"/>
      <c r="AE1014" s="30"/>
      <c r="AF1014" s="30"/>
      <c r="AG1014" s="30"/>
      <c r="AH1014" s="30"/>
      <c r="AI1014" s="30"/>
      <c r="AJ1014" s="30"/>
      <c r="AK1014" s="30"/>
      <c r="AL1014" s="30"/>
      <c r="AM1014" s="30"/>
      <c r="AN1014" s="30"/>
    </row>
    <row r="1015">
      <c r="A1015" s="138"/>
      <c r="B1015" s="142"/>
      <c r="C1015" s="303"/>
      <c r="D1015" s="138"/>
      <c r="E1015" s="142"/>
      <c r="F1015" s="303"/>
      <c r="G1015" s="138"/>
      <c r="H1015" s="142"/>
      <c r="I1015" s="303"/>
      <c r="J1015" s="138"/>
      <c r="K1015" s="142"/>
      <c r="L1015" s="303"/>
      <c r="M1015" s="138"/>
      <c r="N1015" s="142"/>
      <c r="O1015" s="303"/>
      <c r="P1015" s="138"/>
      <c r="Q1015" s="142"/>
      <c r="R1015" s="303"/>
      <c r="S1015" s="138"/>
      <c r="T1015" s="142"/>
      <c r="U1015" s="303"/>
      <c r="V1015" s="138"/>
      <c r="W1015" s="142"/>
      <c r="X1015" s="303"/>
      <c r="Y1015" s="138"/>
      <c r="Z1015" s="142"/>
      <c r="AA1015" s="303"/>
      <c r="AB1015" s="30"/>
      <c r="AC1015" s="30"/>
      <c r="AD1015" s="30"/>
      <c r="AE1015" s="30"/>
      <c r="AF1015" s="30"/>
      <c r="AG1015" s="30"/>
      <c r="AH1015" s="30"/>
      <c r="AI1015" s="30"/>
      <c r="AJ1015" s="30"/>
      <c r="AK1015" s="30"/>
      <c r="AL1015" s="30"/>
      <c r="AM1015" s="30"/>
      <c r="AN1015" s="30"/>
    </row>
    <row r="1016">
      <c r="A1016" s="138"/>
      <c r="B1016" s="142"/>
      <c r="C1016" s="303"/>
      <c r="D1016" s="138"/>
      <c r="E1016" s="142"/>
      <c r="F1016" s="303"/>
      <c r="G1016" s="138"/>
      <c r="H1016" s="142"/>
      <c r="I1016" s="303"/>
      <c r="J1016" s="138"/>
      <c r="K1016" s="142"/>
      <c r="L1016" s="303"/>
      <c r="M1016" s="138"/>
      <c r="N1016" s="142"/>
      <c r="O1016" s="303"/>
      <c r="P1016" s="138"/>
      <c r="Q1016" s="142"/>
      <c r="R1016" s="303"/>
      <c r="S1016" s="138"/>
      <c r="T1016" s="142"/>
      <c r="U1016" s="303"/>
      <c r="V1016" s="138"/>
      <c r="W1016" s="142"/>
      <c r="X1016" s="303"/>
      <c r="Y1016" s="138"/>
      <c r="Z1016" s="142"/>
      <c r="AA1016" s="303"/>
      <c r="AB1016" s="30"/>
      <c r="AC1016" s="30"/>
      <c r="AD1016" s="30"/>
      <c r="AE1016" s="30"/>
      <c r="AF1016" s="30"/>
      <c r="AG1016" s="30"/>
      <c r="AH1016" s="30"/>
      <c r="AI1016" s="30"/>
      <c r="AJ1016" s="30"/>
      <c r="AK1016" s="30"/>
      <c r="AL1016" s="30"/>
      <c r="AM1016" s="30"/>
      <c r="AN1016" s="30"/>
    </row>
    <row r="1017">
      <c r="A1017" s="138"/>
      <c r="B1017" s="142"/>
      <c r="C1017" s="303"/>
      <c r="D1017" s="138"/>
      <c r="E1017" s="142"/>
      <c r="F1017" s="303"/>
      <c r="G1017" s="138"/>
      <c r="H1017" s="142"/>
      <c r="I1017" s="303"/>
      <c r="J1017" s="138"/>
      <c r="K1017" s="142"/>
      <c r="L1017" s="303"/>
      <c r="M1017" s="138"/>
      <c r="N1017" s="142"/>
      <c r="O1017" s="303"/>
      <c r="P1017" s="138"/>
      <c r="Q1017" s="142"/>
      <c r="R1017" s="303"/>
      <c r="S1017" s="138"/>
      <c r="T1017" s="142"/>
      <c r="U1017" s="303"/>
      <c r="V1017" s="138"/>
      <c r="W1017" s="142"/>
      <c r="X1017" s="303"/>
      <c r="Y1017" s="138"/>
      <c r="Z1017" s="142"/>
      <c r="AA1017" s="303"/>
      <c r="AB1017" s="30"/>
      <c r="AC1017" s="30"/>
      <c r="AD1017" s="30"/>
      <c r="AE1017" s="30"/>
      <c r="AF1017" s="30"/>
      <c r="AG1017" s="30"/>
      <c r="AH1017" s="30"/>
      <c r="AI1017" s="30"/>
      <c r="AJ1017" s="30"/>
      <c r="AK1017" s="30"/>
      <c r="AL1017" s="30"/>
      <c r="AM1017" s="30"/>
      <c r="AN1017" s="30"/>
    </row>
    <row r="1018">
      <c r="A1018" s="138"/>
      <c r="B1018" s="142"/>
      <c r="C1018" s="303"/>
      <c r="D1018" s="138"/>
      <c r="E1018" s="142"/>
      <c r="F1018" s="303"/>
      <c r="G1018" s="138"/>
      <c r="H1018" s="142"/>
      <c r="I1018" s="303"/>
      <c r="J1018" s="138"/>
      <c r="K1018" s="142"/>
      <c r="L1018" s="303"/>
      <c r="M1018" s="138"/>
      <c r="N1018" s="142"/>
      <c r="O1018" s="303"/>
      <c r="P1018" s="138"/>
      <c r="Q1018" s="142"/>
      <c r="R1018" s="303"/>
      <c r="S1018" s="138"/>
      <c r="T1018" s="142"/>
      <c r="U1018" s="303"/>
      <c r="V1018" s="138"/>
      <c r="W1018" s="142"/>
      <c r="X1018" s="303"/>
      <c r="Y1018" s="138"/>
      <c r="Z1018" s="142"/>
      <c r="AA1018" s="303"/>
      <c r="AB1018" s="30"/>
      <c r="AC1018" s="30"/>
      <c r="AD1018" s="30"/>
      <c r="AE1018" s="30"/>
      <c r="AF1018" s="30"/>
      <c r="AG1018" s="30"/>
      <c r="AH1018" s="30"/>
      <c r="AI1018" s="30"/>
      <c r="AJ1018" s="30"/>
      <c r="AK1018" s="30"/>
      <c r="AL1018" s="30"/>
      <c r="AM1018" s="30"/>
      <c r="AN1018" s="30"/>
    </row>
  </sheetData>
  <mergeCells count="90">
    <mergeCell ref="AC15:AF15"/>
    <mergeCell ref="AG15:AJ15"/>
    <mergeCell ref="AK15:AN15"/>
    <mergeCell ref="A15:D15"/>
    <mergeCell ref="E15:H15"/>
    <mergeCell ref="I15:L15"/>
    <mergeCell ref="M15:P15"/>
    <mergeCell ref="Q15:T15"/>
    <mergeCell ref="U15:X15"/>
    <mergeCell ref="Y15:AB15"/>
    <mergeCell ref="AC22:AF22"/>
    <mergeCell ref="AG22:AJ22"/>
    <mergeCell ref="AK22:AN22"/>
    <mergeCell ref="A22:D22"/>
    <mergeCell ref="E22:H22"/>
    <mergeCell ref="I22:L22"/>
    <mergeCell ref="M22:P22"/>
    <mergeCell ref="Q22:T22"/>
    <mergeCell ref="U22:X22"/>
    <mergeCell ref="Y22:AB22"/>
    <mergeCell ref="AC26:AF26"/>
    <mergeCell ref="AG26:AJ26"/>
    <mergeCell ref="AK26:AN26"/>
    <mergeCell ref="A26:D26"/>
    <mergeCell ref="E26:H26"/>
    <mergeCell ref="I26:L26"/>
    <mergeCell ref="M26:P26"/>
    <mergeCell ref="Q26:T26"/>
    <mergeCell ref="U26:X26"/>
    <mergeCell ref="Y26:AB26"/>
    <mergeCell ref="AC37:AF37"/>
    <mergeCell ref="AG37:AJ37"/>
    <mergeCell ref="AK37:AN37"/>
    <mergeCell ref="A37:D37"/>
    <mergeCell ref="E37:H37"/>
    <mergeCell ref="I37:L37"/>
    <mergeCell ref="M37:P37"/>
    <mergeCell ref="Q37:T37"/>
    <mergeCell ref="U37:X37"/>
    <mergeCell ref="Y37:AB37"/>
    <mergeCell ref="AC45:AF45"/>
    <mergeCell ref="AG45:AJ45"/>
    <mergeCell ref="AK45:AN45"/>
    <mergeCell ref="A45:D45"/>
    <mergeCell ref="E45:H45"/>
    <mergeCell ref="I45:L45"/>
    <mergeCell ref="M45:P45"/>
    <mergeCell ref="Q45:T45"/>
    <mergeCell ref="U45:X45"/>
    <mergeCell ref="Y45:AB45"/>
    <mergeCell ref="AC1:AF2"/>
    <mergeCell ref="AG1:AJ2"/>
    <mergeCell ref="AK1:AN2"/>
    <mergeCell ref="A1:D2"/>
    <mergeCell ref="E1:H2"/>
    <mergeCell ref="I1:L2"/>
    <mergeCell ref="M1:P2"/>
    <mergeCell ref="Q1:T2"/>
    <mergeCell ref="U1:X2"/>
    <mergeCell ref="Y1:AB2"/>
    <mergeCell ref="AC3:AF3"/>
    <mergeCell ref="AG3:AJ3"/>
    <mergeCell ref="AK3:AN3"/>
    <mergeCell ref="A3:D3"/>
    <mergeCell ref="E3:H3"/>
    <mergeCell ref="I3:L3"/>
    <mergeCell ref="M3:P3"/>
    <mergeCell ref="Q3:T3"/>
    <mergeCell ref="U3:X3"/>
    <mergeCell ref="Y3:AB3"/>
    <mergeCell ref="AC5:AF5"/>
    <mergeCell ref="AG5:AJ5"/>
    <mergeCell ref="AK5:AN5"/>
    <mergeCell ref="A5:D5"/>
    <mergeCell ref="E5:H5"/>
    <mergeCell ref="I5:L5"/>
    <mergeCell ref="M5:P5"/>
    <mergeCell ref="Q5:T5"/>
    <mergeCell ref="U5:X5"/>
    <mergeCell ref="Y5:AB5"/>
    <mergeCell ref="AC62:AF62"/>
    <mergeCell ref="AG62:AJ62"/>
    <mergeCell ref="AK62:AN62"/>
    <mergeCell ref="A62:D62"/>
    <mergeCell ref="E62:H62"/>
    <mergeCell ref="I62:L62"/>
    <mergeCell ref="M62:P62"/>
    <mergeCell ref="Q62:T62"/>
    <mergeCell ref="U62:X62"/>
    <mergeCell ref="Y62:AB6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2" width="30.75"/>
  </cols>
  <sheetData>
    <row r="1" ht="55.5" customHeight="1">
      <c r="A1" s="72" t="s">
        <v>233</v>
      </c>
      <c r="C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72" t="s">
        <v>234</v>
      </c>
      <c r="G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73"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05" t="s">
        <v>2355</v>
      </c>
      <c r="S1" s="306" t="s">
        <v>237</v>
      </c>
      <c r="U1" s="307"/>
      <c r="V1" s="307"/>
    </row>
    <row r="2" ht="55.5" customHeight="1">
      <c r="U2" s="307"/>
      <c r="V2" s="307"/>
    </row>
    <row r="3">
      <c r="A3" s="308" t="s">
        <v>5551</v>
      </c>
      <c r="B3" s="87" t="s">
        <v>5552</v>
      </c>
      <c r="C3" s="308" t="str">
        <f>IFERROR(__xludf.DUMMYFUNCTION("GOOGLETRANSLATE(A3,""zh-tw"",""ja"")"),"武器プロジェクト")</f>
        <v>武器プロジェクト</v>
      </c>
      <c r="D3" s="87" t="str">
        <f>IFERROR(__xludf.DUMMYFUNCTION("GOOGLETRANSLATE(B3,""zh-tw"",""ja"")"),"武器の属性")</f>
        <v>武器の属性</v>
      </c>
      <c r="E3" s="308" t="s">
        <v>5553</v>
      </c>
      <c r="F3" s="87" t="s">
        <v>5554</v>
      </c>
      <c r="G3" s="308" t="str">
        <f>IFERROR(__xludf.DUMMYFUNCTION("GOOGLETRANSLATE(A3,""zh-tw"",""zh"")"),"武器项目")</f>
        <v>武器项目</v>
      </c>
      <c r="H3" s="87" t="str">
        <f>IFERROR(__xludf.DUMMYFUNCTION("GOOGLETRANSLATE(B3,""zh-tw"",""zh"")"),"武器属性")</f>
        <v>武器属性</v>
      </c>
      <c r="I3" s="309" t="str">
        <f>IFERROR(__xludf.DUMMYFUNCTION("GOOGLETRANSLATE(A3,""zh-tw"",""es-MX"")"),"Proyecto de armas")</f>
        <v>Proyecto de armas</v>
      </c>
      <c r="J3" s="53" t="str">
        <f>IFERROR(__xludf.DUMMYFUNCTION("GOOGLETRANSLATE(B3,""zh-tw"",""es-MX"")"),"Atributos de armas")</f>
        <v>Atributos de armas</v>
      </c>
      <c r="K3" s="310" t="str">
        <f>IFERROR(__xludf.DUMMYFUNCTION("GOOGLETRANSLATE(A3,""zh-tw"",""KO"")"),"무기 프로젝트")</f>
        <v>무기 프로젝트</v>
      </c>
      <c r="L3" s="84" t="str">
        <f>IFERROR(__xludf.DUMMYFUNCTION("GOOGLETRANSLATE(B3,""zh-tw"",""KO"")"),"무기 속성")</f>
        <v>무기 속성</v>
      </c>
      <c r="M3" s="309" t="str">
        <f>IFERROR(__xludf.DUMMYFUNCTION("GOOGLETRANSLATE(A3,""zh-tw"",""ru"")"),"Проект «Оружие»")</f>
        <v>Проект «Оружие»</v>
      </c>
      <c r="N3" s="53" t="str">
        <f>IFERROR(__xludf.DUMMYFUNCTION("GOOGLETRANSLATE(B3,""zh-tw"",""ru"")"),"Атрибуты оружия")</f>
        <v>Атрибуты оружия</v>
      </c>
      <c r="O3" s="308" t="s">
        <v>5555</v>
      </c>
      <c r="P3" s="87" t="s">
        <v>5556</v>
      </c>
      <c r="Q3" s="311" t="s">
        <v>5557</v>
      </c>
      <c r="R3" s="312" t="s">
        <v>5558</v>
      </c>
      <c r="S3" s="82" t="s">
        <v>5559</v>
      </c>
      <c r="T3" s="84" t="s">
        <v>5560</v>
      </c>
      <c r="U3" s="84"/>
      <c r="V3" s="84"/>
    </row>
    <row r="4">
      <c r="A4" s="313" t="s">
        <v>5561</v>
      </c>
      <c r="B4" s="136" t="s">
        <v>5562</v>
      </c>
      <c r="C4" s="314" t="str">
        <f>IFERROR(__xludf.DUMMYFUNCTION("GOOGLETRANSLATE(A4,""zh-tw"",""ja"")"),"握りしめた拳")</f>
        <v>握りしめた拳</v>
      </c>
      <c r="D4" s="315" t="str">
        <f>IFERROR(__xludf.DUMMYFUNCTION("GOOGLETRANSLATE(B4,""zh-tw"",""ja"")"),"物理攻撃：2。最大HPに応じて攻撃力が上昇します。")</f>
        <v>物理攻撃：2。最大HPに応じて攻撃力が上昇します。</v>
      </c>
      <c r="E4" s="314" t="s">
        <v>5563</v>
      </c>
      <c r="F4" s="315" t="s">
        <v>5564</v>
      </c>
      <c r="G4" s="314" t="str">
        <f>IFERROR(__xludf.DUMMYFUNCTION("GOOGLETRANSLATE(A4,""zh-tw"",""zh"")"),"握紧的拳头")</f>
        <v>握紧的拳头</v>
      </c>
      <c r="H4" s="315" t="str">
        <f>IFERROR(__xludf.DUMMYFUNCTION("GOOGLETRANSLATE(B4,""zh-tw"",""zh"")"),"物攻：2
攻击依照最大体力增加")</f>
        <v>物攻：2
攻击依照最大体力增加</v>
      </c>
      <c r="I4" s="313" t="s">
        <v>5565</v>
      </c>
      <c r="J4" s="142" t="str">
        <f>IFERROR(__xludf.DUMMYFUNCTION("GOOGLETRANSLATE(B4,""zh-tw"",""es-MX"")"),"Ataque físico: 2. El ataque aumenta según el HP máximo.")</f>
        <v>Ataque físico: 2. El ataque aumenta según el HP máximo.</v>
      </c>
      <c r="K4" s="313" t="s">
        <v>5566</v>
      </c>
      <c r="L4" s="136" t="s">
        <v>5567</v>
      </c>
      <c r="M4" s="316" t="str">
        <f>IFERROR(__xludf.DUMMYFUNCTION("GOOGLETRANSLATE(A4,""zh-tw"",""ru"")"),"Сжатый кулак")</f>
        <v>Сжатый кулак</v>
      </c>
      <c r="N4" s="317" t="str">
        <f>IFERROR(__xludf.DUMMYFUNCTION("GOOGLETRANSLATE(B4,""zh-tw"",""ru"")"),"Физическая атака: 2. Атака увеличивается в зависимости от максимального HP.")</f>
        <v>Физическая атака: 2. Атака увеличивается в зависимости от максимального HP.</v>
      </c>
      <c r="O4" s="314" t="s">
        <v>5568</v>
      </c>
      <c r="P4" s="315" t="s">
        <v>5569</v>
      </c>
      <c r="Q4" s="318" t="s">
        <v>5570</v>
      </c>
      <c r="R4" s="319" t="s">
        <v>5571</v>
      </c>
      <c r="S4" s="138" t="s">
        <v>5572</v>
      </c>
      <c r="T4" s="142" t="s">
        <v>5573</v>
      </c>
      <c r="U4" s="142"/>
      <c r="V4" s="142"/>
    </row>
    <row r="5">
      <c r="A5" s="314" t="s">
        <v>5574</v>
      </c>
      <c r="B5" s="315" t="s">
        <v>5575</v>
      </c>
      <c r="C5" s="314" t="s">
        <v>5576</v>
      </c>
      <c r="D5" s="315" t="str">
        <f>IFERROR(__xludf.DUMMYFUNCTION("GOOGLETRANSLATE(B5,""zh-tw"",""ja"")"),"物理攻撃力: 15")</f>
        <v>物理攻撃力: 15</v>
      </c>
      <c r="E5" s="314" t="s">
        <v>5577</v>
      </c>
      <c r="F5" s="315" t="s">
        <v>5578</v>
      </c>
      <c r="G5" s="314" t="str">
        <f>IFERROR(__xludf.DUMMYFUNCTION("GOOGLETRANSLATE(A5,""zh-tw"",""zh"")"),"硬木剑")</f>
        <v>硬木剑</v>
      </c>
      <c r="H5" s="315" t="str">
        <f>IFERROR(__xludf.DUMMYFUNCTION("GOOGLETRANSLATE(B5,""zh-tw"",""zh"")"),"物攻：15")</f>
        <v>物攻：15</v>
      </c>
      <c r="I5" s="313" t="s">
        <v>5579</v>
      </c>
      <c r="J5" s="142" t="str">
        <f>IFERROR(__xludf.DUMMYFUNCTION("GOOGLETRANSLATE(B5,""zh-tw"",""es-MX"")"),"Ataque físico: 15")</f>
        <v>Ataque físico: 15</v>
      </c>
      <c r="K5" s="314" t="s">
        <v>5580</v>
      </c>
      <c r="L5" s="136" t="s">
        <v>5581</v>
      </c>
      <c r="M5" s="316" t="str">
        <f>IFERROR(__xludf.DUMMYFUNCTION("GOOGLETRANSLATE(A5,""zh-tw"",""ru"")"),"Меч из твердой древесины")</f>
        <v>Меч из твердой древесины</v>
      </c>
      <c r="N5" s="317" t="str">
        <f>IFERROR(__xludf.DUMMYFUNCTION("GOOGLETRANSLATE(B5,""zh-tw"",""ru"")"),"Физическая атака: 15")</f>
        <v>Физическая атака: 15</v>
      </c>
      <c r="O5" s="314" t="s">
        <v>5582</v>
      </c>
      <c r="P5" s="315" t="s">
        <v>5583</v>
      </c>
      <c r="Q5" s="318" t="s">
        <v>5584</v>
      </c>
      <c r="R5" s="319" t="s">
        <v>5585</v>
      </c>
      <c r="S5" s="138" t="s">
        <v>5586</v>
      </c>
      <c r="T5" s="142" t="s">
        <v>5587</v>
      </c>
      <c r="U5" s="142"/>
      <c r="V5" s="142"/>
    </row>
    <row r="6">
      <c r="A6" s="314" t="s">
        <v>5588</v>
      </c>
      <c r="B6" s="315" t="s">
        <v>5589</v>
      </c>
      <c r="C6" s="314" t="s">
        <v>5590</v>
      </c>
      <c r="D6" s="315" t="str">
        <f>IFERROR(__xludf.DUMMYFUNCTION("GOOGLETRANSLATE(B6,""zh-tw"",""ja"")"),"物理攻撃力: 14")</f>
        <v>物理攻撃力: 14</v>
      </c>
      <c r="E6" s="314" t="s">
        <v>5591</v>
      </c>
      <c r="F6" s="315" t="s">
        <v>5592</v>
      </c>
      <c r="G6" s="314" t="str">
        <f>IFERROR(__xludf.DUMMYFUNCTION("GOOGLETRANSLATE(A6,""zh-tw"",""zh"")"),"硬木棒")</f>
        <v>硬木棒</v>
      </c>
      <c r="H6" s="315" t="str">
        <f>IFERROR(__xludf.DUMMYFUNCTION("GOOGLETRANSLATE(B6,""zh-tw"",""zh"")"),"物攻：14")</f>
        <v>物攻：14</v>
      </c>
      <c r="I6" s="313" t="s">
        <v>5593</v>
      </c>
      <c r="J6" s="142" t="str">
        <f>IFERROR(__xludf.DUMMYFUNCTION("GOOGLETRANSLATE(B6,""zh-tw"",""es-MX"")"),"Ataque físico: 14")</f>
        <v>Ataque físico: 14</v>
      </c>
      <c r="K6" s="320" t="str">
        <f>IFERROR(__xludf.DUMMYFUNCTION("GOOGLETRANSLATE(A6,""zh-tw"",""KO"")"),"단단한 나무 막대기")</f>
        <v>단단한 나무 막대기</v>
      </c>
      <c r="L6" s="136" t="s">
        <v>5594</v>
      </c>
      <c r="M6" s="316" t="str">
        <f>IFERROR(__xludf.DUMMYFUNCTION("GOOGLETRANSLATE(A6,""zh-tw"",""ru"")"),"палка из твердой древесины")</f>
        <v>палка из твердой древесины</v>
      </c>
      <c r="N6" s="317" t="str">
        <f>IFERROR(__xludf.DUMMYFUNCTION("GOOGLETRANSLATE(B6,""zh-tw"",""ru"")"),"Физическая атака: 14")</f>
        <v>Физическая атака: 14</v>
      </c>
      <c r="O6" s="314" t="s">
        <v>5595</v>
      </c>
      <c r="P6" s="315" t="s">
        <v>5596</v>
      </c>
      <c r="Q6" s="318" t="s">
        <v>5597</v>
      </c>
      <c r="R6" s="319" t="s">
        <v>5598</v>
      </c>
      <c r="S6" s="138" t="s">
        <v>5599</v>
      </c>
      <c r="T6" s="142" t="s">
        <v>5600</v>
      </c>
      <c r="U6" s="142"/>
      <c r="V6" s="142"/>
    </row>
    <row r="7">
      <c r="A7" s="314" t="s">
        <v>5601</v>
      </c>
      <c r="B7" s="315" t="s">
        <v>5602</v>
      </c>
      <c r="C7" s="314" t="str">
        <f>IFERROR(__xludf.DUMMYFUNCTION("GOOGLETRANSLATE(A7,""zh-tw"",""ja"")"),"伐採斧")</f>
        <v>伐採斧</v>
      </c>
      <c r="D7" s="315" t="str">
        <f>IFERROR(__xludf.DUMMYFUNCTION("GOOGLETRANSLATE(B7,""zh-tw"",""ja"")"),"物理攻撃力: 24")</f>
        <v>物理攻撃力: 24</v>
      </c>
      <c r="E7" s="314" t="s">
        <v>5603</v>
      </c>
      <c r="F7" s="315" t="s">
        <v>5604</v>
      </c>
      <c r="G7" s="314" t="str">
        <f>IFERROR(__xludf.DUMMYFUNCTION("GOOGLETRANSLATE(A7,""zh-tw"",""zh"")"),"伐木斧")</f>
        <v>伐木斧</v>
      </c>
      <c r="H7" s="315" t="str">
        <f>IFERROR(__xludf.DUMMYFUNCTION("GOOGLETRANSLATE(B7,""zh-tw"",""zh"")"),"物攻：24")</f>
        <v>物攻：24</v>
      </c>
      <c r="I7" s="313" t="s">
        <v>5605</v>
      </c>
      <c r="J7" s="142" t="str">
        <f>IFERROR(__xludf.DUMMYFUNCTION("GOOGLETRANSLATE(B7,""zh-tw"",""es-MX"")"),"Ataque físico: 24")</f>
        <v>Ataque físico: 24</v>
      </c>
      <c r="K7" s="313" t="s">
        <v>5606</v>
      </c>
      <c r="L7" s="136" t="s">
        <v>5607</v>
      </c>
      <c r="M7" s="316" t="str">
        <f>IFERROR(__xludf.DUMMYFUNCTION("GOOGLETRANSLATE(A7,""zh-tw"",""ru"")"),"топор для рубки леса")</f>
        <v>топор для рубки леса</v>
      </c>
      <c r="N7" s="317" t="str">
        <f>IFERROR(__xludf.DUMMYFUNCTION("GOOGLETRANSLATE(B7,""zh-tw"",""ru"")"),"Физическая атака: 24")</f>
        <v>Физическая атака: 24</v>
      </c>
      <c r="O7" s="314" t="s">
        <v>5608</v>
      </c>
      <c r="P7" s="315" t="s">
        <v>5609</v>
      </c>
      <c r="Q7" s="318" t="s">
        <v>5610</v>
      </c>
      <c r="R7" s="319" t="s">
        <v>5611</v>
      </c>
      <c r="S7" s="138" t="s">
        <v>5612</v>
      </c>
      <c r="T7" s="142" t="s">
        <v>5613</v>
      </c>
      <c r="U7" s="142"/>
      <c r="V7" s="142"/>
    </row>
    <row r="8">
      <c r="A8" s="314" t="s">
        <v>5331</v>
      </c>
      <c r="B8" s="315" t="s">
        <v>5614</v>
      </c>
      <c r="C8" s="314" t="str">
        <f>IFERROR(__xludf.DUMMYFUNCTION("GOOGLETRANSLATE(A8,""zh-tw"",""ja"")"),"騎士の剣")</f>
        <v>騎士の剣</v>
      </c>
      <c r="D8" s="315" t="str">
        <f>IFERROR(__xludf.DUMMYFUNCTION("GOOGLETRANSLATE(B8,""zh-tw"",""ja"")"),"物理攻撃力：30（条件を満たすと2倍）")</f>
        <v>物理攻撃力：30（条件を満たすと2倍）</v>
      </c>
      <c r="E8" s="314" t="s">
        <v>5334</v>
      </c>
      <c r="F8" s="315" t="s">
        <v>5615</v>
      </c>
      <c r="G8" s="314" t="str">
        <f>IFERROR(__xludf.DUMMYFUNCTION("GOOGLETRANSLATE(A8,""zh-tw"",""zh"")"),"骑士之剑")</f>
        <v>骑士之剑</v>
      </c>
      <c r="H8" s="315" t="str">
        <f>IFERROR(__xludf.DUMMYFUNCTION("GOOGLETRANSLATE(B8,""zh-tw"",""zh"")"),"物攻：30
满足条件后翻倍")</f>
        <v>物攻：30
满足条件后翻倍</v>
      </c>
      <c r="I8" s="313" t="s">
        <v>5616</v>
      </c>
      <c r="J8" s="142" t="str">
        <f>IFERROR(__xludf.DUMMYFUNCTION("GOOGLETRANSLATE(B8,""zh-tw"",""es-MX"")"),"Ataque físico: 30 (se duplica al cumplir ciertas condiciones)")</f>
        <v>Ataque físico: 30 (se duplica al cumplir ciertas condiciones)</v>
      </c>
      <c r="K8" s="320" t="str">
        <f>IFERROR(__xludf.DUMMYFUNCTION("GOOGLETRANSLATE(A8,""zh-tw"",""KO"")"),"기사의 검")</f>
        <v>기사의 검</v>
      </c>
      <c r="L8" s="136" t="s">
        <v>5617</v>
      </c>
      <c r="M8" s="316" t="str">
        <f>IFERROR(__xludf.DUMMYFUNCTION("GOOGLETRANSLATE(A8,""zh-tw"",""ru"")"),"Рыцарский меч")</f>
        <v>Рыцарский меч</v>
      </c>
      <c r="N8" s="317"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14" t="s">
        <v>5338</v>
      </c>
      <c r="P8" s="315" t="s">
        <v>5618</v>
      </c>
      <c r="Q8" s="318" t="s">
        <v>5619</v>
      </c>
      <c r="R8" s="319" t="s">
        <v>5620</v>
      </c>
      <c r="S8" s="138" t="s">
        <v>5343</v>
      </c>
      <c r="T8" s="142" t="s">
        <v>5621</v>
      </c>
      <c r="U8" s="142"/>
      <c r="V8" s="142"/>
    </row>
    <row r="9">
      <c r="A9" s="314" t="s">
        <v>5622</v>
      </c>
      <c r="B9" s="315" t="s">
        <v>5623</v>
      </c>
      <c r="C9" s="314" t="s">
        <v>5624</v>
      </c>
      <c r="D9" s="315" t="str">
        <f>IFERROR(__xludf.DUMMYFUNCTION("GOOGLETRANSLATE(B9,""zh-tw"",""ja"")"),"物理攻撃力: 42")</f>
        <v>物理攻撃力: 42</v>
      </c>
      <c r="E9" s="314" t="s">
        <v>5625</v>
      </c>
      <c r="F9" s="315" t="s">
        <v>5626</v>
      </c>
      <c r="G9" s="314" t="str">
        <f>IFERROR(__xludf.DUMMYFUNCTION("GOOGLETRANSLATE(A9,""zh-tw"",""zh"")"),"兽人的骨釜")</f>
        <v>兽人的骨釜</v>
      </c>
      <c r="H9" s="315" t="str">
        <f>IFERROR(__xludf.DUMMYFUNCTION("GOOGLETRANSLATE(B9,""zh-tw"",""zh"")"),"物攻：42")</f>
        <v>物攻：42</v>
      </c>
      <c r="I9" s="313" t="s">
        <v>5627</v>
      </c>
      <c r="J9" s="142" t="str">
        <f>IFERROR(__xludf.DUMMYFUNCTION("GOOGLETRANSLATE(B9,""zh-tw"",""es-MX"")"),"Ataque físico: 42")</f>
        <v>Ataque físico: 42</v>
      </c>
      <c r="K9" s="314" t="s">
        <v>5628</v>
      </c>
      <c r="L9" s="136" t="s">
        <v>5629</v>
      </c>
      <c r="M9" s="316" t="str">
        <f>IFERROR(__xludf.DUMMYFUNCTION("GOOGLETRANSLATE(A9,""zh-tw"",""ru"")"),"Орочий костяной котел")</f>
        <v>Орочий костяной котел</v>
      </c>
      <c r="N9" s="317" t="str">
        <f>IFERROR(__xludf.DUMMYFUNCTION("GOOGLETRANSLATE(B9,""zh-tw"",""ru"")"),"Физическая атака: 42")</f>
        <v>Физическая атака: 42</v>
      </c>
      <c r="O9" s="314" t="s">
        <v>5630</v>
      </c>
      <c r="P9" s="315" t="s">
        <v>5631</v>
      </c>
      <c r="Q9" s="318" t="s">
        <v>5632</v>
      </c>
      <c r="R9" s="319" t="s">
        <v>5633</v>
      </c>
      <c r="S9" s="138" t="s">
        <v>5634</v>
      </c>
      <c r="T9" s="142" t="s">
        <v>5635</v>
      </c>
      <c r="U9" s="142"/>
      <c r="V9" s="142"/>
    </row>
    <row r="10">
      <c r="A10" s="320" t="s">
        <v>5636</v>
      </c>
      <c r="B10" s="142" t="s">
        <v>5637</v>
      </c>
      <c r="C10" s="320" t="s">
        <v>5638</v>
      </c>
      <c r="D10" s="51" t="s">
        <v>5639</v>
      </c>
      <c r="E10" s="321" t="s">
        <v>5640</v>
      </c>
      <c r="F10" s="51" t="s">
        <v>5641</v>
      </c>
      <c r="G10" s="314" t="str">
        <f>IFERROR(__xludf.DUMMYFUNCTION("GOOGLETRANSLATE(A10,""zh-tw"",""zh"")"),"怪鸟的羽毛")</f>
        <v>怪鸟的羽毛</v>
      </c>
      <c r="H10" s="315" t="str">
        <f>IFERROR(__xludf.DUMMYFUNCTION("GOOGLETRANSLATE(B10,""zh-tw"",""zh"")"),"物攻：18
旋风斩提升移速
旋风斩进入漂浮状态")</f>
        <v>物攻：18
旋风斩提升移速
旋风斩进入漂浮状态</v>
      </c>
      <c r="I10" s="313" t="s">
        <v>5642</v>
      </c>
      <c r="J10" s="142" t="str">
        <f>IFERROR(__xludf.DUMMYFUNCTION("GOOGLETRANSLATE(B10,""zh-tw"",""es-MX"")"),"Ataque físico: 18 Corte torbellino aumenta la velocidad de movimiento Corte torbellino entra en un estado flotante")</f>
        <v>Ataque físico: 18 Corte torbellino aumenta la velocidad de movimiento Corte torbellino entra en un estado flotante</v>
      </c>
      <c r="K10" s="320" t="str">
        <f>IFERROR(__xludf.DUMMYFUNCTION("GOOGLETRANSLATE(A10,""zh-tw"",""KO"")"),"이상한 새의 깃털")</f>
        <v>이상한 새의 깃털</v>
      </c>
      <c r="L10" s="142"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16" t="str">
        <f>IFERROR(__xludf.DUMMYFUNCTION("GOOGLETRANSLATE(A10,""zh-tw"",""ru"")"),"Перья странной птицы")</f>
        <v>Перья странной птицы</v>
      </c>
      <c r="N10" s="317"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21" t="s">
        <v>5643</v>
      </c>
      <c r="P10" s="51" t="s">
        <v>5644</v>
      </c>
      <c r="Q10" s="318" t="s">
        <v>5645</v>
      </c>
      <c r="R10" s="319" t="s">
        <v>5646</v>
      </c>
      <c r="S10" s="138" t="s">
        <v>5647</v>
      </c>
      <c r="T10" s="142" t="s">
        <v>5648</v>
      </c>
      <c r="U10" s="142"/>
      <c r="V10" s="142"/>
    </row>
    <row r="11">
      <c r="A11" s="314" t="s">
        <v>5649</v>
      </c>
      <c r="B11" s="315" t="s">
        <v>5650</v>
      </c>
      <c r="C11" s="314" t="s">
        <v>5651</v>
      </c>
      <c r="D11" s="315" t="str">
        <f>IFERROR(__xludf.DUMMYFUNCTION("GOOGLETRANSLATE(B11,""zh-tw"",""ja"")"),"物理攻撃: 20 飛び道具を反射する")</f>
        <v>物理攻撃: 20 飛び道具を反射する</v>
      </c>
      <c r="E11" s="314" t="s">
        <v>5652</v>
      </c>
      <c r="F11" s="315" t="s">
        <v>5653</v>
      </c>
      <c r="G11" s="314" t="str">
        <f>IFERROR(__xludf.DUMMYFUNCTION("GOOGLETRANSLATE(A11,""zh-tw"",""zh"")"),"棒球棍")</f>
        <v>棒球棍</v>
      </c>
      <c r="H11" s="315" t="str">
        <f>IFERROR(__xludf.DUMMYFUNCTION("GOOGLETRANSLATE(B11,""zh-tw"",""zh"")"),"物攻：20
反弹抛射物")</f>
        <v>物攻：20
反弹抛射物</v>
      </c>
      <c r="I11" s="313" t="s">
        <v>5654</v>
      </c>
      <c r="J11" s="142" t="str">
        <f>IFERROR(__xludf.DUMMYFUNCTION("GOOGLETRANSLATE(B11,""zh-tw"",""es-MX"")"),"Ataque físico: 20 Refleja proyectiles")</f>
        <v>Ataque físico: 20 Refleja proyectiles</v>
      </c>
      <c r="K11" s="313" t="s">
        <v>5655</v>
      </c>
      <c r="L11" s="136" t="s">
        <v>5656</v>
      </c>
      <c r="M11" s="316" t="str">
        <f>IFERROR(__xludf.DUMMYFUNCTION("GOOGLETRANSLATE(A11,""zh-tw"",""ru"")"),"бейсбольная бита")</f>
        <v>бейсбольная бита</v>
      </c>
      <c r="N11" s="317" t="str">
        <f>IFERROR(__xludf.DUMMYFUNCTION("GOOGLETRANSLATE(B11,""zh-tw"",""ru"")"),"Физическая атака: 20 отражает снаряды")</f>
        <v>Физическая атака: 20 отражает снаряды</v>
      </c>
      <c r="O11" s="314" t="s">
        <v>5657</v>
      </c>
      <c r="P11" s="315" t="s">
        <v>5658</v>
      </c>
      <c r="Q11" s="318" t="s">
        <v>5659</v>
      </c>
      <c r="R11" s="319" t="s">
        <v>5660</v>
      </c>
      <c r="S11" s="138" t="s">
        <v>5661</v>
      </c>
      <c r="T11" s="142" t="s">
        <v>5662</v>
      </c>
      <c r="U11" s="142"/>
      <c r="V11" s="142"/>
    </row>
    <row r="12">
      <c r="A12" s="314" t="s">
        <v>5663</v>
      </c>
      <c r="B12" s="315" t="s">
        <v>5664</v>
      </c>
      <c r="C12" s="314" t="s">
        <v>5665</v>
      </c>
      <c r="D12" s="315" t="str">
        <f>IFERROR(__xludf.DUMMYFUNCTION("GOOGLETRANSLATE(B12,""zh-tw"",""ja"")"),"物理攻撃力: 14 悪臭を放つ")</f>
        <v>物理攻撃力: 14 悪臭を放つ</v>
      </c>
      <c r="E12" s="314" t="s">
        <v>5666</v>
      </c>
      <c r="F12" s="315" t="s">
        <v>5667</v>
      </c>
      <c r="G12" s="314" t="str">
        <f>IFERROR(__xludf.DUMMYFUNCTION("GOOGLETRANSLATE(A12,""zh-tw"",""zh"")"),"臭鱼骨")</f>
        <v>臭鱼骨</v>
      </c>
      <c r="H12" s="315" t="str">
        <f>IFERROR(__xludf.DUMMYFUNCTION("GOOGLETRANSLATE(B12,""zh-tw"",""zh"")"),"物攻：14
散发恶臭")</f>
        <v>物攻：14
散发恶臭</v>
      </c>
      <c r="I12" s="313" t="s">
        <v>5668</v>
      </c>
      <c r="J12" s="142" t="str">
        <f>IFERROR(__xludf.DUMMYFUNCTION("GOOGLETRANSLATE(B12,""zh-tw"",""es-MX"")"),"Ataque físico: 14 Emite un hedor nauseabundo")</f>
        <v>Ataque físico: 14 Emite un hedor nauseabundo</v>
      </c>
      <c r="K12" s="320" t="str">
        <f>IFERROR(__xludf.DUMMYFUNCTION("GOOGLETRANSLATE(A12,""zh-tw"",""KO"")"),"냄새나는 생선 뼈")</f>
        <v>냄새나는 생선 뼈</v>
      </c>
      <c r="L12" s="136" t="s">
        <v>5669</v>
      </c>
      <c r="M12" s="316" t="str">
        <f>IFERROR(__xludf.DUMMYFUNCTION("GOOGLETRANSLATE(A12,""zh-tw"",""ru"")"),"Вонючие рыбьи кости")</f>
        <v>Вонючие рыбьи кости</v>
      </c>
      <c r="N12" s="317" t="str">
        <f>IFERROR(__xludf.DUMMYFUNCTION("GOOGLETRANSLATE(B12,""zh-tw"",""ru"")"),"Физическая атака: 14. Издает неприятный запах.")</f>
        <v>Физическая атака: 14. Издает неприятный запах.</v>
      </c>
      <c r="O12" s="314" t="s">
        <v>5670</v>
      </c>
      <c r="P12" s="315" t="s">
        <v>5671</v>
      </c>
      <c r="Q12" s="318" t="s">
        <v>5672</v>
      </c>
      <c r="R12" s="319" t="s">
        <v>5673</v>
      </c>
      <c r="S12" s="138" t="s">
        <v>5674</v>
      </c>
      <c r="T12" s="142" t="s">
        <v>5675</v>
      </c>
      <c r="U12" s="142"/>
      <c r="V12" s="142"/>
    </row>
    <row r="13">
      <c r="A13" s="314" t="s">
        <v>5676</v>
      </c>
      <c r="B13" s="315" t="s">
        <v>5677</v>
      </c>
      <c r="C13" s="314" t="s">
        <v>5676</v>
      </c>
      <c r="D13" s="315" t="str">
        <f>IFERROR(__xludf.DUMMYFUNCTION("GOOGLETRANSLATE(B13,""zh-tw"",""ja"")"),"物理攻撃力：24
魔法攻撃力：16
火属性")</f>
        <v>物理攻撃力：24
魔法攻撃力：16
火属性</v>
      </c>
      <c r="E13" s="314" t="s">
        <v>5678</v>
      </c>
      <c r="F13" s="315" t="s">
        <v>5679</v>
      </c>
      <c r="G13" s="314" t="str">
        <f>IFERROR(__xludf.DUMMYFUNCTION("GOOGLETRANSLATE(A13,""zh-tw"",""zh"")"),"阳炎")</f>
        <v>阳炎</v>
      </c>
      <c r="H13" s="315" t="str">
        <f>IFERROR(__xludf.DUMMYFUNCTION("GOOGLETRANSLATE(B13,""zh-tw"",""zh"")"),"物攻：24
魔攻：16
炎属性")</f>
        <v>物攻：24
魔攻：16
炎属性</v>
      </c>
      <c r="I13" s="313" t="s">
        <v>5680</v>
      </c>
      <c r="J13" s="142" t="str">
        <f>IFERROR(__xludf.DUMMYFUNCTION("GOOGLETRANSLATE(B13,""zh-tw"",""es-MX"")"),"Ataque físico: 24
Ataque mágico: 16
Atributo de fuego")</f>
        <v>Ataque físico: 24
Ataque mágico: 16
Atributo de fuego</v>
      </c>
      <c r="K13" s="314" t="s">
        <v>5681</v>
      </c>
      <c r="L13" s="136" t="s">
        <v>5682</v>
      </c>
      <c r="M13" s="316" t="str">
        <f>IFERROR(__xludf.DUMMYFUNCTION("GOOGLETRANSLATE(A13,""zh-tw"",""ru"")"),"Кагеро")</f>
        <v>Кагеро</v>
      </c>
      <c r="N13" s="317" t="str">
        <f>IFERROR(__xludf.DUMMYFUNCTION("GOOGLETRANSLATE(B13,""zh-tw"",""ru"")"),"Физическая атака: 24
Магическая атака: 16
Атрибут огня")</f>
        <v>Физическая атака: 24
Магическая атака: 16
Атрибут огня</v>
      </c>
      <c r="O13" s="314" t="s">
        <v>5683</v>
      </c>
      <c r="P13" s="315" t="s">
        <v>5684</v>
      </c>
      <c r="Q13" s="318" t="s">
        <v>5685</v>
      </c>
      <c r="R13" s="322" t="s">
        <v>5686</v>
      </c>
      <c r="S13" s="138" t="s">
        <v>5687</v>
      </c>
      <c r="T13" s="142" t="s">
        <v>5688</v>
      </c>
      <c r="U13" s="142"/>
      <c r="V13" s="142"/>
    </row>
    <row r="14">
      <c r="A14" s="314" t="s">
        <v>5689</v>
      </c>
      <c r="B14" s="315" t="s">
        <v>5690</v>
      </c>
      <c r="C14" s="314" t="s">
        <v>5689</v>
      </c>
      <c r="D14" s="315" t="str">
        <f>IFERROR(__xludf.DUMMYFUNCTION("GOOGLETRANSLATE(B14,""zh-tw"",""ja"")"),"物理攻撃力：20
魔法攻撃力：14
氷属性")</f>
        <v>物理攻撃力：20
魔法攻撃力：14
氷属性</v>
      </c>
      <c r="E14" s="314" t="s">
        <v>5691</v>
      </c>
      <c r="F14" s="315" t="s">
        <v>5692</v>
      </c>
      <c r="G14" s="314" t="str">
        <f>IFERROR(__xludf.DUMMYFUNCTION("GOOGLETRANSLATE(A14,""zh-tw"",""zh"")"),"霜月")</f>
        <v>霜月</v>
      </c>
      <c r="H14" s="315" t="str">
        <f>IFERROR(__xludf.DUMMYFUNCTION("GOOGLETRANSLATE(B14,""zh-tw"",""zh"")"),"物攻：20
魔攻：14
冰属性")</f>
        <v>物攻：20
魔攻：14
冰属性</v>
      </c>
      <c r="I14" s="313" t="s">
        <v>5693</v>
      </c>
      <c r="J14" s="142" t="str">
        <f>IFERROR(__xludf.DUMMYFUNCTION("GOOGLETRANSLATE(B14,""zh-tw"",""es-MX"")"),"Ataque físico: 20
Ataque mágico: 14
Atributo hielo")</f>
        <v>Ataque físico: 20
Ataque mágico: 14
Atributo hielo</v>
      </c>
      <c r="K14" s="313" t="s">
        <v>5694</v>
      </c>
      <c r="L14" s="136" t="s">
        <v>5695</v>
      </c>
      <c r="M14" s="316" t="str">
        <f>IFERROR(__xludf.DUMMYFUNCTION("GOOGLETRANSLATE(A14,""zh-tw"",""ru"")"),"морозная луна")</f>
        <v>морозная луна</v>
      </c>
      <c r="N14" s="317" t="str">
        <f>IFERROR(__xludf.DUMMYFUNCTION("GOOGLETRANSLATE(B14,""zh-tw"",""ru"")"),"Физическая атака: 20
Магическая атака: 14
Атрибут льда")</f>
        <v>Физическая атака: 20
Магическая атака: 14
Атрибут льда</v>
      </c>
      <c r="O14" s="314" t="s">
        <v>5696</v>
      </c>
      <c r="P14" s="315" t="s">
        <v>5697</v>
      </c>
      <c r="Q14" s="323" t="s">
        <v>5698</v>
      </c>
      <c r="R14" s="319" t="s">
        <v>5699</v>
      </c>
      <c r="S14" s="138" t="s">
        <v>5700</v>
      </c>
      <c r="T14" s="142" t="s">
        <v>5701</v>
      </c>
      <c r="U14" s="142"/>
      <c r="V14" s="142"/>
    </row>
    <row r="15">
      <c r="A15" s="314" t="s">
        <v>5702</v>
      </c>
      <c r="B15" s="315" t="s">
        <v>5703</v>
      </c>
      <c r="C15" s="314" t="s">
        <v>5704</v>
      </c>
      <c r="D15" s="315" t="str">
        <f>IFERROR(__xludf.DUMMYFUNCTION("GOOGLETRANSLATE(B15,""zh-tw"",""ja"")"),"物理攻撃力：28
魔法攻撃力：12
電撃属性")</f>
        <v>物理攻撃力：28
魔法攻撃力：12
電撃属性</v>
      </c>
      <c r="E15" s="314" t="s">
        <v>5705</v>
      </c>
      <c r="F15" s="315" t="s">
        <v>5706</v>
      </c>
      <c r="G15" s="314" t="str">
        <f>IFERROR(__xludf.DUMMYFUNCTION("GOOGLETRANSLATE(A15,""zh-tw"",""zh"")"),"会漏电的不良品")</f>
        <v>会漏电的不良品</v>
      </c>
      <c r="H15" s="315" t="str">
        <f>IFERROR(__xludf.DUMMYFUNCTION("GOOGLETRANSLATE(B15,""zh-tw"",""zh"")"),"物攻：28
魔攻：12
电属性")</f>
        <v>物攻：28
魔攻：12
电属性</v>
      </c>
      <c r="I15" s="313" t="s">
        <v>5707</v>
      </c>
      <c r="J15" s="142" t="str">
        <f>IFERROR(__xludf.DUMMYFUNCTION("GOOGLETRANSLATE(B15,""zh-tw"",""es-MX"")"),"Ataque físico: 28
Ataque mágico: 12
Atributo eléctrico")</f>
        <v>Ataque físico: 28
Ataque mágico: 12
Atributo eléctrico</v>
      </c>
      <c r="K15" s="313" t="s">
        <v>5708</v>
      </c>
      <c r="L15" s="142" t="str">
        <f>IFERROR(__xludf.DUMMYFUNCTION("GOOGLETRANSLATE(B15,""zh-tw"",""KO"")"),"물리 공격력: 28
마법 공격력: 12
전기 속성")</f>
        <v>물리 공격력: 28
마법 공격력: 12
전기 속성</v>
      </c>
      <c r="M15" s="316"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17" t="str">
        <f>IFERROR(__xludf.DUMMYFUNCTION("GOOGLETRANSLATE(B15,""zh-tw"",""ru"")"),"Физическая атака: 28
Магическая атака: 12
Атрибут электричества")</f>
        <v>Физическая атака: 28
Магическая атака: 12
Атрибут электричества</v>
      </c>
      <c r="O15" s="314" t="s">
        <v>5709</v>
      </c>
      <c r="P15" s="315" t="s">
        <v>5710</v>
      </c>
      <c r="Q15" s="318" t="s">
        <v>5711</v>
      </c>
      <c r="R15" s="322" t="s">
        <v>5712</v>
      </c>
      <c r="S15" s="138" t="s">
        <v>5713</v>
      </c>
      <c r="T15" s="142" t="s">
        <v>5714</v>
      </c>
      <c r="U15" s="142"/>
      <c r="V15" s="142"/>
    </row>
    <row r="16">
      <c r="A16" s="314" t="s">
        <v>5715</v>
      </c>
      <c r="B16" s="315" t="s">
        <v>5716</v>
      </c>
      <c r="C16" s="314" t="s">
        <v>5717</v>
      </c>
      <c r="D16" s="315" t="str">
        <f>IFERROR(__xludf.DUMMYFUNCTION("GOOGLETRANSLATE(B16,""zh-tw"",""ja"")"),"物理攻撃：毒属性14")</f>
        <v>物理攻撃：毒属性14</v>
      </c>
      <c r="E16" s="314" t="s">
        <v>5718</v>
      </c>
      <c r="F16" s="315" t="s">
        <v>5719</v>
      </c>
      <c r="G16" s="314" t="str">
        <f>IFERROR(__xludf.DUMMYFUNCTION("GOOGLETRANSLATE(A16,""zh-tw"",""zh"")"),"毒孢针")</f>
        <v>毒孢针</v>
      </c>
      <c r="H16" s="315" t="str">
        <f>IFERROR(__xludf.DUMMYFUNCTION("GOOGLETRANSLATE(B16,""zh-tw"",""zh"")"),"物攻：14
毒属性")</f>
        <v>物攻：14
毒属性</v>
      </c>
      <c r="I16" s="313" t="s">
        <v>5720</v>
      </c>
      <c r="J16" s="142" t="str">
        <f>IFERROR(__xludf.DUMMYFUNCTION("GOOGLETRANSLATE(B16,""zh-tw"",""es-MX"")"),"Ataque físico: 14 Atributo Veneno")</f>
        <v>Ataque físico: 14 Atributo Veneno</v>
      </c>
      <c r="K16" s="313" t="s">
        <v>5721</v>
      </c>
      <c r="L16" s="142" t="str">
        <f>IFERROR(__xludf.DUMMYFUNCTION("GOOGLETRANSLATE(B16,""zh-tw"",""KO"")"),"물리 공격력: 14 독 속성")</f>
        <v>물리 공격력: 14 독 속성</v>
      </c>
      <c r="M16" s="316" t="str">
        <f>IFERROR(__xludf.DUMMYFUNCTION("GOOGLETRANSLATE(A16,""zh-tw"",""ru"")"),"Ядовитая споровая игла")</f>
        <v>Ядовитая споровая игла</v>
      </c>
      <c r="N16" s="317" t="str">
        <f>IFERROR(__xludf.DUMMYFUNCTION("GOOGLETRANSLATE(B16,""zh-tw"",""ru"")"),"Физическая атака: 14 Атрибут Яда")</f>
        <v>Физическая атака: 14 Атрибут Яда</v>
      </c>
      <c r="O16" s="314" t="s">
        <v>5722</v>
      </c>
      <c r="P16" s="315" t="s">
        <v>5723</v>
      </c>
      <c r="Q16" s="318" t="s">
        <v>5724</v>
      </c>
      <c r="R16" s="319" t="s">
        <v>5725</v>
      </c>
      <c r="S16" s="138" t="s">
        <v>5726</v>
      </c>
      <c r="T16" s="142" t="s">
        <v>5727</v>
      </c>
      <c r="U16" s="142"/>
      <c r="V16" s="142"/>
    </row>
    <row r="17">
      <c r="A17" s="314" t="s">
        <v>5728</v>
      </c>
      <c r="B17" s="315" t="s">
        <v>5729</v>
      </c>
      <c r="C17" s="314" t="s">
        <v>5730</v>
      </c>
      <c r="D17" s="315" t="str">
        <f>IFERROR(__xludf.DUMMYFUNCTION("GOOGLETRANSLATE(B17,""zh-tw"",""ja"")"),"物理攻撃：32 分割攻撃")</f>
        <v>物理攻撃：32 分割攻撃</v>
      </c>
      <c r="E17" s="313" t="s">
        <v>5731</v>
      </c>
      <c r="F17" s="136" t="s">
        <v>5732</v>
      </c>
      <c r="G17" s="314" t="str">
        <f>IFERROR(__xludf.DUMMYFUNCTION("GOOGLETRANSLATE(A17,""zh-tw"",""zh"")"),"柳叶长剑")</f>
        <v>柳叶长剑</v>
      </c>
      <c r="H17" s="315" t="str">
        <f>IFERROR(__xludf.DUMMYFUNCTION("GOOGLETRANSLATE(B17,""zh-tw"",""zh"")"),"物攻：32
分裂攻击")</f>
        <v>物攻：32
分裂攻击</v>
      </c>
      <c r="I17" s="320" t="str">
        <f>IFERROR(__xludf.DUMMYFUNCTION("GOOGLETRANSLATE(A17,""zh-tw"",""es-MX"")"),"Espada larga de hoja de sauce")</f>
        <v>Espada larga de hoja de sauce</v>
      </c>
      <c r="J17" s="142" t="str">
        <f>IFERROR(__xludf.DUMMYFUNCTION("GOOGLETRANSLATE(B17,""zh-tw"",""es-MX"")"),"Ataque físico: 32 Ataque dividido")</f>
        <v>Ataque físico: 32 Ataque dividido</v>
      </c>
      <c r="K17" s="320" t="str">
        <f>IFERROR(__xludf.DUMMYFUNCTION("GOOGLETRANSLATE(A17,""zh-tw"",""KO"")"),"버드나무 잎 장검")</f>
        <v>버드나무 잎 장검</v>
      </c>
      <c r="L17" s="142" t="str">
        <f>IFERROR(__xludf.DUMMYFUNCTION("GOOGLETRANSLATE(B17,""zh-tw"",""KO"")"),"물리 공격: 32 분할 공격")</f>
        <v>물리 공격: 32 분할 공격</v>
      </c>
      <c r="M17" s="316" t="str">
        <f>IFERROR(__xludf.DUMMYFUNCTION("GOOGLETRANSLATE(A17,""zh-tw"",""ru"")"),"Длинный меч из листьев ивы")</f>
        <v>Длинный меч из листьев ивы</v>
      </c>
      <c r="N17" s="317" t="str">
        <f>IFERROR(__xludf.DUMMYFUNCTION("GOOGLETRANSLATE(B17,""zh-tw"",""ru"")"),"Физическая атака: 32-я раздельная атака")</f>
        <v>Физическая атака: 32-я раздельная атака</v>
      </c>
      <c r="O17" s="314" t="s">
        <v>5733</v>
      </c>
      <c r="P17" s="315" t="s">
        <v>5734</v>
      </c>
      <c r="Q17" s="318" t="s">
        <v>5735</v>
      </c>
      <c r="R17" s="322" t="s">
        <v>5736</v>
      </c>
      <c r="S17" s="138" t="s">
        <v>5737</v>
      </c>
      <c r="T17" s="142" t="s">
        <v>5738</v>
      </c>
      <c r="U17" s="142"/>
      <c r="V17" s="142"/>
    </row>
    <row r="18" ht="49.5" customHeight="1">
      <c r="A18" s="314" t="s">
        <v>5739</v>
      </c>
      <c r="B18" s="315" t="s">
        <v>5740</v>
      </c>
      <c r="C18" s="314" t="s">
        <v>5741</v>
      </c>
      <c r="D18" s="315" t="str">
        <f>IFERROR(__xludf.DUMMYFUNCTION("GOOGLETRANSLATE(B18,""zh-tw"",""ja"")"),"物理攻撃力：48
魔法耐性：20
条件を満たす武器種")</f>
        <v>物理攻撃力：48
魔法耐性：20
条件を満たす武器種</v>
      </c>
      <c r="E18" s="314" t="s">
        <v>5742</v>
      </c>
      <c r="F18" s="315" t="s">
        <v>5743</v>
      </c>
      <c r="G18" s="314" t="str">
        <f>IFERROR(__xludf.DUMMYFUNCTION("GOOGLETRANSLATE(A18,""zh-tw"",""zh"")"),"银辉大剑")</f>
        <v>银辉大剑</v>
      </c>
      <c r="H18" s="315" t="str">
        <f>IFERROR(__xludf.DUMMYFUNCTION("GOOGLETRANSLATE(B18,""zh-tw"",""zh"")"),"物攻：48
魔抗：20
满足条件类型武器")</f>
        <v>物攻：48
魔抗：20
满足条件类型武器</v>
      </c>
      <c r="I18" s="313" t="s">
        <v>5744</v>
      </c>
      <c r="J18" s="142" t="str">
        <f>IFERROR(__xludf.DUMMYFUNCTION("GOOGLETRANSLATE(B18,""zh-tw"",""es-MX"")"),"Ataque físico: 48
Resistencia mágica: 20
Tipo de arma que cumple con los requisitos")</f>
        <v>Ataque físico: 48
Resistencia mágica: 20
Tipo de arma que cumple con los requisitos</v>
      </c>
      <c r="K18" s="313" t="s">
        <v>5745</v>
      </c>
      <c r="L18" s="142" t="str">
        <f>IFERROR(__xludf.DUMMYFUNCTION("GOOGLETRANSLATE(B18,""zh-tw"",""KO"")"),"물리 공격력: 48
마법 저항력: 20
조건을 충족하는 무기 종류")</f>
        <v>물리 공격력: 48
마법 저항력: 20
조건을 충족하는 무기 종류</v>
      </c>
      <c r="M18" s="316" t="str">
        <f>IFERROR(__xludf.DUMMYFUNCTION("GOOGLETRANSLATE(A18,""zh-tw"",""ru"")"),"Серебряный большой меч")</f>
        <v>Серебряный большой меч</v>
      </c>
      <c r="N18" s="317"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14" t="s">
        <v>5746</v>
      </c>
      <c r="P18" s="315" t="s">
        <v>5747</v>
      </c>
      <c r="Q18" s="318" t="s">
        <v>5748</v>
      </c>
      <c r="R18" s="319" t="s">
        <v>5749</v>
      </c>
      <c r="S18" s="138" t="s">
        <v>5750</v>
      </c>
      <c r="T18" s="142" t="s">
        <v>5751</v>
      </c>
      <c r="U18" s="142"/>
      <c r="V18" s="142"/>
    </row>
    <row r="19">
      <c r="A19" s="314" t="s">
        <v>5752</v>
      </c>
      <c r="B19" s="315" t="s">
        <v>5753</v>
      </c>
      <c r="C19" s="314" t="s">
        <v>5754</v>
      </c>
      <c r="D19" s="315" t="str">
        <f>IFERROR(__xludf.DUMMYFUNCTION("GOOGLETRANSLATE(B19,""zh-tw"",""ja"")"),"物理攻撃：1累積ダメージ武器")</f>
        <v>物理攻撃：1累積ダメージ武器</v>
      </c>
      <c r="E19" s="314" t="s">
        <v>5755</v>
      </c>
      <c r="F19" s="315" t="s">
        <v>5756</v>
      </c>
      <c r="G19" s="314" t="str">
        <f>IFERROR(__xludf.DUMMYFUNCTION("GOOGLETRANSLATE(A19,""zh-tw"",""zh"")"),"甜筒大剑")</f>
        <v>甜筒大剑</v>
      </c>
      <c r="H19" s="315" t="str">
        <f>IFERROR(__xludf.DUMMYFUNCTION("GOOGLETRANSLATE(B19,""zh-tw"",""zh"")"),"物攻：1
累计伤害型武器")</f>
        <v>物攻：1
累计伤害型武器</v>
      </c>
      <c r="I19" s="313" t="s">
        <v>5757</v>
      </c>
      <c r="J19" s="142" t="str">
        <f>IFERROR(__xludf.DUMMYFUNCTION("GOOGLETRANSLATE(B19,""zh-tw"",""es-MX"")"),"Ataque físico: 1 arma de daño acumulativo")</f>
        <v>Ataque físico: 1 arma de daño acumulativo</v>
      </c>
      <c r="K19" s="320" t="str">
        <f>IFERROR(__xludf.DUMMYFUNCTION("GOOGLETRANSLATE(A19,""zh-tw"",""KO"")"),"아이스크림 콘 검")</f>
        <v>아이스크림 콘 검</v>
      </c>
      <c r="L19" s="142" t="str">
        <f>IFERROR(__xludf.DUMMYFUNCTION("GOOGLETRANSLATE(B19,""zh-tw"",""KO"")"),"물리 공격력: 1 누적 데미지 무기")</f>
        <v>물리 공격력: 1 누적 데미지 무기</v>
      </c>
      <c r="M19" s="316" t="str">
        <f>IFERROR(__xludf.DUMMYFUNCTION("GOOGLETRANSLATE(A19,""zh-tw"",""ru"")"),"Меч из рожка мороженого")</f>
        <v>Меч из рожка мороженого</v>
      </c>
      <c r="N19" s="317" t="str">
        <f>IFERROR(__xludf.DUMMYFUNCTION("GOOGLETRANSLATE(B19,""zh-tw"",""ru"")"),"Физическая атака: 1 оружие с кумулятивным уроном")</f>
        <v>Физическая атака: 1 оружие с кумулятивным уроном</v>
      </c>
      <c r="O19" s="314" t="s">
        <v>5758</v>
      </c>
      <c r="P19" s="315" t="s">
        <v>5759</v>
      </c>
      <c r="Q19" s="318" t="s">
        <v>5760</v>
      </c>
      <c r="R19" s="319" t="s">
        <v>5761</v>
      </c>
      <c r="S19" s="138" t="s">
        <v>5762</v>
      </c>
      <c r="T19" s="142" t="s">
        <v>5763</v>
      </c>
      <c r="U19" s="142"/>
      <c r="V19" s="142"/>
    </row>
    <row r="20">
      <c r="A20" s="314" t="s">
        <v>5764</v>
      </c>
      <c r="B20" s="315" t="s">
        <v>5765</v>
      </c>
      <c r="C20" s="314" t="s">
        <v>5766</v>
      </c>
      <c r="D20" s="315" t="str">
        <f>IFERROR(__xludf.DUMMYFUNCTION("GOOGLETRANSLATE(B20,""zh-tw"",""ja"")"),"物理攻撃力：20
物理耐性：2
累積ステータスベースの武器")</f>
        <v>物理攻撃力：20
物理耐性：2
累積ステータスベースの武器</v>
      </c>
      <c r="E20" s="314" t="s">
        <v>5767</v>
      </c>
      <c r="F20" s="315" t="s">
        <v>5768</v>
      </c>
      <c r="G20" s="314" t="str">
        <f>IFERROR(__xludf.DUMMYFUNCTION("GOOGLETRANSLATE(A20,""zh-tw"",""zh"")"),"古树残骸")</f>
        <v>古树残骸</v>
      </c>
      <c r="H20" s="315" t="str">
        <f>IFERROR(__xludf.DUMMYFUNCTION("GOOGLETRANSLATE(B20,""zh-tw"",""zh"")"),"物攻：20
物抗：2
累计素质型武器")</f>
        <v>物攻：20
物抗：2
累计素质型武器</v>
      </c>
      <c r="I20" s="313" t="s">
        <v>5769</v>
      </c>
      <c r="J20" s="142" t="str">
        <f>IFERROR(__xludf.DUMMYFUNCTION("GOOGLETRANSLATE(B20,""zh-tw"",""es-MX"")"),"Ataque físico: 20
Resistencia física: 2
Arma basada en estadísticas acumulativas")</f>
        <v>Ataque físico: 20
Resistencia física: 2
Arma basada en estadísticas acumulativas</v>
      </c>
      <c r="K20" s="320" t="str">
        <f>IFERROR(__xludf.DUMMYFUNCTION("GOOGLETRANSLATE(A20,""zh-tw"",""KO"")"),"고대 나무 유적")</f>
        <v>고대 나무 유적</v>
      </c>
      <c r="L20" s="142" t="str">
        <f>IFERROR(__xludf.DUMMYFUNCTION("GOOGLETRANSLATE(B20,""zh-tw"",""KO"")"),"물리 공격력: 20
물리 저항력: 2
누적 능력치 기반 무기")</f>
        <v>물리 공격력: 20
물리 저항력: 2
누적 능력치 기반 무기</v>
      </c>
      <c r="M20" s="316" t="str">
        <f>IFERROR(__xludf.DUMMYFUNCTION("GOOGLETRANSLATE(A20,""zh-tw"",""ru"")"),"Останки древних деревьев")</f>
        <v>Останки древних деревьев</v>
      </c>
      <c r="N20" s="317"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14" t="s">
        <v>5770</v>
      </c>
      <c r="P20" s="315" t="s">
        <v>5771</v>
      </c>
      <c r="Q20" s="318" t="s">
        <v>5772</v>
      </c>
      <c r="R20" s="319" t="s">
        <v>5773</v>
      </c>
      <c r="S20" s="138" t="s">
        <v>5774</v>
      </c>
      <c r="T20" s="142" t="s">
        <v>5775</v>
      </c>
      <c r="U20" s="142"/>
      <c r="V20" s="142"/>
    </row>
    <row r="21">
      <c r="A21" s="314" t="s">
        <v>5776</v>
      </c>
      <c r="B21" s="315" t="s">
        <v>5777</v>
      </c>
      <c r="C21" s="314" t="s">
        <v>5778</v>
      </c>
      <c r="D21" s="315" t="str">
        <f>IFERROR(__xludf.DUMMYFUNCTION("GOOGLETRANSLATE(B21,""zh-tw"",""ja"")"),"物理攻撃力：40 剣波を発射する")</f>
        <v>物理攻撃力：40 剣波を発射する</v>
      </c>
      <c r="E21" s="314" t="s">
        <v>5779</v>
      </c>
      <c r="F21" s="315" t="s">
        <v>5780</v>
      </c>
      <c r="G21" s="314" t="str">
        <f>IFERROR(__xludf.DUMMYFUNCTION("GOOGLETRANSLATE(A21,""zh-tw"",""zh"")"),"斩裂剑提尔锋")</f>
        <v>斩裂剑提尔锋</v>
      </c>
      <c r="H21" s="315" t="str">
        <f>IFERROR(__xludf.DUMMYFUNCTION("GOOGLETRANSLATE(B21,""zh-tw"",""zh"")"),"物攻：40
发射剑波")</f>
        <v>物攻：40
发射剑波</v>
      </c>
      <c r="I21" s="313" t="s">
        <v>5781</v>
      </c>
      <c r="J21" s="142" t="str">
        <f>IFERROR(__xludf.DUMMYFUNCTION("GOOGLETRANSLATE(B21,""zh-tw"",""es-MX"")"),"Ataque físico: 40 Lanza onda de espada")</f>
        <v>Ataque físico: 40 Lanza onda de espada</v>
      </c>
      <c r="K21" s="320" t="str">
        <f>IFERROR(__xludf.DUMMYFUNCTION("GOOGLETRANSLATE(A21,""zh-tw"",""KO"")"),"절단검의 칼날, 티르의 칼날")</f>
        <v>절단검의 칼날, 티르의 칼날</v>
      </c>
      <c r="L21" s="142" t="str">
        <f>IFERROR(__xludf.DUMMYFUNCTION("GOOGLETRANSLATE(B21,""zh-tw"",""KO"")"),"물리 공격력 : 40 검파 발사")</f>
        <v>물리 공격력 : 40 검파 발사</v>
      </c>
      <c r="M21" s="316" t="str">
        <f>IFERROR(__xludf.DUMMYFUNCTION("GOOGLETRANSLATE(A21,""zh-tw"",""ru"")"),"Клинок Разрубающего Меча, Лезвие Тира")</f>
        <v>Клинок Разрубающего Меча, Лезвие Тира</v>
      </c>
      <c r="N21" s="317" t="str">
        <f>IFERROR(__xludf.DUMMYFUNCTION("GOOGLETRANSLATE(B21,""zh-tw"",""ru"")"),"Физическая атака: 40. Запускает волну мечом.")</f>
        <v>Физическая атака: 40. Запускает волну мечом.</v>
      </c>
      <c r="O21" s="314" t="s">
        <v>5782</v>
      </c>
      <c r="P21" s="315" t="s">
        <v>5783</v>
      </c>
      <c r="Q21" s="318" t="s">
        <v>5784</v>
      </c>
      <c r="R21" s="319" t="s">
        <v>5785</v>
      </c>
      <c r="S21" s="138" t="s">
        <v>5779</v>
      </c>
      <c r="T21" s="142" t="s">
        <v>5786</v>
      </c>
      <c r="U21" s="142"/>
      <c r="V21" s="142"/>
    </row>
    <row r="22">
      <c r="A22" s="314" t="s">
        <v>5787</v>
      </c>
      <c r="B22" s="315" t="s">
        <v>5788</v>
      </c>
      <c r="C22" s="314" t="s">
        <v>5789</v>
      </c>
      <c r="D22" s="315" t="str">
        <f>IFERROR(__xludf.DUMMYFUNCTION("GOOGLETRANSLATE(B22,""zh-tw"",""ja"")"),"物理攻撃：出血30")</f>
        <v>物理攻撃：出血30</v>
      </c>
      <c r="E22" s="314" t="s">
        <v>5790</v>
      </c>
      <c r="F22" s="315" t="s">
        <v>5791</v>
      </c>
      <c r="G22" s="314" t="str">
        <f>IFERROR(__xludf.DUMMYFUNCTION("GOOGLETRANSLATE(A22,""zh-tw"",""zh"")"),"来自地狱")</f>
        <v>来自地狱</v>
      </c>
      <c r="H22" s="315" t="str">
        <f>IFERROR(__xludf.DUMMYFUNCTION("GOOGLETRANSLATE(B22,""zh-tw"",""zh"")"),"物攻：30
出血")</f>
        <v>物攻：30
出血</v>
      </c>
      <c r="I22" s="313" t="s">
        <v>5792</v>
      </c>
      <c r="J22" s="142" t="str">
        <f>IFERROR(__xludf.DUMMYFUNCTION("GOOGLETRANSLATE(B22,""zh-tw"",""es-MX"")"),"Ataque físico: 30 sangrado")</f>
        <v>Ataque físico: 30 sangrado</v>
      </c>
      <c r="K22" s="313" t="s">
        <v>5793</v>
      </c>
      <c r="L22" s="142" t="str">
        <f>IFERROR(__xludf.DUMMYFUNCTION("GOOGLETRANSLATE(B22,""zh-tw"",""KO"")"),"물리 공격력: 30 출혈")</f>
        <v>물리 공격력: 30 출혈</v>
      </c>
      <c r="M22" s="316" t="str">
        <f>IFERROR(__xludf.DUMMYFUNCTION("GOOGLETRANSLATE(A22,""zh-tw"",""ru"")"),"Из ада")</f>
        <v>Из ада</v>
      </c>
      <c r="N22" s="317" t="str">
        <f>IFERROR(__xludf.DUMMYFUNCTION("GOOGLETRANSLATE(B22,""zh-tw"",""ru"")"),"Физическая атака: 30 кровотечения")</f>
        <v>Физическая атака: 30 кровотечения</v>
      </c>
      <c r="O22" s="314" t="s">
        <v>5794</v>
      </c>
      <c r="P22" s="315" t="s">
        <v>5795</v>
      </c>
      <c r="Q22" s="318" t="s">
        <v>5796</v>
      </c>
      <c r="R22" s="319" t="s">
        <v>5797</v>
      </c>
      <c r="S22" s="138" t="s">
        <v>5798</v>
      </c>
      <c r="T22" s="142" t="s">
        <v>5799</v>
      </c>
      <c r="U22" s="142"/>
      <c r="V22" s="142"/>
    </row>
    <row r="23">
      <c r="A23" s="314" t="s">
        <v>5800</v>
      </c>
      <c r="B23" s="315" t="s">
        <v>5801</v>
      </c>
      <c r="C23" s="314" t="s">
        <v>5802</v>
      </c>
      <c r="D23" s="315" t="str">
        <f>IFERROR(__xludf.DUMMYFUNCTION("GOOGLETRANSLATE(B23,""zh-tw"",""ja"")"),"物理攻撃：ノックダウン回復32")</f>
        <v>物理攻撃：ノックダウン回復32</v>
      </c>
      <c r="E23" s="314" t="s">
        <v>5803</v>
      </c>
      <c r="F23" s="315" t="s">
        <v>5804</v>
      </c>
      <c r="G23" s="314" t="str">
        <f>IFERROR(__xludf.DUMMYFUNCTION("GOOGLETRANSLATE(A23,""zh-tw"",""zh"")"),"寄生刃")</f>
        <v>寄生刃</v>
      </c>
      <c r="H23" s="315" t="str">
        <f>IFERROR(__xludf.DUMMYFUNCTION("GOOGLETRANSLATE(B23,""zh-tw"",""zh"")"),"物攻：32
击倒回复")</f>
        <v>物攻：32
击倒回复</v>
      </c>
      <c r="I23" s="313" t="s">
        <v>5805</v>
      </c>
      <c r="J23" s="142" t="str">
        <f>IFERROR(__xludf.DUMMYFUNCTION("GOOGLETRANSLATE(B23,""zh-tw"",""es-MX"")"),"Ataque físico: 32 Recuperación de derribo")</f>
        <v>Ataque físico: 32 Recuperación de derribo</v>
      </c>
      <c r="K23" s="313" t="s">
        <v>5806</v>
      </c>
      <c r="L23" s="136" t="s">
        <v>5807</v>
      </c>
      <c r="M23" s="316" t="str">
        <f>IFERROR(__xludf.DUMMYFUNCTION("GOOGLETRANSLATE(A23,""zh-tw"",""ru"")"),"Паразитарный клинок")</f>
        <v>Паразитарный клинок</v>
      </c>
      <c r="N23" s="317" t="str">
        <f>IFERROR(__xludf.DUMMYFUNCTION("GOOGLETRANSLATE(B23,""zh-tw"",""ru"")"),"Физическая атака: 32 восстановления после нокдауна")</f>
        <v>Физическая атака: 32 восстановления после нокдауна</v>
      </c>
      <c r="O23" s="314" t="s">
        <v>5808</v>
      </c>
      <c r="P23" s="315" t="s">
        <v>5809</v>
      </c>
      <c r="Q23" s="318" t="s">
        <v>5810</v>
      </c>
      <c r="R23" s="319" t="s">
        <v>5811</v>
      </c>
      <c r="S23" s="138" t="s">
        <v>5812</v>
      </c>
      <c r="T23" s="142" t="s">
        <v>5813</v>
      </c>
      <c r="U23" s="142"/>
      <c r="V23" s="142"/>
    </row>
    <row r="24">
      <c r="A24" s="321" t="s">
        <v>5814</v>
      </c>
      <c r="B24" s="51" t="s">
        <v>5815</v>
      </c>
      <c r="C24" s="321" t="s">
        <v>5816</v>
      </c>
      <c r="D24" s="51" t="s">
        <v>5817</v>
      </c>
      <c r="E24" s="321" t="s">
        <v>5818</v>
      </c>
      <c r="F24" s="51" t="s">
        <v>5819</v>
      </c>
      <c r="G24" s="314" t="str">
        <f>IFERROR(__xludf.DUMMYFUNCTION("GOOGLETRANSLATE(A24,""zh-tw"",""zh"")"),"寄坏剑")</f>
        <v>寄坏剑</v>
      </c>
      <c r="H24" s="315"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13" t="s">
        <v>5820</v>
      </c>
      <c r="J24" s="142" t="str">
        <f>IFERROR(__xludf.DUMMYFUNCTION("GOOGLETRANSLATE(B24,""zh-tw"",""es-MX"")"),"Ataque físico: 36
1. Aumenta el daño contra objetivos con sangrado
2. Restaura salud al derrotar a un objetivo con sangrado
(La salud puede sobrerrestaurarse, superando la salud máxima y otorgando invulnerabilidad)")</f>
        <v>Ataque físico: 36
1. Aumenta el daño contra objetivos con sangrado
2. Restaura salud al derrotar a un objetivo con sangrado
(La salud puede sobrerrestaurarse, superando la salud máxima y otorgando invulnerabilidad)</v>
      </c>
      <c r="K24" s="313" t="s">
        <v>5821</v>
      </c>
      <c r="L24" s="142" t="str">
        <f>IFERROR(__xludf.DUMMYFUNCTION("GOOGLETRANSLATE(B24,""zh-tw"",""KO"")"),"물리 공격력: 36
1. 출혈 상태의 대상에게 주는 피해가 증가합니다.
2. 출혈 상태의 대상을 처치하면 체력을 회복합니다.
(체력이 과도하게 회복되어 최대 체력을 초과하고 무적 상태가 될 수 있습니다.)")</f>
        <v>물리 공격력: 36
1. 출혈 상태의 대상에게 주는 피해가 증가합니다.
2. 출혈 상태의 대상을 처치하면 체력을 회복합니다.
(체력이 과도하게 회복되어 최대 체력을 초과하고 무적 상태가 될 수 있습니다.)</v>
      </c>
      <c r="M24" s="316" t="str">
        <f>IFERROR(__xludf.DUMMYFUNCTION("GOOGLETRANSLATE(A24,""zh-tw"",""ru"")"),"Пошли сломанный меч")</f>
        <v>Пошли сломанный меч</v>
      </c>
      <c r="N24" s="317" t="str">
        <f>IFERROR(__xludf.DUMMYFUNCTION("GOOGLETRANSLATE(B24,""zh-tw"",""ru"")"),"Физическая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f>
        <v>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v>
      </c>
      <c r="O24" s="321" t="s">
        <v>5822</v>
      </c>
      <c r="P24" s="51" t="s">
        <v>5823</v>
      </c>
      <c r="Q24" s="318" t="s">
        <v>5824</v>
      </c>
      <c r="R24" s="322" t="s">
        <v>5825</v>
      </c>
      <c r="S24" s="138" t="s">
        <v>5826</v>
      </c>
      <c r="T24" s="142" t="s">
        <v>5827</v>
      </c>
      <c r="U24" s="142"/>
      <c r="V24" s="142"/>
    </row>
    <row r="25">
      <c r="A25" s="321" t="s">
        <v>5828</v>
      </c>
      <c r="B25" s="136" t="s">
        <v>5829</v>
      </c>
      <c r="C25" s="321" t="s">
        <v>5828</v>
      </c>
      <c r="D25" s="136" t="s">
        <v>5830</v>
      </c>
      <c r="E25" s="321" t="s">
        <v>5831</v>
      </c>
      <c r="F25" s="136" t="s">
        <v>5832</v>
      </c>
      <c r="G25" s="314" t="str">
        <f>IFERROR(__xludf.DUMMYFUNCTION("GOOGLETRANSLATE(A25,""zh-tw"",""zh"")"),"血狩")</f>
        <v>血狩</v>
      </c>
      <c r="H25" s="315" t="str">
        <f>IFERROR(__xludf.DUMMYFUNCTION("GOOGLETRANSLATE(B25,""zh-tw"",""zh"")"),"物攻：20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5" s="313" t="s">
        <v>5833</v>
      </c>
      <c r="J25" s="142" t="str">
        <f>IFERROR(__xludf.DUMMYFUNCTION("GOOGLETRANSLATE(B25,""zh-tw"",""es-MX"")"),"Ataque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5" s="320" t="str">
        <f>IFERROR(__xludf.DUMMYFUNCTION("GOOGLETRANSLATE(A25,""zh-tw"",""KO"")"),"블러드 헌트")</f>
        <v>블러드 헌트</v>
      </c>
      <c r="L25" s="142" t="str">
        <f>IFERROR(__xludf.DUMMYFUNCTION("GOOGLETRANSLATE(B25,""zh-tw"",""KO"")"),"물리 공격력: 20
1. 충전 후 관통 화살 사용 가능
2. 자신의 HP를 소모하여 공격력 증가, 대상 처치 시 HP 회복
(HP가 과도하게 회복되어 최대 HP를 초과하고 무적 상태가 될 수 있음)")</f>
        <v>물리 공격력: 20
1. 충전 후 관통 화살 사용 가능
2. 자신의 HP를 소모하여 공격력 증가, 대상 처치 시 HP 회복
(HP가 과도하게 회복되어 최대 HP를 초과하고 무적 상태가 될 수 있음)</v>
      </c>
      <c r="M25" s="316" t="str">
        <f>IFERROR(__xludf.DUMMYFUNCTION("GOOGLETRANSLATE(A25,""zh-tw"",""ru"")"),"Кровавая охота")</f>
        <v>Кровавая охота</v>
      </c>
      <c r="N25" s="317" t="str">
        <f>IFERROR(__xludf.DUMMYFUNCTION("GOOGLETRANSLATE(B25,""zh-tw"",""ru"")"),"Физическая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21" t="s">
        <v>5834</v>
      </c>
      <c r="P25" s="136" t="s">
        <v>5835</v>
      </c>
      <c r="Q25" s="318" t="s">
        <v>5836</v>
      </c>
      <c r="R25" s="322" t="s">
        <v>5837</v>
      </c>
      <c r="S25" s="138" t="s">
        <v>5838</v>
      </c>
      <c r="T25" s="142" t="s">
        <v>5839</v>
      </c>
      <c r="U25" s="142"/>
      <c r="V25" s="142"/>
    </row>
    <row r="26">
      <c r="A26" s="314" t="s">
        <v>5840</v>
      </c>
      <c r="B26" s="315" t="s">
        <v>5841</v>
      </c>
      <c r="C26" s="314" t="s">
        <v>5842</v>
      </c>
      <c r="D26" s="315" t="s">
        <v>5843</v>
      </c>
      <c r="E26" s="314" t="s">
        <v>5844</v>
      </c>
      <c r="F26" s="315" t="s">
        <v>5845</v>
      </c>
      <c r="G26" s="314" t="str">
        <f>IFERROR(__xludf.DUMMYFUNCTION("GOOGLETRANSLATE(A26,""zh-tw"",""zh"")"),"荒古荣光")</f>
        <v>荒古荣光</v>
      </c>
      <c r="H26" s="315" t="str">
        <f>IFERROR(__xludf.DUMMYFUNCTION("GOOGLETRANSLATE(B26,""zh-tw"",""zh"")"),"物攻：36
特殊指令强化
*稀有品扭蛋品")</f>
        <v>物攻：36
特殊指令强化
*稀有品扭蛋品</v>
      </c>
      <c r="I26" s="320" t="str">
        <f>IFERROR(__xludf.DUMMYFUNCTION("GOOGLETRANSLATE(A26,""zh-tw"",""es-MX"")"),"Gloria antigua")</f>
        <v>Gloria antigua</v>
      </c>
      <c r="J26" s="142" t="str">
        <f>IFERROR(__xludf.DUMMYFUNCTION("GOOGLETRANSLATE(B26,""zh-tw"",""es-MX"")"),"Ataque físico: 36
Mejora de comando especial
*Objeto raro de Gacha")</f>
        <v>Ataque físico: 36
Mejora de comando especial
*Objeto raro de Gacha</v>
      </c>
      <c r="K26" s="320" t="str">
        <f>IFERROR(__xludf.DUMMYFUNCTION("GOOGLETRANSLATE(A26,""zh-tw"",""KO"")"),"고대의 영광")</f>
        <v>고대의 영광</v>
      </c>
      <c r="L26" s="142" t="str">
        <f>IFERROR(__xludf.DUMMYFUNCTION("GOOGLETRANSLATE(B26,""zh-tw"",""KO"")"),"물리 공격력: 36
특수 커맨드 강화
*레어 가챠 아이템")</f>
        <v>물리 공격력: 36
특수 커맨드 강화
*레어 가챠 아이템</v>
      </c>
      <c r="M26" s="316" t="str">
        <f>IFERROR(__xludf.DUMMYFUNCTION("GOOGLETRANSLATE(A26,""zh-tw"",""ru"")"),"Древняя слава")</f>
        <v>Древняя слава</v>
      </c>
      <c r="N26" s="317"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14" t="s">
        <v>5846</v>
      </c>
      <c r="P26" s="315" t="s">
        <v>5847</v>
      </c>
      <c r="Q26" s="318" t="s">
        <v>5848</v>
      </c>
      <c r="R26" s="319" t="s">
        <v>5849</v>
      </c>
      <c r="S26" s="138" t="s">
        <v>5850</v>
      </c>
      <c r="T26" s="142" t="s">
        <v>5851</v>
      </c>
      <c r="U26" s="142"/>
      <c r="V26" s="142"/>
    </row>
    <row r="27">
      <c r="A27" s="314" t="s">
        <v>5852</v>
      </c>
      <c r="B27" s="315" t="s">
        <v>5853</v>
      </c>
      <c r="C27" s="314" t="s">
        <v>5854</v>
      </c>
      <c r="D27" s="315" t="str">
        <f>IFERROR(__xludf.DUMMYFUNCTION("GOOGLETRANSLATE(B27,""zh-tw"",""ja"")"),"物理攻撃力：32
魔法攻撃力：36
防御力無視、不可視の刃
*レアガチャアイテム")</f>
        <v>物理攻撃力：32
魔法攻撃力：36
防御力無視、不可視の刃
*レアガチャアイテム</v>
      </c>
      <c r="E27" s="314" t="s">
        <v>5855</v>
      </c>
      <c r="F27" s="315" t="s">
        <v>5856</v>
      </c>
      <c r="G27" s="314" t="str">
        <f>IFERROR(__xludf.DUMMYFUNCTION("GOOGLETRANSLATE(A27,""zh-tw"",""zh"")"),"克里乌之光")</f>
        <v>克里乌之光</v>
      </c>
      <c r="H27" s="315" t="s">
        <v>5857</v>
      </c>
      <c r="I27" s="313" t="s">
        <v>5855</v>
      </c>
      <c r="J27" s="142" t="str">
        <f>IFERROR(__xludf.DUMMYFUNCTION("GOOGLETRANSLATE(B27,""zh-tw"",""es-MX"")"),"Ataque físico: 32
Ataque mágico: 36
Ignora defensa, Espada invisible
*Objeto raro de Gacha")</f>
        <v>Ataque físico: 32
Ataque mágico: 36
Ignora defensa, Espada invisible
*Objeto raro de Gacha</v>
      </c>
      <c r="K27" s="320" t="str">
        <f>IFERROR(__xludf.DUMMYFUNCTION("GOOGLETRANSLATE(A27,""zh-tw"",""KO"")"),"크리우의 빛")</f>
        <v>크리우의 빛</v>
      </c>
      <c r="L27" s="142" t="str">
        <f>IFERROR(__xludf.DUMMYFUNCTION("GOOGLETRANSLATE(B27,""zh-tw"",""KO"")"),"물리 공격력: 32
마법 공격력: 36
방어력 무시, 투명 칼날
*레어 가챠 아이템")</f>
        <v>물리 공격력: 32
마법 공격력: 36
방어력 무시, 투명 칼날
*레어 가챠 아이템</v>
      </c>
      <c r="M27" s="316" t="str">
        <f>IFERROR(__xludf.DUMMYFUNCTION("GOOGLETRANSLATE(A27,""zh-tw"",""ru"")"),"Свет Криу")</f>
        <v>Свет Криу</v>
      </c>
      <c r="N27" s="317"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14" t="s">
        <v>5858</v>
      </c>
      <c r="P27" s="315" t="s">
        <v>5859</v>
      </c>
      <c r="Q27" s="318" t="s">
        <v>5860</v>
      </c>
      <c r="R27" s="319" t="s">
        <v>5861</v>
      </c>
      <c r="S27" s="138" t="s">
        <v>5855</v>
      </c>
      <c r="T27" s="142" t="s">
        <v>5862</v>
      </c>
      <c r="U27" s="142"/>
      <c r="V27" s="142"/>
    </row>
    <row r="28">
      <c r="A28" s="314" t="s">
        <v>5863</v>
      </c>
      <c r="B28" s="315" t="s">
        <v>5864</v>
      </c>
      <c r="C28" s="314" t="str">
        <f>IFERROR(__xludf.DUMMYFUNCTION("GOOGLETRANSLATE(A28,""zh-tw"",""ja"")"),"木製の弓")</f>
        <v>木製の弓</v>
      </c>
      <c r="D28" s="315" t="str">
        <f>IFERROR(__xludf.DUMMYFUNCTION("GOOGLETRANSLATE(B28,""zh-tw"",""ja"")"),"物理攻撃：貫通力20（ダメージ減少）")</f>
        <v>物理攻撃：貫通力20（ダメージ減少）</v>
      </c>
      <c r="E28" s="314" t="s">
        <v>5865</v>
      </c>
      <c r="F28" s="315" t="s">
        <v>5866</v>
      </c>
      <c r="G28" s="314" t="str">
        <f>IFERROR(__xludf.DUMMYFUNCTION("GOOGLETRANSLATE(A28,""zh-tw"",""zh"")"),"木弓")</f>
        <v>木弓</v>
      </c>
      <c r="H28" s="315" t="str">
        <f>IFERROR(__xludf.DUMMYFUNCTION("GOOGLETRANSLATE(B28,""zh-tw"",""zh"")"),"物攻：20
穿透(伤害递减)")</f>
        <v>物攻：20
穿透(伤害递减)</v>
      </c>
      <c r="I28" s="313" t="s">
        <v>5867</v>
      </c>
      <c r="J28" s="142" t="str">
        <f>IFERROR(__xludf.DUMMYFUNCTION("GOOGLETRANSLATE(B28,""zh-tw"",""es-MX"")"),"Ataque físico: 20 de penetración (daño decreciente)")</f>
        <v>Ataque físico: 20 de penetración (daño decreciente)</v>
      </c>
      <c r="K28" s="320" t="str">
        <f>IFERROR(__xludf.DUMMYFUNCTION("GOOGLETRANSLATE(A28,""zh-tw"",""KO"")"),"나무 활")</f>
        <v>나무 활</v>
      </c>
      <c r="L28" s="142" t="str">
        <f>IFERROR(__xludf.DUMMYFUNCTION("GOOGLETRANSLATE(B28,""zh-tw"",""KO"")"),"물리 공격력: 관통력 20 (데미지 감소)")</f>
        <v>물리 공격력: 관통력 20 (데미지 감소)</v>
      </c>
      <c r="M28" s="316" t="str">
        <f>IFERROR(__xludf.DUMMYFUNCTION("GOOGLETRANSLATE(A28,""zh-tw"",""ru"")"),"деревянный лук")</f>
        <v>деревянный лук</v>
      </c>
      <c r="N28" s="317" t="str">
        <f>IFERROR(__xludf.DUMMYFUNCTION("GOOGLETRANSLATE(B28,""zh-tw"",""ru"")"),"Физическая атака: 20 Пробитие (урон уменьшается)")</f>
        <v>Физическая атака: 20 Пробитие (урон уменьшается)</v>
      </c>
      <c r="O28" s="314" t="s">
        <v>5868</v>
      </c>
      <c r="P28" s="315" t="s">
        <v>5869</v>
      </c>
      <c r="Q28" s="318" t="s">
        <v>5870</v>
      </c>
      <c r="R28" s="319" t="s">
        <v>5871</v>
      </c>
      <c r="S28" s="138" t="s">
        <v>5872</v>
      </c>
      <c r="T28" s="142" t="s">
        <v>5873</v>
      </c>
      <c r="U28" s="142"/>
      <c r="V28" s="142"/>
    </row>
    <row r="29">
      <c r="A29" s="314" t="s">
        <v>5874</v>
      </c>
      <c r="B29" s="315" t="s">
        <v>5875</v>
      </c>
      <c r="C29" s="314" t="s">
        <v>5876</v>
      </c>
      <c r="D29" s="315" t="str">
        <f>IFERROR(__xludf.DUMMYFUNCTION("GOOGLETRANSLATE(B29,""zh-tw"",""ja"")"),"物理攻撃：貫通力24")</f>
        <v>物理攻撃：貫通力24</v>
      </c>
      <c r="E29" s="314" t="s">
        <v>5877</v>
      </c>
      <c r="F29" s="315" t="s">
        <v>5878</v>
      </c>
      <c r="G29" s="314" t="str">
        <f>IFERROR(__xludf.DUMMYFUNCTION("GOOGLETRANSLATE(A29,""zh-tw"",""zh"")"),"猎人之弓")</f>
        <v>猎人之弓</v>
      </c>
      <c r="H29" s="315" t="str">
        <f>IFERROR(__xludf.DUMMYFUNCTION("GOOGLETRANSLATE(B29,""zh-tw"",""zh"")"),"物攻：24
穿透")</f>
        <v>物攻：24
穿透</v>
      </c>
      <c r="I29" s="313" t="s">
        <v>5879</v>
      </c>
      <c r="J29" s="142" t="str">
        <f>IFERROR(__xludf.DUMMYFUNCTION("GOOGLETRANSLATE(B29,""zh-tw"",""es-MX"")"),"Ataque físico: 24 penetración")</f>
        <v>Ataque físico: 24 penetración</v>
      </c>
      <c r="K29" s="320" t="str">
        <f>IFERROR(__xludf.DUMMYFUNCTION("GOOGLETRANSLATE(A29,""zh-tw"",""KO"")"),"사냥꾼의 활")</f>
        <v>사냥꾼의 활</v>
      </c>
      <c r="L29" s="142" t="str">
        <f>IFERROR(__xludf.DUMMYFUNCTION("GOOGLETRANSLATE(B29,""zh-tw"",""KO"")"),"물리 공격력: 24 관통력")</f>
        <v>물리 공격력: 24 관통력</v>
      </c>
      <c r="M29" s="316" t="str">
        <f>IFERROR(__xludf.DUMMYFUNCTION("GOOGLETRANSLATE(A29,""zh-tw"",""ru"")"),"Лук Охотника")</f>
        <v>Лук Охотника</v>
      </c>
      <c r="N29" s="317" t="str">
        <f>IFERROR(__xludf.DUMMYFUNCTION("GOOGLETRANSLATE(B29,""zh-tw"",""ru"")"),"Физическая атака: 24 Проникновение")</f>
        <v>Физическая атака: 24 Проникновение</v>
      </c>
      <c r="O29" s="314" t="s">
        <v>5880</v>
      </c>
      <c r="P29" s="315" t="s">
        <v>5881</v>
      </c>
      <c r="Q29" s="318" t="s">
        <v>5882</v>
      </c>
      <c r="R29" s="319" t="s">
        <v>5883</v>
      </c>
      <c r="S29" s="138" t="s">
        <v>5884</v>
      </c>
      <c r="T29" s="142" t="s">
        <v>5885</v>
      </c>
      <c r="U29" s="142"/>
      <c r="V29" s="142"/>
    </row>
    <row r="30">
      <c r="A30" s="314" t="s">
        <v>5886</v>
      </c>
      <c r="B30" s="315" t="s">
        <v>5887</v>
      </c>
      <c r="C30" s="314" t="s">
        <v>5888</v>
      </c>
      <c r="D30" s="315" t="str">
        <f>IFERROR(__xludf.DUMMYFUNCTION("GOOGLETRANSLATE(B30,""zh-tw"",""ja"")"),"物理攻撃力：18
魔法攻撃力：18
火属性")</f>
        <v>物理攻撃力：18
魔法攻撃力：18
火属性</v>
      </c>
      <c r="E30" s="314" t="s">
        <v>5889</v>
      </c>
      <c r="F30" s="315" t="s">
        <v>5890</v>
      </c>
      <c r="G30" s="314" t="str">
        <f>IFERROR(__xludf.DUMMYFUNCTION("GOOGLETRANSLATE(A30,""zh-tw"",""zh"")"),"火烧云")</f>
        <v>火烧云</v>
      </c>
      <c r="H30" s="315" t="str">
        <f>IFERROR(__xludf.DUMMYFUNCTION("GOOGLETRANSLATE(B30,""zh-tw"",""zh"")"),"物攻：18
魔攻：18
炎属性")</f>
        <v>物攻：18
魔攻：18
炎属性</v>
      </c>
      <c r="I30" s="313" t="s">
        <v>5891</v>
      </c>
      <c r="J30" s="142" t="str">
        <f>IFERROR(__xludf.DUMMYFUNCTION("GOOGLETRANSLATE(B30,""zh-tw"",""es-MX"")"),"Ataque físico: 18
Ataque mágico: 18
Atributo de fuego")</f>
        <v>Ataque físico: 18
Ataque mágico: 18
Atributo de fuego</v>
      </c>
      <c r="K30" s="320" t="str">
        <f>IFERROR(__xludf.DUMMYFUNCTION("GOOGLETRANSLATE(A30,""zh-tw"",""KO"")"),"불타는 구름")</f>
        <v>불타는 구름</v>
      </c>
      <c r="L30" s="142" t="str">
        <f>IFERROR(__xludf.DUMMYFUNCTION("GOOGLETRANSLATE(B30,""zh-tw"",""KO"")"),"물리 공격력: 18
마법 공격력: 18
화염 속성")</f>
        <v>물리 공격력: 18
마법 공격력: 18
화염 속성</v>
      </c>
      <c r="M30" s="316" t="str">
        <f>IFERROR(__xludf.DUMMYFUNCTION("GOOGLETRANSLATE(A30,""zh-tw"",""ru"")"),"Огненные облака")</f>
        <v>Огненные облака</v>
      </c>
      <c r="N30" s="317" t="str">
        <f>IFERROR(__xludf.DUMMYFUNCTION("GOOGLETRANSLATE(B30,""zh-tw"",""ru"")"),"Физическая атака: 18
Магическая атака: 18
Атрибут огня")</f>
        <v>Физическая атака: 18
Магическая атака: 18
Атрибут огня</v>
      </c>
      <c r="O30" s="314" t="s">
        <v>5892</v>
      </c>
      <c r="P30" s="315" t="s">
        <v>5893</v>
      </c>
      <c r="Q30" s="318" t="s">
        <v>5894</v>
      </c>
      <c r="R30" s="319" t="s">
        <v>5895</v>
      </c>
      <c r="S30" s="118" t="s">
        <v>5896</v>
      </c>
      <c r="T30" s="142" t="s">
        <v>5897</v>
      </c>
      <c r="U30" s="142"/>
      <c r="V30" s="142"/>
    </row>
    <row r="31">
      <c r="A31" s="314" t="s">
        <v>5898</v>
      </c>
      <c r="B31" s="315" t="s">
        <v>5899</v>
      </c>
      <c r="C31" s="314" t="s">
        <v>5898</v>
      </c>
      <c r="D31" s="315" t="str">
        <f>IFERROR(__xludf.DUMMYFUNCTION("GOOGLETRANSLATE(B31,""zh-tw"",""ja"")"),"物理攻撃力：16
魔法攻撃力：16
氷属性")</f>
        <v>物理攻撃力：16
魔法攻撃力：16
氷属性</v>
      </c>
      <c r="E31" s="314" t="s">
        <v>5900</v>
      </c>
      <c r="F31" s="315" t="s">
        <v>5901</v>
      </c>
      <c r="G31" s="314" t="str">
        <f>IFERROR(__xludf.DUMMYFUNCTION("GOOGLETRANSLATE(A31,""zh-tw"",""zh"")"),"雪见")</f>
        <v>雪见</v>
      </c>
      <c r="H31" s="315" t="str">
        <f>IFERROR(__xludf.DUMMYFUNCTION("GOOGLETRANSLATE(B31,""zh-tw"",""zh"")"),"物攻：16
魔攻：16
冰属性")</f>
        <v>物攻：16
魔攻：16
冰属性</v>
      </c>
      <c r="I31" s="313" t="s">
        <v>5902</v>
      </c>
      <c r="J31" s="142" t="str">
        <f>IFERROR(__xludf.DUMMYFUNCTION("GOOGLETRANSLATE(B31,""zh-tw"",""es-MX"")"),"Ataque físico: 16
Ataque mágico: 16
Atributo hielo")</f>
        <v>Ataque físico: 16
Ataque mágico: 16
Atributo hielo</v>
      </c>
      <c r="K31" s="320" t="str">
        <f>IFERROR(__xludf.DUMMYFUNCTION("GOOGLETRANSLATE(A31,""zh-tw"",""KO"")"),"쉐지안")</f>
        <v>쉐지안</v>
      </c>
      <c r="L31" s="142" t="str">
        <f>IFERROR(__xludf.DUMMYFUNCTION("GOOGLETRANSLATE(B31,""zh-tw"",""KO"")"),"물리 공격력: 16
마법 공격력: 16
얼음 속성")</f>
        <v>물리 공격력: 16
마법 공격력: 16
얼음 속성</v>
      </c>
      <c r="M31" s="316" t="str">
        <f>IFERROR(__xludf.DUMMYFUNCTION("GOOGLETRANSLATE(A31,""zh-tw"",""ru"")"),"Сюэцзянь")</f>
        <v>Сюэцзянь</v>
      </c>
      <c r="N31" s="317" t="str">
        <f>IFERROR(__xludf.DUMMYFUNCTION("GOOGLETRANSLATE(B31,""zh-tw"",""ru"")"),"Физическая атака: 16
Магическая атака: 16
Атрибут льда")</f>
        <v>Физическая атака: 16
Магическая атака: 16
Атрибут льда</v>
      </c>
      <c r="O31" s="314" t="s">
        <v>5903</v>
      </c>
      <c r="P31" s="315" t="s">
        <v>5904</v>
      </c>
      <c r="Q31" s="318" t="s">
        <v>5905</v>
      </c>
      <c r="R31" s="319" t="s">
        <v>5906</v>
      </c>
      <c r="S31" s="138" t="s">
        <v>5907</v>
      </c>
      <c r="T31" s="142" t="s">
        <v>5908</v>
      </c>
      <c r="U31" s="142"/>
      <c r="V31" s="142"/>
    </row>
    <row r="32">
      <c r="A32" s="314" t="s">
        <v>5909</v>
      </c>
      <c r="B32" s="315" t="s">
        <v>5910</v>
      </c>
      <c r="C32" s="314" t="str">
        <f>IFERROR(__xludf.DUMMYFUNCTION("GOOGLETRANSLATE(A32,""zh-tw"",""ja"")"),"千鳥")</f>
        <v>千鳥</v>
      </c>
      <c r="D32" s="315" t="str">
        <f>IFERROR(__xludf.DUMMYFUNCTION("GOOGLETRANSLATE(B32,""zh-tw"",""ja"")"),"物理攻撃力：16
魔法攻撃力：16
雷属性")</f>
        <v>物理攻撃力：16
魔法攻撃力：16
雷属性</v>
      </c>
      <c r="E32" s="314" t="s">
        <v>5911</v>
      </c>
      <c r="F32" s="315" t="s">
        <v>5912</v>
      </c>
      <c r="G32" s="314" t="str">
        <f>IFERROR(__xludf.DUMMYFUNCTION("GOOGLETRANSLATE(A32,""zh-tw"",""zh"")"),"千鸟")</f>
        <v>千鸟</v>
      </c>
      <c r="H32" s="315" t="str">
        <f>IFERROR(__xludf.DUMMYFUNCTION("GOOGLETRANSLATE(B32,""zh-tw"",""zh"")"),"物攻：16
魔攻：16
雷属性")</f>
        <v>物攻：16
魔攻：16
雷属性</v>
      </c>
      <c r="I32" s="320" t="str">
        <f>IFERROR(__xludf.DUMMYFUNCTION("GOOGLETRANSLATE(A32,""zh-tw"",""es-MX"")"),"Chidori")</f>
        <v>Chidori</v>
      </c>
      <c r="J32" s="142" t="str">
        <f>IFERROR(__xludf.DUMMYFUNCTION("GOOGLETRANSLATE(B32,""zh-tw"",""es-MX"")"),"Ataque físico: 16
Ataque mágico: 16
Atributo Rayo")</f>
        <v>Ataque físico: 16
Ataque mágico: 16
Atributo Rayo</v>
      </c>
      <c r="K32" s="320" t="str">
        <f>IFERROR(__xludf.DUMMYFUNCTION("GOOGLETRANSLATE(A32,""zh-tw"",""KO"")"),"치도리")</f>
        <v>치도리</v>
      </c>
      <c r="L32" s="142" t="str">
        <f>IFERROR(__xludf.DUMMYFUNCTION("GOOGLETRANSLATE(B32,""zh-tw"",""KO"")"),"물리 공격력: 16
마법 공격력: 16
번개 속성")</f>
        <v>물리 공격력: 16
마법 공격력: 16
번개 속성</v>
      </c>
      <c r="M32" s="316" t="str">
        <f>IFERROR(__xludf.DUMMYFUNCTION("GOOGLETRANSLATE(A32,""zh-tw"",""ru"")"),"Чидори")</f>
        <v>Чидори</v>
      </c>
      <c r="N32" s="317" t="str">
        <f>IFERROR(__xludf.DUMMYFUNCTION("GOOGLETRANSLATE(B32,""zh-tw"",""ru"")"),"Физическая атака: 16
Магическая атака: 16
Атрибут «Молния»")</f>
        <v>Физическая атака: 16
Магическая атака: 16
Атрибут «Молния»</v>
      </c>
      <c r="O32" s="314" t="s">
        <v>5913</v>
      </c>
      <c r="P32" s="315" t="s">
        <v>5914</v>
      </c>
      <c r="Q32" s="318" t="s">
        <v>5915</v>
      </c>
      <c r="R32" s="319" t="s">
        <v>5916</v>
      </c>
      <c r="S32" s="138" t="s">
        <v>5911</v>
      </c>
      <c r="T32" s="142" t="s">
        <v>5917</v>
      </c>
      <c r="U32" s="142"/>
      <c r="V32" s="142"/>
    </row>
    <row r="33">
      <c r="A33" s="314" t="s">
        <v>5918</v>
      </c>
      <c r="B33" s="315" t="s">
        <v>5919</v>
      </c>
      <c r="C33" s="314" t="s">
        <v>5920</v>
      </c>
      <c r="D33" s="315" t="str">
        <f>IFERROR(__xludf.DUMMYFUNCTION("GOOGLETRANSLATE(B33,""zh-tw"",""ja"")"),"物理攻撃力：32（連射）")</f>
        <v>物理攻撃力：32（連射）</v>
      </c>
      <c r="E33" s="314" t="s">
        <v>5921</v>
      </c>
      <c r="F33" s="315" t="s">
        <v>5922</v>
      </c>
      <c r="G33" s="314" t="str">
        <f>IFERROR(__xludf.DUMMYFUNCTION("GOOGLETRANSLATE(A33,""zh-tw"",""zh"")"),"三头连弓地狱犬")</f>
        <v>三头连弓地狱犬</v>
      </c>
      <c r="H33" s="315" t="str">
        <f>IFERROR(__xludf.DUMMYFUNCTION("GOOGLETRANSLATE(B33,""zh-tw"",""zh"")"),"物攻：32
连发")</f>
        <v>物攻：32
连发</v>
      </c>
      <c r="I33" s="313" t="s">
        <v>5923</v>
      </c>
      <c r="J33" s="142" t="str">
        <f>IFERROR(__xludf.DUMMYFUNCTION("GOOGLETRANSLATE(B33,""zh-tw"",""es-MX"")"),"Ataque físico: 32 (Fuego rápido)")</f>
        <v>Ataque físico: 32 (Fuego rápido)</v>
      </c>
      <c r="K33" s="320" t="str">
        <f>IFERROR(__xludf.DUMMYFUNCTION("GOOGLETRANSLATE(A33,""zh-tw"",""KO"")"),"세 개의 머리를 가진 세르베루스")</f>
        <v>세 개의 머리를 가진 세르베루스</v>
      </c>
      <c r="L33" s="142" t="str">
        <f>IFERROR(__xludf.DUMMYFUNCTION("GOOGLETRANSLATE(B33,""zh-tw"",""KO"")"),"물리 공격력: 32 (연사)")</f>
        <v>물리 공격력: 32 (연사)</v>
      </c>
      <c r="M33" s="316" t="str">
        <f>IFERROR(__xludf.DUMMYFUNCTION("GOOGLETRANSLATE(A33,""zh-tw"",""ru"")"),"Трехголовый Цербер")</f>
        <v>Трехголовый Цербер</v>
      </c>
      <c r="N33" s="317" t="str">
        <f>IFERROR(__xludf.DUMMYFUNCTION("GOOGLETRANSLATE(B33,""zh-tw"",""ru"")"),"Физическая атака: 32 (Быстрая стрельба)")</f>
        <v>Физическая атака: 32 (Быстрая стрельба)</v>
      </c>
      <c r="O33" s="314" t="s">
        <v>5924</v>
      </c>
      <c r="P33" s="315" t="s">
        <v>5925</v>
      </c>
      <c r="Q33" s="318" t="s">
        <v>5926</v>
      </c>
      <c r="R33" s="319" t="s">
        <v>5927</v>
      </c>
      <c r="S33" s="138" t="s">
        <v>5928</v>
      </c>
      <c r="T33" s="142" t="s">
        <v>5929</v>
      </c>
      <c r="U33" s="142"/>
      <c r="V33" s="142"/>
    </row>
    <row r="34">
      <c r="A34" s="314" t="s">
        <v>5518</v>
      </c>
      <c r="B34" s="315" t="s">
        <v>5930</v>
      </c>
      <c r="C34" s="314" t="str">
        <f>IFERROR(__xludf.DUMMYFUNCTION("GOOGLETRANSLATE(A34,""zh-tw"",""ja"")"),"溶岩の杖")</f>
        <v>溶岩の杖</v>
      </c>
      <c r="D34" s="315" t="str">
        <f>IFERROR(__xludf.DUMMYFUNCTION("GOOGLETRANSLATE(B34,""zh-tw"",""ja"")"),"物理攻撃力：1
魔法攻撃力：66
火属性")</f>
        <v>物理攻撃力：1
魔法攻撃力：66
火属性</v>
      </c>
      <c r="E34" s="314" t="s">
        <v>5522</v>
      </c>
      <c r="F34" s="315" t="s">
        <v>5931</v>
      </c>
      <c r="G34" s="314" t="str">
        <f>IFERROR(__xludf.DUMMYFUNCTION("GOOGLETRANSLATE(A34,""zh-tw"",""zh"")"),"熔岩杖")</f>
        <v>熔岩杖</v>
      </c>
      <c r="H34" s="315" t="str">
        <f>IFERROR(__xludf.DUMMYFUNCTION("GOOGLETRANSLATE(B34,""zh-tw"",""zh"")"),"物攻：1
魔攻：66
炎属性")</f>
        <v>物攻：1
魔攻：66
炎属性</v>
      </c>
      <c r="I34" s="313" t="s">
        <v>5932</v>
      </c>
      <c r="J34" s="142" t="str">
        <f>IFERROR(__xludf.DUMMYFUNCTION("GOOGLETRANSLATE(B34,""zh-tw"",""es-MX"")"),"Ataque físico: 1
Ataque mágico: 66
Atributo de fuego")</f>
        <v>Ataque físico: 1
Ataque mágico: 66
Atributo de fuego</v>
      </c>
      <c r="K34" s="320" t="str">
        <f>IFERROR(__xludf.DUMMYFUNCTION("GOOGLETRANSLATE(A34,""zh-tw"",""KO"")"),"라바 스태프")</f>
        <v>라바 스태프</v>
      </c>
      <c r="L34" s="142" t="str">
        <f>IFERROR(__xludf.DUMMYFUNCTION("GOOGLETRANSLATE(B34,""zh-tw"",""KO"")"),"물리 공격력: 1
마법 공격력: 66
화속성")</f>
        <v>물리 공격력: 1
마법 공격력: 66
화속성</v>
      </c>
      <c r="M34" s="316" t="str">
        <f>IFERROR(__xludf.DUMMYFUNCTION("GOOGLETRANSLATE(A34,""zh-tw"",""ru"")"),"Лавовый посох")</f>
        <v>Лавовый посох</v>
      </c>
      <c r="N34" s="317" t="str">
        <f>IFERROR(__xludf.DUMMYFUNCTION("GOOGLETRANSLATE(B34,""zh-tw"",""ru"")"),"Физическая атака: 1
Магическая атака: 66
Атрибут огня")</f>
        <v>Физическая атака: 1
Магическая атака: 66
Атрибут огня</v>
      </c>
      <c r="O34" s="314" t="s">
        <v>5525</v>
      </c>
      <c r="P34" s="315" t="s">
        <v>5933</v>
      </c>
      <c r="Q34" s="318" t="s">
        <v>5934</v>
      </c>
      <c r="R34" s="322" t="s">
        <v>5935</v>
      </c>
      <c r="S34" s="138" t="s">
        <v>5529</v>
      </c>
      <c r="T34" s="142" t="s">
        <v>5936</v>
      </c>
      <c r="U34" s="142"/>
      <c r="V34" s="142"/>
    </row>
    <row r="35">
      <c r="A35" s="314" t="s">
        <v>5937</v>
      </c>
      <c r="B35" s="315" t="s">
        <v>5938</v>
      </c>
      <c r="C35" s="314" t="s">
        <v>5939</v>
      </c>
      <c r="D35" s="315" t="str">
        <f>IFERROR(__xludf.DUMMYFUNCTION("GOOGLETRANSLATE(B35,""zh-tw"",""ja"")"),"物理攻撃: 1 魔法攻撃: 55 氷属性")</f>
        <v>物理攻撃: 1 魔法攻撃: 55 氷属性</v>
      </c>
      <c r="E35" s="314" t="s">
        <v>5940</v>
      </c>
      <c r="F35" s="315" t="s">
        <v>5941</v>
      </c>
      <c r="G35" s="314" t="str">
        <f>IFERROR(__xludf.DUMMYFUNCTION("GOOGLETRANSLATE(A35,""zh-tw"",""zh"")"),"寒冰杖")</f>
        <v>寒冰杖</v>
      </c>
      <c r="H35" s="315" t="str">
        <f>IFERROR(__xludf.DUMMYFUNCTION("GOOGLETRANSLATE(B35,""zh-tw"",""zh"")"),"物攻：1
魔攻：55
冰属性")</f>
        <v>物攻：1
魔攻：55
冰属性</v>
      </c>
      <c r="I35" s="313" t="s">
        <v>5942</v>
      </c>
      <c r="J35" s="142" t="str">
        <f>IFERROR(__xludf.DUMMYFUNCTION("GOOGLETRANSLATE(B35,""zh-tw"",""es-MX"")"),"Ataque físico: 1 Ataque mágico: 55 Atributo de hielo")</f>
        <v>Ataque físico: 1 Ataque mágico: 55 Atributo de hielo</v>
      </c>
      <c r="K35" s="320" t="str">
        <f>IFERROR(__xludf.DUMMYFUNCTION("GOOGLETRANSLATE(A35,""zh-tw"",""KO"")"),"얼음 지팡이")</f>
        <v>얼음 지팡이</v>
      </c>
      <c r="L35" s="142" t="str">
        <f>IFERROR(__xludf.DUMMYFUNCTION("GOOGLETRANSLATE(B35,""zh-tw"",""KO"")"),"물리 공격력: 1 마법 공격력: 55 얼음 속성")</f>
        <v>물리 공격력: 1 마법 공격력: 55 얼음 속성</v>
      </c>
      <c r="M35" s="316" t="str">
        <f>IFERROR(__xludf.DUMMYFUNCTION("GOOGLETRANSLATE(A35,""zh-tw"",""ru"")"),"Ледяной посох")</f>
        <v>Ледяной посох</v>
      </c>
      <c r="N35" s="317" t="str">
        <f>IFERROR(__xludf.DUMMYFUNCTION("GOOGLETRANSLATE(B35,""zh-tw"",""ru"")"),"Физическая атака: 1 Магическая атака: 55 Атрибут льда")</f>
        <v>Физическая атака: 1 Магическая атака: 55 Атрибут льда</v>
      </c>
      <c r="O35" s="314" t="s">
        <v>5943</v>
      </c>
      <c r="P35" s="315" t="s">
        <v>5944</v>
      </c>
      <c r="Q35" s="318" t="s">
        <v>5945</v>
      </c>
      <c r="R35" s="319" t="s">
        <v>5946</v>
      </c>
      <c r="S35" s="138" t="s">
        <v>5947</v>
      </c>
      <c r="T35" s="142" t="s">
        <v>5948</v>
      </c>
      <c r="U35" s="142"/>
      <c r="V35" s="142"/>
    </row>
    <row r="36">
      <c r="A36" s="314" t="s">
        <v>5949</v>
      </c>
      <c r="B36" s="315" t="s">
        <v>5950</v>
      </c>
      <c r="C36" s="314" t="str">
        <f>IFERROR(__xludf.DUMMYFUNCTION("GOOGLETRANSLATE(A36,""zh-tw"",""ja"")"),"星空の夜")</f>
        <v>星空の夜</v>
      </c>
      <c r="D36" s="315" t="str">
        <f>IFERROR(__xludf.DUMMYFUNCTION("GOOGLETRANSLATE(B36,""zh-tw"",""ja"")"),"物理攻撃力: 1 魔法攻撃力: 68 ブラックホール")</f>
        <v>物理攻撃力: 1 魔法攻撃力: 68 ブラックホール</v>
      </c>
      <c r="E36" s="314" t="s">
        <v>5951</v>
      </c>
      <c r="F36" s="315" t="s">
        <v>5952</v>
      </c>
      <c r="G36" s="314" t="str">
        <f>IFERROR(__xludf.DUMMYFUNCTION("GOOGLETRANSLATE(A36,""zh-tw"",""zh"")"),"星月夜")</f>
        <v>星月夜</v>
      </c>
      <c r="H36" s="315" t="str">
        <f>IFERROR(__xludf.DUMMYFUNCTION("GOOGLETRANSLATE(B36,""zh-tw"",""zh"")"),"物攻：1
魔攻：68
黑洞")</f>
        <v>物攻：1
魔攻：68
黑洞</v>
      </c>
      <c r="I36" s="313" t="s">
        <v>5953</v>
      </c>
      <c r="J36" s="142" t="str">
        <f>IFERROR(__xludf.DUMMYFUNCTION("GOOGLETRANSLATE(B36,""zh-tw"",""es-MX"")"),"Ataque físico: 1 Ataque mágico: 68 Agujero negro")</f>
        <v>Ataque físico: 1 Ataque mágico: 68 Agujero negro</v>
      </c>
      <c r="K36" s="320" t="str">
        <f>IFERROR(__xludf.DUMMYFUNCTION("GOOGLETRANSLATE(A36,""zh-tw"",""KO"")"),"별이 빛나는 달밤")</f>
        <v>별이 빛나는 달밤</v>
      </c>
      <c r="L36" s="142" t="str">
        <f>IFERROR(__xludf.DUMMYFUNCTION("GOOGLETRANSLATE(B36,""zh-tw"",""KO"")"),"물리 공격력: 1 마법 공격력: 68 블랙홀")</f>
        <v>물리 공격력: 1 마법 공격력: 68 블랙홀</v>
      </c>
      <c r="M36" s="316" t="str">
        <f>IFERROR(__xludf.DUMMYFUNCTION("GOOGLETRANSLATE(A36,""zh-tw"",""ru"")"),"звездная лунная ночь")</f>
        <v>звездная лунная ночь</v>
      </c>
      <c r="N36" s="317" t="str">
        <f>IFERROR(__xludf.DUMMYFUNCTION("GOOGLETRANSLATE(B36,""zh-tw"",""ru"")"),"Физическая атака: 1 Магическая атака: 68 Черная дыра")</f>
        <v>Физическая атака: 1 Магическая атака: 68 Черная дыра</v>
      </c>
      <c r="O36" s="314" t="s">
        <v>5954</v>
      </c>
      <c r="P36" s="315" t="s">
        <v>5955</v>
      </c>
      <c r="Q36" s="318" t="s">
        <v>5956</v>
      </c>
      <c r="R36" s="319" t="s">
        <v>5957</v>
      </c>
      <c r="S36" s="138" t="s">
        <v>5958</v>
      </c>
      <c r="T36" s="142" t="s">
        <v>5959</v>
      </c>
      <c r="U36" s="142"/>
      <c r="V36" s="142"/>
    </row>
    <row r="37">
      <c r="A37" s="314" t="s">
        <v>5960</v>
      </c>
      <c r="B37" s="315" t="s">
        <v>5961</v>
      </c>
      <c r="C37" s="314" t="str">
        <f>IFERROR(__xludf.DUMMYFUNCTION("GOOGLETRANSLATE(A37,""zh-tw"",""ja"")"),"バナナ？")</f>
        <v>バナナ？</v>
      </c>
      <c r="D37" s="315" t="str">
        <f>IFERROR(__xludf.DUMMYFUNCTION("GOOGLETRANSLATE(B37,""zh-tw"",""ja"")"),"物理攻撃力：10爆発")</f>
        <v>物理攻撃力：10爆発</v>
      </c>
      <c r="E37" s="314" t="s">
        <v>5962</v>
      </c>
      <c r="F37" s="315" t="s">
        <v>5963</v>
      </c>
      <c r="G37" s="314" t="str">
        <f>IFERROR(__xludf.DUMMYFUNCTION("GOOGLETRANSLATE(A37,""zh-tw"",""zh"")"),"香蕉?")</f>
        <v>香蕉?</v>
      </c>
      <c r="H37" s="315" t="str">
        <f>IFERROR(__xludf.DUMMYFUNCTION("GOOGLETRANSLATE(B37,""zh-tw"",""zh"")"),"物攻：10
爆炸")</f>
        <v>物攻：10
爆炸</v>
      </c>
      <c r="I37" s="313" t="s">
        <v>5964</v>
      </c>
      <c r="J37" s="142" t="str">
        <f>IFERROR(__xludf.DUMMYFUNCTION("GOOGLETRANSLATE(B37,""zh-tw"",""es-MX"")"),"Ataque físico: 10 Explosión")</f>
        <v>Ataque físico: 10 Explosión</v>
      </c>
      <c r="K37" s="320" t="str">
        <f>IFERROR(__xludf.DUMMYFUNCTION("GOOGLETRANSLATE(A37,""zh-tw"",""KO"")"),"바나나?")</f>
        <v>바나나?</v>
      </c>
      <c r="L37" s="142" t="str">
        <f>IFERROR(__xludf.DUMMYFUNCTION("GOOGLETRANSLATE(B37,""zh-tw"",""KO"")"),"물리 공격력: 10 폭발")</f>
        <v>물리 공격력: 10 폭발</v>
      </c>
      <c r="M37" s="316" t="str">
        <f>IFERROR(__xludf.DUMMYFUNCTION("GOOGLETRANSLATE(A37,""zh-tw"",""ru"")"),"банан?")</f>
        <v>банан?</v>
      </c>
      <c r="N37" s="317" t="str">
        <f>IFERROR(__xludf.DUMMYFUNCTION("GOOGLETRANSLATE(B37,""zh-tw"",""ru"")"),"Физическая атака: 10 взрывов")</f>
        <v>Физическая атака: 10 взрывов</v>
      </c>
      <c r="O37" s="314" t="s">
        <v>5965</v>
      </c>
      <c r="P37" s="315" t="s">
        <v>5966</v>
      </c>
      <c r="Q37" s="318" t="s">
        <v>5967</v>
      </c>
      <c r="R37" s="319" t="s">
        <v>5968</v>
      </c>
      <c r="S37" s="138" t="s">
        <v>5962</v>
      </c>
      <c r="T37" s="142" t="s">
        <v>5969</v>
      </c>
      <c r="U37" s="142"/>
      <c r="V37" s="142"/>
    </row>
    <row r="38" ht="68.25" customHeight="1">
      <c r="A38" s="314" t="s">
        <v>5970</v>
      </c>
      <c r="B38" s="315" t="s">
        <v>5971</v>
      </c>
      <c r="C38" s="314" t="s">
        <v>5972</v>
      </c>
      <c r="D38" s="315" t="str">
        <f>IFERROR(__xludf.DUMMYFUNCTION("GOOGLETRANSLATE(B38,""zh-tw"",""ja"")"),"物理攻撃力：1
魔法攻撃力：1
アイテム吸収")</f>
        <v>物理攻撃力：1
魔法攻撃力：1
アイテム吸収</v>
      </c>
      <c r="E38" s="314" t="s">
        <v>5973</v>
      </c>
      <c r="F38" s="315" t="s">
        <v>5974</v>
      </c>
      <c r="G38" s="314" t="str">
        <f>IFERROR(__xludf.DUMMYFUNCTION("GOOGLETRANSLATE(A38,""zh-tw"",""zh"")"),"巨蜗吸尘器")</f>
        <v>巨蜗吸尘器</v>
      </c>
      <c r="H38" s="315" t="str">
        <f>IFERROR(__xludf.DUMMYFUNCTION("GOOGLETRANSLATE(B38,""zh-tw"",""zh"")"),"物攻：1
魔攻：1
吸取物品")</f>
        <v>物攻：1
魔攻：1
吸取物品</v>
      </c>
      <c r="I38" s="313" t="s">
        <v>5975</v>
      </c>
      <c r="J38" s="142" t="str">
        <f>IFERROR(__xludf.DUMMYFUNCTION("GOOGLETRANSLATE(B38,""zh-tw"",""es-MX"")"),"Ataque físico: 1
Ataque mágico: 1
Absorción de objetos")</f>
        <v>Ataque físico: 1
Ataque mágico: 1
Absorción de objetos</v>
      </c>
      <c r="K38" s="320" t="str">
        <f>IFERROR(__xludf.DUMMYFUNCTION("GOOGLETRANSLATE(A38,""zh-tw"",""KO"")"),"자이언트 스네일 진공 청소기")</f>
        <v>자이언트 스네일 진공 청소기</v>
      </c>
      <c r="L38" s="142" t="str">
        <f>IFERROR(__xludf.DUMMYFUNCTION("GOOGLETRANSLATE(B38,""zh-tw"",""KO"")"),"물리 공격력: 1
마법 공격력: 1
아이템 흡수")</f>
        <v>물리 공격력: 1
마법 공격력: 1
아이템 흡수</v>
      </c>
      <c r="M38" s="316" t="str">
        <f>IFERROR(__xludf.DUMMYFUNCTION("GOOGLETRANSLATE(A38,""zh-tw"",""ru"")"),"Гигантский пылесос-улитка")</f>
        <v>Гигантский пылесос-улитка</v>
      </c>
      <c r="N38" s="317"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14" t="s">
        <v>5976</v>
      </c>
      <c r="P38" s="315" t="s">
        <v>5977</v>
      </c>
      <c r="Q38" s="318" t="s">
        <v>5978</v>
      </c>
      <c r="R38" s="319" t="s">
        <v>5979</v>
      </c>
      <c r="S38" s="138" t="s">
        <v>5980</v>
      </c>
      <c r="T38" s="142" t="s">
        <v>5981</v>
      </c>
      <c r="U38" s="142"/>
      <c r="V38" s="142"/>
    </row>
    <row r="39">
      <c r="A39" s="314" t="s">
        <v>5982</v>
      </c>
      <c r="B39" s="315" t="s">
        <v>5983</v>
      </c>
      <c r="C39" s="314" t="s">
        <v>5984</v>
      </c>
      <c r="D39" s="315" t="str">
        <f>IFERROR(__xludf.DUMMYFUNCTION("GOOGLETRANSLATE(B39,""zh-tw"",""ja"")"),"物理攻撃: 15 ターゲットをクランプする")</f>
        <v>物理攻撃: 15 ターゲットをクランプする</v>
      </c>
      <c r="E39" s="314" t="s">
        <v>5985</v>
      </c>
      <c r="F39" s="315" t="s">
        <v>5986</v>
      </c>
      <c r="G39" s="314" t="str">
        <f>IFERROR(__xludf.DUMMYFUNCTION("GOOGLETRANSLATE(A39,""zh-tw"",""zh"")"),"巨大蟹钳")</f>
        <v>巨大蟹钳</v>
      </c>
      <c r="H39" s="315" t="str">
        <f>IFERROR(__xludf.DUMMYFUNCTION("GOOGLETRANSLATE(B39,""zh-tw"",""zh"")"),"物攻：15
夹住目标")</f>
        <v>物攻：15
夹住目标</v>
      </c>
      <c r="I39" s="313" t="s">
        <v>5987</v>
      </c>
      <c r="J39" s="142" t="str">
        <f>IFERROR(__xludf.DUMMYFUNCTION("GOOGLETRANSLATE(B39,""zh-tw"",""es-MX"")"),"Ataque físico: 15 Sujeta al objetivo")</f>
        <v>Ataque físico: 15 Sujeta al objetivo</v>
      </c>
      <c r="K39" s="320" t="str">
        <f>IFERROR(__xludf.DUMMYFUNCTION("GOOGLETRANSLATE(A39,""zh-tw"",""KO"")"),"거대한 게 발톱")</f>
        <v>거대한 게 발톱</v>
      </c>
      <c r="L39" s="142" t="str">
        <f>IFERROR(__xludf.DUMMYFUNCTION("GOOGLETRANSLATE(B39,""zh-tw"",""KO"")"),"물리공격력 : 15 대상을 고정합니다.")</f>
        <v>물리공격력 : 15 대상을 고정합니다.</v>
      </c>
      <c r="M39" s="316" t="str">
        <f>IFERROR(__xludf.DUMMYFUNCTION("GOOGLETRANSLATE(A39,""zh-tw"",""ru"")"),"Клешни гигантского краба")</f>
        <v>Клешни гигантского краба</v>
      </c>
      <c r="N39" s="317" t="str">
        <f>IFERROR(__xludf.DUMMYFUNCTION("GOOGLETRANSLATE(B39,""zh-tw"",""ru"")"),"Физическая атака: 15 Захват цели")</f>
        <v>Физическая атака: 15 Захват цели</v>
      </c>
      <c r="O39" s="314" t="s">
        <v>5988</v>
      </c>
      <c r="P39" s="315" t="s">
        <v>5989</v>
      </c>
      <c r="Q39" s="318" t="s">
        <v>5990</v>
      </c>
      <c r="R39" s="319" t="s">
        <v>5991</v>
      </c>
      <c r="S39" s="138" t="s">
        <v>5992</v>
      </c>
      <c r="T39" s="142" t="s">
        <v>5993</v>
      </c>
      <c r="U39" s="142"/>
      <c r="V39" s="142"/>
    </row>
    <row r="40">
      <c r="A40" s="313" t="s">
        <v>5994</v>
      </c>
      <c r="B40" s="136" t="s">
        <v>5995</v>
      </c>
      <c r="C40" s="314" t="s">
        <v>5994</v>
      </c>
      <c r="D40" s="315" t="str">
        <f>IFERROR(__xludf.DUMMYFUNCTION("GOOGLETRANSLATE(B40,""zh-tw"",""ja"")"),"物理攻撃：スタンの確率36%")</f>
        <v>物理攻撃：スタンの確率36%</v>
      </c>
      <c r="E40" s="314" t="s">
        <v>5996</v>
      </c>
      <c r="F40" s="315" t="s">
        <v>5997</v>
      </c>
      <c r="G40" s="314" t="str">
        <f>IFERROR(__xludf.DUMMYFUNCTION("GOOGLETRANSLATE(A40,""zh-tw"",""zh"")"),"大木槌")</f>
        <v>大木槌</v>
      </c>
      <c r="H40" s="315" t="str">
        <f>IFERROR(__xludf.DUMMYFUNCTION("GOOGLETRANSLATE(B40,""zh-tw"",""zh"")"),"物攻：36
机率晕眩")</f>
        <v>物攻：36
机率晕眩</v>
      </c>
      <c r="I40" s="313" t="s">
        <v>5998</v>
      </c>
      <c r="J40" s="142" t="str">
        <f>IFERROR(__xludf.DUMMYFUNCTION("GOOGLETRANSLATE(B40,""zh-tw"",""es-MX"")"),"Ataque físico: 36% de probabilidad de aturdimiento")</f>
        <v>Ataque físico: 36% de probabilidad de aturdimiento</v>
      </c>
      <c r="K40" s="320" t="str">
        <f>IFERROR(__xludf.DUMMYFUNCTION("GOOGLETRANSLATE(A40,""zh-tw"",""KO"")"),"큰 나무 망치")</f>
        <v>큰 나무 망치</v>
      </c>
      <c r="L40" s="142" t="str">
        <f>IFERROR(__xludf.DUMMYFUNCTION("GOOGLETRANSLATE(B40,""zh-tw"",""KO"")"),"물리 공격: 36% 확률로 기절")</f>
        <v>물리 공격: 36% 확률로 기절</v>
      </c>
      <c r="M40" s="316" t="str">
        <f>IFERROR(__xludf.DUMMYFUNCTION("GOOGLETRANSLATE(A40,""zh-tw"",""ru"")"),"Большой деревянный молоток")</f>
        <v>Большой деревянный молоток</v>
      </c>
      <c r="N40" s="317" t="str">
        <f>IFERROR(__xludf.DUMMYFUNCTION("GOOGLETRANSLATE(B40,""zh-tw"",""ru"")"),"Физическая атака: 36% шанс оглушения")</f>
        <v>Физическая атака: 36% шанс оглушения</v>
      </c>
      <c r="O40" s="314" t="s">
        <v>5999</v>
      </c>
      <c r="P40" s="315" t="s">
        <v>6000</v>
      </c>
      <c r="Q40" s="318" t="s">
        <v>6001</v>
      </c>
      <c r="R40" s="319" t="s">
        <v>6002</v>
      </c>
      <c r="S40" s="138" t="s">
        <v>6003</v>
      </c>
      <c r="T40" s="142" t="s">
        <v>6004</v>
      </c>
      <c r="U40" s="142"/>
      <c r="V40" s="142"/>
    </row>
    <row r="41">
      <c r="A41" s="320" t="s">
        <v>6005</v>
      </c>
      <c r="B41" s="142" t="s">
        <v>6006</v>
      </c>
      <c r="C41" s="320" t="s">
        <v>6005</v>
      </c>
      <c r="D41" s="142" t="s">
        <v>6007</v>
      </c>
      <c r="E41" s="320" t="s">
        <v>6008</v>
      </c>
      <c r="F41" s="136" t="s">
        <v>6009</v>
      </c>
      <c r="G41" s="314" t="str">
        <f>IFERROR(__xludf.DUMMYFUNCTION("GOOGLETRANSLATE(A41,""zh-tw"",""zh"")"),"日轮")</f>
        <v>日轮</v>
      </c>
      <c r="H41" s="315" t="str">
        <f>IFERROR(__xludf.DUMMYFUNCTION("GOOGLETRANSLATE(B41,""zh-tw"",""zh"")"),"物攻：12
魔攻：30
魔防：30
召唤陨石")</f>
        <v>物攻：12
魔攻：30
魔防：30
召唤陨石</v>
      </c>
      <c r="I41" s="313" t="s">
        <v>6008</v>
      </c>
      <c r="J41" s="142" t="str">
        <f>IFERROR(__xludf.DUMMYFUNCTION("GOOGLETRANSLATE(B41,""zh-tw"",""es-MX"")"),"Ataque físico: 12
Ataque mágico: 30
Defensa mágica: 30
Invocar meteorito")</f>
        <v>Ataque físico: 12
Ataque mágico: 30
Defensa mágica: 30
Invocar meteorito</v>
      </c>
      <c r="K41" s="320" t="str">
        <f>IFERROR(__xludf.DUMMYFUNCTION("GOOGLETRANSLATE(A41,""zh-tw"",""KO"")"),"썬 휠")</f>
        <v>썬 휠</v>
      </c>
      <c r="L41" s="142" t="str">
        <f>IFERROR(__xludf.DUMMYFUNCTION("GOOGLETRANSLATE(B41,""zh-tw"",""KO"")"),"물리 공격력: 12
마법 공격력: 30
마법 방어력: 30
유성 소환")</f>
        <v>물리 공격력: 12
마법 공격력: 30
마법 방어력: 30
유성 소환</v>
      </c>
      <c r="M41" s="316" t="str">
        <f>IFERROR(__xludf.DUMMYFUNCTION("GOOGLETRANSLATE(A41,""zh-tw"",""ru"")"),"Солнечное колесо")</f>
        <v>Солнечное колесо</v>
      </c>
      <c r="N41" s="317"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21" t="s">
        <v>6010</v>
      </c>
      <c r="P41" s="51" t="s">
        <v>6011</v>
      </c>
      <c r="Q41" s="318" t="s">
        <v>6012</v>
      </c>
      <c r="R41" s="319" t="s">
        <v>6013</v>
      </c>
      <c r="S41" s="138" t="s">
        <v>6008</v>
      </c>
      <c r="T41" s="142" t="s">
        <v>6014</v>
      </c>
      <c r="U41" s="142"/>
      <c r="V41" s="142"/>
    </row>
    <row r="42">
      <c r="A42" s="320" t="s">
        <v>6015</v>
      </c>
      <c r="B42" s="136" t="s">
        <v>6016</v>
      </c>
      <c r="C42" s="320" t="s">
        <v>6017</v>
      </c>
      <c r="D42" s="142" t="s">
        <v>6018</v>
      </c>
      <c r="E42" s="320" t="s">
        <v>6019</v>
      </c>
      <c r="F42" s="142" t="s">
        <v>6020</v>
      </c>
      <c r="G42" s="314" t="str">
        <f>IFERROR(__xludf.DUMMYFUNCTION("GOOGLETRANSLATE(A42,""zh-tw"",""zh"")"),"登的阴郁手镰")</f>
        <v>登的阴郁手镰</v>
      </c>
      <c r="H42" s="315" t="str">
        <f>IFERROR(__xludf.DUMMYFUNCTION("GOOGLETRANSLATE(B42,""zh-tw"",""zh"")"),"
物攻：18
魔攻：9
回力镖类型武器")</f>
        <v>
物攻：18
魔攻：9
回力镖类型武器</v>
      </c>
      <c r="I42" s="313" t="s">
        <v>6021</v>
      </c>
      <c r="J42" s="142" t="str">
        <f>IFERROR(__xludf.DUMMYFUNCTION("GOOGLETRANSLATE(B42,""zh-tw"",""es-MX"")"),"Ataque físico: 18 Ataque mágico: 9 Arma tipo bumerán")</f>
        <v>Ataque físico: 18 Ataque mágico: 9 Arma tipo bumerán</v>
      </c>
      <c r="K42" s="320" t="str">
        <f>IFERROR(__xludf.DUMMYFUNCTION("GOOGLETRANSLATE(A42,""zh-tw"",""KO"")"),"덩의 우울한 낫")</f>
        <v>덩의 우울한 낫</v>
      </c>
      <c r="L42" s="142" t="str">
        <f>IFERROR(__xludf.DUMMYFUNCTION("GOOGLETRANSLATE(B42,""zh-tw"",""KO"")"),"물리 공격력: 18 마법 공격력: 9 부메랑 계열 무기")</f>
        <v>물리 공격력: 18 마법 공격력: 9 부메랑 계열 무기</v>
      </c>
      <c r="M42" s="316" t="str">
        <f>IFERROR(__xludf.DUMMYFUNCTION("GOOGLETRANSLATE(A42,""zh-tw"",""ru"")"),"Мрачный серп Дэнга")</f>
        <v>Мрачный серп Дэнга</v>
      </c>
      <c r="N42" s="317"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21" t="s">
        <v>6022</v>
      </c>
      <c r="P42" s="51" t="s">
        <v>6023</v>
      </c>
      <c r="Q42" s="318" t="s">
        <v>6024</v>
      </c>
      <c r="R42" s="319" t="s">
        <v>6025</v>
      </c>
      <c r="S42" s="138" t="s">
        <v>6026</v>
      </c>
      <c r="T42" s="142" t="s">
        <v>6027</v>
      </c>
      <c r="U42" s="142"/>
      <c r="V42" s="142"/>
    </row>
    <row r="43">
      <c r="A43" s="313" t="s">
        <v>6028</v>
      </c>
      <c r="B43" s="136" t="s">
        <v>6029</v>
      </c>
      <c r="C43" s="313" t="s">
        <v>3740</v>
      </c>
      <c r="D43" s="142" t="str">
        <f>IFERROR(__xludf.DUMMYFUNCTION("GOOGLETRANSLATE(B43,""zh-tw"",""ja"")"),"物理攻撃: 毒または出血を与える確率 15%。毒は必ず発生します。")</f>
        <v>物理攻撃: 毒または出血を与える確率 15%。毒は必ず発生します。</v>
      </c>
      <c r="E43" s="313" t="s">
        <v>6030</v>
      </c>
      <c r="F43" s="136" t="s">
        <v>6031</v>
      </c>
      <c r="G43" s="314" t="str">
        <f>IFERROR(__xludf.DUMMYFUNCTION("GOOGLETRANSLATE(A43,""zh-tw"",""zh"")"),"生锈的铁剑")</f>
        <v>生锈的铁剑</v>
      </c>
      <c r="H43" s="315" t="str">
        <f>IFERROR(__xludf.DUMMYFUNCTION("GOOGLETRANSLATE(B43,""zh-tw"",""zh"")"),"物攻：15
机率附加中毒、出血必定中毒")</f>
        <v>物攻：15
机率附加中毒、出血必定中毒</v>
      </c>
      <c r="I43" s="313" t="s">
        <v>6032</v>
      </c>
      <c r="J43" s="142" t="str">
        <f>IFERROR(__xludf.DUMMYFUNCTION("GOOGLETRANSLATE(B43,""zh-tw"",""es-MX"")"),"Ataque físico: 15 % de probabilidad de infligir veneno o sangrado; el envenenamiento está garantizado.")</f>
        <v>Ataque físico: 15 % de probabilidad de infligir veneno o sangrado; el envenenamiento está garantizado.</v>
      </c>
      <c r="K43" s="320" t="str">
        <f>IFERROR(__xludf.DUMMYFUNCTION("GOOGLETRANSLATE(A43,""zh-tw"",""KO"")"),"녹슨 철검")</f>
        <v>녹슨 철검</v>
      </c>
      <c r="L43" s="142" t="str">
        <f>IFERROR(__xludf.DUMMYFUNCTION("GOOGLETRANSLATE(B43,""zh-tw"",""KO"")"),"물리 공격: 15% 확률로 독이나 출혈을 유발합니다. 중독은 보장됩니다.")</f>
        <v>물리 공격: 15% 확률로 독이나 출혈을 유발합니다. 중독은 보장됩니다.</v>
      </c>
      <c r="M43" s="316" t="str">
        <f>IFERROR(__xludf.DUMMYFUNCTION("GOOGLETRANSLATE(A43,""zh-tw"",""ru"")"),"Ржавый железный меч")</f>
        <v>Ржавый железный меч</v>
      </c>
      <c r="N43" s="317"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13" t="s">
        <v>6033</v>
      </c>
      <c r="P43" s="136" t="s">
        <v>6034</v>
      </c>
      <c r="Q43" s="318" t="s">
        <v>6035</v>
      </c>
      <c r="R43" s="319" t="s">
        <v>6036</v>
      </c>
      <c r="S43" s="138" t="s">
        <v>6037</v>
      </c>
      <c r="T43" s="142" t="s">
        <v>6038</v>
      </c>
      <c r="U43" s="142"/>
      <c r="V43" s="142"/>
    </row>
    <row r="44">
      <c r="A44" s="313" t="s">
        <v>6039</v>
      </c>
      <c r="B44" s="136" t="s">
        <v>6040</v>
      </c>
      <c r="C44" s="320" t="str">
        <f>IFERROR(__xludf.DUMMYFUNCTION("GOOGLETRANSLATE(A44,""zh-tw"",""ja"")"),"鍛造ハンマー")</f>
        <v>鍛造ハンマー</v>
      </c>
      <c r="D44" s="142" t="str">
        <f>IFERROR(__xludf.DUMMYFUNCTION("GOOGLETRANSLATE(B44,""zh-tw"",""ja"")"),"物理攻撃：6。鍛造の使用については、詳細はTIPSを参照してください。")</f>
        <v>物理攻撃：6。鍛造の使用については、詳細はTIPSを参照してください。</v>
      </c>
      <c r="E44" s="313" t="s">
        <v>6041</v>
      </c>
      <c r="F44" s="136" t="s">
        <v>6042</v>
      </c>
      <c r="G44" s="314" t="str">
        <f>IFERROR(__xludf.DUMMYFUNCTION("GOOGLETRANSLATE(A44,""zh-tw"",""zh"")"),"锻造锤")</f>
        <v>锻造锤</v>
      </c>
      <c r="H44" s="315" t="str">
        <f>IFERROR(__xludf.DUMMYFUNCTION("GOOGLETRANSLATE(B44,""zh-tw"",""zh"")"),"物攻：6
锻造用途，详情于TIPS")</f>
        <v>物攻：6
锻造用途，详情于TIPS</v>
      </c>
      <c r="I44" s="313" t="s">
        <v>6043</v>
      </c>
      <c r="J44" s="142" t="str">
        <f>IFERROR(__xludf.DUMMYFUNCTION("GOOGLETRANSLATE(B44,""zh-tw"",""es-MX"")"),"Ataque físico: 6. Usos de forja, consulte CONSEJOS para obtener más detalles.")</f>
        <v>Ataque físico: 6. Usos de forja, consulte CONSEJOS para obtener más detalles.</v>
      </c>
      <c r="K44" s="320" t="str">
        <f>IFERROR(__xludf.DUMMYFUNCTION("GOOGLETRANSLATE(A44,""zh-tw"",""KO"")"),"단조 망치")</f>
        <v>단조 망치</v>
      </c>
      <c r="L44" s="142" t="str">
        <f>IFERROR(__xludf.DUMMYFUNCTION("GOOGLETRANSLATE(B44,""zh-tw"",""KO"")"),"물리적 공격력: 6. 단조에 사용 가능. 자세한 내용은 TIPS를 참조하세요.")</f>
        <v>물리적 공격력: 6. 단조에 사용 가능. 자세한 내용은 TIPS를 참조하세요.</v>
      </c>
      <c r="M44" s="316" t="str">
        <f>IFERROR(__xludf.DUMMYFUNCTION("GOOGLETRANSLATE(A44,""zh-tw"",""ru"")"),"Кузнечный молот")</f>
        <v>Кузнечный молот</v>
      </c>
      <c r="N44" s="317"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13" t="s">
        <v>6044</v>
      </c>
      <c r="P44" s="136" t="s">
        <v>6045</v>
      </c>
      <c r="Q44" s="318" t="s">
        <v>6046</v>
      </c>
      <c r="R44" s="319" t="s">
        <v>6047</v>
      </c>
      <c r="S44" s="138" t="s">
        <v>6048</v>
      </c>
      <c r="T44" s="142" t="s">
        <v>6049</v>
      </c>
      <c r="U44" s="142"/>
      <c r="V44" s="142"/>
    </row>
    <row r="45">
      <c r="A45" s="314" t="s">
        <v>6050</v>
      </c>
      <c r="B45" s="315" t="s">
        <v>6051</v>
      </c>
      <c r="C45" s="314" t="s">
        <v>6052</v>
      </c>
      <c r="D45" s="315"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14" t="s">
        <v>6053</v>
      </c>
      <c r="F45" s="315" t="s">
        <v>6054</v>
      </c>
      <c r="G45" s="314" t="str">
        <f>IFERROR(__xludf.DUMMYFUNCTION("GOOGLETRANSLATE(A45,""zh-tw"",""zh"")"),"2号机")</f>
        <v>2号机</v>
      </c>
      <c r="H45" s="315"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13" t="s">
        <v>6055</v>
      </c>
      <c r="J45" s="142" t="str">
        <f>IFERROR(__xludf.DUMMYFUNCTION("GOOGLETRANSLATE(B45,""zh-tw"",""es-MX"")"),"Ataca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5" s="320" t="str">
        <f>IFERROR(__xludf.DUMMYFUNCTION("GOOGLETRANSLATE(A45,""zh-tw"",""KO"")"),"2단원")</f>
        <v>2단원</v>
      </c>
      <c r="L45" s="142"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16" t="str">
        <f>IFERROR(__xludf.DUMMYFUNCTION("GOOGLETRANSLATE(A45,""zh-tw"",""ru"")"),"Блок 2")</f>
        <v>Блок 2</v>
      </c>
      <c r="N45" s="317"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14" t="s">
        <v>6056</v>
      </c>
      <c r="P45" s="315" t="s">
        <v>6057</v>
      </c>
      <c r="Q45" s="318" t="s">
        <v>6058</v>
      </c>
      <c r="R45" s="319" t="s">
        <v>6059</v>
      </c>
      <c r="S45" s="138" t="s">
        <v>6060</v>
      </c>
      <c r="T45" s="142" t="s">
        <v>6061</v>
      </c>
      <c r="U45" s="142"/>
      <c r="V45" s="142"/>
    </row>
    <row r="46">
      <c r="A46" s="313" t="s">
        <v>6062</v>
      </c>
      <c r="B46" s="136" t="s">
        <v>6063</v>
      </c>
      <c r="C46" s="313" t="s">
        <v>6064</v>
      </c>
      <c r="D46" s="136" t="s">
        <v>6065</v>
      </c>
      <c r="E46" s="313" t="s">
        <v>6066</v>
      </c>
      <c r="F46" s="136" t="s">
        <v>6067</v>
      </c>
      <c r="G46" s="314" t="str">
        <f>IFERROR(__xludf.DUMMYFUNCTION("GOOGLETRANSLATE(A46,""zh-tw"",""zh"")"),"潮汐之诗")</f>
        <v>潮汐之诗</v>
      </c>
      <c r="H46" s="315"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13" t="s">
        <v>6068</v>
      </c>
      <c r="J46" s="142" t="str">
        <f>IFERROR(__xludf.DUMMYFUNCTION("GOOGLETRANSLATE(B46,""zh-tw"",""es-MX"")"),"Ataque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6" s="320" t="str">
        <f>IFERROR(__xludf.DUMMYFUNCTION("GOOGLETRANSLATE(A46,""zh-tw"",""KO"")"),"조수의 시")</f>
        <v>조수의 시</v>
      </c>
      <c r="L46" s="142"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16" t="str">
        <f>IFERROR(__xludf.DUMMYFUNCTION("GOOGLETRANSLATE(A46,""zh-tw"",""ru"")"),"Поэма приливов")</f>
        <v>Поэма приливов</v>
      </c>
      <c r="N46" s="317"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р"&amp;"ыбы)")</f>
        <v>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рыбы)</v>
      </c>
      <c r="O46" s="313" t="s">
        <v>6069</v>
      </c>
      <c r="P46" s="136" t="s">
        <v>6070</v>
      </c>
      <c r="Q46" s="324" t="s">
        <v>6071</v>
      </c>
      <c r="R46" s="325" t="s">
        <v>6072</v>
      </c>
      <c r="S46" s="178" t="s">
        <v>6073</v>
      </c>
      <c r="T46" s="142" t="s">
        <v>6074</v>
      </c>
      <c r="U46" s="142"/>
      <c r="V46" s="142"/>
    </row>
    <row r="47">
      <c r="A47" s="321" t="s">
        <v>6075</v>
      </c>
      <c r="B47" s="136" t="s">
        <v>6076</v>
      </c>
      <c r="C47" s="313" t="s">
        <v>3933</v>
      </c>
      <c r="D47" s="136" t="s">
        <v>6077</v>
      </c>
      <c r="E47" s="313" t="s">
        <v>3947</v>
      </c>
      <c r="F47" s="136" t="s">
        <v>6078</v>
      </c>
      <c r="G47" s="314" t="str">
        <f>IFERROR(__xludf.DUMMYFUNCTION("GOOGLETRANSLATE(A47,""zh-tw"",""zh"")"),"胡萝卜大剑")</f>
        <v>胡萝卜大剑</v>
      </c>
      <c r="H47" s="315" t="str">
        <f>IFERROR(__xludf.DUMMYFUNCTION("GOOGLETRANSLATE(B47,""zh-tw"",""zh"")"),"物攻：1
累计伤害型武器
投掷穿刺效果
*特殊传送效果(请参考TIPS)")</f>
        <v>物攻：1
累计伤害型武器
投掷穿刺效果
*特殊传送效果(请参考TIPS)</v>
      </c>
      <c r="I47" s="313" t="s">
        <v>6079</v>
      </c>
      <c r="J47" s="142" t="str">
        <f>IFERROR(__xludf.DUMMYFUNCTION("GOOGLETRANSLATE(B47,""zh-tw"",""es-MX"")"),"Ataque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7" s="320" t="str">
        <f>IFERROR(__xludf.DUMMYFUNCTION("GOOGLETRANSLATE(A47,""zh-tw"",""KO"")"),"당근 검")</f>
        <v>당근 검</v>
      </c>
      <c r="L47" s="142"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16" t="str">
        <f>IFERROR(__xludf.DUMMYFUNCTION("GOOGLETRANSLATE(A47,""zh-tw"",""ru"")"),"Морковный меч")</f>
        <v>Морковный меч</v>
      </c>
      <c r="N47" s="317"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13" t="s">
        <v>3949</v>
      </c>
      <c r="P47" s="136" t="s">
        <v>6080</v>
      </c>
      <c r="Q47" s="318" t="s">
        <v>3950</v>
      </c>
      <c r="R47" s="319" t="s">
        <v>6081</v>
      </c>
      <c r="S47" s="138" t="s">
        <v>3952</v>
      </c>
      <c r="T47" s="142" t="s">
        <v>6082</v>
      </c>
      <c r="U47" s="142"/>
      <c r="V47" s="142"/>
    </row>
    <row r="48">
      <c r="A48" s="313" t="s">
        <v>6083</v>
      </c>
      <c r="B48" s="136" t="s">
        <v>6084</v>
      </c>
      <c r="C48" s="313" t="s">
        <v>6085</v>
      </c>
      <c r="D48" s="136" t="s">
        <v>6086</v>
      </c>
      <c r="E48" s="313" t="s">
        <v>3935</v>
      </c>
      <c r="F48" s="136" t="s">
        <v>6087</v>
      </c>
      <c r="G48" s="314" t="str">
        <f>IFERROR(__xludf.DUMMYFUNCTION("GOOGLETRANSLATE(A48,""zh-tw"",""zh"")"),"冻萝卜大剑")</f>
        <v>冻萝卜大剑</v>
      </c>
      <c r="H48" s="315" t="str">
        <f>IFERROR(__xludf.DUMMYFUNCTION("GOOGLETRANSLATE(B48,""zh-tw"",""zh"")"),"物攻：26
物防：2
冻结效果
投掷穿刺效果")</f>
        <v>物攻：26
物防：2
冻结效果
投掷穿刺效果</v>
      </c>
      <c r="I48" s="313" t="s">
        <v>6088</v>
      </c>
      <c r="J48" s="142" t="str">
        <f>IFERROR(__xludf.DUMMYFUNCTION("GOOGLETRANSLATE(B48,""zh-tw"",""es-MX"")"),"Ataque físico: 26
Defensa física: 2
Efecto de congelación
Efecto de penetración al lanzar")</f>
        <v>Ataque físico: 26
Defensa física: 2
Efecto de congelación
Efecto de penetración al lanzar</v>
      </c>
      <c r="K48" s="320" t="str">
        <f>IFERROR(__xludf.DUMMYFUNCTION("GOOGLETRANSLATE(A48,""zh-tw"",""KO"")"),"냉동 무 칼")</f>
        <v>냉동 무 칼</v>
      </c>
      <c r="L48" s="142" t="str">
        <f>IFERROR(__xludf.DUMMYFUNCTION("GOOGLETRANSLATE(B48,""zh-tw"",""KO"")"),"물리 공격력: 26
물리 방어력: 2
동결 효과
투척 관통 효과")</f>
        <v>물리 공격력: 26
물리 방어력: 2
동결 효과
투척 관통 효과</v>
      </c>
      <c r="M48" s="316" t="str">
        <f>IFERROR(__xludf.DUMMYFUNCTION("GOOGLETRANSLATE(A48,""zh-tw"",""ru"")"),"Замороженный меч из редиса")</f>
        <v>Замороженный меч из редиса</v>
      </c>
      <c r="N48" s="317"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13" t="s">
        <v>3937</v>
      </c>
      <c r="P48" s="136" t="s">
        <v>6089</v>
      </c>
      <c r="Q48" s="326" t="s">
        <v>6090</v>
      </c>
      <c r="R48" s="327" t="s">
        <v>6091</v>
      </c>
      <c r="S48" s="138" t="s">
        <v>6092</v>
      </c>
      <c r="T48" s="142" t="s">
        <v>6093</v>
      </c>
      <c r="U48" s="142"/>
      <c r="V48" s="142"/>
    </row>
    <row r="49">
      <c r="A49" s="313" t="s">
        <v>6094</v>
      </c>
      <c r="B49" s="136" t="s">
        <v>6095</v>
      </c>
      <c r="C49" s="313" t="s">
        <v>6096</v>
      </c>
      <c r="D49" s="136" t="s">
        <v>6097</v>
      </c>
      <c r="E49" s="313" t="s">
        <v>6098</v>
      </c>
      <c r="F49" s="136" t="s">
        <v>6099</v>
      </c>
      <c r="G49" s="314" t="str">
        <f>IFERROR(__xludf.DUMMYFUNCTION("GOOGLETRANSLATE(A49,""zh-tw"",""zh"")"),"霉萝卜大剑")</f>
        <v>霉萝卜大剑</v>
      </c>
      <c r="H49" s="315" t="str">
        <f>IFERROR(__xludf.DUMMYFUNCTION("GOOGLETRANSLATE(B49,""zh-tw"",""zh"")"),"物攻：10
魔攻：10
中毒效果
投掷穿刺效果")</f>
        <v>物攻：10
魔攻：10
中毒效果
投掷穿刺效果</v>
      </c>
      <c r="I49" s="313" t="s">
        <v>6100</v>
      </c>
      <c r="J49" s="142" t="str">
        <f>IFERROR(__xludf.DUMMYFUNCTION("GOOGLETRANSLATE(B49,""zh-tw"",""es-MX"")"),"Ataque físico: 10
Ataque mágico: 10
Efecto venenoso
Efecto de penetración arrojadiza")</f>
        <v>Ataque físico: 10
Ataque mágico: 10
Efecto venenoso
Efecto de penetración arrojadiza</v>
      </c>
      <c r="K49" s="320" t="str">
        <f>IFERROR(__xludf.DUMMYFUNCTION("GOOGLETRANSLATE(A49,""zh-tw"",""KO"")"),"성형 무 칼")</f>
        <v>성형 무 칼</v>
      </c>
      <c r="L49" s="142" t="str">
        <f>IFERROR(__xludf.DUMMYFUNCTION("GOOGLETRANSLATE(B49,""zh-tw"",""KO"")"),"물리 공격력: 10
마법 공격력: 10
독 효과
투척 관통 효과")</f>
        <v>물리 공격력: 10
마법 공격력: 10
독 효과
투척 관통 효과</v>
      </c>
      <c r="M49" s="316" t="str">
        <f>IFERROR(__xludf.DUMMYFUNCTION("GOOGLETRANSLATE(A49,""zh-tw"",""ru"")"),"Формованный меч из редиса")</f>
        <v>Формованный меч из редиса</v>
      </c>
      <c r="N49" s="317"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13" t="s">
        <v>6101</v>
      </c>
      <c r="P49" s="136" t="s">
        <v>6102</v>
      </c>
      <c r="Q49" s="326" t="s">
        <v>6103</v>
      </c>
      <c r="R49" s="327" t="s">
        <v>6104</v>
      </c>
      <c r="S49" s="138" t="s">
        <v>6105</v>
      </c>
      <c r="T49" s="142" t="s">
        <v>6106</v>
      </c>
      <c r="U49" s="142"/>
      <c r="V49" s="142"/>
    </row>
    <row r="50">
      <c r="A50" s="320" t="s">
        <v>6107</v>
      </c>
      <c r="B50" s="142" t="s">
        <v>6108</v>
      </c>
      <c r="C50" s="320" t="s">
        <v>6109</v>
      </c>
      <c r="D50" s="142" t="s">
        <v>6110</v>
      </c>
      <c r="E50" s="320" t="s">
        <v>6111</v>
      </c>
      <c r="F50" s="142" t="s">
        <v>6112</v>
      </c>
      <c r="G50" s="320" t="s">
        <v>6113</v>
      </c>
      <c r="H50" s="142" t="s">
        <v>6114</v>
      </c>
      <c r="I50" s="313" t="s">
        <v>6115</v>
      </c>
      <c r="J50" s="142" t="str">
        <f>IFERROR(__xludf.DUMMYFUNCTION("GOOGLETRANSLATE(B50,""zh-tw"",""es-MX"")"),"Ataque mágico: 4 Exterminio de insectos")</f>
        <v>Ataque mágico: 4 Exterminio de insectos</v>
      </c>
      <c r="K50" s="320" t="str">
        <f>IFERROR(__xludf.DUMMYFUNCTION("GOOGLETRANSLATE(A50,""zh-tw"",""KO"")"),"살충제 스틱")</f>
        <v>살충제 스틱</v>
      </c>
      <c r="L50" s="142" t="str">
        <f>IFERROR(__xludf.DUMMYFUNCTION("GOOGLETRANSLATE(B50,""zh-tw"",""KO"")"),"마법 공격력: 4 곤충 박멸")</f>
        <v>마법 공격력: 4 곤충 박멸</v>
      </c>
      <c r="M50" s="316" t="str">
        <f>IFERROR(__xludf.DUMMYFUNCTION("GOOGLETRANSLATE(A50,""zh-tw"",""ru"")"),"Инсектицидная палочка")</f>
        <v>Инсектицидная палочка</v>
      </c>
      <c r="N50" s="317" t="str">
        <f>IFERROR(__xludf.DUMMYFUNCTION("GOOGLETRANSLATE(B50,""zh-tw"",""ru"")"),"Магическая атака: уничтожение 4 насекомых")</f>
        <v>Магическая атака: уничтожение 4 насекомых</v>
      </c>
      <c r="O50" s="313" t="s">
        <v>6116</v>
      </c>
      <c r="P50" s="136" t="s">
        <v>6117</v>
      </c>
      <c r="Q50" s="328"/>
      <c r="R50" s="171" t="s">
        <v>6118</v>
      </c>
      <c r="S50" s="138" t="s">
        <v>6119</v>
      </c>
      <c r="T50" s="142" t="s">
        <v>6120</v>
      </c>
      <c r="U50" s="142"/>
      <c r="V50" s="142"/>
    </row>
    <row r="51">
      <c r="A51" s="320"/>
      <c r="B51" s="142"/>
      <c r="C51" s="320"/>
      <c r="D51" s="142"/>
      <c r="E51" s="313"/>
      <c r="F51" s="136"/>
      <c r="G51" s="320"/>
      <c r="H51" s="142"/>
      <c r="I51" s="320"/>
      <c r="J51" s="142"/>
      <c r="K51" s="320"/>
      <c r="L51" s="142"/>
      <c r="M51" s="316"/>
      <c r="N51" s="317"/>
      <c r="O51" s="320"/>
      <c r="P51" s="142"/>
      <c r="Q51" s="169"/>
      <c r="R51" s="171"/>
      <c r="S51" s="138"/>
      <c r="T51" s="142"/>
      <c r="U51" s="142"/>
      <c r="V51" s="142"/>
    </row>
    <row r="52">
      <c r="A52" s="320"/>
      <c r="B52" s="142"/>
      <c r="C52" s="320"/>
      <c r="D52" s="124"/>
      <c r="E52" s="320"/>
      <c r="F52" s="142"/>
      <c r="G52" s="320"/>
      <c r="H52" s="142"/>
      <c r="I52" s="329"/>
      <c r="J52" s="124"/>
      <c r="K52" s="329"/>
      <c r="L52" s="124"/>
      <c r="M52" s="329"/>
      <c r="N52" s="124"/>
      <c r="O52" s="320"/>
      <c r="P52" s="142"/>
      <c r="Q52" s="138"/>
      <c r="R52" s="142"/>
      <c r="S52" s="138"/>
      <c r="T52" s="142"/>
      <c r="U52" s="142"/>
      <c r="V52" s="142"/>
    </row>
    <row r="53">
      <c r="A53" s="320"/>
      <c r="B53" s="142"/>
      <c r="C53" s="320"/>
      <c r="D53" s="124"/>
      <c r="E53" s="320"/>
      <c r="F53" s="142"/>
      <c r="G53" s="320"/>
      <c r="H53" s="142"/>
      <c r="I53" s="329"/>
      <c r="J53" s="124"/>
      <c r="K53" s="329"/>
      <c r="L53" s="124"/>
      <c r="M53" s="329"/>
      <c r="N53" s="124"/>
      <c r="O53" s="320"/>
      <c r="P53" s="142"/>
      <c r="Q53" s="138"/>
      <c r="R53" s="142"/>
      <c r="S53" s="138"/>
      <c r="T53" s="142"/>
      <c r="U53" s="142"/>
      <c r="V53" s="142"/>
    </row>
    <row r="54">
      <c r="A54" s="320"/>
      <c r="B54" s="142"/>
      <c r="C54" s="320"/>
      <c r="D54" s="124"/>
      <c r="E54" s="320"/>
      <c r="F54" s="142"/>
      <c r="G54" s="320"/>
      <c r="H54" s="142"/>
      <c r="I54" s="329"/>
      <c r="J54" s="124"/>
      <c r="K54" s="329"/>
      <c r="L54" s="124"/>
      <c r="M54" s="329"/>
      <c r="N54" s="124"/>
      <c r="O54" s="320"/>
      <c r="P54" s="142"/>
      <c r="Q54" s="138"/>
      <c r="R54" s="142"/>
      <c r="S54" s="138"/>
      <c r="T54" s="142"/>
      <c r="U54" s="142"/>
      <c r="V54" s="142"/>
    </row>
    <row r="55">
      <c r="A55" s="320"/>
      <c r="B55" s="142"/>
      <c r="C55" s="320"/>
      <c r="D55" s="124"/>
      <c r="E55" s="320"/>
      <c r="F55" s="142"/>
      <c r="G55" s="320"/>
      <c r="H55" s="142"/>
      <c r="I55" s="329"/>
      <c r="J55" s="124"/>
      <c r="K55" s="329"/>
      <c r="L55" s="124"/>
      <c r="M55" s="329"/>
      <c r="N55" s="124"/>
      <c r="O55" s="320"/>
      <c r="P55" s="142"/>
      <c r="Q55" s="138"/>
      <c r="R55" s="142"/>
      <c r="S55" s="138"/>
      <c r="T55" s="142"/>
      <c r="U55" s="142"/>
      <c r="V55" s="142"/>
    </row>
    <row r="56">
      <c r="A56" s="320"/>
      <c r="B56" s="142"/>
      <c r="C56" s="320"/>
      <c r="D56" s="124"/>
      <c r="E56" s="320"/>
      <c r="F56" s="142"/>
      <c r="G56" s="320"/>
      <c r="H56" s="142"/>
      <c r="I56" s="329"/>
      <c r="J56" s="124"/>
      <c r="K56" s="329"/>
      <c r="L56" s="124"/>
      <c r="M56" s="329"/>
      <c r="N56" s="124"/>
      <c r="O56" s="320"/>
      <c r="P56" s="142"/>
      <c r="Q56" s="138"/>
      <c r="R56" s="142"/>
      <c r="S56" s="138"/>
      <c r="T56" s="142"/>
      <c r="U56" s="142"/>
      <c r="V56" s="142"/>
    </row>
    <row r="57">
      <c r="A57" s="320"/>
      <c r="B57" s="142"/>
      <c r="C57" s="320"/>
      <c r="D57" s="124"/>
      <c r="E57" s="320"/>
      <c r="F57" s="142"/>
      <c r="G57" s="320"/>
      <c r="H57" s="142"/>
      <c r="I57" s="329"/>
      <c r="J57" s="124"/>
      <c r="K57" s="329"/>
      <c r="L57" s="124"/>
      <c r="M57" s="329"/>
      <c r="N57" s="124"/>
      <c r="O57" s="320"/>
      <c r="P57" s="142"/>
      <c r="Q57" s="138"/>
      <c r="R57" s="142"/>
      <c r="S57" s="138"/>
      <c r="T57" s="142"/>
      <c r="U57" s="142"/>
      <c r="V57" s="142"/>
    </row>
    <row r="58">
      <c r="A58" s="320"/>
      <c r="B58" s="142"/>
      <c r="C58" s="320"/>
      <c r="D58" s="124"/>
      <c r="E58" s="320"/>
      <c r="F58" s="142"/>
      <c r="G58" s="320"/>
      <c r="H58" s="142"/>
      <c r="I58" s="329"/>
      <c r="J58" s="124"/>
      <c r="K58" s="329"/>
      <c r="L58" s="124"/>
      <c r="M58" s="329"/>
      <c r="N58" s="124"/>
      <c r="O58" s="320"/>
      <c r="P58" s="142"/>
      <c r="Q58" s="138"/>
      <c r="R58" s="142"/>
      <c r="S58" s="138"/>
      <c r="T58" s="142"/>
      <c r="U58" s="142"/>
      <c r="V58" s="142"/>
    </row>
    <row r="59">
      <c r="A59" s="320"/>
      <c r="B59" s="142"/>
      <c r="C59" s="320"/>
      <c r="D59" s="124"/>
      <c r="E59" s="320"/>
      <c r="F59" s="142"/>
      <c r="G59" s="320"/>
      <c r="H59" s="142"/>
      <c r="I59" s="329"/>
      <c r="J59" s="124"/>
      <c r="K59" s="329"/>
      <c r="L59" s="124"/>
      <c r="M59" s="329"/>
      <c r="N59" s="124"/>
      <c r="O59" s="320"/>
      <c r="P59" s="142"/>
      <c r="Q59" s="138"/>
      <c r="R59" s="142"/>
      <c r="S59" s="138"/>
      <c r="T59" s="142"/>
      <c r="U59" s="142"/>
      <c r="V59" s="142"/>
    </row>
    <row r="60">
      <c r="A60" s="320"/>
      <c r="B60" s="142"/>
      <c r="C60" s="320"/>
      <c r="D60" s="124"/>
      <c r="E60" s="320"/>
      <c r="F60" s="142"/>
      <c r="G60" s="320"/>
      <c r="H60" s="142"/>
      <c r="I60" s="329"/>
      <c r="J60" s="124"/>
      <c r="K60" s="329"/>
      <c r="L60" s="124"/>
      <c r="M60" s="329"/>
      <c r="N60" s="124"/>
      <c r="O60" s="320"/>
      <c r="P60" s="142"/>
      <c r="Q60" s="138"/>
      <c r="R60" s="142"/>
      <c r="S60" s="138"/>
      <c r="T60" s="142"/>
      <c r="U60" s="142"/>
      <c r="V60" s="142"/>
    </row>
    <row r="61">
      <c r="A61" s="320"/>
      <c r="B61" s="142"/>
      <c r="C61" s="320"/>
      <c r="D61" s="124"/>
      <c r="E61" s="320"/>
      <c r="F61" s="142"/>
      <c r="G61" s="320"/>
      <c r="H61" s="142"/>
      <c r="I61" s="329"/>
      <c r="J61" s="124"/>
      <c r="K61" s="329"/>
      <c r="L61" s="124"/>
      <c r="M61" s="329"/>
      <c r="N61" s="124"/>
      <c r="O61" s="320"/>
      <c r="P61" s="142"/>
      <c r="Q61" s="138"/>
      <c r="R61" s="142"/>
      <c r="S61" s="138"/>
      <c r="T61" s="142"/>
      <c r="U61" s="142"/>
      <c r="V61" s="142"/>
    </row>
    <row r="62">
      <c r="A62" s="320"/>
      <c r="B62" s="142"/>
      <c r="C62" s="320"/>
      <c r="D62" s="124"/>
      <c r="E62" s="320"/>
      <c r="F62" s="142"/>
      <c r="G62" s="320"/>
      <c r="H62" s="142"/>
      <c r="I62" s="329"/>
      <c r="J62" s="124"/>
      <c r="K62" s="329"/>
      <c r="L62" s="124"/>
      <c r="M62" s="329"/>
      <c r="N62" s="124"/>
      <c r="O62" s="320"/>
      <c r="P62" s="142"/>
      <c r="Q62" s="138"/>
      <c r="R62" s="142"/>
      <c r="S62" s="138"/>
      <c r="T62" s="142"/>
      <c r="U62" s="142"/>
      <c r="V62" s="142"/>
    </row>
    <row r="63">
      <c r="A63" s="320"/>
      <c r="B63" s="142"/>
      <c r="C63" s="320"/>
      <c r="D63" s="124"/>
      <c r="E63" s="320"/>
      <c r="F63" s="142"/>
      <c r="G63" s="320"/>
      <c r="H63" s="142"/>
      <c r="I63" s="329"/>
      <c r="J63" s="124"/>
      <c r="K63" s="329"/>
      <c r="L63" s="124"/>
      <c r="M63" s="329"/>
      <c r="N63" s="124"/>
      <c r="O63" s="320"/>
      <c r="P63" s="142"/>
      <c r="Q63" s="138"/>
      <c r="R63" s="142"/>
      <c r="S63" s="138"/>
      <c r="T63" s="142"/>
      <c r="U63" s="142"/>
      <c r="V63" s="142"/>
    </row>
    <row r="64">
      <c r="A64" s="320"/>
      <c r="B64" s="142"/>
      <c r="C64" s="320"/>
      <c r="D64" s="124"/>
      <c r="E64" s="320"/>
      <c r="F64" s="142"/>
      <c r="G64" s="320"/>
      <c r="H64" s="142"/>
      <c r="I64" s="329"/>
      <c r="J64" s="124"/>
      <c r="K64" s="329"/>
      <c r="L64" s="124"/>
      <c r="M64" s="329"/>
      <c r="N64" s="124"/>
      <c r="O64" s="320"/>
      <c r="P64" s="142"/>
      <c r="Q64" s="138"/>
      <c r="R64" s="142"/>
      <c r="S64" s="138"/>
      <c r="T64" s="142"/>
      <c r="U64" s="142"/>
      <c r="V64" s="142"/>
    </row>
    <row r="65">
      <c r="A65" s="320"/>
      <c r="B65" s="142"/>
      <c r="C65" s="320"/>
      <c r="D65" s="124"/>
      <c r="E65" s="320"/>
      <c r="F65" s="142"/>
      <c r="G65" s="320"/>
      <c r="H65" s="142"/>
      <c r="I65" s="329"/>
      <c r="J65" s="124"/>
      <c r="K65" s="329"/>
      <c r="L65" s="124"/>
      <c r="M65" s="329"/>
      <c r="N65" s="124"/>
      <c r="O65" s="320"/>
      <c r="P65" s="142"/>
      <c r="Q65" s="138"/>
      <c r="R65" s="142"/>
      <c r="S65" s="138"/>
      <c r="T65" s="142"/>
      <c r="U65" s="142"/>
      <c r="V65" s="142"/>
    </row>
    <row r="66">
      <c r="A66" s="320"/>
      <c r="B66" s="142"/>
      <c r="C66" s="320"/>
      <c r="D66" s="124"/>
      <c r="E66" s="320"/>
      <c r="F66" s="142"/>
      <c r="G66" s="320"/>
      <c r="H66" s="142"/>
      <c r="I66" s="329"/>
      <c r="J66" s="124"/>
      <c r="K66" s="329"/>
      <c r="L66" s="124"/>
      <c r="M66" s="329"/>
      <c r="N66" s="124"/>
      <c r="O66" s="320"/>
      <c r="P66" s="142"/>
      <c r="Q66" s="138"/>
      <c r="R66" s="142"/>
      <c r="S66" s="138"/>
      <c r="T66" s="142"/>
      <c r="U66" s="142"/>
      <c r="V66" s="142"/>
    </row>
    <row r="67">
      <c r="A67" s="320"/>
      <c r="B67" s="142"/>
      <c r="C67" s="320"/>
      <c r="D67" s="124"/>
      <c r="E67" s="320"/>
      <c r="F67" s="142"/>
      <c r="G67" s="320"/>
      <c r="H67" s="142"/>
      <c r="I67" s="329"/>
      <c r="J67" s="124"/>
      <c r="K67" s="329"/>
      <c r="L67" s="124"/>
      <c r="M67" s="329"/>
      <c r="N67" s="124"/>
      <c r="O67" s="320"/>
      <c r="P67" s="142"/>
      <c r="Q67" s="138"/>
      <c r="R67" s="142"/>
      <c r="S67" s="138"/>
      <c r="T67" s="142"/>
      <c r="U67" s="142"/>
      <c r="V67" s="142"/>
    </row>
    <row r="68">
      <c r="A68" s="320"/>
      <c r="B68" s="142"/>
      <c r="C68" s="320"/>
      <c r="D68" s="124"/>
      <c r="E68" s="320"/>
      <c r="F68" s="142"/>
      <c r="G68" s="320"/>
      <c r="H68" s="142"/>
      <c r="I68" s="329"/>
      <c r="J68" s="124"/>
      <c r="K68" s="329"/>
      <c r="L68" s="124"/>
      <c r="M68" s="329"/>
      <c r="N68" s="124"/>
      <c r="O68" s="320"/>
      <c r="P68" s="142"/>
      <c r="Q68" s="138"/>
      <c r="R68" s="142"/>
      <c r="S68" s="138"/>
      <c r="T68" s="142"/>
      <c r="U68" s="142"/>
      <c r="V68" s="142"/>
    </row>
    <row r="69">
      <c r="A69" s="320"/>
      <c r="B69" s="142"/>
      <c r="C69" s="320"/>
      <c r="D69" s="124"/>
      <c r="E69" s="320"/>
      <c r="F69" s="142"/>
      <c r="G69" s="320"/>
      <c r="H69" s="142"/>
      <c r="I69" s="329"/>
      <c r="J69" s="124"/>
      <c r="K69" s="329"/>
      <c r="L69" s="124"/>
      <c r="M69" s="329"/>
      <c r="N69" s="124"/>
      <c r="O69" s="320"/>
      <c r="P69" s="142"/>
      <c r="Q69" s="138"/>
      <c r="R69" s="142"/>
      <c r="S69" s="138"/>
      <c r="T69" s="142"/>
      <c r="U69" s="142"/>
      <c r="V69" s="142"/>
    </row>
    <row r="70">
      <c r="A70" s="320"/>
      <c r="B70" s="142"/>
      <c r="C70" s="320"/>
      <c r="D70" s="124"/>
      <c r="E70" s="320"/>
      <c r="F70" s="142"/>
      <c r="G70" s="320"/>
      <c r="H70" s="142"/>
      <c r="I70" s="329"/>
      <c r="J70" s="124"/>
      <c r="K70" s="329"/>
      <c r="L70" s="124"/>
      <c r="M70" s="329"/>
      <c r="N70" s="124"/>
      <c r="O70" s="320"/>
      <c r="P70" s="142"/>
      <c r="Q70" s="138"/>
      <c r="R70" s="142"/>
      <c r="S70" s="138"/>
      <c r="T70" s="142"/>
      <c r="U70" s="142"/>
      <c r="V70" s="142"/>
    </row>
    <row r="71">
      <c r="A71" s="320"/>
      <c r="B71" s="142"/>
      <c r="C71" s="320"/>
      <c r="D71" s="124"/>
      <c r="E71" s="320"/>
      <c r="F71" s="142"/>
      <c r="G71" s="320"/>
      <c r="H71" s="142"/>
      <c r="I71" s="329"/>
      <c r="J71" s="124"/>
      <c r="K71" s="329"/>
      <c r="L71" s="124"/>
      <c r="M71" s="329"/>
      <c r="N71" s="124"/>
      <c r="O71" s="320"/>
      <c r="P71" s="142"/>
      <c r="Q71" s="138"/>
      <c r="R71" s="142"/>
      <c r="S71" s="138"/>
      <c r="T71" s="142"/>
      <c r="U71" s="142"/>
      <c r="V71" s="142"/>
    </row>
    <row r="72">
      <c r="A72" s="320"/>
      <c r="B72" s="142"/>
      <c r="C72" s="320"/>
      <c r="D72" s="124"/>
      <c r="E72" s="320"/>
      <c r="F72" s="142"/>
      <c r="G72" s="320"/>
      <c r="H72" s="142"/>
      <c r="I72" s="329"/>
      <c r="J72" s="124"/>
      <c r="K72" s="329"/>
      <c r="L72" s="124"/>
      <c r="M72" s="329"/>
      <c r="N72" s="124"/>
      <c r="O72" s="320"/>
      <c r="P72" s="142"/>
      <c r="Q72" s="138"/>
      <c r="R72" s="142"/>
      <c r="S72" s="138"/>
      <c r="T72" s="142"/>
      <c r="U72" s="142"/>
      <c r="V72" s="142"/>
    </row>
    <row r="73">
      <c r="A73" s="320"/>
      <c r="B73" s="142"/>
      <c r="C73" s="320"/>
      <c r="D73" s="124"/>
      <c r="E73" s="320"/>
      <c r="F73" s="142"/>
      <c r="G73" s="320"/>
      <c r="H73" s="142"/>
      <c r="I73" s="329"/>
      <c r="J73" s="124"/>
      <c r="K73" s="329"/>
      <c r="L73" s="124"/>
      <c r="M73" s="329"/>
      <c r="N73" s="124"/>
      <c r="O73" s="320"/>
      <c r="P73" s="142"/>
      <c r="Q73" s="138"/>
      <c r="R73" s="142"/>
      <c r="S73" s="138"/>
      <c r="T73" s="142"/>
      <c r="U73" s="142"/>
      <c r="V73" s="142"/>
    </row>
    <row r="74">
      <c r="A74" s="320"/>
      <c r="B74" s="142"/>
      <c r="C74" s="320"/>
      <c r="D74" s="124"/>
      <c r="E74" s="320"/>
      <c r="F74" s="142"/>
      <c r="G74" s="320"/>
      <c r="H74" s="142"/>
      <c r="I74" s="329"/>
      <c r="J74" s="124"/>
      <c r="K74" s="329"/>
      <c r="L74" s="124"/>
      <c r="M74" s="329"/>
      <c r="N74" s="124"/>
      <c r="O74" s="320"/>
      <c r="P74" s="142"/>
      <c r="Q74" s="138"/>
      <c r="R74" s="142"/>
      <c r="S74" s="138"/>
      <c r="T74" s="142"/>
      <c r="U74" s="142"/>
      <c r="V74" s="142"/>
    </row>
    <row r="75">
      <c r="A75" s="320"/>
      <c r="B75" s="142"/>
      <c r="C75" s="320"/>
      <c r="D75" s="124"/>
      <c r="E75" s="320"/>
      <c r="F75" s="142"/>
      <c r="G75" s="320"/>
      <c r="H75" s="142"/>
      <c r="I75" s="329"/>
      <c r="J75" s="124"/>
      <c r="K75" s="329"/>
      <c r="L75" s="124"/>
      <c r="M75" s="329"/>
      <c r="N75" s="124"/>
      <c r="O75" s="320"/>
      <c r="P75" s="142"/>
      <c r="Q75" s="138"/>
      <c r="R75" s="142"/>
      <c r="S75" s="138"/>
      <c r="T75" s="142"/>
      <c r="U75" s="142"/>
      <c r="V75" s="142"/>
    </row>
    <row r="76">
      <c r="A76" s="320"/>
      <c r="B76" s="142"/>
      <c r="C76" s="320"/>
      <c r="D76" s="124"/>
      <c r="E76" s="320"/>
      <c r="F76" s="142"/>
      <c r="G76" s="320"/>
      <c r="H76" s="142"/>
      <c r="I76" s="329"/>
      <c r="J76" s="124"/>
      <c r="K76" s="329"/>
      <c r="L76" s="124"/>
      <c r="M76" s="329"/>
      <c r="N76" s="124"/>
      <c r="O76" s="320"/>
      <c r="P76" s="142"/>
      <c r="Q76" s="138"/>
      <c r="R76" s="142"/>
      <c r="S76" s="138"/>
      <c r="T76" s="142"/>
      <c r="U76" s="142"/>
      <c r="V76" s="142"/>
    </row>
    <row r="77">
      <c r="A77" s="320"/>
      <c r="B77" s="142"/>
      <c r="C77" s="320"/>
      <c r="D77" s="124"/>
      <c r="E77" s="320"/>
      <c r="F77" s="142"/>
      <c r="G77" s="320"/>
      <c r="H77" s="142"/>
      <c r="I77" s="329"/>
      <c r="J77" s="124"/>
      <c r="K77" s="329"/>
      <c r="L77" s="124"/>
      <c r="M77" s="329"/>
      <c r="N77" s="124"/>
      <c r="O77" s="320"/>
      <c r="P77" s="142"/>
      <c r="Q77" s="138"/>
      <c r="R77" s="142"/>
      <c r="S77" s="138"/>
      <c r="T77" s="142"/>
      <c r="U77" s="142"/>
      <c r="V77" s="142"/>
    </row>
    <row r="78">
      <c r="A78" s="320"/>
      <c r="B78" s="142"/>
      <c r="C78" s="320"/>
      <c r="D78" s="124"/>
      <c r="E78" s="320"/>
      <c r="F78" s="142"/>
      <c r="G78" s="320"/>
      <c r="H78" s="142"/>
      <c r="I78" s="329"/>
      <c r="J78" s="124"/>
      <c r="K78" s="329"/>
      <c r="L78" s="124"/>
      <c r="M78" s="329"/>
      <c r="N78" s="124"/>
      <c r="O78" s="320"/>
      <c r="P78" s="142"/>
      <c r="Q78" s="138"/>
      <c r="R78" s="142"/>
      <c r="S78" s="138"/>
      <c r="T78" s="142"/>
      <c r="U78" s="142"/>
      <c r="V78" s="142"/>
    </row>
    <row r="79">
      <c r="A79" s="320"/>
      <c r="B79" s="142"/>
      <c r="C79" s="320"/>
      <c r="D79" s="124"/>
      <c r="E79" s="320"/>
      <c r="F79" s="142"/>
      <c r="G79" s="320"/>
      <c r="H79" s="142"/>
      <c r="I79" s="329"/>
      <c r="J79" s="124"/>
      <c r="K79" s="329"/>
      <c r="L79" s="124"/>
      <c r="M79" s="329"/>
      <c r="N79" s="124"/>
      <c r="O79" s="320"/>
      <c r="P79" s="142"/>
      <c r="Q79" s="138"/>
      <c r="R79" s="142"/>
      <c r="S79" s="138"/>
      <c r="T79" s="142"/>
      <c r="U79" s="142"/>
      <c r="V79" s="142"/>
    </row>
    <row r="80">
      <c r="A80" s="320"/>
      <c r="B80" s="142"/>
      <c r="C80" s="320"/>
      <c r="D80" s="124"/>
      <c r="E80" s="320"/>
      <c r="F80" s="142"/>
      <c r="G80" s="320"/>
      <c r="H80" s="142"/>
      <c r="I80" s="329"/>
      <c r="J80" s="124"/>
      <c r="K80" s="329"/>
      <c r="L80" s="124"/>
      <c r="M80" s="329"/>
      <c r="N80" s="124"/>
      <c r="O80" s="320"/>
      <c r="P80" s="142"/>
      <c r="Q80" s="138"/>
      <c r="R80" s="142"/>
      <c r="S80" s="138"/>
      <c r="T80" s="142"/>
      <c r="U80" s="142"/>
      <c r="V80" s="142"/>
    </row>
    <row r="81">
      <c r="A81" s="320"/>
      <c r="B81" s="142"/>
      <c r="C81" s="320"/>
      <c r="D81" s="124"/>
      <c r="E81" s="320"/>
      <c r="F81" s="142"/>
      <c r="G81" s="320"/>
      <c r="H81" s="142"/>
      <c r="I81" s="329"/>
      <c r="J81" s="124"/>
      <c r="K81" s="329"/>
      <c r="L81" s="124"/>
      <c r="M81" s="329"/>
      <c r="N81" s="124"/>
      <c r="O81" s="320"/>
      <c r="P81" s="142"/>
      <c r="Q81" s="138"/>
      <c r="R81" s="142"/>
      <c r="S81" s="138"/>
      <c r="T81" s="142"/>
      <c r="U81" s="142"/>
      <c r="V81" s="142"/>
    </row>
    <row r="82">
      <c r="A82" s="320"/>
      <c r="B82" s="142"/>
      <c r="C82" s="320"/>
      <c r="D82" s="124"/>
      <c r="E82" s="320"/>
      <c r="F82" s="142"/>
      <c r="G82" s="320"/>
      <c r="H82" s="142"/>
      <c r="I82" s="329"/>
      <c r="J82" s="124"/>
      <c r="K82" s="329"/>
      <c r="L82" s="124"/>
      <c r="M82" s="329"/>
      <c r="N82" s="124"/>
      <c r="O82" s="320"/>
      <c r="P82" s="142"/>
      <c r="Q82" s="138"/>
      <c r="R82" s="142"/>
      <c r="S82" s="138"/>
      <c r="T82" s="142"/>
      <c r="U82" s="142"/>
      <c r="V82" s="142"/>
    </row>
    <row r="83">
      <c r="A83" s="320"/>
      <c r="B83" s="142"/>
      <c r="C83" s="320"/>
      <c r="D83" s="124"/>
      <c r="E83" s="320"/>
      <c r="F83" s="142"/>
      <c r="G83" s="320"/>
      <c r="H83" s="142"/>
      <c r="I83" s="329"/>
      <c r="J83" s="124"/>
      <c r="K83" s="329"/>
      <c r="L83" s="124"/>
      <c r="M83" s="329"/>
      <c r="N83" s="124"/>
      <c r="O83" s="320"/>
      <c r="P83" s="142"/>
      <c r="Q83" s="138"/>
      <c r="R83" s="142"/>
      <c r="S83" s="138"/>
      <c r="T83" s="142"/>
      <c r="U83" s="142"/>
      <c r="V83" s="142"/>
    </row>
    <row r="84">
      <c r="A84" s="320"/>
      <c r="B84" s="142"/>
      <c r="C84" s="320"/>
      <c r="D84" s="124"/>
      <c r="E84" s="320"/>
      <c r="F84" s="142"/>
      <c r="G84" s="320"/>
      <c r="H84" s="142"/>
      <c r="I84" s="329"/>
      <c r="J84" s="124"/>
      <c r="K84" s="329"/>
      <c r="L84" s="124"/>
      <c r="M84" s="329"/>
      <c r="N84" s="124"/>
      <c r="O84" s="320"/>
      <c r="P84" s="142"/>
      <c r="Q84" s="138"/>
      <c r="R84" s="142"/>
      <c r="S84" s="138"/>
      <c r="T84" s="142"/>
      <c r="U84" s="142"/>
      <c r="V84" s="142"/>
    </row>
    <row r="85">
      <c r="A85" s="320"/>
      <c r="B85" s="142"/>
      <c r="C85" s="320"/>
      <c r="D85" s="124"/>
      <c r="E85" s="320"/>
      <c r="F85" s="142"/>
      <c r="G85" s="320"/>
      <c r="H85" s="142"/>
      <c r="I85" s="329"/>
      <c r="J85" s="124"/>
      <c r="K85" s="329"/>
      <c r="L85" s="124"/>
      <c r="M85" s="329"/>
      <c r="N85" s="124"/>
      <c r="O85" s="320"/>
      <c r="P85" s="142"/>
      <c r="Q85" s="138"/>
      <c r="R85" s="142"/>
      <c r="S85" s="138"/>
      <c r="T85" s="142"/>
      <c r="U85" s="142"/>
      <c r="V85" s="142"/>
    </row>
    <row r="86">
      <c r="A86" s="320"/>
      <c r="B86" s="142"/>
      <c r="C86" s="320"/>
      <c r="D86" s="124"/>
      <c r="E86" s="320"/>
      <c r="F86" s="142"/>
      <c r="G86" s="320"/>
      <c r="H86" s="142"/>
      <c r="I86" s="329"/>
      <c r="J86" s="124"/>
      <c r="K86" s="329"/>
      <c r="L86" s="124"/>
      <c r="M86" s="329"/>
      <c r="N86" s="124"/>
      <c r="O86" s="320"/>
      <c r="P86" s="142"/>
      <c r="Q86" s="138"/>
      <c r="R86" s="142"/>
      <c r="S86" s="138"/>
      <c r="T86" s="142"/>
      <c r="U86" s="142"/>
      <c r="V86" s="142"/>
    </row>
    <row r="87">
      <c r="A87" s="320"/>
      <c r="B87" s="142"/>
      <c r="C87" s="320"/>
      <c r="D87" s="124"/>
      <c r="E87" s="320"/>
      <c r="F87" s="142"/>
      <c r="G87" s="320"/>
      <c r="H87" s="142"/>
      <c r="I87" s="329"/>
      <c r="J87" s="124"/>
      <c r="K87" s="329"/>
      <c r="L87" s="124"/>
      <c r="M87" s="329"/>
      <c r="N87" s="124"/>
      <c r="O87" s="320"/>
      <c r="P87" s="142"/>
      <c r="Q87" s="138"/>
      <c r="R87" s="142"/>
      <c r="S87" s="138"/>
      <c r="T87" s="142"/>
      <c r="U87" s="142"/>
      <c r="V87" s="142"/>
    </row>
    <row r="88">
      <c r="A88" s="320"/>
      <c r="B88" s="142"/>
      <c r="C88" s="320"/>
      <c r="D88" s="124"/>
      <c r="E88" s="320"/>
      <c r="F88" s="142"/>
      <c r="G88" s="320"/>
      <c r="H88" s="142"/>
      <c r="I88" s="329"/>
      <c r="J88" s="124"/>
      <c r="K88" s="329"/>
      <c r="L88" s="124"/>
      <c r="M88" s="329"/>
      <c r="N88" s="124"/>
      <c r="O88" s="320"/>
      <c r="P88" s="142"/>
      <c r="Q88" s="138"/>
      <c r="R88" s="142"/>
      <c r="S88" s="138"/>
      <c r="T88" s="142"/>
      <c r="U88" s="142"/>
      <c r="V88" s="142"/>
    </row>
    <row r="89">
      <c r="A89" s="320"/>
      <c r="B89" s="142"/>
      <c r="C89" s="320"/>
      <c r="D89" s="124"/>
      <c r="E89" s="320"/>
      <c r="F89" s="142"/>
      <c r="G89" s="320"/>
      <c r="H89" s="142"/>
      <c r="I89" s="329"/>
      <c r="J89" s="124"/>
      <c r="K89" s="329"/>
      <c r="L89" s="124"/>
      <c r="M89" s="329"/>
      <c r="N89" s="124"/>
      <c r="O89" s="320"/>
      <c r="P89" s="142"/>
      <c r="Q89" s="138"/>
      <c r="R89" s="142"/>
      <c r="S89" s="138"/>
      <c r="T89" s="142"/>
      <c r="U89" s="142"/>
      <c r="V89" s="142"/>
    </row>
    <row r="90">
      <c r="A90" s="320"/>
      <c r="B90" s="142"/>
      <c r="C90" s="320"/>
      <c r="D90" s="124"/>
      <c r="E90" s="320"/>
      <c r="F90" s="142"/>
      <c r="G90" s="320"/>
      <c r="H90" s="142"/>
      <c r="I90" s="329"/>
      <c r="J90" s="124"/>
      <c r="K90" s="329"/>
      <c r="L90" s="124"/>
      <c r="M90" s="329"/>
      <c r="N90" s="124"/>
      <c r="O90" s="320"/>
      <c r="P90" s="142"/>
      <c r="Q90" s="193"/>
      <c r="R90" s="28"/>
      <c r="S90" s="138"/>
      <c r="T90" s="142"/>
      <c r="U90" s="142"/>
      <c r="V90" s="142"/>
    </row>
    <row r="91">
      <c r="A91" s="320"/>
      <c r="B91" s="142"/>
      <c r="C91" s="320"/>
      <c r="D91" s="124"/>
      <c r="E91" s="320"/>
      <c r="F91" s="142"/>
      <c r="G91" s="320"/>
      <c r="H91" s="142"/>
      <c r="I91" s="329"/>
      <c r="J91" s="124"/>
      <c r="K91" s="329"/>
      <c r="L91" s="124"/>
      <c r="M91" s="329"/>
      <c r="N91" s="124"/>
      <c r="O91" s="320"/>
      <c r="P91" s="142"/>
      <c r="Q91" s="193"/>
      <c r="R91" s="28"/>
      <c r="S91" s="138"/>
      <c r="T91" s="142"/>
      <c r="U91" s="142"/>
      <c r="V91" s="142"/>
    </row>
    <row r="92">
      <c r="A92" s="320"/>
      <c r="B92" s="142"/>
      <c r="C92" s="320"/>
      <c r="D92" s="124"/>
      <c r="E92" s="320"/>
      <c r="F92" s="142"/>
      <c r="G92" s="320"/>
      <c r="H92" s="142"/>
      <c r="I92" s="329"/>
      <c r="J92" s="124"/>
      <c r="K92" s="329"/>
      <c r="L92" s="124"/>
      <c r="M92" s="329"/>
      <c r="N92" s="124"/>
      <c r="O92" s="320"/>
      <c r="P92" s="142"/>
      <c r="Q92" s="193"/>
      <c r="R92" s="28"/>
      <c r="S92" s="138"/>
      <c r="T92" s="142"/>
      <c r="U92" s="142"/>
      <c r="V92" s="142"/>
    </row>
    <row r="93">
      <c r="A93" s="320"/>
      <c r="B93" s="142"/>
      <c r="C93" s="320"/>
      <c r="D93" s="124"/>
      <c r="E93" s="320"/>
      <c r="F93" s="142"/>
      <c r="G93" s="320"/>
      <c r="H93" s="142"/>
      <c r="I93" s="329"/>
      <c r="J93" s="124"/>
      <c r="K93" s="329"/>
      <c r="L93" s="124"/>
      <c r="M93" s="329"/>
      <c r="N93" s="124"/>
      <c r="O93" s="320"/>
      <c r="P93" s="142"/>
      <c r="Q93" s="193"/>
      <c r="R93" s="28"/>
      <c r="S93" s="138"/>
      <c r="T93" s="142"/>
      <c r="U93" s="142"/>
      <c r="V93" s="142"/>
    </row>
    <row r="94">
      <c r="A94" s="320"/>
      <c r="B94" s="142"/>
      <c r="C94" s="320"/>
      <c r="D94" s="124"/>
      <c r="E94" s="320"/>
      <c r="F94" s="142"/>
      <c r="G94" s="320"/>
      <c r="H94" s="142"/>
      <c r="I94" s="329"/>
      <c r="J94" s="124"/>
      <c r="K94" s="329"/>
      <c r="L94" s="124"/>
      <c r="M94" s="329"/>
      <c r="N94" s="124"/>
      <c r="O94" s="320"/>
      <c r="P94" s="142"/>
      <c r="Q94" s="193"/>
      <c r="R94" s="28"/>
      <c r="S94" s="138"/>
      <c r="T94" s="142"/>
      <c r="U94" s="142"/>
      <c r="V94" s="142"/>
    </row>
    <row r="95">
      <c r="A95" s="320"/>
      <c r="B95" s="142"/>
      <c r="C95" s="320"/>
      <c r="D95" s="124"/>
      <c r="E95" s="320"/>
      <c r="F95" s="142"/>
      <c r="G95" s="320"/>
      <c r="H95" s="142"/>
      <c r="I95" s="329"/>
      <c r="J95" s="124"/>
      <c r="K95" s="329"/>
      <c r="L95" s="124"/>
      <c r="M95" s="329"/>
      <c r="N95" s="124"/>
      <c r="O95" s="320"/>
      <c r="P95" s="142"/>
      <c r="Q95" s="193"/>
      <c r="R95" s="28"/>
      <c r="S95" s="138"/>
      <c r="T95" s="142"/>
      <c r="U95" s="142"/>
      <c r="V95" s="142"/>
    </row>
    <row r="96">
      <c r="A96" s="320"/>
      <c r="B96" s="142"/>
      <c r="C96" s="320"/>
      <c r="D96" s="124"/>
      <c r="E96" s="320"/>
      <c r="F96" s="142"/>
      <c r="G96" s="320"/>
      <c r="H96" s="142"/>
      <c r="I96" s="329"/>
      <c r="J96" s="124"/>
      <c r="K96" s="329"/>
      <c r="L96" s="124"/>
      <c r="M96" s="329"/>
      <c r="N96" s="124"/>
      <c r="O96" s="320"/>
      <c r="P96" s="142"/>
      <c r="Q96" s="193"/>
      <c r="R96" s="28"/>
      <c r="S96" s="138"/>
      <c r="T96" s="142"/>
      <c r="U96" s="142"/>
      <c r="V96" s="142"/>
    </row>
    <row r="97">
      <c r="A97" s="320"/>
      <c r="B97" s="142"/>
      <c r="C97" s="320"/>
      <c r="D97" s="124"/>
      <c r="E97" s="320"/>
      <c r="F97" s="142"/>
      <c r="G97" s="320"/>
      <c r="H97" s="142"/>
      <c r="I97" s="329"/>
      <c r="J97" s="124"/>
      <c r="K97" s="329"/>
      <c r="L97" s="124"/>
      <c r="M97" s="329"/>
      <c r="N97" s="124"/>
      <c r="O97" s="320"/>
      <c r="P97" s="142"/>
      <c r="Q97" s="193"/>
      <c r="R97" s="28"/>
      <c r="S97" s="138"/>
      <c r="T97" s="142"/>
      <c r="U97" s="142"/>
      <c r="V97" s="142"/>
    </row>
    <row r="98">
      <c r="A98" s="320"/>
      <c r="B98" s="142"/>
      <c r="C98" s="320"/>
      <c r="D98" s="124"/>
      <c r="E98" s="320"/>
      <c r="F98" s="142"/>
      <c r="G98" s="320"/>
      <c r="H98" s="142"/>
      <c r="I98" s="329"/>
      <c r="J98" s="124"/>
      <c r="K98" s="329"/>
      <c r="L98" s="124"/>
      <c r="M98" s="329"/>
      <c r="N98" s="124"/>
      <c r="O98" s="320"/>
      <c r="P98" s="142"/>
      <c r="Q98" s="193"/>
      <c r="R98" s="28"/>
      <c r="S98" s="138"/>
      <c r="T98" s="142"/>
      <c r="U98" s="142"/>
      <c r="V98" s="142"/>
    </row>
    <row r="99">
      <c r="A99" s="320"/>
      <c r="B99" s="142"/>
      <c r="C99" s="320"/>
      <c r="D99" s="124"/>
      <c r="E99" s="320"/>
      <c r="F99" s="142"/>
      <c r="G99" s="320"/>
      <c r="H99" s="142"/>
      <c r="I99" s="329"/>
      <c r="J99" s="124"/>
      <c r="K99" s="329"/>
      <c r="L99" s="124"/>
      <c r="M99" s="329"/>
      <c r="N99" s="124"/>
      <c r="O99" s="320"/>
      <c r="P99" s="142"/>
      <c r="Q99" s="193"/>
      <c r="R99" s="28"/>
      <c r="S99" s="138"/>
      <c r="T99" s="142"/>
      <c r="U99" s="142"/>
      <c r="V99" s="142"/>
    </row>
    <row r="100">
      <c r="A100" s="320"/>
      <c r="B100" s="142"/>
      <c r="C100" s="320"/>
      <c r="D100" s="124"/>
      <c r="E100" s="320"/>
      <c r="F100" s="142"/>
      <c r="G100" s="320"/>
      <c r="H100" s="142"/>
      <c r="I100" s="329"/>
      <c r="J100" s="124"/>
      <c r="K100" s="329"/>
      <c r="L100" s="124"/>
      <c r="M100" s="329"/>
      <c r="N100" s="124"/>
      <c r="O100" s="320"/>
      <c r="P100" s="142"/>
      <c r="Q100" s="193"/>
      <c r="R100" s="28"/>
      <c r="S100" s="138"/>
      <c r="T100" s="142"/>
      <c r="U100" s="142"/>
      <c r="V100" s="142"/>
    </row>
    <row r="101">
      <c r="A101" s="320"/>
      <c r="B101" s="142"/>
      <c r="C101" s="320"/>
      <c r="D101" s="124"/>
      <c r="E101" s="320"/>
      <c r="F101" s="142"/>
      <c r="G101" s="320"/>
      <c r="H101" s="142"/>
      <c r="I101" s="329"/>
      <c r="J101" s="124"/>
      <c r="K101" s="329"/>
      <c r="L101" s="124"/>
      <c r="M101" s="329"/>
      <c r="N101" s="124"/>
      <c r="O101" s="320"/>
      <c r="P101" s="142"/>
      <c r="Q101" s="193"/>
      <c r="R101" s="28"/>
      <c r="S101" s="138"/>
      <c r="T101" s="142"/>
      <c r="U101" s="142"/>
      <c r="V101" s="142"/>
    </row>
    <row r="102">
      <c r="A102" s="320"/>
      <c r="B102" s="142"/>
      <c r="C102" s="320"/>
      <c r="D102" s="124"/>
      <c r="E102" s="320"/>
      <c r="F102" s="142"/>
      <c r="G102" s="320"/>
      <c r="H102" s="142"/>
      <c r="I102" s="329"/>
      <c r="J102" s="124"/>
      <c r="K102" s="329"/>
      <c r="L102" s="124"/>
      <c r="M102" s="329"/>
      <c r="N102" s="124"/>
      <c r="O102" s="320"/>
      <c r="P102" s="142"/>
      <c r="Q102" s="193"/>
      <c r="R102" s="28"/>
      <c r="S102" s="138"/>
      <c r="T102" s="142"/>
      <c r="U102" s="142"/>
      <c r="V102" s="142"/>
    </row>
    <row r="103">
      <c r="A103" s="320"/>
      <c r="B103" s="142"/>
      <c r="C103" s="320"/>
      <c r="D103" s="124"/>
      <c r="E103" s="320"/>
      <c r="F103" s="142"/>
      <c r="G103" s="320"/>
      <c r="H103" s="142"/>
      <c r="I103" s="329"/>
      <c r="J103" s="124"/>
      <c r="K103" s="329"/>
      <c r="L103" s="124"/>
      <c r="M103" s="329"/>
      <c r="N103" s="124"/>
      <c r="O103" s="320"/>
      <c r="P103" s="142"/>
      <c r="Q103" s="193"/>
      <c r="R103" s="28"/>
      <c r="S103" s="138"/>
      <c r="T103" s="142"/>
      <c r="U103" s="142"/>
      <c r="V103" s="142"/>
    </row>
    <row r="104">
      <c r="A104" s="320"/>
      <c r="B104" s="142"/>
      <c r="C104" s="320"/>
      <c r="D104" s="124"/>
      <c r="E104" s="320"/>
      <c r="F104" s="142"/>
      <c r="G104" s="320"/>
      <c r="H104" s="142"/>
      <c r="I104" s="329"/>
      <c r="J104" s="124"/>
      <c r="K104" s="329"/>
      <c r="L104" s="124"/>
      <c r="M104" s="329"/>
      <c r="N104" s="124"/>
      <c r="O104" s="320"/>
      <c r="P104" s="142"/>
      <c r="Q104" s="193"/>
      <c r="R104" s="28"/>
      <c r="S104" s="138"/>
      <c r="T104" s="142"/>
      <c r="U104" s="142"/>
      <c r="V104" s="142"/>
    </row>
    <row r="105">
      <c r="A105" s="320"/>
      <c r="B105" s="142"/>
      <c r="C105" s="320"/>
      <c r="D105" s="124"/>
      <c r="E105" s="320"/>
      <c r="F105" s="142"/>
      <c r="G105" s="320"/>
      <c r="H105" s="142"/>
      <c r="I105" s="329"/>
      <c r="J105" s="124"/>
      <c r="K105" s="329"/>
      <c r="L105" s="124"/>
      <c r="M105" s="329"/>
      <c r="N105" s="124"/>
      <c r="O105" s="320"/>
      <c r="P105" s="142"/>
      <c r="Q105" s="193"/>
      <c r="R105" s="28"/>
      <c r="S105" s="138"/>
      <c r="T105" s="142"/>
      <c r="U105" s="142"/>
      <c r="V105" s="142"/>
    </row>
    <row r="106">
      <c r="A106" s="320"/>
      <c r="B106" s="142"/>
      <c r="C106" s="320"/>
      <c r="D106" s="124"/>
      <c r="E106" s="320"/>
      <c r="F106" s="142"/>
      <c r="G106" s="320"/>
      <c r="H106" s="142"/>
      <c r="I106" s="329"/>
      <c r="J106" s="124"/>
      <c r="K106" s="329"/>
      <c r="L106" s="124"/>
      <c r="M106" s="329"/>
      <c r="N106" s="124"/>
      <c r="O106" s="320"/>
      <c r="P106" s="142"/>
      <c r="Q106" s="193"/>
      <c r="R106" s="28"/>
      <c r="S106" s="138"/>
      <c r="T106" s="142"/>
      <c r="U106" s="142"/>
      <c r="V106" s="142"/>
    </row>
    <row r="107">
      <c r="A107" s="320"/>
      <c r="B107" s="142"/>
      <c r="C107" s="320"/>
      <c r="D107" s="124"/>
      <c r="E107" s="320"/>
      <c r="F107" s="142"/>
      <c r="G107" s="320"/>
      <c r="H107" s="142"/>
      <c r="I107" s="329"/>
      <c r="J107" s="124"/>
      <c r="K107" s="329"/>
      <c r="L107" s="124"/>
      <c r="M107" s="329"/>
      <c r="N107" s="124"/>
      <c r="O107" s="320"/>
      <c r="P107" s="142"/>
      <c r="Q107" s="193"/>
      <c r="R107" s="28"/>
      <c r="S107" s="138"/>
      <c r="T107" s="142"/>
      <c r="U107" s="142"/>
      <c r="V107" s="142"/>
    </row>
    <row r="108">
      <c r="A108" s="320"/>
      <c r="B108" s="142"/>
      <c r="C108" s="320"/>
      <c r="D108" s="124"/>
      <c r="E108" s="320"/>
      <c r="F108" s="142"/>
      <c r="G108" s="320"/>
      <c r="H108" s="142"/>
      <c r="I108" s="329"/>
      <c r="J108" s="124"/>
      <c r="K108" s="329"/>
      <c r="L108" s="124"/>
      <c r="M108" s="329"/>
      <c r="N108" s="124"/>
      <c r="O108" s="320"/>
      <c r="P108" s="142"/>
      <c r="Q108" s="193"/>
      <c r="R108" s="28"/>
      <c r="S108" s="138"/>
      <c r="T108" s="142"/>
      <c r="U108" s="142"/>
      <c r="V108" s="142"/>
    </row>
    <row r="109">
      <c r="A109" s="320"/>
      <c r="B109" s="142"/>
      <c r="C109" s="320"/>
      <c r="D109" s="124"/>
      <c r="E109" s="320"/>
      <c r="F109" s="142"/>
      <c r="G109" s="320"/>
      <c r="H109" s="142"/>
      <c r="I109" s="329"/>
      <c r="J109" s="124"/>
      <c r="K109" s="329"/>
      <c r="L109" s="124"/>
      <c r="M109" s="329"/>
      <c r="N109" s="124"/>
      <c r="O109" s="320"/>
      <c r="P109" s="142"/>
      <c r="Q109" s="193"/>
      <c r="R109" s="28"/>
      <c r="S109" s="138"/>
      <c r="T109" s="142"/>
      <c r="U109" s="142"/>
      <c r="V109" s="142"/>
    </row>
    <row r="110">
      <c r="A110" s="320"/>
      <c r="B110" s="142"/>
      <c r="C110" s="320"/>
      <c r="D110" s="124"/>
      <c r="E110" s="320"/>
      <c r="F110" s="142"/>
      <c r="G110" s="320"/>
      <c r="H110" s="142"/>
      <c r="I110" s="329"/>
      <c r="J110" s="124"/>
      <c r="K110" s="329"/>
      <c r="L110" s="124"/>
      <c r="M110" s="329"/>
      <c r="N110" s="124"/>
      <c r="O110" s="320"/>
      <c r="P110" s="142"/>
      <c r="Q110" s="193"/>
      <c r="R110" s="28"/>
      <c r="S110" s="138"/>
      <c r="T110" s="142"/>
      <c r="U110" s="142"/>
      <c r="V110" s="142"/>
    </row>
    <row r="111">
      <c r="A111" s="320"/>
      <c r="B111" s="142"/>
      <c r="C111" s="320"/>
      <c r="D111" s="124"/>
      <c r="E111" s="320"/>
      <c r="F111" s="142"/>
      <c r="G111" s="320"/>
      <c r="H111" s="142"/>
      <c r="I111" s="329"/>
      <c r="J111" s="124"/>
      <c r="K111" s="329"/>
      <c r="L111" s="124"/>
      <c r="M111" s="329"/>
      <c r="N111" s="124"/>
      <c r="O111" s="320"/>
      <c r="P111" s="142"/>
      <c r="Q111" s="193"/>
      <c r="R111" s="28"/>
      <c r="S111" s="138"/>
      <c r="T111" s="142"/>
      <c r="U111" s="142"/>
      <c r="V111" s="142"/>
    </row>
    <row r="112">
      <c r="A112" s="320"/>
      <c r="B112" s="142"/>
      <c r="C112" s="320"/>
      <c r="D112" s="124"/>
      <c r="E112" s="320"/>
      <c r="F112" s="142"/>
      <c r="G112" s="320"/>
      <c r="H112" s="142"/>
      <c r="I112" s="329"/>
      <c r="J112" s="124"/>
      <c r="K112" s="329"/>
      <c r="L112" s="124"/>
      <c r="M112" s="329"/>
      <c r="N112" s="124"/>
      <c r="O112" s="320"/>
      <c r="P112" s="142"/>
      <c r="Q112" s="193"/>
      <c r="R112" s="28"/>
      <c r="S112" s="138"/>
      <c r="T112" s="142"/>
      <c r="U112" s="142"/>
      <c r="V112" s="142"/>
    </row>
    <row r="113">
      <c r="A113" s="320"/>
      <c r="B113" s="142"/>
      <c r="C113" s="320"/>
      <c r="D113" s="124"/>
      <c r="E113" s="320"/>
      <c r="F113" s="142"/>
      <c r="G113" s="320"/>
      <c r="H113" s="142"/>
      <c r="I113" s="329"/>
      <c r="J113" s="124"/>
      <c r="K113" s="329"/>
      <c r="L113" s="124"/>
      <c r="M113" s="329"/>
      <c r="N113" s="124"/>
      <c r="O113" s="320"/>
      <c r="P113" s="142"/>
      <c r="Q113" s="193"/>
      <c r="R113" s="28"/>
      <c r="S113" s="138"/>
      <c r="T113" s="142"/>
      <c r="U113" s="142"/>
      <c r="V113" s="142"/>
    </row>
    <row r="114">
      <c r="A114" s="320"/>
      <c r="B114" s="142"/>
      <c r="C114" s="320"/>
      <c r="D114" s="124"/>
      <c r="E114" s="320"/>
      <c r="F114" s="142"/>
      <c r="G114" s="320"/>
      <c r="H114" s="142"/>
      <c r="I114" s="329"/>
      <c r="J114" s="124"/>
      <c r="K114" s="329"/>
      <c r="L114" s="124"/>
      <c r="M114" s="329"/>
      <c r="N114" s="124"/>
      <c r="O114" s="320"/>
      <c r="P114" s="142"/>
      <c r="Q114" s="193"/>
      <c r="R114" s="28"/>
      <c r="S114" s="138"/>
      <c r="T114" s="142"/>
      <c r="U114" s="142"/>
      <c r="V114" s="142"/>
    </row>
    <row r="115">
      <c r="A115" s="320"/>
      <c r="B115" s="142"/>
      <c r="C115" s="320"/>
      <c r="D115" s="124"/>
      <c r="E115" s="320"/>
      <c r="F115" s="142"/>
      <c r="G115" s="320"/>
      <c r="H115" s="142"/>
      <c r="I115" s="329"/>
      <c r="J115" s="124"/>
      <c r="K115" s="329"/>
      <c r="L115" s="124"/>
      <c r="M115" s="329"/>
      <c r="N115" s="124"/>
      <c r="O115" s="320"/>
      <c r="P115" s="142"/>
      <c r="Q115" s="193"/>
      <c r="R115" s="28"/>
      <c r="S115" s="138"/>
      <c r="T115" s="142"/>
      <c r="U115" s="142"/>
      <c r="V115" s="142"/>
    </row>
    <row r="116">
      <c r="A116" s="320"/>
      <c r="B116" s="142"/>
      <c r="C116" s="320"/>
      <c r="D116" s="124"/>
      <c r="E116" s="320"/>
      <c r="F116" s="142"/>
      <c r="G116" s="320"/>
      <c r="H116" s="142"/>
      <c r="I116" s="329"/>
      <c r="J116" s="124"/>
      <c r="K116" s="329"/>
      <c r="L116" s="124"/>
      <c r="M116" s="329"/>
      <c r="N116" s="124"/>
      <c r="O116" s="320"/>
      <c r="P116" s="142"/>
      <c r="Q116" s="193"/>
      <c r="R116" s="28"/>
      <c r="S116" s="138"/>
      <c r="T116" s="142"/>
      <c r="U116" s="142"/>
      <c r="V116" s="142"/>
    </row>
    <row r="117">
      <c r="A117" s="320"/>
      <c r="B117" s="142"/>
      <c r="C117" s="320"/>
      <c r="D117" s="124"/>
      <c r="E117" s="320"/>
      <c r="F117" s="142"/>
      <c r="G117" s="320"/>
      <c r="H117" s="142"/>
      <c r="I117" s="329"/>
      <c r="J117" s="124"/>
      <c r="K117" s="329"/>
      <c r="L117" s="124"/>
      <c r="M117" s="329"/>
      <c r="N117" s="124"/>
      <c r="O117" s="320"/>
      <c r="P117" s="142"/>
      <c r="Q117" s="193"/>
      <c r="R117" s="28"/>
      <c r="S117" s="138"/>
      <c r="T117" s="142"/>
      <c r="U117" s="142"/>
      <c r="V117" s="142"/>
    </row>
    <row r="118">
      <c r="A118" s="320"/>
      <c r="B118" s="142"/>
      <c r="C118" s="320"/>
      <c r="D118" s="124"/>
      <c r="E118" s="320"/>
      <c r="F118" s="142"/>
      <c r="G118" s="320"/>
      <c r="H118" s="142"/>
      <c r="I118" s="329"/>
      <c r="J118" s="124"/>
      <c r="K118" s="329"/>
      <c r="L118" s="124"/>
      <c r="M118" s="329"/>
      <c r="N118" s="124"/>
      <c r="O118" s="320"/>
      <c r="P118" s="142"/>
      <c r="Q118" s="193"/>
      <c r="R118" s="28"/>
      <c r="S118" s="138"/>
      <c r="T118" s="142"/>
      <c r="U118" s="142"/>
      <c r="V118" s="142"/>
    </row>
    <row r="119">
      <c r="A119" s="320"/>
      <c r="B119" s="142"/>
      <c r="C119" s="320"/>
      <c r="D119" s="124"/>
      <c r="E119" s="320"/>
      <c r="F119" s="142"/>
      <c r="G119" s="320"/>
      <c r="H119" s="142"/>
      <c r="I119" s="329"/>
      <c r="J119" s="124"/>
      <c r="K119" s="329"/>
      <c r="L119" s="124"/>
      <c r="M119" s="329"/>
      <c r="N119" s="124"/>
      <c r="O119" s="320"/>
      <c r="P119" s="142"/>
      <c r="Q119" s="193"/>
      <c r="R119" s="28"/>
      <c r="S119" s="138"/>
      <c r="T119" s="142"/>
      <c r="U119" s="142"/>
      <c r="V119" s="142"/>
    </row>
    <row r="120">
      <c r="A120" s="320"/>
      <c r="B120" s="142"/>
      <c r="C120" s="320"/>
      <c r="D120" s="124"/>
      <c r="E120" s="320"/>
      <c r="F120" s="142"/>
      <c r="G120" s="320"/>
      <c r="H120" s="142"/>
      <c r="I120" s="329"/>
      <c r="J120" s="124"/>
      <c r="K120" s="329"/>
      <c r="L120" s="124"/>
      <c r="M120" s="329"/>
      <c r="N120" s="124"/>
      <c r="O120" s="320"/>
      <c r="P120" s="142"/>
      <c r="Q120" s="193"/>
      <c r="R120" s="28"/>
      <c r="S120" s="138"/>
      <c r="T120" s="142"/>
      <c r="U120" s="142"/>
      <c r="V120" s="142"/>
    </row>
    <row r="121">
      <c r="A121" s="320"/>
      <c r="B121" s="142"/>
      <c r="C121" s="320"/>
      <c r="D121" s="124"/>
      <c r="E121" s="320"/>
      <c r="F121" s="142"/>
      <c r="G121" s="320"/>
      <c r="H121" s="142"/>
      <c r="I121" s="329"/>
      <c r="J121" s="124"/>
      <c r="K121" s="329"/>
      <c r="L121" s="124"/>
      <c r="M121" s="329"/>
      <c r="N121" s="124"/>
      <c r="O121" s="320"/>
      <c r="P121" s="142"/>
      <c r="Q121" s="193"/>
      <c r="R121" s="28"/>
      <c r="S121" s="138"/>
      <c r="T121" s="142"/>
      <c r="U121" s="142"/>
      <c r="V121" s="142"/>
    </row>
    <row r="122">
      <c r="A122" s="320"/>
      <c r="B122" s="142"/>
      <c r="C122" s="320"/>
      <c r="D122" s="124"/>
      <c r="E122" s="320"/>
      <c r="F122" s="142"/>
      <c r="G122" s="320"/>
      <c r="H122" s="142"/>
      <c r="I122" s="329"/>
      <c r="J122" s="124"/>
      <c r="K122" s="329"/>
      <c r="L122" s="124"/>
      <c r="M122" s="329"/>
      <c r="N122" s="124"/>
      <c r="O122" s="320"/>
      <c r="P122" s="142"/>
      <c r="Q122" s="193"/>
      <c r="R122" s="28"/>
      <c r="S122" s="138"/>
      <c r="T122" s="142"/>
      <c r="U122" s="142"/>
      <c r="V122" s="142"/>
    </row>
    <row r="123">
      <c r="A123" s="320"/>
      <c r="B123" s="142"/>
      <c r="C123" s="320"/>
      <c r="D123" s="124"/>
      <c r="E123" s="320"/>
      <c r="F123" s="142"/>
      <c r="G123" s="320"/>
      <c r="H123" s="142"/>
      <c r="I123" s="329"/>
      <c r="J123" s="124"/>
      <c r="K123" s="329"/>
      <c r="L123" s="124"/>
      <c r="M123" s="329"/>
      <c r="N123" s="124"/>
      <c r="O123" s="320"/>
      <c r="P123" s="142"/>
      <c r="Q123" s="193"/>
      <c r="R123" s="28"/>
      <c r="S123" s="138"/>
      <c r="T123" s="142"/>
      <c r="U123" s="142"/>
      <c r="V123" s="142"/>
    </row>
    <row r="124">
      <c r="A124" s="320"/>
      <c r="B124" s="142"/>
      <c r="C124" s="320"/>
      <c r="D124" s="124"/>
      <c r="E124" s="320"/>
      <c r="F124" s="142"/>
      <c r="G124" s="320"/>
      <c r="H124" s="142"/>
      <c r="I124" s="329"/>
      <c r="J124" s="124"/>
      <c r="K124" s="329"/>
      <c r="L124" s="124"/>
      <c r="M124" s="329"/>
      <c r="N124" s="124"/>
      <c r="O124" s="320"/>
      <c r="P124" s="142"/>
      <c r="Q124" s="193"/>
      <c r="R124" s="28"/>
      <c r="S124" s="138"/>
      <c r="T124" s="142"/>
      <c r="U124" s="142"/>
      <c r="V124" s="142"/>
    </row>
    <row r="125">
      <c r="A125" s="320"/>
      <c r="B125" s="142"/>
      <c r="C125" s="320"/>
      <c r="D125" s="124"/>
      <c r="E125" s="320"/>
      <c r="F125" s="142"/>
      <c r="G125" s="320"/>
      <c r="H125" s="142"/>
      <c r="I125" s="329"/>
      <c r="J125" s="124"/>
      <c r="K125" s="329"/>
      <c r="L125" s="124"/>
      <c r="M125" s="329"/>
      <c r="N125" s="124"/>
      <c r="O125" s="320"/>
      <c r="P125" s="142"/>
      <c r="Q125" s="193"/>
      <c r="R125" s="28"/>
      <c r="S125" s="138"/>
      <c r="T125" s="142"/>
      <c r="U125" s="142"/>
      <c r="V125" s="142"/>
    </row>
    <row r="126">
      <c r="A126" s="320"/>
      <c r="B126" s="142"/>
      <c r="C126" s="320"/>
      <c r="D126" s="124"/>
      <c r="E126" s="320"/>
      <c r="F126" s="142"/>
      <c r="G126" s="320"/>
      <c r="H126" s="142"/>
      <c r="I126" s="329"/>
      <c r="J126" s="124"/>
      <c r="K126" s="329"/>
      <c r="L126" s="124"/>
      <c r="M126" s="329"/>
      <c r="N126" s="124"/>
      <c r="O126" s="320"/>
      <c r="P126" s="142"/>
      <c r="Q126" s="193"/>
      <c r="R126" s="28"/>
      <c r="S126" s="138"/>
      <c r="T126" s="142"/>
      <c r="U126" s="142"/>
      <c r="V126" s="142"/>
    </row>
    <row r="127">
      <c r="A127" s="320"/>
      <c r="B127" s="142"/>
      <c r="C127" s="320"/>
      <c r="D127" s="124"/>
      <c r="E127" s="320"/>
      <c r="F127" s="142"/>
      <c r="G127" s="320"/>
      <c r="H127" s="142"/>
      <c r="I127" s="329"/>
      <c r="J127" s="124"/>
      <c r="K127" s="329"/>
      <c r="L127" s="124"/>
      <c r="M127" s="329"/>
      <c r="N127" s="124"/>
      <c r="O127" s="320"/>
      <c r="P127" s="142"/>
      <c r="Q127" s="193"/>
      <c r="R127" s="28"/>
      <c r="S127" s="138"/>
      <c r="T127" s="142"/>
      <c r="U127" s="142"/>
      <c r="V127" s="142"/>
    </row>
    <row r="128">
      <c r="A128" s="320"/>
      <c r="B128" s="142"/>
      <c r="C128" s="320"/>
      <c r="D128" s="124"/>
      <c r="E128" s="320"/>
      <c r="F128" s="142"/>
      <c r="G128" s="320"/>
      <c r="H128" s="142"/>
      <c r="I128" s="329"/>
      <c r="J128" s="124"/>
      <c r="K128" s="329"/>
      <c r="L128" s="124"/>
      <c r="M128" s="329"/>
      <c r="N128" s="124"/>
      <c r="O128" s="320"/>
      <c r="P128" s="142"/>
      <c r="Q128" s="193"/>
      <c r="R128" s="28"/>
      <c r="S128" s="138"/>
      <c r="T128" s="142"/>
      <c r="U128" s="142"/>
      <c r="V128" s="142"/>
    </row>
    <row r="129">
      <c r="A129" s="320"/>
      <c r="B129" s="142"/>
      <c r="C129" s="320"/>
      <c r="D129" s="124"/>
      <c r="E129" s="320"/>
      <c r="F129" s="142"/>
      <c r="G129" s="320"/>
      <c r="H129" s="142"/>
      <c r="I129" s="329"/>
      <c r="J129" s="124"/>
      <c r="K129" s="329"/>
      <c r="L129" s="124"/>
      <c r="M129" s="329"/>
      <c r="N129" s="124"/>
      <c r="O129" s="320"/>
      <c r="P129" s="142"/>
      <c r="Q129" s="193"/>
      <c r="R129" s="28"/>
      <c r="S129" s="138"/>
      <c r="T129" s="142"/>
      <c r="U129" s="142"/>
      <c r="V129" s="142"/>
    </row>
    <row r="130">
      <c r="A130" s="320"/>
      <c r="B130" s="142"/>
      <c r="C130" s="320"/>
      <c r="D130" s="124"/>
      <c r="E130" s="320"/>
      <c r="F130" s="142"/>
      <c r="G130" s="320"/>
      <c r="H130" s="142"/>
      <c r="I130" s="329"/>
      <c r="J130" s="124"/>
      <c r="K130" s="329"/>
      <c r="L130" s="124"/>
      <c r="M130" s="329"/>
      <c r="N130" s="124"/>
      <c r="O130" s="320"/>
      <c r="P130" s="142"/>
      <c r="Q130" s="193"/>
      <c r="R130" s="28"/>
      <c r="S130" s="138"/>
      <c r="T130" s="142"/>
      <c r="U130" s="142"/>
      <c r="V130" s="142"/>
    </row>
    <row r="131">
      <c r="A131" s="320"/>
      <c r="B131" s="142"/>
      <c r="C131" s="320"/>
      <c r="D131" s="124"/>
      <c r="E131" s="320"/>
      <c r="F131" s="142"/>
      <c r="G131" s="320"/>
      <c r="H131" s="142"/>
      <c r="I131" s="329"/>
      <c r="J131" s="124"/>
      <c r="K131" s="329"/>
      <c r="L131" s="124"/>
      <c r="M131" s="329"/>
      <c r="N131" s="124"/>
      <c r="O131" s="320"/>
      <c r="P131" s="142"/>
      <c r="Q131" s="193"/>
      <c r="R131" s="28"/>
      <c r="S131" s="138"/>
      <c r="T131" s="142"/>
      <c r="U131" s="142"/>
      <c r="V131" s="142"/>
    </row>
    <row r="132">
      <c r="A132" s="320"/>
      <c r="B132" s="142"/>
      <c r="C132" s="320"/>
      <c r="D132" s="124"/>
      <c r="E132" s="320"/>
      <c r="F132" s="142"/>
      <c r="G132" s="320"/>
      <c r="H132" s="142"/>
      <c r="I132" s="329"/>
      <c r="J132" s="124"/>
      <c r="K132" s="329"/>
      <c r="L132" s="124"/>
      <c r="M132" s="329"/>
      <c r="N132" s="124"/>
      <c r="O132" s="320"/>
      <c r="P132" s="142"/>
      <c r="Q132" s="193"/>
      <c r="R132" s="28"/>
      <c r="S132" s="138"/>
      <c r="T132" s="142"/>
      <c r="U132" s="142"/>
      <c r="V132" s="142"/>
    </row>
    <row r="133">
      <c r="A133" s="320"/>
      <c r="B133" s="142"/>
      <c r="C133" s="320"/>
      <c r="D133" s="124"/>
      <c r="E133" s="320"/>
      <c r="F133" s="142"/>
      <c r="G133" s="320"/>
      <c r="H133" s="142"/>
      <c r="I133" s="329"/>
      <c r="J133" s="124"/>
      <c r="K133" s="329"/>
      <c r="L133" s="124"/>
      <c r="M133" s="329"/>
      <c r="N133" s="124"/>
      <c r="O133" s="320"/>
      <c r="P133" s="142"/>
      <c r="Q133" s="193"/>
      <c r="R133" s="28"/>
      <c r="S133" s="138"/>
      <c r="T133" s="142"/>
      <c r="U133" s="142"/>
      <c r="V133" s="142"/>
    </row>
    <row r="134">
      <c r="A134" s="320"/>
      <c r="B134" s="142"/>
      <c r="C134" s="320"/>
      <c r="D134" s="124"/>
      <c r="E134" s="320"/>
      <c r="F134" s="142"/>
      <c r="G134" s="320"/>
      <c r="H134" s="142"/>
      <c r="I134" s="329"/>
      <c r="J134" s="124"/>
      <c r="K134" s="329"/>
      <c r="L134" s="124"/>
      <c r="M134" s="329"/>
      <c r="N134" s="124"/>
      <c r="O134" s="320"/>
      <c r="P134" s="142"/>
      <c r="Q134" s="193"/>
      <c r="R134" s="28"/>
      <c r="S134" s="138"/>
      <c r="T134" s="142"/>
      <c r="U134" s="142"/>
      <c r="V134" s="142"/>
    </row>
    <row r="135">
      <c r="A135" s="320"/>
      <c r="B135" s="142"/>
      <c r="C135" s="320"/>
      <c r="D135" s="124"/>
      <c r="E135" s="320"/>
      <c r="F135" s="142"/>
      <c r="G135" s="320"/>
      <c r="H135" s="142"/>
      <c r="I135" s="329"/>
      <c r="J135" s="124"/>
      <c r="K135" s="329"/>
      <c r="L135" s="124"/>
      <c r="M135" s="329"/>
      <c r="N135" s="124"/>
      <c r="O135" s="320"/>
      <c r="P135" s="142"/>
      <c r="Q135" s="193"/>
      <c r="R135" s="28"/>
      <c r="S135" s="138"/>
      <c r="T135" s="142"/>
      <c r="U135" s="142"/>
      <c r="V135" s="142"/>
    </row>
    <row r="136">
      <c r="A136" s="320"/>
      <c r="B136" s="142"/>
      <c r="C136" s="320"/>
      <c r="D136" s="124"/>
      <c r="E136" s="320"/>
      <c r="F136" s="142"/>
      <c r="G136" s="320"/>
      <c r="H136" s="142"/>
      <c r="I136" s="329"/>
      <c r="J136" s="124"/>
      <c r="K136" s="329"/>
      <c r="L136" s="124"/>
      <c r="M136" s="329"/>
      <c r="N136" s="124"/>
      <c r="O136" s="320"/>
      <c r="P136" s="142"/>
      <c r="Q136" s="193"/>
      <c r="R136" s="28"/>
      <c r="S136" s="138"/>
      <c r="T136" s="142"/>
      <c r="U136" s="142"/>
      <c r="V136" s="142"/>
    </row>
    <row r="137">
      <c r="A137" s="320"/>
      <c r="B137" s="142"/>
      <c r="C137" s="320"/>
      <c r="D137" s="124"/>
      <c r="E137" s="320"/>
      <c r="F137" s="142"/>
      <c r="G137" s="320"/>
      <c r="H137" s="142"/>
      <c r="I137" s="329"/>
      <c r="J137" s="124"/>
      <c r="K137" s="329"/>
      <c r="L137" s="124"/>
      <c r="M137" s="329"/>
      <c r="N137" s="124"/>
      <c r="O137" s="320"/>
      <c r="P137" s="142"/>
      <c r="Q137" s="193"/>
      <c r="R137" s="28"/>
      <c r="S137" s="138"/>
      <c r="T137" s="142"/>
      <c r="U137" s="142"/>
      <c r="V137" s="142"/>
    </row>
    <row r="138">
      <c r="A138" s="320"/>
      <c r="B138" s="142"/>
      <c r="C138" s="320"/>
      <c r="D138" s="124"/>
      <c r="E138" s="320"/>
      <c r="F138" s="142"/>
      <c r="G138" s="320"/>
      <c r="H138" s="142"/>
      <c r="I138" s="329"/>
      <c r="J138" s="124"/>
      <c r="K138" s="329"/>
      <c r="L138" s="124"/>
      <c r="M138" s="329"/>
      <c r="N138" s="124"/>
      <c r="O138" s="320"/>
      <c r="P138" s="142"/>
      <c r="Q138" s="193"/>
      <c r="R138" s="28"/>
      <c r="S138" s="138"/>
      <c r="T138" s="142"/>
      <c r="U138" s="142"/>
      <c r="V138" s="142"/>
    </row>
    <row r="139">
      <c r="A139" s="320"/>
      <c r="B139" s="142"/>
      <c r="C139" s="320"/>
      <c r="D139" s="124"/>
      <c r="E139" s="320"/>
      <c r="F139" s="142"/>
      <c r="G139" s="320"/>
      <c r="H139" s="142"/>
      <c r="I139" s="329"/>
      <c r="J139" s="124"/>
      <c r="K139" s="329"/>
      <c r="L139" s="124"/>
      <c r="M139" s="329"/>
      <c r="N139" s="124"/>
      <c r="O139" s="320"/>
      <c r="P139" s="142"/>
      <c r="Q139" s="193"/>
      <c r="R139" s="28"/>
      <c r="S139" s="138"/>
      <c r="T139" s="142"/>
      <c r="U139" s="142"/>
      <c r="V139" s="142"/>
    </row>
    <row r="140">
      <c r="A140" s="320"/>
      <c r="B140" s="142"/>
      <c r="C140" s="320"/>
      <c r="D140" s="124"/>
      <c r="E140" s="320"/>
      <c r="F140" s="142"/>
      <c r="G140" s="320"/>
      <c r="H140" s="142"/>
      <c r="I140" s="329"/>
      <c r="J140" s="124"/>
      <c r="K140" s="329"/>
      <c r="L140" s="124"/>
      <c r="M140" s="329"/>
      <c r="N140" s="124"/>
      <c r="O140" s="320"/>
      <c r="P140" s="142"/>
      <c r="Q140" s="193"/>
      <c r="R140" s="28"/>
      <c r="S140" s="138"/>
      <c r="T140" s="142"/>
      <c r="U140" s="142"/>
      <c r="V140" s="142"/>
    </row>
    <row r="141">
      <c r="A141" s="320"/>
      <c r="B141" s="142"/>
      <c r="C141" s="320"/>
      <c r="D141" s="124"/>
      <c r="E141" s="320"/>
      <c r="F141" s="142"/>
      <c r="G141" s="320"/>
      <c r="H141" s="142"/>
      <c r="I141" s="329"/>
      <c r="J141" s="124"/>
      <c r="K141" s="329"/>
      <c r="L141" s="124"/>
      <c r="M141" s="329"/>
      <c r="N141" s="124"/>
      <c r="O141" s="320"/>
      <c r="P141" s="142"/>
      <c r="Q141" s="193"/>
      <c r="R141" s="28"/>
      <c r="S141" s="138"/>
      <c r="T141" s="142"/>
      <c r="U141" s="142"/>
      <c r="V141" s="142"/>
    </row>
    <row r="142">
      <c r="A142" s="320"/>
      <c r="B142" s="142"/>
      <c r="C142" s="320"/>
      <c r="D142" s="124"/>
      <c r="E142" s="320"/>
      <c r="F142" s="142"/>
      <c r="G142" s="320"/>
      <c r="H142" s="142"/>
      <c r="I142" s="329"/>
      <c r="J142" s="124"/>
      <c r="K142" s="329"/>
      <c r="L142" s="124"/>
      <c r="M142" s="329"/>
      <c r="N142" s="124"/>
      <c r="O142" s="320"/>
      <c r="P142" s="142"/>
      <c r="Q142" s="193"/>
      <c r="R142" s="28"/>
      <c r="S142" s="138"/>
      <c r="T142" s="142"/>
      <c r="U142" s="142"/>
      <c r="V142" s="142"/>
    </row>
    <row r="143">
      <c r="A143" s="320"/>
      <c r="B143" s="142"/>
      <c r="C143" s="320"/>
      <c r="D143" s="124"/>
      <c r="E143" s="320"/>
      <c r="F143" s="142"/>
      <c r="G143" s="320"/>
      <c r="H143" s="142"/>
      <c r="I143" s="329"/>
      <c r="J143" s="124"/>
      <c r="K143" s="329"/>
      <c r="L143" s="124"/>
      <c r="M143" s="329"/>
      <c r="N143" s="124"/>
      <c r="O143" s="320"/>
      <c r="P143" s="142"/>
      <c r="Q143" s="193"/>
      <c r="R143" s="28"/>
      <c r="S143" s="138"/>
      <c r="T143" s="142"/>
      <c r="U143" s="142"/>
      <c r="V143" s="142"/>
    </row>
    <row r="144">
      <c r="A144" s="320"/>
      <c r="B144" s="142"/>
      <c r="C144" s="320"/>
      <c r="D144" s="124"/>
      <c r="E144" s="320"/>
      <c r="F144" s="142"/>
      <c r="G144" s="320"/>
      <c r="H144" s="142"/>
      <c r="I144" s="329"/>
      <c r="J144" s="124"/>
      <c r="K144" s="329"/>
      <c r="L144" s="124"/>
      <c r="M144" s="329"/>
      <c r="N144" s="124"/>
      <c r="O144" s="320"/>
      <c r="P144" s="142"/>
      <c r="Q144" s="193"/>
      <c r="R144" s="28"/>
      <c r="S144" s="138"/>
      <c r="T144" s="142"/>
      <c r="U144" s="142"/>
      <c r="V144" s="142"/>
    </row>
    <row r="145">
      <c r="A145" s="320"/>
      <c r="B145" s="142"/>
      <c r="C145" s="320"/>
      <c r="D145" s="124"/>
      <c r="E145" s="320"/>
      <c r="F145" s="142"/>
      <c r="G145" s="320"/>
      <c r="H145" s="142"/>
      <c r="I145" s="329"/>
      <c r="J145" s="124"/>
      <c r="K145" s="329"/>
      <c r="L145" s="124"/>
      <c r="M145" s="329"/>
      <c r="N145" s="124"/>
      <c r="O145" s="320"/>
      <c r="P145" s="142"/>
      <c r="Q145" s="193"/>
      <c r="R145" s="28"/>
      <c r="S145" s="138"/>
      <c r="T145" s="142"/>
      <c r="U145" s="142"/>
      <c r="V145" s="142"/>
    </row>
    <row r="146">
      <c r="A146" s="320"/>
      <c r="B146" s="142"/>
      <c r="C146" s="320"/>
      <c r="D146" s="124"/>
      <c r="E146" s="320"/>
      <c r="F146" s="142"/>
      <c r="G146" s="320"/>
      <c r="H146" s="142"/>
      <c r="I146" s="329"/>
      <c r="J146" s="124"/>
      <c r="K146" s="329"/>
      <c r="L146" s="124"/>
      <c r="M146" s="329"/>
      <c r="N146" s="124"/>
      <c r="O146" s="320"/>
      <c r="P146" s="142"/>
      <c r="Q146" s="193"/>
      <c r="R146" s="28"/>
      <c r="S146" s="138"/>
      <c r="T146" s="142"/>
      <c r="U146" s="142"/>
      <c r="V146" s="142"/>
    </row>
    <row r="147">
      <c r="A147" s="320"/>
      <c r="B147" s="142"/>
      <c r="C147" s="320"/>
      <c r="D147" s="124"/>
      <c r="E147" s="320"/>
      <c r="F147" s="142"/>
      <c r="G147" s="320"/>
      <c r="H147" s="142"/>
      <c r="I147" s="329"/>
      <c r="J147" s="124"/>
      <c r="K147" s="329"/>
      <c r="L147" s="124"/>
      <c r="M147" s="329"/>
      <c r="N147" s="124"/>
      <c r="O147" s="320"/>
      <c r="P147" s="142"/>
      <c r="Q147" s="193"/>
      <c r="R147" s="28"/>
      <c r="S147" s="138"/>
      <c r="T147" s="142"/>
      <c r="U147" s="142"/>
      <c r="V147" s="142"/>
    </row>
    <row r="148">
      <c r="A148" s="320"/>
      <c r="B148" s="142"/>
      <c r="C148" s="320"/>
      <c r="D148" s="124"/>
      <c r="E148" s="320"/>
      <c r="F148" s="142"/>
      <c r="G148" s="320"/>
      <c r="H148" s="142"/>
      <c r="I148" s="329"/>
      <c r="J148" s="124"/>
      <c r="K148" s="329"/>
      <c r="L148" s="124"/>
      <c r="M148" s="329"/>
      <c r="N148" s="124"/>
      <c r="O148" s="320"/>
      <c r="P148" s="142"/>
      <c r="Q148" s="193"/>
      <c r="R148" s="28"/>
      <c r="S148" s="138"/>
      <c r="T148" s="142"/>
      <c r="U148" s="142"/>
      <c r="V148" s="142"/>
    </row>
    <row r="149">
      <c r="A149" s="320"/>
      <c r="B149" s="142"/>
      <c r="C149" s="320"/>
      <c r="D149" s="124"/>
      <c r="E149" s="320"/>
      <c r="F149" s="142"/>
      <c r="G149" s="320"/>
      <c r="H149" s="142"/>
      <c r="I149" s="329"/>
      <c r="J149" s="124"/>
      <c r="K149" s="329"/>
      <c r="L149" s="124"/>
      <c r="M149" s="329"/>
      <c r="N149" s="124"/>
      <c r="O149" s="320"/>
      <c r="P149" s="142"/>
      <c r="Q149" s="193"/>
      <c r="R149" s="28"/>
      <c r="S149" s="138"/>
      <c r="T149" s="142"/>
      <c r="U149" s="142"/>
      <c r="V149" s="142"/>
    </row>
    <row r="150">
      <c r="A150" s="320"/>
      <c r="B150" s="142"/>
      <c r="C150" s="320"/>
      <c r="D150" s="124"/>
      <c r="E150" s="320"/>
      <c r="F150" s="142"/>
      <c r="G150" s="320"/>
      <c r="H150" s="142"/>
      <c r="I150" s="329"/>
      <c r="J150" s="124"/>
      <c r="K150" s="329"/>
      <c r="L150" s="124"/>
      <c r="M150" s="329"/>
      <c r="N150" s="124"/>
      <c r="O150" s="320"/>
      <c r="P150" s="142"/>
      <c r="Q150" s="193"/>
      <c r="R150" s="28"/>
      <c r="S150" s="138"/>
      <c r="T150" s="142"/>
      <c r="U150" s="142"/>
      <c r="V150" s="142"/>
    </row>
    <row r="151">
      <c r="A151" s="320"/>
      <c r="B151" s="142"/>
      <c r="C151" s="320"/>
      <c r="D151" s="124"/>
      <c r="E151" s="320"/>
      <c r="F151" s="142"/>
      <c r="G151" s="320"/>
      <c r="H151" s="142"/>
      <c r="I151" s="329"/>
      <c r="J151" s="124"/>
      <c r="K151" s="329"/>
      <c r="L151" s="124"/>
      <c r="M151" s="329"/>
      <c r="N151" s="124"/>
      <c r="O151" s="320"/>
      <c r="P151" s="142"/>
      <c r="Q151" s="193"/>
      <c r="R151" s="28"/>
      <c r="S151" s="138"/>
      <c r="T151" s="142"/>
      <c r="U151" s="142"/>
      <c r="V151" s="142"/>
    </row>
    <row r="152">
      <c r="A152" s="320"/>
      <c r="B152" s="142"/>
      <c r="C152" s="320"/>
      <c r="D152" s="124"/>
      <c r="E152" s="320"/>
      <c r="F152" s="142"/>
      <c r="G152" s="320"/>
      <c r="H152" s="142"/>
      <c r="I152" s="329"/>
      <c r="J152" s="124"/>
      <c r="K152" s="329"/>
      <c r="L152" s="124"/>
      <c r="M152" s="329"/>
      <c r="N152" s="124"/>
      <c r="O152" s="320"/>
      <c r="P152" s="142"/>
      <c r="Q152" s="193"/>
      <c r="R152" s="28"/>
      <c r="S152" s="138"/>
      <c r="T152" s="142"/>
      <c r="U152" s="142"/>
      <c r="V152" s="142"/>
    </row>
    <row r="153">
      <c r="A153" s="320"/>
      <c r="B153" s="142"/>
      <c r="C153" s="320"/>
      <c r="D153" s="124"/>
      <c r="E153" s="320"/>
      <c r="F153" s="142"/>
      <c r="G153" s="320"/>
      <c r="H153" s="142"/>
      <c r="I153" s="329"/>
      <c r="J153" s="124"/>
      <c r="K153" s="329"/>
      <c r="L153" s="124"/>
      <c r="M153" s="329"/>
      <c r="N153" s="124"/>
      <c r="O153" s="320"/>
      <c r="P153" s="142"/>
      <c r="Q153" s="193"/>
      <c r="R153" s="28"/>
      <c r="S153" s="138"/>
      <c r="T153" s="142"/>
      <c r="U153" s="142"/>
      <c r="V153" s="142"/>
    </row>
    <row r="154">
      <c r="A154" s="320"/>
      <c r="B154" s="142"/>
      <c r="C154" s="320"/>
      <c r="D154" s="124"/>
      <c r="E154" s="320"/>
      <c r="F154" s="142"/>
      <c r="G154" s="320"/>
      <c r="H154" s="142"/>
      <c r="I154" s="329"/>
      <c r="J154" s="124"/>
      <c r="K154" s="329"/>
      <c r="L154" s="124"/>
      <c r="M154" s="329"/>
      <c r="N154" s="124"/>
      <c r="O154" s="320"/>
      <c r="P154" s="142"/>
      <c r="Q154" s="193"/>
      <c r="R154" s="28"/>
      <c r="S154" s="138"/>
      <c r="T154" s="142"/>
      <c r="U154" s="142"/>
      <c r="V154" s="142"/>
    </row>
    <row r="155">
      <c r="A155" s="320"/>
      <c r="B155" s="142"/>
      <c r="C155" s="320"/>
      <c r="D155" s="124"/>
      <c r="E155" s="320"/>
      <c r="F155" s="142"/>
      <c r="G155" s="320"/>
      <c r="H155" s="142"/>
      <c r="I155" s="329"/>
      <c r="J155" s="124"/>
      <c r="K155" s="329"/>
      <c r="L155" s="124"/>
      <c r="M155" s="329"/>
      <c r="N155" s="124"/>
      <c r="O155" s="320"/>
      <c r="P155" s="142"/>
      <c r="Q155" s="193"/>
      <c r="R155" s="28"/>
      <c r="S155" s="138"/>
      <c r="T155" s="142"/>
      <c r="U155" s="142"/>
      <c r="V155" s="142"/>
    </row>
    <row r="156">
      <c r="A156" s="320"/>
      <c r="B156" s="142"/>
      <c r="C156" s="320"/>
      <c r="D156" s="124"/>
      <c r="E156" s="320"/>
      <c r="F156" s="142"/>
      <c r="G156" s="320"/>
      <c r="H156" s="142"/>
      <c r="I156" s="329"/>
      <c r="J156" s="124"/>
      <c r="K156" s="329"/>
      <c r="L156" s="124"/>
      <c r="M156" s="329"/>
      <c r="N156" s="124"/>
      <c r="O156" s="320"/>
      <c r="P156" s="142"/>
      <c r="Q156" s="193"/>
      <c r="R156" s="28"/>
      <c r="S156" s="138"/>
      <c r="T156" s="142"/>
      <c r="U156" s="142"/>
      <c r="V156" s="142"/>
    </row>
    <row r="157">
      <c r="A157" s="320"/>
      <c r="B157" s="142"/>
      <c r="C157" s="320"/>
      <c r="D157" s="124"/>
      <c r="E157" s="320"/>
      <c r="F157" s="142"/>
      <c r="G157" s="320"/>
      <c r="H157" s="142"/>
      <c r="I157" s="329"/>
      <c r="J157" s="124"/>
      <c r="K157" s="329"/>
      <c r="L157" s="124"/>
      <c r="M157" s="329"/>
      <c r="N157" s="124"/>
      <c r="O157" s="320"/>
      <c r="P157" s="142"/>
      <c r="Q157" s="193"/>
      <c r="R157" s="28"/>
      <c r="S157" s="138"/>
      <c r="T157" s="142"/>
      <c r="U157" s="142"/>
      <c r="V157" s="142"/>
    </row>
    <row r="158">
      <c r="A158" s="320"/>
      <c r="B158" s="142"/>
      <c r="C158" s="320"/>
      <c r="D158" s="124"/>
      <c r="E158" s="320"/>
      <c r="F158" s="142"/>
      <c r="G158" s="320"/>
      <c r="H158" s="142"/>
      <c r="I158" s="329"/>
      <c r="J158" s="124"/>
      <c r="K158" s="329"/>
      <c r="L158" s="124"/>
      <c r="M158" s="329"/>
      <c r="N158" s="124"/>
      <c r="O158" s="320"/>
      <c r="P158" s="142"/>
      <c r="Q158" s="193"/>
      <c r="R158" s="28"/>
      <c r="S158" s="138"/>
      <c r="T158" s="142"/>
      <c r="U158" s="142"/>
      <c r="V158" s="142"/>
    </row>
    <row r="159">
      <c r="A159" s="320"/>
      <c r="B159" s="142"/>
      <c r="C159" s="320"/>
      <c r="D159" s="124"/>
      <c r="E159" s="320"/>
      <c r="F159" s="142"/>
      <c r="G159" s="320"/>
      <c r="H159" s="142"/>
      <c r="I159" s="329"/>
      <c r="J159" s="124"/>
      <c r="K159" s="329"/>
      <c r="L159" s="124"/>
      <c r="M159" s="329"/>
      <c r="N159" s="124"/>
      <c r="O159" s="320"/>
      <c r="P159" s="142"/>
      <c r="Q159" s="193"/>
      <c r="R159" s="28"/>
      <c r="S159" s="138"/>
      <c r="T159" s="142"/>
      <c r="U159" s="142"/>
      <c r="V159" s="142"/>
    </row>
    <row r="160">
      <c r="A160" s="320"/>
      <c r="B160" s="142"/>
      <c r="C160" s="320"/>
      <c r="D160" s="124"/>
      <c r="E160" s="320"/>
      <c r="F160" s="142"/>
      <c r="G160" s="320"/>
      <c r="H160" s="142"/>
      <c r="I160" s="329"/>
      <c r="J160" s="124"/>
      <c r="K160" s="329"/>
      <c r="L160" s="124"/>
      <c r="M160" s="329"/>
      <c r="N160" s="124"/>
      <c r="O160" s="320"/>
      <c r="P160" s="142"/>
      <c r="Q160" s="193"/>
      <c r="R160" s="28"/>
      <c r="S160" s="138"/>
      <c r="T160" s="142"/>
      <c r="U160" s="142"/>
      <c r="V160" s="142"/>
    </row>
    <row r="161">
      <c r="A161" s="320"/>
      <c r="B161" s="142"/>
      <c r="C161" s="320"/>
      <c r="D161" s="124"/>
      <c r="E161" s="320"/>
      <c r="F161" s="142"/>
      <c r="G161" s="320"/>
      <c r="H161" s="142"/>
      <c r="I161" s="329"/>
      <c r="J161" s="124"/>
      <c r="K161" s="329"/>
      <c r="L161" s="124"/>
      <c r="M161" s="329"/>
      <c r="N161" s="124"/>
      <c r="O161" s="320"/>
      <c r="P161" s="142"/>
      <c r="Q161" s="193"/>
      <c r="R161" s="28"/>
      <c r="S161" s="138"/>
      <c r="T161" s="142"/>
      <c r="U161" s="142"/>
      <c r="V161" s="142"/>
    </row>
    <row r="162">
      <c r="A162" s="320"/>
      <c r="B162" s="142"/>
      <c r="C162" s="320"/>
      <c r="D162" s="124"/>
      <c r="E162" s="320"/>
      <c r="F162" s="142"/>
      <c r="G162" s="320"/>
      <c r="H162" s="142"/>
      <c r="I162" s="329"/>
      <c r="J162" s="124"/>
      <c r="K162" s="329"/>
      <c r="L162" s="124"/>
      <c r="M162" s="329"/>
      <c r="N162" s="124"/>
      <c r="O162" s="320"/>
      <c r="P162" s="142"/>
      <c r="Q162" s="193"/>
      <c r="R162" s="28"/>
      <c r="S162" s="138"/>
      <c r="T162" s="142"/>
      <c r="U162" s="142"/>
      <c r="V162" s="142"/>
    </row>
    <row r="163">
      <c r="A163" s="320"/>
      <c r="B163" s="142"/>
      <c r="C163" s="320"/>
      <c r="D163" s="124"/>
      <c r="E163" s="320"/>
      <c r="F163" s="142"/>
      <c r="G163" s="320"/>
      <c r="H163" s="142"/>
      <c r="I163" s="329"/>
      <c r="J163" s="124"/>
      <c r="K163" s="329"/>
      <c r="L163" s="124"/>
      <c r="M163" s="329"/>
      <c r="N163" s="124"/>
      <c r="O163" s="320"/>
      <c r="P163" s="142"/>
      <c r="Q163" s="193"/>
      <c r="R163" s="28"/>
      <c r="S163" s="138"/>
      <c r="T163" s="142"/>
      <c r="U163" s="142"/>
      <c r="V163" s="142"/>
    </row>
    <row r="164">
      <c r="A164" s="320"/>
      <c r="B164" s="142"/>
      <c r="C164" s="320"/>
      <c r="D164" s="124"/>
      <c r="E164" s="320"/>
      <c r="F164" s="142"/>
      <c r="G164" s="320"/>
      <c r="H164" s="142"/>
      <c r="I164" s="329"/>
      <c r="J164" s="124"/>
      <c r="K164" s="329"/>
      <c r="L164" s="124"/>
      <c r="M164" s="329"/>
      <c r="N164" s="124"/>
      <c r="O164" s="320"/>
      <c r="P164" s="142"/>
      <c r="Q164" s="193"/>
      <c r="R164" s="28"/>
      <c r="S164" s="138"/>
      <c r="T164" s="142"/>
      <c r="U164" s="142"/>
      <c r="V164" s="142"/>
    </row>
    <row r="165">
      <c r="A165" s="320"/>
      <c r="B165" s="142"/>
      <c r="C165" s="320"/>
      <c r="D165" s="124"/>
      <c r="E165" s="320"/>
      <c r="F165" s="142"/>
      <c r="G165" s="320"/>
      <c r="H165" s="142"/>
      <c r="I165" s="329"/>
      <c r="J165" s="124"/>
      <c r="K165" s="329"/>
      <c r="L165" s="124"/>
      <c r="M165" s="329"/>
      <c r="N165" s="124"/>
      <c r="O165" s="320"/>
      <c r="P165" s="142"/>
      <c r="Q165" s="193"/>
      <c r="R165" s="28"/>
      <c r="S165" s="138"/>
      <c r="T165" s="142"/>
      <c r="U165" s="142"/>
      <c r="V165" s="142"/>
    </row>
    <row r="166">
      <c r="A166" s="320"/>
      <c r="B166" s="142"/>
      <c r="C166" s="320"/>
      <c r="D166" s="124"/>
      <c r="E166" s="320"/>
      <c r="F166" s="142"/>
      <c r="G166" s="320"/>
      <c r="H166" s="142"/>
      <c r="I166" s="329"/>
      <c r="J166" s="124"/>
      <c r="K166" s="329"/>
      <c r="L166" s="124"/>
      <c r="M166" s="329"/>
      <c r="N166" s="124"/>
      <c r="O166" s="320"/>
      <c r="P166" s="142"/>
      <c r="Q166" s="193"/>
      <c r="R166" s="28"/>
      <c r="S166" s="138"/>
      <c r="T166" s="142"/>
      <c r="U166" s="142"/>
      <c r="V166" s="142"/>
    </row>
    <row r="167">
      <c r="A167" s="320"/>
      <c r="B167" s="142"/>
      <c r="C167" s="320"/>
      <c r="D167" s="124"/>
      <c r="E167" s="320"/>
      <c r="F167" s="142"/>
      <c r="G167" s="320"/>
      <c r="H167" s="142"/>
      <c r="I167" s="329"/>
      <c r="J167" s="124"/>
      <c r="K167" s="329"/>
      <c r="L167" s="124"/>
      <c r="M167" s="329"/>
      <c r="N167" s="124"/>
      <c r="O167" s="320"/>
      <c r="P167" s="142"/>
      <c r="Q167" s="193"/>
      <c r="R167" s="28"/>
      <c r="S167" s="138"/>
      <c r="T167" s="142"/>
      <c r="U167" s="142"/>
      <c r="V167" s="142"/>
    </row>
    <row r="168">
      <c r="A168" s="320"/>
      <c r="B168" s="142"/>
      <c r="C168" s="320"/>
      <c r="D168" s="124"/>
      <c r="E168" s="320"/>
      <c r="F168" s="142"/>
      <c r="G168" s="320"/>
      <c r="H168" s="142"/>
      <c r="I168" s="329"/>
      <c r="J168" s="124"/>
      <c r="K168" s="329"/>
      <c r="L168" s="124"/>
      <c r="M168" s="329"/>
      <c r="N168" s="124"/>
      <c r="O168" s="320"/>
      <c r="P168" s="142"/>
      <c r="Q168" s="193"/>
      <c r="R168" s="28"/>
      <c r="S168" s="138"/>
      <c r="T168" s="142"/>
      <c r="U168" s="142"/>
      <c r="V168" s="142"/>
    </row>
    <row r="169">
      <c r="A169" s="320"/>
      <c r="B169" s="142"/>
      <c r="C169" s="320"/>
      <c r="D169" s="124"/>
      <c r="E169" s="320"/>
      <c r="F169" s="142"/>
      <c r="G169" s="320"/>
      <c r="H169" s="142"/>
      <c r="I169" s="329"/>
      <c r="J169" s="124"/>
      <c r="K169" s="329"/>
      <c r="L169" s="124"/>
      <c r="M169" s="329"/>
      <c r="N169" s="124"/>
      <c r="O169" s="320"/>
      <c r="P169" s="142"/>
      <c r="Q169" s="193"/>
      <c r="R169" s="28"/>
      <c r="S169" s="138"/>
      <c r="T169" s="142"/>
      <c r="U169" s="142"/>
      <c r="V169" s="142"/>
    </row>
    <row r="170">
      <c r="A170" s="320"/>
      <c r="B170" s="142"/>
      <c r="C170" s="320"/>
      <c r="D170" s="124"/>
      <c r="E170" s="320"/>
      <c r="F170" s="142"/>
      <c r="G170" s="320"/>
      <c r="H170" s="142"/>
      <c r="I170" s="329"/>
      <c r="J170" s="124"/>
      <c r="K170" s="329"/>
      <c r="L170" s="124"/>
      <c r="M170" s="329"/>
      <c r="N170" s="124"/>
      <c r="O170" s="320"/>
      <c r="P170" s="142"/>
      <c r="Q170" s="193"/>
      <c r="R170" s="28"/>
      <c r="S170" s="138"/>
      <c r="T170" s="142"/>
      <c r="U170" s="142"/>
      <c r="V170" s="142"/>
    </row>
    <row r="171">
      <c r="A171" s="320"/>
      <c r="B171" s="142"/>
      <c r="C171" s="320"/>
      <c r="D171" s="124"/>
      <c r="E171" s="320"/>
      <c r="F171" s="142"/>
      <c r="G171" s="320"/>
      <c r="H171" s="142"/>
      <c r="I171" s="329"/>
      <c r="J171" s="124"/>
      <c r="K171" s="329"/>
      <c r="L171" s="124"/>
      <c r="M171" s="329"/>
      <c r="N171" s="124"/>
      <c r="O171" s="320"/>
      <c r="P171" s="142"/>
      <c r="Q171" s="193"/>
      <c r="R171" s="28"/>
      <c r="S171" s="138"/>
      <c r="T171" s="142"/>
      <c r="U171" s="142"/>
      <c r="V171" s="142"/>
    </row>
    <row r="172">
      <c r="A172" s="320"/>
      <c r="B172" s="142"/>
      <c r="C172" s="320"/>
      <c r="D172" s="124"/>
      <c r="E172" s="320"/>
      <c r="F172" s="142"/>
      <c r="G172" s="320"/>
      <c r="H172" s="142"/>
      <c r="I172" s="329"/>
      <c r="J172" s="124"/>
      <c r="K172" s="329"/>
      <c r="L172" s="124"/>
      <c r="M172" s="329"/>
      <c r="N172" s="124"/>
      <c r="O172" s="320"/>
      <c r="P172" s="142"/>
      <c r="Q172" s="193"/>
      <c r="R172" s="28"/>
      <c r="S172" s="138"/>
      <c r="T172" s="142"/>
      <c r="U172" s="142"/>
      <c r="V172" s="142"/>
    </row>
    <row r="173">
      <c r="A173" s="320"/>
      <c r="B173" s="142"/>
      <c r="C173" s="320"/>
      <c r="D173" s="124"/>
      <c r="E173" s="320"/>
      <c r="F173" s="142"/>
      <c r="G173" s="320"/>
      <c r="H173" s="142"/>
      <c r="I173" s="329"/>
      <c r="J173" s="124"/>
      <c r="K173" s="329"/>
      <c r="L173" s="124"/>
      <c r="M173" s="329"/>
      <c r="N173" s="124"/>
      <c r="O173" s="320"/>
      <c r="P173" s="142"/>
      <c r="Q173" s="193"/>
      <c r="R173" s="28"/>
      <c r="S173" s="138"/>
      <c r="T173" s="142"/>
      <c r="U173" s="142"/>
      <c r="V173" s="142"/>
    </row>
    <row r="174">
      <c r="A174" s="320"/>
      <c r="B174" s="142"/>
      <c r="C174" s="320"/>
      <c r="D174" s="124"/>
      <c r="E174" s="320"/>
      <c r="F174" s="142"/>
      <c r="G174" s="320"/>
      <c r="H174" s="142"/>
      <c r="I174" s="329"/>
      <c r="J174" s="124"/>
      <c r="K174" s="329"/>
      <c r="L174" s="124"/>
      <c r="M174" s="329"/>
      <c r="N174" s="124"/>
      <c r="O174" s="320"/>
      <c r="P174" s="142"/>
      <c r="Q174" s="193"/>
      <c r="R174" s="28"/>
      <c r="S174" s="138"/>
      <c r="T174" s="142"/>
      <c r="U174" s="142"/>
      <c r="V174" s="142"/>
    </row>
    <row r="175">
      <c r="A175" s="320"/>
      <c r="B175" s="142"/>
      <c r="C175" s="320"/>
      <c r="D175" s="124"/>
      <c r="E175" s="320"/>
      <c r="F175" s="142"/>
      <c r="G175" s="320"/>
      <c r="H175" s="142"/>
      <c r="I175" s="329"/>
      <c r="J175" s="124"/>
      <c r="K175" s="329"/>
      <c r="L175" s="124"/>
      <c r="M175" s="329"/>
      <c r="N175" s="124"/>
      <c r="O175" s="320"/>
      <c r="P175" s="142"/>
      <c r="Q175" s="193"/>
      <c r="R175" s="28"/>
      <c r="S175" s="138"/>
      <c r="T175" s="142"/>
      <c r="U175" s="142"/>
      <c r="V175" s="142"/>
    </row>
    <row r="176">
      <c r="A176" s="320"/>
      <c r="B176" s="142"/>
      <c r="C176" s="320"/>
      <c r="D176" s="124"/>
      <c r="E176" s="320"/>
      <c r="F176" s="142"/>
      <c r="G176" s="320"/>
      <c r="H176" s="142"/>
      <c r="I176" s="329"/>
      <c r="J176" s="124"/>
      <c r="K176" s="329"/>
      <c r="L176" s="124"/>
      <c r="M176" s="329"/>
      <c r="N176" s="124"/>
      <c r="O176" s="320"/>
      <c r="P176" s="142"/>
      <c r="Q176" s="193"/>
      <c r="R176" s="28"/>
      <c r="S176" s="138"/>
      <c r="T176" s="142"/>
      <c r="U176" s="142"/>
      <c r="V176" s="142"/>
    </row>
    <row r="177">
      <c r="A177" s="320"/>
      <c r="B177" s="142"/>
      <c r="C177" s="320"/>
      <c r="D177" s="124"/>
      <c r="E177" s="320"/>
      <c r="F177" s="142"/>
      <c r="G177" s="320"/>
      <c r="H177" s="142"/>
      <c r="I177" s="329"/>
      <c r="J177" s="124"/>
      <c r="K177" s="329"/>
      <c r="L177" s="124"/>
      <c r="M177" s="329"/>
      <c r="N177" s="124"/>
      <c r="O177" s="320"/>
      <c r="P177" s="142"/>
      <c r="Q177" s="193"/>
      <c r="R177" s="28"/>
      <c r="S177" s="138"/>
      <c r="T177" s="142"/>
      <c r="U177" s="142"/>
      <c r="V177" s="142"/>
    </row>
    <row r="178">
      <c r="A178" s="320"/>
      <c r="B178" s="142"/>
      <c r="C178" s="320"/>
      <c r="D178" s="124"/>
      <c r="E178" s="320"/>
      <c r="F178" s="142"/>
      <c r="G178" s="320"/>
      <c r="H178" s="142"/>
      <c r="I178" s="329"/>
      <c r="J178" s="124"/>
      <c r="K178" s="329"/>
      <c r="L178" s="124"/>
      <c r="M178" s="329"/>
      <c r="N178" s="124"/>
      <c r="O178" s="320"/>
      <c r="P178" s="142"/>
      <c r="Q178" s="193"/>
      <c r="R178" s="28"/>
      <c r="S178" s="138"/>
      <c r="T178" s="142"/>
      <c r="U178" s="142"/>
      <c r="V178" s="142"/>
    </row>
    <row r="179">
      <c r="A179" s="320"/>
      <c r="B179" s="142"/>
      <c r="C179" s="320"/>
      <c r="D179" s="124"/>
      <c r="E179" s="320"/>
      <c r="F179" s="142"/>
      <c r="G179" s="320"/>
      <c r="H179" s="142"/>
      <c r="I179" s="329"/>
      <c r="J179" s="124"/>
      <c r="K179" s="329"/>
      <c r="L179" s="124"/>
      <c r="M179" s="329"/>
      <c r="N179" s="124"/>
      <c r="O179" s="320"/>
      <c r="P179" s="142"/>
      <c r="Q179" s="193"/>
      <c r="R179" s="28"/>
      <c r="S179" s="138"/>
      <c r="T179" s="142"/>
      <c r="U179" s="142"/>
      <c r="V179" s="142"/>
    </row>
    <row r="180">
      <c r="A180" s="320"/>
      <c r="B180" s="142"/>
      <c r="C180" s="320"/>
      <c r="D180" s="124"/>
      <c r="E180" s="320"/>
      <c r="F180" s="142"/>
      <c r="G180" s="320"/>
      <c r="H180" s="142"/>
      <c r="I180" s="329"/>
      <c r="J180" s="124"/>
      <c r="K180" s="329"/>
      <c r="L180" s="124"/>
      <c r="M180" s="329"/>
      <c r="N180" s="124"/>
      <c r="O180" s="320"/>
      <c r="P180" s="142"/>
      <c r="Q180" s="193"/>
      <c r="R180" s="28"/>
      <c r="S180" s="138"/>
      <c r="T180" s="142"/>
      <c r="U180" s="142"/>
      <c r="V180" s="142"/>
    </row>
    <row r="181">
      <c r="A181" s="320"/>
      <c r="B181" s="142"/>
      <c r="C181" s="320"/>
      <c r="D181" s="124"/>
      <c r="E181" s="320"/>
      <c r="F181" s="142"/>
      <c r="G181" s="320"/>
      <c r="H181" s="142"/>
      <c r="I181" s="329"/>
      <c r="J181" s="124"/>
      <c r="K181" s="329"/>
      <c r="L181" s="124"/>
      <c r="M181" s="329"/>
      <c r="N181" s="124"/>
      <c r="O181" s="320"/>
      <c r="P181" s="142"/>
      <c r="Q181" s="193"/>
      <c r="R181" s="28"/>
      <c r="S181" s="138"/>
      <c r="T181" s="142"/>
      <c r="U181" s="142"/>
      <c r="V181" s="142"/>
    </row>
    <row r="182">
      <c r="A182" s="320"/>
      <c r="B182" s="142"/>
      <c r="C182" s="320"/>
      <c r="D182" s="124"/>
      <c r="E182" s="320"/>
      <c r="F182" s="142"/>
      <c r="G182" s="320"/>
      <c r="H182" s="142"/>
      <c r="I182" s="329"/>
      <c r="J182" s="124"/>
      <c r="K182" s="329"/>
      <c r="L182" s="124"/>
      <c r="M182" s="329"/>
      <c r="N182" s="124"/>
      <c r="O182" s="320"/>
      <c r="P182" s="142"/>
      <c r="Q182" s="193"/>
      <c r="R182" s="28"/>
      <c r="S182" s="138"/>
      <c r="T182" s="142"/>
      <c r="U182" s="142"/>
      <c r="V182" s="142"/>
    </row>
    <row r="183">
      <c r="A183" s="320"/>
      <c r="B183" s="142"/>
      <c r="C183" s="320"/>
      <c r="D183" s="124"/>
      <c r="E183" s="320"/>
      <c r="F183" s="142"/>
      <c r="G183" s="320"/>
      <c r="H183" s="142"/>
      <c r="I183" s="329"/>
      <c r="J183" s="124"/>
      <c r="K183" s="329"/>
      <c r="L183" s="124"/>
      <c r="M183" s="329"/>
      <c r="N183" s="124"/>
      <c r="O183" s="320"/>
      <c r="P183" s="142"/>
      <c r="Q183" s="193"/>
      <c r="R183" s="28"/>
      <c r="S183" s="138"/>
      <c r="T183" s="142"/>
      <c r="U183" s="142"/>
      <c r="V183" s="142"/>
    </row>
    <row r="184">
      <c r="A184" s="320"/>
      <c r="B184" s="142"/>
      <c r="C184" s="320"/>
      <c r="D184" s="124"/>
      <c r="E184" s="320"/>
      <c r="F184" s="142"/>
      <c r="G184" s="320"/>
      <c r="H184" s="142"/>
      <c r="I184" s="329"/>
      <c r="J184" s="124"/>
      <c r="K184" s="329"/>
      <c r="L184" s="124"/>
      <c r="M184" s="329"/>
      <c r="N184" s="124"/>
      <c r="O184" s="320"/>
      <c r="P184" s="142"/>
      <c r="Q184" s="193"/>
      <c r="R184" s="28"/>
      <c r="S184" s="138"/>
      <c r="T184" s="142"/>
      <c r="U184" s="142"/>
      <c r="V184" s="142"/>
    </row>
    <row r="185">
      <c r="A185" s="320"/>
      <c r="B185" s="142"/>
      <c r="C185" s="320"/>
      <c r="D185" s="124"/>
      <c r="E185" s="320"/>
      <c r="F185" s="142"/>
      <c r="G185" s="320"/>
      <c r="H185" s="142"/>
      <c r="I185" s="329"/>
      <c r="J185" s="124"/>
      <c r="K185" s="329"/>
      <c r="L185" s="124"/>
      <c r="M185" s="329"/>
      <c r="N185" s="124"/>
      <c r="O185" s="320"/>
      <c r="P185" s="142"/>
      <c r="Q185" s="193"/>
      <c r="R185" s="28"/>
      <c r="S185" s="138"/>
      <c r="T185" s="142"/>
      <c r="U185" s="142"/>
      <c r="V185" s="142"/>
    </row>
    <row r="186">
      <c r="A186" s="320"/>
      <c r="B186" s="142"/>
      <c r="C186" s="320"/>
      <c r="D186" s="124"/>
      <c r="E186" s="320"/>
      <c r="F186" s="142"/>
      <c r="G186" s="320"/>
      <c r="H186" s="142"/>
      <c r="I186" s="329"/>
      <c r="J186" s="124"/>
      <c r="K186" s="329"/>
      <c r="L186" s="124"/>
      <c r="M186" s="329"/>
      <c r="N186" s="124"/>
      <c r="O186" s="320"/>
      <c r="P186" s="142"/>
      <c r="Q186" s="193"/>
      <c r="R186" s="28"/>
      <c r="S186" s="138"/>
      <c r="T186" s="142"/>
      <c r="U186" s="142"/>
      <c r="V186" s="142"/>
    </row>
    <row r="187">
      <c r="A187" s="320"/>
      <c r="B187" s="142"/>
      <c r="C187" s="320"/>
      <c r="D187" s="124"/>
      <c r="E187" s="320"/>
      <c r="F187" s="142"/>
      <c r="G187" s="320"/>
      <c r="H187" s="142"/>
      <c r="I187" s="329"/>
      <c r="J187" s="124"/>
      <c r="K187" s="329"/>
      <c r="L187" s="124"/>
      <c r="M187" s="329"/>
      <c r="N187" s="124"/>
      <c r="O187" s="320"/>
      <c r="P187" s="142"/>
      <c r="Q187" s="193"/>
      <c r="R187" s="28"/>
      <c r="S187" s="138"/>
      <c r="T187" s="142"/>
      <c r="U187" s="142"/>
      <c r="V187" s="142"/>
    </row>
    <row r="188">
      <c r="A188" s="320"/>
      <c r="B188" s="142"/>
      <c r="C188" s="320"/>
      <c r="D188" s="124"/>
      <c r="E188" s="320"/>
      <c r="F188" s="142"/>
      <c r="G188" s="320"/>
      <c r="H188" s="142"/>
      <c r="I188" s="329"/>
      <c r="J188" s="124"/>
      <c r="K188" s="329"/>
      <c r="L188" s="124"/>
      <c r="M188" s="329"/>
      <c r="N188" s="124"/>
      <c r="O188" s="320"/>
      <c r="P188" s="142"/>
      <c r="Q188" s="193"/>
      <c r="R188" s="28"/>
      <c r="S188" s="138"/>
      <c r="T188" s="142"/>
      <c r="U188" s="142"/>
      <c r="V188" s="142"/>
    </row>
    <row r="189">
      <c r="A189" s="320"/>
      <c r="B189" s="142"/>
      <c r="C189" s="320"/>
      <c r="D189" s="124"/>
      <c r="E189" s="320"/>
      <c r="F189" s="142"/>
      <c r="G189" s="320"/>
      <c r="H189" s="142"/>
      <c r="I189" s="329"/>
      <c r="J189" s="124"/>
      <c r="K189" s="329"/>
      <c r="L189" s="124"/>
      <c r="M189" s="329"/>
      <c r="N189" s="124"/>
      <c r="O189" s="320"/>
      <c r="P189" s="142"/>
      <c r="Q189" s="193"/>
      <c r="R189" s="28"/>
      <c r="S189" s="138"/>
      <c r="T189" s="142"/>
      <c r="U189" s="142"/>
      <c r="V189" s="142"/>
    </row>
    <row r="190">
      <c r="A190" s="320"/>
      <c r="B190" s="142"/>
      <c r="C190" s="320"/>
      <c r="D190" s="124"/>
      <c r="E190" s="320"/>
      <c r="F190" s="142"/>
      <c r="G190" s="320"/>
      <c r="H190" s="142"/>
      <c r="I190" s="329"/>
      <c r="J190" s="124"/>
      <c r="K190" s="329"/>
      <c r="L190" s="124"/>
      <c r="M190" s="329"/>
      <c r="N190" s="124"/>
      <c r="O190" s="320"/>
      <c r="P190" s="142"/>
      <c r="Q190" s="193"/>
      <c r="R190" s="28"/>
      <c r="S190" s="138"/>
      <c r="T190" s="142"/>
      <c r="U190" s="142"/>
      <c r="V190" s="142"/>
    </row>
    <row r="191">
      <c r="A191" s="320"/>
      <c r="B191" s="142"/>
      <c r="C191" s="320"/>
      <c r="D191" s="124"/>
      <c r="E191" s="320"/>
      <c r="F191" s="142"/>
      <c r="G191" s="320"/>
      <c r="H191" s="142"/>
      <c r="I191" s="329"/>
      <c r="J191" s="124"/>
      <c r="K191" s="329"/>
      <c r="L191" s="124"/>
      <c r="M191" s="329"/>
      <c r="N191" s="124"/>
      <c r="O191" s="320"/>
      <c r="P191" s="142"/>
      <c r="Q191" s="193"/>
      <c r="R191" s="28"/>
      <c r="S191" s="138"/>
      <c r="T191" s="142"/>
      <c r="U191" s="142"/>
      <c r="V191" s="142"/>
    </row>
    <row r="192">
      <c r="A192" s="320"/>
      <c r="B192" s="142"/>
      <c r="C192" s="320"/>
      <c r="D192" s="124"/>
      <c r="E192" s="320"/>
      <c r="F192" s="142"/>
      <c r="G192" s="320"/>
      <c r="H192" s="142"/>
      <c r="I192" s="329"/>
      <c r="J192" s="124"/>
      <c r="K192" s="329"/>
      <c r="L192" s="124"/>
      <c r="M192" s="329"/>
      <c r="N192" s="124"/>
      <c r="O192" s="320"/>
      <c r="P192" s="142"/>
      <c r="Q192" s="193"/>
      <c r="R192" s="28"/>
      <c r="S192" s="138"/>
      <c r="T192" s="142"/>
      <c r="U192" s="142"/>
      <c r="V192" s="142"/>
    </row>
    <row r="193">
      <c r="A193" s="320"/>
      <c r="B193" s="142"/>
      <c r="C193" s="320"/>
      <c r="D193" s="124"/>
      <c r="E193" s="320"/>
      <c r="F193" s="142"/>
      <c r="G193" s="320"/>
      <c r="H193" s="142"/>
      <c r="I193" s="329"/>
      <c r="J193" s="124"/>
      <c r="K193" s="329"/>
      <c r="L193" s="124"/>
      <c r="M193" s="329"/>
      <c r="N193" s="124"/>
      <c r="O193" s="320"/>
      <c r="P193" s="142"/>
      <c r="Q193" s="193"/>
      <c r="R193" s="28"/>
      <c r="S193" s="138"/>
      <c r="T193" s="142"/>
      <c r="U193" s="142"/>
      <c r="V193" s="142"/>
    </row>
    <row r="194">
      <c r="A194" s="320"/>
      <c r="B194" s="142"/>
      <c r="C194" s="320"/>
      <c r="D194" s="124"/>
      <c r="E194" s="320"/>
      <c r="F194" s="142"/>
      <c r="G194" s="320"/>
      <c r="H194" s="142"/>
      <c r="I194" s="329"/>
      <c r="J194" s="124"/>
      <c r="K194" s="329"/>
      <c r="L194" s="124"/>
      <c r="M194" s="329"/>
      <c r="N194" s="124"/>
      <c r="O194" s="320"/>
      <c r="P194" s="142"/>
      <c r="Q194" s="193"/>
      <c r="R194" s="28"/>
      <c r="S194" s="138"/>
      <c r="T194" s="142"/>
      <c r="U194" s="142"/>
      <c r="V194" s="142"/>
    </row>
    <row r="195">
      <c r="A195" s="320"/>
      <c r="B195" s="142"/>
      <c r="C195" s="320"/>
      <c r="D195" s="124"/>
      <c r="E195" s="320"/>
      <c r="F195" s="142"/>
      <c r="G195" s="320"/>
      <c r="H195" s="142"/>
      <c r="I195" s="329"/>
      <c r="J195" s="124"/>
      <c r="K195" s="329"/>
      <c r="L195" s="124"/>
      <c r="M195" s="329"/>
      <c r="N195" s="124"/>
      <c r="O195" s="320"/>
      <c r="P195" s="142"/>
      <c r="Q195" s="193"/>
      <c r="R195" s="28"/>
      <c r="S195" s="138"/>
      <c r="T195" s="142"/>
      <c r="U195" s="142"/>
      <c r="V195" s="142"/>
    </row>
    <row r="196">
      <c r="A196" s="320"/>
      <c r="B196" s="142"/>
      <c r="C196" s="320"/>
      <c r="D196" s="124"/>
      <c r="E196" s="320"/>
      <c r="F196" s="142"/>
      <c r="G196" s="320"/>
      <c r="H196" s="142"/>
      <c r="I196" s="329"/>
      <c r="J196" s="124"/>
      <c r="K196" s="329"/>
      <c r="L196" s="124"/>
      <c r="M196" s="329"/>
      <c r="N196" s="124"/>
      <c r="O196" s="320"/>
      <c r="P196" s="142"/>
      <c r="Q196" s="193"/>
      <c r="R196" s="28"/>
      <c r="S196" s="138"/>
      <c r="T196" s="142"/>
      <c r="U196" s="142"/>
      <c r="V196" s="142"/>
    </row>
    <row r="197">
      <c r="A197" s="320"/>
      <c r="B197" s="142"/>
      <c r="C197" s="320"/>
      <c r="D197" s="124"/>
      <c r="E197" s="320"/>
      <c r="F197" s="142"/>
      <c r="G197" s="320"/>
      <c r="H197" s="142"/>
      <c r="I197" s="329"/>
      <c r="J197" s="124"/>
      <c r="K197" s="329"/>
      <c r="L197" s="124"/>
      <c r="M197" s="329"/>
      <c r="N197" s="124"/>
      <c r="O197" s="320"/>
      <c r="P197" s="142"/>
      <c r="Q197" s="193"/>
      <c r="R197" s="28"/>
      <c r="S197" s="138"/>
      <c r="T197" s="142"/>
      <c r="U197" s="142"/>
      <c r="V197" s="142"/>
    </row>
    <row r="198">
      <c r="A198" s="320"/>
      <c r="B198" s="142"/>
      <c r="C198" s="320"/>
      <c r="D198" s="124"/>
      <c r="E198" s="320"/>
      <c r="F198" s="142"/>
      <c r="G198" s="320"/>
      <c r="H198" s="142"/>
      <c r="I198" s="329"/>
      <c r="J198" s="124"/>
      <c r="K198" s="329"/>
      <c r="L198" s="124"/>
      <c r="M198" s="329"/>
      <c r="N198" s="124"/>
      <c r="O198" s="320"/>
      <c r="P198" s="142"/>
      <c r="Q198" s="193"/>
      <c r="R198" s="28"/>
      <c r="S198" s="138"/>
      <c r="T198" s="142"/>
      <c r="U198" s="142"/>
      <c r="V198" s="142"/>
    </row>
    <row r="199">
      <c r="A199" s="320"/>
      <c r="B199" s="142"/>
      <c r="C199" s="320"/>
      <c r="D199" s="124"/>
      <c r="E199" s="320"/>
      <c r="F199" s="142"/>
      <c r="G199" s="320"/>
      <c r="H199" s="142"/>
      <c r="I199" s="329"/>
      <c r="J199" s="124"/>
      <c r="K199" s="329"/>
      <c r="L199" s="124"/>
      <c r="M199" s="329"/>
      <c r="N199" s="124"/>
      <c r="O199" s="320"/>
      <c r="P199" s="142"/>
      <c r="Q199" s="193"/>
      <c r="R199" s="28"/>
      <c r="S199" s="138"/>
      <c r="T199" s="142"/>
      <c r="U199" s="142"/>
      <c r="V199" s="142"/>
    </row>
    <row r="200">
      <c r="A200" s="320"/>
      <c r="B200" s="142"/>
      <c r="C200" s="320"/>
      <c r="D200" s="124"/>
      <c r="E200" s="320"/>
      <c r="F200" s="142"/>
      <c r="G200" s="320"/>
      <c r="H200" s="142"/>
      <c r="I200" s="329"/>
      <c r="J200" s="124"/>
      <c r="K200" s="329"/>
      <c r="L200" s="124"/>
      <c r="M200" s="329"/>
      <c r="N200" s="124"/>
      <c r="O200" s="320"/>
      <c r="P200" s="142"/>
      <c r="Q200" s="193"/>
      <c r="R200" s="28"/>
      <c r="S200" s="138"/>
      <c r="T200" s="142"/>
      <c r="U200" s="142"/>
      <c r="V200" s="142"/>
    </row>
    <row r="201">
      <c r="A201" s="320"/>
      <c r="B201" s="142"/>
      <c r="C201" s="320"/>
      <c r="D201" s="124"/>
      <c r="E201" s="320"/>
      <c r="F201" s="142"/>
      <c r="G201" s="320"/>
      <c r="H201" s="142"/>
      <c r="I201" s="329"/>
      <c r="J201" s="124"/>
      <c r="K201" s="329"/>
      <c r="L201" s="124"/>
      <c r="M201" s="329"/>
      <c r="N201" s="124"/>
      <c r="O201" s="320"/>
      <c r="P201" s="142"/>
      <c r="Q201" s="193"/>
      <c r="R201" s="28"/>
      <c r="S201" s="138"/>
      <c r="T201" s="142"/>
      <c r="U201" s="142"/>
      <c r="V201" s="142"/>
    </row>
    <row r="202">
      <c r="A202" s="320"/>
      <c r="B202" s="142"/>
      <c r="C202" s="320"/>
      <c r="D202" s="124"/>
      <c r="E202" s="320"/>
      <c r="F202" s="142"/>
      <c r="G202" s="320"/>
      <c r="H202" s="142"/>
      <c r="I202" s="329"/>
      <c r="J202" s="124"/>
      <c r="K202" s="329"/>
      <c r="L202" s="124"/>
      <c r="M202" s="329"/>
      <c r="N202" s="124"/>
      <c r="O202" s="320"/>
      <c r="P202" s="142"/>
      <c r="Q202" s="193"/>
      <c r="R202" s="28"/>
      <c r="S202" s="138"/>
      <c r="T202" s="142"/>
      <c r="U202" s="142"/>
      <c r="V202" s="142"/>
    </row>
    <row r="203">
      <c r="A203" s="320"/>
      <c r="B203" s="142"/>
      <c r="C203" s="320"/>
      <c r="D203" s="124"/>
      <c r="E203" s="320"/>
      <c r="F203" s="142"/>
      <c r="G203" s="320"/>
      <c r="H203" s="142"/>
      <c r="I203" s="329"/>
      <c r="J203" s="124"/>
      <c r="K203" s="329"/>
      <c r="L203" s="124"/>
      <c r="M203" s="329"/>
      <c r="N203" s="124"/>
      <c r="O203" s="320"/>
      <c r="P203" s="142"/>
      <c r="Q203" s="193"/>
      <c r="R203" s="28"/>
      <c r="S203" s="138"/>
      <c r="T203" s="142"/>
      <c r="U203" s="142"/>
      <c r="V203" s="142"/>
    </row>
    <row r="204">
      <c r="A204" s="320"/>
      <c r="B204" s="142"/>
      <c r="C204" s="320"/>
      <c r="D204" s="124"/>
      <c r="E204" s="320"/>
      <c r="F204" s="142"/>
      <c r="G204" s="320"/>
      <c r="H204" s="142"/>
      <c r="I204" s="329"/>
      <c r="J204" s="124"/>
      <c r="K204" s="329"/>
      <c r="L204" s="124"/>
      <c r="M204" s="329"/>
      <c r="N204" s="124"/>
      <c r="O204" s="320"/>
      <c r="P204" s="142"/>
      <c r="Q204" s="193"/>
      <c r="R204" s="28"/>
      <c r="S204" s="138"/>
      <c r="T204" s="142"/>
      <c r="U204" s="142"/>
      <c r="V204" s="142"/>
    </row>
    <row r="205">
      <c r="A205" s="320"/>
      <c r="B205" s="142"/>
      <c r="C205" s="320"/>
      <c r="D205" s="124"/>
      <c r="E205" s="320"/>
      <c r="F205" s="142"/>
      <c r="G205" s="320"/>
      <c r="H205" s="142"/>
      <c r="I205" s="329"/>
      <c r="J205" s="124"/>
      <c r="K205" s="329"/>
      <c r="L205" s="124"/>
      <c r="M205" s="329"/>
      <c r="N205" s="124"/>
      <c r="O205" s="320"/>
      <c r="P205" s="142"/>
      <c r="Q205" s="193"/>
      <c r="R205" s="28"/>
      <c r="S205" s="138"/>
      <c r="T205" s="142"/>
      <c r="U205" s="142"/>
      <c r="V205" s="142"/>
    </row>
    <row r="206">
      <c r="A206" s="320"/>
      <c r="B206" s="142"/>
      <c r="C206" s="320"/>
      <c r="D206" s="124"/>
      <c r="E206" s="320"/>
      <c r="F206" s="142"/>
      <c r="G206" s="320"/>
      <c r="H206" s="142"/>
      <c r="I206" s="329"/>
      <c r="J206" s="124"/>
      <c r="K206" s="329"/>
      <c r="L206" s="124"/>
      <c r="M206" s="329"/>
      <c r="N206" s="124"/>
      <c r="O206" s="320"/>
      <c r="P206" s="142"/>
      <c r="Q206" s="193"/>
      <c r="R206" s="28"/>
      <c r="S206" s="138"/>
      <c r="T206" s="142"/>
      <c r="U206" s="142"/>
      <c r="V206" s="142"/>
    </row>
    <row r="207">
      <c r="A207" s="320"/>
      <c r="B207" s="142"/>
      <c r="C207" s="320"/>
      <c r="D207" s="124"/>
      <c r="E207" s="320"/>
      <c r="F207" s="142"/>
      <c r="G207" s="320"/>
      <c r="H207" s="142"/>
      <c r="I207" s="329"/>
      <c r="J207" s="124"/>
      <c r="K207" s="329"/>
      <c r="L207" s="124"/>
      <c r="M207" s="329"/>
      <c r="N207" s="124"/>
      <c r="O207" s="320"/>
      <c r="P207" s="142"/>
      <c r="Q207" s="193"/>
      <c r="R207" s="28"/>
      <c r="S207" s="138"/>
      <c r="T207" s="142"/>
      <c r="U207" s="142"/>
      <c r="V207" s="142"/>
    </row>
    <row r="208">
      <c r="A208" s="320"/>
      <c r="B208" s="142"/>
      <c r="C208" s="320"/>
      <c r="D208" s="124"/>
      <c r="E208" s="320"/>
      <c r="F208" s="142"/>
      <c r="G208" s="320"/>
      <c r="H208" s="142"/>
      <c r="I208" s="329"/>
      <c r="J208" s="124"/>
      <c r="K208" s="329"/>
      <c r="L208" s="124"/>
      <c r="M208" s="329"/>
      <c r="N208" s="124"/>
      <c r="O208" s="320"/>
      <c r="P208" s="142"/>
      <c r="Q208" s="193"/>
      <c r="R208" s="28"/>
      <c r="S208" s="138"/>
      <c r="T208" s="142"/>
      <c r="U208" s="142"/>
      <c r="V208" s="142"/>
    </row>
    <row r="209">
      <c r="A209" s="320"/>
      <c r="B209" s="142"/>
      <c r="C209" s="320"/>
      <c r="D209" s="124"/>
      <c r="E209" s="320"/>
      <c r="F209" s="142"/>
      <c r="G209" s="320"/>
      <c r="H209" s="142"/>
      <c r="I209" s="329"/>
      <c r="J209" s="124"/>
      <c r="K209" s="329"/>
      <c r="L209" s="124"/>
      <c r="M209" s="329"/>
      <c r="N209" s="124"/>
      <c r="O209" s="320"/>
      <c r="P209" s="142"/>
      <c r="Q209" s="193"/>
      <c r="R209" s="28"/>
      <c r="S209" s="138"/>
      <c r="T209" s="142"/>
      <c r="U209" s="142"/>
      <c r="V209" s="142"/>
    </row>
    <row r="210">
      <c r="A210" s="320"/>
      <c r="B210" s="142"/>
      <c r="C210" s="320"/>
      <c r="D210" s="124"/>
      <c r="E210" s="320"/>
      <c r="F210" s="142"/>
      <c r="G210" s="320"/>
      <c r="H210" s="142"/>
      <c r="I210" s="329"/>
      <c r="J210" s="124"/>
      <c r="K210" s="329"/>
      <c r="L210" s="124"/>
      <c r="M210" s="329"/>
      <c r="N210" s="124"/>
      <c r="O210" s="320"/>
      <c r="P210" s="142"/>
      <c r="Q210" s="193"/>
      <c r="R210" s="28"/>
      <c r="S210" s="138"/>
      <c r="T210" s="142"/>
      <c r="U210" s="142"/>
      <c r="V210" s="142"/>
    </row>
    <row r="211">
      <c r="A211" s="320"/>
      <c r="B211" s="142"/>
      <c r="C211" s="320"/>
      <c r="D211" s="124"/>
      <c r="E211" s="320"/>
      <c r="F211" s="142"/>
      <c r="G211" s="320"/>
      <c r="H211" s="142"/>
      <c r="I211" s="329"/>
      <c r="J211" s="124"/>
      <c r="K211" s="329"/>
      <c r="L211" s="124"/>
      <c r="M211" s="329"/>
      <c r="N211" s="124"/>
      <c r="O211" s="320"/>
      <c r="P211" s="142"/>
      <c r="Q211" s="193"/>
      <c r="R211" s="28"/>
      <c r="S211" s="138"/>
      <c r="T211" s="142"/>
      <c r="U211" s="142"/>
      <c r="V211" s="142"/>
    </row>
    <row r="212">
      <c r="A212" s="320"/>
      <c r="B212" s="142"/>
      <c r="C212" s="320"/>
      <c r="D212" s="124"/>
      <c r="E212" s="320"/>
      <c r="F212" s="142"/>
      <c r="G212" s="320"/>
      <c r="H212" s="142"/>
      <c r="I212" s="329"/>
      <c r="J212" s="124"/>
      <c r="K212" s="329"/>
      <c r="L212" s="124"/>
      <c r="M212" s="329"/>
      <c r="N212" s="124"/>
      <c r="O212" s="320"/>
      <c r="P212" s="142"/>
      <c r="Q212" s="193"/>
      <c r="R212" s="28"/>
      <c r="S212" s="138"/>
      <c r="T212" s="142"/>
      <c r="U212" s="142"/>
      <c r="V212" s="142"/>
    </row>
    <row r="213">
      <c r="A213" s="320"/>
      <c r="B213" s="142"/>
      <c r="C213" s="320"/>
      <c r="D213" s="124"/>
      <c r="E213" s="320"/>
      <c r="F213" s="142"/>
      <c r="G213" s="320"/>
      <c r="H213" s="142"/>
      <c r="I213" s="329"/>
      <c r="J213" s="124"/>
      <c r="K213" s="329"/>
      <c r="L213" s="124"/>
      <c r="M213" s="329"/>
      <c r="N213" s="124"/>
      <c r="O213" s="320"/>
      <c r="P213" s="142"/>
      <c r="Q213" s="193"/>
      <c r="R213" s="28"/>
      <c r="S213" s="138"/>
      <c r="T213" s="142"/>
      <c r="U213" s="142"/>
      <c r="V213" s="142"/>
    </row>
    <row r="214">
      <c r="A214" s="320"/>
      <c r="B214" s="142"/>
      <c r="C214" s="320"/>
      <c r="D214" s="124"/>
      <c r="E214" s="320"/>
      <c r="F214" s="142"/>
      <c r="G214" s="320"/>
      <c r="H214" s="142"/>
      <c r="I214" s="329"/>
      <c r="J214" s="124"/>
      <c r="K214" s="329"/>
      <c r="L214" s="124"/>
      <c r="M214" s="329"/>
      <c r="N214" s="124"/>
      <c r="O214" s="320"/>
      <c r="P214" s="142"/>
      <c r="Q214" s="193"/>
      <c r="R214" s="28"/>
      <c r="S214" s="138"/>
      <c r="T214" s="142"/>
      <c r="U214" s="142"/>
      <c r="V214" s="142"/>
    </row>
    <row r="215">
      <c r="A215" s="320"/>
      <c r="B215" s="142"/>
      <c r="C215" s="320"/>
      <c r="D215" s="124"/>
      <c r="E215" s="320"/>
      <c r="F215" s="142"/>
      <c r="G215" s="320"/>
      <c r="H215" s="142"/>
      <c r="I215" s="329"/>
      <c r="J215" s="124"/>
      <c r="K215" s="329"/>
      <c r="L215" s="124"/>
      <c r="M215" s="329"/>
      <c r="N215" s="124"/>
      <c r="O215" s="320"/>
      <c r="P215" s="142"/>
      <c r="Q215" s="193"/>
      <c r="R215" s="28"/>
      <c r="S215" s="138"/>
      <c r="T215" s="142"/>
      <c r="U215" s="142"/>
      <c r="V215" s="142"/>
    </row>
    <row r="216">
      <c r="A216" s="320"/>
      <c r="B216" s="142"/>
      <c r="C216" s="320"/>
      <c r="D216" s="124"/>
      <c r="E216" s="320"/>
      <c r="F216" s="142"/>
      <c r="G216" s="320"/>
      <c r="H216" s="142"/>
      <c r="I216" s="329"/>
      <c r="J216" s="124"/>
      <c r="K216" s="329"/>
      <c r="L216" s="124"/>
      <c r="M216" s="329"/>
      <c r="N216" s="124"/>
      <c r="O216" s="320"/>
      <c r="P216" s="142"/>
      <c r="Q216" s="193"/>
      <c r="R216" s="28"/>
      <c r="S216" s="138"/>
      <c r="T216" s="142"/>
      <c r="U216" s="142"/>
      <c r="V216" s="142"/>
    </row>
    <row r="217">
      <c r="A217" s="320"/>
      <c r="B217" s="142"/>
      <c r="C217" s="320"/>
      <c r="D217" s="124"/>
      <c r="E217" s="320"/>
      <c r="F217" s="142"/>
      <c r="G217" s="320"/>
      <c r="H217" s="142"/>
      <c r="I217" s="329"/>
      <c r="J217" s="124"/>
      <c r="K217" s="329"/>
      <c r="L217" s="124"/>
      <c r="M217" s="329"/>
      <c r="N217" s="124"/>
      <c r="O217" s="320"/>
      <c r="P217" s="142"/>
      <c r="Q217" s="193"/>
      <c r="R217" s="28"/>
      <c r="S217" s="138"/>
      <c r="T217" s="142"/>
      <c r="U217" s="142"/>
      <c r="V217" s="142"/>
    </row>
    <row r="218">
      <c r="A218" s="320"/>
      <c r="B218" s="142"/>
      <c r="C218" s="320"/>
      <c r="D218" s="124"/>
      <c r="E218" s="320"/>
      <c r="F218" s="142"/>
      <c r="G218" s="320"/>
      <c r="H218" s="142"/>
      <c r="I218" s="329"/>
      <c r="J218" s="124"/>
      <c r="K218" s="329"/>
      <c r="L218" s="124"/>
      <c r="M218" s="329"/>
      <c r="N218" s="124"/>
      <c r="O218" s="320"/>
      <c r="P218" s="142"/>
      <c r="Q218" s="193"/>
      <c r="R218" s="28"/>
      <c r="S218" s="138"/>
      <c r="T218" s="142"/>
      <c r="U218" s="142"/>
      <c r="V218" s="142"/>
    </row>
    <row r="219">
      <c r="A219" s="320"/>
      <c r="B219" s="142"/>
      <c r="C219" s="320"/>
      <c r="D219" s="124"/>
      <c r="E219" s="320"/>
      <c r="F219" s="142"/>
      <c r="G219" s="320"/>
      <c r="H219" s="142"/>
      <c r="I219" s="329"/>
      <c r="J219" s="124"/>
      <c r="K219" s="329"/>
      <c r="L219" s="124"/>
      <c r="M219" s="329"/>
      <c r="N219" s="124"/>
      <c r="O219" s="320"/>
      <c r="P219" s="142"/>
      <c r="Q219" s="193"/>
      <c r="R219" s="28"/>
      <c r="S219" s="138"/>
      <c r="T219" s="142"/>
      <c r="U219" s="142"/>
      <c r="V219" s="142"/>
    </row>
    <row r="220">
      <c r="A220" s="320"/>
      <c r="B220" s="142"/>
      <c r="C220" s="320"/>
      <c r="D220" s="124"/>
      <c r="E220" s="320"/>
      <c r="F220" s="142"/>
      <c r="G220" s="320"/>
      <c r="H220" s="142"/>
      <c r="I220" s="329"/>
      <c r="J220" s="124"/>
      <c r="K220" s="329"/>
      <c r="L220" s="124"/>
      <c r="M220" s="329"/>
      <c r="N220" s="124"/>
      <c r="O220" s="320"/>
      <c r="P220" s="142"/>
      <c r="Q220" s="193"/>
      <c r="R220" s="28"/>
      <c r="S220" s="138"/>
      <c r="T220" s="142"/>
      <c r="U220" s="142"/>
      <c r="V220" s="142"/>
    </row>
    <row r="221">
      <c r="A221" s="320"/>
      <c r="B221" s="142"/>
      <c r="C221" s="320"/>
      <c r="D221" s="124"/>
      <c r="E221" s="320"/>
      <c r="F221" s="142"/>
      <c r="G221" s="320"/>
      <c r="H221" s="142"/>
      <c r="I221" s="329"/>
      <c r="J221" s="124"/>
      <c r="K221" s="329"/>
      <c r="L221" s="124"/>
      <c r="M221" s="329"/>
      <c r="N221" s="124"/>
      <c r="O221" s="320"/>
      <c r="P221" s="142"/>
      <c r="Q221" s="193"/>
      <c r="R221" s="28"/>
      <c r="S221" s="138"/>
      <c r="T221" s="142"/>
      <c r="U221" s="142"/>
      <c r="V221" s="142"/>
    </row>
    <row r="222">
      <c r="A222" s="320"/>
      <c r="B222" s="142"/>
      <c r="C222" s="320"/>
      <c r="D222" s="124"/>
      <c r="E222" s="320"/>
      <c r="F222" s="142"/>
      <c r="G222" s="320"/>
      <c r="H222" s="142"/>
      <c r="I222" s="329"/>
      <c r="J222" s="124"/>
      <c r="K222" s="329"/>
      <c r="L222" s="124"/>
      <c r="M222" s="329"/>
      <c r="N222" s="124"/>
      <c r="O222" s="320"/>
      <c r="P222" s="142"/>
      <c r="Q222" s="193"/>
      <c r="R222" s="28"/>
      <c r="S222" s="138"/>
      <c r="T222" s="142"/>
      <c r="U222" s="142"/>
      <c r="V222" s="142"/>
    </row>
    <row r="223">
      <c r="A223" s="320"/>
      <c r="B223" s="142"/>
      <c r="C223" s="320"/>
      <c r="D223" s="124"/>
      <c r="E223" s="320"/>
      <c r="F223" s="142"/>
      <c r="G223" s="320"/>
      <c r="H223" s="142"/>
      <c r="I223" s="329"/>
      <c r="J223" s="124"/>
      <c r="K223" s="329"/>
      <c r="L223" s="124"/>
      <c r="M223" s="329"/>
      <c r="N223" s="124"/>
      <c r="O223" s="320"/>
      <c r="P223" s="142"/>
      <c r="Q223" s="193"/>
      <c r="R223" s="28"/>
      <c r="S223" s="138"/>
      <c r="T223" s="142"/>
      <c r="U223" s="142"/>
      <c r="V223" s="142"/>
    </row>
    <row r="224">
      <c r="A224" s="320"/>
      <c r="B224" s="142"/>
      <c r="C224" s="320"/>
      <c r="D224" s="124"/>
      <c r="E224" s="320"/>
      <c r="F224" s="142"/>
      <c r="G224" s="320"/>
      <c r="H224" s="142"/>
      <c r="I224" s="329"/>
      <c r="J224" s="124"/>
      <c r="K224" s="329"/>
      <c r="L224" s="124"/>
      <c r="M224" s="329"/>
      <c r="N224" s="124"/>
      <c r="O224" s="320"/>
      <c r="P224" s="142"/>
      <c r="Q224" s="193"/>
      <c r="R224" s="28"/>
      <c r="S224" s="138"/>
      <c r="T224" s="142"/>
      <c r="U224" s="142"/>
      <c r="V224" s="142"/>
    </row>
    <row r="225">
      <c r="A225" s="320"/>
      <c r="B225" s="142"/>
      <c r="C225" s="320"/>
      <c r="D225" s="124"/>
      <c r="E225" s="320"/>
      <c r="F225" s="142"/>
      <c r="G225" s="320"/>
      <c r="H225" s="142"/>
      <c r="I225" s="329"/>
      <c r="J225" s="124"/>
      <c r="K225" s="329"/>
      <c r="L225" s="124"/>
      <c r="M225" s="329"/>
      <c r="N225" s="124"/>
      <c r="O225" s="320"/>
      <c r="P225" s="142"/>
      <c r="Q225" s="193"/>
      <c r="R225" s="28"/>
      <c r="S225" s="138"/>
      <c r="T225" s="142"/>
      <c r="U225" s="142"/>
      <c r="V225" s="142"/>
    </row>
    <row r="226">
      <c r="A226" s="320"/>
      <c r="B226" s="142"/>
      <c r="C226" s="320"/>
      <c r="D226" s="124"/>
      <c r="E226" s="320"/>
      <c r="F226" s="142"/>
      <c r="G226" s="320"/>
      <c r="H226" s="142"/>
      <c r="I226" s="329"/>
      <c r="J226" s="124"/>
      <c r="K226" s="329"/>
      <c r="L226" s="124"/>
      <c r="M226" s="329"/>
      <c r="N226" s="124"/>
      <c r="O226" s="320"/>
      <c r="P226" s="142"/>
      <c r="Q226" s="193"/>
      <c r="R226" s="28"/>
      <c r="S226" s="138"/>
      <c r="T226" s="142"/>
      <c r="U226" s="142"/>
      <c r="V226" s="142"/>
    </row>
    <row r="227">
      <c r="A227" s="320"/>
      <c r="B227" s="142"/>
      <c r="C227" s="320"/>
      <c r="D227" s="124"/>
      <c r="E227" s="320"/>
      <c r="F227" s="142"/>
      <c r="G227" s="320"/>
      <c r="H227" s="142"/>
      <c r="I227" s="329"/>
      <c r="J227" s="124"/>
      <c r="K227" s="329"/>
      <c r="L227" s="124"/>
      <c r="M227" s="329"/>
      <c r="N227" s="124"/>
      <c r="O227" s="320"/>
      <c r="P227" s="142"/>
      <c r="Q227" s="193"/>
      <c r="R227" s="28"/>
      <c r="S227" s="138"/>
      <c r="T227" s="142"/>
      <c r="U227" s="142"/>
      <c r="V227" s="142"/>
    </row>
    <row r="228">
      <c r="A228" s="320"/>
      <c r="B228" s="142"/>
      <c r="C228" s="320"/>
      <c r="D228" s="124"/>
      <c r="E228" s="320"/>
      <c r="F228" s="142"/>
      <c r="G228" s="320"/>
      <c r="H228" s="142"/>
      <c r="I228" s="329"/>
      <c r="J228" s="124"/>
      <c r="K228" s="329"/>
      <c r="L228" s="124"/>
      <c r="M228" s="329"/>
      <c r="N228" s="124"/>
      <c r="O228" s="320"/>
      <c r="P228" s="142"/>
      <c r="Q228" s="193"/>
      <c r="R228" s="28"/>
      <c r="S228" s="138"/>
      <c r="T228" s="142"/>
      <c r="U228" s="142"/>
      <c r="V228" s="142"/>
    </row>
    <row r="229">
      <c r="A229" s="320"/>
      <c r="B229" s="142"/>
      <c r="C229" s="320"/>
      <c r="D229" s="124"/>
      <c r="E229" s="320"/>
      <c r="F229" s="142"/>
      <c r="G229" s="320"/>
      <c r="H229" s="142"/>
      <c r="I229" s="329"/>
      <c r="J229" s="124"/>
      <c r="K229" s="329"/>
      <c r="L229" s="124"/>
      <c r="M229" s="329"/>
      <c r="N229" s="124"/>
      <c r="O229" s="320"/>
      <c r="P229" s="142"/>
      <c r="Q229" s="193"/>
      <c r="R229" s="28"/>
      <c r="S229" s="138"/>
      <c r="T229" s="142"/>
      <c r="U229" s="142"/>
      <c r="V229" s="142"/>
    </row>
    <row r="230">
      <c r="A230" s="320"/>
      <c r="B230" s="142"/>
      <c r="C230" s="320"/>
      <c r="D230" s="124"/>
      <c r="E230" s="320"/>
      <c r="F230" s="142"/>
      <c r="G230" s="320"/>
      <c r="H230" s="142"/>
      <c r="I230" s="329"/>
      <c r="J230" s="124"/>
      <c r="K230" s="329"/>
      <c r="L230" s="124"/>
      <c r="M230" s="329"/>
      <c r="N230" s="124"/>
      <c r="O230" s="320"/>
      <c r="P230" s="142"/>
      <c r="Q230" s="193"/>
      <c r="R230" s="28"/>
      <c r="S230" s="138"/>
      <c r="T230" s="142"/>
      <c r="U230" s="142"/>
      <c r="V230" s="142"/>
    </row>
    <row r="231">
      <c r="A231" s="320"/>
      <c r="B231" s="142"/>
      <c r="C231" s="320"/>
      <c r="D231" s="124"/>
      <c r="E231" s="320"/>
      <c r="F231" s="142"/>
      <c r="G231" s="320"/>
      <c r="H231" s="142"/>
      <c r="I231" s="329"/>
      <c r="J231" s="124"/>
      <c r="K231" s="329"/>
      <c r="L231" s="124"/>
      <c r="M231" s="329"/>
      <c r="N231" s="124"/>
      <c r="O231" s="320"/>
      <c r="P231" s="142"/>
      <c r="Q231" s="193"/>
      <c r="R231" s="28"/>
      <c r="S231" s="138"/>
      <c r="T231" s="142"/>
      <c r="U231" s="142"/>
      <c r="V231" s="142"/>
    </row>
    <row r="232">
      <c r="A232" s="320"/>
      <c r="B232" s="142"/>
      <c r="C232" s="320"/>
      <c r="D232" s="124"/>
      <c r="E232" s="320"/>
      <c r="F232" s="142"/>
      <c r="G232" s="320"/>
      <c r="H232" s="142"/>
      <c r="I232" s="329"/>
      <c r="J232" s="124"/>
      <c r="K232" s="329"/>
      <c r="L232" s="124"/>
      <c r="M232" s="329"/>
      <c r="N232" s="124"/>
      <c r="O232" s="320"/>
      <c r="P232" s="142"/>
      <c r="Q232" s="193"/>
      <c r="R232" s="28"/>
      <c r="S232" s="138"/>
      <c r="T232" s="142"/>
      <c r="U232" s="142"/>
      <c r="V232" s="142"/>
    </row>
    <row r="233">
      <c r="A233" s="320"/>
      <c r="B233" s="142"/>
      <c r="C233" s="320"/>
      <c r="D233" s="124"/>
      <c r="E233" s="320"/>
      <c r="F233" s="142"/>
      <c r="G233" s="320"/>
      <c r="H233" s="142"/>
      <c r="I233" s="329"/>
      <c r="J233" s="124"/>
      <c r="K233" s="329"/>
      <c r="L233" s="124"/>
      <c r="M233" s="329"/>
      <c r="N233" s="124"/>
      <c r="O233" s="320"/>
      <c r="P233" s="142"/>
      <c r="Q233" s="193"/>
      <c r="R233" s="28"/>
      <c r="S233" s="138"/>
      <c r="T233" s="142"/>
      <c r="U233" s="142"/>
      <c r="V233" s="142"/>
    </row>
    <row r="234">
      <c r="A234" s="320"/>
      <c r="B234" s="142"/>
      <c r="C234" s="320"/>
      <c r="D234" s="124"/>
      <c r="E234" s="320"/>
      <c r="F234" s="142"/>
      <c r="G234" s="320"/>
      <c r="H234" s="142"/>
      <c r="I234" s="329"/>
      <c r="J234" s="124"/>
      <c r="K234" s="329"/>
      <c r="L234" s="124"/>
      <c r="M234" s="329"/>
      <c r="N234" s="124"/>
      <c r="O234" s="320"/>
      <c r="P234" s="142"/>
      <c r="Q234" s="193"/>
      <c r="R234" s="28"/>
      <c r="S234" s="138"/>
      <c r="T234" s="142"/>
      <c r="U234" s="142"/>
      <c r="V234" s="142"/>
    </row>
    <row r="235">
      <c r="A235" s="320"/>
      <c r="B235" s="142"/>
      <c r="C235" s="320"/>
      <c r="D235" s="124"/>
      <c r="E235" s="320"/>
      <c r="F235" s="142"/>
      <c r="G235" s="320"/>
      <c r="H235" s="142"/>
      <c r="I235" s="329"/>
      <c r="J235" s="124"/>
      <c r="K235" s="329"/>
      <c r="L235" s="124"/>
      <c r="M235" s="329"/>
      <c r="N235" s="124"/>
      <c r="O235" s="320"/>
      <c r="P235" s="142"/>
      <c r="Q235" s="193"/>
      <c r="R235" s="28"/>
      <c r="S235" s="138"/>
      <c r="T235" s="142"/>
      <c r="U235" s="142"/>
      <c r="V235" s="142"/>
    </row>
    <row r="236">
      <c r="A236" s="320"/>
      <c r="B236" s="142"/>
      <c r="C236" s="320"/>
      <c r="D236" s="124"/>
      <c r="E236" s="320"/>
      <c r="F236" s="142"/>
      <c r="G236" s="320"/>
      <c r="H236" s="142"/>
      <c r="I236" s="329"/>
      <c r="J236" s="124"/>
      <c r="K236" s="329"/>
      <c r="L236" s="124"/>
      <c r="M236" s="329"/>
      <c r="N236" s="124"/>
      <c r="O236" s="320"/>
      <c r="P236" s="142"/>
      <c r="Q236" s="193"/>
      <c r="R236" s="28"/>
      <c r="S236" s="138"/>
      <c r="T236" s="142"/>
      <c r="U236" s="142"/>
      <c r="V236" s="142"/>
    </row>
    <row r="237">
      <c r="A237" s="320"/>
      <c r="B237" s="142"/>
      <c r="C237" s="320"/>
      <c r="D237" s="124"/>
      <c r="E237" s="320"/>
      <c r="F237" s="142"/>
      <c r="G237" s="320"/>
      <c r="H237" s="142"/>
      <c r="I237" s="329"/>
      <c r="J237" s="124"/>
      <c r="K237" s="329"/>
      <c r="L237" s="124"/>
      <c r="M237" s="329"/>
      <c r="N237" s="124"/>
      <c r="O237" s="320"/>
      <c r="P237" s="142"/>
      <c r="Q237" s="193"/>
      <c r="R237" s="28"/>
      <c r="S237" s="138"/>
      <c r="T237" s="142"/>
      <c r="U237" s="142"/>
      <c r="V237" s="142"/>
    </row>
    <row r="238">
      <c r="A238" s="320"/>
      <c r="B238" s="142"/>
      <c r="C238" s="320"/>
      <c r="D238" s="124"/>
      <c r="E238" s="320"/>
      <c r="F238" s="142"/>
      <c r="G238" s="320"/>
      <c r="H238" s="142"/>
      <c r="I238" s="329"/>
      <c r="J238" s="124"/>
      <c r="K238" s="329"/>
      <c r="L238" s="124"/>
      <c r="M238" s="329"/>
      <c r="N238" s="124"/>
      <c r="O238" s="320"/>
      <c r="P238" s="142"/>
      <c r="Q238" s="193"/>
      <c r="R238" s="28"/>
      <c r="S238" s="138"/>
      <c r="T238" s="142"/>
      <c r="U238" s="142"/>
      <c r="V238" s="142"/>
    </row>
    <row r="239">
      <c r="A239" s="320"/>
      <c r="B239" s="142"/>
      <c r="C239" s="320"/>
      <c r="D239" s="124"/>
      <c r="E239" s="320"/>
      <c r="F239" s="142"/>
      <c r="G239" s="320"/>
      <c r="H239" s="142"/>
      <c r="I239" s="329"/>
      <c r="J239" s="124"/>
      <c r="K239" s="329"/>
      <c r="L239" s="124"/>
      <c r="M239" s="329"/>
      <c r="N239" s="124"/>
      <c r="O239" s="320"/>
      <c r="P239" s="142"/>
      <c r="Q239" s="193"/>
      <c r="R239" s="28"/>
      <c r="S239" s="138"/>
      <c r="T239" s="142"/>
      <c r="U239" s="142"/>
      <c r="V239" s="142"/>
    </row>
    <row r="240">
      <c r="A240" s="320"/>
      <c r="B240" s="142"/>
      <c r="C240" s="320"/>
      <c r="D240" s="124"/>
      <c r="E240" s="320"/>
      <c r="F240" s="142"/>
      <c r="G240" s="320"/>
      <c r="H240" s="142"/>
      <c r="I240" s="329"/>
      <c r="J240" s="124"/>
      <c r="K240" s="329"/>
      <c r="L240" s="124"/>
      <c r="M240" s="329"/>
      <c r="N240" s="124"/>
      <c r="O240" s="320"/>
      <c r="P240" s="142"/>
      <c r="Q240" s="193"/>
      <c r="R240" s="28"/>
      <c r="S240" s="138"/>
      <c r="T240" s="142"/>
      <c r="U240" s="142"/>
      <c r="V240" s="142"/>
    </row>
    <row r="241">
      <c r="A241" s="320"/>
      <c r="B241" s="142"/>
      <c r="C241" s="320"/>
      <c r="D241" s="124"/>
      <c r="E241" s="320"/>
      <c r="F241" s="142"/>
      <c r="G241" s="320"/>
      <c r="H241" s="142"/>
      <c r="I241" s="329"/>
      <c r="J241" s="124"/>
      <c r="K241" s="329"/>
      <c r="L241" s="124"/>
      <c r="M241" s="329"/>
      <c r="N241" s="124"/>
      <c r="O241" s="320"/>
      <c r="P241" s="142"/>
      <c r="Q241" s="193"/>
      <c r="R241" s="28"/>
      <c r="S241" s="138"/>
      <c r="T241" s="142"/>
      <c r="U241" s="142"/>
      <c r="V241" s="142"/>
    </row>
    <row r="242">
      <c r="A242" s="320"/>
      <c r="B242" s="142"/>
      <c r="C242" s="320"/>
      <c r="D242" s="124"/>
      <c r="E242" s="320"/>
      <c r="F242" s="142"/>
      <c r="G242" s="320"/>
      <c r="H242" s="142"/>
      <c r="I242" s="329"/>
      <c r="J242" s="124"/>
      <c r="K242" s="329"/>
      <c r="L242" s="124"/>
      <c r="M242" s="329"/>
      <c r="N242" s="124"/>
      <c r="O242" s="320"/>
      <c r="P242" s="142"/>
      <c r="Q242" s="193"/>
      <c r="R242" s="28"/>
      <c r="S242" s="138"/>
      <c r="T242" s="142"/>
      <c r="U242" s="142"/>
      <c r="V242" s="142"/>
    </row>
    <row r="243">
      <c r="A243" s="320"/>
      <c r="B243" s="142"/>
      <c r="C243" s="320"/>
      <c r="D243" s="124"/>
      <c r="E243" s="320"/>
      <c r="F243" s="142"/>
      <c r="G243" s="320"/>
      <c r="H243" s="142"/>
      <c r="I243" s="329"/>
      <c r="J243" s="124"/>
      <c r="K243" s="329"/>
      <c r="L243" s="124"/>
      <c r="M243" s="329"/>
      <c r="N243" s="124"/>
      <c r="O243" s="320"/>
      <c r="P243" s="142"/>
      <c r="Q243" s="193"/>
      <c r="R243" s="28"/>
      <c r="S243" s="138"/>
      <c r="T243" s="142"/>
      <c r="U243" s="142"/>
      <c r="V243" s="142"/>
    </row>
    <row r="244">
      <c r="A244" s="320"/>
      <c r="B244" s="142"/>
      <c r="C244" s="320"/>
      <c r="D244" s="124"/>
      <c r="E244" s="320"/>
      <c r="F244" s="142"/>
      <c r="G244" s="320"/>
      <c r="H244" s="142"/>
      <c r="I244" s="329"/>
      <c r="J244" s="124"/>
      <c r="K244" s="329"/>
      <c r="L244" s="124"/>
      <c r="M244" s="329"/>
      <c r="N244" s="124"/>
      <c r="O244" s="320"/>
      <c r="P244" s="142"/>
      <c r="Q244" s="193"/>
      <c r="R244" s="28"/>
      <c r="S244" s="138"/>
      <c r="T244" s="142"/>
      <c r="U244" s="142"/>
      <c r="V244" s="142"/>
    </row>
    <row r="245">
      <c r="A245" s="320"/>
      <c r="B245" s="142"/>
      <c r="C245" s="320"/>
      <c r="D245" s="124"/>
      <c r="E245" s="320"/>
      <c r="F245" s="142"/>
      <c r="G245" s="320"/>
      <c r="H245" s="142"/>
      <c r="I245" s="329"/>
      <c r="J245" s="124"/>
      <c r="K245" s="329"/>
      <c r="L245" s="124"/>
      <c r="M245" s="329"/>
      <c r="N245" s="124"/>
      <c r="O245" s="320"/>
      <c r="P245" s="142"/>
      <c r="Q245" s="193"/>
      <c r="R245" s="28"/>
      <c r="S245" s="138"/>
      <c r="T245" s="142"/>
      <c r="U245" s="142"/>
      <c r="V245" s="142"/>
    </row>
    <row r="246">
      <c r="A246" s="320"/>
      <c r="B246" s="142"/>
      <c r="C246" s="320"/>
      <c r="D246" s="124"/>
      <c r="E246" s="320"/>
      <c r="F246" s="142"/>
      <c r="G246" s="320"/>
      <c r="H246" s="142"/>
      <c r="I246" s="329"/>
      <c r="J246" s="124"/>
      <c r="K246" s="329"/>
      <c r="L246" s="124"/>
      <c r="M246" s="329"/>
      <c r="N246" s="124"/>
      <c r="O246" s="320"/>
      <c r="P246" s="142"/>
      <c r="Q246" s="193"/>
      <c r="R246" s="28"/>
      <c r="S246" s="138"/>
      <c r="T246" s="142"/>
      <c r="U246" s="142"/>
      <c r="V246" s="142"/>
    </row>
    <row r="247">
      <c r="A247" s="320"/>
      <c r="B247" s="142"/>
      <c r="C247" s="320"/>
      <c r="D247" s="124"/>
      <c r="E247" s="320"/>
      <c r="F247" s="142"/>
      <c r="G247" s="320"/>
      <c r="H247" s="142"/>
      <c r="I247" s="329"/>
      <c r="J247" s="124"/>
      <c r="K247" s="329"/>
      <c r="L247" s="124"/>
      <c r="M247" s="329"/>
      <c r="N247" s="124"/>
      <c r="O247" s="320"/>
      <c r="P247" s="142"/>
      <c r="Q247" s="193"/>
      <c r="R247" s="28"/>
      <c r="S247" s="138"/>
      <c r="T247" s="142"/>
      <c r="U247" s="142"/>
      <c r="V247" s="142"/>
    </row>
    <row r="248">
      <c r="A248" s="320"/>
      <c r="B248" s="142"/>
      <c r="C248" s="320"/>
      <c r="D248" s="124"/>
      <c r="E248" s="320"/>
      <c r="F248" s="142"/>
      <c r="G248" s="320"/>
      <c r="H248" s="142"/>
      <c r="I248" s="329"/>
      <c r="J248" s="124"/>
      <c r="K248" s="329"/>
      <c r="L248" s="124"/>
      <c r="M248" s="329"/>
      <c r="N248" s="124"/>
      <c r="O248" s="320"/>
      <c r="P248" s="142"/>
      <c r="Q248" s="193"/>
      <c r="R248" s="28"/>
      <c r="S248" s="138"/>
      <c r="T248" s="142"/>
      <c r="U248" s="142"/>
      <c r="V248" s="142"/>
    </row>
    <row r="249">
      <c r="A249" s="320"/>
      <c r="B249" s="142"/>
      <c r="C249" s="320"/>
      <c r="D249" s="124"/>
      <c r="E249" s="320"/>
      <c r="F249" s="142"/>
      <c r="G249" s="320"/>
      <c r="H249" s="142"/>
      <c r="I249" s="329"/>
      <c r="J249" s="124"/>
      <c r="K249" s="329"/>
      <c r="L249" s="124"/>
      <c r="M249" s="329"/>
      <c r="N249" s="124"/>
      <c r="O249" s="320"/>
      <c r="P249" s="142"/>
      <c r="Q249" s="193"/>
      <c r="R249" s="28"/>
      <c r="S249" s="138"/>
      <c r="T249" s="142"/>
      <c r="U249" s="142"/>
      <c r="V249" s="142"/>
    </row>
    <row r="250">
      <c r="A250" s="320"/>
      <c r="B250" s="142"/>
      <c r="C250" s="320"/>
      <c r="D250" s="124"/>
      <c r="E250" s="320"/>
      <c r="F250" s="142"/>
      <c r="G250" s="320"/>
      <c r="H250" s="142"/>
      <c r="I250" s="329"/>
      <c r="J250" s="124"/>
      <c r="K250" s="329"/>
      <c r="L250" s="124"/>
      <c r="M250" s="329"/>
      <c r="N250" s="124"/>
      <c r="O250" s="320"/>
      <c r="P250" s="142"/>
      <c r="Q250" s="193"/>
      <c r="R250" s="28"/>
      <c r="S250" s="138"/>
      <c r="T250" s="142"/>
      <c r="U250" s="142"/>
      <c r="V250" s="142"/>
    </row>
    <row r="251">
      <c r="A251" s="320"/>
      <c r="B251" s="142"/>
      <c r="C251" s="320"/>
      <c r="D251" s="124"/>
      <c r="E251" s="320"/>
      <c r="F251" s="142"/>
      <c r="G251" s="320"/>
      <c r="H251" s="142"/>
      <c r="I251" s="329"/>
      <c r="J251" s="124"/>
      <c r="K251" s="329"/>
      <c r="L251" s="124"/>
      <c r="M251" s="329"/>
      <c r="N251" s="124"/>
      <c r="O251" s="320"/>
      <c r="P251" s="142"/>
      <c r="Q251" s="193"/>
      <c r="R251" s="28"/>
      <c r="S251" s="138"/>
      <c r="T251" s="142"/>
      <c r="U251" s="142"/>
      <c r="V251" s="142"/>
    </row>
    <row r="252">
      <c r="A252" s="320"/>
      <c r="B252" s="142"/>
      <c r="C252" s="320"/>
      <c r="D252" s="124"/>
      <c r="E252" s="320"/>
      <c r="F252" s="142"/>
      <c r="G252" s="320"/>
      <c r="H252" s="142"/>
      <c r="I252" s="329"/>
      <c r="J252" s="124"/>
      <c r="K252" s="329"/>
      <c r="L252" s="124"/>
      <c r="M252" s="329"/>
      <c r="N252" s="124"/>
      <c r="O252" s="320"/>
      <c r="P252" s="142"/>
      <c r="Q252" s="193"/>
      <c r="R252" s="28"/>
      <c r="S252" s="138"/>
      <c r="T252" s="142"/>
      <c r="U252" s="142"/>
      <c r="V252" s="142"/>
    </row>
    <row r="253">
      <c r="A253" s="320"/>
      <c r="B253" s="142"/>
      <c r="C253" s="320"/>
      <c r="D253" s="124"/>
      <c r="E253" s="320"/>
      <c r="F253" s="142"/>
      <c r="G253" s="320"/>
      <c r="H253" s="142"/>
      <c r="I253" s="329"/>
      <c r="J253" s="124"/>
      <c r="K253" s="329"/>
      <c r="L253" s="124"/>
      <c r="M253" s="329"/>
      <c r="N253" s="124"/>
      <c r="O253" s="320"/>
      <c r="P253" s="142"/>
      <c r="Q253" s="193"/>
      <c r="R253" s="28"/>
      <c r="S253" s="138"/>
      <c r="T253" s="142"/>
      <c r="U253" s="142"/>
      <c r="V253" s="142"/>
    </row>
    <row r="254">
      <c r="A254" s="320"/>
      <c r="B254" s="142"/>
      <c r="C254" s="320"/>
      <c r="D254" s="124"/>
      <c r="E254" s="320"/>
      <c r="F254" s="142"/>
      <c r="G254" s="320"/>
      <c r="H254" s="142"/>
      <c r="I254" s="329"/>
      <c r="J254" s="124"/>
      <c r="K254" s="329"/>
      <c r="L254" s="124"/>
      <c r="M254" s="329"/>
      <c r="N254" s="124"/>
      <c r="O254" s="320"/>
      <c r="P254" s="142"/>
      <c r="Q254" s="193"/>
      <c r="R254" s="28"/>
      <c r="S254" s="138"/>
      <c r="T254" s="142"/>
      <c r="U254" s="142"/>
      <c r="V254" s="142"/>
    </row>
    <row r="255">
      <c r="A255" s="320"/>
      <c r="B255" s="142"/>
      <c r="C255" s="320"/>
      <c r="D255" s="124"/>
      <c r="E255" s="320"/>
      <c r="F255" s="142"/>
      <c r="G255" s="320"/>
      <c r="H255" s="142"/>
      <c r="I255" s="329"/>
      <c r="J255" s="124"/>
      <c r="K255" s="329"/>
      <c r="L255" s="124"/>
      <c r="M255" s="329"/>
      <c r="N255" s="124"/>
      <c r="O255" s="320"/>
      <c r="P255" s="142"/>
      <c r="Q255" s="193"/>
      <c r="R255" s="28"/>
      <c r="S255" s="138"/>
      <c r="T255" s="142"/>
      <c r="U255" s="142"/>
      <c r="V255" s="142"/>
    </row>
    <row r="256">
      <c r="A256" s="320"/>
      <c r="B256" s="142"/>
      <c r="C256" s="320"/>
      <c r="D256" s="124"/>
      <c r="E256" s="320"/>
      <c r="F256" s="142"/>
      <c r="G256" s="320"/>
      <c r="H256" s="142"/>
      <c r="I256" s="329"/>
      <c r="J256" s="124"/>
      <c r="K256" s="329"/>
      <c r="L256" s="124"/>
      <c r="M256" s="329"/>
      <c r="N256" s="124"/>
      <c r="O256" s="320"/>
      <c r="P256" s="142"/>
      <c r="Q256" s="193"/>
      <c r="R256" s="28"/>
      <c r="S256" s="138"/>
      <c r="T256" s="142"/>
      <c r="U256" s="142"/>
      <c r="V256" s="142"/>
    </row>
    <row r="257">
      <c r="A257" s="320"/>
      <c r="B257" s="142"/>
      <c r="C257" s="320"/>
      <c r="D257" s="124"/>
      <c r="E257" s="320"/>
      <c r="F257" s="142"/>
      <c r="G257" s="320"/>
      <c r="H257" s="142"/>
      <c r="I257" s="329"/>
      <c r="J257" s="124"/>
      <c r="K257" s="329"/>
      <c r="L257" s="124"/>
      <c r="M257" s="329"/>
      <c r="N257" s="124"/>
      <c r="O257" s="320"/>
      <c r="P257" s="142"/>
      <c r="Q257" s="193"/>
      <c r="R257" s="28"/>
      <c r="S257" s="138"/>
      <c r="T257" s="142"/>
      <c r="U257" s="142"/>
      <c r="V257" s="142"/>
    </row>
    <row r="258">
      <c r="A258" s="320"/>
      <c r="B258" s="142"/>
      <c r="C258" s="320"/>
      <c r="D258" s="124"/>
      <c r="E258" s="320"/>
      <c r="F258" s="142"/>
      <c r="G258" s="320"/>
      <c r="H258" s="142"/>
      <c r="I258" s="329"/>
      <c r="J258" s="124"/>
      <c r="K258" s="329"/>
      <c r="L258" s="124"/>
      <c r="M258" s="329"/>
      <c r="N258" s="124"/>
      <c r="O258" s="320"/>
      <c r="P258" s="142"/>
      <c r="Q258" s="193"/>
      <c r="R258" s="28"/>
      <c r="S258" s="138"/>
      <c r="T258" s="142"/>
      <c r="U258" s="142"/>
      <c r="V258" s="142"/>
    </row>
    <row r="259">
      <c r="A259" s="320"/>
      <c r="B259" s="142"/>
      <c r="C259" s="320"/>
      <c r="D259" s="124"/>
      <c r="E259" s="320"/>
      <c r="F259" s="142"/>
      <c r="G259" s="320"/>
      <c r="H259" s="142"/>
      <c r="I259" s="329"/>
      <c r="J259" s="124"/>
      <c r="K259" s="329"/>
      <c r="L259" s="124"/>
      <c r="M259" s="329"/>
      <c r="N259" s="124"/>
      <c r="O259" s="320"/>
      <c r="P259" s="142"/>
      <c r="Q259" s="193"/>
      <c r="R259" s="28"/>
      <c r="S259" s="138"/>
      <c r="T259" s="142"/>
      <c r="U259" s="142"/>
      <c r="V259" s="142"/>
    </row>
    <row r="260">
      <c r="A260" s="320"/>
      <c r="B260" s="142"/>
      <c r="C260" s="320"/>
      <c r="D260" s="124"/>
      <c r="E260" s="320"/>
      <c r="F260" s="142"/>
      <c r="G260" s="320"/>
      <c r="H260" s="142"/>
      <c r="I260" s="329"/>
      <c r="J260" s="124"/>
      <c r="K260" s="329"/>
      <c r="L260" s="124"/>
      <c r="M260" s="329"/>
      <c r="N260" s="124"/>
      <c r="O260" s="320"/>
      <c r="P260" s="142"/>
      <c r="Q260" s="193"/>
      <c r="R260" s="28"/>
      <c r="S260" s="138"/>
      <c r="T260" s="142"/>
      <c r="U260" s="142"/>
      <c r="V260" s="142"/>
    </row>
    <row r="261">
      <c r="A261" s="320"/>
      <c r="B261" s="142"/>
      <c r="C261" s="320"/>
      <c r="D261" s="124"/>
      <c r="E261" s="320"/>
      <c r="F261" s="142"/>
      <c r="G261" s="320"/>
      <c r="H261" s="142"/>
      <c r="I261" s="329"/>
      <c r="J261" s="124"/>
      <c r="K261" s="329"/>
      <c r="L261" s="124"/>
      <c r="M261" s="329"/>
      <c r="N261" s="124"/>
      <c r="O261" s="320"/>
      <c r="P261" s="142"/>
      <c r="Q261" s="193"/>
      <c r="R261" s="28"/>
      <c r="S261" s="138"/>
      <c r="T261" s="142"/>
      <c r="U261" s="142"/>
      <c r="V261" s="142"/>
    </row>
    <row r="262">
      <c r="A262" s="320"/>
      <c r="B262" s="142"/>
      <c r="C262" s="320"/>
      <c r="D262" s="124"/>
      <c r="E262" s="320"/>
      <c r="F262" s="142"/>
      <c r="G262" s="320"/>
      <c r="H262" s="142"/>
      <c r="I262" s="329"/>
      <c r="J262" s="124"/>
      <c r="K262" s="329"/>
      <c r="L262" s="124"/>
      <c r="M262" s="329"/>
      <c r="N262" s="124"/>
      <c r="O262" s="320"/>
      <c r="P262" s="142"/>
      <c r="Q262" s="193"/>
      <c r="R262" s="28"/>
      <c r="S262" s="138"/>
      <c r="T262" s="142"/>
      <c r="U262" s="142"/>
      <c r="V262" s="142"/>
    </row>
    <row r="263">
      <c r="A263" s="320"/>
      <c r="B263" s="142"/>
      <c r="C263" s="320"/>
      <c r="D263" s="124"/>
      <c r="E263" s="320"/>
      <c r="F263" s="142"/>
      <c r="G263" s="320"/>
      <c r="H263" s="142"/>
      <c r="I263" s="329"/>
      <c r="J263" s="124"/>
      <c r="K263" s="329"/>
      <c r="L263" s="124"/>
      <c r="M263" s="329"/>
      <c r="N263" s="124"/>
      <c r="O263" s="320"/>
      <c r="P263" s="142"/>
      <c r="Q263" s="193"/>
      <c r="R263" s="28"/>
      <c r="S263" s="138"/>
      <c r="T263" s="142"/>
      <c r="U263" s="142"/>
      <c r="V263" s="142"/>
    </row>
    <row r="264">
      <c r="A264" s="320"/>
      <c r="B264" s="142"/>
      <c r="C264" s="320"/>
      <c r="D264" s="124"/>
      <c r="E264" s="320"/>
      <c r="F264" s="142"/>
      <c r="G264" s="320"/>
      <c r="H264" s="142"/>
      <c r="I264" s="329"/>
      <c r="J264" s="124"/>
      <c r="K264" s="329"/>
      <c r="L264" s="124"/>
      <c r="M264" s="329"/>
      <c r="N264" s="124"/>
      <c r="O264" s="320"/>
      <c r="P264" s="142"/>
      <c r="Q264" s="193"/>
      <c r="R264" s="28"/>
      <c r="S264" s="138"/>
      <c r="T264" s="142"/>
      <c r="U264" s="142"/>
      <c r="V264" s="142"/>
    </row>
    <row r="265">
      <c r="A265" s="320"/>
      <c r="B265" s="142"/>
      <c r="C265" s="320"/>
      <c r="D265" s="124"/>
      <c r="E265" s="320"/>
      <c r="F265" s="142"/>
      <c r="G265" s="320"/>
      <c r="H265" s="142"/>
      <c r="I265" s="329"/>
      <c r="J265" s="124"/>
      <c r="K265" s="329"/>
      <c r="L265" s="124"/>
      <c r="M265" s="329"/>
      <c r="N265" s="124"/>
      <c r="O265" s="320"/>
      <c r="P265" s="142"/>
      <c r="Q265" s="193"/>
      <c r="R265" s="28"/>
      <c r="S265" s="138"/>
      <c r="T265" s="142"/>
      <c r="U265" s="142"/>
      <c r="V265" s="142"/>
    </row>
    <row r="266">
      <c r="A266" s="320"/>
      <c r="B266" s="142"/>
      <c r="C266" s="320"/>
      <c r="D266" s="124"/>
      <c r="E266" s="320"/>
      <c r="F266" s="142"/>
      <c r="G266" s="320"/>
      <c r="H266" s="142"/>
      <c r="I266" s="329"/>
      <c r="J266" s="124"/>
      <c r="K266" s="329"/>
      <c r="L266" s="124"/>
      <c r="M266" s="329"/>
      <c r="N266" s="124"/>
      <c r="O266" s="320"/>
      <c r="P266" s="142"/>
      <c r="Q266" s="193"/>
      <c r="R266" s="28"/>
      <c r="S266" s="138"/>
      <c r="T266" s="142"/>
      <c r="U266" s="142"/>
      <c r="V266" s="142"/>
    </row>
    <row r="267">
      <c r="A267" s="320"/>
      <c r="B267" s="142"/>
      <c r="C267" s="320"/>
      <c r="D267" s="124"/>
      <c r="E267" s="320"/>
      <c r="F267" s="142"/>
      <c r="G267" s="320"/>
      <c r="H267" s="142"/>
      <c r="I267" s="329"/>
      <c r="J267" s="124"/>
      <c r="K267" s="329"/>
      <c r="L267" s="124"/>
      <c r="M267" s="329"/>
      <c r="N267" s="124"/>
      <c r="O267" s="320"/>
      <c r="P267" s="142"/>
      <c r="Q267" s="193"/>
      <c r="R267" s="28"/>
      <c r="S267" s="138"/>
      <c r="T267" s="142"/>
      <c r="U267" s="142"/>
      <c r="V267" s="142"/>
    </row>
    <row r="268">
      <c r="A268" s="320"/>
      <c r="B268" s="142"/>
      <c r="C268" s="320"/>
      <c r="D268" s="124"/>
      <c r="E268" s="320"/>
      <c r="F268" s="142"/>
      <c r="G268" s="320"/>
      <c r="H268" s="142"/>
      <c r="I268" s="329"/>
      <c r="J268" s="124"/>
      <c r="K268" s="329"/>
      <c r="L268" s="124"/>
      <c r="M268" s="329"/>
      <c r="N268" s="124"/>
      <c r="O268" s="320"/>
      <c r="P268" s="142"/>
      <c r="Q268" s="193"/>
      <c r="R268" s="28"/>
      <c r="S268" s="138"/>
      <c r="T268" s="142"/>
      <c r="U268" s="142"/>
      <c r="V268" s="142"/>
    </row>
    <row r="269">
      <c r="A269" s="320"/>
      <c r="B269" s="142"/>
      <c r="C269" s="320"/>
      <c r="D269" s="124"/>
      <c r="E269" s="320"/>
      <c r="F269" s="142"/>
      <c r="G269" s="320"/>
      <c r="H269" s="142"/>
      <c r="I269" s="329"/>
      <c r="J269" s="124"/>
      <c r="K269" s="329"/>
      <c r="L269" s="124"/>
      <c r="M269" s="329"/>
      <c r="N269" s="124"/>
      <c r="O269" s="320"/>
      <c r="P269" s="142"/>
      <c r="Q269" s="193"/>
      <c r="R269" s="28"/>
      <c r="S269" s="138"/>
      <c r="T269" s="142"/>
      <c r="U269" s="142"/>
      <c r="V269" s="142"/>
    </row>
    <row r="270">
      <c r="A270" s="320"/>
      <c r="B270" s="142"/>
      <c r="C270" s="320"/>
      <c r="D270" s="124"/>
      <c r="E270" s="320"/>
      <c r="F270" s="142"/>
      <c r="G270" s="320"/>
      <c r="H270" s="142"/>
      <c r="I270" s="329"/>
      <c r="J270" s="124"/>
      <c r="K270" s="329"/>
      <c r="L270" s="124"/>
      <c r="M270" s="329"/>
      <c r="N270" s="124"/>
      <c r="O270" s="320"/>
      <c r="P270" s="142"/>
      <c r="Q270" s="193"/>
      <c r="R270" s="28"/>
      <c r="S270" s="138"/>
      <c r="T270" s="142"/>
      <c r="U270" s="142"/>
      <c r="V270" s="142"/>
    </row>
    <row r="271">
      <c r="A271" s="320"/>
      <c r="B271" s="142"/>
      <c r="C271" s="320"/>
      <c r="D271" s="124"/>
      <c r="E271" s="320"/>
      <c r="F271" s="142"/>
      <c r="G271" s="320"/>
      <c r="H271" s="142"/>
      <c r="I271" s="329"/>
      <c r="J271" s="124"/>
      <c r="K271" s="329"/>
      <c r="L271" s="124"/>
      <c r="M271" s="329"/>
      <c r="N271" s="124"/>
      <c r="O271" s="320"/>
      <c r="P271" s="142"/>
      <c r="Q271" s="193"/>
      <c r="R271" s="28"/>
      <c r="S271" s="138"/>
      <c r="T271" s="142"/>
      <c r="U271" s="142"/>
      <c r="V271" s="142"/>
    </row>
    <row r="272">
      <c r="A272" s="320"/>
      <c r="B272" s="142"/>
      <c r="C272" s="320"/>
      <c r="D272" s="124"/>
      <c r="E272" s="320"/>
      <c r="F272" s="142"/>
      <c r="G272" s="320"/>
      <c r="H272" s="142"/>
      <c r="I272" s="329"/>
      <c r="J272" s="124"/>
      <c r="K272" s="329"/>
      <c r="L272" s="124"/>
      <c r="M272" s="329"/>
      <c r="N272" s="124"/>
      <c r="O272" s="320"/>
      <c r="P272" s="142"/>
      <c r="Q272" s="193"/>
      <c r="R272" s="28"/>
      <c r="S272" s="138"/>
      <c r="T272" s="142"/>
      <c r="U272" s="142"/>
      <c r="V272" s="142"/>
    </row>
    <row r="273">
      <c r="A273" s="320"/>
      <c r="B273" s="142"/>
      <c r="C273" s="320"/>
      <c r="D273" s="124"/>
      <c r="E273" s="320"/>
      <c r="F273" s="142"/>
      <c r="G273" s="320"/>
      <c r="H273" s="142"/>
      <c r="I273" s="329"/>
      <c r="J273" s="124"/>
      <c r="K273" s="329"/>
      <c r="L273" s="124"/>
      <c r="M273" s="329"/>
      <c r="N273" s="124"/>
      <c r="O273" s="320"/>
      <c r="P273" s="142"/>
      <c r="Q273" s="193"/>
      <c r="R273" s="28"/>
      <c r="S273" s="138"/>
      <c r="T273" s="142"/>
      <c r="U273" s="142"/>
      <c r="V273" s="142"/>
    </row>
    <row r="274">
      <c r="A274" s="320"/>
      <c r="B274" s="142"/>
      <c r="C274" s="320"/>
      <c r="D274" s="124"/>
      <c r="E274" s="320"/>
      <c r="F274" s="142"/>
      <c r="G274" s="320"/>
      <c r="H274" s="142"/>
      <c r="I274" s="329"/>
      <c r="J274" s="124"/>
      <c r="K274" s="329"/>
      <c r="L274" s="124"/>
      <c r="M274" s="329"/>
      <c r="N274" s="124"/>
      <c r="O274" s="320"/>
      <c r="P274" s="142"/>
      <c r="Q274" s="193"/>
      <c r="R274" s="28"/>
      <c r="S274" s="138"/>
      <c r="T274" s="142"/>
      <c r="U274" s="142"/>
      <c r="V274" s="142"/>
    </row>
    <row r="275">
      <c r="A275" s="320"/>
      <c r="B275" s="142"/>
      <c r="C275" s="320"/>
      <c r="D275" s="124"/>
      <c r="E275" s="320"/>
      <c r="F275" s="142"/>
      <c r="G275" s="320"/>
      <c r="H275" s="142"/>
      <c r="I275" s="329"/>
      <c r="J275" s="124"/>
      <c r="K275" s="329"/>
      <c r="L275" s="124"/>
      <c r="M275" s="329"/>
      <c r="N275" s="124"/>
      <c r="O275" s="320"/>
      <c r="P275" s="142"/>
      <c r="Q275" s="193"/>
      <c r="R275" s="28"/>
      <c r="S275" s="138"/>
      <c r="T275" s="142"/>
      <c r="U275" s="142"/>
      <c r="V275" s="142"/>
    </row>
    <row r="276">
      <c r="A276" s="320"/>
      <c r="B276" s="142"/>
      <c r="C276" s="320"/>
      <c r="D276" s="124"/>
      <c r="E276" s="320"/>
      <c r="F276" s="142"/>
      <c r="G276" s="320"/>
      <c r="H276" s="142"/>
      <c r="I276" s="329"/>
      <c r="J276" s="124"/>
      <c r="K276" s="329"/>
      <c r="L276" s="124"/>
      <c r="M276" s="329"/>
      <c r="N276" s="124"/>
      <c r="O276" s="320"/>
      <c r="P276" s="142"/>
      <c r="Q276" s="193"/>
      <c r="R276" s="28"/>
      <c r="S276" s="138"/>
      <c r="T276" s="142"/>
      <c r="U276" s="142"/>
      <c r="V276" s="142"/>
    </row>
    <row r="277">
      <c r="A277" s="320"/>
      <c r="B277" s="142"/>
      <c r="C277" s="320"/>
      <c r="D277" s="124"/>
      <c r="E277" s="320"/>
      <c r="F277" s="142"/>
      <c r="G277" s="320"/>
      <c r="H277" s="142"/>
      <c r="I277" s="329"/>
      <c r="J277" s="124"/>
      <c r="K277" s="329"/>
      <c r="L277" s="124"/>
      <c r="M277" s="329"/>
      <c r="N277" s="124"/>
      <c r="O277" s="320"/>
      <c r="P277" s="142"/>
      <c r="Q277" s="193"/>
      <c r="R277" s="28"/>
      <c r="S277" s="138"/>
      <c r="T277" s="142"/>
      <c r="U277" s="142"/>
      <c r="V277" s="142"/>
    </row>
    <row r="278">
      <c r="A278" s="320"/>
      <c r="B278" s="142"/>
      <c r="C278" s="320"/>
      <c r="D278" s="124"/>
      <c r="E278" s="320"/>
      <c r="F278" s="142"/>
      <c r="G278" s="320"/>
      <c r="H278" s="142"/>
      <c r="I278" s="329"/>
      <c r="J278" s="124"/>
      <c r="K278" s="329"/>
      <c r="L278" s="124"/>
      <c r="M278" s="329"/>
      <c r="N278" s="124"/>
      <c r="O278" s="320"/>
      <c r="P278" s="142"/>
      <c r="Q278" s="193"/>
      <c r="R278" s="28"/>
      <c r="S278" s="138"/>
      <c r="T278" s="142"/>
      <c r="U278" s="142"/>
      <c r="V278" s="142"/>
    </row>
    <row r="279">
      <c r="A279" s="320"/>
      <c r="B279" s="142"/>
      <c r="C279" s="320"/>
      <c r="D279" s="124"/>
      <c r="E279" s="320"/>
      <c r="F279" s="142"/>
      <c r="G279" s="320"/>
      <c r="H279" s="142"/>
      <c r="I279" s="329"/>
      <c r="J279" s="124"/>
      <c r="K279" s="329"/>
      <c r="L279" s="124"/>
      <c r="M279" s="329"/>
      <c r="N279" s="124"/>
      <c r="O279" s="320"/>
      <c r="P279" s="142"/>
      <c r="Q279" s="193"/>
      <c r="R279" s="28"/>
      <c r="S279" s="138"/>
      <c r="T279" s="142"/>
      <c r="U279" s="142"/>
      <c r="V279" s="142"/>
    </row>
    <row r="280">
      <c r="A280" s="320"/>
      <c r="B280" s="142"/>
      <c r="C280" s="320"/>
      <c r="D280" s="124"/>
      <c r="E280" s="320"/>
      <c r="F280" s="142"/>
      <c r="G280" s="320"/>
      <c r="H280" s="142"/>
      <c r="I280" s="329"/>
      <c r="J280" s="124"/>
      <c r="K280" s="329"/>
      <c r="L280" s="124"/>
      <c r="M280" s="329"/>
      <c r="N280" s="124"/>
      <c r="O280" s="320"/>
      <c r="P280" s="142"/>
      <c r="Q280" s="193"/>
      <c r="R280" s="28"/>
      <c r="S280" s="138"/>
      <c r="T280" s="142"/>
      <c r="U280" s="142"/>
      <c r="V280" s="142"/>
    </row>
    <row r="281">
      <c r="A281" s="320"/>
      <c r="B281" s="142"/>
      <c r="C281" s="320"/>
      <c r="D281" s="124"/>
      <c r="E281" s="320"/>
      <c r="F281" s="142"/>
      <c r="G281" s="320"/>
      <c r="H281" s="142"/>
      <c r="I281" s="329"/>
      <c r="J281" s="124"/>
      <c r="K281" s="329"/>
      <c r="L281" s="124"/>
      <c r="M281" s="329"/>
      <c r="N281" s="124"/>
      <c r="O281" s="320"/>
      <c r="P281" s="142"/>
      <c r="Q281" s="193"/>
      <c r="R281" s="28"/>
      <c r="S281" s="138"/>
      <c r="T281" s="142"/>
      <c r="U281" s="142"/>
      <c r="V281" s="142"/>
    </row>
    <row r="282">
      <c r="A282" s="320"/>
      <c r="B282" s="142"/>
      <c r="C282" s="320"/>
      <c r="D282" s="124"/>
      <c r="E282" s="320"/>
      <c r="F282" s="142"/>
      <c r="G282" s="320"/>
      <c r="H282" s="142"/>
      <c r="I282" s="329"/>
      <c r="J282" s="124"/>
      <c r="K282" s="329"/>
      <c r="L282" s="124"/>
      <c r="M282" s="329"/>
      <c r="N282" s="124"/>
      <c r="O282" s="320"/>
      <c r="P282" s="142"/>
      <c r="Q282" s="193"/>
      <c r="R282" s="28"/>
      <c r="S282" s="138"/>
      <c r="T282" s="142"/>
      <c r="U282" s="142"/>
      <c r="V282" s="142"/>
    </row>
    <row r="283">
      <c r="A283" s="320"/>
      <c r="B283" s="142"/>
      <c r="C283" s="320"/>
      <c r="D283" s="124"/>
      <c r="E283" s="320"/>
      <c r="F283" s="142"/>
      <c r="G283" s="320"/>
      <c r="H283" s="142"/>
      <c r="I283" s="329"/>
      <c r="J283" s="124"/>
      <c r="K283" s="329"/>
      <c r="L283" s="124"/>
      <c r="M283" s="329"/>
      <c r="N283" s="124"/>
      <c r="O283" s="320"/>
      <c r="P283" s="142"/>
      <c r="Q283" s="193"/>
      <c r="R283" s="28"/>
      <c r="S283" s="138"/>
      <c r="T283" s="142"/>
      <c r="U283" s="142"/>
      <c r="V283" s="142"/>
    </row>
    <row r="284">
      <c r="A284" s="320"/>
      <c r="B284" s="142"/>
      <c r="C284" s="320"/>
      <c r="D284" s="124"/>
      <c r="E284" s="320"/>
      <c r="F284" s="142"/>
      <c r="G284" s="320"/>
      <c r="H284" s="142"/>
      <c r="I284" s="329"/>
      <c r="J284" s="124"/>
      <c r="K284" s="329"/>
      <c r="L284" s="124"/>
      <c r="M284" s="329"/>
      <c r="N284" s="124"/>
      <c r="O284" s="320"/>
      <c r="P284" s="142"/>
      <c r="Q284" s="193"/>
      <c r="R284" s="28"/>
      <c r="S284" s="138"/>
      <c r="T284" s="142"/>
      <c r="U284" s="142"/>
      <c r="V284" s="142"/>
    </row>
    <row r="285">
      <c r="A285" s="320"/>
      <c r="B285" s="142"/>
      <c r="C285" s="320"/>
      <c r="D285" s="124"/>
      <c r="E285" s="320"/>
      <c r="F285" s="142"/>
      <c r="G285" s="320"/>
      <c r="H285" s="142"/>
      <c r="I285" s="329"/>
      <c r="J285" s="124"/>
      <c r="K285" s="329"/>
      <c r="L285" s="124"/>
      <c r="M285" s="329"/>
      <c r="N285" s="124"/>
      <c r="O285" s="320"/>
      <c r="P285" s="142"/>
      <c r="Q285" s="193"/>
      <c r="R285" s="28"/>
      <c r="S285" s="138"/>
      <c r="T285" s="142"/>
      <c r="U285" s="142"/>
      <c r="V285" s="142"/>
    </row>
    <row r="286">
      <c r="A286" s="320"/>
      <c r="B286" s="142"/>
      <c r="C286" s="320"/>
      <c r="D286" s="124"/>
      <c r="E286" s="320"/>
      <c r="F286" s="142"/>
      <c r="G286" s="320"/>
      <c r="H286" s="142"/>
      <c r="I286" s="329"/>
      <c r="J286" s="124"/>
      <c r="K286" s="329"/>
      <c r="L286" s="124"/>
      <c r="M286" s="329"/>
      <c r="N286" s="124"/>
      <c r="O286" s="320"/>
      <c r="P286" s="142"/>
      <c r="Q286" s="193"/>
      <c r="R286" s="28"/>
      <c r="S286" s="138"/>
      <c r="T286" s="142"/>
      <c r="U286" s="142"/>
      <c r="V286" s="142"/>
    </row>
    <row r="287">
      <c r="A287" s="320"/>
      <c r="B287" s="142"/>
      <c r="C287" s="320"/>
      <c r="D287" s="124"/>
      <c r="E287" s="320"/>
      <c r="F287" s="142"/>
      <c r="G287" s="320"/>
      <c r="H287" s="142"/>
      <c r="I287" s="329"/>
      <c r="J287" s="124"/>
      <c r="K287" s="329"/>
      <c r="L287" s="124"/>
      <c r="M287" s="329"/>
      <c r="N287" s="124"/>
      <c r="O287" s="320"/>
      <c r="P287" s="142"/>
      <c r="Q287" s="193"/>
      <c r="R287" s="28"/>
      <c r="S287" s="138"/>
      <c r="T287" s="142"/>
      <c r="U287" s="142"/>
      <c r="V287" s="142"/>
    </row>
    <row r="288">
      <c r="A288" s="320"/>
      <c r="B288" s="142"/>
      <c r="C288" s="320"/>
      <c r="D288" s="124"/>
      <c r="E288" s="320"/>
      <c r="F288" s="142"/>
      <c r="G288" s="320"/>
      <c r="H288" s="142"/>
      <c r="I288" s="329"/>
      <c r="J288" s="124"/>
      <c r="K288" s="329"/>
      <c r="L288" s="124"/>
      <c r="M288" s="329"/>
      <c r="N288" s="124"/>
      <c r="O288" s="320"/>
      <c r="P288" s="142"/>
      <c r="Q288" s="193"/>
      <c r="R288" s="28"/>
      <c r="S288" s="138"/>
      <c r="T288" s="142"/>
      <c r="U288" s="142"/>
      <c r="V288" s="142"/>
    </row>
    <row r="289">
      <c r="A289" s="320"/>
      <c r="B289" s="142"/>
      <c r="C289" s="320"/>
      <c r="D289" s="124"/>
      <c r="E289" s="320"/>
      <c r="F289" s="142"/>
      <c r="G289" s="320"/>
      <c r="H289" s="142"/>
      <c r="I289" s="329"/>
      <c r="J289" s="124"/>
      <c r="K289" s="329"/>
      <c r="L289" s="124"/>
      <c r="M289" s="329"/>
      <c r="N289" s="124"/>
      <c r="O289" s="320"/>
      <c r="P289" s="142"/>
      <c r="Q289" s="193"/>
      <c r="R289" s="28"/>
      <c r="S289" s="138"/>
      <c r="T289" s="142"/>
      <c r="U289" s="142"/>
      <c r="V289" s="142"/>
    </row>
    <row r="290">
      <c r="A290" s="320"/>
      <c r="B290" s="142"/>
      <c r="C290" s="320"/>
      <c r="D290" s="124"/>
      <c r="E290" s="320"/>
      <c r="F290" s="142"/>
      <c r="G290" s="320"/>
      <c r="H290" s="142"/>
      <c r="I290" s="329"/>
      <c r="J290" s="124"/>
      <c r="K290" s="329"/>
      <c r="L290" s="124"/>
      <c r="M290" s="329"/>
      <c r="N290" s="124"/>
      <c r="O290" s="320"/>
      <c r="P290" s="142"/>
      <c r="Q290" s="193"/>
      <c r="R290" s="28"/>
      <c r="S290" s="138"/>
      <c r="T290" s="142"/>
      <c r="U290" s="142"/>
      <c r="V290" s="142"/>
    </row>
    <row r="291">
      <c r="A291" s="320"/>
      <c r="B291" s="142"/>
      <c r="C291" s="320"/>
      <c r="D291" s="124"/>
      <c r="E291" s="320"/>
      <c r="F291" s="142"/>
      <c r="G291" s="320"/>
      <c r="H291" s="142"/>
      <c r="I291" s="329"/>
      <c r="J291" s="124"/>
      <c r="K291" s="329"/>
      <c r="L291" s="124"/>
      <c r="M291" s="329"/>
      <c r="N291" s="124"/>
      <c r="O291" s="320"/>
      <c r="P291" s="142"/>
      <c r="Q291" s="193"/>
      <c r="R291" s="28"/>
      <c r="S291" s="138"/>
      <c r="T291" s="142"/>
      <c r="U291" s="142"/>
      <c r="V291" s="142"/>
    </row>
    <row r="292">
      <c r="A292" s="320"/>
      <c r="B292" s="142"/>
      <c r="C292" s="320"/>
      <c r="D292" s="124"/>
      <c r="E292" s="320"/>
      <c r="F292" s="142"/>
      <c r="G292" s="320"/>
      <c r="H292" s="142"/>
      <c r="I292" s="329"/>
      <c r="J292" s="124"/>
      <c r="K292" s="329"/>
      <c r="L292" s="124"/>
      <c r="M292" s="329"/>
      <c r="N292" s="124"/>
      <c r="O292" s="320"/>
      <c r="P292" s="142"/>
      <c r="Q292" s="193"/>
      <c r="R292" s="28"/>
      <c r="S292" s="138"/>
      <c r="T292" s="142"/>
      <c r="U292" s="142"/>
      <c r="V292" s="142"/>
    </row>
    <row r="293">
      <c r="A293" s="320"/>
      <c r="B293" s="142"/>
      <c r="C293" s="320"/>
      <c r="D293" s="124"/>
      <c r="E293" s="320"/>
      <c r="F293" s="142"/>
      <c r="G293" s="320"/>
      <c r="H293" s="142"/>
      <c r="I293" s="329"/>
      <c r="J293" s="124"/>
      <c r="K293" s="329"/>
      <c r="L293" s="124"/>
      <c r="M293" s="329"/>
      <c r="N293" s="124"/>
      <c r="O293" s="320"/>
      <c r="P293" s="142"/>
      <c r="Q293" s="193"/>
      <c r="R293" s="28"/>
      <c r="S293" s="138"/>
      <c r="T293" s="142"/>
      <c r="U293" s="142"/>
      <c r="V293" s="142"/>
    </row>
    <row r="294">
      <c r="A294" s="320"/>
      <c r="B294" s="142"/>
      <c r="C294" s="320"/>
      <c r="D294" s="124"/>
      <c r="E294" s="320"/>
      <c r="F294" s="142"/>
      <c r="G294" s="320"/>
      <c r="H294" s="142"/>
      <c r="I294" s="329"/>
      <c r="J294" s="124"/>
      <c r="K294" s="329"/>
      <c r="L294" s="124"/>
      <c r="M294" s="329"/>
      <c r="N294" s="124"/>
      <c r="O294" s="320"/>
      <c r="P294" s="142"/>
      <c r="Q294" s="193"/>
      <c r="R294" s="28"/>
      <c r="S294" s="138"/>
      <c r="T294" s="142"/>
      <c r="U294" s="142"/>
      <c r="V294" s="142"/>
    </row>
    <row r="295">
      <c r="A295" s="320"/>
      <c r="B295" s="142"/>
      <c r="C295" s="320"/>
      <c r="D295" s="124"/>
      <c r="E295" s="320"/>
      <c r="F295" s="142"/>
      <c r="G295" s="320"/>
      <c r="H295" s="142"/>
      <c r="I295" s="329"/>
      <c r="J295" s="124"/>
      <c r="K295" s="329"/>
      <c r="L295" s="124"/>
      <c r="M295" s="329"/>
      <c r="N295" s="124"/>
      <c r="O295" s="320"/>
      <c r="P295" s="142"/>
      <c r="Q295" s="193"/>
      <c r="R295" s="28"/>
      <c r="S295" s="138"/>
      <c r="T295" s="142"/>
      <c r="U295" s="142"/>
      <c r="V295" s="142"/>
    </row>
    <row r="296">
      <c r="A296" s="320"/>
      <c r="B296" s="142"/>
      <c r="C296" s="320"/>
      <c r="D296" s="124"/>
      <c r="E296" s="320"/>
      <c r="F296" s="142"/>
      <c r="G296" s="320"/>
      <c r="H296" s="142"/>
      <c r="I296" s="329"/>
      <c r="J296" s="124"/>
      <c r="K296" s="329"/>
      <c r="L296" s="124"/>
      <c r="M296" s="329"/>
      <c r="N296" s="124"/>
      <c r="O296" s="320"/>
      <c r="P296" s="142"/>
      <c r="Q296" s="193"/>
      <c r="R296" s="28"/>
      <c r="S296" s="138"/>
      <c r="T296" s="142"/>
      <c r="U296" s="142"/>
      <c r="V296" s="142"/>
    </row>
    <row r="297">
      <c r="A297" s="320"/>
      <c r="B297" s="142"/>
      <c r="C297" s="320"/>
      <c r="D297" s="124"/>
      <c r="E297" s="320"/>
      <c r="F297" s="142"/>
      <c r="G297" s="320"/>
      <c r="H297" s="142"/>
      <c r="I297" s="329"/>
      <c r="J297" s="124"/>
      <c r="K297" s="329"/>
      <c r="L297" s="124"/>
      <c r="M297" s="329"/>
      <c r="N297" s="124"/>
      <c r="O297" s="320"/>
      <c r="P297" s="142"/>
      <c r="Q297" s="193"/>
      <c r="R297" s="28"/>
      <c r="S297" s="138"/>
      <c r="T297" s="142"/>
      <c r="U297" s="142"/>
      <c r="V297" s="142"/>
    </row>
    <row r="298">
      <c r="A298" s="320"/>
      <c r="B298" s="142"/>
      <c r="C298" s="320"/>
      <c r="D298" s="124"/>
      <c r="E298" s="320"/>
      <c r="F298" s="142"/>
      <c r="G298" s="320"/>
      <c r="H298" s="142"/>
      <c r="I298" s="329"/>
      <c r="J298" s="124"/>
      <c r="K298" s="329"/>
      <c r="L298" s="124"/>
      <c r="M298" s="329"/>
      <c r="N298" s="124"/>
      <c r="O298" s="320"/>
      <c r="P298" s="142"/>
      <c r="Q298" s="193"/>
      <c r="R298" s="28"/>
      <c r="S298" s="138"/>
      <c r="T298" s="142"/>
      <c r="U298" s="142"/>
      <c r="V298" s="142"/>
    </row>
    <row r="299">
      <c r="A299" s="320"/>
      <c r="B299" s="142"/>
      <c r="C299" s="320"/>
      <c r="D299" s="124"/>
      <c r="E299" s="320"/>
      <c r="F299" s="142"/>
      <c r="G299" s="320"/>
      <c r="H299" s="142"/>
      <c r="I299" s="329"/>
      <c r="J299" s="124"/>
      <c r="K299" s="329"/>
      <c r="L299" s="124"/>
      <c r="M299" s="329"/>
      <c r="N299" s="124"/>
      <c r="O299" s="320"/>
      <c r="P299" s="142"/>
      <c r="Q299" s="193"/>
      <c r="R299" s="28"/>
      <c r="S299" s="138"/>
      <c r="T299" s="142"/>
      <c r="U299" s="142"/>
      <c r="V299" s="142"/>
    </row>
    <row r="300">
      <c r="A300" s="320"/>
      <c r="B300" s="142"/>
      <c r="C300" s="320"/>
      <c r="D300" s="124"/>
      <c r="E300" s="320"/>
      <c r="F300" s="142"/>
      <c r="G300" s="320"/>
      <c r="H300" s="142"/>
      <c r="I300" s="329"/>
      <c r="J300" s="124"/>
      <c r="K300" s="329"/>
      <c r="L300" s="124"/>
      <c r="M300" s="329"/>
      <c r="N300" s="124"/>
      <c r="O300" s="320"/>
      <c r="P300" s="142"/>
      <c r="Q300" s="193"/>
      <c r="R300" s="28"/>
      <c r="S300" s="138"/>
      <c r="T300" s="142"/>
      <c r="U300" s="142"/>
      <c r="V300" s="142"/>
    </row>
    <row r="301">
      <c r="A301" s="320"/>
      <c r="B301" s="142"/>
      <c r="C301" s="320"/>
      <c r="D301" s="124"/>
      <c r="E301" s="320"/>
      <c r="F301" s="142"/>
      <c r="G301" s="320"/>
      <c r="H301" s="142"/>
      <c r="I301" s="329"/>
      <c r="J301" s="124"/>
      <c r="K301" s="329"/>
      <c r="L301" s="124"/>
      <c r="M301" s="329"/>
      <c r="N301" s="124"/>
      <c r="O301" s="320"/>
      <c r="P301" s="142"/>
      <c r="Q301" s="193"/>
      <c r="R301" s="28"/>
      <c r="S301" s="138"/>
      <c r="T301" s="142"/>
      <c r="U301" s="142"/>
      <c r="V301" s="142"/>
    </row>
    <row r="302">
      <c r="A302" s="320"/>
      <c r="B302" s="142"/>
      <c r="C302" s="320"/>
      <c r="D302" s="124"/>
      <c r="E302" s="320"/>
      <c r="F302" s="142"/>
      <c r="G302" s="320"/>
      <c r="H302" s="142"/>
      <c r="I302" s="329"/>
      <c r="J302" s="124"/>
      <c r="K302" s="329"/>
      <c r="L302" s="124"/>
      <c r="M302" s="329"/>
      <c r="N302" s="124"/>
      <c r="O302" s="320"/>
      <c r="P302" s="142"/>
      <c r="Q302" s="193"/>
      <c r="R302" s="28"/>
      <c r="S302" s="138"/>
      <c r="T302" s="142"/>
      <c r="U302" s="142"/>
      <c r="V302" s="142"/>
    </row>
    <row r="303">
      <c r="A303" s="320"/>
      <c r="B303" s="142"/>
      <c r="C303" s="320"/>
      <c r="D303" s="124"/>
      <c r="E303" s="320"/>
      <c r="F303" s="142"/>
      <c r="G303" s="320"/>
      <c r="H303" s="142"/>
      <c r="I303" s="329"/>
      <c r="J303" s="124"/>
      <c r="K303" s="329"/>
      <c r="L303" s="124"/>
      <c r="M303" s="329"/>
      <c r="N303" s="124"/>
      <c r="O303" s="320"/>
      <c r="P303" s="142"/>
      <c r="Q303" s="193"/>
      <c r="R303" s="28"/>
      <c r="S303" s="138"/>
      <c r="T303" s="142"/>
      <c r="U303" s="142"/>
      <c r="V303" s="142"/>
    </row>
    <row r="304">
      <c r="A304" s="320"/>
      <c r="B304" s="142"/>
      <c r="C304" s="320"/>
      <c r="D304" s="124"/>
      <c r="E304" s="320"/>
      <c r="F304" s="142"/>
      <c r="G304" s="320"/>
      <c r="H304" s="142"/>
      <c r="I304" s="329"/>
      <c r="J304" s="124"/>
      <c r="K304" s="329"/>
      <c r="L304" s="124"/>
      <c r="M304" s="329"/>
      <c r="N304" s="124"/>
      <c r="O304" s="320"/>
      <c r="P304" s="142"/>
      <c r="Q304" s="193"/>
      <c r="R304" s="28"/>
      <c r="S304" s="138"/>
      <c r="T304" s="142"/>
      <c r="U304" s="142"/>
      <c r="V304" s="142"/>
    </row>
    <row r="305">
      <c r="A305" s="320"/>
      <c r="B305" s="142"/>
      <c r="C305" s="320"/>
      <c r="D305" s="124"/>
      <c r="E305" s="320"/>
      <c r="F305" s="142"/>
      <c r="G305" s="320"/>
      <c r="H305" s="142"/>
      <c r="I305" s="329"/>
      <c r="J305" s="124"/>
      <c r="K305" s="329"/>
      <c r="L305" s="124"/>
      <c r="M305" s="329"/>
      <c r="N305" s="124"/>
      <c r="O305" s="320"/>
      <c r="P305" s="142"/>
      <c r="Q305" s="193"/>
      <c r="R305" s="28"/>
      <c r="S305" s="138"/>
      <c r="T305" s="142"/>
      <c r="U305" s="142"/>
      <c r="V305" s="142"/>
    </row>
    <row r="306">
      <c r="A306" s="320"/>
      <c r="B306" s="142"/>
      <c r="C306" s="320"/>
      <c r="D306" s="124"/>
      <c r="E306" s="320"/>
      <c r="F306" s="142"/>
      <c r="G306" s="320"/>
      <c r="H306" s="142"/>
      <c r="I306" s="329"/>
      <c r="J306" s="124"/>
      <c r="K306" s="329"/>
      <c r="L306" s="124"/>
      <c r="M306" s="329"/>
      <c r="N306" s="124"/>
      <c r="O306" s="320"/>
      <c r="P306" s="142"/>
      <c r="Q306" s="193"/>
      <c r="R306" s="28"/>
      <c r="S306" s="138"/>
      <c r="T306" s="142"/>
      <c r="U306" s="142"/>
      <c r="V306" s="142"/>
    </row>
    <row r="307">
      <c r="A307" s="320"/>
      <c r="B307" s="142"/>
      <c r="C307" s="320"/>
      <c r="D307" s="124"/>
      <c r="E307" s="320"/>
      <c r="F307" s="142"/>
      <c r="G307" s="320"/>
      <c r="H307" s="142"/>
      <c r="I307" s="329"/>
      <c r="J307" s="124"/>
      <c r="K307" s="329"/>
      <c r="L307" s="124"/>
      <c r="M307" s="329"/>
      <c r="N307" s="124"/>
      <c r="O307" s="320"/>
      <c r="P307" s="142"/>
      <c r="Q307" s="193"/>
      <c r="R307" s="28"/>
      <c r="S307" s="138"/>
      <c r="T307" s="142"/>
      <c r="U307" s="142"/>
      <c r="V307" s="142"/>
    </row>
    <row r="308">
      <c r="A308" s="320"/>
      <c r="B308" s="142"/>
      <c r="C308" s="320"/>
      <c r="D308" s="124"/>
      <c r="E308" s="320"/>
      <c r="F308" s="142"/>
      <c r="G308" s="320"/>
      <c r="H308" s="142"/>
      <c r="I308" s="329"/>
      <c r="J308" s="124"/>
      <c r="K308" s="329"/>
      <c r="L308" s="124"/>
      <c r="M308" s="329"/>
      <c r="N308" s="124"/>
      <c r="O308" s="320"/>
      <c r="P308" s="142"/>
      <c r="Q308" s="193"/>
      <c r="R308" s="28"/>
      <c r="S308" s="138"/>
      <c r="T308" s="142"/>
      <c r="U308" s="142"/>
      <c r="V308" s="142"/>
    </row>
    <row r="309">
      <c r="A309" s="320"/>
      <c r="B309" s="142"/>
      <c r="C309" s="320"/>
      <c r="D309" s="124"/>
      <c r="E309" s="320"/>
      <c r="F309" s="142"/>
      <c r="G309" s="320"/>
      <c r="H309" s="142"/>
      <c r="I309" s="329"/>
      <c r="J309" s="124"/>
      <c r="K309" s="329"/>
      <c r="L309" s="124"/>
      <c r="M309" s="329"/>
      <c r="N309" s="124"/>
      <c r="O309" s="320"/>
      <c r="P309" s="142"/>
      <c r="Q309" s="193"/>
      <c r="R309" s="28"/>
      <c r="S309" s="138"/>
      <c r="T309" s="142"/>
      <c r="U309" s="142"/>
      <c r="V309" s="142"/>
    </row>
    <row r="310">
      <c r="A310" s="320"/>
      <c r="B310" s="142"/>
      <c r="C310" s="320"/>
      <c r="D310" s="124"/>
      <c r="E310" s="320"/>
      <c r="F310" s="142"/>
      <c r="G310" s="320"/>
      <c r="H310" s="142"/>
      <c r="I310" s="329"/>
      <c r="J310" s="124"/>
      <c r="K310" s="329"/>
      <c r="L310" s="124"/>
      <c r="M310" s="329"/>
      <c r="N310" s="124"/>
      <c r="O310" s="320"/>
      <c r="P310" s="142"/>
      <c r="Q310" s="193"/>
      <c r="R310" s="28"/>
      <c r="S310" s="138"/>
      <c r="T310" s="142"/>
      <c r="U310" s="142"/>
      <c r="V310" s="142"/>
    </row>
    <row r="311">
      <c r="A311" s="320"/>
      <c r="B311" s="142"/>
      <c r="C311" s="320"/>
      <c r="D311" s="124"/>
      <c r="E311" s="320"/>
      <c r="F311" s="142"/>
      <c r="G311" s="320"/>
      <c r="H311" s="142"/>
      <c r="I311" s="329"/>
      <c r="J311" s="124"/>
      <c r="K311" s="329"/>
      <c r="L311" s="124"/>
      <c r="M311" s="329"/>
      <c r="N311" s="124"/>
      <c r="O311" s="320"/>
      <c r="P311" s="142"/>
      <c r="Q311" s="193"/>
      <c r="R311" s="28"/>
      <c r="S311" s="138"/>
      <c r="T311" s="142"/>
      <c r="U311" s="142"/>
      <c r="V311" s="142"/>
    </row>
    <row r="312">
      <c r="A312" s="320"/>
      <c r="B312" s="142"/>
      <c r="C312" s="320"/>
      <c r="D312" s="124"/>
      <c r="E312" s="320"/>
      <c r="F312" s="142"/>
      <c r="G312" s="320"/>
      <c r="H312" s="142"/>
      <c r="I312" s="329"/>
      <c r="J312" s="124"/>
      <c r="K312" s="329"/>
      <c r="L312" s="124"/>
      <c r="M312" s="329"/>
      <c r="N312" s="124"/>
      <c r="O312" s="320"/>
      <c r="P312" s="142"/>
      <c r="Q312" s="193"/>
      <c r="R312" s="28"/>
      <c r="S312" s="138"/>
      <c r="T312" s="142"/>
      <c r="U312" s="142"/>
      <c r="V312" s="142"/>
    </row>
    <row r="313">
      <c r="A313" s="320"/>
      <c r="B313" s="142"/>
      <c r="C313" s="320"/>
      <c r="D313" s="124"/>
      <c r="E313" s="320"/>
      <c r="F313" s="142"/>
      <c r="G313" s="320"/>
      <c r="H313" s="142"/>
      <c r="I313" s="329"/>
      <c r="J313" s="124"/>
      <c r="K313" s="329"/>
      <c r="L313" s="124"/>
      <c r="M313" s="329"/>
      <c r="N313" s="124"/>
      <c r="O313" s="320"/>
      <c r="P313" s="142"/>
      <c r="Q313" s="193"/>
      <c r="R313" s="28"/>
      <c r="S313" s="138"/>
      <c r="T313" s="142"/>
      <c r="U313" s="142"/>
      <c r="V313" s="142"/>
    </row>
    <row r="314">
      <c r="A314" s="320"/>
      <c r="B314" s="142"/>
      <c r="C314" s="320"/>
      <c r="D314" s="124"/>
      <c r="E314" s="320"/>
      <c r="F314" s="142"/>
      <c r="G314" s="320"/>
      <c r="H314" s="142"/>
      <c r="I314" s="329"/>
      <c r="J314" s="124"/>
      <c r="K314" s="329"/>
      <c r="L314" s="124"/>
      <c r="M314" s="329"/>
      <c r="N314" s="124"/>
      <c r="O314" s="320"/>
      <c r="P314" s="142"/>
      <c r="Q314" s="193"/>
      <c r="R314" s="28"/>
      <c r="S314" s="138"/>
      <c r="T314" s="142"/>
      <c r="U314" s="142"/>
      <c r="V314" s="142"/>
    </row>
    <row r="315">
      <c r="A315" s="320"/>
      <c r="B315" s="142"/>
      <c r="C315" s="320"/>
      <c r="D315" s="124"/>
      <c r="E315" s="320"/>
      <c r="F315" s="142"/>
      <c r="G315" s="320"/>
      <c r="H315" s="142"/>
      <c r="I315" s="329"/>
      <c r="J315" s="124"/>
      <c r="K315" s="329"/>
      <c r="L315" s="124"/>
      <c r="M315" s="329"/>
      <c r="N315" s="124"/>
      <c r="O315" s="320"/>
      <c r="P315" s="142"/>
      <c r="Q315" s="193"/>
      <c r="R315" s="28"/>
      <c r="S315" s="138"/>
      <c r="T315" s="142"/>
      <c r="U315" s="142"/>
      <c r="V315" s="142"/>
    </row>
    <row r="316">
      <c r="A316" s="320"/>
      <c r="B316" s="142"/>
      <c r="C316" s="320"/>
      <c r="D316" s="124"/>
      <c r="E316" s="320"/>
      <c r="F316" s="142"/>
      <c r="G316" s="320"/>
      <c r="H316" s="142"/>
      <c r="I316" s="329"/>
      <c r="J316" s="124"/>
      <c r="K316" s="329"/>
      <c r="L316" s="124"/>
      <c r="M316" s="329"/>
      <c r="N316" s="124"/>
      <c r="O316" s="320"/>
      <c r="P316" s="142"/>
      <c r="Q316" s="193"/>
      <c r="R316" s="28"/>
      <c r="S316" s="138"/>
      <c r="T316" s="142"/>
      <c r="U316" s="142"/>
      <c r="V316" s="142"/>
    </row>
    <row r="317">
      <c r="A317" s="320"/>
      <c r="B317" s="142"/>
      <c r="C317" s="320"/>
      <c r="D317" s="124"/>
      <c r="E317" s="320"/>
      <c r="F317" s="142"/>
      <c r="G317" s="320"/>
      <c r="H317" s="142"/>
      <c r="I317" s="329"/>
      <c r="J317" s="124"/>
      <c r="K317" s="329"/>
      <c r="L317" s="124"/>
      <c r="M317" s="329"/>
      <c r="N317" s="124"/>
      <c r="O317" s="320"/>
      <c r="P317" s="142"/>
      <c r="Q317" s="193"/>
      <c r="R317" s="28"/>
      <c r="S317" s="138"/>
      <c r="T317" s="142"/>
      <c r="U317" s="142"/>
      <c r="V317" s="142"/>
    </row>
    <row r="318">
      <c r="A318" s="320"/>
      <c r="B318" s="142"/>
      <c r="C318" s="320"/>
      <c r="D318" s="124"/>
      <c r="E318" s="320"/>
      <c r="F318" s="142"/>
      <c r="G318" s="320"/>
      <c r="H318" s="142"/>
      <c r="I318" s="329"/>
      <c r="J318" s="124"/>
      <c r="K318" s="329"/>
      <c r="L318" s="124"/>
      <c r="M318" s="329"/>
      <c r="N318" s="124"/>
      <c r="O318" s="320"/>
      <c r="P318" s="142"/>
      <c r="Q318" s="193"/>
      <c r="R318" s="28"/>
      <c r="S318" s="138"/>
      <c r="T318" s="142"/>
      <c r="U318" s="142"/>
      <c r="V318" s="142"/>
    </row>
    <row r="319">
      <c r="A319" s="320"/>
      <c r="B319" s="142"/>
      <c r="C319" s="320"/>
      <c r="D319" s="124"/>
      <c r="E319" s="320"/>
      <c r="F319" s="142"/>
      <c r="G319" s="320"/>
      <c r="H319" s="142"/>
      <c r="I319" s="329"/>
      <c r="J319" s="124"/>
      <c r="K319" s="329"/>
      <c r="L319" s="124"/>
      <c r="M319" s="329"/>
      <c r="N319" s="124"/>
      <c r="O319" s="320"/>
      <c r="P319" s="142"/>
      <c r="Q319" s="193"/>
      <c r="R319" s="28"/>
      <c r="S319" s="138"/>
      <c r="T319" s="142"/>
      <c r="U319" s="142"/>
      <c r="V319" s="142"/>
    </row>
    <row r="320">
      <c r="A320" s="320"/>
      <c r="B320" s="142"/>
      <c r="C320" s="320"/>
      <c r="D320" s="124"/>
      <c r="E320" s="320"/>
      <c r="F320" s="142"/>
      <c r="G320" s="320"/>
      <c r="H320" s="142"/>
      <c r="I320" s="329"/>
      <c r="J320" s="124"/>
      <c r="K320" s="329"/>
      <c r="L320" s="124"/>
      <c r="M320" s="329"/>
      <c r="N320" s="124"/>
      <c r="O320" s="320"/>
      <c r="P320" s="142"/>
      <c r="Q320" s="193"/>
      <c r="R320" s="28"/>
      <c r="S320" s="138"/>
      <c r="T320" s="142"/>
      <c r="U320" s="142"/>
      <c r="V320" s="142"/>
    </row>
    <row r="321">
      <c r="A321" s="320"/>
      <c r="B321" s="142"/>
      <c r="C321" s="320"/>
      <c r="D321" s="124"/>
      <c r="E321" s="320"/>
      <c r="F321" s="142"/>
      <c r="G321" s="320"/>
      <c r="H321" s="142"/>
      <c r="I321" s="329"/>
      <c r="J321" s="124"/>
      <c r="K321" s="329"/>
      <c r="L321" s="124"/>
      <c r="M321" s="329"/>
      <c r="N321" s="124"/>
      <c r="O321" s="320"/>
      <c r="P321" s="142"/>
      <c r="Q321" s="193"/>
      <c r="R321" s="28"/>
      <c r="S321" s="138"/>
      <c r="T321" s="142"/>
      <c r="U321" s="142"/>
      <c r="V321" s="142"/>
    </row>
    <row r="322">
      <c r="A322" s="320"/>
      <c r="B322" s="142"/>
      <c r="C322" s="320"/>
      <c r="D322" s="124"/>
      <c r="E322" s="320"/>
      <c r="F322" s="142"/>
      <c r="G322" s="320"/>
      <c r="H322" s="142"/>
      <c r="I322" s="329"/>
      <c r="J322" s="124"/>
      <c r="K322" s="329"/>
      <c r="L322" s="124"/>
      <c r="M322" s="329"/>
      <c r="N322" s="124"/>
      <c r="O322" s="320"/>
      <c r="P322" s="142"/>
      <c r="Q322" s="193"/>
      <c r="R322" s="28"/>
      <c r="S322" s="138"/>
      <c r="T322" s="142"/>
      <c r="U322" s="142"/>
      <c r="V322" s="142"/>
    </row>
    <row r="323">
      <c r="A323" s="320"/>
      <c r="B323" s="142"/>
      <c r="C323" s="320"/>
      <c r="D323" s="124"/>
      <c r="E323" s="320"/>
      <c r="F323" s="142"/>
      <c r="G323" s="320"/>
      <c r="H323" s="142"/>
      <c r="I323" s="329"/>
      <c r="J323" s="124"/>
      <c r="K323" s="329"/>
      <c r="L323" s="124"/>
      <c r="M323" s="329"/>
      <c r="N323" s="124"/>
      <c r="O323" s="320"/>
      <c r="P323" s="142"/>
      <c r="Q323" s="193"/>
      <c r="R323" s="28"/>
      <c r="S323" s="138"/>
      <c r="T323" s="142"/>
      <c r="U323" s="142"/>
      <c r="V323" s="142"/>
    </row>
    <row r="324">
      <c r="A324" s="320"/>
      <c r="B324" s="142"/>
      <c r="C324" s="320"/>
      <c r="D324" s="124"/>
      <c r="E324" s="320"/>
      <c r="F324" s="142"/>
      <c r="G324" s="320"/>
      <c r="H324" s="142"/>
      <c r="I324" s="329"/>
      <c r="J324" s="124"/>
      <c r="K324" s="329"/>
      <c r="L324" s="124"/>
      <c r="M324" s="329"/>
      <c r="N324" s="124"/>
      <c r="O324" s="320"/>
      <c r="P324" s="142"/>
      <c r="Q324" s="193"/>
      <c r="R324" s="28"/>
      <c r="S324" s="138"/>
      <c r="T324" s="142"/>
      <c r="U324" s="142"/>
      <c r="V324" s="142"/>
    </row>
    <row r="325">
      <c r="A325" s="320"/>
      <c r="B325" s="142"/>
      <c r="C325" s="320"/>
      <c r="D325" s="124"/>
      <c r="E325" s="320"/>
      <c r="F325" s="142"/>
      <c r="G325" s="320"/>
      <c r="H325" s="142"/>
      <c r="I325" s="329"/>
      <c r="J325" s="124"/>
      <c r="K325" s="329"/>
      <c r="L325" s="124"/>
      <c r="M325" s="329"/>
      <c r="N325" s="124"/>
      <c r="O325" s="320"/>
      <c r="P325" s="142"/>
      <c r="Q325" s="193"/>
      <c r="R325" s="28"/>
      <c r="S325" s="138"/>
      <c r="T325" s="142"/>
      <c r="U325" s="142"/>
      <c r="V325" s="142"/>
    </row>
    <row r="326">
      <c r="A326" s="320"/>
      <c r="B326" s="142"/>
      <c r="C326" s="320"/>
      <c r="D326" s="124"/>
      <c r="E326" s="320"/>
      <c r="F326" s="142"/>
      <c r="G326" s="320"/>
      <c r="H326" s="142"/>
      <c r="I326" s="329"/>
      <c r="J326" s="124"/>
      <c r="K326" s="329"/>
      <c r="L326" s="124"/>
      <c r="M326" s="329"/>
      <c r="N326" s="124"/>
      <c r="O326" s="320"/>
      <c r="P326" s="142"/>
      <c r="Q326" s="193"/>
      <c r="R326" s="28"/>
      <c r="S326" s="138"/>
      <c r="T326" s="142"/>
      <c r="U326" s="142"/>
      <c r="V326" s="142"/>
    </row>
    <row r="327">
      <c r="A327" s="320"/>
      <c r="B327" s="142"/>
      <c r="C327" s="320"/>
      <c r="D327" s="124"/>
      <c r="E327" s="320"/>
      <c r="F327" s="142"/>
      <c r="G327" s="320"/>
      <c r="H327" s="142"/>
      <c r="I327" s="329"/>
      <c r="J327" s="124"/>
      <c r="K327" s="329"/>
      <c r="L327" s="124"/>
      <c r="M327" s="329"/>
      <c r="N327" s="124"/>
      <c r="O327" s="320"/>
      <c r="P327" s="142"/>
      <c r="Q327" s="193"/>
      <c r="R327" s="28"/>
      <c r="S327" s="138"/>
      <c r="T327" s="142"/>
      <c r="U327" s="142"/>
      <c r="V327" s="142"/>
    </row>
    <row r="328">
      <c r="A328" s="320"/>
      <c r="B328" s="142"/>
      <c r="C328" s="320"/>
      <c r="D328" s="124"/>
      <c r="E328" s="320"/>
      <c r="F328" s="142"/>
      <c r="G328" s="320"/>
      <c r="H328" s="142"/>
      <c r="I328" s="329"/>
      <c r="J328" s="124"/>
      <c r="K328" s="329"/>
      <c r="L328" s="124"/>
      <c r="M328" s="329"/>
      <c r="N328" s="124"/>
      <c r="O328" s="320"/>
      <c r="P328" s="142"/>
      <c r="Q328" s="193"/>
      <c r="R328" s="28"/>
      <c r="S328" s="138"/>
      <c r="T328" s="142"/>
      <c r="U328" s="142"/>
      <c r="V328" s="142"/>
    </row>
    <row r="329">
      <c r="A329" s="320"/>
      <c r="B329" s="142"/>
      <c r="C329" s="320"/>
      <c r="D329" s="124"/>
      <c r="E329" s="320"/>
      <c r="F329" s="142"/>
      <c r="G329" s="320"/>
      <c r="H329" s="142"/>
      <c r="I329" s="329"/>
      <c r="J329" s="124"/>
      <c r="K329" s="329"/>
      <c r="L329" s="124"/>
      <c r="M329" s="329"/>
      <c r="N329" s="124"/>
      <c r="O329" s="320"/>
      <c r="P329" s="142"/>
      <c r="Q329" s="193"/>
      <c r="R329" s="28"/>
      <c r="S329" s="138"/>
      <c r="T329" s="142"/>
      <c r="U329" s="142"/>
      <c r="V329" s="142"/>
    </row>
    <row r="330">
      <c r="A330" s="320"/>
      <c r="B330" s="142"/>
      <c r="C330" s="320"/>
      <c r="D330" s="124"/>
      <c r="E330" s="320"/>
      <c r="F330" s="142"/>
      <c r="G330" s="320"/>
      <c r="H330" s="142"/>
      <c r="I330" s="329"/>
      <c r="J330" s="124"/>
      <c r="K330" s="329"/>
      <c r="L330" s="124"/>
      <c r="M330" s="329"/>
      <c r="N330" s="124"/>
      <c r="O330" s="320"/>
      <c r="P330" s="142"/>
      <c r="Q330" s="193"/>
      <c r="R330" s="28"/>
      <c r="S330" s="138"/>
      <c r="T330" s="142"/>
      <c r="U330" s="142"/>
      <c r="V330" s="142"/>
    </row>
    <row r="331">
      <c r="A331" s="320"/>
      <c r="B331" s="142"/>
      <c r="C331" s="320"/>
      <c r="D331" s="124"/>
      <c r="E331" s="320"/>
      <c r="F331" s="142"/>
      <c r="G331" s="320"/>
      <c r="H331" s="142"/>
      <c r="I331" s="329"/>
      <c r="J331" s="124"/>
      <c r="K331" s="329"/>
      <c r="L331" s="124"/>
      <c r="M331" s="329"/>
      <c r="N331" s="124"/>
      <c r="O331" s="320"/>
      <c r="P331" s="142"/>
      <c r="Q331" s="193"/>
      <c r="R331" s="28"/>
      <c r="S331" s="138"/>
      <c r="T331" s="142"/>
      <c r="U331" s="142"/>
      <c r="V331" s="142"/>
    </row>
    <row r="332">
      <c r="A332" s="320"/>
      <c r="B332" s="142"/>
      <c r="C332" s="320"/>
      <c r="D332" s="124"/>
      <c r="E332" s="320"/>
      <c r="F332" s="142"/>
      <c r="G332" s="320"/>
      <c r="H332" s="142"/>
      <c r="I332" s="329"/>
      <c r="J332" s="124"/>
      <c r="K332" s="329"/>
      <c r="L332" s="124"/>
      <c r="M332" s="329"/>
      <c r="N332" s="124"/>
      <c r="O332" s="320"/>
      <c r="P332" s="142"/>
      <c r="Q332" s="193"/>
      <c r="R332" s="28"/>
      <c r="S332" s="138"/>
      <c r="T332" s="142"/>
      <c r="U332" s="142"/>
      <c r="V332" s="142"/>
    </row>
    <row r="333">
      <c r="A333" s="320"/>
      <c r="B333" s="142"/>
      <c r="C333" s="320"/>
      <c r="D333" s="124"/>
      <c r="E333" s="320"/>
      <c r="F333" s="142"/>
      <c r="G333" s="320"/>
      <c r="H333" s="142"/>
      <c r="I333" s="329"/>
      <c r="J333" s="124"/>
      <c r="K333" s="329"/>
      <c r="L333" s="124"/>
      <c r="M333" s="329"/>
      <c r="N333" s="124"/>
      <c r="O333" s="320"/>
      <c r="P333" s="142"/>
      <c r="Q333" s="193"/>
      <c r="R333" s="28"/>
      <c r="S333" s="138"/>
      <c r="T333" s="142"/>
      <c r="U333" s="142"/>
      <c r="V333" s="142"/>
    </row>
    <row r="334">
      <c r="A334" s="320"/>
      <c r="B334" s="142"/>
      <c r="C334" s="320"/>
      <c r="D334" s="124"/>
      <c r="E334" s="320"/>
      <c r="F334" s="142"/>
      <c r="G334" s="320"/>
      <c r="H334" s="142"/>
      <c r="I334" s="329"/>
      <c r="J334" s="124"/>
      <c r="K334" s="329"/>
      <c r="L334" s="124"/>
      <c r="M334" s="329"/>
      <c r="N334" s="124"/>
      <c r="O334" s="320"/>
      <c r="P334" s="142"/>
      <c r="Q334" s="193"/>
      <c r="R334" s="28"/>
      <c r="S334" s="138"/>
      <c r="T334" s="142"/>
      <c r="U334" s="142"/>
      <c r="V334" s="142"/>
    </row>
    <row r="335">
      <c r="A335" s="320"/>
      <c r="B335" s="142"/>
      <c r="C335" s="320"/>
      <c r="D335" s="124"/>
      <c r="E335" s="320"/>
      <c r="F335" s="142"/>
      <c r="G335" s="320"/>
      <c r="H335" s="142"/>
      <c r="I335" s="329"/>
      <c r="J335" s="124"/>
      <c r="K335" s="329"/>
      <c r="L335" s="124"/>
      <c r="M335" s="329"/>
      <c r="N335" s="124"/>
      <c r="O335" s="320"/>
      <c r="P335" s="142"/>
      <c r="Q335" s="193"/>
      <c r="R335" s="28"/>
      <c r="S335" s="138"/>
      <c r="T335" s="142"/>
      <c r="U335" s="142"/>
      <c r="V335" s="142"/>
    </row>
    <row r="336">
      <c r="A336" s="320"/>
      <c r="B336" s="142"/>
      <c r="C336" s="320"/>
      <c r="D336" s="124"/>
      <c r="E336" s="320"/>
      <c r="F336" s="142"/>
      <c r="G336" s="320"/>
      <c r="H336" s="142"/>
      <c r="I336" s="329"/>
      <c r="J336" s="124"/>
      <c r="K336" s="329"/>
      <c r="L336" s="124"/>
      <c r="M336" s="329"/>
      <c r="N336" s="124"/>
      <c r="O336" s="320"/>
      <c r="P336" s="142"/>
      <c r="Q336" s="193"/>
      <c r="R336" s="28"/>
      <c r="S336" s="138"/>
      <c r="T336" s="142"/>
      <c r="U336" s="142"/>
      <c r="V336" s="142"/>
    </row>
    <row r="337">
      <c r="A337" s="320"/>
      <c r="B337" s="142"/>
      <c r="C337" s="320"/>
      <c r="D337" s="124"/>
      <c r="E337" s="320"/>
      <c r="F337" s="142"/>
      <c r="G337" s="320"/>
      <c r="H337" s="142"/>
      <c r="I337" s="329"/>
      <c r="J337" s="124"/>
      <c r="K337" s="329"/>
      <c r="L337" s="124"/>
      <c r="M337" s="329"/>
      <c r="N337" s="124"/>
      <c r="O337" s="320"/>
      <c r="P337" s="142"/>
      <c r="Q337" s="193"/>
      <c r="R337" s="28"/>
      <c r="S337" s="138"/>
      <c r="T337" s="142"/>
      <c r="U337" s="142"/>
      <c r="V337" s="142"/>
    </row>
    <row r="338">
      <c r="A338" s="320"/>
      <c r="B338" s="142"/>
      <c r="C338" s="320"/>
      <c r="D338" s="124"/>
      <c r="E338" s="320"/>
      <c r="F338" s="142"/>
      <c r="G338" s="320"/>
      <c r="H338" s="142"/>
      <c r="I338" s="329"/>
      <c r="J338" s="124"/>
      <c r="K338" s="329"/>
      <c r="L338" s="124"/>
      <c r="M338" s="329"/>
      <c r="N338" s="124"/>
      <c r="O338" s="320"/>
      <c r="P338" s="142"/>
      <c r="Q338" s="193"/>
      <c r="R338" s="28"/>
      <c r="S338" s="138"/>
      <c r="T338" s="142"/>
      <c r="U338" s="142"/>
      <c r="V338" s="142"/>
    </row>
    <row r="339">
      <c r="A339" s="320"/>
      <c r="B339" s="142"/>
      <c r="C339" s="320"/>
      <c r="D339" s="124"/>
      <c r="E339" s="320"/>
      <c r="F339" s="142"/>
      <c r="G339" s="320"/>
      <c r="H339" s="142"/>
      <c r="I339" s="329"/>
      <c r="J339" s="124"/>
      <c r="K339" s="329"/>
      <c r="L339" s="124"/>
      <c r="M339" s="329"/>
      <c r="N339" s="124"/>
      <c r="O339" s="320"/>
      <c r="P339" s="142"/>
      <c r="Q339" s="193"/>
      <c r="R339" s="28"/>
      <c r="S339" s="138"/>
      <c r="T339" s="142"/>
      <c r="U339" s="142"/>
      <c r="V339" s="142"/>
    </row>
    <row r="340">
      <c r="A340" s="320"/>
      <c r="B340" s="142"/>
      <c r="C340" s="320"/>
      <c r="D340" s="124"/>
      <c r="E340" s="320"/>
      <c r="F340" s="142"/>
      <c r="G340" s="320"/>
      <c r="H340" s="142"/>
      <c r="I340" s="329"/>
      <c r="J340" s="124"/>
      <c r="K340" s="329"/>
      <c r="L340" s="124"/>
      <c r="M340" s="329"/>
      <c r="N340" s="124"/>
      <c r="O340" s="320"/>
      <c r="P340" s="142"/>
      <c r="Q340" s="193"/>
      <c r="R340" s="28"/>
      <c r="S340" s="138"/>
      <c r="T340" s="142"/>
      <c r="U340" s="142"/>
      <c r="V340" s="142"/>
    </row>
    <row r="341">
      <c r="A341" s="320"/>
      <c r="B341" s="142"/>
      <c r="C341" s="320"/>
      <c r="D341" s="124"/>
      <c r="E341" s="320"/>
      <c r="F341" s="142"/>
      <c r="G341" s="320"/>
      <c r="H341" s="142"/>
      <c r="I341" s="329"/>
      <c r="J341" s="124"/>
      <c r="K341" s="329"/>
      <c r="L341" s="124"/>
      <c r="M341" s="329"/>
      <c r="N341" s="124"/>
      <c r="O341" s="320"/>
      <c r="P341" s="142"/>
      <c r="Q341" s="193"/>
      <c r="R341" s="28"/>
      <c r="S341" s="138"/>
      <c r="T341" s="142"/>
      <c r="U341" s="142"/>
      <c r="V341" s="142"/>
    </row>
    <row r="342">
      <c r="A342" s="320"/>
      <c r="B342" s="142"/>
      <c r="C342" s="320"/>
      <c r="D342" s="124"/>
      <c r="E342" s="320"/>
      <c r="F342" s="142"/>
      <c r="G342" s="320"/>
      <c r="H342" s="142"/>
      <c r="I342" s="329"/>
      <c r="J342" s="124"/>
      <c r="K342" s="329"/>
      <c r="L342" s="124"/>
      <c r="M342" s="329"/>
      <c r="N342" s="124"/>
      <c r="O342" s="320"/>
      <c r="P342" s="142"/>
      <c r="Q342" s="193"/>
      <c r="R342" s="28"/>
      <c r="S342" s="138"/>
      <c r="T342" s="142"/>
      <c r="U342" s="142"/>
      <c r="V342" s="142"/>
    </row>
    <row r="343">
      <c r="A343" s="320"/>
      <c r="B343" s="142"/>
      <c r="C343" s="320"/>
      <c r="D343" s="124"/>
      <c r="E343" s="320"/>
      <c r="F343" s="142"/>
      <c r="G343" s="320"/>
      <c r="H343" s="142"/>
      <c r="I343" s="329"/>
      <c r="J343" s="124"/>
      <c r="K343" s="329"/>
      <c r="L343" s="124"/>
      <c r="M343" s="329"/>
      <c r="N343" s="124"/>
      <c r="O343" s="320"/>
      <c r="P343" s="142"/>
      <c r="Q343" s="193"/>
      <c r="R343" s="28"/>
      <c r="S343" s="138"/>
      <c r="T343" s="142"/>
      <c r="U343" s="142"/>
      <c r="V343" s="142"/>
    </row>
    <row r="344">
      <c r="A344" s="320"/>
      <c r="B344" s="142"/>
      <c r="C344" s="320"/>
      <c r="D344" s="124"/>
      <c r="E344" s="320"/>
      <c r="F344" s="142"/>
      <c r="G344" s="320"/>
      <c r="H344" s="142"/>
      <c r="I344" s="329"/>
      <c r="J344" s="124"/>
      <c r="K344" s="329"/>
      <c r="L344" s="124"/>
      <c r="M344" s="329"/>
      <c r="N344" s="124"/>
      <c r="O344" s="320"/>
      <c r="P344" s="142"/>
      <c r="Q344" s="193"/>
      <c r="R344" s="28"/>
      <c r="S344" s="138"/>
      <c r="T344" s="142"/>
      <c r="U344" s="142"/>
      <c r="V344" s="142"/>
    </row>
    <row r="345">
      <c r="A345" s="320"/>
      <c r="B345" s="142"/>
      <c r="C345" s="320"/>
      <c r="D345" s="124"/>
      <c r="E345" s="320"/>
      <c r="F345" s="142"/>
      <c r="G345" s="320"/>
      <c r="H345" s="142"/>
      <c r="I345" s="329"/>
      <c r="J345" s="124"/>
      <c r="K345" s="329"/>
      <c r="L345" s="124"/>
      <c r="M345" s="329"/>
      <c r="N345" s="124"/>
      <c r="O345" s="320"/>
      <c r="P345" s="142"/>
      <c r="Q345" s="193"/>
      <c r="R345" s="28"/>
      <c r="S345" s="138"/>
      <c r="T345" s="142"/>
      <c r="U345" s="142"/>
      <c r="V345" s="142"/>
    </row>
    <row r="346">
      <c r="A346" s="320"/>
      <c r="B346" s="142"/>
      <c r="C346" s="320"/>
      <c r="D346" s="124"/>
      <c r="E346" s="320"/>
      <c r="F346" s="142"/>
      <c r="G346" s="320"/>
      <c r="H346" s="142"/>
      <c r="I346" s="329"/>
      <c r="J346" s="124"/>
      <c r="K346" s="329"/>
      <c r="L346" s="124"/>
      <c r="M346" s="329"/>
      <c r="N346" s="124"/>
      <c r="O346" s="320"/>
      <c r="P346" s="142"/>
      <c r="Q346" s="193"/>
      <c r="R346" s="28"/>
      <c r="S346" s="138"/>
      <c r="T346" s="142"/>
      <c r="U346" s="142"/>
      <c r="V346" s="142"/>
    </row>
    <row r="347">
      <c r="A347" s="320"/>
      <c r="B347" s="142"/>
      <c r="C347" s="320"/>
      <c r="D347" s="124"/>
      <c r="E347" s="320"/>
      <c r="F347" s="142"/>
      <c r="G347" s="320"/>
      <c r="H347" s="142"/>
      <c r="I347" s="329"/>
      <c r="J347" s="124"/>
      <c r="K347" s="329"/>
      <c r="L347" s="124"/>
      <c r="M347" s="329"/>
      <c r="N347" s="124"/>
      <c r="O347" s="320"/>
      <c r="P347" s="142"/>
      <c r="Q347" s="193"/>
      <c r="R347" s="28"/>
      <c r="S347" s="138"/>
      <c r="T347" s="142"/>
      <c r="U347" s="142"/>
      <c r="V347" s="142"/>
    </row>
    <row r="348">
      <c r="A348" s="320"/>
      <c r="B348" s="142"/>
      <c r="C348" s="320"/>
      <c r="D348" s="124"/>
      <c r="E348" s="320"/>
      <c r="F348" s="142"/>
      <c r="G348" s="320"/>
      <c r="H348" s="142"/>
      <c r="I348" s="329"/>
      <c r="J348" s="124"/>
      <c r="K348" s="329"/>
      <c r="L348" s="124"/>
      <c r="M348" s="329"/>
      <c r="N348" s="124"/>
      <c r="O348" s="320"/>
      <c r="P348" s="142"/>
      <c r="Q348" s="193"/>
      <c r="R348" s="28"/>
      <c r="S348" s="138"/>
      <c r="T348" s="142"/>
      <c r="U348" s="142"/>
      <c r="V348" s="142"/>
    </row>
    <row r="349">
      <c r="A349" s="320"/>
      <c r="B349" s="142"/>
      <c r="C349" s="320"/>
      <c r="D349" s="124"/>
      <c r="E349" s="320"/>
      <c r="F349" s="142"/>
      <c r="G349" s="320"/>
      <c r="H349" s="142"/>
      <c r="I349" s="329"/>
      <c r="J349" s="124"/>
      <c r="K349" s="329"/>
      <c r="L349" s="124"/>
      <c r="M349" s="329"/>
      <c r="N349" s="124"/>
      <c r="O349" s="320"/>
      <c r="P349" s="142"/>
      <c r="Q349" s="193"/>
      <c r="R349" s="28"/>
      <c r="S349" s="138"/>
      <c r="T349" s="142"/>
      <c r="U349" s="142"/>
      <c r="V349" s="142"/>
    </row>
    <row r="350">
      <c r="A350" s="320"/>
      <c r="B350" s="142"/>
      <c r="C350" s="320"/>
      <c r="D350" s="124"/>
      <c r="E350" s="320"/>
      <c r="F350" s="142"/>
      <c r="G350" s="320"/>
      <c r="H350" s="142"/>
      <c r="I350" s="329"/>
      <c r="J350" s="124"/>
      <c r="K350" s="329"/>
      <c r="L350" s="124"/>
      <c r="M350" s="329"/>
      <c r="N350" s="124"/>
      <c r="O350" s="320"/>
      <c r="P350" s="142"/>
      <c r="Q350" s="193"/>
      <c r="R350" s="28"/>
      <c r="S350" s="138"/>
      <c r="T350" s="142"/>
      <c r="U350" s="142"/>
      <c r="V350" s="142"/>
    </row>
    <row r="351">
      <c r="A351" s="320"/>
      <c r="B351" s="142"/>
      <c r="C351" s="320"/>
      <c r="D351" s="124"/>
      <c r="E351" s="320"/>
      <c r="F351" s="142"/>
      <c r="G351" s="320"/>
      <c r="H351" s="142"/>
      <c r="I351" s="329"/>
      <c r="J351" s="124"/>
      <c r="K351" s="329"/>
      <c r="L351" s="124"/>
      <c r="M351" s="329"/>
      <c r="N351" s="124"/>
      <c r="O351" s="320"/>
      <c r="P351" s="142"/>
      <c r="Q351" s="193"/>
      <c r="R351" s="28"/>
      <c r="S351" s="138"/>
      <c r="T351" s="142"/>
      <c r="U351" s="142"/>
      <c r="V351" s="142"/>
    </row>
    <row r="352">
      <c r="A352" s="320"/>
      <c r="B352" s="142"/>
      <c r="C352" s="320"/>
      <c r="D352" s="124"/>
      <c r="E352" s="320"/>
      <c r="F352" s="142"/>
      <c r="G352" s="320"/>
      <c r="H352" s="142"/>
      <c r="I352" s="329"/>
      <c r="J352" s="124"/>
      <c r="K352" s="329"/>
      <c r="L352" s="124"/>
      <c r="M352" s="329"/>
      <c r="N352" s="124"/>
      <c r="O352" s="320"/>
      <c r="P352" s="142"/>
      <c r="Q352" s="193"/>
      <c r="R352" s="28"/>
      <c r="S352" s="138"/>
      <c r="T352" s="142"/>
      <c r="U352" s="142"/>
      <c r="V352" s="142"/>
    </row>
    <row r="353">
      <c r="A353" s="320"/>
      <c r="B353" s="142"/>
      <c r="C353" s="320"/>
      <c r="D353" s="124"/>
      <c r="E353" s="320"/>
      <c r="F353" s="142"/>
      <c r="G353" s="320"/>
      <c r="H353" s="142"/>
      <c r="I353" s="329"/>
      <c r="J353" s="124"/>
      <c r="K353" s="329"/>
      <c r="L353" s="124"/>
      <c r="M353" s="329"/>
      <c r="N353" s="124"/>
      <c r="O353" s="320"/>
      <c r="P353" s="142"/>
      <c r="Q353" s="193"/>
      <c r="R353" s="28"/>
      <c r="S353" s="138"/>
      <c r="T353" s="142"/>
      <c r="U353" s="142"/>
      <c r="V353" s="142"/>
    </row>
    <row r="354">
      <c r="A354" s="320"/>
      <c r="B354" s="142"/>
      <c r="C354" s="320"/>
      <c r="D354" s="124"/>
      <c r="E354" s="320"/>
      <c r="F354" s="142"/>
      <c r="G354" s="320"/>
      <c r="H354" s="142"/>
      <c r="I354" s="329"/>
      <c r="J354" s="124"/>
      <c r="K354" s="329"/>
      <c r="L354" s="124"/>
      <c r="M354" s="329"/>
      <c r="N354" s="124"/>
      <c r="O354" s="320"/>
      <c r="P354" s="142"/>
      <c r="Q354" s="193"/>
      <c r="R354" s="28"/>
      <c r="S354" s="138"/>
      <c r="T354" s="142"/>
      <c r="U354" s="142"/>
      <c r="V354" s="142"/>
    </row>
    <row r="355">
      <c r="A355" s="320"/>
      <c r="B355" s="142"/>
      <c r="C355" s="320"/>
      <c r="D355" s="124"/>
      <c r="E355" s="320"/>
      <c r="F355" s="142"/>
      <c r="G355" s="320"/>
      <c r="H355" s="142"/>
      <c r="I355" s="329"/>
      <c r="J355" s="124"/>
      <c r="K355" s="329"/>
      <c r="L355" s="124"/>
      <c r="M355" s="329"/>
      <c r="N355" s="124"/>
      <c r="O355" s="320"/>
      <c r="P355" s="142"/>
      <c r="Q355" s="193"/>
      <c r="R355" s="28"/>
      <c r="S355" s="138"/>
      <c r="T355" s="142"/>
      <c r="U355" s="142"/>
      <c r="V355" s="142"/>
    </row>
    <row r="356">
      <c r="A356" s="320"/>
      <c r="B356" s="142"/>
      <c r="C356" s="320"/>
      <c r="D356" s="124"/>
      <c r="E356" s="320"/>
      <c r="F356" s="142"/>
      <c r="G356" s="320"/>
      <c r="H356" s="142"/>
      <c r="I356" s="329"/>
      <c r="J356" s="124"/>
      <c r="K356" s="329"/>
      <c r="L356" s="124"/>
      <c r="M356" s="329"/>
      <c r="N356" s="124"/>
      <c r="O356" s="320"/>
      <c r="P356" s="142"/>
      <c r="Q356" s="193"/>
      <c r="R356" s="28"/>
      <c r="S356" s="138"/>
      <c r="T356" s="142"/>
      <c r="U356" s="142"/>
      <c r="V356" s="142"/>
    </row>
    <row r="357">
      <c r="A357" s="320"/>
      <c r="B357" s="142"/>
      <c r="C357" s="320"/>
      <c r="D357" s="124"/>
      <c r="E357" s="320"/>
      <c r="F357" s="142"/>
      <c r="G357" s="320"/>
      <c r="H357" s="142"/>
      <c r="I357" s="329"/>
      <c r="J357" s="124"/>
      <c r="K357" s="329"/>
      <c r="L357" s="124"/>
      <c r="M357" s="329"/>
      <c r="N357" s="124"/>
      <c r="O357" s="320"/>
      <c r="P357" s="142"/>
      <c r="Q357" s="193"/>
      <c r="R357" s="28"/>
      <c r="S357" s="138"/>
      <c r="T357" s="142"/>
      <c r="U357" s="142"/>
      <c r="V357" s="142"/>
    </row>
    <row r="358">
      <c r="A358" s="320"/>
      <c r="B358" s="142"/>
      <c r="C358" s="320"/>
      <c r="D358" s="124"/>
      <c r="E358" s="320"/>
      <c r="F358" s="142"/>
      <c r="G358" s="320"/>
      <c r="H358" s="142"/>
      <c r="I358" s="329"/>
      <c r="J358" s="124"/>
      <c r="K358" s="329"/>
      <c r="L358" s="124"/>
      <c r="M358" s="329"/>
      <c r="N358" s="124"/>
      <c r="O358" s="320"/>
      <c r="P358" s="142"/>
      <c r="Q358" s="193"/>
      <c r="R358" s="28"/>
      <c r="S358" s="138"/>
      <c r="T358" s="142"/>
      <c r="U358" s="142"/>
      <c r="V358" s="142"/>
    </row>
    <row r="359">
      <c r="A359" s="320"/>
      <c r="B359" s="142"/>
      <c r="C359" s="320"/>
      <c r="D359" s="124"/>
      <c r="E359" s="320"/>
      <c r="F359" s="142"/>
      <c r="G359" s="320"/>
      <c r="H359" s="142"/>
      <c r="I359" s="329"/>
      <c r="J359" s="124"/>
      <c r="K359" s="329"/>
      <c r="L359" s="124"/>
      <c r="M359" s="329"/>
      <c r="N359" s="124"/>
      <c r="O359" s="320"/>
      <c r="P359" s="142"/>
      <c r="Q359" s="193"/>
      <c r="R359" s="28"/>
      <c r="S359" s="138"/>
      <c r="T359" s="142"/>
      <c r="U359" s="142"/>
      <c r="V359" s="142"/>
    </row>
    <row r="360">
      <c r="A360" s="320"/>
      <c r="B360" s="142"/>
      <c r="C360" s="320"/>
      <c r="D360" s="124"/>
      <c r="E360" s="320"/>
      <c r="F360" s="142"/>
      <c r="G360" s="320"/>
      <c r="H360" s="142"/>
      <c r="I360" s="329"/>
      <c r="J360" s="124"/>
      <c r="K360" s="329"/>
      <c r="L360" s="124"/>
      <c r="M360" s="329"/>
      <c r="N360" s="124"/>
      <c r="O360" s="320"/>
      <c r="P360" s="142"/>
      <c r="Q360" s="193"/>
      <c r="R360" s="28"/>
      <c r="S360" s="138"/>
      <c r="T360" s="142"/>
      <c r="U360" s="142"/>
      <c r="V360" s="142"/>
    </row>
    <row r="361">
      <c r="A361" s="320"/>
      <c r="B361" s="142"/>
      <c r="C361" s="320"/>
      <c r="D361" s="124"/>
      <c r="E361" s="320"/>
      <c r="F361" s="142"/>
      <c r="G361" s="320"/>
      <c r="H361" s="142"/>
      <c r="I361" s="329"/>
      <c r="J361" s="124"/>
      <c r="K361" s="329"/>
      <c r="L361" s="124"/>
      <c r="M361" s="329"/>
      <c r="N361" s="124"/>
      <c r="O361" s="320"/>
      <c r="P361" s="142"/>
      <c r="Q361" s="193"/>
      <c r="R361" s="28"/>
      <c r="S361" s="138"/>
      <c r="T361" s="142"/>
      <c r="U361" s="142"/>
      <c r="V361" s="142"/>
    </row>
    <row r="362">
      <c r="A362" s="320"/>
      <c r="B362" s="142"/>
      <c r="C362" s="320"/>
      <c r="D362" s="124"/>
      <c r="E362" s="320"/>
      <c r="F362" s="142"/>
      <c r="G362" s="320"/>
      <c r="H362" s="142"/>
      <c r="I362" s="329"/>
      <c r="J362" s="124"/>
      <c r="K362" s="329"/>
      <c r="L362" s="124"/>
      <c r="M362" s="329"/>
      <c r="N362" s="124"/>
      <c r="O362" s="320"/>
      <c r="P362" s="142"/>
      <c r="Q362" s="193"/>
      <c r="R362" s="28"/>
      <c r="S362" s="138"/>
      <c r="T362" s="142"/>
      <c r="U362" s="142"/>
      <c r="V362" s="142"/>
    </row>
    <row r="363">
      <c r="A363" s="320"/>
      <c r="B363" s="142"/>
      <c r="C363" s="320"/>
      <c r="D363" s="124"/>
      <c r="E363" s="320"/>
      <c r="F363" s="142"/>
      <c r="G363" s="320"/>
      <c r="H363" s="142"/>
      <c r="I363" s="329"/>
      <c r="J363" s="124"/>
      <c r="K363" s="329"/>
      <c r="L363" s="124"/>
      <c r="M363" s="329"/>
      <c r="N363" s="124"/>
      <c r="O363" s="320"/>
      <c r="P363" s="142"/>
      <c r="Q363" s="193"/>
      <c r="R363" s="28"/>
      <c r="S363" s="138"/>
      <c r="T363" s="142"/>
      <c r="U363" s="142"/>
      <c r="V363" s="142"/>
    </row>
    <row r="364">
      <c r="A364" s="320"/>
      <c r="B364" s="142"/>
      <c r="C364" s="320"/>
      <c r="D364" s="124"/>
      <c r="E364" s="320"/>
      <c r="F364" s="142"/>
      <c r="G364" s="320"/>
      <c r="H364" s="142"/>
      <c r="I364" s="329"/>
      <c r="J364" s="124"/>
      <c r="K364" s="329"/>
      <c r="L364" s="124"/>
      <c r="M364" s="329"/>
      <c r="N364" s="124"/>
      <c r="O364" s="320"/>
      <c r="P364" s="142"/>
      <c r="Q364" s="193"/>
      <c r="R364" s="28"/>
      <c r="S364" s="138"/>
      <c r="T364" s="142"/>
      <c r="U364" s="142"/>
      <c r="V364" s="142"/>
    </row>
    <row r="365">
      <c r="A365" s="320"/>
      <c r="B365" s="142"/>
      <c r="C365" s="320"/>
      <c r="D365" s="124"/>
      <c r="E365" s="320"/>
      <c r="F365" s="142"/>
      <c r="G365" s="320"/>
      <c r="H365" s="142"/>
      <c r="I365" s="329"/>
      <c r="J365" s="124"/>
      <c r="K365" s="329"/>
      <c r="L365" s="124"/>
      <c r="M365" s="329"/>
      <c r="N365" s="124"/>
      <c r="O365" s="320"/>
      <c r="P365" s="142"/>
      <c r="Q365" s="193"/>
      <c r="R365" s="28"/>
      <c r="S365" s="138"/>
      <c r="T365" s="142"/>
      <c r="U365" s="142"/>
      <c r="V365" s="142"/>
    </row>
    <row r="366">
      <c r="A366" s="320"/>
      <c r="B366" s="142"/>
      <c r="C366" s="320"/>
      <c r="D366" s="124"/>
      <c r="E366" s="320"/>
      <c r="F366" s="142"/>
      <c r="G366" s="320"/>
      <c r="H366" s="142"/>
      <c r="I366" s="329"/>
      <c r="J366" s="124"/>
      <c r="K366" s="329"/>
      <c r="L366" s="124"/>
      <c r="M366" s="329"/>
      <c r="N366" s="124"/>
      <c r="O366" s="320"/>
      <c r="P366" s="142"/>
      <c r="Q366" s="193"/>
      <c r="R366" s="28"/>
      <c r="S366" s="138"/>
      <c r="T366" s="142"/>
      <c r="U366" s="142"/>
      <c r="V366" s="142"/>
    </row>
    <row r="367">
      <c r="A367" s="320"/>
      <c r="B367" s="142"/>
      <c r="C367" s="320"/>
      <c r="D367" s="124"/>
      <c r="E367" s="320"/>
      <c r="F367" s="142"/>
      <c r="G367" s="320"/>
      <c r="H367" s="142"/>
      <c r="I367" s="329"/>
      <c r="J367" s="124"/>
      <c r="K367" s="329"/>
      <c r="L367" s="124"/>
      <c r="M367" s="329"/>
      <c r="N367" s="124"/>
      <c r="O367" s="320"/>
      <c r="P367" s="142"/>
      <c r="Q367" s="193"/>
      <c r="R367" s="28"/>
      <c r="S367" s="138"/>
      <c r="T367" s="142"/>
      <c r="U367" s="142"/>
      <c r="V367" s="142"/>
    </row>
    <row r="368">
      <c r="A368" s="320"/>
      <c r="B368" s="142"/>
      <c r="C368" s="320"/>
      <c r="D368" s="124"/>
      <c r="E368" s="320"/>
      <c r="F368" s="142"/>
      <c r="G368" s="320"/>
      <c r="H368" s="142"/>
      <c r="I368" s="329"/>
      <c r="J368" s="124"/>
      <c r="K368" s="329"/>
      <c r="L368" s="124"/>
      <c r="M368" s="329"/>
      <c r="N368" s="124"/>
      <c r="O368" s="320"/>
      <c r="P368" s="142"/>
      <c r="Q368" s="193"/>
      <c r="R368" s="28"/>
      <c r="S368" s="138"/>
      <c r="T368" s="142"/>
      <c r="U368" s="142"/>
      <c r="V368" s="142"/>
    </row>
    <row r="369">
      <c r="A369" s="320"/>
      <c r="B369" s="142"/>
      <c r="C369" s="320"/>
      <c r="D369" s="124"/>
      <c r="E369" s="320"/>
      <c r="F369" s="142"/>
      <c r="G369" s="320"/>
      <c r="H369" s="142"/>
      <c r="I369" s="329"/>
      <c r="J369" s="124"/>
      <c r="K369" s="329"/>
      <c r="L369" s="124"/>
      <c r="M369" s="329"/>
      <c r="N369" s="124"/>
      <c r="O369" s="320"/>
      <c r="P369" s="142"/>
      <c r="Q369" s="193"/>
      <c r="R369" s="28"/>
      <c r="S369" s="138"/>
      <c r="T369" s="142"/>
      <c r="U369" s="142"/>
      <c r="V369" s="142"/>
    </row>
    <row r="370">
      <c r="A370" s="320"/>
      <c r="B370" s="142"/>
      <c r="C370" s="320"/>
      <c r="D370" s="124"/>
      <c r="E370" s="320"/>
      <c r="F370" s="142"/>
      <c r="G370" s="320"/>
      <c r="H370" s="142"/>
      <c r="I370" s="329"/>
      <c r="J370" s="124"/>
      <c r="K370" s="329"/>
      <c r="L370" s="124"/>
      <c r="M370" s="329"/>
      <c r="N370" s="124"/>
      <c r="O370" s="320"/>
      <c r="P370" s="142"/>
      <c r="Q370" s="193"/>
      <c r="R370" s="28"/>
      <c r="S370" s="138"/>
      <c r="T370" s="142"/>
      <c r="U370" s="142"/>
      <c r="V370" s="142"/>
    </row>
    <row r="371">
      <c r="A371" s="320"/>
      <c r="B371" s="142"/>
      <c r="C371" s="320"/>
      <c r="D371" s="124"/>
      <c r="E371" s="320"/>
      <c r="F371" s="142"/>
      <c r="G371" s="320"/>
      <c r="H371" s="142"/>
      <c r="I371" s="329"/>
      <c r="J371" s="124"/>
      <c r="K371" s="329"/>
      <c r="L371" s="124"/>
      <c r="M371" s="329"/>
      <c r="N371" s="124"/>
      <c r="O371" s="320"/>
      <c r="P371" s="142"/>
      <c r="Q371" s="193"/>
      <c r="R371" s="28"/>
      <c r="S371" s="138"/>
      <c r="T371" s="142"/>
      <c r="U371" s="142"/>
      <c r="V371" s="142"/>
    </row>
    <row r="372">
      <c r="A372" s="320"/>
      <c r="B372" s="142"/>
      <c r="C372" s="320"/>
      <c r="D372" s="124"/>
      <c r="E372" s="320"/>
      <c r="F372" s="142"/>
      <c r="G372" s="320"/>
      <c r="H372" s="142"/>
      <c r="I372" s="329"/>
      <c r="J372" s="124"/>
      <c r="K372" s="329"/>
      <c r="L372" s="124"/>
      <c r="M372" s="329"/>
      <c r="N372" s="124"/>
      <c r="O372" s="320"/>
      <c r="P372" s="142"/>
      <c r="Q372" s="193"/>
      <c r="R372" s="28"/>
      <c r="S372" s="138"/>
      <c r="T372" s="142"/>
      <c r="U372" s="142"/>
      <c r="V372" s="142"/>
    </row>
    <row r="373">
      <c r="A373" s="320"/>
      <c r="B373" s="142"/>
      <c r="C373" s="320"/>
      <c r="D373" s="124"/>
      <c r="E373" s="320"/>
      <c r="F373" s="142"/>
      <c r="G373" s="320"/>
      <c r="H373" s="142"/>
      <c r="I373" s="329"/>
      <c r="J373" s="124"/>
      <c r="K373" s="329"/>
      <c r="L373" s="124"/>
      <c r="M373" s="329"/>
      <c r="N373" s="124"/>
      <c r="O373" s="320"/>
      <c r="P373" s="142"/>
      <c r="Q373" s="193"/>
      <c r="R373" s="28"/>
      <c r="S373" s="138"/>
      <c r="T373" s="142"/>
      <c r="U373" s="142"/>
      <c r="V373" s="142"/>
    </row>
    <row r="374">
      <c r="A374" s="320"/>
      <c r="B374" s="142"/>
      <c r="C374" s="320"/>
      <c r="D374" s="124"/>
      <c r="E374" s="320"/>
      <c r="F374" s="142"/>
      <c r="G374" s="320"/>
      <c r="H374" s="142"/>
      <c r="I374" s="329"/>
      <c r="J374" s="124"/>
      <c r="K374" s="329"/>
      <c r="L374" s="124"/>
      <c r="M374" s="329"/>
      <c r="N374" s="124"/>
      <c r="O374" s="320"/>
      <c r="P374" s="142"/>
      <c r="Q374" s="193"/>
      <c r="R374" s="28"/>
      <c r="S374" s="138"/>
      <c r="T374" s="142"/>
      <c r="U374" s="142"/>
      <c r="V374" s="142"/>
    </row>
    <row r="375">
      <c r="A375" s="320"/>
      <c r="B375" s="142"/>
      <c r="C375" s="320"/>
      <c r="D375" s="124"/>
      <c r="E375" s="320"/>
      <c r="F375" s="142"/>
      <c r="G375" s="320"/>
      <c r="H375" s="142"/>
      <c r="I375" s="329"/>
      <c r="J375" s="124"/>
      <c r="K375" s="329"/>
      <c r="L375" s="124"/>
      <c r="M375" s="329"/>
      <c r="N375" s="124"/>
      <c r="O375" s="320"/>
      <c r="P375" s="142"/>
      <c r="Q375" s="193"/>
      <c r="R375" s="28"/>
      <c r="S375" s="138"/>
      <c r="T375" s="142"/>
      <c r="U375" s="142"/>
      <c r="V375" s="142"/>
    </row>
    <row r="376">
      <c r="A376" s="320"/>
      <c r="B376" s="142"/>
      <c r="C376" s="320"/>
      <c r="D376" s="124"/>
      <c r="E376" s="320"/>
      <c r="F376" s="142"/>
      <c r="G376" s="320"/>
      <c r="H376" s="142"/>
      <c r="I376" s="329"/>
      <c r="J376" s="124"/>
      <c r="K376" s="329"/>
      <c r="L376" s="124"/>
      <c r="M376" s="329"/>
      <c r="N376" s="124"/>
      <c r="O376" s="320"/>
      <c r="P376" s="142"/>
      <c r="Q376" s="193"/>
      <c r="R376" s="28"/>
      <c r="S376" s="138"/>
      <c r="T376" s="142"/>
      <c r="U376" s="142"/>
      <c r="V376" s="142"/>
    </row>
    <row r="377">
      <c r="A377" s="320"/>
      <c r="B377" s="142"/>
      <c r="C377" s="320"/>
      <c r="D377" s="124"/>
      <c r="E377" s="320"/>
      <c r="F377" s="142"/>
      <c r="G377" s="320"/>
      <c r="H377" s="142"/>
      <c r="I377" s="329"/>
      <c r="J377" s="124"/>
      <c r="K377" s="329"/>
      <c r="L377" s="124"/>
      <c r="M377" s="329"/>
      <c r="N377" s="124"/>
      <c r="O377" s="320"/>
      <c r="P377" s="142"/>
      <c r="Q377" s="193"/>
      <c r="R377" s="28"/>
      <c r="S377" s="138"/>
      <c r="T377" s="142"/>
      <c r="U377" s="142"/>
      <c r="V377" s="142"/>
    </row>
    <row r="378">
      <c r="A378" s="320"/>
      <c r="B378" s="142"/>
      <c r="C378" s="320"/>
      <c r="D378" s="124"/>
      <c r="E378" s="320"/>
      <c r="F378" s="142"/>
      <c r="G378" s="320"/>
      <c r="H378" s="142"/>
      <c r="I378" s="329"/>
      <c r="J378" s="124"/>
      <c r="K378" s="329"/>
      <c r="L378" s="124"/>
      <c r="M378" s="329"/>
      <c r="N378" s="124"/>
      <c r="O378" s="320"/>
      <c r="P378" s="142"/>
      <c r="Q378" s="193"/>
      <c r="R378" s="28"/>
      <c r="S378" s="138"/>
      <c r="T378" s="142"/>
      <c r="U378" s="142"/>
      <c r="V378" s="142"/>
    </row>
    <row r="379">
      <c r="A379" s="320"/>
      <c r="B379" s="142"/>
      <c r="C379" s="320"/>
      <c r="D379" s="124"/>
      <c r="E379" s="320"/>
      <c r="F379" s="142"/>
      <c r="G379" s="320"/>
      <c r="H379" s="142"/>
      <c r="I379" s="329"/>
      <c r="J379" s="124"/>
      <c r="K379" s="329"/>
      <c r="L379" s="124"/>
      <c r="M379" s="329"/>
      <c r="N379" s="124"/>
      <c r="O379" s="320"/>
      <c r="P379" s="142"/>
      <c r="Q379" s="193"/>
      <c r="R379" s="28"/>
      <c r="S379" s="138"/>
      <c r="T379" s="142"/>
      <c r="U379" s="142"/>
      <c r="V379" s="142"/>
    </row>
    <row r="380">
      <c r="A380" s="320"/>
      <c r="B380" s="142"/>
      <c r="C380" s="320"/>
      <c r="D380" s="124"/>
      <c r="E380" s="320"/>
      <c r="F380" s="142"/>
      <c r="G380" s="320"/>
      <c r="H380" s="142"/>
      <c r="I380" s="329"/>
      <c r="J380" s="124"/>
      <c r="K380" s="329"/>
      <c r="L380" s="124"/>
      <c r="M380" s="329"/>
      <c r="N380" s="124"/>
      <c r="O380" s="320"/>
      <c r="P380" s="142"/>
      <c r="Q380" s="193"/>
      <c r="R380" s="28"/>
      <c r="S380" s="138"/>
      <c r="T380" s="142"/>
      <c r="U380" s="142"/>
      <c r="V380" s="142"/>
    </row>
    <row r="381">
      <c r="A381" s="320"/>
      <c r="B381" s="142"/>
      <c r="C381" s="320"/>
      <c r="D381" s="124"/>
      <c r="E381" s="320"/>
      <c r="F381" s="142"/>
      <c r="G381" s="320"/>
      <c r="H381" s="142"/>
      <c r="I381" s="329"/>
      <c r="J381" s="124"/>
      <c r="K381" s="329"/>
      <c r="L381" s="124"/>
      <c r="M381" s="329"/>
      <c r="N381" s="124"/>
      <c r="O381" s="320"/>
      <c r="P381" s="142"/>
      <c r="Q381" s="193"/>
      <c r="R381" s="28"/>
      <c r="S381" s="138"/>
      <c r="T381" s="142"/>
      <c r="U381" s="142"/>
      <c r="V381" s="142"/>
    </row>
    <row r="382">
      <c r="A382" s="320"/>
      <c r="B382" s="142"/>
      <c r="C382" s="320"/>
      <c r="D382" s="124"/>
      <c r="E382" s="320"/>
      <c r="F382" s="142"/>
      <c r="G382" s="320"/>
      <c r="H382" s="142"/>
      <c r="I382" s="329"/>
      <c r="J382" s="124"/>
      <c r="K382" s="329"/>
      <c r="L382" s="124"/>
      <c r="M382" s="329"/>
      <c r="N382" s="124"/>
      <c r="O382" s="320"/>
      <c r="P382" s="142"/>
      <c r="Q382" s="193"/>
      <c r="R382" s="28"/>
      <c r="S382" s="138"/>
      <c r="T382" s="142"/>
      <c r="U382" s="142"/>
      <c r="V382" s="142"/>
    </row>
    <row r="383">
      <c r="A383" s="320"/>
      <c r="B383" s="142"/>
      <c r="C383" s="320"/>
      <c r="D383" s="124"/>
      <c r="E383" s="320"/>
      <c r="F383" s="142"/>
      <c r="G383" s="320"/>
      <c r="H383" s="142"/>
      <c r="I383" s="329"/>
      <c r="J383" s="124"/>
      <c r="K383" s="329"/>
      <c r="L383" s="124"/>
      <c r="M383" s="329"/>
      <c r="N383" s="124"/>
      <c r="O383" s="320"/>
      <c r="P383" s="142"/>
      <c r="Q383" s="193"/>
      <c r="R383" s="28"/>
      <c r="S383" s="138"/>
      <c r="T383" s="142"/>
      <c r="U383" s="142"/>
      <c r="V383" s="142"/>
    </row>
    <row r="384">
      <c r="A384" s="320"/>
      <c r="B384" s="142"/>
      <c r="C384" s="320"/>
      <c r="D384" s="124"/>
      <c r="E384" s="320"/>
      <c r="F384" s="142"/>
      <c r="G384" s="320"/>
      <c r="H384" s="142"/>
      <c r="I384" s="329"/>
      <c r="J384" s="124"/>
      <c r="K384" s="329"/>
      <c r="L384" s="124"/>
      <c r="M384" s="329"/>
      <c r="N384" s="124"/>
      <c r="O384" s="320"/>
      <c r="P384" s="142"/>
      <c r="Q384" s="193"/>
      <c r="R384" s="28"/>
      <c r="S384" s="138"/>
      <c r="T384" s="142"/>
      <c r="U384" s="142"/>
      <c r="V384" s="142"/>
    </row>
    <row r="385">
      <c r="A385" s="320"/>
      <c r="B385" s="142"/>
      <c r="C385" s="320"/>
      <c r="D385" s="124"/>
      <c r="E385" s="320"/>
      <c r="F385" s="142"/>
      <c r="G385" s="320"/>
      <c r="H385" s="142"/>
      <c r="I385" s="329"/>
      <c r="J385" s="124"/>
      <c r="K385" s="329"/>
      <c r="L385" s="124"/>
      <c r="M385" s="329"/>
      <c r="N385" s="124"/>
      <c r="O385" s="320"/>
      <c r="P385" s="142"/>
      <c r="Q385" s="193"/>
      <c r="R385" s="28"/>
      <c r="S385" s="138"/>
      <c r="T385" s="142"/>
      <c r="U385" s="142"/>
      <c r="V385" s="142"/>
    </row>
    <row r="386">
      <c r="A386" s="320"/>
      <c r="B386" s="142"/>
      <c r="C386" s="320"/>
      <c r="D386" s="124"/>
      <c r="E386" s="320"/>
      <c r="F386" s="142"/>
      <c r="G386" s="320"/>
      <c r="H386" s="142"/>
      <c r="I386" s="329"/>
      <c r="J386" s="124"/>
      <c r="K386" s="329"/>
      <c r="L386" s="124"/>
      <c r="M386" s="329"/>
      <c r="N386" s="124"/>
      <c r="O386" s="320"/>
      <c r="P386" s="142"/>
      <c r="Q386" s="193"/>
      <c r="R386" s="28"/>
      <c r="S386" s="138"/>
      <c r="T386" s="142"/>
      <c r="U386" s="142"/>
      <c r="V386" s="142"/>
    </row>
    <row r="387">
      <c r="A387" s="320"/>
      <c r="B387" s="142"/>
      <c r="C387" s="320"/>
      <c r="D387" s="124"/>
      <c r="E387" s="320"/>
      <c r="F387" s="142"/>
      <c r="G387" s="320"/>
      <c r="H387" s="142"/>
      <c r="I387" s="329"/>
      <c r="J387" s="124"/>
      <c r="K387" s="329"/>
      <c r="L387" s="124"/>
      <c r="M387" s="329"/>
      <c r="N387" s="124"/>
      <c r="O387" s="320"/>
      <c r="P387" s="142"/>
      <c r="Q387" s="193"/>
      <c r="R387" s="28"/>
      <c r="S387" s="138"/>
      <c r="T387" s="142"/>
      <c r="U387" s="142"/>
      <c r="V387" s="142"/>
    </row>
    <row r="388">
      <c r="A388" s="320"/>
      <c r="B388" s="142"/>
      <c r="C388" s="320"/>
      <c r="D388" s="124"/>
      <c r="E388" s="320"/>
      <c r="F388" s="142"/>
      <c r="G388" s="320"/>
      <c r="H388" s="142"/>
      <c r="I388" s="329"/>
      <c r="J388" s="124"/>
      <c r="K388" s="329"/>
      <c r="L388" s="124"/>
      <c r="M388" s="329"/>
      <c r="N388" s="124"/>
      <c r="O388" s="320"/>
      <c r="P388" s="142"/>
      <c r="Q388" s="193"/>
      <c r="R388" s="28"/>
      <c r="S388" s="138"/>
      <c r="T388" s="142"/>
      <c r="U388" s="142"/>
      <c r="V388" s="142"/>
    </row>
    <row r="389">
      <c r="A389" s="320"/>
      <c r="B389" s="142"/>
      <c r="C389" s="320"/>
      <c r="D389" s="124"/>
      <c r="E389" s="320"/>
      <c r="F389" s="142"/>
      <c r="G389" s="320"/>
      <c r="H389" s="142"/>
      <c r="I389" s="329"/>
      <c r="J389" s="124"/>
      <c r="K389" s="329"/>
      <c r="L389" s="124"/>
      <c r="M389" s="329"/>
      <c r="N389" s="124"/>
      <c r="O389" s="320"/>
      <c r="P389" s="142"/>
      <c r="Q389" s="193"/>
      <c r="R389" s="28"/>
      <c r="S389" s="138"/>
      <c r="T389" s="142"/>
      <c r="U389" s="142"/>
      <c r="V389" s="142"/>
    </row>
    <row r="390">
      <c r="A390" s="320"/>
      <c r="B390" s="142"/>
      <c r="C390" s="320"/>
      <c r="D390" s="124"/>
      <c r="E390" s="320"/>
      <c r="F390" s="142"/>
      <c r="G390" s="320"/>
      <c r="H390" s="142"/>
      <c r="I390" s="329"/>
      <c r="J390" s="124"/>
      <c r="K390" s="329"/>
      <c r="L390" s="124"/>
      <c r="M390" s="329"/>
      <c r="N390" s="124"/>
      <c r="O390" s="320"/>
      <c r="P390" s="142"/>
      <c r="Q390" s="193"/>
      <c r="R390" s="28"/>
      <c r="S390" s="138"/>
      <c r="T390" s="142"/>
      <c r="U390" s="142"/>
      <c r="V390" s="142"/>
    </row>
    <row r="391">
      <c r="A391" s="320"/>
      <c r="B391" s="142"/>
      <c r="C391" s="320"/>
      <c r="D391" s="124"/>
      <c r="E391" s="320"/>
      <c r="F391" s="142"/>
      <c r="G391" s="320"/>
      <c r="H391" s="142"/>
      <c r="I391" s="329"/>
      <c r="J391" s="124"/>
      <c r="K391" s="329"/>
      <c r="L391" s="124"/>
      <c r="M391" s="329"/>
      <c r="N391" s="124"/>
      <c r="O391" s="320"/>
      <c r="P391" s="142"/>
      <c r="Q391" s="193"/>
      <c r="R391" s="28"/>
      <c r="S391" s="138"/>
      <c r="T391" s="142"/>
      <c r="U391" s="142"/>
      <c r="V391" s="142"/>
    </row>
    <row r="392">
      <c r="A392" s="320"/>
      <c r="B392" s="142"/>
      <c r="C392" s="320"/>
      <c r="D392" s="124"/>
      <c r="E392" s="320"/>
      <c r="F392" s="142"/>
      <c r="G392" s="320"/>
      <c r="H392" s="142"/>
      <c r="I392" s="329"/>
      <c r="J392" s="124"/>
      <c r="K392" s="329"/>
      <c r="L392" s="124"/>
      <c r="M392" s="329"/>
      <c r="N392" s="124"/>
      <c r="O392" s="320"/>
      <c r="P392" s="142"/>
      <c r="Q392" s="193"/>
      <c r="R392" s="28"/>
      <c r="S392" s="138"/>
      <c r="T392" s="142"/>
      <c r="U392" s="142"/>
      <c r="V392" s="142"/>
    </row>
    <row r="393">
      <c r="A393" s="320"/>
      <c r="B393" s="142"/>
      <c r="C393" s="320"/>
      <c r="D393" s="124"/>
      <c r="E393" s="320"/>
      <c r="F393" s="142"/>
      <c r="G393" s="320"/>
      <c r="H393" s="142"/>
      <c r="I393" s="329"/>
      <c r="J393" s="124"/>
      <c r="K393" s="329"/>
      <c r="L393" s="124"/>
      <c r="M393" s="329"/>
      <c r="N393" s="124"/>
      <c r="O393" s="320"/>
      <c r="P393" s="142"/>
      <c r="Q393" s="193"/>
      <c r="R393" s="28"/>
      <c r="S393" s="138"/>
      <c r="T393" s="142"/>
      <c r="U393" s="142"/>
      <c r="V393" s="142"/>
    </row>
    <row r="394">
      <c r="A394" s="320"/>
      <c r="B394" s="142"/>
      <c r="C394" s="320"/>
      <c r="D394" s="124"/>
      <c r="E394" s="320"/>
      <c r="F394" s="142"/>
      <c r="G394" s="320"/>
      <c r="H394" s="142"/>
      <c r="I394" s="329"/>
      <c r="J394" s="124"/>
      <c r="K394" s="329"/>
      <c r="L394" s="124"/>
      <c r="M394" s="329"/>
      <c r="N394" s="124"/>
      <c r="O394" s="320"/>
      <c r="P394" s="142"/>
      <c r="Q394" s="193"/>
      <c r="R394" s="28"/>
      <c r="S394" s="138"/>
      <c r="T394" s="142"/>
      <c r="U394" s="142"/>
      <c r="V394" s="142"/>
    </row>
    <row r="395">
      <c r="A395" s="320"/>
      <c r="B395" s="142"/>
      <c r="C395" s="320"/>
      <c r="D395" s="124"/>
      <c r="E395" s="320"/>
      <c r="F395" s="142"/>
      <c r="G395" s="320"/>
      <c r="H395" s="142"/>
      <c r="I395" s="329"/>
      <c r="J395" s="124"/>
      <c r="K395" s="329"/>
      <c r="L395" s="124"/>
      <c r="M395" s="329"/>
      <c r="N395" s="124"/>
      <c r="O395" s="320"/>
      <c r="P395" s="142"/>
      <c r="Q395" s="193"/>
      <c r="R395" s="28"/>
      <c r="S395" s="138"/>
      <c r="T395" s="142"/>
      <c r="U395" s="142"/>
      <c r="V395" s="142"/>
    </row>
    <row r="396">
      <c r="A396" s="320"/>
      <c r="B396" s="142"/>
      <c r="C396" s="320"/>
      <c r="D396" s="124"/>
      <c r="E396" s="320"/>
      <c r="F396" s="142"/>
      <c r="G396" s="320"/>
      <c r="H396" s="142"/>
      <c r="I396" s="329"/>
      <c r="J396" s="124"/>
      <c r="K396" s="329"/>
      <c r="L396" s="124"/>
      <c r="M396" s="329"/>
      <c r="N396" s="124"/>
      <c r="O396" s="320"/>
      <c r="P396" s="142"/>
      <c r="Q396" s="193"/>
      <c r="R396" s="28"/>
      <c r="S396" s="138"/>
      <c r="T396" s="142"/>
      <c r="U396" s="142"/>
      <c r="V396" s="142"/>
    </row>
    <row r="397">
      <c r="A397" s="320"/>
      <c r="B397" s="142"/>
      <c r="C397" s="320"/>
      <c r="D397" s="124"/>
      <c r="E397" s="320"/>
      <c r="F397" s="142"/>
      <c r="G397" s="320"/>
      <c r="H397" s="142"/>
      <c r="I397" s="329"/>
      <c r="J397" s="124"/>
      <c r="K397" s="329"/>
      <c r="L397" s="124"/>
      <c r="M397" s="329"/>
      <c r="N397" s="124"/>
      <c r="O397" s="320"/>
      <c r="P397" s="142"/>
      <c r="Q397" s="193"/>
      <c r="R397" s="28"/>
      <c r="S397" s="138"/>
      <c r="T397" s="142"/>
      <c r="U397" s="142"/>
      <c r="V397" s="142"/>
    </row>
    <row r="398">
      <c r="A398" s="320"/>
      <c r="B398" s="142"/>
      <c r="C398" s="320"/>
      <c r="D398" s="124"/>
      <c r="E398" s="320"/>
      <c r="F398" s="142"/>
      <c r="G398" s="320"/>
      <c r="H398" s="142"/>
      <c r="I398" s="329"/>
      <c r="J398" s="124"/>
      <c r="K398" s="329"/>
      <c r="L398" s="124"/>
      <c r="M398" s="329"/>
      <c r="N398" s="124"/>
      <c r="O398" s="320"/>
      <c r="P398" s="142"/>
      <c r="Q398" s="193"/>
      <c r="R398" s="28"/>
      <c r="S398" s="138"/>
      <c r="T398" s="142"/>
      <c r="U398" s="142"/>
      <c r="V398" s="142"/>
    </row>
    <row r="399">
      <c r="A399" s="320"/>
      <c r="B399" s="142"/>
      <c r="C399" s="320"/>
      <c r="D399" s="124"/>
      <c r="E399" s="320"/>
      <c r="F399" s="142"/>
      <c r="G399" s="320"/>
      <c r="H399" s="142"/>
      <c r="I399" s="329"/>
      <c r="J399" s="124"/>
      <c r="K399" s="329"/>
      <c r="L399" s="124"/>
      <c r="M399" s="329"/>
      <c r="N399" s="124"/>
      <c r="O399" s="320"/>
      <c r="P399" s="142"/>
      <c r="Q399" s="193"/>
      <c r="R399" s="28"/>
      <c r="S399" s="138"/>
      <c r="T399" s="142"/>
      <c r="U399" s="142"/>
      <c r="V399" s="142"/>
    </row>
    <row r="400">
      <c r="A400" s="320"/>
      <c r="B400" s="142"/>
      <c r="C400" s="320"/>
      <c r="D400" s="124"/>
      <c r="E400" s="320"/>
      <c r="F400" s="142"/>
      <c r="G400" s="320"/>
      <c r="H400" s="142"/>
      <c r="I400" s="329"/>
      <c r="J400" s="124"/>
      <c r="K400" s="329"/>
      <c r="L400" s="124"/>
      <c r="M400" s="329"/>
      <c r="N400" s="124"/>
      <c r="O400" s="320"/>
      <c r="P400" s="142"/>
      <c r="Q400" s="193"/>
      <c r="R400" s="28"/>
      <c r="S400" s="138"/>
      <c r="T400" s="142"/>
      <c r="U400" s="142"/>
      <c r="V400" s="142"/>
    </row>
    <row r="401">
      <c r="A401" s="320"/>
      <c r="B401" s="142"/>
      <c r="C401" s="320"/>
      <c r="D401" s="124"/>
      <c r="E401" s="320"/>
      <c r="F401" s="142"/>
      <c r="G401" s="320"/>
      <c r="H401" s="142"/>
      <c r="I401" s="329"/>
      <c r="J401" s="124"/>
      <c r="K401" s="329"/>
      <c r="L401" s="124"/>
      <c r="M401" s="329"/>
      <c r="N401" s="124"/>
      <c r="O401" s="320"/>
      <c r="P401" s="142"/>
      <c r="Q401" s="193"/>
      <c r="R401" s="28"/>
      <c r="S401" s="138"/>
      <c r="T401" s="142"/>
      <c r="U401" s="142"/>
      <c r="V401" s="142"/>
    </row>
    <row r="402">
      <c r="A402" s="320"/>
      <c r="B402" s="142"/>
      <c r="C402" s="320"/>
      <c r="D402" s="124"/>
      <c r="E402" s="320"/>
      <c r="F402" s="142"/>
      <c r="G402" s="320"/>
      <c r="H402" s="142"/>
      <c r="I402" s="329"/>
      <c r="J402" s="124"/>
      <c r="K402" s="329"/>
      <c r="L402" s="124"/>
      <c r="M402" s="329"/>
      <c r="N402" s="124"/>
      <c r="O402" s="320"/>
      <c r="P402" s="142"/>
      <c r="Q402" s="193"/>
      <c r="R402" s="28"/>
      <c r="S402" s="138"/>
      <c r="T402" s="142"/>
      <c r="U402" s="142"/>
      <c r="V402" s="142"/>
    </row>
    <row r="403">
      <c r="A403" s="320"/>
      <c r="B403" s="142"/>
      <c r="C403" s="320"/>
      <c r="D403" s="124"/>
      <c r="E403" s="320"/>
      <c r="F403" s="142"/>
      <c r="G403" s="320"/>
      <c r="H403" s="142"/>
      <c r="I403" s="329"/>
      <c r="J403" s="124"/>
      <c r="K403" s="329"/>
      <c r="L403" s="124"/>
      <c r="M403" s="329"/>
      <c r="N403" s="124"/>
      <c r="O403" s="320"/>
      <c r="P403" s="142"/>
      <c r="Q403" s="193"/>
      <c r="R403" s="28"/>
      <c r="S403" s="138"/>
      <c r="T403" s="142"/>
      <c r="U403" s="142"/>
      <c r="V403" s="142"/>
    </row>
    <row r="404">
      <c r="A404" s="320"/>
      <c r="B404" s="142"/>
      <c r="C404" s="320"/>
      <c r="D404" s="124"/>
      <c r="E404" s="320"/>
      <c r="F404" s="142"/>
      <c r="G404" s="320"/>
      <c r="H404" s="142"/>
      <c r="I404" s="329"/>
      <c r="J404" s="124"/>
      <c r="K404" s="329"/>
      <c r="L404" s="124"/>
      <c r="M404" s="329"/>
      <c r="N404" s="124"/>
      <c r="O404" s="320"/>
      <c r="P404" s="142"/>
      <c r="Q404" s="193"/>
      <c r="R404" s="28"/>
      <c r="S404" s="138"/>
      <c r="T404" s="142"/>
      <c r="U404" s="142"/>
      <c r="V404" s="142"/>
    </row>
    <row r="405">
      <c r="A405" s="320"/>
      <c r="B405" s="142"/>
      <c r="C405" s="320"/>
      <c r="D405" s="124"/>
      <c r="E405" s="320"/>
      <c r="F405" s="142"/>
      <c r="G405" s="320"/>
      <c r="H405" s="142"/>
      <c r="I405" s="329"/>
      <c r="J405" s="124"/>
      <c r="K405" s="329"/>
      <c r="L405" s="124"/>
      <c r="M405" s="329"/>
      <c r="N405" s="124"/>
      <c r="O405" s="320"/>
      <c r="P405" s="142"/>
      <c r="Q405" s="193"/>
      <c r="R405" s="28"/>
      <c r="S405" s="138"/>
      <c r="T405" s="142"/>
      <c r="U405" s="142"/>
      <c r="V405" s="142"/>
    </row>
    <row r="406">
      <c r="A406" s="320"/>
      <c r="B406" s="142"/>
      <c r="C406" s="320"/>
      <c r="D406" s="124"/>
      <c r="E406" s="320"/>
      <c r="F406" s="142"/>
      <c r="G406" s="320"/>
      <c r="H406" s="142"/>
      <c r="I406" s="329"/>
      <c r="J406" s="124"/>
      <c r="K406" s="329"/>
      <c r="L406" s="124"/>
      <c r="M406" s="329"/>
      <c r="N406" s="124"/>
      <c r="O406" s="320"/>
      <c r="P406" s="142"/>
      <c r="Q406" s="193"/>
      <c r="R406" s="28"/>
      <c r="S406" s="138"/>
      <c r="T406" s="142"/>
      <c r="U406" s="142"/>
      <c r="V406" s="142"/>
    </row>
    <row r="407">
      <c r="A407" s="320"/>
      <c r="B407" s="142"/>
      <c r="C407" s="320"/>
      <c r="D407" s="124"/>
      <c r="E407" s="320"/>
      <c r="F407" s="142"/>
      <c r="G407" s="320"/>
      <c r="H407" s="142"/>
      <c r="I407" s="329"/>
      <c r="J407" s="124"/>
      <c r="K407" s="329"/>
      <c r="L407" s="124"/>
      <c r="M407" s="329"/>
      <c r="N407" s="124"/>
      <c r="O407" s="320"/>
      <c r="P407" s="142"/>
      <c r="Q407" s="193"/>
      <c r="R407" s="28"/>
      <c r="S407" s="138"/>
      <c r="T407" s="142"/>
      <c r="U407" s="142"/>
      <c r="V407" s="142"/>
    </row>
    <row r="408">
      <c r="A408" s="320"/>
      <c r="B408" s="142"/>
      <c r="C408" s="320"/>
      <c r="D408" s="124"/>
      <c r="E408" s="320"/>
      <c r="F408" s="142"/>
      <c r="G408" s="320"/>
      <c r="H408" s="142"/>
      <c r="I408" s="329"/>
      <c r="J408" s="124"/>
      <c r="K408" s="329"/>
      <c r="L408" s="124"/>
      <c r="M408" s="329"/>
      <c r="N408" s="124"/>
      <c r="O408" s="320"/>
      <c r="P408" s="142"/>
      <c r="Q408" s="193"/>
      <c r="R408" s="28"/>
      <c r="S408" s="138"/>
      <c r="T408" s="142"/>
      <c r="U408" s="142"/>
      <c r="V408" s="142"/>
    </row>
    <row r="409">
      <c r="A409" s="320"/>
      <c r="B409" s="142"/>
      <c r="C409" s="320"/>
      <c r="D409" s="124"/>
      <c r="E409" s="320"/>
      <c r="F409" s="142"/>
      <c r="G409" s="320"/>
      <c r="H409" s="142"/>
      <c r="I409" s="329"/>
      <c r="J409" s="124"/>
      <c r="K409" s="329"/>
      <c r="L409" s="124"/>
      <c r="M409" s="329"/>
      <c r="N409" s="124"/>
      <c r="O409" s="320"/>
      <c r="P409" s="142"/>
      <c r="Q409" s="193"/>
      <c r="R409" s="28"/>
      <c r="S409" s="138"/>
      <c r="T409" s="142"/>
      <c r="U409" s="142"/>
      <c r="V409" s="142"/>
    </row>
    <row r="410">
      <c r="A410" s="320"/>
      <c r="B410" s="142"/>
      <c r="C410" s="320"/>
      <c r="D410" s="124"/>
      <c r="E410" s="320"/>
      <c r="F410" s="142"/>
      <c r="G410" s="320"/>
      <c r="H410" s="142"/>
      <c r="I410" s="329"/>
      <c r="J410" s="124"/>
      <c r="K410" s="329"/>
      <c r="L410" s="124"/>
      <c r="M410" s="329"/>
      <c r="N410" s="124"/>
      <c r="O410" s="320"/>
      <c r="P410" s="142"/>
      <c r="Q410" s="193"/>
      <c r="R410" s="28"/>
      <c r="S410" s="138"/>
      <c r="T410" s="142"/>
      <c r="U410" s="142"/>
      <c r="V410" s="142"/>
    </row>
    <row r="411">
      <c r="A411" s="320"/>
      <c r="B411" s="142"/>
      <c r="C411" s="320"/>
      <c r="D411" s="124"/>
      <c r="E411" s="320"/>
      <c r="F411" s="142"/>
      <c r="G411" s="320"/>
      <c r="H411" s="142"/>
      <c r="I411" s="329"/>
      <c r="J411" s="124"/>
      <c r="K411" s="329"/>
      <c r="L411" s="124"/>
      <c r="M411" s="329"/>
      <c r="N411" s="124"/>
      <c r="O411" s="320"/>
      <c r="P411" s="142"/>
      <c r="Q411" s="193"/>
      <c r="R411" s="28"/>
      <c r="S411" s="138"/>
      <c r="T411" s="142"/>
      <c r="U411" s="142"/>
      <c r="V411" s="142"/>
    </row>
    <row r="412">
      <c r="A412" s="320"/>
      <c r="B412" s="142"/>
      <c r="C412" s="320"/>
      <c r="D412" s="124"/>
      <c r="E412" s="320"/>
      <c r="F412" s="142"/>
      <c r="G412" s="320"/>
      <c r="H412" s="142"/>
      <c r="I412" s="329"/>
      <c r="J412" s="124"/>
      <c r="K412" s="329"/>
      <c r="L412" s="124"/>
      <c r="M412" s="329"/>
      <c r="N412" s="124"/>
      <c r="O412" s="320"/>
      <c r="P412" s="142"/>
      <c r="Q412" s="193"/>
      <c r="R412" s="28"/>
      <c r="S412" s="138"/>
      <c r="T412" s="142"/>
      <c r="U412" s="142"/>
      <c r="V412" s="142"/>
    </row>
    <row r="413">
      <c r="A413" s="320"/>
      <c r="B413" s="142"/>
      <c r="C413" s="320"/>
      <c r="D413" s="124"/>
      <c r="E413" s="320"/>
      <c r="F413" s="142"/>
      <c r="G413" s="320"/>
      <c r="H413" s="142"/>
      <c r="I413" s="329"/>
      <c r="J413" s="124"/>
      <c r="K413" s="329"/>
      <c r="L413" s="124"/>
      <c r="M413" s="329"/>
      <c r="N413" s="124"/>
      <c r="O413" s="320"/>
      <c r="P413" s="142"/>
      <c r="Q413" s="193"/>
      <c r="R413" s="28"/>
      <c r="S413" s="138"/>
      <c r="T413" s="142"/>
      <c r="U413" s="142"/>
      <c r="V413" s="142"/>
    </row>
    <row r="414">
      <c r="A414" s="320"/>
      <c r="B414" s="142"/>
      <c r="C414" s="320"/>
      <c r="D414" s="124"/>
      <c r="E414" s="320"/>
      <c r="F414" s="142"/>
      <c r="G414" s="320"/>
      <c r="H414" s="142"/>
      <c r="I414" s="329"/>
      <c r="J414" s="124"/>
      <c r="K414" s="329"/>
      <c r="L414" s="124"/>
      <c r="M414" s="329"/>
      <c r="N414" s="124"/>
      <c r="O414" s="320"/>
      <c r="P414" s="142"/>
      <c r="Q414" s="193"/>
      <c r="R414" s="28"/>
      <c r="S414" s="138"/>
      <c r="T414" s="142"/>
      <c r="U414" s="142"/>
      <c r="V414" s="142"/>
    </row>
    <row r="415">
      <c r="A415" s="320"/>
      <c r="B415" s="142"/>
      <c r="C415" s="320"/>
      <c r="D415" s="124"/>
      <c r="E415" s="320"/>
      <c r="F415" s="142"/>
      <c r="G415" s="320"/>
      <c r="H415" s="142"/>
      <c r="I415" s="329"/>
      <c r="J415" s="124"/>
      <c r="K415" s="329"/>
      <c r="L415" s="124"/>
      <c r="M415" s="329"/>
      <c r="N415" s="124"/>
      <c r="O415" s="320"/>
      <c r="P415" s="142"/>
      <c r="Q415" s="193"/>
      <c r="R415" s="28"/>
      <c r="S415" s="138"/>
      <c r="T415" s="142"/>
      <c r="U415" s="142"/>
      <c r="V415" s="142"/>
    </row>
    <row r="416">
      <c r="A416" s="320"/>
      <c r="B416" s="142"/>
      <c r="C416" s="320"/>
      <c r="D416" s="124"/>
      <c r="E416" s="320"/>
      <c r="F416" s="142"/>
      <c r="G416" s="320"/>
      <c r="H416" s="142"/>
      <c r="I416" s="329"/>
      <c r="J416" s="124"/>
      <c r="K416" s="329"/>
      <c r="L416" s="124"/>
      <c r="M416" s="329"/>
      <c r="N416" s="124"/>
      <c r="O416" s="320"/>
      <c r="P416" s="142"/>
      <c r="Q416" s="193"/>
      <c r="R416" s="28"/>
      <c r="S416" s="138"/>
      <c r="T416" s="142"/>
      <c r="U416" s="142"/>
      <c r="V416" s="142"/>
    </row>
    <row r="417">
      <c r="A417" s="320"/>
      <c r="B417" s="142"/>
      <c r="C417" s="320"/>
      <c r="D417" s="124"/>
      <c r="E417" s="320"/>
      <c r="F417" s="142"/>
      <c r="G417" s="320"/>
      <c r="H417" s="142"/>
      <c r="I417" s="329"/>
      <c r="J417" s="124"/>
      <c r="K417" s="329"/>
      <c r="L417" s="124"/>
      <c r="M417" s="329"/>
      <c r="N417" s="124"/>
      <c r="O417" s="320"/>
      <c r="P417" s="142"/>
      <c r="Q417" s="193"/>
      <c r="R417" s="28"/>
      <c r="S417" s="138"/>
      <c r="T417" s="142"/>
      <c r="U417" s="142"/>
      <c r="V417" s="142"/>
    </row>
    <row r="418">
      <c r="A418" s="320"/>
      <c r="B418" s="142"/>
      <c r="C418" s="320"/>
      <c r="D418" s="124"/>
      <c r="E418" s="320"/>
      <c r="F418" s="142"/>
      <c r="G418" s="320"/>
      <c r="H418" s="142"/>
      <c r="I418" s="329"/>
      <c r="J418" s="124"/>
      <c r="K418" s="329"/>
      <c r="L418" s="124"/>
      <c r="M418" s="329"/>
      <c r="N418" s="124"/>
      <c r="O418" s="320"/>
      <c r="P418" s="142"/>
      <c r="Q418" s="193"/>
      <c r="R418" s="28"/>
      <c r="S418" s="138"/>
      <c r="T418" s="142"/>
      <c r="U418" s="142"/>
      <c r="V418" s="142"/>
    </row>
    <row r="419">
      <c r="A419" s="320"/>
      <c r="B419" s="142"/>
      <c r="C419" s="320"/>
      <c r="D419" s="124"/>
      <c r="E419" s="320"/>
      <c r="F419" s="142"/>
      <c r="G419" s="320"/>
      <c r="H419" s="142"/>
      <c r="I419" s="329"/>
      <c r="J419" s="124"/>
      <c r="K419" s="329"/>
      <c r="L419" s="124"/>
      <c r="M419" s="329"/>
      <c r="N419" s="124"/>
      <c r="O419" s="320"/>
      <c r="P419" s="142"/>
      <c r="Q419" s="193"/>
      <c r="R419" s="28"/>
      <c r="S419" s="138"/>
      <c r="T419" s="142"/>
      <c r="U419" s="142"/>
      <c r="V419" s="142"/>
    </row>
    <row r="420">
      <c r="A420" s="320"/>
      <c r="B420" s="142"/>
      <c r="C420" s="320"/>
      <c r="D420" s="124"/>
      <c r="E420" s="320"/>
      <c r="F420" s="142"/>
      <c r="G420" s="320"/>
      <c r="H420" s="142"/>
      <c r="I420" s="329"/>
      <c r="J420" s="124"/>
      <c r="K420" s="329"/>
      <c r="L420" s="124"/>
      <c r="M420" s="329"/>
      <c r="N420" s="124"/>
      <c r="O420" s="320"/>
      <c r="P420" s="142"/>
      <c r="Q420" s="193"/>
      <c r="R420" s="28"/>
      <c r="S420" s="138"/>
      <c r="T420" s="142"/>
      <c r="U420" s="142"/>
      <c r="V420" s="142"/>
    </row>
    <row r="421">
      <c r="A421" s="320"/>
      <c r="B421" s="142"/>
      <c r="C421" s="320"/>
      <c r="D421" s="124"/>
      <c r="E421" s="320"/>
      <c r="F421" s="142"/>
      <c r="G421" s="320"/>
      <c r="H421" s="142"/>
      <c r="I421" s="329"/>
      <c r="J421" s="124"/>
      <c r="K421" s="329"/>
      <c r="L421" s="124"/>
      <c r="M421" s="329"/>
      <c r="N421" s="124"/>
      <c r="O421" s="320"/>
      <c r="P421" s="142"/>
      <c r="Q421" s="193"/>
      <c r="R421" s="28"/>
      <c r="S421" s="138"/>
      <c r="T421" s="142"/>
      <c r="U421" s="142"/>
      <c r="V421" s="142"/>
    </row>
    <row r="422">
      <c r="A422" s="320"/>
      <c r="B422" s="142"/>
      <c r="C422" s="320"/>
      <c r="D422" s="124"/>
      <c r="E422" s="320"/>
      <c r="F422" s="142"/>
      <c r="G422" s="320"/>
      <c r="H422" s="142"/>
      <c r="I422" s="329"/>
      <c r="J422" s="124"/>
      <c r="K422" s="329"/>
      <c r="L422" s="124"/>
      <c r="M422" s="329"/>
      <c r="N422" s="124"/>
      <c r="O422" s="320"/>
      <c r="P422" s="142"/>
      <c r="Q422" s="193"/>
      <c r="R422" s="28"/>
      <c r="S422" s="138"/>
      <c r="T422" s="142"/>
      <c r="U422" s="142"/>
      <c r="V422" s="142"/>
    </row>
    <row r="423">
      <c r="A423" s="320"/>
      <c r="B423" s="142"/>
      <c r="C423" s="320"/>
      <c r="D423" s="124"/>
      <c r="E423" s="320"/>
      <c r="F423" s="142"/>
      <c r="G423" s="320"/>
      <c r="H423" s="142"/>
      <c r="I423" s="329"/>
      <c r="J423" s="124"/>
      <c r="K423" s="329"/>
      <c r="L423" s="124"/>
      <c r="M423" s="329"/>
      <c r="N423" s="124"/>
      <c r="O423" s="320"/>
      <c r="P423" s="142"/>
      <c r="Q423" s="193"/>
      <c r="R423" s="28"/>
      <c r="S423" s="138"/>
      <c r="T423" s="142"/>
      <c r="U423" s="142"/>
      <c r="V423" s="142"/>
    </row>
    <row r="424">
      <c r="A424" s="320"/>
      <c r="B424" s="142"/>
      <c r="C424" s="320"/>
      <c r="D424" s="124"/>
      <c r="E424" s="320"/>
      <c r="F424" s="142"/>
      <c r="G424" s="320"/>
      <c r="H424" s="142"/>
      <c r="I424" s="329"/>
      <c r="J424" s="124"/>
      <c r="K424" s="329"/>
      <c r="L424" s="124"/>
      <c r="M424" s="329"/>
      <c r="N424" s="124"/>
      <c r="O424" s="320"/>
      <c r="P424" s="142"/>
      <c r="Q424" s="193"/>
      <c r="R424" s="28"/>
      <c r="S424" s="138"/>
      <c r="T424" s="142"/>
      <c r="U424" s="142"/>
      <c r="V424" s="142"/>
    </row>
    <row r="425">
      <c r="A425" s="320"/>
      <c r="B425" s="142"/>
      <c r="C425" s="320"/>
      <c r="D425" s="124"/>
      <c r="E425" s="320"/>
      <c r="F425" s="142"/>
      <c r="G425" s="320"/>
      <c r="H425" s="142"/>
      <c r="I425" s="329"/>
      <c r="J425" s="124"/>
      <c r="K425" s="329"/>
      <c r="L425" s="124"/>
      <c r="M425" s="329"/>
      <c r="N425" s="124"/>
      <c r="O425" s="320"/>
      <c r="P425" s="142"/>
      <c r="Q425" s="193"/>
      <c r="R425" s="28"/>
      <c r="S425" s="138"/>
      <c r="T425" s="142"/>
      <c r="U425" s="142"/>
      <c r="V425" s="142"/>
    </row>
    <row r="426">
      <c r="A426" s="320"/>
      <c r="B426" s="142"/>
      <c r="C426" s="320"/>
      <c r="D426" s="124"/>
      <c r="E426" s="320"/>
      <c r="F426" s="142"/>
      <c r="G426" s="320"/>
      <c r="H426" s="142"/>
      <c r="I426" s="329"/>
      <c r="J426" s="124"/>
      <c r="K426" s="329"/>
      <c r="L426" s="124"/>
      <c r="M426" s="329"/>
      <c r="N426" s="124"/>
      <c r="O426" s="320"/>
      <c r="P426" s="142"/>
      <c r="Q426" s="193"/>
      <c r="R426" s="28"/>
      <c r="S426" s="138"/>
      <c r="T426" s="142"/>
      <c r="U426" s="142"/>
      <c r="V426" s="142"/>
    </row>
    <row r="427">
      <c r="A427" s="320"/>
      <c r="B427" s="142"/>
      <c r="C427" s="320"/>
      <c r="D427" s="124"/>
      <c r="E427" s="320"/>
      <c r="F427" s="142"/>
      <c r="G427" s="320"/>
      <c r="H427" s="142"/>
      <c r="I427" s="329"/>
      <c r="J427" s="124"/>
      <c r="K427" s="329"/>
      <c r="L427" s="124"/>
      <c r="M427" s="329"/>
      <c r="N427" s="124"/>
      <c r="O427" s="320"/>
      <c r="P427" s="142"/>
      <c r="Q427" s="193"/>
      <c r="R427" s="28"/>
      <c r="S427" s="138"/>
      <c r="T427" s="142"/>
      <c r="U427" s="142"/>
      <c r="V427" s="142"/>
    </row>
    <row r="428">
      <c r="A428" s="320"/>
      <c r="B428" s="142"/>
      <c r="C428" s="320"/>
      <c r="D428" s="124"/>
      <c r="E428" s="320"/>
      <c r="F428" s="142"/>
      <c r="G428" s="320"/>
      <c r="H428" s="142"/>
      <c r="I428" s="329"/>
      <c r="J428" s="124"/>
      <c r="K428" s="329"/>
      <c r="L428" s="124"/>
      <c r="M428" s="329"/>
      <c r="N428" s="124"/>
      <c r="O428" s="320"/>
      <c r="P428" s="142"/>
      <c r="Q428" s="193"/>
      <c r="R428" s="28"/>
      <c r="S428" s="138"/>
      <c r="T428" s="142"/>
      <c r="U428" s="142"/>
      <c r="V428" s="142"/>
    </row>
    <row r="429">
      <c r="A429" s="320"/>
      <c r="B429" s="142"/>
      <c r="C429" s="320"/>
      <c r="D429" s="124"/>
      <c r="E429" s="320"/>
      <c r="F429" s="142"/>
      <c r="G429" s="320"/>
      <c r="H429" s="142"/>
      <c r="I429" s="329"/>
      <c r="J429" s="124"/>
      <c r="K429" s="329"/>
      <c r="L429" s="124"/>
      <c r="M429" s="329"/>
      <c r="N429" s="124"/>
      <c r="O429" s="320"/>
      <c r="P429" s="142"/>
      <c r="Q429" s="193"/>
      <c r="R429" s="28"/>
      <c r="S429" s="138"/>
      <c r="T429" s="142"/>
      <c r="U429" s="142"/>
      <c r="V429" s="142"/>
    </row>
    <row r="430">
      <c r="A430" s="320"/>
      <c r="B430" s="142"/>
      <c r="C430" s="320"/>
      <c r="D430" s="124"/>
      <c r="E430" s="320"/>
      <c r="F430" s="142"/>
      <c r="G430" s="320"/>
      <c r="H430" s="142"/>
      <c r="I430" s="329"/>
      <c r="J430" s="124"/>
      <c r="K430" s="329"/>
      <c r="L430" s="124"/>
      <c r="M430" s="329"/>
      <c r="N430" s="124"/>
      <c r="O430" s="320"/>
      <c r="P430" s="142"/>
      <c r="Q430" s="193"/>
      <c r="R430" s="28"/>
      <c r="S430" s="138"/>
      <c r="T430" s="142"/>
      <c r="U430" s="142"/>
      <c r="V430" s="142"/>
    </row>
    <row r="431">
      <c r="A431" s="320"/>
      <c r="B431" s="142"/>
      <c r="C431" s="320"/>
      <c r="D431" s="124"/>
      <c r="E431" s="320"/>
      <c r="F431" s="142"/>
      <c r="G431" s="320"/>
      <c r="H431" s="142"/>
      <c r="I431" s="329"/>
      <c r="J431" s="124"/>
      <c r="K431" s="329"/>
      <c r="L431" s="124"/>
      <c r="M431" s="329"/>
      <c r="N431" s="124"/>
      <c r="O431" s="320"/>
      <c r="P431" s="142"/>
      <c r="Q431" s="193"/>
      <c r="R431" s="28"/>
      <c r="S431" s="138"/>
      <c r="T431" s="142"/>
      <c r="U431" s="142"/>
      <c r="V431" s="142"/>
    </row>
    <row r="432">
      <c r="A432" s="320"/>
      <c r="B432" s="142"/>
      <c r="C432" s="320"/>
      <c r="D432" s="124"/>
      <c r="E432" s="320"/>
      <c r="F432" s="142"/>
      <c r="G432" s="320"/>
      <c r="H432" s="142"/>
      <c r="I432" s="329"/>
      <c r="J432" s="124"/>
      <c r="K432" s="329"/>
      <c r="L432" s="124"/>
      <c r="M432" s="329"/>
      <c r="N432" s="124"/>
      <c r="O432" s="320"/>
      <c r="P432" s="142"/>
      <c r="Q432" s="193"/>
      <c r="R432" s="28"/>
      <c r="S432" s="138"/>
      <c r="T432" s="142"/>
      <c r="U432" s="142"/>
      <c r="V432" s="142"/>
    </row>
    <row r="433">
      <c r="A433" s="320"/>
      <c r="B433" s="142"/>
      <c r="C433" s="320"/>
      <c r="D433" s="124"/>
      <c r="E433" s="320"/>
      <c r="F433" s="142"/>
      <c r="G433" s="320"/>
      <c r="H433" s="142"/>
      <c r="I433" s="329"/>
      <c r="J433" s="124"/>
      <c r="K433" s="329"/>
      <c r="L433" s="124"/>
      <c r="M433" s="329"/>
      <c r="N433" s="124"/>
      <c r="O433" s="320"/>
      <c r="P433" s="142"/>
      <c r="Q433" s="193"/>
      <c r="R433" s="28"/>
      <c r="S433" s="138"/>
      <c r="T433" s="142"/>
      <c r="U433" s="142"/>
      <c r="V433" s="142"/>
    </row>
    <row r="434">
      <c r="A434" s="320"/>
      <c r="B434" s="142"/>
      <c r="C434" s="320"/>
      <c r="D434" s="124"/>
      <c r="E434" s="320"/>
      <c r="F434" s="142"/>
      <c r="G434" s="320"/>
      <c r="H434" s="142"/>
      <c r="I434" s="329"/>
      <c r="J434" s="124"/>
      <c r="K434" s="329"/>
      <c r="L434" s="124"/>
      <c r="M434" s="329"/>
      <c r="N434" s="124"/>
      <c r="O434" s="320"/>
      <c r="P434" s="142"/>
      <c r="Q434" s="193"/>
      <c r="R434" s="28"/>
      <c r="S434" s="138"/>
      <c r="T434" s="142"/>
      <c r="U434" s="142"/>
      <c r="V434" s="142"/>
    </row>
    <row r="435">
      <c r="A435" s="320"/>
      <c r="B435" s="142"/>
      <c r="C435" s="320"/>
      <c r="D435" s="124"/>
      <c r="E435" s="320"/>
      <c r="F435" s="142"/>
      <c r="G435" s="320"/>
      <c r="H435" s="142"/>
      <c r="I435" s="329"/>
      <c r="J435" s="124"/>
      <c r="K435" s="329"/>
      <c r="L435" s="124"/>
      <c r="M435" s="329"/>
      <c r="N435" s="124"/>
      <c r="O435" s="320"/>
      <c r="P435" s="142"/>
      <c r="Q435" s="193"/>
      <c r="R435" s="28"/>
      <c r="S435" s="138"/>
      <c r="T435" s="142"/>
      <c r="U435" s="142"/>
      <c r="V435" s="142"/>
    </row>
    <row r="436">
      <c r="A436" s="320"/>
      <c r="B436" s="142"/>
      <c r="C436" s="320"/>
      <c r="D436" s="124"/>
      <c r="E436" s="320"/>
      <c r="F436" s="142"/>
      <c r="G436" s="320"/>
      <c r="H436" s="142"/>
      <c r="I436" s="329"/>
      <c r="J436" s="124"/>
      <c r="K436" s="329"/>
      <c r="L436" s="124"/>
      <c r="M436" s="329"/>
      <c r="N436" s="124"/>
      <c r="O436" s="320"/>
      <c r="P436" s="142"/>
      <c r="Q436" s="193"/>
      <c r="R436" s="28"/>
      <c r="S436" s="138"/>
      <c r="T436" s="142"/>
      <c r="U436" s="142"/>
      <c r="V436" s="142"/>
    </row>
    <row r="437">
      <c r="A437" s="320"/>
      <c r="B437" s="142"/>
      <c r="C437" s="320"/>
      <c r="D437" s="124"/>
      <c r="E437" s="320"/>
      <c r="F437" s="142"/>
      <c r="G437" s="320"/>
      <c r="H437" s="142"/>
      <c r="I437" s="329"/>
      <c r="J437" s="124"/>
      <c r="K437" s="329"/>
      <c r="L437" s="124"/>
      <c r="M437" s="329"/>
      <c r="N437" s="124"/>
      <c r="O437" s="320"/>
      <c r="P437" s="142"/>
      <c r="Q437" s="193"/>
      <c r="R437" s="28"/>
      <c r="S437" s="138"/>
      <c r="T437" s="142"/>
      <c r="U437" s="142"/>
      <c r="V437" s="142"/>
    </row>
    <row r="438">
      <c r="A438" s="320"/>
      <c r="B438" s="142"/>
      <c r="C438" s="320"/>
      <c r="D438" s="124"/>
      <c r="E438" s="320"/>
      <c r="F438" s="142"/>
      <c r="G438" s="320"/>
      <c r="H438" s="142"/>
      <c r="I438" s="329"/>
      <c r="J438" s="124"/>
      <c r="K438" s="329"/>
      <c r="L438" s="124"/>
      <c r="M438" s="329"/>
      <c r="N438" s="124"/>
      <c r="O438" s="320"/>
      <c r="P438" s="142"/>
      <c r="Q438" s="193"/>
      <c r="R438" s="28"/>
      <c r="S438" s="138"/>
      <c r="T438" s="142"/>
      <c r="U438" s="142"/>
      <c r="V438" s="142"/>
    </row>
    <row r="439">
      <c r="A439" s="320"/>
      <c r="B439" s="142"/>
      <c r="C439" s="320"/>
      <c r="D439" s="124"/>
      <c r="E439" s="320"/>
      <c r="F439" s="142"/>
      <c r="G439" s="320"/>
      <c r="H439" s="142"/>
      <c r="I439" s="329"/>
      <c r="J439" s="124"/>
      <c r="K439" s="329"/>
      <c r="L439" s="124"/>
      <c r="M439" s="329"/>
      <c r="N439" s="124"/>
      <c r="O439" s="320"/>
      <c r="P439" s="142"/>
      <c r="Q439" s="193"/>
      <c r="R439" s="28"/>
      <c r="S439" s="138"/>
      <c r="T439" s="142"/>
      <c r="U439" s="142"/>
      <c r="V439" s="142"/>
    </row>
    <row r="440">
      <c r="A440" s="320"/>
      <c r="B440" s="142"/>
      <c r="C440" s="320"/>
      <c r="D440" s="124"/>
      <c r="E440" s="320"/>
      <c r="F440" s="142"/>
      <c r="G440" s="320"/>
      <c r="H440" s="142"/>
      <c r="I440" s="329"/>
      <c r="J440" s="124"/>
      <c r="K440" s="329"/>
      <c r="L440" s="124"/>
      <c r="M440" s="329"/>
      <c r="N440" s="124"/>
      <c r="O440" s="320"/>
      <c r="P440" s="142"/>
      <c r="Q440" s="193"/>
      <c r="R440" s="28"/>
      <c r="S440" s="138"/>
      <c r="T440" s="142"/>
      <c r="U440" s="142"/>
      <c r="V440" s="142"/>
    </row>
    <row r="441">
      <c r="A441" s="320"/>
      <c r="B441" s="142"/>
      <c r="C441" s="320"/>
      <c r="D441" s="124"/>
      <c r="E441" s="320"/>
      <c r="F441" s="142"/>
      <c r="G441" s="320"/>
      <c r="H441" s="142"/>
      <c r="I441" s="329"/>
      <c r="J441" s="124"/>
      <c r="K441" s="329"/>
      <c r="L441" s="124"/>
      <c r="M441" s="329"/>
      <c r="N441" s="124"/>
      <c r="O441" s="320"/>
      <c r="P441" s="142"/>
      <c r="Q441" s="193"/>
      <c r="R441" s="28"/>
      <c r="S441" s="138"/>
      <c r="T441" s="142"/>
      <c r="U441" s="142"/>
      <c r="V441" s="142"/>
    </row>
    <row r="442">
      <c r="A442" s="320"/>
      <c r="B442" s="142"/>
      <c r="C442" s="320"/>
      <c r="D442" s="124"/>
      <c r="E442" s="320"/>
      <c r="F442" s="142"/>
      <c r="G442" s="320"/>
      <c r="H442" s="142"/>
      <c r="I442" s="329"/>
      <c r="J442" s="124"/>
      <c r="K442" s="329"/>
      <c r="L442" s="124"/>
      <c r="M442" s="329"/>
      <c r="N442" s="124"/>
      <c r="O442" s="320"/>
      <c r="P442" s="142"/>
      <c r="Q442" s="193"/>
      <c r="R442" s="28"/>
      <c r="S442" s="138"/>
      <c r="T442" s="142"/>
      <c r="U442" s="142"/>
      <c r="V442" s="142"/>
    </row>
    <row r="443">
      <c r="A443" s="320"/>
      <c r="B443" s="142"/>
      <c r="C443" s="320"/>
      <c r="D443" s="124"/>
      <c r="E443" s="320"/>
      <c r="F443" s="142"/>
      <c r="G443" s="320"/>
      <c r="H443" s="142"/>
      <c r="I443" s="329"/>
      <c r="J443" s="124"/>
      <c r="K443" s="329"/>
      <c r="L443" s="124"/>
      <c r="M443" s="329"/>
      <c r="N443" s="124"/>
      <c r="O443" s="320"/>
      <c r="P443" s="142"/>
      <c r="Q443" s="193"/>
      <c r="R443" s="28"/>
      <c r="S443" s="138"/>
      <c r="T443" s="142"/>
      <c r="U443" s="142"/>
      <c r="V443" s="142"/>
    </row>
    <row r="444">
      <c r="A444" s="320"/>
      <c r="B444" s="142"/>
      <c r="C444" s="320"/>
      <c r="D444" s="124"/>
      <c r="E444" s="320"/>
      <c r="F444" s="142"/>
      <c r="G444" s="320"/>
      <c r="H444" s="142"/>
      <c r="I444" s="329"/>
      <c r="J444" s="124"/>
      <c r="K444" s="329"/>
      <c r="L444" s="124"/>
      <c r="M444" s="329"/>
      <c r="N444" s="124"/>
      <c r="O444" s="320"/>
      <c r="P444" s="142"/>
      <c r="Q444" s="193"/>
      <c r="R444" s="28"/>
      <c r="S444" s="138"/>
      <c r="T444" s="142"/>
      <c r="U444" s="142"/>
      <c r="V444" s="142"/>
    </row>
    <row r="445">
      <c r="A445" s="320"/>
      <c r="B445" s="142"/>
      <c r="C445" s="320"/>
      <c r="D445" s="124"/>
      <c r="E445" s="320"/>
      <c r="F445" s="142"/>
      <c r="G445" s="320"/>
      <c r="H445" s="142"/>
      <c r="I445" s="329"/>
      <c r="J445" s="124"/>
      <c r="K445" s="329"/>
      <c r="L445" s="124"/>
      <c r="M445" s="329"/>
      <c r="N445" s="124"/>
      <c r="O445" s="320"/>
      <c r="P445" s="142"/>
      <c r="Q445" s="193"/>
      <c r="R445" s="28"/>
      <c r="S445" s="138"/>
      <c r="T445" s="142"/>
      <c r="U445" s="142"/>
      <c r="V445" s="142"/>
    </row>
    <row r="446">
      <c r="A446" s="320"/>
      <c r="B446" s="142"/>
      <c r="C446" s="320"/>
      <c r="D446" s="124"/>
      <c r="E446" s="320"/>
      <c r="F446" s="142"/>
      <c r="G446" s="320"/>
      <c r="H446" s="142"/>
      <c r="I446" s="329"/>
      <c r="J446" s="124"/>
      <c r="K446" s="329"/>
      <c r="L446" s="124"/>
      <c r="M446" s="329"/>
      <c r="N446" s="124"/>
      <c r="O446" s="320"/>
      <c r="P446" s="142"/>
      <c r="Q446" s="193"/>
      <c r="R446" s="28"/>
      <c r="S446" s="138"/>
      <c r="T446" s="142"/>
      <c r="U446" s="142"/>
      <c r="V446" s="142"/>
    </row>
    <row r="447">
      <c r="A447" s="320"/>
      <c r="B447" s="142"/>
      <c r="C447" s="320"/>
      <c r="D447" s="124"/>
      <c r="E447" s="320"/>
      <c r="F447" s="142"/>
      <c r="G447" s="320"/>
      <c r="H447" s="142"/>
      <c r="I447" s="329"/>
      <c r="J447" s="124"/>
      <c r="K447" s="329"/>
      <c r="L447" s="124"/>
      <c r="M447" s="329"/>
      <c r="N447" s="124"/>
      <c r="O447" s="320"/>
      <c r="P447" s="142"/>
      <c r="Q447" s="193"/>
      <c r="R447" s="28"/>
      <c r="S447" s="138"/>
      <c r="T447" s="142"/>
      <c r="U447" s="142"/>
      <c r="V447" s="142"/>
    </row>
    <row r="448">
      <c r="A448" s="320"/>
      <c r="B448" s="142"/>
      <c r="C448" s="320"/>
      <c r="D448" s="124"/>
      <c r="E448" s="320"/>
      <c r="F448" s="142"/>
      <c r="G448" s="320"/>
      <c r="H448" s="142"/>
      <c r="I448" s="329"/>
      <c r="J448" s="124"/>
      <c r="K448" s="329"/>
      <c r="L448" s="124"/>
      <c r="M448" s="329"/>
      <c r="N448" s="124"/>
      <c r="O448" s="320"/>
      <c r="P448" s="142"/>
      <c r="Q448" s="193"/>
      <c r="R448" s="28"/>
      <c r="S448" s="138"/>
      <c r="T448" s="142"/>
      <c r="U448" s="142"/>
      <c r="V448" s="142"/>
    </row>
    <row r="449">
      <c r="A449" s="320"/>
      <c r="B449" s="142"/>
      <c r="C449" s="320"/>
      <c r="D449" s="124"/>
      <c r="E449" s="320"/>
      <c r="F449" s="142"/>
      <c r="G449" s="320"/>
      <c r="H449" s="142"/>
      <c r="I449" s="329"/>
      <c r="J449" s="124"/>
      <c r="K449" s="329"/>
      <c r="L449" s="124"/>
      <c r="M449" s="329"/>
      <c r="N449" s="124"/>
      <c r="O449" s="320"/>
      <c r="P449" s="142"/>
      <c r="Q449" s="193"/>
      <c r="R449" s="28"/>
      <c r="S449" s="138"/>
      <c r="T449" s="142"/>
      <c r="U449" s="142"/>
      <c r="V449" s="142"/>
    </row>
    <row r="450">
      <c r="A450" s="320"/>
      <c r="B450" s="142"/>
      <c r="C450" s="320"/>
      <c r="D450" s="124"/>
      <c r="E450" s="320"/>
      <c r="F450" s="142"/>
      <c r="G450" s="320"/>
      <c r="H450" s="142"/>
      <c r="I450" s="329"/>
      <c r="J450" s="124"/>
      <c r="K450" s="329"/>
      <c r="L450" s="124"/>
      <c r="M450" s="329"/>
      <c r="N450" s="124"/>
      <c r="O450" s="320"/>
      <c r="P450" s="142"/>
      <c r="Q450" s="193"/>
      <c r="R450" s="28"/>
      <c r="S450" s="138"/>
      <c r="T450" s="142"/>
      <c r="U450" s="142"/>
      <c r="V450" s="142"/>
    </row>
    <row r="451">
      <c r="A451" s="320"/>
      <c r="B451" s="142"/>
      <c r="C451" s="320"/>
      <c r="D451" s="124"/>
      <c r="E451" s="320"/>
      <c r="F451" s="142"/>
      <c r="G451" s="320"/>
      <c r="H451" s="142"/>
      <c r="I451" s="329"/>
      <c r="J451" s="124"/>
      <c r="K451" s="329"/>
      <c r="L451" s="124"/>
      <c r="M451" s="329"/>
      <c r="N451" s="124"/>
      <c r="O451" s="320"/>
      <c r="P451" s="142"/>
      <c r="Q451" s="193"/>
      <c r="R451" s="28"/>
      <c r="S451" s="138"/>
      <c r="T451" s="142"/>
      <c r="U451" s="142"/>
      <c r="V451" s="142"/>
    </row>
    <row r="452">
      <c r="A452" s="320"/>
      <c r="B452" s="142"/>
      <c r="C452" s="320"/>
      <c r="D452" s="124"/>
      <c r="E452" s="320"/>
      <c r="F452" s="142"/>
      <c r="G452" s="320"/>
      <c r="H452" s="142"/>
      <c r="I452" s="329"/>
      <c r="J452" s="124"/>
      <c r="K452" s="329"/>
      <c r="L452" s="124"/>
      <c r="M452" s="329"/>
      <c r="N452" s="124"/>
      <c r="O452" s="320"/>
      <c r="P452" s="142"/>
      <c r="Q452" s="193"/>
      <c r="R452" s="28"/>
      <c r="S452" s="138"/>
      <c r="T452" s="142"/>
      <c r="U452" s="142"/>
      <c r="V452" s="142"/>
    </row>
    <row r="453">
      <c r="A453" s="320"/>
      <c r="B453" s="142"/>
      <c r="C453" s="320"/>
      <c r="D453" s="124"/>
      <c r="E453" s="320"/>
      <c r="F453" s="142"/>
      <c r="G453" s="320"/>
      <c r="H453" s="142"/>
      <c r="I453" s="329"/>
      <c r="J453" s="124"/>
      <c r="K453" s="329"/>
      <c r="L453" s="124"/>
      <c r="M453" s="329"/>
      <c r="N453" s="124"/>
      <c r="O453" s="320"/>
      <c r="P453" s="142"/>
      <c r="Q453" s="193"/>
      <c r="R453" s="28"/>
      <c r="S453" s="138"/>
      <c r="T453" s="142"/>
      <c r="U453" s="142"/>
      <c r="V453" s="142"/>
    </row>
    <row r="454">
      <c r="A454" s="320"/>
      <c r="B454" s="142"/>
      <c r="C454" s="320"/>
      <c r="D454" s="124"/>
      <c r="E454" s="320"/>
      <c r="F454" s="142"/>
      <c r="G454" s="320"/>
      <c r="H454" s="142"/>
      <c r="I454" s="329"/>
      <c r="J454" s="124"/>
      <c r="K454" s="329"/>
      <c r="L454" s="124"/>
      <c r="M454" s="329"/>
      <c r="N454" s="124"/>
      <c r="O454" s="320"/>
      <c r="P454" s="142"/>
      <c r="Q454" s="193"/>
      <c r="R454" s="28"/>
      <c r="S454" s="138"/>
      <c r="T454" s="142"/>
      <c r="U454" s="142"/>
      <c r="V454" s="142"/>
    </row>
    <row r="455">
      <c r="A455" s="320"/>
      <c r="B455" s="142"/>
      <c r="C455" s="320"/>
      <c r="D455" s="124"/>
      <c r="E455" s="320"/>
      <c r="F455" s="142"/>
      <c r="G455" s="320"/>
      <c r="H455" s="142"/>
      <c r="I455" s="329"/>
      <c r="J455" s="124"/>
      <c r="K455" s="329"/>
      <c r="L455" s="124"/>
      <c r="M455" s="329"/>
      <c r="N455" s="124"/>
      <c r="O455" s="320"/>
      <c r="P455" s="142"/>
      <c r="Q455" s="193"/>
      <c r="R455" s="28"/>
      <c r="S455" s="138"/>
      <c r="T455" s="142"/>
      <c r="U455" s="142"/>
      <c r="V455" s="142"/>
    </row>
    <row r="456">
      <c r="A456" s="320"/>
      <c r="B456" s="142"/>
      <c r="C456" s="320"/>
      <c r="D456" s="124"/>
      <c r="E456" s="320"/>
      <c r="F456" s="142"/>
      <c r="G456" s="320"/>
      <c r="H456" s="142"/>
      <c r="I456" s="329"/>
      <c r="J456" s="124"/>
      <c r="K456" s="329"/>
      <c r="L456" s="124"/>
      <c r="M456" s="329"/>
      <c r="N456" s="124"/>
      <c r="O456" s="320"/>
      <c r="P456" s="142"/>
      <c r="Q456" s="193"/>
      <c r="R456" s="28"/>
      <c r="S456" s="138"/>
      <c r="T456" s="142"/>
      <c r="U456" s="142"/>
      <c r="V456" s="142"/>
    </row>
    <row r="457">
      <c r="A457" s="320"/>
      <c r="B457" s="142"/>
      <c r="C457" s="320"/>
      <c r="D457" s="124"/>
      <c r="E457" s="320"/>
      <c r="F457" s="142"/>
      <c r="G457" s="320"/>
      <c r="H457" s="142"/>
      <c r="I457" s="329"/>
      <c r="J457" s="124"/>
      <c r="K457" s="329"/>
      <c r="L457" s="124"/>
      <c r="M457" s="329"/>
      <c r="N457" s="124"/>
      <c r="O457" s="320"/>
      <c r="P457" s="142"/>
      <c r="Q457" s="193"/>
      <c r="R457" s="28"/>
      <c r="S457" s="138"/>
      <c r="T457" s="142"/>
      <c r="U457" s="142"/>
      <c r="V457" s="142"/>
    </row>
    <row r="458">
      <c r="A458" s="320"/>
      <c r="B458" s="142"/>
      <c r="C458" s="320"/>
      <c r="D458" s="124"/>
      <c r="E458" s="320"/>
      <c r="F458" s="142"/>
      <c r="G458" s="320"/>
      <c r="H458" s="142"/>
      <c r="I458" s="329"/>
      <c r="J458" s="124"/>
      <c r="K458" s="329"/>
      <c r="L458" s="124"/>
      <c r="M458" s="329"/>
      <c r="N458" s="124"/>
      <c r="O458" s="320"/>
      <c r="P458" s="142"/>
      <c r="Q458" s="193"/>
      <c r="R458" s="28"/>
      <c r="S458" s="138"/>
      <c r="T458" s="142"/>
      <c r="U458" s="142"/>
      <c r="V458" s="142"/>
    </row>
    <row r="459">
      <c r="A459" s="320"/>
      <c r="B459" s="142"/>
      <c r="C459" s="320"/>
      <c r="D459" s="124"/>
      <c r="E459" s="320"/>
      <c r="F459" s="142"/>
      <c r="G459" s="320"/>
      <c r="H459" s="142"/>
      <c r="I459" s="329"/>
      <c r="J459" s="124"/>
      <c r="K459" s="329"/>
      <c r="L459" s="124"/>
      <c r="M459" s="329"/>
      <c r="N459" s="124"/>
      <c r="O459" s="320"/>
      <c r="P459" s="142"/>
      <c r="Q459" s="193"/>
      <c r="R459" s="28"/>
      <c r="S459" s="138"/>
      <c r="T459" s="142"/>
      <c r="U459" s="142"/>
      <c r="V459" s="142"/>
    </row>
    <row r="460">
      <c r="A460" s="320"/>
      <c r="B460" s="142"/>
      <c r="C460" s="320"/>
      <c r="D460" s="124"/>
      <c r="E460" s="320"/>
      <c r="F460" s="142"/>
      <c r="G460" s="320"/>
      <c r="H460" s="142"/>
      <c r="I460" s="329"/>
      <c r="J460" s="124"/>
      <c r="K460" s="329"/>
      <c r="L460" s="124"/>
      <c r="M460" s="329"/>
      <c r="N460" s="124"/>
      <c r="O460" s="320"/>
      <c r="P460" s="142"/>
      <c r="Q460" s="193"/>
      <c r="R460" s="28"/>
      <c r="S460" s="138"/>
      <c r="T460" s="142"/>
      <c r="U460" s="142"/>
      <c r="V460" s="142"/>
    </row>
    <row r="461">
      <c r="A461" s="320"/>
      <c r="B461" s="142"/>
      <c r="C461" s="320"/>
      <c r="D461" s="124"/>
      <c r="E461" s="320"/>
      <c r="F461" s="142"/>
      <c r="G461" s="320"/>
      <c r="H461" s="142"/>
      <c r="I461" s="329"/>
      <c r="J461" s="124"/>
      <c r="K461" s="329"/>
      <c r="L461" s="124"/>
      <c r="M461" s="329"/>
      <c r="N461" s="124"/>
      <c r="O461" s="320"/>
      <c r="P461" s="142"/>
      <c r="Q461" s="193"/>
      <c r="R461" s="28"/>
      <c r="S461" s="138"/>
      <c r="T461" s="142"/>
      <c r="U461" s="142"/>
      <c r="V461" s="142"/>
    </row>
    <row r="462">
      <c r="A462" s="320"/>
      <c r="B462" s="142"/>
      <c r="C462" s="320"/>
      <c r="D462" s="124"/>
      <c r="E462" s="320"/>
      <c r="F462" s="142"/>
      <c r="G462" s="320"/>
      <c r="H462" s="142"/>
      <c r="I462" s="329"/>
      <c r="J462" s="124"/>
      <c r="K462" s="329"/>
      <c r="L462" s="124"/>
      <c r="M462" s="329"/>
      <c r="N462" s="124"/>
      <c r="O462" s="320"/>
      <c r="P462" s="142"/>
      <c r="Q462" s="193"/>
      <c r="R462" s="28"/>
      <c r="S462" s="138"/>
      <c r="T462" s="142"/>
      <c r="U462" s="142"/>
      <c r="V462" s="142"/>
    </row>
    <row r="463">
      <c r="A463" s="320"/>
      <c r="B463" s="142"/>
      <c r="C463" s="320"/>
      <c r="D463" s="124"/>
      <c r="E463" s="320"/>
      <c r="F463" s="142"/>
      <c r="G463" s="320"/>
      <c r="H463" s="142"/>
      <c r="I463" s="329"/>
      <c r="J463" s="124"/>
      <c r="K463" s="329"/>
      <c r="L463" s="124"/>
      <c r="M463" s="329"/>
      <c r="N463" s="124"/>
      <c r="O463" s="320"/>
      <c r="P463" s="142"/>
      <c r="Q463" s="193"/>
      <c r="R463" s="28"/>
      <c r="S463" s="138"/>
      <c r="T463" s="142"/>
      <c r="U463" s="142"/>
      <c r="V463" s="142"/>
    </row>
    <row r="464">
      <c r="A464" s="320"/>
      <c r="B464" s="142"/>
      <c r="C464" s="320"/>
      <c r="D464" s="124"/>
      <c r="E464" s="320"/>
      <c r="F464" s="142"/>
      <c r="G464" s="320"/>
      <c r="H464" s="142"/>
      <c r="I464" s="329"/>
      <c r="J464" s="124"/>
      <c r="K464" s="329"/>
      <c r="L464" s="124"/>
      <c r="M464" s="329"/>
      <c r="N464" s="124"/>
      <c r="O464" s="320"/>
      <c r="P464" s="142"/>
      <c r="Q464" s="193"/>
      <c r="R464" s="28"/>
      <c r="S464" s="138"/>
      <c r="T464" s="142"/>
      <c r="U464" s="142"/>
      <c r="V464" s="142"/>
    </row>
    <row r="465">
      <c r="A465" s="320"/>
      <c r="B465" s="142"/>
      <c r="C465" s="320"/>
      <c r="D465" s="124"/>
      <c r="E465" s="320"/>
      <c r="F465" s="142"/>
      <c r="G465" s="320"/>
      <c r="H465" s="142"/>
      <c r="I465" s="329"/>
      <c r="J465" s="124"/>
      <c r="K465" s="329"/>
      <c r="L465" s="124"/>
      <c r="M465" s="329"/>
      <c r="N465" s="124"/>
      <c r="O465" s="320"/>
      <c r="P465" s="142"/>
      <c r="Q465" s="193"/>
      <c r="R465" s="28"/>
      <c r="S465" s="138"/>
      <c r="T465" s="142"/>
      <c r="U465" s="142"/>
      <c r="V465" s="142"/>
    </row>
    <row r="466">
      <c r="A466" s="320"/>
      <c r="B466" s="142"/>
      <c r="C466" s="320"/>
      <c r="D466" s="124"/>
      <c r="E466" s="320"/>
      <c r="F466" s="142"/>
      <c r="G466" s="320"/>
      <c r="H466" s="142"/>
      <c r="I466" s="329"/>
      <c r="J466" s="124"/>
      <c r="K466" s="329"/>
      <c r="L466" s="124"/>
      <c r="M466" s="329"/>
      <c r="N466" s="124"/>
      <c r="O466" s="320"/>
      <c r="P466" s="142"/>
      <c r="Q466" s="193"/>
      <c r="R466" s="28"/>
      <c r="S466" s="138"/>
      <c r="T466" s="142"/>
      <c r="U466" s="142"/>
      <c r="V466" s="142"/>
    </row>
    <row r="467">
      <c r="A467" s="320"/>
      <c r="B467" s="142"/>
      <c r="C467" s="320"/>
      <c r="D467" s="124"/>
      <c r="E467" s="320"/>
      <c r="F467" s="142"/>
      <c r="G467" s="320"/>
      <c r="H467" s="142"/>
      <c r="I467" s="329"/>
      <c r="J467" s="124"/>
      <c r="K467" s="329"/>
      <c r="L467" s="124"/>
      <c r="M467" s="329"/>
      <c r="N467" s="124"/>
      <c r="O467" s="320"/>
      <c r="P467" s="142"/>
      <c r="Q467" s="193"/>
      <c r="R467" s="28"/>
      <c r="S467" s="138"/>
      <c r="T467" s="142"/>
      <c r="U467" s="142"/>
      <c r="V467" s="142"/>
    </row>
    <row r="468">
      <c r="A468" s="320"/>
      <c r="B468" s="142"/>
      <c r="C468" s="320"/>
      <c r="D468" s="124"/>
      <c r="E468" s="320"/>
      <c r="F468" s="142"/>
      <c r="G468" s="320"/>
      <c r="H468" s="142"/>
      <c r="I468" s="329"/>
      <c r="J468" s="124"/>
      <c r="K468" s="329"/>
      <c r="L468" s="124"/>
      <c r="M468" s="329"/>
      <c r="N468" s="124"/>
      <c r="O468" s="320"/>
      <c r="P468" s="142"/>
      <c r="Q468" s="193"/>
      <c r="R468" s="28"/>
      <c r="S468" s="138"/>
      <c r="T468" s="142"/>
      <c r="U468" s="142"/>
      <c r="V468" s="142"/>
    </row>
    <row r="469">
      <c r="A469" s="320"/>
      <c r="B469" s="142"/>
      <c r="C469" s="320"/>
      <c r="D469" s="124"/>
      <c r="E469" s="320"/>
      <c r="F469" s="142"/>
      <c r="G469" s="320"/>
      <c r="H469" s="142"/>
      <c r="I469" s="329"/>
      <c r="J469" s="124"/>
      <c r="K469" s="329"/>
      <c r="L469" s="124"/>
      <c r="M469" s="329"/>
      <c r="N469" s="124"/>
      <c r="O469" s="320"/>
      <c r="P469" s="142"/>
      <c r="Q469" s="193"/>
      <c r="R469" s="28"/>
      <c r="S469" s="138"/>
      <c r="T469" s="142"/>
      <c r="U469" s="142"/>
      <c r="V469" s="142"/>
    </row>
    <row r="470">
      <c r="A470" s="320"/>
      <c r="B470" s="142"/>
      <c r="C470" s="320"/>
      <c r="D470" s="124"/>
      <c r="E470" s="320"/>
      <c r="F470" s="142"/>
      <c r="G470" s="320"/>
      <c r="H470" s="142"/>
      <c r="I470" s="329"/>
      <c r="J470" s="124"/>
      <c r="K470" s="329"/>
      <c r="L470" s="124"/>
      <c r="M470" s="329"/>
      <c r="N470" s="124"/>
      <c r="O470" s="320"/>
      <c r="P470" s="142"/>
      <c r="Q470" s="193"/>
      <c r="R470" s="28"/>
      <c r="S470" s="138"/>
      <c r="T470" s="142"/>
      <c r="U470" s="142"/>
      <c r="V470" s="142"/>
    </row>
    <row r="471">
      <c r="A471" s="320"/>
      <c r="B471" s="142"/>
      <c r="C471" s="320"/>
      <c r="D471" s="124"/>
      <c r="E471" s="320"/>
      <c r="F471" s="142"/>
      <c r="G471" s="320"/>
      <c r="H471" s="142"/>
      <c r="I471" s="329"/>
      <c r="J471" s="124"/>
      <c r="K471" s="329"/>
      <c r="L471" s="124"/>
      <c r="M471" s="329"/>
      <c r="N471" s="124"/>
      <c r="O471" s="320"/>
      <c r="P471" s="142"/>
      <c r="Q471" s="193"/>
      <c r="R471" s="28"/>
      <c r="S471" s="138"/>
      <c r="T471" s="142"/>
      <c r="U471" s="142"/>
      <c r="V471" s="142"/>
    </row>
    <row r="472">
      <c r="A472" s="320"/>
      <c r="B472" s="142"/>
      <c r="C472" s="320"/>
      <c r="D472" s="124"/>
      <c r="E472" s="320"/>
      <c r="F472" s="142"/>
      <c r="G472" s="320"/>
      <c r="H472" s="142"/>
      <c r="I472" s="329"/>
      <c r="J472" s="124"/>
      <c r="K472" s="329"/>
      <c r="L472" s="124"/>
      <c r="M472" s="329"/>
      <c r="N472" s="124"/>
      <c r="O472" s="320"/>
      <c r="P472" s="142"/>
      <c r="Q472" s="193"/>
      <c r="R472" s="28"/>
      <c r="S472" s="138"/>
      <c r="T472" s="142"/>
      <c r="U472" s="142"/>
      <c r="V472" s="142"/>
    </row>
    <row r="473">
      <c r="A473" s="320"/>
      <c r="B473" s="142"/>
      <c r="C473" s="320"/>
      <c r="D473" s="124"/>
      <c r="E473" s="320"/>
      <c r="F473" s="142"/>
      <c r="G473" s="320"/>
      <c r="H473" s="142"/>
      <c r="I473" s="329"/>
      <c r="J473" s="124"/>
      <c r="K473" s="329"/>
      <c r="L473" s="124"/>
      <c r="M473" s="329"/>
      <c r="N473" s="124"/>
      <c r="O473" s="320"/>
      <c r="P473" s="142"/>
      <c r="Q473" s="193"/>
      <c r="R473" s="28"/>
      <c r="S473" s="138"/>
      <c r="T473" s="142"/>
      <c r="U473" s="142"/>
      <c r="V473" s="142"/>
    </row>
    <row r="474">
      <c r="A474" s="320"/>
      <c r="B474" s="142"/>
      <c r="C474" s="320"/>
      <c r="D474" s="124"/>
      <c r="E474" s="320"/>
      <c r="F474" s="142"/>
      <c r="G474" s="320"/>
      <c r="H474" s="142"/>
      <c r="I474" s="329"/>
      <c r="J474" s="124"/>
      <c r="K474" s="329"/>
      <c r="L474" s="124"/>
      <c r="M474" s="329"/>
      <c r="N474" s="124"/>
      <c r="O474" s="320"/>
      <c r="P474" s="142"/>
      <c r="Q474" s="193"/>
      <c r="R474" s="28"/>
      <c r="S474" s="138"/>
      <c r="T474" s="142"/>
      <c r="U474" s="142"/>
      <c r="V474" s="142"/>
    </row>
    <row r="475">
      <c r="A475" s="320"/>
      <c r="B475" s="142"/>
      <c r="C475" s="320"/>
      <c r="D475" s="124"/>
      <c r="E475" s="320"/>
      <c r="F475" s="142"/>
      <c r="G475" s="320"/>
      <c r="H475" s="142"/>
      <c r="I475" s="329"/>
      <c r="J475" s="124"/>
      <c r="K475" s="329"/>
      <c r="L475" s="124"/>
      <c r="M475" s="329"/>
      <c r="N475" s="124"/>
      <c r="O475" s="320"/>
      <c r="P475" s="142"/>
      <c r="Q475" s="193"/>
      <c r="R475" s="28"/>
      <c r="S475" s="138"/>
      <c r="T475" s="142"/>
      <c r="U475" s="142"/>
      <c r="V475" s="142"/>
    </row>
    <row r="476">
      <c r="A476" s="320"/>
      <c r="B476" s="142"/>
      <c r="C476" s="320"/>
      <c r="D476" s="124"/>
      <c r="E476" s="320"/>
      <c r="F476" s="142"/>
      <c r="G476" s="320"/>
      <c r="H476" s="142"/>
      <c r="I476" s="329"/>
      <c r="J476" s="124"/>
      <c r="K476" s="329"/>
      <c r="L476" s="124"/>
      <c r="M476" s="329"/>
      <c r="N476" s="124"/>
      <c r="O476" s="320"/>
      <c r="P476" s="142"/>
      <c r="Q476" s="193"/>
      <c r="R476" s="28"/>
      <c r="S476" s="138"/>
      <c r="T476" s="142"/>
      <c r="U476" s="142"/>
      <c r="V476" s="142"/>
    </row>
    <row r="477">
      <c r="A477" s="320"/>
      <c r="B477" s="142"/>
      <c r="C477" s="320"/>
      <c r="D477" s="124"/>
      <c r="E477" s="320"/>
      <c r="F477" s="142"/>
      <c r="G477" s="320"/>
      <c r="H477" s="142"/>
      <c r="I477" s="329"/>
      <c r="J477" s="124"/>
      <c r="K477" s="329"/>
      <c r="L477" s="124"/>
      <c r="M477" s="329"/>
      <c r="N477" s="124"/>
      <c r="O477" s="320"/>
      <c r="P477" s="142"/>
      <c r="Q477" s="193"/>
      <c r="R477" s="28"/>
      <c r="S477" s="138"/>
      <c r="T477" s="142"/>
      <c r="U477" s="142"/>
      <c r="V477" s="142"/>
    </row>
    <row r="478">
      <c r="A478" s="320"/>
      <c r="B478" s="142"/>
      <c r="C478" s="320"/>
      <c r="D478" s="124"/>
      <c r="E478" s="320"/>
      <c r="F478" s="142"/>
      <c r="G478" s="320"/>
      <c r="H478" s="142"/>
      <c r="I478" s="329"/>
      <c r="J478" s="124"/>
      <c r="K478" s="329"/>
      <c r="L478" s="124"/>
      <c r="M478" s="329"/>
      <c r="N478" s="124"/>
      <c r="O478" s="320"/>
      <c r="P478" s="142"/>
      <c r="Q478" s="193"/>
      <c r="R478" s="28"/>
      <c r="S478" s="138"/>
      <c r="T478" s="142"/>
      <c r="U478" s="142"/>
      <c r="V478" s="142"/>
    </row>
    <row r="479">
      <c r="A479" s="320"/>
      <c r="B479" s="142"/>
      <c r="C479" s="320"/>
      <c r="D479" s="124"/>
      <c r="E479" s="320"/>
      <c r="F479" s="142"/>
      <c r="G479" s="320"/>
      <c r="H479" s="142"/>
      <c r="I479" s="329"/>
      <c r="J479" s="124"/>
      <c r="K479" s="329"/>
      <c r="L479" s="124"/>
      <c r="M479" s="329"/>
      <c r="N479" s="124"/>
      <c r="O479" s="320"/>
      <c r="P479" s="142"/>
      <c r="Q479" s="193"/>
      <c r="R479" s="28"/>
      <c r="S479" s="138"/>
      <c r="T479" s="142"/>
      <c r="U479" s="142"/>
      <c r="V479" s="142"/>
    </row>
    <row r="480">
      <c r="A480" s="320"/>
      <c r="B480" s="142"/>
      <c r="C480" s="320"/>
      <c r="D480" s="124"/>
      <c r="E480" s="320"/>
      <c r="F480" s="142"/>
      <c r="G480" s="320"/>
      <c r="H480" s="142"/>
      <c r="I480" s="329"/>
      <c r="J480" s="124"/>
      <c r="K480" s="329"/>
      <c r="L480" s="124"/>
      <c r="M480" s="329"/>
      <c r="N480" s="124"/>
      <c r="O480" s="320"/>
      <c r="P480" s="142"/>
      <c r="Q480" s="193"/>
      <c r="R480" s="28"/>
      <c r="S480" s="138"/>
      <c r="T480" s="142"/>
      <c r="U480" s="142"/>
      <c r="V480" s="142"/>
    </row>
    <row r="481">
      <c r="A481" s="320"/>
      <c r="B481" s="142"/>
      <c r="C481" s="320"/>
      <c r="D481" s="124"/>
      <c r="E481" s="320"/>
      <c r="F481" s="142"/>
      <c r="G481" s="320"/>
      <c r="H481" s="142"/>
      <c r="I481" s="329"/>
      <c r="J481" s="124"/>
      <c r="K481" s="329"/>
      <c r="L481" s="124"/>
      <c r="M481" s="329"/>
      <c r="N481" s="124"/>
      <c r="O481" s="320"/>
      <c r="P481" s="142"/>
      <c r="Q481" s="193"/>
      <c r="R481" s="28"/>
      <c r="S481" s="138"/>
      <c r="T481" s="142"/>
      <c r="U481" s="142"/>
      <c r="V481" s="142"/>
    </row>
    <row r="482">
      <c r="A482" s="320"/>
      <c r="B482" s="142"/>
      <c r="C482" s="320"/>
      <c r="D482" s="124"/>
      <c r="E482" s="320"/>
      <c r="F482" s="142"/>
      <c r="G482" s="320"/>
      <c r="H482" s="142"/>
      <c r="I482" s="329"/>
      <c r="J482" s="124"/>
      <c r="K482" s="329"/>
      <c r="L482" s="124"/>
      <c r="M482" s="329"/>
      <c r="N482" s="124"/>
      <c r="O482" s="320"/>
      <c r="P482" s="142"/>
      <c r="Q482" s="193"/>
      <c r="R482" s="28"/>
      <c r="S482" s="138"/>
      <c r="T482" s="142"/>
      <c r="U482" s="142"/>
      <c r="V482" s="142"/>
    </row>
    <row r="483">
      <c r="A483" s="320"/>
      <c r="B483" s="142"/>
      <c r="C483" s="320"/>
      <c r="D483" s="124"/>
      <c r="E483" s="320"/>
      <c r="F483" s="142"/>
      <c r="G483" s="320"/>
      <c r="H483" s="142"/>
      <c r="I483" s="329"/>
      <c r="J483" s="124"/>
      <c r="K483" s="329"/>
      <c r="L483" s="124"/>
      <c r="M483" s="329"/>
      <c r="N483" s="124"/>
      <c r="O483" s="320"/>
      <c r="P483" s="142"/>
      <c r="Q483" s="193"/>
      <c r="R483" s="28"/>
      <c r="S483" s="138"/>
      <c r="T483" s="142"/>
      <c r="U483" s="142"/>
      <c r="V483" s="142"/>
    </row>
    <row r="484">
      <c r="A484" s="320"/>
      <c r="B484" s="142"/>
      <c r="C484" s="320"/>
      <c r="D484" s="124"/>
      <c r="E484" s="320"/>
      <c r="F484" s="142"/>
      <c r="G484" s="320"/>
      <c r="H484" s="142"/>
      <c r="I484" s="329"/>
      <c r="J484" s="124"/>
      <c r="K484" s="329"/>
      <c r="L484" s="124"/>
      <c r="M484" s="329"/>
      <c r="N484" s="124"/>
      <c r="O484" s="320"/>
      <c r="P484" s="142"/>
      <c r="Q484" s="193"/>
      <c r="R484" s="28"/>
      <c r="S484" s="138"/>
      <c r="T484" s="142"/>
      <c r="U484" s="142"/>
      <c r="V484" s="142"/>
    </row>
    <row r="485">
      <c r="A485" s="320"/>
      <c r="B485" s="142"/>
      <c r="C485" s="320"/>
      <c r="D485" s="124"/>
      <c r="E485" s="320"/>
      <c r="F485" s="142"/>
      <c r="G485" s="320"/>
      <c r="H485" s="142"/>
      <c r="I485" s="329"/>
      <c r="J485" s="124"/>
      <c r="K485" s="329"/>
      <c r="L485" s="124"/>
      <c r="M485" s="329"/>
      <c r="N485" s="124"/>
      <c r="O485" s="320"/>
      <c r="P485" s="142"/>
      <c r="Q485" s="193"/>
      <c r="R485" s="28"/>
      <c r="S485" s="138"/>
      <c r="T485" s="142"/>
      <c r="U485" s="142"/>
      <c r="V485" s="142"/>
    </row>
    <row r="486">
      <c r="A486" s="320"/>
      <c r="B486" s="142"/>
      <c r="C486" s="320"/>
      <c r="D486" s="124"/>
      <c r="E486" s="320"/>
      <c r="F486" s="142"/>
      <c r="G486" s="320"/>
      <c r="H486" s="142"/>
      <c r="I486" s="329"/>
      <c r="J486" s="124"/>
      <c r="K486" s="329"/>
      <c r="L486" s="124"/>
      <c r="M486" s="329"/>
      <c r="N486" s="124"/>
      <c r="O486" s="320"/>
      <c r="P486" s="142"/>
      <c r="Q486" s="193"/>
      <c r="R486" s="28"/>
      <c r="S486" s="138"/>
      <c r="T486" s="142"/>
      <c r="U486" s="142"/>
      <c r="V486" s="142"/>
    </row>
    <row r="487">
      <c r="A487" s="320"/>
      <c r="B487" s="142"/>
      <c r="C487" s="320"/>
      <c r="D487" s="124"/>
      <c r="E487" s="320"/>
      <c r="F487" s="142"/>
      <c r="G487" s="320"/>
      <c r="H487" s="142"/>
      <c r="I487" s="329"/>
      <c r="J487" s="124"/>
      <c r="K487" s="329"/>
      <c r="L487" s="124"/>
      <c r="M487" s="329"/>
      <c r="N487" s="124"/>
      <c r="O487" s="320"/>
      <c r="P487" s="142"/>
      <c r="Q487" s="193"/>
      <c r="R487" s="28"/>
      <c r="S487" s="138"/>
      <c r="T487" s="142"/>
      <c r="U487" s="142"/>
      <c r="V487" s="142"/>
    </row>
    <row r="488">
      <c r="A488" s="320"/>
      <c r="B488" s="142"/>
      <c r="C488" s="320"/>
      <c r="D488" s="124"/>
      <c r="E488" s="320"/>
      <c r="F488" s="142"/>
      <c r="G488" s="320"/>
      <c r="H488" s="142"/>
      <c r="I488" s="329"/>
      <c r="J488" s="124"/>
      <c r="K488" s="329"/>
      <c r="L488" s="124"/>
      <c r="M488" s="329"/>
      <c r="N488" s="124"/>
      <c r="O488" s="320"/>
      <c r="P488" s="142"/>
      <c r="Q488" s="193"/>
      <c r="R488" s="28"/>
      <c r="S488" s="138"/>
      <c r="T488" s="142"/>
      <c r="U488" s="142"/>
      <c r="V488" s="142"/>
    </row>
    <row r="489">
      <c r="A489" s="320"/>
      <c r="B489" s="142"/>
      <c r="C489" s="320"/>
      <c r="D489" s="124"/>
      <c r="E489" s="320"/>
      <c r="F489" s="142"/>
      <c r="G489" s="320"/>
      <c r="H489" s="142"/>
      <c r="I489" s="329"/>
      <c r="J489" s="124"/>
      <c r="K489" s="329"/>
      <c r="L489" s="124"/>
      <c r="M489" s="329"/>
      <c r="N489" s="124"/>
      <c r="O489" s="320"/>
      <c r="P489" s="142"/>
      <c r="Q489" s="193"/>
      <c r="R489" s="28"/>
      <c r="S489" s="138"/>
      <c r="T489" s="142"/>
      <c r="U489" s="142"/>
      <c r="V489" s="142"/>
    </row>
    <row r="490">
      <c r="A490" s="320"/>
      <c r="B490" s="142"/>
      <c r="C490" s="320"/>
      <c r="D490" s="124"/>
      <c r="E490" s="320"/>
      <c r="F490" s="142"/>
      <c r="G490" s="320"/>
      <c r="H490" s="142"/>
      <c r="I490" s="329"/>
      <c r="J490" s="124"/>
      <c r="K490" s="329"/>
      <c r="L490" s="124"/>
      <c r="M490" s="329"/>
      <c r="N490" s="124"/>
      <c r="O490" s="320"/>
      <c r="P490" s="142"/>
      <c r="Q490" s="193"/>
      <c r="R490" s="28"/>
      <c r="S490" s="138"/>
      <c r="T490" s="142"/>
      <c r="U490" s="142"/>
      <c r="V490" s="142"/>
    </row>
    <row r="491">
      <c r="A491" s="320"/>
      <c r="B491" s="142"/>
      <c r="C491" s="320"/>
      <c r="D491" s="124"/>
      <c r="E491" s="320"/>
      <c r="F491" s="142"/>
      <c r="G491" s="320"/>
      <c r="H491" s="142"/>
      <c r="I491" s="329"/>
      <c r="J491" s="124"/>
      <c r="K491" s="329"/>
      <c r="L491" s="124"/>
      <c r="M491" s="329"/>
      <c r="N491" s="124"/>
      <c r="O491" s="320"/>
      <c r="P491" s="142"/>
      <c r="Q491" s="193"/>
      <c r="R491" s="28"/>
      <c r="S491" s="138"/>
      <c r="T491" s="142"/>
      <c r="U491" s="142"/>
      <c r="V491" s="142"/>
    </row>
    <row r="492">
      <c r="A492" s="320"/>
      <c r="B492" s="142"/>
      <c r="C492" s="320"/>
      <c r="D492" s="124"/>
      <c r="E492" s="320"/>
      <c r="F492" s="142"/>
      <c r="G492" s="320"/>
      <c r="H492" s="142"/>
      <c r="I492" s="329"/>
      <c r="J492" s="124"/>
      <c r="K492" s="329"/>
      <c r="L492" s="124"/>
      <c r="M492" s="329"/>
      <c r="N492" s="124"/>
      <c r="O492" s="320"/>
      <c r="P492" s="142"/>
      <c r="Q492" s="193"/>
      <c r="R492" s="28"/>
      <c r="S492" s="138"/>
      <c r="T492" s="142"/>
      <c r="U492" s="142"/>
      <c r="V492" s="142"/>
    </row>
    <row r="493">
      <c r="A493" s="320"/>
      <c r="B493" s="142"/>
      <c r="C493" s="320"/>
      <c r="D493" s="124"/>
      <c r="E493" s="320"/>
      <c r="F493" s="142"/>
      <c r="G493" s="320"/>
      <c r="H493" s="142"/>
      <c r="I493" s="329"/>
      <c r="J493" s="124"/>
      <c r="K493" s="329"/>
      <c r="L493" s="124"/>
      <c r="M493" s="329"/>
      <c r="N493" s="124"/>
      <c r="O493" s="320"/>
      <c r="P493" s="142"/>
      <c r="Q493" s="193"/>
      <c r="R493" s="28"/>
      <c r="S493" s="138"/>
      <c r="T493" s="142"/>
      <c r="U493" s="142"/>
      <c r="V493" s="142"/>
    </row>
    <row r="494">
      <c r="A494" s="320"/>
      <c r="B494" s="142"/>
      <c r="C494" s="320"/>
      <c r="D494" s="124"/>
      <c r="E494" s="320"/>
      <c r="F494" s="142"/>
      <c r="G494" s="320"/>
      <c r="H494" s="142"/>
      <c r="I494" s="329"/>
      <c r="J494" s="124"/>
      <c r="K494" s="329"/>
      <c r="L494" s="124"/>
      <c r="M494" s="329"/>
      <c r="N494" s="124"/>
      <c r="O494" s="320"/>
      <c r="P494" s="142"/>
      <c r="Q494" s="193"/>
      <c r="R494" s="28"/>
      <c r="S494" s="138"/>
      <c r="T494" s="142"/>
      <c r="U494" s="142"/>
      <c r="V494" s="142"/>
    </row>
    <row r="495">
      <c r="A495" s="320"/>
      <c r="B495" s="142"/>
      <c r="C495" s="320"/>
      <c r="D495" s="124"/>
      <c r="E495" s="320"/>
      <c r="F495" s="142"/>
      <c r="G495" s="320"/>
      <c r="H495" s="142"/>
      <c r="I495" s="329"/>
      <c r="J495" s="124"/>
      <c r="K495" s="329"/>
      <c r="L495" s="124"/>
      <c r="M495" s="329"/>
      <c r="N495" s="124"/>
      <c r="O495" s="320"/>
      <c r="P495" s="142"/>
      <c r="Q495" s="193"/>
      <c r="R495" s="28"/>
      <c r="S495" s="138"/>
      <c r="T495" s="142"/>
      <c r="U495" s="142"/>
      <c r="V495" s="142"/>
    </row>
    <row r="496">
      <c r="A496" s="320"/>
      <c r="B496" s="142"/>
      <c r="C496" s="320"/>
      <c r="D496" s="124"/>
      <c r="E496" s="320"/>
      <c r="F496" s="142"/>
      <c r="G496" s="320"/>
      <c r="H496" s="142"/>
      <c r="I496" s="329"/>
      <c r="J496" s="124"/>
      <c r="K496" s="329"/>
      <c r="L496" s="124"/>
      <c r="M496" s="329"/>
      <c r="N496" s="124"/>
      <c r="O496" s="320"/>
      <c r="P496" s="142"/>
      <c r="Q496" s="193"/>
      <c r="R496" s="28"/>
      <c r="S496" s="138"/>
      <c r="T496" s="142"/>
      <c r="U496" s="142"/>
      <c r="V496" s="142"/>
    </row>
    <row r="497">
      <c r="A497" s="320"/>
      <c r="B497" s="142"/>
      <c r="C497" s="320"/>
      <c r="D497" s="124"/>
      <c r="E497" s="320"/>
      <c r="F497" s="142"/>
      <c r="G497" s="320"/>
      <c r="H497" s="142"/>
      <c r="I497" s="329"/>
      <c r="J497" s="124"/>
      <c r="K497" s="329"/>
      <c r="L497" s="124"/>
      <c r="M497" s="329"/>
      <c r="N497" s="124"/>
      <c r="O497" s="320"/>
      <c r="P497" s="142"/>
      <c r="Q497" s="193"/>
      <c r="R497" s="28"/>
      <c r="S497" s="138"/>
      <c r="T497" s="142"/>
      <c r="U497" s="142"/>
      <c r="V497" s="142"/>
    </row>
    <row r="498">
      <c r="A498" s="320"/>
      <c r="B498" s="142"/>
      <c r="C498" s="320"/>
      <c r="D498" s="124"/>
      <c r="E498" s="320"/>
      <c r="F498" s="142"/>
      <c r="G498" s="320"/>
      <c r="H498" s="142"/>
      <c r="I498" s="329"/>
      <c r="J498" s="124"/>
      <c r="K498" s="329"/>
      <c r="L498" s="124"/>
      <c r="M498" s="329"/>
      <c r="N498" s="124"/>
      <c r="O498" s="320"/>
      <c r="P498" s="142"/>
      <c r="Q498" s="193"/>
      <c r="R498" s="28"/>
      <c r="S498" s="138"/>
      <c r="T498" s="142"/>
      <c r="U498" s="142"/>
      <c r="V498" s="142"/>
    </row>
    <row r="499">
      <c r="A499" s="320"/>
      <c r="B499" s="142"/>
      <c r="C499" s="320"/>
      <c r="D499" s="124"/>
      <c r="E499" s="320"/>
      <c r="F499" s="142"/>
      <c r="G499" s="320"/>
      <c r="H499" s="142"/>
      <c r="I499" s="329"/>
      <c r="J499" s="124"/>
      <c r="K499" s="329"/>
      <c r="L499" s="124"/>
      <c r="M499" s="329"/>
      <c r="N499" s="124"/>
      <c r="O499" s="320"/>
      <c r="P499" s="142"/>
      <c r="Q499" s="193"/>
      <c r="R499" s="28"/>
      <c r="S499" s="138"/>
      <c r="T499" s="142"/>
      <c r="U499" s="142"/>
      <c r="V499" s="142"/>
    </row>
    <row r="500">
      <c r="A500" s="320"/>
      <c r="B500" s="142"/>
      <c r="C500" s="320"/>
      <c r="D500" s="124"/>
      <c r="E500" s="320"/>
      <c r="F500" s="142"/>
      <c r="G500" s="320"/>
      <c r="H500" s="142"/>
      <c r="I500" s="329"/>
      <c r="J500" s="124"/>
      <c r="K500" s="329"/>
      <c r="L500" s="124"/>
      <c r="M500" s="329"/>
      <c r="N500" s="124"/>
      <c r="O500" s="320"/>
      <c r="P500" s="142"/>
      <c r="Q500" s="193"/>
      <c r="R500" s="28"/>
      <c r="S500" s="138"/>
      <c r="T500" s="142"/>
      <c r="U500" s="142"/>
      <c r="V500" s="142"/>
    </row>
    <row r="501">
      <c r="A501" s="320"/>
      <c r="B501" s="142"/>
      <c r="C501" s="320"/>
      <c r="D501" s="124"/>
      <c r="E501" s="320"/>
      <c r="F501" s="142"/>
      <c r="G501" s="320"/>
      <c r="H501" s="142"/>
      <c r="I501" s="329"/>
      <c r="J501" s="124"/>
      <c r="K501" s="329"/>
      <c r="L501" s="124"/>
      <c r="M501" s="329"/>
      <c r="N501" s="124"/>
      <c r="O501" s="320"/>
      <c r="P501" s="142"/>
      <c r="Q501" s="193"/>
      <c r="R501" s="28"/>
      <c r="S501" s="138"/>
      <c r="T501" s="142"/>
      <c r="U501" s="142"/>
      <c r="V501" s="142"/>
    </row>
    <row r="502">
      <c r="A502" s="320"/>
      <c r="B502" s="142"/>
      <c r="C502" s="320"/>
      <c r="D502" s="124"/>
      <c r="E502" s="320"/>
      <c r="F502" s="142"/>
      <c r="G502" s="320"/>
      <c r="H502" s="142"/>
      <c r="I502" s="329"/>
      <c r="J502" s="124"/>
      <c r="K502" s="329"/>
      <c r="L502" s="124"/>
      <c r="M502" s="329"/>
      <c r="N502" s="124"/>
      <c r="O502" s="320"/>
      <c r="P502" s="142"/>
      <c r="Q502" s="193"/>
      <c r="R502" s="28"/>
      <c r="S502" s="138"/>
      <c r="T502" s="142"/>
      <c r="U502" s="142"/>
      <c r="V502" s="142"/>
    </row>
    <row r="503">
      <c r="A503" s="320"/>
      <c r="B503" s="142"/>
      <c r="C503" s="320"/>
      <c r="D503" s="124"/>
      <c r="E503" s="320"/>
      <c r="F503" s="142"/>
      <c r="G503" s="320"/>
      <c r="H503" s="142"/>
      <c r="I503" s="329"/>
      <c r="J503" s="124"/>
      <c r="K503" s="329"/>
      <c r="L503" s="124"/>
      <c r="M503" s="329"/>
      <c r="N503" s="124"/>
      <c r="O503" s="320"/>
      <c r="P503" s="142"/>
      <c r="Q503" s="193"/>
      <c r="R503" s="28"/>
      <c r="S503" s="138"/>
      <c r="T503" s="142"/>
      <c r="U503" s="142"/>
      <c r="V503" s="142"/>
    </row>
    <row r="504">
      <c r="A504" s="320"/>
      <c r="B504" s="142"/>
      <c r="C504" s="320"/>
      <c r="D504" s="124"/>
      <c r="E504" s="320"/>
      <c r="F504" s="142"/>
      <c r="G504" s="320"/>
      <c r="H504" s="142"/>
      <c r="I504" s="329"/>
      <c r="J504" s="124"/>
      <c r="K504" s="329"/>
      <c r="L504" s="124"/>
      <c r="M504" s="329"/>
      <c r="N504" s="124"/>
      <c r="O504" s="320"/>
      <c r="P504" s="142"/>
      <c r="Q504" s="193"/>
      <c r="R504" s="28"/>
      <c r="S504" s="138"/>
      <c r="T504" s="142"/>
      <c r="U504" s="142"/>
      <c r="V504" s="142"/>
    </row>
    <row r="505">
      <c r="A505" s="320"/>
      <c r="B505" s="142"/>
      <c r="C505" s="320"/>
      <c r="D505" s="124"/>
      <c r="E505" s="320"/>
      <c r="F505" s="142"/>
      <c r="G505" s="320"/>
      <c r="H505" s="142"/>
      <c r="I505" s="329"/>
      <c r="J505" s="124"/>
      <c r="K505" s="329"/>
      <c r="L505" s="124"/>
      <c r="M505" s="329"/>
      <c r="N505" s="124"/>
      <c r="O505" s="320"/>
      <c r="P505" s="142"/>
      <c r="Q505" s="193"/>
      <c r="R505" s="28"/>
      <c r="S505" s="138"/>
      <c r="T505" s="142"/>
      <c r="U505" s="142"/>
      <c r="V505" s="142"/>
    </row>
    <row r="506">
      <c r="A506" s="320"/>
      <c r="B506" s="142"/>
      <c r="C506" s="320"/>
      <c r="D506" s="124"/>
      <c r="E506" s="320"/>
      <c r="F506" s="142"/>
      <c r="G506" s="320"/>
      <c r="H506" s="142"/>
      <c r="I506" s="329"/>
      <c r="J506" s="124"/>
      <c r="K506" s="329"/>
      <c r="L506" s="124"/>
      <c r="M506" s="329"/>
      <c r="N506" s="124"/>
      <c r="O506" s="320"/>
      <c r="P506" s="142"/>
      <c r="Q506" s="193"/>
      <c r="R506" s="28"/>
      <c r="S506" s="138"/>
      <c r="T506" s="142"/>
      <c r="U506" s="142"/>
      <c r="V506" s="142"/>
    </row>
    <row r="507">
      <c r="A507" s="320"/>
      <c r="B507" s="142"/>
      <c r="C507" s="320"/>
      <c r="D507" s="124"/>
      <c r="E507" s="320"/>
      <c r="F507" s="142"/>
      <c r="G507" s="320"/>
      <c r="H507" s="142"/>
      <c r="I507" s="329"/>
      <c r="J507" s="124"/>
      <c r="K507" s="329"/>
      <c r="L507" s="124"/>
      <c r="M507" s="329"/>
      <c r="N507" s="124"/>
      <c r="O507" s="320"/>
      <c r="P507" s="142"/>
      <c r="Q507" s="193"/>
      <c r="R507" s="28"/>
      <c r="S507" s="138"/>
      <c r="T507" s="142"/>
      <c r="U507" s="142"/>
      <c r="V507" s="142"/>
    </row>
    <row r="508">
      <c r="A508" s="320"/>
      <c r="B508" s="142"/>
      <c r="C508" s="320"/>
      <c r="D508" s="124"/>
      <c r="E508" s="320"/>
      <c r="F508" s="142"/>
      <c r="G508" s="320"/>
      <c r="H508" s="142"/>
      <c r="I508" s="329"/>
      <c r="J508" s="124"/>
      <c r="K508" s="329"/>
      <c r="L508" s="124"/>
      <c r="M508" s="329"/>
      <c r="N508" s="124"/>
      <c r="O508" s="320"/>
      <c r="P508" s="142"/>
      <c r="Q508" s="193"/>
      <c r="R508" s="28"/>
      <c r="S508" s="138"/>
      <c r="T508" s="142"/>
      <c r="U508" s="142"/>
      <c r="V508" s="142"/>
    </row>
    <row r="509">
      <c r="A509" s="320"/>
      <c r="B509" s="142"/>
      <c r="C509" s="320"/>
      <c r="D509" s="124"/>
      <c r="E509" s="320"/>
      <c r="F509" s="142"/>
      <c r="G509" s="320"/>
      <c r="H509" s="142"/>
      <c r="I509" s="329"/>
      <c r="J509" s="124"/>
      <c r="K509" s="329"/>
      <c r="L509" s="124"/>
      <c r="M509" s="329"/>
      <c r="N509" s="124"/>
      <c r="O509" s="320"/>
      <c r="P509" s="142"/>
      <c r="Q509" s="193"/>
      <c r="R509" s="28"/>
      <c r="S509" s="138"/>
      <c r="T509" s="142"/>
      <c r="U509" s="142"/>
      <c r="V509" s="142"/>
    </row>
    <row r="510">
      <c r="A510" s="320"/>
      <c r="B510" s="142"/>
      <c r="C510" s="320"/>
      <c r="D510" s="124"/>
      <c r="E510" s="320"/>
      <c r="F510" s="142"/>
      <c r="G510" s="320"/>
      <c r="H510" s="142"/>
      <c r="I510" s="329"/>
      <c r="J510" s="124"/>
      <c r="K510" s="329"/>
      <c r="L510" s="124"/>
      <c r="M510" s="329"/>
      <c r="N510" s="124"/>
      <c r="O510" s="320"/>
      <c r="P510" s="142"/>
      <c r="Q510" s="193"/>
      <c r="R510" s="28"/>
      <c r="S510" s="138"/>
      <c r="T510" s="142"/>
      <c r="U510" s="142"/>
      <c r="V510" s="142"/>
    </row>
    <row r="511">
      <c r="A511" s="320"/>
      <c r="B511" s="142"/>
      <c r="C511" s="320"/>
      <c r="D511" s="124"/>
      <c r="E511" s="320"/>
      <c r="F511" s="142"/>
      <c r="G511" s="320"/>
      <c r="H511" s="142"/>
      <c r="I511" s="329"/>
      <c r="J511" s="124"/>
      <c r="K511" s="329"/>
      <c r="L511" s="124"/>
      <c r="M511" s="329"/>
      <c r="N511" s="124"/>
      <c r="O511" s="320"/>
      <c r="P511" s="142"/>
      <c r="Q511" s="193"/>
      <c r="R511" s="28"/>
      <c r="S511" s="138"/>
      <c r="T511" s="142"/>
      <c r="U511" s="142"/>
      <c r="V511" s="142"/>
    </row>
    <row r="512">
      <c r="A512" s="320"/>
      <c r="B512" s="142"/>
      <c r="C512" s="320"/>
      <c r="D512" s="124"/>
      <c r="E512" s="320"/>
      <c r="F512" s="142"/>
      <c r="G512" s="320"/>
      <c r="H512" s="142"/>
      <c r="I512" s="329"/>
      <c r="J512" s="124"/>
      <c r="K512" s="329"/>
      <c r="L512" s="124"/>
      <c r="M512" s="329"/>
      <c r="N512" s="124"/>
      <c r="O512" s="320"/>
      <c r="P512" s="142"/>
      <c r="Q512" s="193"/>
      <c r="R512" s="28"/>
      <c r="S512" s="138"/>
      <c r="T512" s="142"/>
      <c r="U512" s="142"/>
      <c r="V512" s="142"/>
    </row>
    <row r="513">
      <c r="A513" s="320"/>
      <c r="B513" s="142"/>
      <c r="C513" s="320"/>
      <c r="D513" s="124"/>
      <c r="E513" s="320"/>
      <c r="F513" s="142"/>
      <c r="G513" s="320"/>
      <c r="H513" s="142"/>
      <c r="I513" s="329"/>
      <c r="J513" s="124"/>
      <c r="K513" s="329"/>
      <c r="L513" s="124"/>
      <c r="M513" s="329"/>
      <c r="N513" s="124"/>
      <c r="O513" s="320"/>
      <c r="P513" s="142"/>
      <c r="Q513" s="193"/>
      <c r="R513" s="28"/>
      <c r="S513" s="138"/>
      <c r="T513" s="142"/>
      <c r="U513" s="142"/>
      <c r="V513" s="142"/>
    </row>
    <row r="514">
      <c r="A514" s="320"/>
      <c r="B514" s="142"/>
      <c r="C514" s="320"/>
      <c r="D514" s="124"/>
      <c r="E514" s="320"/>
      <c r="F514" s="142"/>
      <c r="G514" s="320"/>
      <c r="H514" s="142"/>
      <c r="I514" s="329"/>
      <c r="J514" s="124"/>
      <c r="K514" s="329"/>
      <c r="L514" s="124"/>
      <c r="M514" s="329"/>
      <c r="N514" s="124"/>
      <c r="O514" s="320"/>
      <c r="P514" s="142"/>
      <c r="Q514" s="193"/>
      <c r="R514" s="28"/>
      <c r="S514" s="138"/>
      <c r="T514" s="142"/>
      <c r="U514" s="142"/>
      <c r="V514" s="142"/>
    </row>
    <row r="515">
      <c r="A515" s="320"/>
      <c r="B515" s="142"/>
      <c r="C515" s="320"/>
      <c r="D515" s="124"/>
      <c r="E515" s="320"/>
      <c r="F515" s="142"/>
      <c r="G515" s="320"/>
      <c r="H515" s="142"/>
      <c r="I515" s="329"/>
      <c r="J515" s="124"/>
      <c r="K515" s="329"/>
      <c r="L515" s="124"/>
      <c r="M515" s="329"/>
      <c r="N515" s="124"/>
      <c r="O515" s="320"/>
      <c r="P515" s="142"/>
      <c r="Q515" s="193"/>
      <c r="R515" s="28"/>
      <c r="S515" s="138"/>
      <c r="T515" s="142"/>
      <c r="U515" s="142"/>
      <c r="V515" s="142"/>
    </row>
    <row r="516">
      <c r="A516" s="320"/>
      <c r="B516" s="142"/>
      <c r="C516" s="320"/>
      <c r="D516" s="124"/>
      <c r="E516" s="320"/>
      <c r="F516" s="142"/>
      <c r="G516" s="320"/>
      <c r="H516" s="142"/>
      <c r="I516" s="329"/>
      <c r="J516" s="124"/>
      <c r="K516" s="329"/>
      <c r="L516" s="124"/>
      <c r="M516" s="329"/>
      <c r="N516" s="124"/>
      <c r="O516" s="320"/>
      <c r="P516" s="142"/>
      <c r="Q516" s="193"/>
      <c r="R516" s="28"/>
      <c r="S516" s="138"/>
      <c r="T516" s="142"/>
      <c r="U516" s="142"/>
      <c r="V516" s="142"/>
    </row>
    <row r="517">
      <c r="A517" s="320"/>
      <c r="B517" s="142"/>
      <c r="C517" s="320"/>
      <c r="D517" s="124"/>
      <c r="E517" s="320"/>
      <c r="F517" s="142"/>
      <c r="G517" s="320"/>
      <c r="H517" s="142"/>
      <c r="I517" s="329"/>
      <c r="J517" s="124"/>
      <c r="K517" s="329"/>
      <c r="L517" s="124"/>
      <c r="M517" s="329"/>
      <c r="N517" s="124"/>
      <c r="O517" s="320"/>
      <c r="P517" s="142"/>
      <c r="Q517" s="193"/>
      <c r="R517" s="28"/>
      <c r="S517" s="138"/>
      <c r="T517" s="142"/>
      <c r="U517" s="142"/>
      <c r="V517" s="142"/>
    </row>
    <row r="518">
      <c r="A518" s="320"/>
      <c r="B518" s="142"/>
      <c r="C518" s="320"/>
      <c r="D518" s="124"/>
      <c r="E518" s="320"/>
      <c r="F518" s="142"/>
      <c r="G518" s="320"/>
      <c r="H518" s="142"/>
      <c r="I518" s="329"/>
      <c r="J518" s="124"/>
      <c r="K518" s="329"/>
      <c r="L518" s="124"/>
      <c r="M518" s="329"/>
      <c r="N518" s="124"/>
      <c r="O518" s="320"/>
      <c r="P518" s="142"/>
      <c r="Q518" s="193"/>
      <c r="R518" s="28"/>
      <c r="S518" s="138"/>
      <c r="T518" s="142"/>
      <c r="U518" s="142"/>
      <c r="V518" s="142"/>
    </row>
    <row r="519">
      <c r="A519" s="320"/>
      <c r="B519" s="142"/>
      <c r="C519" s="320"/>
      <c r="D519" s="124"/>
      <c r="E519" s="320"/>
      <c r="F519" s="142"/>
      <c r="G519" s="320"/>
      <c r="H519" s="142"/>
      <c r="I519" s="329"/>
      <c r="J519" s="124"/>
      <c r="K519" s="329"/>
      <c r="L519" s="124"/>
      <c r="M519" s="329"/>
      <c r="N519" s="124"/>
      <c r="O519" s="320"/>
      <c r="P519" s="142"/>
      <c r="Q519" s="193"/>
      <c r="R519" s="28"/>
      <c r="S519" s="138"/>
      <c r="T519" s="142"/>
      <c r="U519" s="142"/>
      <c r="V519" s="142"/>
    </row>
    <row r="520">
      <c r="A520" s="320"/>
      <c r="B520" s="142"/>
      <c r="C520" s="320"/>
      <c r="D520" s="124"/>
      <c r="E520" s="320"/>
      <c r="F520" s="142"/>
      <c r="G520" s="320"/>
      <c r="H520" s="142"/>
      <c r="I520" s="329"/>
      <c r="J520" s="124"/>
      <c r="K520" s="329"/>
      <c r="L520" s="124"/>
      <c r="M520" s="329"/>
      <c r="N520" s="124"/>
      <c r="O520" s="320"/>
      <c r="P520" s="142"/>
      <c r="Q520" s="193"/>
      <c r="R520" s="28"/>
      <c r="S520" s="138"/>
      <c r="T520" s="142"/>
      <c r="U520" s="142"/>
      <c r="V520" s="142"/>
    </row>
    <row r="521">
      <c r="A521" s="320"/>
      <c r="B521" s="142"/>
      <c r="C521" s="320"/>
      <c r="D521" s="124"/>
      <c r="E521" s="320"/>
      <c r="F521" s="142"/>
      <c r="G521" s="320"/>
      <c r="H521" s="142"/>
      <c r="I521" s="329"/>
      <c r="J521" s="124"/>
      <c r="K521" s="329"/>
      <c r="L521" s="124"/>
      <c r="M521" s="329"/>
      <c r="N521" s="124"/>
      <c r="O521" s="320"/>
      <c r="P521" s="142"/>
      <c r="Q521" s="193"/>
      <c r="R521" s="28"/>
      <c r="S521" s="138"/>
      <c r="T521" s="142"/>
      <c r="U521" s="142"/>
      <c r="V521" s="142"/>
    </row>
    <row r="522">
      <c r="A522" s="320"/>
      <c r="B522" s="142"/>
      <c r="C522" s="320"/>
      <c r="D522" s="124"/>
      <c r="E522" s="320"/>
      <c r="F522" s="142"/>
      <c r="G522" s="320"/>
      <c r="H522" s="142"/>
      <c r="I522" s="329"/>
      <c r="J522" s="124"/>
      <c r="K522" s="329"/>
      <c r="L522" s="124"/>
      <c r="M522" s="329"/>
      <c r="N522" s="124"/>
      <c r="O522" s="320"/>
      <c r="P522" s="142"/>
      <c r="Q522" s="193"/>
      <c r="R522" s="28"/>
      <c r="S522" s="138"/>
      <c r="T522" s="142"/>
      <c r="U522" s="142"/>
      <c r="V522" s="142"/>
    </row>
    <row r="523">
      <c r="A523" s="320"/>
      <c r="B523" s="142"/>
      <c r="C523" s="320"/>
      <c r="D523" s="124"/>
      <c r="E523" s="320"/>
      <c r="F523" s="142"/>
      <c r="G523" s="320"/>
      <c r="H523" s="142"/>
      <c r="I523" s="329"/>
      <c r="J523" s="124"/>
      <c r="K523" s="329"/>
      <c r="L523" s="124"/>
      <c r="M523" s="329"/>
      <c r="N523" s="124"/>
      <c r="O523" s="320"/>
      <c r="P523" s="142"/>
      <c r="Q523" s="193"/>
      <c r="R523" s="28"/>
      <c r="S523" s="138"/>
      <c r="T523" s="142"/>
      <c r="U523" s="142"/>
      <c r="V523" s="142"/>
    </row>
    <row r="524">
      <c r="A524" s="320"/>
      <c r="B524" s="142"/>
      <c r="C524" s="320"/>
      <c r="D524" s="124"/>
      <c r="E524" s="320"/>
      <c r="F524" s="142"/>
      <c r="G524" s="320"/>
      <c r="H524" s="142"/>
      <c r="I524" s="329"/>
      <c r="J524" s="124"/>
      <c r="K524" s="329"/>
      <c r="L524" s="124"/>
      <c r="M524" s="329"/>
      <c r="N524" s="124"/>
      <c r="O524" s="320"/>
      <c r="P524" s="142"/>
      <c r="Q524" s="193"/>
      <c r="R524" s="28"/>
      <c r="S524" s="138"/>
      <c r="T524" s="142"/>
      <c r="U524" s="142"/>
      <c r="V524" s="142"/>
    </row>
    <row r="525">
      <c r="A525" s="320"/>
      <c r="B525" s="142"/>
      <c r="C525" s="320"/>
      <c r="D525" s="124"/>
      <c r="E525" s="320"/>
      <c r="F525" s="142"/>
      <c r="G525" s="320"/>
      <c r="H525" s="142"/>
      <c r="I525" s="329"/>
      <c r="J525" s="124"/>
      <c r="K525" s="329"/>
      <c r="L525" s="124"/>
      <c r="M525" s="329"/>
      <c r="N525" s="124"/>
      <c r="O525" s="320"/>
      <c r="P525" s="142"/>
      <c r="Q525" s="193"/>
      <c r="R525" s="28"/>
      <c r="S525" s="138"/>
      <c r="T525" s="142"/>
      <c r="U525" s="142"/>
      <c r="V525" s="142"/>
    </row>
    <row r="526">
      <c r="A526" s="320"/>
      <c r="B526" s="142"/>
      <c r="C526" s="320"/>
      <c r="D526" s="124"/>
      <c r="E526" s="320"/>
      <c r="F526" s="142"/>
      <c r="G526" s="320"/>
      <c r="H526" s="142"/>
      <c r="I526" s="329"/>
      <c r="J526" s="124"/>
      <c r="K526" s="329"/>
      <c r="L526" s="124"/>
      <c r="M526" s="329"/>
      <c r="N526" s="124"/>
      <c r="O526" s="320"/>
      <c r="P526" s="142"/>
      <c r="Q526" s="193"/>
      <c r="R526" s="28"/>
      <c r="S526" s="138"/>
      <c r="T526" s="142"/>
      <c r="U526" s="142"/>
      <c r="V526" s="142"/>
    </row>
    <row r="527">
      <c r="A527" s="320"/>
      <c r="B527" s="142"/>
      <c r="C527" s="320"/>
      <c r="D527" s="124"/>
      <c r="E527" s="320"/>
      <c r="F527" s="142"/>
      <c r="G527" s="320"/>
      <c r="H527" s="142"/>
      <c r="I527" s="329"/>
      <c r="J527" s="124"/>
      <c r="K527" s="329"/>
      <c r="L527" s="124"/>
      <c r="M527" s="329"/>
      <c r="N527" s="124"/>
      <c r="O527" s="320"/>
      <c r="P527" s="142"/>
      <c r="Q527" s="193"/>
      <c r="R527" s="28"/>
      <c r="S527" s="138"/>
      <c r="T527" s="142"/>
      <c r="U527" s="142"/>
      <c r="V527" s="142"/>
    </row>
    <row r="528">
      <c r="A528" s="320"/>
      <c r="B528" s="142"/>
      <c r="C528" s="320"/>
      <c r="D528" s="124"/>
      <c r="E528" s="320"/>
      <c r="F528" s="142"/>
      <c r="G528" s="320"/>
      <c r="H528" s="142"/>
      <c r="I528" s="329"/>
      <c r="J528" s="124"/>
      <c r="K528" s="329"/>
      <c r="L528" s="124"/>
      <c r="M528" s="329"/>
      <c r="N528" s="124"/>
      <c r="O528" s="320"/>
      <c r="P528" s="142"/>
      <c r="Q528" s="193"/>
      <c r="R528" s="28"/>
      <c r="S528" s="138"/>
      <c r="T528" s="142"/>
      <c r="U528" s="142"/>
      <c r="V528" s="142"/>
    </row>
    <row r="529">
      <c r="A529" s="320"/>
      <c r="B529" s="142"/>
      <c r="C529" s="320"/>
      <c r="D529" s="124"/>
      <c r="E529" s="320"/>
      <c r="F529" s="142"/>
      <c r="G529" s="320"/>
      <c r="H529" s="142"/>
      <c r="I529" s="329"/>
      <c r="J529" s="124"/>
      <c r="K529" s="329"/>
      <c r="L529" s="124"/>
      <c r="M529" s="329"/>
      <c r="N529" s="124"/>
      <c r="O529" s="320"/>
      <c r="P529" s="142"/>
      <c r="Q529" s="193"/>
      <c r="R529" s="28"/>
      <c r="S529" s="138"/>
      <c r="T529" s="142"/>
      <c r="U529" s="142"/>
      <c r="V529" s="142"/>
    </row>
    <row r="530">
      <c r="A530" s="320"/>
      <c r="B530" s="142"/>
      <c r="C530" s="320"/>
      <c r="D530" s="124"/>
      <c r="E530" s="320"/>
      <c r="F530" s="142"/>
      <c r="G530" s="320"/>
      <c r="H530" s="142"/>
      <c r="I530" s="329"/>
      <c r="J530" s="124"/>
      <c r="K530" s="329"/>
      <c r="L530" s="124"/>
      <c r="M530" s="329"/>
      <c r="N530" s="124"/>
      <c r="O530" s="320"/>
      <c r="P530" s="142"/>
      <c r="Q530" s="193"/>
      <c r="R530" s="28"/>
      <c r="S530" s="138"/>
      <c r="T530" s="142"/>
      <c r="U530" s="142"/>
      <c r="V530" s="142"/>
    </row>
    <row r="531">
      <c r="A531" s="320"/>
      <c r="B531" s="142"/>
      <c r="C531" s="320"/>
      <c r="D531" s="124"/>
      <c r="E531" s="320"/>
      <c r="F531" s="142"/>
      <c r="G531" s="320"/>
      <c r="H531" s="142"/>
      <c r="I531" s="329"/>
      <c r="J531" s="124"/>
      <c r="K531" s="329"/>
      <c r="L531" s="124"/>
      <c r="M531" s="329"/>
      <c r="N531" s="124"/>
      <c r="O531" s="320"/>
      <c r="P531" s="142"/>
      <c r="Q531" s="193"/>
      <c r="R531" s="28"/>
      <c r="S531" s="138"/>
      <c r="T531" s="142"/>
      <c r="U531" s="142"/>
      <c r="V531" s="142"/>
    </row>
    <row r="532">
      <c r="A532" s="320"/>
      <c r="B532" s="142"/>
      <c r="C532" s="320"/>
      <c r="D532" s="124"/>
      <c r="E532" s="320"/>
      <c r="F532" s="142"/>
      <c r="G532" s="320"/>
      <c r="H532" s="142"/>
      <c r="I532" s="329"/>
      <c r="J532" s="124"/>
      <c r="K532" s="329"/>
      <c r="L532" s="124"/>
      <c r="M532" s="329"/>
      <c r="N532" s="124"/>
      <c r="O532" s="320"/>
      <c r="P532" s="142"/>
      <c r="Q532" s="193"/>
      <c r="R532" s="28"/>
      <c r="S532" s="138"/>
      <c r="T532" s="142"/>
      <c r="U532" s="142"/>
      <c r="V532" s="142"/>
    </row>
    <row r="533">
      <c r="A533" s="320"/>
      <c r="B533" s="142"/>
      <c r="C533" s="320"/>
      <c r="D533" s="124"/>
      <c r="E533" s="320"/>
      <c r="F533" s="142"/>
      <c r="G533" s="320"/>
      <c r="H533" s="142"/>
      <c r="I533" s="329"/>
      <c r="J533" s="124"/>
      <c r="K533" s="329"/>
      <c r="L533" s="124"/>
      <c r="M533" s="329"/>
      <c r="N533" s="124"/>
      <c r="O533" s="320"/>
      <c r="P533" s="142"/>
      <c r="Q533" s="193"/>
      <c r="R533" s="28"/>
      <c r="S533" s="138"/>
      <c r="T533" s="142"/>
      <c r="U533" s="142"/>
      <c r="V533" s="142"/>
    </row>
    <row r="534">
      <c r="A534" s="320"/>
      <c r="B534" s="142"/>
      <c r="C534" s="320"/>
      <c r="D534" s="124"/>
      <c r="E534" s="320"/>
      <c r="F534" s="142"/>
      <c r="G534" s="320"/>
      <c r="H534" s="142"/>
      <c r="I534" s="329"/>
      <c r="J534" s="124"/>
      <c r="K534" s="329"/>
      <c r="L534" s="124"/>
      <c r="M534" s="329"/>
      <c r="N534" s="124"/>
      <c r="O534" s="320"/>
      <c r="P534" s="142"/>
      <c r="Q534" s="193"/>
      <c r="R534" s="28"/>
      <c r="S534" s="138"/>
      <c r="T534" s="142"/>
      <c r="U534" s="142"/>
      <c r="V534" s="142"/>
    </row>
    <row r="535">
      <c r="A535" s="320"/>
      <c r="B535" s="142"/>
      <c r="C535" s="320"/>
      <c r="D535" s="124"/>
      <c r="E535" s="320"/>
      <c r="F535" s="142"/>
      <c r="G535" s="320"/>
      <c r="H535" s="142"/>
      <c r="I535" s="329"/>
      <c r="J535" s="124"/>
      <c r="K535" s="329"/>
      <c r="L535" s="124"/>
      <c r="M535" s="329"/>
      <c r="N535" s="124"/>
      <c r="O535" s="320"/>
      <c r="P535" s="142"/>
      <c r="Q535" s="193"/>
      <c r="R535" s="28"/>
      <c r="S535" s="138"/>
      <c r="T535" s="142"/>
      <c r="U535" s="142"/>
      <c r="V535" s="142"/>
    </row>
    <row r="536">
      <c r="A536" s="320"/>
      <c r="B536" s="142"/>
      <c r="C536" s="320"/>
      <c r="D536" s="124"/>
      <c r="E536" s="320"/>
      <c r="F536" s="142"/>
      <c r="G536" s="320"/>
      <c r="H536" s="142"/>
      <c r="I536" s="329"/>
      <c r="J536" s="124"/>
      <c r="K536" s="329"/>
      <c r="L536" s="124"/>
      <c r="M536" s="329"/>
      <c r="N536" s="124"/>
      <c r="O536" s="320"/>
      <c r="P536" s="142"/>
      <c r="Q536" s="193"/>
      <c r="R536" s="28"/>
      <c r="S536" s="138"/>
      <c r="T536" s="142"/>
      <c r="U536" s="142"/>
      <c r="V536" s="142"/>
    </row>
    <row r="537">
      <c r="A537" s="320"/>
      <c r="B537" s="142"/>
      <c r="C537" s="320"/>
      <c r="D537" s="124"/>
      <c r="E537" s="320"/>
      <c r="F537" s="142"/>
      <c r="G537" s="320"/>
      <c r="H537" s="142"/>
      <c r="I537" s="329"/>
      <c r="J537" s="124"/>
      <c r="K537" s="329"/>
      <c r="L537" s="124"/>
      <c r="M537" s="329"/>
      <c r="N537" s="124"/>
      <c r="O537" s="320"/>
      <c r="P537" s="142"/>
      <c r="Q537" s="193"/>
      <c r="R537" s="28"/>
      <c r="S537" s="138"/>
      <c r="T537" s="142"/>
      <c r="U537" s="142"/>
      <c r="V537" s="142"/>
    </row>
    <row r="538">
      <c r="A538" s="320"/>
      <c r="B538" s="142"/>
      <c r="C538" s="320"/>
      <c r="D538" s="124"/>
      <c r="E538" s="320"/>
      <c r="F538" s="142"/>
      <c r="G538" s="320"/>
      <c r="H538" s="142"/>
      <c r="I538" s="329"/>
      <c r="J538" s="124"/>
      <c r="K538" s="329"/>
      <c r="L538" s="124"/>
      <c r="M538" s="329"/>
      <c r="N538" s="124"/>
      <c r="O538" s="320"/>
      <c r="P538" s="142"/>
      <c r="Q538" s="193"/>
      <c r="R538" s="28"/>
      <c r="S538" s="138"/>
      <c r="T538" s="142"/>
      <c r="U538" s="142"/>
      <c r="V538" s="142"/>
    </row>
    <row r="539">
      <c r="A539" s="320"/>
      <c r="B539" s="142"/>
      <c r="C539" s="320"/>
      <c r="D539" s="124"/>
      <c r="E539" s="320"/>
      <c r="F539" s="142"/>
      <c r="G539" s="320"/>
      <c r="H539" s="142"/>
      <c r="I539" s="329"/>
      <c r="J539" s="124"/>
      <c r="K539" s="329"/>
      <c r="L539" s="124"/>
      <c r="M539" s="329"/>
      <c r="N539" s="124"/>
      <c r="O539" s="320"/>
      <c r="P539" s="142"/>
      <c r="Q539" s="193"/>
      <c r="R539" s="28"/>
      <c r="S539" s="138"/>
      <c r="T539" s="142"/>
      <c r="U539" s="142"/>
      <c r="V539" s="142"/>
    </row>
    <row r="540">
      <c r="A540" s="320"/>
      <c r="B540" s="142"/>
      <c r="C540" s="320"/>
      <c r="D540" s="124"/>
      <c r="E540" s="320"/>
      <c r="F540" s="142"/>
      <c r="G540" s="320"/>
      <c r="H540" s="142"/>
      <c r="I540" s="329"/>
      <c r="J540" s="124"/>
      <c r="K540" s="329"/>
      <c r="L540" s="124"/>
      <c r="M540" s="329"/>
      <c r="N540" s="124"/>
      <c r="O540" s="320"/>
      <c r="P540" s="142"/>
      <c r="Q540" s="193"/>
      <c r="R540" s="28"/>
      <c r="S540" s="138"/>
      <c r="T540" s="142"/>
      <c r="U540" s="142"/>
      <c r="V540" s="142"/>
    </row>
    <row r="541">
      <c r="A541" s="320"/>
      <c r="B541" s="142"/>
      <c r="C541" s="320"/>
      <c r="D541" s="124"/>
      <c r="E541" s="320"/>
      <c r="F541" s="142"/>
      <c r="G541" s="320"/>
      <c r="H541" s="142"/>
      <c r="I541" s="329"/>
      <c r="J541" s="124"/>
      <c r="K541" s="329"/>
      <c r="L541" s="124"/>
      <c r="M541" s="329"/>
      <c r="N541" s="124"/>
      <c r="O541" s="320"/>
      <c r="P541" s="142"/>
      <c r="Q541" s="193"/>
      <c r="R541" s="28"/>
      <c r="S541" s="138"/>
      <c r="T541" s="142"/>
      <c r="U541" s="142"/>
      <c r="V541" s="142"/>
    </row>
    <row r="542">
      <c r="A542" s="320"/>
      <c r="B542" s="142"/>
      <c r="C542" s="320"/>
      <c r="D542" s="124"/>
      <c r="E542" s="320"/>
      <c r="F542" s="142"/>
      <c r="G542" s="320"/>
      <c r="H542" s="142"/>
      <c r="I542" s="329"/>
      <c r="J542" s="124"/>
      <c r="K542" s="329"/>
      <c r="L542" s="124"/>
      <c r="M542" s="329"/>
      <c r="N542" s="124"/>
      <c r="O542" s="320"/>
      <c r="P542" s="142"/>
      <c r="Q542" s="193"/>
      <c r="R542" s="28"/>
      <c r="S542" s="138"/>
      <c r="T542" s="142"/>
      <c r="U542" s="142"/>
      <c r="V542" s="142"/>
    </row>
    <row r="543">
      <c r="A543" s="320"/>
      <c r="B543" s="142"/>
      <c r="C543" s="320"/>
      <c r="D543" s="124"/>
      <c r="E543" s="320"/>
      <c r="F543" s="142"/>
      <c r="G543" s="320"/>
      <c r="H543" s="142"/>
      <c r="I543" s="329"/>
      <c r="J543" s="124"/>
      <c r="K543" s="329"/>
      <c r="L543" s="124"/>
      <c r="M543" s="329"/>
      <c r="N543" s="124"/>
      <c r="O543" s="320"/>
      <c r="P543" s="142"/>
      <c r="Q543" s="193"/>
      <c r="R543" s="28"/>
      <c r="S543" s="138"/>
      <c r="T543" s="142"/>
      <c r="U543" s="142"/>
      <c r="V543" s="142"/>
    </row>
    <row r="544">
      <c r="A544" s="320"/>
      <c r="B544" s="142"/>
      <c r="C544" s="320"/>
      <c r="D544" s="124"/>
      <c r="E544" s="320"/>
      <c r="F544" s="142"/>
      <c r="G544" s="320"/>
      <c r="H544" s="142"/>
      <c r="I544" s="329"/>
      <c r="J544" s="124"/>
      <c r="K544" s="329"/>
      <c r="L544" s="124"/>
      <c r="M544" s="329"/>
      <c r="N544" s="124"/>
      <c r="O544" s="320"/>
      <c r="P544" s="142"/>
      <c r="Q544" s="193"/>
      <c r="R544" s="28"/>
      <c r="S544" s="138"/>
      <c r="T544" s="142"/>
      <c r="U544" s="142"/>
      <c r="V544" s="142"/>
    </row>
    <row r="545">
      <c r="A545" s="320"/>
      <c r="B545" s="142"/>
      <c r="C545" s="320"/>
      <c r="D545" s="124"/>
      <c r="E545" s="320"/>
      <c r="F545" s="142"/>
      <c r="G545" s="320"/>
      <c r="H545" s="142"/>
      <c r="I545" s="329"/>
      <c r="J545" s="124"/>
      <c r="K545" s="329"/>
      <c r="L545" s="124"/>
      <c r="M545" s="329"/>
      <c r="N545" s="124"/>
      <c r="O545" s="320"/>
      <c r="P545" s="142"/>
      <c r="Q545" s="193"/>
      <c r="R545" s="28"/>
      <c r="S545" s="138"/>
      <c r="T545" s="142"/>
      <c r="U545" s="142"/>
      <c r="V545" s="142"/>
    </row>
    <row r="546">
      <c r="A546" s="320"/>
      <c r="B546" s="142"/>
      <c r="C546" s="320"/>
      <c r="D546" s="124"/>
      <c r="E546" s="320"/>
      <c r="F546" s="142"/>
      <c r="G546" s="320"/>
      <c r="H546" s="142"/>
      <c r="I546" s="329"/>
      <c r="J546" s="124"/>
      <c r="K546" s="329"/>
      <c r="L546" s="124"/>
      <c r="M546" s="329"/>
      <c r="N546" s="124"/>
      <c r="O546" s="320"/>
      <c r="P546" s="142"/>
      <c r="Q546" s="193"/>
      <c r="R546" s="28"/>
      <c r="S546" s="138"/>
      <c r="T546" s="142"/>
      <c r="U546" s="142"/>
      <c r="V546" s="142"/>
    </row>
    <row r="547">
      <c r="A547" s="320"/>
      <c r="B547" s="142"/>
      <c r="C547" s="320"/>
      <c r="D547" s="124"/>
      <c r="E547" s="320"/>
      <c r="F547" s="142"/>
      <c r="G547" s="320"/>
      <c r="H547" s="142"/>
      <c r="I547" s="329"/>
      <c r="J547" s="124"/>
      <c r="K547" s="329"/>
      <c r="L547" s="124"/>
      <c r="M547" s="329"/>
      <c r="N547" s="124"/>
      <c r="O547" s="320"/>
      <c r="P547" s="142"/>
      <c r="Q547" s="193"/>
      <c r="R547" s="28"/>
      <c r="S547" s="138"/>
      <c r="T547" s="142"/>
      <c r="U547" s="142"/>
      <c r="V547" s="142"/>
    </row>
    <row r="548">
      <c r="A548" s="320"/>
      <c r="B548" s="142"/>
      <c r="C548" s="320"/>
      <c r="D548" s="124"/>
      <c r="E548" s="320"/>
      <c r="F548" s="142"/>
      <c r="G548" s="320"/>
      <c r="H548" s="142"/>
      <c r="I548" s="329"/>
      <c r="J548" s="124"/>
      <c r="K548" s="329"/>
      <c r="L548" s="124"/>
      <c r="M548" s="329"/>
      <c r="N548" s="124"/>
      <c r="O548" s="320"/>
      <c r="P548" s="142"/>
      <c r="Q548" s="193"/>
      <c r="R548" s="28"/>
      <c r="S548" s="138"/>
      <c r="T548" s="142"/>
      <c r="U548" s="142"/>
      <c r="V548" s="142"/>
    </row>
    <row r="549">
      <c r="A549" s="320"/>
      <c r="B549" s="142"/>
      <c r="C549" s="320"/>
      <c r="D549" s="124"/>
      <c r="E549" s="320"/>
      <c r="F549" s="142"/>
      <c r="G549" s="320"/>
      <c r="H549" s="142"/>
      <c r="I549" s="329"/>
      <c r="J549" s="124"/>
      <c r="K549" s="329"/>
      <c r="L549" s="124"/>
      <c r="M549" s="329"/>
      <c r="N549" s="124"/>
      <c r="O549" s="320"/>
      <c r="P549" s="142"/>
      <c r="Q549" s="193"/>
      <c r="R549" s="28"/>
      <c r="S549" s="138"/>
      <c r="T549" s="142"/>
      <c r="U549" s="142"/>
      <c r="V549" s="142"/>
    </row>
    <row r="550">
      <c r="A550" s="320"/>
      <c r="B550" s="142"/>
      <c r="C550" s="320"/>
      <c r="D550" s="124"/>
      <c r="E550" s="320"/>
      <c r="F550" s="142"/>
      <c r="G550" s="320"/>
      <c r="H550" s="142"/>
      <c r="I550" s="329"/>
      <c r="J550" s="124"/>
      <c r="K550" s="329"/>
      <c r="L550" s="124"/>
      <c r="M550" s="329"/>
      <c r="N550" s="124"/>
      <c r="O550" s="320"/>
      <c r="P550" s="142"/>
      <c r="Q550" s="193"/>
      <c r="R550" s="28"/>
      <c r="S550" s="138"/>
      <c r="T550" s="142"/>
      <c r="U550" s="142"/>
      <c r="V550" s="142"/>
    </row>
    <row r="551">
      <c r="A551" s="320"/>
      <c r="B551" s="142"/>
      <c r="C551" s="320"/>
      <c r="D551" s="124"/>
      <c r="E551" s="320"/>
      <c r="F551" s="142"/>
      <c r="G551" s="320"/>
      <c r="H551" s="142"/>
      <c r="I551" s="329"/>
      <c r="J551" s="124"/>
      <c r="K551" s="329"/>
      <c r="L551" s="124"/>
      <c r="M551" s="329"/>
      <c r="N551" s="124"/>
      <c r="O551" s="320"/>
      <c r="P551" s="142"/>
      <c r="Q551" s="193"/>
      <c r="R551" s="28"/>
      <c r="S551" s="138"/>
      <c r="T551" s="142"/>
      <c r="U551" s="142"/>
      <c r="V551" s="142"/>
    </row>
    <row r="552">
      <c r="A552" s="320"/>
      <c r="B552" s="142"/>
      <c r="C552" s="320"/>
      <c r="D552" s="124"/>
      <c r="E552" s="320"/>
      <c r="F552" s="142"/>
      <c r="G552" s="320"/>
      <c r="H552" s="142"/>
      <c r="I552" s="329"/>
      <c r="J552" s="124"/>
      <c r="K552" s="329"/>
      <c r="L552" s="124"/>
      <c r="M552" s="329"/>
      <c r="N552" s="124"/>
      <c r="O552" s="320"/>
      <c r="P552" s="142"/>
      <c r="Q552" s="193"/>
      <c r="R552" s="28"/>
      <c r="S552" s="138"/>
      <c r="T552" s="142"/>
      <c r="U552" s="142"/>
      <c r="V552" s="142"/>
    </row>
    <row r="553">
      <c r="A553" s="320"/>
      <c r="B553" s="142"/>
      <c r="C553" s="320"/>
      <c r="D553" s="124"/>
      <c r="E553" s="320"/>
      <c r="F553" s="142"/>
      <c r="G553" s="320"/>
      <c r="H553" s="142"/>
      <c r="I553" s="329"/>
      <c r="J553" s="124"/>
      <c r="K553" s="329"/>
      <c r="L553" s="124"/>
      <c r="M553" s="329"/>
      <c r="N553" s="124"/>
      <c r="O553" s="320"/>
      <c r="P553" s="142"/>
      <c r="Q553" s="193"/>
      <c r="R553" s="28"/>
      <c r="S553" s="138"/>
      <c r="T553" s="142"/>
      <c r="U553" s="142"/>
      <c r="V553" s="142"/>
    </row>
    <row r="554">
      <c r="A554" s="320"/>
      <c r="B554" s="142"/>
      <c r="C554" s="320"/>
      <c r="D554" s="124"/>
      <c r="E554" s="320"/>
      <c r="F554" s="142"/>
      <c r="G554" s="320"/>
      <c r="H554" s="142"/>
      <c r="I554" s="329"/>
      <c r="J554" s="124"/>
      <c r="K554" s="329"/>
      <c r="L554" s="124"/>
      <c r="M554" s="329"/>
      <c r="N554" s="124"/>
      <c r="O554" s="320"/>
      <c r="P554" s="142"/>
      <c r="Q554" s="193"/>
      <c r="R554" s="28"/>
      <c r="S554" s="138"/>
      <c r="T554" s="142"/>
      <c r="U554" s="142"/>
      <c r="V554" s="142"/>
    </row>
    <row r="555">
      <c r="A555" s="320"/>
      <c r="B555" s="142"/>
      <c r="C555" s="320"/>
      <c r="D555" s="124"/>
      <c r="E555" s="320"/>
      <c r="F555" s="142"/>
      <c r="G555" s="320"/>
      <c r="H555" s="142"/>
      <c r="I555" s="329"/>
      <c r="J555" s="124"/>
      <c r="K555" s="329"/>
      <c r="L555" s="124"/>
      <c r="M555" s="329"/>
      <c r="N555" s="124"/>
      <c r="O555" s="320"/>
      <c r="P555" s="142"/>
      <c r="Q555" s="193"/>
      <c r="R555" s="28"/>
      <c r="S555" s="138"/>
      <c r="T555" s="142"/>
      <c r="U555" s="142"/>
      <c r="V555" s="142"/>
    </row>
    <row r="556">
      <c r="A556" s="320"/>
      <c r="B556" s="142"/>
      <c r="C556" s="320"/>
      <c r="D556" s="124"/>
      <c r="E556" s="320"/>
      <c r="F556" s="142"/>
      <c r="G556" s="320"/>
      <c r="H556" s="142"/>
      <c r="I556" s="329"/>
      <c r="J556" s="124"/>
      <c r="K556" s="329"/>
      <c r="L556" s="124"/>
      <c r="M556" s="329"/>
      <c r="N556" s="124"/>
      <c r="O556" s="320"/>
      <c r="P556" s="142"/>
      <c r="Q556" s="193"/>
      <c r="R556" s="28"/>
      <c r="S556" s="138"/>
      <c r="T556" s="142"/>
      <c r="U556" s="142"/>
      <c r="V556" s="142"/>
    </row>
    <row r="557">
      <c r="A557" s="320"/>
      <c r="B557" s="142"/>
      <c r="C557" s="320"/>
      <c r="D557" s="124"/>
      <c r="E557" s="320"/>
      <c r="F557" s="142"/>
      <c r="G557" s="320"/>
      <c r="H557" s="142"/>
      <c r="I557" s="329"/>
      <c r="J557" s="124"/>
      <c r="K557" s="329"/>
      <c r="L557" s="124"/>
      <c r="M557" s="329"/>
      <c r="N557" s="124"/>
      <c r="O557" s="320"/>
      <c r="P557" s="142"/>
      <c r="Q557" s="193"/>
      <c r="R557" s="28"/>
      <c r="S557" s="138"/>
      <c r="T557" s="142"/>
      <c r="U557" s="142"/>
      <c r="V557" s="142"/>
    </row>
    <row r="558">
      <c r="A558" s="320"/>
      <c r="B558" s="142"/>
      <c r="C558" s="320"/>
      <c r="D558" s="124"/>
      <c r="E558" s="320"/>
      <c r="F558" s="142"/>
      <c r="G558" s="320"/>
      <c r="H558" s="142"/>
      <c r="I558" s="329"/>
      <c r="J558" s="124"/>
      <c r="K558" s="329"/>
      <c r="L558" s="124"/>
      <c r="M558" s="329"/>
      <c r="N558" s="124"/>
      <c r="O558" s="320"/>
      <c r="P558" s="142"/>
      <c r="Q558" s="193"/>
      <c r="R558" s="28"/>
      <c r="S558" s="138"/>
      <c r="T558" s="142"/>
      <c r="U558" s="142"/>
      <c r="V558" s="142"/>
    </row>
    <row r="559">
      <c r="A559" s="320"/>
      <c r="B559" s="142"/>
      <c r="C559" s="320"/>
      <c r="D559" s="124"/>
      <c r="E559" s="320"/>
      <c r="F559" s="142"/>
      <c r="G559" s="320"/>
      <c r="H559" s="142"/>
      <c r="I559" s="329"/>
      <c r="J559" s="124"/>
      <c r="K559" s="329"/>
      <c r="L559" s="124"/>
      <c r="M559" s="329"/>
      <c r="N559" s="124"/>
      <c r="O559" s="320"/>
      <c r="P559" s="142"/>
      <c r="Q559" s="193"/>
      <c r="R559" s="28"/>
      <c r="S559" s="138"/>
      <c r="T559" s="142"/>
      <c r="U559" s="142"/>
      <c r="V559" s="142"/>
    </row>
    <row r="560">
      <c r="A560" s="320"/>
      <c r="B560" s="142"/>
      <c r="C560" s="320"/>
      <c r="D560" s="124"/>
      <c r="E560" s="320"/>
      <c r="F560" s="142"/>
      <c r="G560" s="320"/>
      <c r="H560" s="142"/>
      <c r="I560" s="329"/>
      <c r="J560" s="124"/>
      <c r="K560" s="329"/>
      <c r="L560" s="124"/>
      <c r="M560" s="329"/>
      <c r="N560" s="124"/>
      <c r="O560" s="320"/>
      <c r="P560" s="142"/>
      <c r="Q560" s="193"/>
      <c r="R560" s="28"/>
      <c r="S560" s="138"/>
      <c r="T560" s="142"/>
      <c r="U560" s="142"/>
      <c r="V560" s="142"/>
    </row>
    <row r="561">
      <c r="A561" s="320"/>
      <c r="B561" s="142"/>
      <c r="C561" s="320"/>
      <c r="D561" s="124"/>
      <c r="E561" s="320"/>
      <c r="F561" s="142"/>
      <c r="G561" s="320"/>
      <c r="H561" s="142"/>
      <c r="I561" s="329"/>
      <c r="J561" s="124"/>
      <c r="K561" s="329"/>
      <c r="L561" s="124"/>
      <c r="M561" s="329"/>
      <c r="N561" s="124"/>
      <c r="O561" s="320"/>
      <c r="P561" s="142"/>
      <c r="Q561" s="193"/>
      <c r="R561" s="28"/>
      <c r="S561" s="138"/>
      <c r="T561" s="142"/>
      <c r="U561" s="142"/>
      <c r="V561" s="142"/>
    </row>
    <row r="562">
      <c r="A562" s="320"/>
      <c r="B562" s="142"/>
      <c r="C562" s="320"/>
      <c r="D562" s="124"/>
      <c r="E562" s="320"/>
      <c r="F562" s="142"/>
      <c r="G562" s="320"/>
      <c r="H562" s="142"/>
      <c r="I562" s="329"/>
      <c r="J562" s="124"/>
      <c r="K562" s="329"/>
      <c r="L562" s="124"/>
      <c r="M562" s="329"/>
      <c r="N562" s="124"/>
      <c r="O562" s="320"/>
      <c r="P562" s="142"/>
      <c r="Q562" s="193"/>
      <c r="R562" s="28"/>
      <c r="S562" s="138"/>
      <c r="T562" s="142"/>
      <c r="U562" s="142"/>
      <c r="V562" s="142"/>
    </row>
    <row r="563">
      <c r="A563" s="320"/>
      <c r="B563" s="142"/>
      <c r="C563" s="320"/>
      <c r="D563" s="124"/>
      <c r="E563" s="320"/>
      <c r="F563" s="142"/>
      <c r="G563" s="320"/>
      <c r="H563" s="142"/>
      <c r="I563" s="329"/>
      <c r="J563" s="124"/>
      <c r="K563" s="329"/>
      <c r="L563" s="124"/>
      <c r="M563" s="329"/>
      <c r="N563" s="124"/>
      <c r="O563" s="320"/>
      <c r="P563" s="142"/>
      <c r="Q563" s="193"/>
      <c r="R563" s="28"/>
      <c r="S563" s="138"/>
      <c r="T563" s="142"/>
      <c r="U563" s="142"/>
      <c r="V563" s="142"/>
    </row>
    <row r="564">
      <c r="A564" s="320"/>
      <c r="B564" s="142"/>
      <c r="C564" s="320"/>
      <c r="D564" s="124"/>
      <c r="E564" s="320"/>
      <c r="F564" s="142"/>
      <c r="G564" s="320"/>
      <c r="H564" s="142"/>
      <c r="I564" s="329"/>
      <c r="J564" s="124"/>
      <c r="K564" s="329"/>
      <c r="L564" s="124"/>
      <c r="M564" s="329"/>
      <c r="N564" s="124"/>
      <c r="O564" s="320"/>
      <c r="P564" s="142"/>
      <c r="Q564" s="193"/>
      <c r="R564" s="28"/>
      <c r="S564" s="138"/>
      <c r="T564" s="142"/>
      <c r="U564" s="142"/>
      <c r="V564" s="142"/>
    </row>
    <row r="565">
      <c r="A565" s="320"/>
      <c r="B565" s="142"/>
      <c r="C565" s="320"/>
      <c r="D565" s="124"/>
      <c r="E565" s="320"/>
      <c r="F565" s="142"/>
      <c r="G565" s="320"/>
      <c r="H565" s="142"/>
      <c r="I565" s="329"/>
      <c r="J565" s="124"/>
      <c r="K565" s="329"/>
      <c r="L565" s="124"/>
      <c r="M565" s="329"/>
      <c r="N565" s="124"/>
      <c r="O565" s="320"/>
      <c r="P565" s="142"/>
      <c r="Q565" s="193"/>
      <c r="R565" s="28"/>
      <c r="S565" s="138"/>
      <c r="T565" s="142"/>
      <c r="U565" s="142"/>
      <c r="V565" s="142"/>
    </row>
    <row r="566">
      <c r="A566" s="320"/>
      <c r="B566" s="142"/>
      <c r="C566" s="320"/>
      <c r="D566" s="124"/>
      <c r="E566" s="320"/>
      <c r="F566" s="142"/>
      <c r="G566" s="320"/>
      <c r="H566" s="142"/>
      <c r="I566" s="329"/>
      <c r="J566" s="124"/>
      <c r="K566" s="329"/>
      <c r="L566" s="124"/>
      <c r="M566" s="329"/>
      <c r="N566" s="124"/>
      <c r="O566" s="320"/>
      <c r="P566" s="142"/>
      <c r="Q566" s="193"/>
      <c r="R566" s="28"/>
      <c r="S566" s="138"/>
      <c r="T566" s="142"/>
      <c r="U566" s="142"/>
      <c r="V566" s="142"/>
    </row>
    <row r="567">
      <c r="A567" s="320"/>
      <c r="B567" s="142"/>
      <c r="C567" s="320"/>
      <c r="D567" s="124"/>
      <c r="E567" s="320"/>
      <c r="F567" s="142"/>
      <c r="G567" s="320"/>
      <c r="H567" s="142"/>
      <c r="I567" s="329"/>
      <c r="J567" s="124"/>
      <c r="K567" s="329"/>
      <c r="L567" s="124"/>
      <c r="M567" s="329"/>
      <c r="N567" s="124"/>
      <c r="O567" s="320"/>
      <c r="P567" s="142"/>
      <c r="Q567" s="193"/>
      <c r="R567" s="28"/>
      <c r="S567" s="138"/>
      <c r="T567" s="142"/>
      <c r="U567" s="142"/>
      <c r="V567" s="142"/>
    </row>
    <row r="568">
      <c r="A568" s="320"/>
      <c r="B568" s="142"/>
      <c r="C568" s="320"/>
      <c r="D568" s="124"/>
      <c r="E568" s="320"/>
      <c r="F568" s="142"/>
      <c r="G568" s="320"/>
      <c r="H568" s="142"/>
      <c r="I568" s="329"/>
      <c r="J568" s="124"/>
      <c r="K568" s="329"/>
      <c r="L568" s="124"/>
      <c r="M568" s="329"/>
      <c r="N568" s="124"/>
      <c r="O568" s="320"/>
      <c r="P568" s="142"/>
      <c r="Q568" s="193"/>
      <c r="R568" s="28"/>
      <c r="S568" s="138"/>
      <c r="T568" s="142"/>
      <c r="U568" s="142"/>
      <c r="V568" s="142"/>
    </row>
    <row r="569">
      <c r="A569" s="320"/>
      <c r="B569" s="142"/>
      <c r="C569" s="320"/>
      <c r="D569" s="124"/>
      <c r="E569" s="320"/>
      <c r="F569" s="142"/>
      <c r="G569" s="320"/>
      <c r="H569" s="142"/>
      <c r="I569" s="329"/>
      <c r="J569" s="124"/>
      <c r="K569" s="329"/>
      <c r="L569" s="124"/>
      <c r="M569" s="329"/>
      <c r="N569" s="124"/>
      <c r="O569" s="320"/>
      <c r="P569" s="142"/>
      <c r="Q569" s="193"/>
      <c r="R569" s="28"/>
      <c r="S569" s="138"/>
      <c r="T569" s="142"/>
      <c r="U569" s="142"/>
      <c r="V569" s="142"/>
    </row>
    <row r="570">
      <c r="A570" s="320"/>
      <c r="B570" s="142"/>
      <c r="C570" s="320"/>
      <c r="D570" s="124"/>
      <c r="E570" s="320"/>
      <c r="F570" s="142"/>
      <c r="G570" s="320"/>
      <c r="H570" s="142"/>
      <c r="I570" s="329"/>
      <c r="J570" s="124"/>
      <c r="K570" s="329"/>
      <c r="L570" s="124"/>
      <c r="M570" s="329"/>
      <c r="N570" s="124"/>
      <c r="O570" s="320"/>
      <c r="P570" s="142"/>
      <c r="Q570" s="193"/>
      <c r="R570" s="28"/>
      <c r="S570" s="138"/>
      <c r="T570" s="142"/>
      <c r="U570" s="142"/>
      <c r="V570" s="142"/>
    </row>
    <row r="571">
      <c r="A571" s="320"/>
      <c r="B571" s="142"/>
      <c r="C571" s="320"/>
      <c r="D571" s="124"/>
      <c r="E571" s="320"/>
      <c r="F571" s="142"/>
      <c r="G571" s="320"/>
      <c r="H571" s="142"/>
      <c r="I571" s="329"/>
      <c r="J571" s="124"/>
      <c r="K571" s="329"/>
      <c r="L571" s="124"/>
      <c r="M571" s="329"/>
      <c r="N571" s="124"/>
      <c r="O571" s="320"/>
      <c r="P571" s="142"/>
      <c r="Q571" s="193"/>
      <c r="R571" s="28"/>
      <c r="S571" s="138"/>
      <c r="T571" s="142"/>
      <c r="U571" s="142"/>
      <c r="V571" s="142"/>
    </row>
    <row r="572">
      <c r="A572" s="320"/>
      <c r="B572" s="142"/>
      <c r="C572" s="320"/>
      <c r="D572" s="124"/>
      <c r="E572" s="320"/>
      <c r="F572" s="142"/>
      <c r="G572" s="320"/>
      <c r="H572" s="142"/>
      <c r="I572" s="329"/>
      <c r="J572" s="124"/>
      <c r="K572" s="329"/>
      <c r="L572" s="124"/>
      <c r="M572" s="329"/>
      <c r="N572" s="124"/>
      <c r="O572" s="320"/>
      <c r="P572" s="142"/>
      <c r="Q572" s="193"/>
      <c r="R572" s="28"/>
      <c r="S572" s="138"/>
      <c r="T572" s="142"/>
      <c r="U572" s="142"/>
      <c r="V572" s="142"/>
    </row>
    <row r="573">
      <c r="A573" s="320"/>
      <c r="B573" s="142"/>
      <c r="C573" s="320"/>
      <c r="D573" s="124"/>
      <c r="E573" s="320"/>
      <c r="F573" s="142"/>
      <c r="G573" s="320"/>
      <c r="H573" s="142"/>
      <c r="I573" s="329"/>
      <c r="J573" s="124"/>
      <c r="K573" s="329"/>
      <c r="L573" s="124"/>
      <c r="M573" s="329"/>
      <c r="N573" s="124"/>
      <c r="O573" s="320"/>
      <c r="P573" s="142"/>
      <c r="Q573" s="193"/>
      <c r="R573" s="28"/>
      <c r="S573" s="138"/>
      <c r="T573" s="142"/>
      <c r="U573" s="142"/>
      <c r="V573" s="142"/>
    </row>
    <row r="574">
      <c r="A574" s="320"/>
      <c r="B574" s="142"/>
      <c r="C574" s="320"/>
      <c r="D574" s="124"/>
      <c r="E574" s="320"/>
      <c r="F574" s="142"/>
      <c r="G574" s="320"/>
      <c r="H574" s="142"/>
      <c r="I574" s="329"/>
      <c r="J574" s="124"/>
      <c r="K574" s="329"/>
      <c r="L574" s="124"/>
      <c r="M574" s="329"/>
      <c r="N574" s="124"/>
      <c r="O574" s="320"/>
      <c r="P574" s="142"/>
      <c r="Q574" s="193"/>
      <c r="R574" s="28"/>
      <c r="S574" s="138"/>
      <c r="T574" s="142"/>
      <c r="U574" s="142"/>
      <c r="V574" s="142"/>
    </row>
    <row r="575">
      <c r="A575" s="320"/>
      <c r="B575" s="142"/>
      <c r="C575" s="320"/>
      <c r="D575" s="124"/>
      <c r="E575" s="320"/>
      <c r="F575" s="142"/>
      <c r="G575" s="320"/>
      <c r="H575" s="142"/>
      <c r="I575" s="329"/>
      <c r="J575" s="124"/>
      <c r="K575" s="329"/>
      <c r="L575" s="124"/>
      <c r="M575" s="329"/>
      <c r="N575" s="124"/>
      <c r="O575" s="320"/>
      <c r="P575" s="142"/>
      <c r="Q575" s="193"/>
      <c r="R575" s="28"/>
      <c r="S575" s="138"/>
      <c r="T575" s="142"/>
      <c r="U575" s="142"/>
      <c r="V575" s="142"/>
    </row>
    <row r="576">
      <c r="A576" s="320"/>
      <c r="B576" s="142"/>
      <c r="C576" s="320"/>
      <c r="D576" s="124"/>
      <c r="E576" s="320"/>
      <c r="F576" s="142"/>
      <c r="G576" s="320"/>
      <c r="H576" s="142"/>
      <c r="I576" s="329"/>
      <c r="J576" s="124"/>
      <c r="K576" s="329"/>
      <c r="L576" s="124"/>
      <c r="M576" s="329"/>
      <c r="N576" s="124"/>
      <c r="O576" s="320"/>
      <c r="P576" s="142"/>
      <c r="Q576" s="193"/>
      <c r="R576" s="28"/>
      <c r="S576" s="138"/>
      <c r="T576" s="142"/>
      <c r="U576" s="142"/>
      <c r="V576" s="142"/>
    </row>
    <row r="577">
      <c r="A577" s="320"/>
      <c r="B577" s="142"/>
      <c r="C577" s="320"/>
      <c r="D577" s="124"/>
      <c r="E577" s="320"/>
      <c r="F577" s="142"/>
      <c r="G577" s="320"/>
      <c r="H577" s="142"/>
      <c r="I577" s="329"/>
      <c r="J577" s="124"/>
      <c r="K577" s="329"/>
      <c r="L577" s="124"/>
      <c r="M577" s="329"/>
      <c r="N577" s="124"/>
      <c r="O577" s="320"/>
      <c r="P577" s="142"/>
      <c r="Q577" s="193"/>
      <c r="R577" s="28"/>
      <c r="S577" s="138"/>
      <c r="T577" s="142"/>
      <c r="U577" s="142"/>
      <c r="V577" s="142"/>
    </row>
    <row r="578">
      <c r="A578" s="320"/>
      <c r="B578" s="142"/>
      <c r="C578" s="320"/>
      <c r="D578" s="124"/>
      <c r="E578" s="320"/>
      <c r="F578" s="142"/>
      <c r="G578" s="320"/>
      <c r="H578" s="142"/>
      <c r="I578" s="329"/>
      <c r="J578" s="124"/>
      <c r="K578" s="329"/>
      <c r="L578" s="124"/>
      <c r="M578" s="329"/>
      <c r="N578" s="124"/>
      <c r="O578" s="320"/>
      <c r="P578" s="142"/>
      <c r="Q578" s="193"/>
      <c r="R578" s="28"/>
      <c r="S578" s="138"/>
      <c r="T578" s="142"/>
      <c r="U578" s="142"/>
      <c r="V578" s="142"/>
    </row>
    <row r="579">
      <c r="A579" s="320"/>
      <c r="B579" s="142"/>
      <c r="C579" s="320"/>
      <c r="D579" s="124"/>
      <c r="E579" s="320"/>
      <c r="F579" s="142"/>
      <c r="G579" s="320"/>
      <c r="H579" s="142"/>
      <c r="I579" s="329"/>
      <c r="J579" s="124"/>
      <c r="K579" s="329"/>
      <c r="L579" s="124"/>
      <c r="M579" s="329"/>
      <c r="N579" s="124"/>
      <c r="O579" s="320"/>
      <c r="P579" s="142"/>
      <c r="Q579" s="193"/>
      <c r="R579" s="28"/>
      <c r="S579" s="138"/>
      <c r="T579" s="142"/>
      <c r="U579" s="142"/>
      <c r="V579" s="142"/>
    </row>
    <row r="580">
      <c r="A580" s="320"/>
      <c r="B580" s="142"/>
      <c r="C580" s="320"/>
      <c r="D580" s="124"/>
      <c r="E580" s="320"/>
      <c r="F580" s="142"/>
      <c r="G580" s="320"/>
      <c r="H580" s="142"/>
      <c r="I580" s="329"/>
      <c r="J580" s="124"/>
      <c r="K580" s="329"/>
      <c r="L580" s="124"/>
      <c r="M580" s="329"/>
      <c r="N580" s="124"/>
      <c r="O580" s="320"/>
      <c r="P580" s="142"/>
      <c r="Q580" s="193"/>
      <c r="R580" s="28"/>
      <c r="S580" s="138"/>
      <c r="T580" s="142"/>
      <c r="U580" s="142"/>
      <c r="V580" s="142"/>
    </row>
    <row r="581">
      <c r="A581" s="320"/>
      <c r="B581" s="142"/>
      <c r="C581" s="320"/>
      <c r="D581" s="124"/>
      <c r="E581" s="320"/>
      <c r="F581" s="142"/>
      <c r="G581" s="320"/>
      <c r="H581" s="142"/>
      <c r="I581" s="329"/>
      <c r="J581" s="124"/>
      <c r="K581" s="329"/>
      <c r="L581" s="124"/>
      <c r="M581" s="329"/>
      <c r="N581" s="124"/>
      <c r="O581" s="320"/>
      <c r="P581" s="142"/>
      <c r="Q581" s="193"/>
      <c r="R581" s="28"/>
      <c r="S581" s="138"/>
      <c r="T581" s="142"/>
      <c r="U581" s="142"/>
      <c r="V581" s="142"/>
    </row>
    <row r="582">
      <c r="A582" s="320"/>
      <c r="B582" s="142"/>
      <c r="C582" s="320"/>
      <c r="D582" s="124"/>
      <c r="E582" s="320"/>
      <c r="F582" s="142"/>
      <c r="G582" s="320"/>
      <c r="H582" s="142"/>
      <c r="I582" s="329"/>
      <c r="J582" s="124"/>
      <c r="K582" s="329"/>
      <c r="L582" s="124"/>
      <c r="M582" s="329"/>
      <c r="N582" s="124"/>
      <c r="O582" s="320"/>
      <c r="P582" s="142"/>
      <c r="Q582" s="193"/>
      <c r="R582" s="28"/>
      <c r="S582" s="138"/>
      <c r="T582" s="142"/>
      <c r="U582" s="142"/>
      <c r="V582" s="142"/>
    </row>
    <row r="583">
      <c r="A583" s="320"/>
      <c r="B583" s="142"/>
      <c r="C583" s="320"/>
      <c r="D583" s="124"/>
      <c r="E583" s="320"/>
      <c r="F583" s="142"/>
      <c r="G583" s="320"/>
      <c r="H583" s="142"/>
      <c r="I583" s="329"/>
      <c r="J583" s="124"/>
      <c r="K583" s="329"/>
      <c r="L583" s="124"/>
      <c r="M583" s="329"/>
      <c r="N583" s="124"/>
      <c r="O583" s="320"/>
      <c r="P583" s="142"/>
      <c r="Q583" s="193"/>
      <c r="R583" s="28"/>
      <c r="S583" s="138"/>
      <c r="T583" s="142"/>
      <c r="U583" s="142"/>
      <c r="V583" s="142"/>
    </row>
    <row r="584">
      <c r="A584" s="320"/>
      <c r="B584" s="142"/>
      <c r="C584" s="320"/>
      <c r="D584" s="124"/>
      <c r="E584" s="320"/>
      <c r="F584" s="142"/>
      <c r="G584" s="320"/>
      <c r="H584" s="142"/>
      <c r="I584" s="329"/>
      <c r="J584" s="124"/>
      <c r="K584" s="329"/>
      <c r="L584" s="124"/>
      <c r="M584" s="329"/>
      <c r="N584" s="124"/>
      <c r="O584" s="320"/>
      <c r="P584" s="142"/>
      <c r="Q584" s="193"/>
      <c r="R584" s="28"/>
      <c r="S584" s="138"/>
      <c r="T584" s="142"/>
      <c r="U584" s="142"/>
      <c r="V584" s="142"/>
    </row>
    <row r="585">
      <c r="A585" s="320"/>
      <c r="B585" s="142"/>
      <c r="C585" s="320"/>
      <c r="D585" s="124"/>
      <c r="E585" s="320"/>
      <c r="F585" s="142"/>
      <c r="G585" s="320"/>
      <c r="H585" s="142"/>
      <c r="I585" s="329"/>
      <c r="J585" s="124"/>
      <c r="K585" s="329"/>
      <c r="L585" s="124"/>
      <c r="M585" s="329"/>
      <c r="N585" s="124"/>
      <c r="O585" s="320"/>
      <c r="P585" s="142"/>
      <c r="Q585" s="193"/>
      <c r="R585" s="28"/>
      <c r="S585" s="138"/>
      <c r="T585" s="142"/>
      <c r="U585" s="142"/>
      <c r="V585" s="142"/>
    </row>
    <row r="586">
      <c r="A586" s="320"/>
      <c r="B586" s="142"/>
      <c r="C586" s="320"/>
      <c r="D586" s="124"/>
      <c r="E586" s="320"/>
      <c r="F586" s="142"/>
      <c r="G586" s="320"/>
      <c r="H586" s="142"/>
      <c r="I586" s="329"/>
      <c r="J586" s="124"/>
      <c r="K586" s="329"/>
      <c r="L586" s="124"/>
      <c r="M586" s="329"/>
      <c r="N586" s="124"/>
      <c r="O586" s="320"/>
      <c r="P586" s="142"/>
      <c r="Q586" s="193"/>
      <c r="R586" s="28"/>
      <c r="S586" s="138"/>
      <c r="T586" s="142"/>
      <c r="U586" s="142"/>
      <c r="V586" s="142"/>
    </row>
    <row r="587">
      <c r="A587" s="320"/>
      <c r="B587" s="142"/>
      <c r="C587" s="320"/>
      <c r="D587" s="124"/>
      <c r="E587" s="320"/>
      <c r="F587" s="142"/>
      <c r="G587" s="320"/>
      <c r="H587" s="142"/>
      <c r="I587" s="329"/>
      <c r="J587" s="124"/>
      <c r="K587" s="329"/>
      <c r="L587" s="124"/>
      <c r="M587" s="329"/>
      <c r="N587" s="124"/>
      <c r="O587" s="320"/>
      <c r="P587" s="142"/>
      <c r="Q587" s="193"/>
      <c r="R587" s="28"/>
      <c r="S587" s="138"/>
      <c r="T587" s="142"/>
      <c r="U587" s="142"/>
      <c r="V587" s="142"/>
    </row>
    <row r="588">
      <c r="A588" s="320"/>
      <c r="B588" s="142"/>
      <c r="C588" s="320"/>
      <c r="D588" s="124"/>
      <c r="E588" s="320"/>
      <c r="F588" s="142"/>
      <c r="G588" s="320"/>
      <c r="H588" s="142"/>
      <c r="I588" s="329"/>
      <c r="J588" s="124"/>
      <c r="K588" s="329"/>
      <c r="L588" s="124"/>
      <c r="M588" s="329"/>
      <c r="N588" s="124"/>
      <c r="O588" s="320"/>
      <c r="P588" s="142"/>
      <c r="Q588" s="193"/>
      <c r="R588" s="28"/>
      <c r="S588" s="138"/>
      <c r="T588" s="142"/>
      <c r="U588" s="142"/>
      <c r="V588" s="142"/>
    </row>
    <row r="589">
      <c r="A589" s="320"/>
      <c r="B589" s="142"/>
      <c r="C589" s="320"/>
      <c r="D589" s="124"/>
      <c r="E589" s="320"/>
      <c r="F589" s="142"/>
      <c r="G589" s="320"/>
      <c r="H589" s="142"/>
      <c r="I589" s="329"/>
      <c r="J589" s="124"/>
      <c r="K589" s="329"/>
      <c r="L589" s="124"/>
      <c r="M589" s="329"/>
      <c r="N589" s="124"/>
      <c r="O589" s="320"/>
      <c r="P589" s="142"/>
      <c r="Q589" s="193"/>
      <c r="R589" s="28"/>
      <c r="S589" s="138"/>
      <c r="T589" s="142"/>
      <c r="U589" s="142"/>
      <c r="V589" s="142"/>
    </row>
    <row r="590">
      <c r="A590" s="320"/>
      <c r="B590" s="142"/>
      <c r="C590" s="320"/>
      <c r="D590" s="124"/>
      <c r="E590" s="320"/>
      <c r="F590" s="142"/>
      <c r="G590" s="320"/>
      <c r="H590" s="142"/>
      <c r="I590" s="329"/>
      <c r="J590" s="124"/>
      <c r="K590" s="329"/>
      <c r="L590" s="124"/>
      <c r="M590" s="329"/>
      <c r="N590" s="124"/>
      <c r="O590" s="320"/>
      <c r="P590" s="142"/>
      <c r="Q590" s="193"/>
      <c r="R590" s="28"/>
      <c r="S590" s="138"/>
      <c r="T590" s="142"/>
      <c r="U590" s="142"/>
      <c r="V590" s="142"/>
    </row>
    <row r="591">
      <c r="A591" s="320"/>
      <c r="B591" s="142"/>
      <c r="C591" s="320"/>
      <c r="D591" s="124"/>
      <c r="E591" s="320"/>
      <c r="F591" s="142"/>
      <c r="G591" s="320"/>
      <c r="H591" s="142"/>
      <c r="I591" s="329"/>
      <c r="J591" s="124"/>
      <c r="K591" s="329"/>
      <c r="L591" s="124"/>
      <c r="M591" s="329"/>
      <c r="N591" s="124"/>
      <c r="O591" s="320"/>
      <c r="P591" s="142"/>
      <c r="Q591" s="193"/>
      <c r="R591" s="28"/>
      <c r="S591" s="138"/>
      <c r="T591" s="142"/>
      <c r="U591" s="142"/>
      <c r="V591" s="142"/>
    </row>
    <row r="592">
      <c r="A592" s="320"/>
      <c r="B592" s="142"/>
      <c r="C592" s="320"/>
      <c r="D592" s="124"/>
      <c r="E592" s="320"/>
      <c r="F592" s="142"/>
      <c r="G592" s="320"/>
      <c r="H592" s="142"/>
      <c r="I592" s="329"/>
      <c r="J592" s="124"/>
      <c r="K592" s="329"/>
      <c r="L592" s="124"/>
      <c r="M592" s="329"/>
      <c r="N592" s="124"/>
      <c r="O592" s="320"/>
      <c r="P592" s="142"/>
      <c r="Q592" s="193"/>
      <c r="R592" s="28"/>
      <c r="S592" s="138"/>
      <c r="T592" s="142"/>
      <c r="U592" s="142"/>
      <c r="V592" s="142"/>
    </row>
    <row r="593">
      <c r="A593" s="320"/>
      <c r="B593" s="142"/>
      <c r="C593" s="320"/>
      <c r="D593" s="124"/>
      <c r="E593" s="320"/>
      <c r="F593" s="142"/>
      <c r="G593" s="320"/>
      <c r="H593" s="142"/>
      <c r="I593" s="329"/>
      <c r="J593" s="124"/>
      <c r="K593" s="329"/>
      <c r="L593" s="124"/>
      <c r="M593" s="329"/>
      <c r="N593" s="124"/>
      <c r="O593" s="320"/>
      <c r="P593" s="142"/>
      <c r="Q593" s="193"/>
      <c r="R593" s="28"/>
      <c r="S593" s="138"/>
      <c r="T593" s="142"/>
      <c r="U593" s="142"/>
      <c r="V593" s="142"/>
    </row>
    <row r="594">
      <c r="A594" s="320"/>
      <c r="B594" s="142"/>
      <c r="C594" s="320"/>
      <c r="D594" s="124"/>
      <c r="E594" s="320"/>
      <c r="F594" s="142"/>
      <c r="G594" s="320"/>
      <c r="H594" s="142"/>
      <c r="I594" s="329"/>
      <c r="J594" s="124"/>
      <c r="K594" s="329"/>
      <c r="L594" s="124"/>
      <c r="M594" s="329"/>
      <c r="N594" s="124"/>
      <c r="O594" s="320"/>
      <c r="P594" s="142"/>
      <c r="Q594" s="193"/>
      <c r="R594" s="28"/>
      <c r="S594" s="138"/>
      <c r="T594" s="142"/>
      <c r="U594" s="142"/>
      <c r="V594" s="142"/>
    </row>
    <row r="595">
      <c r="A595" s="320"/>
      <c r="B595" s="142"/>
      <c r="C595" s="320"/>
      <c r="D595" s="124"/>
      <c r="E595" s="320"/>
      <c r="F595" s="142"/>
      <c r="G595" s="320"/>
      <c r="H595" s="142"/>
      <c r="I595" s="329"/>
      <c r="J595" s="124"/>
      <c r="K595" s="329"/>
      <c r="L595" s="124"/>
      <c r="M595" s="329"/>
      <c r="N595" s="124"/>
      <c r="O595" s="320"/>
      <c r="P595" s="142"/>
      <c r="Q595" s="193"/>
      <c r="R595" s="28"/>
      <c r="S595" s="138"/>
      <c r="T595" s="142"/>
      <c r="U595" s="142"/>
      <c r="V595" s="142"/>
    </row>
    <row r="596">
      <c r="A596" s="320"/>
      <c r="B596" s="142"/>
      <c r="C596" s="320"/>
      <c r="D596" s="124"/>
      <c r="E596" s="320"/>
      <c r="F596" s="142"/>
      <c r="G596" s="320"/>
      <c r="H596" s="142"/>
      <c r="I596" s="329"/>
      <c r="J596" s="124"/>
      <c r="K596" s="329"/>
      <c r="L596" s="124"/>
      <c r="M596" s="329"/>
      <c r="N596" s="124"/>
      <c r="O596" s="320"/>
      <c r="P596" s="142"/>
      <c r="Q596" s="193"/>
      <c r="R596" s="28"/>
      <c r="S596" s="138"/>
      <c r="T596" s="142"/>
      <c r="U596" s="142"/>
      <c r="V596" s="142"/>
    </row>
    <row r="597">
      <c r="A597" s="320"/>
      <c r="B597" s="142"/>
      <c r="C597" s="320"/>
      <c r="D597" s="124"/>
      <c r="E597" s="320"/>
      <c r="F597" s="142"/>
      <c r="G597" s="320"/>
      <c r="H597" s="142"/>
      <c r="I597" s="329"/>
      <c r="J597" s="124"/>
      <c r="K597" s="329"/>
      <c r="L597" s="124"/>
      <c r="M597" s="329"/>
      <c r="N597" s="124"/>
      <c r="O597" s="320"/>
      <c r="P597" s="142"/>
      <c r="Q597" s="193"/>
      <c r="R597" s="28"/>
      <c r="S597" s="138"/>
      <c r="T597" s="142"/>
      <c r="U597" s="142"/>
      <c r="V597" s="142"/>
    </row>
    <row r="598">
      <c r="A598" s="320"/>
      <c r="B598" s="142"/>
      <c r="C598" s="320"/>
      <c r="D598" s="124"/>
      <c r="E598" s="320"/>
      <c r="F598" s="142"/>
      <c r="G598" s="320"/>
      <c r="H598" s="142"/>
      <c r="I598" s="329"/>
      <c r="J598" s="124"/>
      <c r="K598" s="329"/>
      <c r="L598" s="124"/>
      <c r="M598" s="329"/>
      <c r="N598" s="124"/>
      <c r="O598" s="320"/>
      <c r="P598" s="142"/>
      <c r="Q598" s="193"/>
      <c r="R598" s="28"/>
      <c r="S598" s="138"/>
      <c r="T598" s="142"/>
      <c r="U598" s="142"/>
      <c r="V598" s="142"/>
    </row>
    <row r="599">
      <c r="A599" s="320"/>
      <c r="B599" s="142"/>
      <c r="C599" s="320"/>
      <c r="D599" s="124"/>
      <c r="E599" s="320"/>
      <c r="F599" s="142"/>
      <c r="G599" s="320"/>
      <c r="H599" s="142"/>
      <c r="I599" s="329"/>
      <c r="J599" s="124"/>
      <c r="K599" s="329"/>
      <c r="L599" s="124"/>
      <c r="M599" s="329"/>
      <c r="N599" s="124"/>
      <c r="O599" s="320"/>
      <c r="P599" s="142"/>
      <c r="Q599" s="193"/>
      <c r="R599" s="28"/>
      <c r="S599" s="138"/>
      <c r="T599" s="142"/>
      <c r="U599" s="142"/>
      <c r="V599" s="142"/>
    </row>
    <row r="600">
      <c r="A600" s="320"/>
      <c r="B600" s="142"/>
      <c r="C600" s="320"/>
      <c r="D600" s="124"/>
      <c r="E600" s="320"/>
      <c r="F600" s="142"/>
      <c r="G600" s="320"/>
      <c r="H600" s="142"/>
      <c r="I600" s="329"/>
      <c r="J600" s="124"/>
      <c r="K600" s="329"/>
      <c r="L600" s="124"/>
      <c r="M600" s="329"/>
      <c r="N600" s="124"/>
      <c r="O600" s="320"/>
      <c r="P600" s="142"/>
      <c r="Q600" s="193"/>
      <c r="R600" s="28"/>
      <c r="S600" s="138"/>
      <c r="T600" s="142"/>
      <c r="U600" s="142"/>
      <c r="V600" s="142"/>
    </row>
    <row r="601">
      <c r="A601" s="320"/>
      <c r="B601" s="142"/>
      <c r="C601" s="320"/>
      <c r="D601" s="124"/>
      <c r="E601" s="320"/>
      <c r="F601" s="142"/>
      <c r="G601" s="320"/>
      <c r="H601" s="142"/>
      <c r="I601" s="329"/>
      <c r="J601" s="124"/>
      <c r="K601" s="329"/>
      <c r="L601" s="124"/>
      <c r="M601" s="329"/>
      <c r="N601" s="124"/>
      <c r="O601" s="320"/>
      <c r="P601" s="142"/>
      <c r="Q601" s="193"/>
      <c r="R601" s="28"/>
      <c r="S601" s="138"/>
      <c r="T601" s="142"/>
      <c r="U601" s="142"/>
      <c r="V601" s="142"/>
    </row>
    <row r="602">
      <c r="A602" s="320"/>
      <c r="B602" s="142"/>
      <c r="C602" s="320"/>
      <c r="D602" s="124"/>
      <c r="E602" s="320"/>
      <c r="F602" s="142"/>
      <c r="G602" s="320"/>
      <c r="H602" s="142"/>
      <c r="I602" s="329"/>
      <c r="J602" s="124"/>
      <c r="K602" s="329"/>
      <c r="L602" s="124"/>
      <c r="M602" s="329"/>
      <c r="N602" s="124"/>
      <c r="O602" s="320"/>
      <c r="P602" s="142"/>
      <c r="Q602" s="193"/>
      <c r="R602" s="28"/>
      <c r="S602" s="138"/>
      <c r="T602" s="142"/>
      <c r="U602" s="142"/>
      <c r="V602" s="142"/>
    </row>
    <row r="603">
      <c r="A603" s="320"/>
      <c r="B603" s="142"/>
      <c r="C603" s="320"/>
      <c r="D603" s="124"/>
      <c r="E603" s="320"/>
      <c r="F603" s="142"/>
      <c r="G603" s="320"/>
      <c r="H603" s="142"/>
      <c r="I603" s="329"/>
      <c r="J603" s="124"/>
      <c r="K603" s="329"/>
      <c r="L603" s="124"/>
      <c r="M603" s="329"/>
      <c r="N603" s="124"/>
      <c r="O603" s="320"/>
      <c r="P603" s="142"/>
      <c r="Q603" s="193"/>
      <c r="R603" s="28"/>
      <c r="S603" s="138"/>
      <c r="T603" s="142"/>
      <c r="U603" s="142"/>
      <c r="V603" s="142"/>
    </row>
    <row r="604">
      <c r="A604" s="320"/>
      <c r="B604" s="142"/>
      <c r="C604" s="320"/>
      <c r="D604" s="124"/>
      <c r="E604" s="320"/>
      <c r="F604" s="142"/>
      <c r="G604" s="320"/>
      <c r="H604" s="142"/>
      <c r="I604" s="329"/>
      <c r="J604" s="124"/>
      <c r="K604" s="329"/>
      <c r="L604" s="124"/>
      <c r="M604" s="329"/>
      <c r="N604" s="124"/>
      <c r="O604" s="320"/>
      <c r="P604" s="142"/>
      <c r="Q604" s="193"/>
      <c r="R604" s="28"/>
      <c r="S604" s="138"/>
      <c r="T604" s="142"/>
      <c r="U604" s="142"/>
      <c r="V604" s="142"/>
    </row>
    <row r="605">
      <c r="A605" s="320"/>
      <c r="B605" s="142"/>
      <c r="C605" s="320"/>
      <c r="D605" s="124"/>
      <c r="E605" s="320"/>
      <c r="F605" s="142"/>
      <c r="G605" s="320"/>
      <c r="H605" s="142"/>
      <c r="I605" s="329"/>
      <c r="J605" s="124"/>
      <c r="K605" s="329"/>
      <c r="L605" s="124"/>
      <c r="M605" s="329"/>
      <c r="N605" s="124"/>
      <c r="O605" s="320"/>
      <c r="P605" s="142"/>
      <c r="Q605" s="193"/>
      <c r="R605" s="28"/>
      <c r="S605" s="138"/>
      <c r="T605" s="142"/>
      <c r="U605" s="142"/>
      <c r="V605" s="142"/>
    </row>
    <row r="606">
      <c r="A606" s="320"/>
      <c r="B606" s="142"/>
      <c r="C606" s="320"/>
      <c r="D606" s="124"/>
      <c r="E606" s="320"/>
      <c r="F606" s="142"/>
      <c r="G606" s="320"/>
      <c r="H606" s="142"/>
      <c r="I606" s="329"/>
      <c r="J606" s="124"/>
      <c r="K606" s="329"/>
      <c r="L606" s="124"/>
      <c r="M606" s="329"/>
      <c r="N606" s="124"/>
      <c r="O606" s="320"/>
      <c r="P606" s="142"/>
      <c r="Q606" s="193"/>
      <c r="R606" s="28"/>
      <c r="S606" s="138"/>
      <c r="T606" s="142"/>
      <c r="U606" s="142"/>
      <c r="V606" s="142"/>
    </row>
    <row r="607">
      <c r="A607" s="320"/>
      <c r="B607" s="142"/>
      <c r="C607" s="320"/>
      <c r="D607" s="124"/>
      <c r="E607" s="320"/>
      <c r="F607" s="142"/>
      <c r="G607" s="320"/>
      <c r="H607" s="142"/>
      <c r="I607" s="329"/>
      <c r="J607" s="124"/>
      <c r="K607" s="329"/>
      <c r="L607" s="124"/>
      <c r="M607" s="329"/>
      <c r="N607" s="124"/>
      <c r="O607" s="320"/>
      <c r="P607" s="142"/>
      <c r="Q607" s="193"/>
      <c r="R607" s="28"/>
      <c r="S607" s="138"/>
      <c r="T607" s="142"/>
      <c r="U607" s="142"/>
      <c r="V607" s="142"/>
    </row>
    <row r="608">
      <c r="A608" s="320"/>
      <c r="B608" s="142"/>
      <c r="C608" s="320"/>
      <c r="D608" s="124"/>
      <c r="E608" s="320"/>
      <c r="F608" s="142"/>
      <c r="G608" s="320"/>
      <c r="H608" s="142"/>
      <c r="I608" s="329"/>
      <c r="J608" s="124"/>
      <c r="K608" s="329"/>
      <c r="L608" s="124"/>
      <c r="M608" s="329"/>
      <c r="N608" s="124"/>
      <c r="O608" s="320"/>
      <c r="P608" s="142"/>
      <c r="Q608" s="193"/>
      <c r="R608" s="28"/>
      <c r="S608" s="138"/>
      <c r="T608" s="142"/>
      <c r="U608" s="142"/>
      <c r="V608" s="142"/>
    </row>
    <row r="609">
      <c r="A609" s="320"/>
      <c r="B609" s="142"/>
      <c r="C609" s="320"/>
      <c r="D609" s="124"/>
      <c r="E609" s="320"/>
      <c r="F609" s="142"/>
      <c r="G609" s="320"/>
      <c r="H609" s="142"/>
      <c r="I609" s="329"/>
      <c r="J609" s="124"/>
      <c r="K609" s="329"/>
      <c r="L609" s="124"/>
      <c r="M609" s="329"/>
      <c r="N609" s="124"/>
      <c r="O609" s="320"/>
      <c r="P609" s="142"/>
      <c r="Q609" s="193"/>
      <c r="R609" s="28"/>
      <c r="S609" s="138"/>
      <c r="T609" s="142"/>
      <c r="U609" s="142"/>
      <c r="V609" s="142"/>
    </row>
    <row r="610">
      <c r="A610" s="320"/>
      <c r="B610" s="142"/>
      <c r="C610" s="320"/>
      <c r="D610" s="124"/>
      <c r="E610" s="320"/>
      <c r="F610" s="142"/>
      <c r="G610" s="320"/>
      <c r="H610" s="142"/>
      <c r="I610" s="329"/>
      <c r="J610" s="124"/>
      <c r="K610" s="329"/>
      <c r="L610" s="124"/>
      <c r="M610" s="329"/>
      <c r="N610" s="124"/>
      <c r="O610" s="320"/>
      <c r="P610" s="142"/>
      <c r="Q610" s="193"/>
      <c r="R610" s="28"/>
      <c r="S610" s="138"/>
      <c r="T610" s="142"/>
      <c r="U610" s="142"/>
      <c r="V610" s="142"/>
    </row>
    <row r="611">
      <c r="A611" s="320"/>
      <c r="B611" s="142"/>
      <c r="C611" s="320"/>
      <c r="D611" s="124"/>
      <c r="E611" s="320"/>
      <c r="F611" s="142"/>
      <c r="G611" s="320"/>
      <c r="H611" s="142"/>
      <c r="I611" s="329"/>
      <c r="J611" s="124"/>
      <c r="K611" s="329"/>
      <c r="L611" s="124"/>
      <c r="M611" s="329"/>
      <c r="N611" s="124"/>
      <c r="O611" s="320"/>
      <c r="P611" s="142"/>
      <c r="Q611" s="193"/>
      <c r="R611" s="28"/>
      <c r="S611" s="138"/>
      <c r="T611" s="142"/>
      <c r="U611" s="142"/>
      <c r="V611" s="142"/>
    </row>
    <row r="612">
      <c r="A612" s="320"/>
      <c r="B612" s="142"/>
      <c r="C612" s="320"/>
      <c r="D612" s="124"/>
      <c r="E612" s="320"/>
      <c r="F612" s="142"/>
      <c r="G612" s="320"/>
      <c r="H612" s="142"/>
      <c r="I612" s="329"/>
      <c r="J612" s="124"/>
      <c r="K612" s="329"/>
      <c r="L612" s="124"/>
      <c r="M612" s="329"/>
      <c r="N612" s="124"/>
      <c r="O612" s="320"/>
      <c r="P612" s="142"/>
      <c r="Q612" s="193"/>
      <c r="R612" s="28"/>
      <c r="S612" s="138"/>
      <c r="T612" s="142"/>
      <c r="U612" s="142"/>
      <c r="V612" s="142"/>
    </row>
    <row r="613">
      <c r="A613" s="320"/>
      <c r="B613" s="142"/>
      <c r="C613" s="320"/>
      <c r="D613" s="124"/>
      <c r="E613" s="320"/>
      <c r="F613" s="142"/>
      <c r="G613" s="320"/>
      <c r="H613" s="142"/>
      <c r="I613" s="329"/>
      <c r="J613" s="124"/>
      <c r="K613" s="329"/>
      <c r="L613" s="124"/>
      <c r="M613" s="329"/>
      <c r="N613" s="124"/>
      <c r="O613" s="320"/>
      <c r="P613" s="142"/>
      <c r="Q613" s="193"/>
      <c r="R613" s="28"/>
      <c r="S613" s="138"/>
      <c r="T613" s="142"/>
      <c r="U613" s="142"/>
      <c r="V613" s="142"/>
    </row>
    <row r="614">
      <c r="A614" s="320"/>
      <c r="B614" s="142"/>
      <c r="C614" s="320"/>
      <c r="D614" s="124"/>
      <c r="E614" s="320"/>
      <c r="F614" s="142"/>
      <c r="G614" s="320"/>
      <c r="H614" s="142"/>
      <c r="I614" s="329"/>
      <c r="J614" s="124"/>
      <c r="K614" s="329"/>
      <c r="L614" s="124"/>
      <c r="M614" s="329"/>
      <c r="N614" s="124"/>
      <c r="O614" s="320"/>
      <c r="P614" s="142"/>
      <c r="Q614" s="193"/>
      <c r="R614" s="28"/>
      <c r="S614" s="138"/>
      <c r="T614" s="142"/>
      <c r="U614" s="142"/>
      <c r="V614" s="142"/>
    </row>
    <row r="615">
      <c r="A615" s="320"/>
      <c r="B615" s="142"/>
      <c r="C615" s="320"/>
      <c r="D615" s="124"/>
      <c r="E615" s="320"/>
      <c r="F615" s="142"/>
      <c r="G615" s="320"/>
      <c r="H615" s="142"/>
      <c r="I615" s="329"/>
      <c r="J615" s="124"/>
      <c r="K615" s="329"/>
      <c r="L615" s="124"/>
      <c r="M615" s="329"/>
      <c r="N615" s="124"/>
      <c r="O615" s="320"/>
      <c r="P615" s="142"/>
      <c r="Q615" s="193"/>
      <c r="R615" s="28"/>
      <c r="S615" s="138"/>
      <c r="T615" s="142"/>
      <c r="U615" s="142"/>
      <c r="V615" s="142"/>
    </row>
    <row r="616">
      <c r="A616" s="320"/>
      <c r="B616" s="142"/>
      <c r="C616" s="320"/>
      <c r="D616" s="124"/>
      <c r="E616" s="320"/>
      <c r="F616" s="142"/>
      <c r="G616" s="320"/>
      <c r="H616" s="142"/>
      <c r="I616" s="329"/>
      <c r="J616" s="124"/>
      <c r="K616" s="329"/>
      <c r="L616" s="124"/>
      <c r="M616" s="329"/>
      <c r="N616" s="124"/>
      <c r="O616" s="320"/>
      <c r="P616" s="142"/>
      <c r="Q616" s="193"/>
      <c r="R616" s="28"/>
      <c r="S616" s="138"/>
      <c r="T616" s="142"/>
      <c r="U616" s="142"/>
      <c r="V616" s="142"/>
    </row>
    <row r="617">
      <c r="A617" s="320"/>
      <c r="B617" s="142"/>
      <c r="C617" s="320"/>
      <c r="D617" s="124"/>
      <c r="E617" s="320"/>
      <c r="F617" s="142"/>
      <c r="G617" s="320"/>
      <c r="H617" s="142"/>
      <c r="I617" s="329"/>
      <c r="J617" s="124"/>
      <c r="K617" s="329"/>
      <c r="L617" s="124"/>
      <c r="M617" s="329"/>
      <c r="N617" s="124"/>
      <c r="O617" s="320"/>
      <c r="P617" s="142"/>
      <c r="Q617" s="193"/>
      <c r="R617" s="28"/>
      <c r="S617" s="138"/>
      <c r="T617" s="142"/>
      <c r="U617" s="142"/>
      <c r="V617" s="142"/>
    </row>
    <row r="618">
      <c r="A618" s="320"/>
      <c r="B618" s="142"/>
      <c r="C618" s="320"/>
      <c r="D618" s="124"/>
      <c r="E618" s="320"/>
      <c r="F618" s="142"/>
      <c r="G618" s="320"/>
      <c r="H618" s="142"/>
      <c r="I618" s="329"/>
      <c r="J618" s="124"/>
      <c r="K618" s="329"/>
      <c r="L618" s="124"/>
      <c r="M618" s="329"/>
      <c r="N618" s="124"/>
      <c r="O618" s="320"/>
      <c r="P618" s="142"/>
      <c r="Q618" s="193"/>
      <c r="R618" s="28"/>
      <c r="S618" s="138"/>
      <c r="T618" s="142"/>
      <c r="U618" s="142"/>
      <c r="V618" s="142"/>
    </row>
    <row r="619">
      <c r="A619" s="320"/>
      <c r="B619" s="142"/>
      <c r="C619" s="320"/>
      <c r="D619" s="124"/>
      <c r="E619" s="320"/>
      <c r="F619" s="142"/>
      <c r="G619" s="320"/>
      <c r="H619" s="142"/>
      <c r="I619" s="329"/>
      <c r="J619" s="124"/>
      <c r="K619" s="329"/>
      <c r="L619" s="124"/>
      <c r="M619" s="329"/>
      <c r="N619" s="124"/>
      <c r="O619" s="320"/>
      <c r="P619" s="142"/>
      <c r="Q619" s="193"/>
      <c r="R619" s="28"/>
      <c r="S619" s="138"/>
      <c r="T619" s="142"/>
      <c r="U619" s="142"/>
      <c r="V619" s="142"/>
    </row>
    <row r="620">
      <c r="A620" s="320"/>
      <c r="B620" s="142"/>
      <c r="C620" s="320"/>
      <c r="D620" s="124"/>
      <c r="E620" s="320"/>
      <c r="F620" s="142"/>
      <c r="G620" s="320"/>
      <c r="H620" s="142"/>
      <c r="I620" s="329"/>
      <c r="J620" s="124"/>
      <c r="K620" s="329"/>
      <c r="L620" s="124"/>
      <c r="M620" s="329"/>
      <c r="N620" s="124"/>
      <c r="O620" s="320"/>
      <c r="P620" s="142"/>
      <c r="Q620" s="193"/>
      <c r="R620" s="28"/>
      <c r="S620" s="138"/>
      <c r="T620" s="142"/>
      <c r="U620" s="142"/>
      <c r="V620" s="142"/>
    </row>
    <row r="621">
      <c r="A621" s="320"/>
      <c r="B621" s="142"/>
      <c r="C621" s="320"/>
      <c r="D621" s="124"/>
      <c r="E621" s="320"/>
      <c r="F621" s="142"/>
      <c r="G621" s="320"/>
      <c r="H621" s="142"/>
      <c r="I621" s="329"/>
      <c r="J621" s="124"/>
      <c r="K621" s="329"/>
      <c r="L621" s="124"/>
      <c r="M621" s="329"/>
      <c r="N621" s="124"/>
      <c r="O621" s="320"/>
      <c r="P621" s="142"/>
      <c r="Q621" s="193"/>
      <c r="R621" s="28"/>
      <c r="S621" s="138"/>
      <c r="T621" s="142"/>
      <c r="U621" s="142"/>
      <c r="V621" s="142"/>
    </row>
    <row r="622">
      <c r="A622" s="320"/>
      <c r="B622" s="142"/>
      <c r="C622" s="320"/>
      <c r="D622" s="124"/>
      <c r="E622" s="320"/>
      <c r="F622" s="142"/>
      <c r="G622" s="320"/>
      <c r="H622" s="142"/>
      <c r="I622" s="329"/>
      <c r="J622" s="124"/>
      <c r="K622" s="329"/>
      <c r="L622" s="124"/>
      <c r="M622" s="329"/>
      <c r="N622" s="124"/>
      <c r="O622" s="320"/>
      <c r="P622" s="142"/>
      <c r="Q622" s="193"/>
      <c r="R622" s="28"/>
      <c r="S622" s="138"/>
      <c r="T622" s="142"/>
      <c r="U622" s="142"/>
      <c r="V622" s="142"/>
    </row>
    <row r="623">
      <c r="A623" s="320"/>
      <c r="B623" s="142"/>
      <c r="C623" s="320"/>
      <c r="D623" s="124"/>
      <c r="E623" s="320"/>
      <c r="F623" s="142"/>
      <c r="G623" s="320"/>
      <c r="H623" s="142"/>
      <c r="I623" s="329"/>
      <c r="J623" s="124"/>
      <c r="K623" s="329"/>
      <c r="L623" s="124"/>
      <c r="M623" s="329"/>
      <c r="N623" s="124"/>
      <c r="O623" s="320"/>
      <c r="P623" s="142"/>
      <c r="Q623" s="193"/>
      <c r="R623" s="28"/>
      <c r="S623" s="138"/>
      <c r="T623" s="142"/>
      <c r="U623" s="142"/>
      <c r="V623" s="142"/>
    </row>
    <row r="624">
      <c r="A624" s="320"/>
      <c r="B624" s="142"/>
      <c r="C624" s="320"/>
      <c r="D624" s="124"/>
      <c r="E624" s="320"/>
      <c r="F624" s="142"/>
      <c r="G624" s="320"/>
      <c r="H624" s="142"/>
      <c r="I624" s="329"/>
      <c r="J624" s="124"/>
      <c r="K624" s="329"/>
      <c r="L624" s="124"/>
      <c r="M624" s="329"/>
      <c r="N624" s="124"/>
      <c r="O624" s="320"/>
      <c r="P624" s="142"/>
      <c r="Q624" s="193"/>
      <c r="R624" s="28"/>
      <c r="S624" s="138"/>
      <c r="T624" s="142"/>
      <c r="U624" s="142"/>
      <c r="V624" s="142"/>
    </row>
    <row r="625">
      <c r="A625" s="320"/>
      <c r="B625" s="142"/>
      <c r="C625" s="320"/>
      <c r="D625" s="124"/>
      <c r="E625" s="320"/>
      <c r="F625" s="142"/>
      <c r="G625" s="320"/>
      <c r="H625" s="142"/>
      <c r="I625" s="329"/>
      <c r="J625" s="124"/>
      <c r="K625" s="329"/>
      <c r="L625" s="124"/>
      <c r="M625" s="329"/>
      <c r="N625" s="124"/>
      <c r="O625" s="320"/>
      <c r="P625" s="142"/>
      <c r="Q625" s="193"/>
      <c r="R625" s="28"/>
      <c r="S625" s="138"/>
      <c r="T625" s="142"/>
      <c r="U625" s="142"/>
      <c r="V625" s="142"/>
    </row>
    <row r="626">
      <c r="A626" s="320"/>
      <c r="B626" s="142"/>
      <c r="C626" s="320"/>
      <c r="D626" s="124"/>
      <c r="E626" s="320"/>
      <c r="F626" s="142"/>
      <c r="G626" s="320"/>
      <c r="H626" s="142"/>
      <c r="I626" s="329"/>
      <c r="J626" s="124"/>
      <c r="K626" s="329"/>
      <c r="L626" s="124"/>
      <c r="M626" s="329"/>
      <c r="N626" s="124"/>
      <c r="O626" s="320"/>
      <c r="P626" s="142"/>
      <c r="Q626" s="193"/>
      <c r="R626" s="28"/>
      <c r="S626" s="138"/>
      <c r="T626" s="142"/>
      <c r="U626" s="142"/>
      <c r="V626" s="142"/>
    </row>
    <row r="627">
      <c r="A627" s="320"/>
      <c r="B627" s="142"/>
      <c r="C627" s="320"/>
      <c r="D627" s="124"/>
      <c r="E627" s="320"/>
      <c r="F627" s="142"/>
      <c r="G627" s="320"/>
      <c r="H627" s="142"/>
      <c r="I627" s="329"/>
      <c r="J627" s="124"/>
      <c r="K627" s="329"/>
      <c r="L627" s="124"/>
      <c r="M627" s="329"/>
      <c r="N627" s="124"/>
      <c r="O627" s="320"/>
      <c r="P627" s="142"/>
      <c r="Q627" s="193"/>
      <c r="R627" s="28"/>
      <c r="S627" s="138"/>
      <c r="T627" s="142"/>
      <c r="U627" s="142"/>
      <c r="V627" s="142"/>
    </row>
    <row r="628">
      <c r="A628" s="320"/>
      <c r="B628" s="142"/>
      <c r="C628" s="320"/>
      <c r="D628" s="124"/>
      <c r="E628" s="320"/>
      <c r="F628" s="142"/>
      <c r="G628" s="320"/>
      <c r="H628" s="142"/>
      <c r="I628" s="329"/>
      <c r="J628" s="124"/>
      <c r="K628" s="329"/>
      <c r="L628" s="124"/>
      <c r="M628" s="329"/>
      <c r="N628" s="124"/>
      <c r="O628" s="320"/>
      <c r="P628" s="142"/>
      <c r="Q628" s="193"/>
      <c r="R628" s="28"/>
      <c r="S628" s="138"/>
      <c r="T628" s="142"/>
      <c r="U628" s="142"/>
      <c r="V628" s="142"/>
    </row>
    <row r="629">
      <c r="A629" s="320"/>
      <c r="B629" s="142"/>
      <c r="C629" s="320"/>
      <c r="D629" s="124"/>
      <c r="E629" s="320"/>
      <c r="F629" s="142"/>
      <c r="G629" s="320"/>
      <c r="H629" s="142"/>
      <c r="I629" s="329"/>
      <c r="J629" s="124"/>
      <c r="K629" s="329"/>
      <c r="L629" s="124"/>
      <c r="M629" s="329"/>
      <c r="N629" s="124"/>
      <c r="O629" s="320"/>
      <c r="P629" s="142"/>
      <c r="Q629" s="193"/>
      <c r="R629" s="28"/>
      <c r="S629" s="138"/>
      <c r="T629" s="142"/>
      <c r="U629" s="142"/>
      <c r="V629" s="142"/>
    </row>
    <row r="630">
      <c r="A630" s="320"/>
      <c r="B630" s="142"/>
      <c r="C630" s="320"/>
      <c r="D630" s="124"/>
      <c r="E630" s="320"/>
      <c r="F630" s="142"/>
      <c r="G630" s="320"/>
      <c r="H630" s="142"/>
      <c r="I630" s="329"/>
      <c r="J630" s="124"/>
      <c r="K630" s="329"/>
      <c r="L630" s="124"/>
      <c r="M630" s="329"/>
      <c r="N630" s="124"/>
      <c r="O630" s="320"/>
      <c r="P630" s="142"/>
      <c r="Q630" s="193"/>
      <c r="R630" s="28"/>
      <c r="S630" s="138"/>
      <c r="T630" s="142"/>
      <c r="U630" s="142"/>
      <c r="V630" s="142"/>
    </row>
    <row r="631">
      <c r="A631" s="320"/>
      <c r="B631" s="142"/>
      <c r="C631" s="320"/>
      <c r="D631" s="124"/>
      <c r="E631" s="320"/>
      <c r="F631" s="142"/>
      <c r="G631" s="320"/>
      <c r="H631" s="142"/>
      <c r="I631" s="329"/>
      <c r="J631" s="124"/>
      <c r="K631" s="329"/>
      <c r="L631" s="124"/>
      <c r="M631" s="329"/>
      <c r="N631" s="124"/>
      <c r="O631" s="320"/>
      <c r="P631" s="142"/>
      <c r="Q631" s="193"/>
      <c r="R631" s="28"/>
      <c r="S631" s="138"/>
      <c r="T631" s="142"/>
      <c r="U631" s="142"/>
      <c r="V631" s="142"/>
    </row>
    <row r="632">
      <c r="A632" s="320"/>
      <c r="B632" s="142"/>
      <c r="C632" s="320"/>
      <c r="D632" s="124"/>
      <c r="E632" s="320"/>
      <c r="F632" s="142"/>
      <c r="G632" s="320"/>
      <c r="H632" s="142"/>
      <c r="I632" s="329"/>
      <c r="J632" s="124"/>
      <c r="K632" s="329"/>
      <c r="L632" s="124"/>
      <c r="M632" s="329"/>
      <c r="N632" s="124"/>
      <c r="O632" s="320"/>
      <c r="P632" s="142"/>
      <c r="Q632" s="193"/>
      <c r="R632" s="28"/>
      <c r="S632" s="138"/>
      <c r="T632" s="142"/>
      <c r="U632" s="142"/>
      <c r="V632" s="142"/>
    </row>
    <row r="633">
      <c r="A633" s="320"/>
      <c r="B633" s="142"/>
      <c r="C633" s="320"/>
      <c r="D633" s="124"/>
      <c r="E633" s="320"/>
      <c r="F633" s="142"/>
      <c r="G633" s="320"/>
      <c r="H633" s="142"/>
      <c r="I633" s="329"/>
      <c r="J633" s="124"/>
      <c r="K633" s="329"/>
      <c r="L633" s="124"/>
      <c r="M633" s="329"/>
      <c r="N633" s="124"/>
      <c r="O633" s="320"/>
      <c r="P633" s="142"/>
      <c r="Q633" s="193"/>
      <c r="R633" s="28"/>
      <c r="S633" s="138"/>
      <c r="T633" s="142"/>
      <c r="U633" s="142"/>
      <c r="V633" s="142"/>
    </row>
    <row r="634">
      <c r="A634" s="320"/>
      <c r="B634" s="142"/>
      <c r="C634" s="320"/>
      <c r="D634" s="124"/>
      <c r="E634" s="320"/>
      <c r="F634" s="142"/>
      <c r="G634" s="320"/>
      <c r="H634" s="142"/>
      <c r="I634" s="329"/>
      <c r="J634" s="124"/>
      <c r="K634" s="329"/>
      <c r="L634" s="124"/>
      <c r="M634" s="329"/>
      <c r="N634" s="124"/>
      <c r="O634" s="320"/>
      <c r="P634" s="142"/>
      <c r="Q634" s="193"/>
      <c r="R634" s="28"/>
      <c r="S634" s="138"/>
      <c r="T634" s="142"/>
      <c r="U634" s="142"/>
      <c r="V634" s="142"/>
    </row>
    <row r="635">
      <c r="A635" s="320"/>
      <c r="B635" s="142"/>
      <c r="C635" s="320"/>
      <c r="D635" s="124"/>
      <c r="E635" s="320"/>
      <c r="F635" s="142"/>
      <c r="G635" s="320"/>
      <c r="H635" s="142"/>
      <c r="I635" s="329"/>
      <c r="J635" s="124"/>
      <c r="K635" s="329"/>
      <c r="L635" s="124"/>
      <c r="M635" s="329"/>
      <c r="N635" s="124"/>
      <c r="O635" s="320"/>
      <c r="P635" s="142"/>
      <c r="Q635" s="193"/>
      <c r="R635" s="28"/>
      <c r="S635" s="138"/>
      <c r="T635" s="142"/>
      <c r="U635" s="142"/>
      <c r="V635" s="142"/>
    </row>
    <row r="636">
      <c r="A636" s="320"/>
      <c r="B636" s="142"/>
      <c r="C636" s="320"/>
      <c r="D636" s="124"/>
      <c r="E636" s="320"/>
      <c r="F636" s="142"/>
      <c r="G636" s="320"/>
      <c r="H636" s="142"/>
      <c r="I636" s="329"/>
      <c r="J636" s="124"/>
      <c r="K636" s="329"/>
      <c r="L636" s="124"/>
      <c r="M636" s="329"/>
      <c r="N636" s="124"/>
      <c r="O636" s="320"/>
      <c r="P636" s="142"/>
      <c r="Q636" s="193"/>
      <c r="R636" s="28"/>
      <c r="S636" s="138"/>
      <c r="T636" s="142"/>
      <c r="U636" s="142"/>
      <c r="V636" s="142"/>
    </row>
    <row r="637">
      <c r="A637" s="320"/>
      <c r="B637" s="142"/>
      <c r="C637" s="320"/>
      <c r="D637" s="124"/>
      <c r="E637" s="320"/>
      <c r="F637" s="142"/>
      <c r="G637" s="320"/>
      <c r="H637" s="142"/>
      <c r="I637" s="329"/>
      <c r="J637" s="124"/>
      <c r="K637" s="329"/>
      <c r="L637" s="124"/>
      <c r="M637" s="329"/>
      <c r="N637" s="124"/>
      <c r="O637" s="320"/>
      <c r="P637" s="142"/>
      <c r="Q637" s="193"/>
      <c r="R637" s="28"/>
      <c r="S637" s="138"/>
      <c r="T637" s="142"/>
      <c r="U637" s="142"/>
      <c r="V637" s="142"/>
    </row>
    <row r="638">
      <c r="A638" s="320"/>
      <c r="B638" s="142"/>
      <c r="C638" s="320"/>
      <c r="D638" s="124"/>
      <c r="E638" s="320"/>
      <c r="F638" s="142"/>
      <c r="G638" s="320"/>
      <c r="H638" s="142"/>
      <c r="I638" s="329"/>
      <c r="J638" s="124"/>
      <c r="K638" s="329"/>
      <c r="L638" s="124"/>
      <c r="M638" s="329"/>
      <c r="N638" s="124"/>
      <c r="O638" s="320"/>
      <c r="P638" s="142"/>
      <c r="Q638" s="193"/>
      <c r="R638" s="28"/>
      <c r="S638" s="138"/>
      <c r="T638" s="142"/>
      <c r="U638" s="142"/>
      <c r="V638" s="142"/>
    </row>
    <row r="639">
      <c r="A639" s="320"/>
      <c r="B639" s="142"/>
      <c r="C639" s="320"/>
      <c r="D639" s="124"/>
      <c r="E639" s="320"/>
      <c r="F639" s="142"/>
      <c r="G639" s="320"/>
      <c r="H639" s="142"/>
      <c r="I639" s="329"/>
      <c r="J639" s="124"/>
      <c r="K639" s="329"/>
      <c r="L639" s="124"/>
      <c r="M639" s="329"/>
      <c r="N639" s="124"/>
      <c r="O639" s="320"/>
      <c r="P639" s="142"/>
      <c r="Q639" s="193"/>
      <c r="R639" s="28"/>
      <c r="S639" s="138"/>
      <c r="T639" s="142"/>
      <c r="U639" s="142"/>
      <c r="V639" s="142"/>
    </row>
    <row r="640">
      <c r="A640" s="320"/>
      <c r="B640" s="142"/>
      <c r="C640" s="320"/>
      <c r="D640" s="124"/>
      <c r="E640" s="320"/>
      <c r="F640" s="142"/>
      <c r="G640" s="320"/>
      <c r="H640" s="142"/>
      <c r="I640" s="329"/>
      <c r="J640" s="124"/>
      <c r="K640" s="329"/>
      <c r="L640" s="124"/>
      <c r="M640" s="329"/>
      <c r="N640" s="124"/>
      <c r="O640" s="320"/>
      <c r="P640" s="142"/>
      <c r="Q640" s="193"/>
      <c r="R640" s="28"/>
      <c r="S640" s="138"/>
      <c r="T640" s="142"/>
      <c r="U640" s="142"/>
      <c r="V640" s="142"/>
    </row>
    <row r="641">
      <c r="A641" s="320"/>
      <c r="B641" s="142"/>
      <c r="C641" s="320"/>
      <c r="D641" s="124"/>
      <c r="E641" s="320"/>
      <c r="F641" s="142"/>
      <c r="G641" s="320"/>
      <c r="H641" s="142"/>
      <c r="I641" s="329"/>
      <c r="J641" s="124"/>
      <c r="K641" s="329"/>
      <c r="L641" s="124"/>
      <c r="M641" s="329"/>
      <c r="N641" s="124"/>
      <c r="O641" s="320"/>
      <c r="P641" s="142"/>
      <c r="Q641" s="193"/>
      <c r="R641" s="28"/>
      <c r="S641" s="138"/>
      <c r="T641" s="142"/>
      <c r="U641" s="142"/>
      <c r="V641" s="142"/>
    </row>
    <row r="642">
      <c r="A642" s="320"/>
      <c r="B642" s="142"/>
      <c r="C642" s="320"/>
      <c r="D642" s="124"/>
      <c r="E642" s="320"/>
      <c r="F642" s="142"/>
      <c r="G642" s="320"/>
      <c r="H642" s="142"/>
      <c r="I642" s="329"/>
      <c r="J642" s="124"/>
      <c r="K642" s="329"/>
      <c r="L642" s="124"/>
      <c r="M642" s="329"/>
      <c r="N642" s="124"/>
      <c r="O642" s="320"/>
      <c r="P642" s="142"/>
      <c r="Q642" s="193"/>
      <c r="R642" s="28"/>
      <c r="S642" s="138"/>
      <c r="T642" s="142"/>
      <c r="U642" s="142"/>
      <c r="V642" s="142"/>
    </row>
    <row r="643">
      <c r="A643" s="320"/>
      <c r="B643" s="142"/>
      <c r="C643" s="320"/>
      <c r="D643" s="124"/>
      <c r="E643" s="320"/>
      <c r="F643" s="142"/>
      <c r="G643" s="320"/>
      <c r="H643" s="142"/>
      <c r="I643" s="329"/>
      <c r="J643" s="124"/>
      <c r="K643" s="329"/>
      <c r="L643" s="124"/>
      <c r="M643" s="329"/>
      <c r="N643" s="124"/>
      <c r="O643" s="320"/>
      <c r="P643" s="142"/>
      <c r="Q643" s="193"/>
      <c r="R643" s="28"/>
      <c r="S643" s="138"/>
      <c r="T643" s="142"/>
      <c r="U643" s="142"/>
      <c r="V643" s="142"/>
    </row>
    <row r="644">
      <c r="A644" s="320"/>
      <c r="B644" s="142"/>
      <c r="C644" s="320"/>
      <c r="D644" s="124"/>
      <c r="E644" s="320"/>
      <c r="F644" s="142"/>
      <c r="G644" s="320"/>
      <c r="H644" s="142"/>
      <c r="I644" s="329"/>
      <c r="J644" s="124"/>
      <c r="K644" s="329"/>
      <c r="L644" s="124"/>
      <c r="M644" s="329"/>
      <c r="N644" s="124"/>
      <c r="O644" s="320"/>
      <c r="P644" s="142"/>
      <c r="Q644" s="193"/>
      <c r="R644" s="28"/>
      <c r="S644" s="138"/>
      <c r="T644" s="142"/>
      <c r="U644" s="142"/>
      <c r="V644" s="142"/>
    </row>
    <row r="645">
      <c r="A645" s="320"/>
      <c r="B645" s="142"/>
      <c r="C645" s="320"/>
      <c r="D645" s="124"/>
      <c r="E645" s="320"/>
      <c r="F645" s="142"/>
      <c r="G645" s="320"/>
      <c r="H645" s="142"/>
      <c r="I645" s="329"/>
      <c r="J645" s="124"/>
      <c r="K645" s="329"/>
      <c r="L645" s="124"/>
      <c r="M645" s="329"/>
      <c r="N645" s="124"/>
      <c r="O645" s="320"/>
      <c r="P645" s="142"/>
      <c r="Q645" s="193"/>
      <c r="R645" s="28"/>
      <c r="S645" s="138"/>
      <c r="T645" s="142"/>
      <c r="U645" s="142"/>
      <c r="V645" s="142"/>
    </row>
    <row r="646">
      <c r="A646" s="320"/>
      <c r="B646" s="142"/>
      <c r="C646" s="320"/>
      <c r="D646" s="124"/>
      <c r="E646" s="320"/>
      <c r="F646" s="142"/>
      <c r="G646" s="320"/>
      <c r="H646" s="142"/>
      <c r="I646" s="329"/>
      <c r="J646" s="124"/>
      <c r="K646" s="329"/>
      <c r="L646" s="124"/>
      <c r="M646" s="329"/>
      <c r="N646" s="124"/>
      <c r="O646" s="320"/>
      <c r="P646" s="142"/>
      <c r="Q646" s="193"/>
      <c r="R646" s="28"/>
      <c r="S646" s="138"/>
      <c r="T646" s="142"/>
      <c r="U646" s="142"/>
      <c r="V646" s="142"/>
    </row>
    <row r="647">
      <c r="A647" s="320"/>
      <c r="B647" s="142"/>
      <c r="C647" s="320"/>
      <c r="D647" s="124"/>
      <c r="E647" s="320"/>
      <c r="F647" s="142"/>
      <c r="G647" s="320"/>
      <c r="H647" s="142"/>
      <c r="I647" s="329"/>
      <c r="J647" s="124"/>
      <c r="K647" s="329"/>
      <c r="L647" s="124"/>
      <c r="M647" s="329"/>
      <c r="N647" s="124"/>
      <c r="O647" s="320"/>
      <c r="P647" s="142"/>
      <c r="Q647" s="193"/>
      <c r="R647" s="28"/>
      <c r="S647" s="138"/>
      <c r="T647" s="142"/>
      <c r="U647" s="142"/>
      <c r="V647" s="142"/>
    </row>
    <row r="648">
      <c r="A648" s="320"/>
      <c r="B648" s="142"/>
      <c r="C648" s="320"/>
      <c r="D648" s="124"/>
      <c r="E648" s="320"/>
      <c r="F648" s="142"/>
      <c r="G648" s="320"/>
      <c r="H648" s="142"/>
      <c r="I648" s="329"/>
      <c r="J648" s="124"/>
      <c r="K648" s="329"/>
      <c r="L648" s="124"/>
      <c r="M648" s="329"/>
      <c r="N648" s="124"/>
      <c r="O648" s="320"/>
      <c r="P648" s="142"/>
      <c r="Q648" s="193"/>
      <c r="R648" s="28"/>
      <c r="S648" s="138"/>
      <c r="T648" s="142"/>
      <c r="U648" s="142"/>
      <c r="V648" s="142"/>
    </row>
    <row r="649">
      <c r="A649" s="320"/>
      <c r="B649" s="142"/>
      <c r="C649" s="320"/>
      <c r="D649" s="124"/>
      <c r="E649" s="320"/>
      <c r="F649" s="142"/>
      <c r="G649" s="320"/>
      <c r="H649" s="142"/>
      <c r="I649" s="329"/>
      <c r="J649" s="124"/>
      <c r="K649" s="329"/>
      <c r="L649" s="124"/>
      <c r="M649" s="329"/>
      <c r="N649" s="124"/>
      <c r="O649" s="320"/>
      <c r="P649" s="142"/>
      <c r="Q649" s="193"/>
      <c r="R649" s="28"/>
      <c r="S649" s="138"/>
      <c r="T649" s="142"/>
      <c r="U649" s="142"/>
      <c r="V649" s="142"/>
    </row>
    <row r="650">
      <c r="A650" s="320"/>
      <c r="B650" s="142"/>
      <c r="C650" s="320"/>
      <c r="D650" s="124"/>
      <c r="E650" s="320"/>
      <c r="F650" s="142"/>
      <c r="G650" s="320"/>
      <c r="H650" s="142"/>
      <c r="I650" s="329"/>
      <c r="J650" s="124"/>
      <c r="K650" s="329"/>
      <c r="L650" s="124"/>
      <c r="M650" s="329"/>
      <c r="N650" s="124"/>
      <c r="O650" s="320"/>
      <c r="P650" s="142"/>
      <c r="Q650" s="193"/>
      <c r="R650" s="28"/>
      <c r="S650" s="138"/>
      <c r="T650" s="142"/>
      <c r="U650" s="142"/>
      <c r="V650" s="142"/>
    </row>
    <row r="651">
      <c r="A651" s="320"/>
      <c r="B651" s="142"/>
      <c r="C651" s="320"/>
      <c r="D651" s="124"/>
      <c r="E651" s="320"/>
      <c r="F651" s="142"/>
      <c r="G651" s="320"/>
      <c r="H651" s="142"/>
      <c r="I651" s="329"/>
      <c r="J651" s="124"/>
      <c r="K651" s="329"/>
      <c r="L651" s="124"/>
      <c r="M651" s="329"/>
      <c r="N651" s="124"/>
      <c r="O651" s="320"/>
      <c r="P651" s="142"/>
      <c r="Q651" s="193"/>
      <c r="R651" s="28"/>
      <c r="S651" s="138"/>
      <c r="T651" s="142"/>
      <c r="U651" s="142"/>
      <c r="V651" s="142"/>
    </row>
    <row r="652">
      <c r="A652" s="320"/>
      <c r="B652" s="142"/>
      <c r="C652" s="320"/>
      <c r="D652" s="124"/>
      <c r="E652" s="320"/>
      <c r="F652" s="142"/>
      <c r="G652" s="320"/>
      <c r="H652" s="142"/>
      <c r="I652" s="329"/>
      <c r="J652" s="124"/>
      <c r="K652" s="329"/>
      <c r="L652" s="124"/>
      <c r="M652" s="329"/>
      <c r="N652" s="124"/>
      <c r="O652" s="320"/>
      <c r="P652" s="142"/>
      <c r="Q652" s="193"/>
      <c r="R652" s="28"/>
      <c r="S652" s="138"/>
      <c r="T652" s="142"/>
      <c r="U652" s="142"/>
      <c r="V652" s="142"/>
    </row>
    <row r="653">
      <c r="A653" s="320"/>
      <c r="B653" s="142"/>
      <c r="C653" s="320"/>
      <c r="D653" s="124"/>
      <c r="E653" s="320"/>
      <c r="F653" s="142"/>
      <c r="G653" s="320"/>
      <c r="H653" s="142"/>
      <c r="I653" s="329"/>
      <c r="J653" s="124"/>
      <c r="K653" s="329"/>
      <c r="L653" s="124"/>
      <c r="M653" s="329"/>
      <c r="N653" s="124"/>
      <c r="O653" s="320"/>
      <c r="P653" s="142"/>
      <c r="Q653" s="193"/>
      <c r="R653" s="28"/>
      <c r="S653" s="138"/>
      <c r="T653" s="142"/>
      <c r="U653" s="142"/>
      <c r="V653" s="142"/>
    </row>
    <row r="654">
      <c r="A654" s="320"/>
      <c r="B654" s="142"/>
      <c r="C654" s="320"/>
      <c r="D654" s="124"/>
      <c r="E654" s="320"/>
      <c r="F654" s="142"/>
      <c r="G654" s="320"/>
      <c r="H654" s="142"/>
      <c r="I654" s="329"/>
      <c r="J654" s="124"/>
      <c r="K654" s="329"/>
      <c r="L654" s="124"/>
      <c r="M654" s="329"/>
      <c r="N654" s="124"/>
      <c r="O654" s="320"/>
      <c r="P654" s="142"/>
      <c r="Q654" s="193"/>
      <c r="R654" s="28"/>
      <c r="S654" s="138"/>
      <c r="T654" s="142"/>
      <c r="U654" s="142"/>
      <c r="V654" s="142"/>
    </row>
    <row r="655">
      <c r="A655" s="320"/>
      <c r="B655" s="142"/>
      <c r="C655" s="320"/>
      <c r="D655" s="124"/>
      <c r="E655" s="320"/>
      <c r="F655" s="142"/>
      <c r="G655" s="320"/>
      <c r="H655" s="142"/>
      <c r="I655" s="329"/>
      <c r="J655" s="124"/>
      <c r="K655" s="329"/>
      <c r="L655" s="124"/>
      <c r="M655" s="329"/>
      <c r="N655" s="124"/>
      <c r="O655" s="320"/>
      <c r="P655" s="142"/>
      <c r="Q655" s="193"/>
      <c r="R655" s="28"/>
      <c r="S655" s="138"/>
      <c r="T655" s="142"/>
      <c r="U655" s="142"/>
      <c r="V655" s="142"/>
    </row>
    <row r="656">
      <c r="A656" s="320"/>
      <c r="B656" s="142"/>
      <c r="C656" s="320"/>
      <c r="D656" s="124"/>
      <c r="E656" s="320"/>
      <c r="F656" s="142"/>
      <c r="G656" s="320"/>
      <c r="H656" s="142"/>
      <c r="I656" s="329"/>
      <c r="J656" s="124"/>
      <c r="K656" s="329"/>
      <c r="L656" s="124"/>
      <c r="M656" s="329"/>
      <c r="N656" s="124"/>
      <c r="O656" s="320"/>
      <c r="P656" s="142"/>
      <c r="Q656" s="193"/>
      <c r="R656" s="28"/>
      <c r="S656" s="138"/>
      <c r="T656" s="142"/>
      <c r="U656" s="142"/>
      <c r="V656" s="142"/>
    </row>
    <row r="657">
      <c r="A657" s="320"/>
      <c r="B657" s="142"/>
      <c r="C657" s="320"/>
      <c r="D657" s="124"/>
      <c r="E657" s="320"/>
      <c r="F657" s="142"/>
      <c r="G657" s="320"/>
      <c r="H657" s="142"/>
      <c r="I657" s="329"/>
      <c r="J657" s="124"/>
      <c r="K657" s="329"/>
      <c r="L657" s="124"/>
      <c r="M657" s="329"/>
      <c r="N657" s="124"/>
      <c r="O657" s="320"/>
      <c r="P657" s="142"/>
      <c r="Q657" s="193"/>
      <c r="R657" s="28"/>
      <c r="S657" s="138"/>
      <c r="T657" s="142"/>
      <c r="U657" s="142"/>
      <c r="V657" s="142"/>
    </row>
    <row r="658">
      <c r="A658" s="320"/>
      <c r="B658" s="142"/>
      <c r="C658" s="320"/>
      <c r="D658" s="124"/>
      <c r="E658" s="320"/>
      <c r="F658" s="142"/>
      <c r="G658" s="320"/>
      <c r="H658" s="142"/>
      <c r="I658" s="329"/>
      <c r="J658" s="124"/>
      <c r="K658" s="329"/>
      <c r="L658" s="124"/>
      <c r="M658" s="329"/>
      <c r="N658" s="124"/>
      <c r="O658" s="320"/>
      <c r="P658" s="142"/>
      <c r="Q658" s="193"/>
      <c r="R658" s="28"/>
      <c r="S658" s="138"/>
      <c r="T658" s="142"/>
      <c r="U658" s="142"/>
      <c r="V658" s="142"/>
    </row>
    <row r="659">
      <c r="A659" s="320"/>
      <c r="B659" s="142"/>
      <c r="C659" s="320"/>
      <c r="D659" s="124"/>
      <c r="E659" s="320"/>
      <c r="F659" s="142"/>
      <c r="G659" s="320"/>
      <c r="H659" s="142"/>
      <c r="I659" s="329"/>
      <c r="J659" s="124"/>
      <c r="K659" s="329"/>
      <c r="L659" s="124"/>
      <c r="M659" s="329"/>
      <c r="N659" s="124"/>
      <c r="O659" s="320"/>
      <c r="P659" s="142"/>
      <c r="Q659" s="193"/>
      <c r="R659" s="28"/>
      <c r="S659" s="138"/>
      <c r="T659" s="142"/>
      <c r="U659" s="142"/>
      <c r="V659" s="142"/>
    </row>
    <row r="660">
      <c r="A660" s="320"/>
      <c r="B660" s="142"/>
      <c r="C660" s="320"/>
      <c r="D660" s="124"/>
      <c r="E660" s="320"/>
      <c r="F660" s="142"/>
      <c r="G660" s="320"/>
      <c r="H660" s="142"/>
      <c r="I660" s="329"/>
      <c r="J660" s="124"/>
      <c r="K660" s="329"/>
      <c r="L660" s="124"/>
      <c r="M660" s="329"/>
      <c r="N660" s="124"/>
      <c r="O660" s="320"/>
      <c r="P660" s="142"/>
      <c r="Q660" s="193"/>
      <c r="R660" s="28"/>
      <c r="S660" s="138"/>
      <c r="T660" s="142"/>
      <c r="U660" s="142"/>
      <c r="V660" s="142"/>
    </row>
    <row r="661">
      <c r="A661" s="320"/>
      <c r="B661" s="142"/>
      <c r="C661" s="320"/>
      <c r="D661" s="124"/>
      <c r="E661" s="320"/>
      <c r="F661" s="142"/>
      <c r="G661" s="320"/>
      <c r="H661" s="142"/>
      <c r="I661" s="329"/>
      <c r="J661" s="124"/>
      <c r="K661" s="329"/>
      <c r="L661" s="124"/>
      <c r="M661" s="329"/>
      <c r="N661" s="124"/>
      <c r="O661" s="320"/>
      <c r="P661" s="142"/>
      <c r="Q661" s="193"/>
      <c r="R661" s="28"/>
      <c r="S661" s="138"/>
      <c r="T661" s="142"/>
      <c r="U661" s="142"/>
      <c r="V661" s="142"/>
    </row>
    <row r="662">
      <c r="A662" s="320"/>
      <c r="B662" s="142"/>
      <c r="C662" s="320"/>
      <c r="D662" s="124"/>
      <c r="E662" s="320"/>
      <c r="F662" s="142"/>
      <c r="G662" s="320"/>
      <c r="H662" s="142"/>
      <c r="I662" s="329"/>
      <c r="J662" s="124"/>
      <c r="K662" s="329"/>
      <c r="L662" s="124"/>
      <c r="M662" s="329"/>
      <c r="N662" s="124"/>
      <c r="O662" s="320"/>
      <c r="P662" s="142"/>
      <c r="Q662" s="193"/>
      <c r="R662" s="28"/>
      <c r="S662" s="138"/>
      <c r="T662" s="142"/>
      <c r="U662" s="142"/>
      <c r="V662" s="142"/>
    </row>
    <row r="663">
      <c r="A663" s="320"/>
      <c r="B663" s="142"/>
      <c r="C663" s="320"/>
      <c r="D663" s="124"/>
      <c r="E663" s="320"/>
      <c r="F663" s="142"/>
      <c r="G663" s="320"/>
      <c r="H663" s="142"/>
      <c r="I663" s="329"/>
      <c r="J663" s="124"/>
      <c r="K663" s="329"/>
      <c r="L663" s="124"/>
      <c r="M663" s="329"/>
      <c r="N663" s="124"/>
      <c r="O663" s="320"/>
      <c r="P663" s="142"/>
      <c r="Q663" s="193"/>
      <c r="R663" s="28"/>
      <c r="S663" s="138"/>
      <c r="T663" s="142"/>
      <c r="U663" s="142"/>
      <c r="V663" s="142"/>
    </row>
    <row r="664">
      <c r="A664" s="320"/>
      <c r="B664" s="142"/>
      <c r="C664" s="320"/>
      <c r="D664" s="124"/>
      <c r="E664" s="320"/>
      <c r="F664" s="142"/>
      <c r="G664" s="320"/>
      <c r="H664" s="142"/>
      <c r="I664" s="329"/>
      <c r="J664" s="124"/>
      <c r="K664" s="329"/>
      <c r="L664" s="124"/>
      <c r="M664" s="329"/>
      <c r="N664" s="124"/>
      <c r="O664" s="320"/>
      <c r="P664" s="142"/>
      <c r="Q664" s="193"/>
      <c r="R664" s="28"/>
      <c r="S664" s="138"/>
      <c r="T664" s="142"/>
      <c r="U664" s="142"/>
      <c r="V664" s="142"/>
    </row>
    <row r="665">
      <c r="A665" s="320"/>
      <c r="B665" s="142"/>
      <c r="C665" s="320"/>
      <c r="D665" s="124"/>
      <c r="E665" s="320"/>
      <c r="F665" s="142"/>
      <c r="G665" s="320"/>
      <c r="H665" s="142"/>
      <c r="I665" s="329"/>
      <c r="J665" s="124"/>
      <c r="K665" s="329"/>
      <c r="L665" s="124"/>
      <c r="M665" s="329"/>
      <c r="N665" s="124"/>
      <c r="O665" s="320"/>
      <c r="P665" s="142"/>
      <c r="Q665" s="193"/>
      <c r="R665" s="28"/>
      <c r="S665" s="138"/>
      <c r="T665" s="142"/>
      <c r="U665" s="142"/>
      <c r="V665" s="142"/>
    </row>
    <row r="666">
      <c r="A666" s="320"/>
      <c r="B666" s="142"/>
      <c r="C666" s="320"/>
      <c r="D666" s="124"/>
      <c r="E666" s="320"/>
      <c r="F666" s="142"/>
      <c r="G666" s="320"/>
      <c r="H666" s="142"/>
      <c r="I666" s="329"/>
      <c r="J666" s="124"/>
      <c r="K666" s="329"/>
      <c r="L666" s="124"/>
      <c r="M666" s="329"/>
      <c r="N666" s="124"/>
      <c r="O666" s="320"/>
      <c r="P666" s="142"/>
      <c r="Q666" s="193"/>
      <c r="R666" s="28"/>
      <c r="S666" s="138"/>
      <c r="T666" s="142"/>
      <c r="U666" s="142"/>
      <c r="V666" s="142"/>
    </row>
    <row r="667">
      <c r="A667" s="320"/>
      <c r="B667" s="142"/>
      <c r="C667" s="320"/>
      <c r="D667" s="124"/>
      <c r="E667" s="320"/>
      <c r="F667" s="142"/>
      <c r="G667" s="320"/>
      <c r="H667" s="142"/>
      <c r="I667" s="329"/>
      <c r="J667" s="124"/>
      <c r="K667" s="329"/>
      <c r="L667" s="124"/>
      <c r="M667" s="329"/>
      <c r="N667" s="124"/>
      <c r="O667" s="320"/>
      <c r="P667" s="142"/>
      <c r="Q667" s="193"/>
      <c r="R667" s="28"/>
      <c r="S667" s="138"/>
      <c r="T667" s="142"/>
      <c r="U667" s="142"/>
      <c r="V667" s="142"/>
    </row>
    <row r="668">
      <c r="A668" s="320"/>
      <c r="B668" s="142"/>
      <c r="C668" s="320"/>
      <c r="D668" s="124"/>
      <c r="E668" s="320"/>
      <c r="F668" s="142"/>
      <c r="G668" s="320"/>
      <c r="H668" s="142"/>
      <c r="I668" s="329"/>
      <c r="J668" s="124"/>
      <c r="K668" s="329"/>
      <c r="L668" s="124"/>
      <c r="M668" s="329"/>
      <c r="N668" s="124"/>
      <c r="O668" s="320"/>
      <c r="P668" s="142"/>
      <c r="Q668" s="193"/>
      <c r="R668" s="28"/>
      <c r="S668" s="138"/>
      <c r="T668" s="142"/>
      <c r="U668" s="142"/>
      <c r="V668" s="142"/>
    </row>
    <row r="669">
      <c r="A669" s="320"/>
      <c r="B669" s="142"/>
      <c r="C669" s="320"/>
      <c r="D669" s="124"/>
      <c r="E669" s="320"/>
      <c r="F669" s="142"/>
      <c r="G669" s="320"/>
      <c r="H669" s="142"/>
      <c r="I669" s="329"/>
      <c r="J669" s="124"/>
      <c r="K669" s="329"/>
      <c r="L669" s="124"/>
      <c r="M669" s="329"/>
      <c r="N669" s="124"/>
      <c r="O669" s="320"/>
      <c r="P669" s="142"/>
      <c r="Q669" s="193"/>
      <c r="R669" s="28"/>
      <c r="S669" s="138"/>
      <c r="T669" s="142"/>
      <c r="U669" s="142"/>
      <c r="V669" s="142"/>
    </row>
    <row r="670">
      <c r="A670" s="320"/>
      <c r="B670" s="142"/>
      <c r="C670" s="320"/>
      <c r="D670" s="124"/>
      <c r="E670" s="320"/>
      <c r="F670" s="142"/>
      <c r="G670" s="320"/>
      <c r="H670" s="142"/>
      <c r="I670" s="329"/>
      <c r="J670" s="124"/>
      <c r="K670" s="329"/>
      <c r="L670" s="124"/>
      <c r="M670" s="329"/>
      <c r="N670" s="124"/>
      <c r="O670" s="320"/>
      <c r="P670" s="142"/>
      <c r="Q670" s="193"/>
      <c r="R670" s="28"/>
      <c r="S670" s="138"/>
      <c r="T670" s="142"/>
      <c r="U670" s="142"/>
      <c r="V670" s="142"/>
    </row>
    <row r="671">
      <c r="A671" s="320"/>
      <c r="B671" s="142"/>
      <c r="C671" s="320"/>
      <c r="D671" s="124"/>
      <c r="E671" s="320"/>
      <c r="F671" s="142"/>
      <c r="G671" s="320"/>
      <c r="H671" s="142"/>
      <c r="I671" s="329"/>
      <c r="J671" s="124"/>
      <c r="K671" s="329"/>
      <c r="L671" s="124"/>
      <c r="M671" s="329"/>
      <c r="N671" s="124"/>
      <c r="O671" s="320"/>
      <c r="P671" s="142"/>
      <c r="Q671" s="193"/>
      <c r="R671" s="28"/>
      <c r="S671" s="138"/>
      <c r="T671" s="142"/>
      <c r="U671" s="142"/>
      <c r="V671" s="142"/>
    </row>
    <row r="672">
      <c r="A672" s="320"/>
      <c r="B672" s="142"/>
      <c r="C672" s="320"/>
      <c r="D672" s="124"/>
      <c r="E672" s="320"/>
      <c r="F672" s="142"/>
      <c r="G672" s="320"/>
      <c r="H672" s="142"/>
      <c r="I672" s="329"/>
      <c r="J672" s="124"/>
      <c r="K672" s="329"/>
      <c r="L672" s="124"/>
      <c r="M672" s="329"/>
      <c r="N672" s="124"/>
      <c r="O672" s="320"/>
      <c r="P672" s="142"/>
      <c r="Q672" s="193"/>
      <c r="R672" s="28"/>
      <c r="S672" s="138"/>
      <c r="T672" s="142"/>
      <c r="U672" s="142"/>
      <c r="V672" s="142"/>
    </row>
    <row r="673">
      <c r="A673" s="320"/>
      <c r="B673" s="142"/>
      <c r="C673" s="320"/>
      <c r="D673" s="124"/>
      <c r="E673" s="320"/>
      <c r="F673" s="142"/>
      <c r="G673" s="320"/>
      <c r="H673" s="142"/>
      <c r="I673" s="329"/>
      <c r="J673" s="124"/>
      <c r="K673" s="329"/>
      <c r="L673" s="124"/>
      <c r="M673" s="329"/>
      <c r="N673" s="124"/>
      <c r="O673" s="320"/>
      <c r="P673" s="142"/>
      <c r="Q673" s="193"/>
      <c r="R673" s="28"/>
      <c r="S673" s="138"/>
      <c r="T673" s="142"/>
      <c r="U673" s="142"/>
      <c r="V673" s="142"/>
    </row>
    <row r="674">
      <c r="A674" s="320"/>
      <c r="B674" s="142"/>
      <c r="C674" s="320"/>
      <c r="D674" s="124"/>
      <c r="E674" s="320"/>
      <c r="F674" s="142"/>
      <c r="G674" s="320"/>
      <c r="H674" s="142"/>
      <c r="I674" s="329"/>
      <c r="J674" s="124"/>
      <c r="K674" s="329"/>
      <c r="L674" s="124"/>
      <c r="M674" s="329"/>
      <c r="N674" s="124"/>
      <c r="O674" s="320"/>
      <c r="P674" s="142"/>
      <c r="Q674" s="193"/>
      <c r="R674" s="28"/>
      <c r="S674" s="138"/>
      <c r="T674" s="142"/>
      <c r="U674" s="142"/>
      <c r="V674" s="142"/>
    </row>
    <row r="675">
      <c r="A675" s="320"/>
      <c r="B675" s="142"/>
      <c r="C675" s="320"/>
      <c r="D675" s="124"/>
      <c r="E675" s="320"/>
      <c r="F675" s="142"/>
      <c r="G675" s="320"/>
      <c r="H675" s="142"/>
      <c r="I675" s="329"/>
      <c r="J675" s="124"/>
      <c r="K675" s="329"/>
      <c r="L675" s="124"/>
      <c r="M675" s="329"/>
      <c r="N675" s="124"/>
      <c r="O675" s="320"/>
      <c r="P675" s="142"/>
      <c r="Q675" s="193"/>
      <c r="R675" s="28"/>
      <c r="S675" s="138"/>
      <c r="T675" s="142"/>
      <c r="U675" s="142"/>
      <c r="V675" s="142"/>
    </row>
    <row r="676">
      <c r="A676" s="320"/>
      <c r="B676" s="142"/>
      <c r="C676" s="320"/>
      <c r="D676" s="124"/>
      <c r="E676" s="320"/>
      <c r="F676" s="142"/>
      <c r="G676" s="320"/>
      <c r="H676" s="142"/>
      <c r="I676" s="329"/>
      <c r="J676" s="124"/>
      <c r="K676" s="329"/>
      <c r="L676" s="124"/>
      <c r="M676" s="329"/>
      <c r="N676" s="124"/>
      <c r="O676" s="320"/>
      <c r="P676" s="142"/>
      <c r="Q676" s="193"/>
      <c r="R676" s="28"/>
      <c r="S676" s="138"/>
      <c r="T676" s="142"/>
      <c r="U676" s="142"/>
      <c r="V676" s="142"/>
    </row>
    <row r="677">
      <c r="A677" s="320"/>
      <c r="B677" s="142"/>
      <c r="C677" s="320"/>
      <c r="D677" s="124"/>
      <c r="E677" s="320"/>
      <c r="F677" s="142"/>
      <c r="G677" s="320"/>
      <c r="H677" s="142"/>
      <c r="I677" s="329"/>
      <c r="J677" s="124"/>
      <c r="K677" s="329"/>
      <c r="L677" s="124"/>
      <c r="M677" s="329"/>
      <c r="N677" s="124"/>
      <c r="O677" s="320"/>
      <c r="P677" s="142"/>
      <c r="Q677" s="193"/>
      <c r="R677" s="28"/>
      <c r="S677" s="138"/>
      <c r="T677" s="142"/>
      <c r="U677" s="142"/>
      <c r="V677" s="142"/>
    </row>
    <row r="678">
      <c r="A678" s="320"/>
      <c r="B678" s="142"/>
      <c r="C678" s="320"/>
      <c r="D678" s="124"/>
      <c r="E678" s="320"/>
      <c r="F678" s="142"/>
      <c r="G678" s="320"/>
      <c r="H678" s="142"/>
      <c r="I678" s="329"/>
      <c r="J678" s="124"/>
      <c r="K678" s="329"/>
      <c r="L678" s="124"/>
      <c r="M678" s="329"/>
      <c r="N678" s="124"/>
      <c r="O678" s="320"/>
      <c r="P678" s="142"/>
      <c r="Q678" s="193"/>
      <c r="R678" s="28"/>
      <c r="S678" s="138"/>
      <c r="T678" s="142"/>
      <c r="U678" s="142"/>
      <c r="V678" s="142"/>
    </row>
    <row r="679">
      <c r="A679" s="320"/>
      <c r="B679" s="142"/>
      <c r="C679" s="320"/>
      <c r="D679" s="124"/>
      <c r="E679" s="320"/>
      <c r="F679" s="142"/>
      <c r="G679" s="320"/>
      <c r="H679" s="142"/>
      <c r="I679" s="329"/>
      <c r="J679" s="124"/>
      <c r="K679" s="329"/>
      <c r="L679" s="124"/>
      <c r="M679" s="329"/>
      <c r="N679" s="124"/>
      <c r="O679" s="320"/>
      <c r="P679" s="142"/>
      <c r="Q679" s="193"/>
      <c r="R679" s="28"/>
      <c r="S679" s="138"/>
      <c r="T679" s="142"/>
      <c r="U679" s="142"/>
      <c r="V679" s="142"/>
    </row>
    <row r="680">
      <c r="A680" s="320"/>
      <c r="B680" s="142"/>
      <c r="C680" s="320"/>
      <c r="D680" s="124"/>
      <c r="E680" s="320"/>
      <c r="F680" s="142"/>
      <c r="G680" s="320"/>
      <c r="H680" s="142"/>
      <c r="I680" s="329"/>
      <c r="J680" s="124"/>
      <c r="K680" s="329"/>
      <c r="L680" s="124"/>
      <c r="M680" s="329"/>
      <c r="N680" s="124"/>
      <c r="O680" s="320"/>
      <c r="P680" s="142"/>
      <c r="Q680" s="193"/>
      <c r="R680" s="28"/>
      <c r="S680" s="138"/>
      <c r="T680" s="142"/>
      <c r="U680" s="142"/>
      <c r="V680" s="142"/>
    </row>
    <row r="681">
      <c r="A681" s="320"/>
      <c r="B681" s="142"/>
      <c r="C681" s="320"/>
      <c r="D681" s="124"/>
      <c r="E681" s="320"/>
      <c r="F681" s="142"/>
      <c r="G681" s="320"/>
      <c r="H681" s="142"/>
      <c r="I681" s="329"/>
      <c r="J681" s="124"/>
      <c r="K681" s="329"/>
      <c r="L681" s="124"/>
      <c r="M681" s="329"/>
      <c r="N681" s="124"/>
      <c r="O681" s="320"/>
      <c r="P681" s="142"/>
      <c r="Q681" s="193"/>
      <c r="R681" s="28"/>
      <c r="S681" s="138"/>
      <c r="T681" s="142"/>
      <c r="U681" s="142"/>
      <c r="V681" s="142"/>
    </row>
    <row r="682">
      <c r="A682" s="320"/>
      <c r="B682" s="142"/>
      <c r="C682" s="320"/>
      <c r="D682" s="124"/>
      <c r="E682" s="320"/>
      <c r="F682" s="142"/>
      <c r="G682" s="320"/>
      <c r="H682" s="142"/>
      <c r="I682" s="329"/>
      <c r="J682" s="124"/>
      <c r="K682" s="329"/>
      <c r="L682" s="124"/>
      <c r="M682" s="329"/>
      <c r="N682" s="124"/>
      <c r="O682" s="320"/>
      <c r="P682" s="142"/>
      <c r="Q682" s="193"/>
      <c r="R682" s="28"/>
      <c r="S682" s="138"/>
      <c r="T682" s="142"/>
      <c r="U682" s="142"/>
      <c r="V682" s="142"/>
    </row>
    <row r="683">
      <c r="A683" s="320"/>
      <c r="B683" s="142"/>
      <c r="C683" s="320"/>
      <c r="D683" s="124"/>
      <c r="E683" s="320"/>
      <c r="F683" s="142"/>
      <c r="G683" s="320"/>
      <c r="H683" s="142"/>
      <c r="I683" s="329"/>
      <c r="J683" s="124"/>
      <c r="K683" s="329"/>
      <c r="L683" s="124"/>
      <c r="M683" s="329"/>
      <c r="N683" s="124"/>
      <c r="O683" s="320"/>
      <c r="P683" s="142"/>
      <c r="Q683" s="193"/>
      <c r="R683" s="28"/>
      <c r="S683" s="138"/>
      <c r="T683" s="142"/>
      <c r="U683" s="142"/>
      <c r="V683" s="142"/>
    </row>
    <row r="684">
      <c r="A684" s="320"/>
      <c r="B684" s="142"/>
      <c r="C684" s="320"/>
      <c r="D684" s="124"/>
      <c r="E684" s="320"/>
      <c r="F684" s="142"/>
      <c r="G684" s="320"/>
      <c r="H684" s="142"/>
      <c r="I684" s="329"/>
      <c r="J684" s="124"/>
      <c r="K684" s="329"/>
      <c r="L684" s="124"/>
      <c r="M684" s="329"/>
      <c r="N684" s="124"/>
      <c r="O684" s="320"/>
      <c r="P684" s="142"/>
      <c r="Q684" s="193"/>
      <c r="R684" s="28"/>
      <c r="S684" s="138"/>
      <c r="T684" s="142"/>
      <c r="U684" s="142"/>
      <c r="V684" s="142"/>
    </row>
    <row r="685">
      <c r="A685" s="320"/>
      <c r="B685" s="142"/>
      <c r="C685" s="320"/>
      <c r="D685" s="124"/>
      <c r="E685" s="320"/>
      <c r="F685" s="142"/>
      <c r="G685" s="320"/>
      <c r="H685" s="142"/>
      <c r="I685" s="329"/>
      <c r="J685" s="124"/>
      <c r="K685" s="329"/>
      <c r="L685" s="124"/>
      <c r="M685" s="329"/>
      <c r="N685" s="124"/>
      <c r="O685" s="320"/>
      <c r="P685" s="142"/>
      <c r="Q685" s="193"/>
      <c r="R685" s="28"/>
      <c r="S685" s="138"/>
      <c r="T685" s="142"/>
      <c r="U685" s="142"/>
      <c r="V685" s="142"/>
    </row>
    <row r="686">
      <c r="A686" s="320"/>
      <c r="B686" s="142"/>
      <c r="C686" s="320"/>
      <c r="D686" s="124"/>
      <c r="E686" s="320"/>
      <c r="F686" s="142"/>
      <c r="G686" s="320"/>
      <c r="H686" s="142"/>
      <c r="I686" s="329"/>
      <c r="J686" s="124"/>
      <c r="K686" s="329"/>
      <c r="L686" s="124"/>
      <c r="M686" s="329"/>
      <c r="N686" s="124"/>
      <c r="O686" s="320"/>
      <c r="P686" s="142"/>
      <c r="Q686" s="193"/>
      <c r="R686" s="28"/>
      <c r="S686" s="138"/>
      <c r="T686" s="142"/>
      <c r="U686" s="142"/>
      <c r="V686" s="142"/>
    </row>
    <row r="687">
      <c r="A687" s="320"/>
      <c r="B687" s="142"/>
      <c r="C687" s="320"/>
      <c r="D687" s="124"/>
      <c r="E687" s="320"/>
      <c r="F687" s="142"/>
      <c r="G687" s="320"/>
      <c r="H687" s="142"/>
      <c r="I687" s="329"/>
      <c r="J687" s="124"/>
      <c r="K687" s="329"/>
      <c r="L687" s="124"/>
      <c r="M687" s="329"/>
      <c r="N687" s="124"/>
      <c r="O687" s="320"/>
      <c r="P687" s="142"/>
      <c r="Q687" s="193"/>
      <c r="R687" s="28"/>
      <c r="S687" s="138"/>
      <c r="T687" s="142"/>
      <c r="U687" s="142"/>
      <c r="V687" s="142"/>
    </row>
    <row r="688">
      <c r="A688" s="320"/>
      <c r="B688" s="142"/>
      <c r="C688" s="320"/>
      <c r="D688" s="124"/>
      <c r="E688" s="320"/>
      <c r="F688" s="142"/>
      <c r="G688" s="320"/>
      <c r="H688" s="142"/>
      <c r="I688" s="329"/>
      <c r="J688" s="124"/>
      <c r="K688" s="329"/>
      <c r="L688" s="124"/>
      <c r="M688" s="329"/>
      <c r="N688" s="124"/>
      <c r="O688" s="320"/>
      <c r="P688" s="142"/>
      <c r="Q688" s="193"/>
      <c r="R688" s="28"/>
      <c r="S688" s="138"/>
      <c r="T688" s="142"/>
      <c r="U688" s="142"/>
      <c r="V688" s="142"/>
    </row>
    <row r="689">
      <c r="A689" s="320"/>
      <c r="B689" s="142"/>
      <c r="C689" s="320"/>
      <c r="D689" s="124"/>
      <c r="E689" s="320"/>
      <c r="F689" s="142"/>
      <c r="G689" s="320"/>
      <c r="H689" s="142"/>
      <c r="I689" s="329"/>
      <c r="J689" s="124"/>
      <c r="K689" s="329"/>
      <c r="L689" s="124"/>
      <c r="M689" s="329"/>
      <c r="N689" s="124"/>
      <c r="O689" s="320"/>
      <c r="P689" s="142"/>
      <c r="Q689" s="193"/>
      <c r="R689" s="28"/>
      <c r="S689" s="138"/>
      <c r="T689" s="142"/>
      <c r="U689" s="142"/>
      <c r="V689" s="142"/>
    </row>
    <row r="690">
      <c r="A690" s="320"/>
      <c r="B690" s="142"/>
      <c r="C690" s="320"/>
      <c r="D690" s="124"/>
      <c r="E690" s="320"/>
      <c r="F690" s="142"/>
      <c r="G690" s="320"/>
      <c r="H690" s="142"/>
      <c r="I690" s="329"/>
      <c r="J690" s="124"/>
      <c r="K690" s="329"/>
      <c r="L690" s="124"/>
      <c r="M690" s="329"/>
      <c r="N690" s="124"/>
      <c r="O690" s="320"/>
      <c r="P690" s="142"/>
      <c r="Q690" s="193"/>
      <c r="R690" s="28"/>
      <c r="S690" s="138"/>
      <c r="T690" s="142"/>
      <c r="U690" s="142"/>
      <c r="V690" s="142"/>
    </row>
    <row r="691">
      <c r="A691" s="320"/>
      <c r="B691" s="142"/>
      <c r="C691" s="320"/>
      <c r="D691" s="124"/>
      <c r="E691" s="320"/>
      <c r="F691" s="142"/>
      <c r="G691" s="320"/>
      <c r="H691" s="142"/>
      <c r="I691" s="329"/>
      <c r="J691" s="124"/>
      <c r="K691" s="329"/>
      <c r="L691" s="124"/>
      <c r="M691" s="329"/>
      <c r="N691" s="124"/>
      <c r="O691" s="320"/>
      <c r="P691" s="142"/>
      <c r="Q691" s="193"/>
      <c r="R691" s="28"/>
      <c r="S691" s="138"/>
      <c r="T691" s="142"/>
      <c r="U691" s="142"/>
      <c r="V691" s="142"/>
    </row>
    <row r="692">
      <c r="A692" s="320"/>
      <c r="B692" s="142"/>
      <c r="C692" s="320"/>
      <c r="D692" s="124"/>
      <c r="E692" s="320"/>
      <c r="F692" s="142"/>
      <c r="G692" s="320"/>
      <c r="H692" s="142"/>
      <c r="I692" s="329"/>
      <c r="J692" s="124"/>
      <c r="K692" s="329"/>
      <c r="L692" s="124"/>
      <c r="M692" s="329"/>
      <c r="N692" s="124"/>
      <c r="O692" s="320"/>
      <c r="P692" s="142"/>
      <c r="Q692" s="193"/>
      <c r="R692" s="28"/>
      <c r="S692" s="138"/>
      <c r="T692" s="142"/>
      <c r="U692" s="142"/>
      <c r="V692" s="142"/>
    </row>
    <row r="693">
      <c r="A693" s="320"/>
      <c r="B693" s="142"/>
      <c r="C693" s="320"/>
      <c r="D693" s="124"/>
      <c r="E693" s="320"/>
      <c r="F693" s="142"/>
      <c r="G693" s="320"/>
      <c r="H693" s="142"/>
      <c r="I693" s="329"/>
      <c r="J693" s="124"/>
      <c r="K693" s="329"/>
      <c r="L693" s="124"/>
      <c r="M693" s="329"/>
      <c r="N693" s="124"/>
      <c r="O693" s="320"/>
      <c r="P693" s="142"/>
      <c r="Q693" s="193"/>
      <c r="R693" s="28"/>
      <c r="S693" s="138"/>
      <c r="T693" s="142"/>
      <c r="U693" s="142"/>
      <c r="V693" s="142"/>
    </row>
    <row r="694">
      <c r="A694" s="320"/>
      <c r="B694" s="142"/>
      <c r="C694" s="320"/>
      <c r="D694" s="124"/>
      <c r="E694" s="320"/>
      <c r="F694" s="142"/>
      <c r="G694" s="320"/>
      <c r="H694" s="142"/>
      <c r="I694" s="329"/>
      <c r="J694" s="124"/>
      <c r="K694" s="329"/>
      <c r="L694" s="124"/>
      <c r="M694" s="329"/>
      <c r="N694" s="124"/>
      <c r="O694" s="320"/>
      <c r="P694" s="142"/>
      <c r="Q694" s="193"/>
      <c r="R694" s="28"/>
      <c r="S694" s="138"/>
      <c r="T694" s="142"/>
      <c r="U694" s="142"/>
      <c r="V694" s="142"/>
    </row>
    <row r="695">
      <c r="A695" s="320"/>
      <c r="B695" s="142"/>
      <c r="C695" s="320"/>
      <c r="D695" s="124"/>
      <c r="E695" s="320"/>
      <c r="F695" s="142"/>
      <c r="G695" s="320"/>
      <c r="H695" s="142"/>
      <c r="I695" s="329"/>
      <c r="J695" s="124"/>
      <c r="K695" s="329"/>
      <c r="L695" s="124"/>
      <c r="M695" s="329"/>
      <c r="N695" s="124"/>
      <c r="O695" s="320"/>
      <c r="P695" s="142"/>
      <c r="Q695" s="193"/>
      <c r="R695" s="28"/>
      <c r="S695" s="138"/>
      <c r="T695" s="142"/>
      <c r="U695" s="142"/>
      <c r="V695" s="142"/>
    </row>
    <row r="696">
      <c r="A696" s="320"/>
      <c r="B696" s="142"/>
      <c r="C696" s="320"/>
      <c r="D696" s="124"/>
      <c r="E696" s="320"/>
      <c r="F696" s="142"/>
      <c r="G696" s="320"/>
      <c r="H696" s="142"/>
      <c r="I696" s="329"/>
      <c r="J696" s="124"/>
      <c r="K696" s="329"/>
      <c r="L696" s="124"/>
      <c r="M696" s="329"/>
      <c r="N696" s="124"/>
      <c r="O696" s="320"/>
      <c r="P696" s="142"/>
      <c r="Q696" s="193"/>
      <c r="R696" s="28"/>
      <c r="S696" s="138"/>
      <c r="T696" s="142"/>
      <c r="U696" s="142"/>
      <c r="V696" s="142"/>
    </row>
    <row r="697">
      <c r="A697" s="320"/>
      <c r="B697" s="142"/>
      <c r="C697" s="320"/>
      <c r="D697" s="124"/>
      <c r="E697" s="320"/>
      <c r="F697" s="142"/>
      <c r="G697" s="320"/>
      <c r="H697" s="142"/>
      <c r="I697" s="329"/>
      <c r="J697" s="124"/>
      <c r="K697" s="329"/>
      <c r="L697" s="124"/>
      <c r="M697" s="329"/>
      <c r="N697" s="124"/>
      <c r="O697" s="320"/>
      <c r="P697" s="142"/>
      <c r="Q697" s="193"/>
      <c r="R697" s="28"/>
      <c r="S697" s="138"/>
      <c r="T697" s="142"/>
      <c r="U697" s="142"/>
      <c r="V697" s="142"/>
    </row>
    <row r="698">
      <c r="A698" s="320"/>
      <c r="B698" s="142"/>
      <c r="C698" s="320"/>
      <c r="D698" s="124"/>
      <c r="E698" s="320"/>
      <c r="F698" s="142"/>
      <c r="G698" s="320"/>
      <c r="H698" s="142"/>
      <c r="I698" s="329"/>
      <c r="J698" s="124"/>
      <c r="K698" s="329"/>
      <c r="L698" s="124"/>
      <c r="M698" s="329"/>
      <c r="N698" s="124"/>
      <c r="O698" s="320"/>
      <c r="P698" s="142"/>
      <c r="Q698" s="193"/>
      <c r="R698" s="28"/>
      <c r="S698" s="138"/>
      <c r="T698" s="142"/>
      <c r="U698" s="142"/>
      <c r="V698" s="142"/>
    </row>
    <row r="699">
      <c r="A699" s="320"/>
      <c r="B699" s="142"/>
      <c r="C699" s="320"/>
      <c r="D699" s="124"/>
      <c r="E699" s="320"/>
      <c r="F699" s="142"/>
      <c r="G699" s="320"/>
      <c r="H699" s="142"/>
      <c r="I699" s="329"/>
      <c r="J699" s="124"/>
      <c r="K699" s="329"/>
      <c r="L699" s="124"/>
      <c r="M699" s="329"/>
      <c r="N699" s="124"/>
      <c r="O699" s="320"/>
      <c r="P699" s="142"/>
      <c r="Q699" s="193"/>
      <c r="R699" s="28"/>
      <c r="S699" s="138"/>
      <c r="T699" s="142"/>
      <c r="U699" s="142"/>
      <c r="V699" s="142"/>
    </row>
    <row r="700">
      <c r="A700" s="320"/>
      <c r="B700" s="142"/>
      <c r="C700" s="320"/>
      <c r="D700" s="124"/>
      <c r="E700" s="320"/>
      <c r="F700" s="142"/>
      <c r="G700" s="320"/>
      <c r="H700" s="142"/>
      <c r="I700" s="329"/>
      <c r="J700" s="124"/>
      <c r="K700" s="329"/>
      <c r="L700" s="124"/>
      <c r="M700" s="329"/>
      <c r="N700" s="124"/>
      <c r="O700" s="320"/>
      <c r="P700" s="142"/>
      <c r="Q700" s="193"/>
      <c r="R700" s="28"/>
      <c r="S700" s="138"/>
      <c r="T700" s="142"/>
      <c r="U700" s="142"/>
      <c r="V700" s="142"/>
    </row>
    <row r="701">
      <c r="A701" s="320"/>
      <c r="B701" s="142"/>
      <c r="C701" s="320"/>
      <c r="D701" s="124"/>
      <c r="E701" s="320"/>
      <c r="F701" s="142"/>
      <c r="G701" s="320"/>
      <c r="H701" s="142"/>
      <c r="I701" s="329"/>
      <c r="J701" s="124"/>
      <c r="K701" s="329"/>
      <c r="L701" s="124"/>
      <c r="M701" s="329"/>
      <c r="N701" s="124"/>
      <c r="O701" s="320"/>
      <c r="P701" s="142"/>
      <c r="Q701" s="193"/>
      <c r="R701" s="28"/>
      <c r="S701" s="138"/>
      <c r="T701" s="142"/>
      <c r="U701" s="142"/>
      <c r="V701" s="142"/>
    </row>
    <row r="702">
      <c r="A702" s="320"/>
      <c r="B702" s="142"/>
      <c r="C702" s="320"/>
      <c r="D702" s="124"/>
      <c r="E702" s="320"/>
      <c r="F702" s="142"/>
      <c r="G702" s="320"/>
      <c r="H702" s="142"/>
      <c r="I702" s="329"/>
      <c r="J702" s="124"/>
      <c r="K702" s="329"/>
      <c r="L702" s="124"/>
      <c r="M702" s="329"/>
      <c r="N702" s="124"/>
      <c r="O702" s="320"/>
      <c r="P702" s="142"/>
      <c r="Q702" s="193"/>
      <c r="R702" s="28"/>
      <c r="S702" s="138"/>
      <c r="T702" s="142"/>
      <c r="U702" s="142"/>
      <c r="V702" s="142"/>
    </row>
    <row r="703">
      <c r="A703" s="320"/>
      <c r="B703" s="142"/>
      <c r="C703" s="320"/>
      <c r="D703" s="124"/>
      <c r="E703" s="320"/>
      <c r="F703" s="142"/>
      <c r="G703" s="320"/>
      <c r="H703" s="142"/>
      <c r="I703" s="329"/>
      <c r="J703" s="124"/>
      <c r="K703" s="329"/>
      <c r="L703" s="124"/>
      <c r="M703" s="329"/>
      <c r="N703" s="124"/>
      <c r="O703" s="320"/>
      <c r="P703" s="142"/>
      <c r="Q703" s="193"/>
      <c r="R703" s="28"/>
      <c r="S703" s="138"/>
      <c r="T703" s="142"/>
      <c r="U703" s="142"/>
      <c r="V703" s="142"/>
    </row>
    <row r="704">
      <c r="A704" s="320"/>
      <c r="B704" s="142"/>
      <c r="C704" s="320"/>
      <c r="D704" s="124"/>
      <c r="E704" s="320"/>
      <c r="F704" s="142"/>
      <c r="G704" s="320"/>
      <c r="H704" s="142"/>
      <c r="I704" s="329"/>
      <c r="J704" s="124"/>
      <c r="K704" s="329"/>
      <c r="L704" s="124"/>
      <c r="M704" s="329"/>
      <c r="N704" s="124"/>
      <c r="O704" s="320"/>
      <c r="P704" s="142"/>
      <c r="Q704" s="193"/>
      <c r="R704" s="28"/>
      <c r="S704" s="138"/>
      <c r="T704" s="142"/>
      <c r="U704" s="142"/>
      <c r="V704" s="142"/>
    </row>
    <row r="705">
      <c r="A705" s="320"/>
      <c r="B705" s="142"/>
      <c r="C705" s="320"/>
      <c r="D705" s="124"/>
      <c r="E705" s="320"/>
      <c r="F705" s="142"/>
      <c r="G705" s="320"/>
      <c r="H705" s="142"/>
      <c r="I705" s="329"/>
      <c r="J705" s="124"/>
      <c r="K705" s="329"/>
      <c r="L705" s="124"/>
      <c r="M705" s="329"/>
      <c r="N705" s="124"/>
      <c r="O705" s="320"/>
      <c r="P705" s="142"/>
      <c r="Q705" s="193"/>
      <c r="R705" s="28"/>
      <c r="S705" s="138"/>
      <c r="T705" s="142"/>
      <c r="U705" s="142"/>
      <c r="V705" s="142"/>
    </row>
    <row r="706">
      <c r="A706" s="320"/>
      <c r="B706" s="142"/>
      <c r="C706" s="320"/>
      <c r="D706" s="124"/>
      <c r="E706" s="320"/>
      <c r="F706" s="142"/>
      <c r="G706" s="320"/>
      <c r="H706" s="142"/>
      <c r="I706" s="329"/>
      <c r="J706" s="124"/>
      <c r="K706" s="329"/>
      <c r="L706" s="124"/>
      <c r="M706" s="329"/>
      <c r="N706" s="124"/>
      <c r="O706" s="320"/>
      <c r="P706" s="142"/>
      <c r="Q706" s="193"/>
      <c r="R706" s="28"/>
      <c r="S706" s="138"/>
      <c r="T706" s="142"/>
      <c r="U706" s="142"/>
      <c r="V706" s="142"/>
    </row>
    <row r="707">
      <c r="A707" s="320"/>
      <c r="B707" s="142"/>
      <c r="C707" s="320"/>
      <c r="D707" s="124"/>
      <c r="E707" s="320"/>
      <c r="F707" s="142"/>
      <c r="G707" s="320"/>
      <c r="H707" s="142"/>
      <c r="I707" s="329"/>
      <c r="J707" s="124"/>
      <c r="K707" s="329"/>
      <c r="L707" s="124"/>
      <c r="M707" s="329"/>
      <c r="N707" s="124"/>
      <c r="O707" s="320"/>
      <c r="P707" s="142"/>
      <c r="Q707" s="193"/>
      <c r="R707" s="28"/>
      <c r="S707" s="138"/>
      <c r="T707" s="142"/>
      <c r="U707" s="142"/>
      <c r="V707" s="142"/>
    </row>
    <row r="708">
      <c r="A708" s="320"/>
      <c r="B708" s="142"/>
      <c r="C708" s="320"/>
      <c r="D708" s="124"/>
      <c r="E708" s="320"/>
      <c r="F708" s="142"/>
      <c r="G708" s="320"/>
      <c r="H708" s="142"/>
      <c r="I708" s="329"/>
      <c r="J708" s="124"/>
      <c r="K708" s="329"/>
      <c r="L708" s="124"/>
      <c r="M708" s="329"/>
      <c r="N708" s="124"/>
      <c r="O708" s="320"/>
      <c r="P708" s="142"/>
      <c r="Q708" s="193"/>
      <c r="R708" s="28"/>
      <c r="S708" s="138"/>
      <c r="T708" s="142"/>
      <c r="U708" s="142"/>
      <c r="V708" s="142"/>
    </row>
    <row r="709">
      <c r="A709" s="320"/>
      <c r="B709" s="142"/>
      <c r="C709" s="320"/>
      <c r="D709" s="124"/>
      <c r="E709" s="320"/>
      <c r="F709" s="142"/>
      <c r="G709" s="320"/>
      <c r="H709" s="142"/>
      <c r="I709" s="329"/>
      <c r="J709" s="124"/>
      <c r="K709" s="329"/>
      <c r="L709" s="124"/>
      <c r="M709" s="329"/>
      <c r="N709" s="124"/>
      <c r="O709" s="320"/>
      <c r="P709" s="142"/>
      <c r="Q709" s="193"/>
      <c r="R709" s="28"/>
      <c r="S709" s="138"/>
      <c r="T709" s="142"/>
      <c r="U709" s="142"/>
      <c r="V709" s="142"/>
    </row>
    <row r="710">
      <c r="A710" s="320"/>
      <c r="B710" s="142"/>
      <c r="C710" s="320"/>
      <c r="D710" s="124"/>
      <c r="E710" s="320"/>
      <c r="F710" s="142"/>
      <c r="G710" s="320"/>
      <c r="H710" s="142"/>
      <c r="I710" s="329"/>
      <c r="J710" s="124"/>
      <c r="K710" s="329"/>
      <c r="L710" s="124"/>
      <c r="M710" s="329"/>
      <c r="N710" s="124"/>
      <c r="O710" s="320"/>
      <c r="P710" s="142"/>
      <c r="Q710" s="193"/>
      <c r="R710" s="28"/>
      <c r="S710" s="138"/>
      <c r="T710" s="142"/>
      <c r="U710" s="142"/>
      <c r="V710" s="142"/>
    </row>
    <row r="711">
      <c r="A711" s="320"/>
      <c r="B711" s="142"/>
      <c r="C711" s="320"/>
      <c r="D711" s="124"/>
      <c r="E711" s="320"/>
      <c r="F711" s="142"/>
      <c r="G711" s="320"/>
      <c r="H711" s="142"/>
      <c r="I711" s="329"/>
      <c r="J711" s="124"/>
      <c r="K711" s="329"/>
      <c r="L711" s="124"/>
      <c r="M711" s="329"/>
      <c r="N711" s="124"/>
      <c r="O711" s="320"/>
      <c r="P711" s="142"/>
      <c r="Q711" s="193"/>
      <c r="R711" s="28"/>
      <c r="S711" s="138"/>
      <c r="T711" s="142"/>
      <c r="U711" s="142"/>
      <c r="V711" s="142"/>
    </row>
    <row r="712">
      <c r="A712" s="320"/>
      <c r="B712" s="142"/>
      <c r="C712" s="320"/>
      <c r="D712" s="124"/>
      <c r="E712" s="320"/>
      <c r="F712" s="142"/>
      <c r="G712" s="320"/>
      <c r="H712" s="142"/>
      <c r="I712" s="329"/>
      <c r="J712" s="124"/>
      <c r="K712" s="329"/>
      <c r="L712" s="124"/>
      <c r="M712" s="329"/>
      <c r="N712" s="124"/>
      <c r="O712" s="320"/>
      <c r="P712" s="142"/>
      <c r="Q712" s="193"/>
      <c r="R712" s="28"/>
      <c r="S712" s="138"/>
      <c r="T712" s="142"/>
      <c r="U712" s="142"/>
      <c r="V712" s="142"/>
    </row>
    <row r="713">
      <c r="A713" s="320"/>
      <c r="B713" s="142"/>
      <c r="C713" s="320"/>
      <c r="D713" s="124"/>
      <c r="E713" s="320"/>
      <c r="F713" s="142"/>
      <c r="G713" s="320"/>
      <c r="H713" s="142"/>
      <c r="I713" s="329"/>
      <c r="J713" s="124"/>
      <c r="K713" s="329"/>
      <c r="L713" s="124"/>
      <c r="M713" s="329"/>
      <c r="N713" s="124"/>
      <c r="O713" s="320"/>
      <c r="P713" s="142"/>
      <c r="Q713" s="193"/>
      <c r="R713" s="28"/>
      <c r="S713" s="138"/>
      <c r="T713" s="142"/>
      <c r="U713" s="142"/>
      <c r="V713" s="142"/>
    </row>
    <row r="714">
      <c r="A714" s="320"/>
      <c r="B714" s="142"/>
      <c r="C714" s="320"/>
      <c r="D714" s="124"/>
      <c r="E714" s="320"/>
      <c r="F714" s="142"/>
      <c r="G714" s="320"/>
      <c r="H714" s="142"/>
      <c r="I714" s="329"/>
      <c r="J714" s="124"/>
      <c r="K714" s="329"/>
      <c r="L714" s="124"/>
      <c r="M714" s="329"/>
      <c r="N714" s="124"/>
      <c r="O714" s="320"/>
      <c r="P714" s="142"/>
      <c r="Q714" s="193"/>
      <c r="R714" s="28"/>
      <c r="S714" s="138"/>
      <c r="T714" s="142"/>
      <c r="U714" s="142"/>
      <c r="V714" s="142"/>
    </row>
    <row r="715">
      <c r="A715" s="320"/>
      <c r="B715" s="142"/>
      <c r="C715" s="320"/>
      <c r="D715" s="124"/>
      <c r="E715" s="320"/>
      <c r="F715" s="142"/>
      <c r="G715" s="320"/>
      <c r="H715" s="142"/>
      <c r="I715" s="329"/>
      <c r="J715" s="124"/>
      <c r="K715" s="329"/>
      <c r="L715" s="124"/>
      <c r="M715" s="329"/>
      <c r="N715" s="124"/>
      <c r="O715" s="320"/>
      <c r="P715" s="142"/>
      <c r="Q715" s="193"/>
      <c r="R715" s="28"/>
      <c r="S715" s="138"/>
      <c r="T715" s="142"/>
      <c r="U715" s="142"/>
      <c r="V715" s="142"/>
    </row>
    <row r="716">
      <c r="A716" s="320"/>
      <c r="B716" s="142"/>
      <c r="C716" s="320"/>
      <c r="D716" s="124"/>
      <c r="E716" s="320"/>
      <c r="F716" s="142"/>
      <c r="G716" s="320"/>
      <c r="H716" s="142"/>
      <c r="I716" s="329"/>
      <c r="J716" s="124"/>
      <c r="K716" s="329"/>
      <c r="L716" s="124"/>
      <c r="M716" s="329"/>
      <c r="N716" s="124"/>
      <c r="O716" s="320"/>
      <c r="P716" s="142"/>
      <c r="Q716" s="193"/>
      <c r="R716" s="28"/>
      <c r="S716" s="138"/>
      <c r="T716" s="142"/>
      <c r="U716" s="142"/>
      <c r="V716" s="142"/>
    </row>
    <row r="717">
      <c r="A717" s="320"/>
      <c r="B717" s="142"/>
      <c r="C717" s="320"/>
      <c r="D717" s="124"/>
      <c r="E717" s="320"/>
      <c r="F717" s="142"/>
      <c r="G717" s="320"/>
      <c r="H717" s="142"/>
      <c r="I717" s="329"/>
      <c r="J717" s="124"/>
      <c r="K717" s="329"/>
      <c r="L717" s="124"/>
      <c r="M717" s="329"/>
      <c r="N717" s="124"/>
      <c r="O717" s="320"/>
      <c r="P717" s="142"/>
      <c r="Q717" s="193"/>
      <c r="R717" s="28"/>
      <c r="S717" s="138"/>
      <c r="T717" s="142"/>
      <c r="U717" s="142"/>
      <c r="V717" s="142"/>
    </row>
    <row r="718">
      <c r="A718" s="320"/>
      <c r="B718" s="142"/>
      <c r="C718" s="320"/>
      <c r="D718" s="124"/>
      <c r="E718" s="320"/>
      <c r="F718" s="142"/>
      <c r="G718" s="320"/>
      <c r="H718" s="142"/>
      <c r="I718" s="329"/>
      <c r="J718" s="124"/>
      <c r="K718" s="329"/>
      <c r="L718" s="124"/>
      <c r="M718" s="329"/>
      <c r="N718" s="124"/>
      <c r="O718" s="320"/>
      <c r="P718" s="142"/>
      <c r="Q718" s="193"/>
      <c r="R718" s="28"/>
      <c r="S718" s="138"/>
      <c r="T718" s="142"/>
      <c r="U718" s="142"/>
      <c r="V718" s="142"/>
    </row>
    <row r="719">
      <c r="A719" s="320"/>
      <c r="B719" s="142"/>
      <c r="C719" s="320"/>
      <c r="D719" s="124"/>
      <c r="E719" s="320"/>
      <c r="F719" s="142"/>
      <c r="G719" s="320"/>
      <c r="H719" s="142"/>
      <c r="I719" s="329"/>
      <c r="J719" s="124"/>
      <c r="K719" s="329"/>
      <c r="L719" s="124"/>
      <c r="M719" s="329"/>
      <c r="N719" s="124"/>
      <c r="O719" s="320"/>
      <c r="P719" s="142"/>
      <c r="Q719" s="193"/>
      <c r="R719" s="28"/>
      <c r="S719" s="138"/>
      <c r="T719" s="142"/>
      <c r="U719" s="142"/>
      <c r="V719" s="142"/>
    </row>
    <row r="720">
      <c r="A720" s="320"/>
      <c r="B720" s="142"/>
      <c r="C720" s="320"/>
      <c r="D720" s="124"/>
      <c r="E720" s="320"/>
      <c r="F720" s="142"/>
      <c r="G720" s="320"/>
      <c r="H720" s="142"/>
      <c r="I720" s="329"/>
      <c r="J720" s="124"/>
      <c r="K720" s="329"/>
      <c r="L720" s="124"/>
      <c r="M720" s="329"/>
      <c r="N720" s="124"/>
      <c r="O720" s="320"/>
      <c r="P720" s="142"/>
      <c r="Q720" s="193"/>
      <c r="R720" s="28"/>
      <c r="S720" s="138"/>
      <c r="T720" s="142"/>
      <c r="U720" s="142"/>
      <c r="V720" s="142"/>
    </row>
    <row r="721">
      <c r="A721" s="320"/>
      <c r="B721" s="142"/>
      <c r="C721" s="320"/>
      <c r="D721" s="124"/>
      <c r="E721" s="320"/>
      <c r="F721" s="142"/>
      <c r="G721" s="320"/>
      <c r="H721" s="142"/>
      <c r="I721" s="329"/>
      <c r="J721" s="124"/>
      <c r="K721" s="329"/>
      <c r="L721" s="124"/>
      <c r="M721" s="329"/>
      <c r="N721" s="124"/>
      <c r="O721" s="320"/>
      <c r="P721" s="142"/>
      <c r="Q721" s="193"/>
      <c r="R721" s="28"/>
      <c r="S721" s="138"/>
      <c r="T721" s="142"/>
      <c r="U721" s="142"/>
      <c r="V721" s="142"/>
    </row>
    <row r="722">
      <c r="A722" s="320"/>
      <c r="B722" s="142"/>
      <c r="C722" s="320"/>
      <c r="D722" s="124"/>
      <c r="E722" s="320"/>
      <c r="F722" s="142"/>
      <c r="G722" s="320"/>
      <c r="H722" s="142"/>
      <c r="I722" s="329"/>
      <c r="J722" s="124"/>
      <c r="K722" s="329"/>
      <c r="L722" s="124"/>
      <c r="M722" s="329"/>
      <c r="N722" s="124"/>
      <c r="O722" s="320"/>
      <c r="P722" s="142"/>
      <c r="Q722" s="193"/>
      <c r="R722" s="28"/>
      <c r="S722" s="138"/>
      <c r="T722" s="142"/>
      <c r="U722" s="142"/>
      <c r="V722" s="142"/>
    </row>
    <row r="723">
      <c r="A723" s="320"/>
      <c r="B723" s="142"/>
      <c r="C723" s="320"/>
      <c r="D723" s="124"/>
      <c r="E723" s="320"/>
      <c r="F723" s="142"/>
      <c r="G723" s="320"/>
      <c r="H723" s="142"/>
      <c r="I723" s="329"/>
      <c r="J723" s="124"/>
      <c r="K723" s="329"/>
      <c r="L723" s="124"/>
      <c r="M723" s="329"/>
      <c r="N723" s="124"/>
      <c r="O723" s="320"/>
      <c r="P723" s="142"/>
      <c r="Q723" s="193"/>
      <c r="R723" s="28"/>
      <c r="S723" s="138"/>
      <c r="T723" s="142"/>
      <c r="U723" s="142"/>
      <c r="V723" s="142"/>
    </row>
    <row r="724">
      <c r="A724" s="320"/>
      <c r="B724" s="142"/>
      <c r="C724" s="320"/>
      <c r="D724" s="124"/>
      <c r="E724" s="320"/>
      <c r="F724" s="142"/>
      <c r="G724" s="320"/>
      <c r="H724" s="142"/>
      <c r="I724" s="329"/>
      <c r="J724" s="124"/>
      <c r="K724" s="329"/>
      <c r="L724" s="124"/>
      <c r="M724" s="329"/>
      <c r="N724" s="124"/>
      <c r="O724" s="320"/>
      <c r="P724" s="142"/>
      <c r="Q724" s="193"/>
      <c r="R724" s="28"/>
      <c r="S724" s="138"/>
      <c r="T724" s="142"/>
      <c r="U724" s="142"/>
      <c r="V724" s="142"/>
    </row>
    <row r="725">
      <c r="A725" s="320"/>
      <c r="B725" s="142"/>
      <c r="C725" s="320"/>
      <c r="D725" s="124"/>
      <c r="E725" s="320"/>
      <c r="F725" s="142"/>
      <c r="G725" s="320"/>
      <c r="H725" s="142"/>
      <c r="I725" s="329"/>
      <c r="J725" s="124"/>
      <c r="K725" s="329"/>
      <c r="L725" s="124"/>
      <c r="M725" s="329"/>
      <c r="N725" s="124"/>
      <c r="O725" s="320"/>
      <c r="P725" s="142"/>
      <c r="Q725" s="193"/>
      <c r="R725" s="28"/>
      <c r="S725" s="138"/>
      <c r="T725" s="142"/>
      <c r="U725" s="142"/>
      <c r="V725" s="142"/>
    </row>
    <row r="726">
      <c r="A726" s="320"/>
      <c r="B726" s="142"/>
      <c r="C726" s="320"/>
      <c r="D726" s="124"/>
      <c r="E726" s="320"/>
      <c r="F726" s="142"/>
      <c r="G726" s="320"/>
      <c r="H726" s="142"/>
      <c r="I726" s="329"/>
      <c r="J726" s="124"/>
      <c r="K726" s="329"/>
      <c r="L726" s="124"/>
      <c r="M726" s="329"/>
      <c r="N726" s="124"/>
      <c r="O726" s="320"/>
      <c r="P726" s="142"/>
      <c r="Q726" s="193"/>
      <c r="R726" s="28"/>
      <c r="S726" s="138"/>
      <c r="T726" s="142"/>
      <c r="U726" s="142"/>
      <c r="V726" s="142"/>
    </row>
    <row r="727">
      <c r="A727" s="320"/>
      <c r="B727" s="142"/>
      <c r="C727" s="320"/>
      <c r="D727" s="124"/>
      <c r="E727" s="320"/>
      <c r="F727" s="142"/>
      <c r="G727" s="320"/>
      <c r="H727" s="142"/>
      <c r="I727" s="329"/>
      <c r="J727" s="124"/>
      <c r="K727" s="329"/>
      <c r="L727" s="124"/>
      <c r="M727" s="329"/>
      <c r="N727" s="124"/>
      <c r="O727" s="320"/>
      <c r="P727" s="142"/>
      <c r="Q727" s="193"/>
      <c r="R727" s="28"/>
      <c r="S727" s="138"/>
      <c r="T727" s="142"/>
      <c r="U727" s="142"/>
      <c r="V727" s="142"/>
    </row>
    <row r="728">
      <c r="A728" s="320"/>
      <c r="B728" s="142"/>
      <c r="C728" s="320"/>
      <c r="D728" s="124"/>
      <c r="E728" s="320"/>
      <c r="F728" s="142"/>
      <c r="G728" s="320"/>
      <c r="H728" s="142"/>
      <c r="I728" s="329"/>
      <c r="J728" s="124"/>
      <c r="K728" s="329"/>
      <c r="L728" s="124"/>
      <c r="M728" s="329"/>
      <c r="N728" s="124"/>
      <c r="O728" s="320"/>
      <c r="P728" s="142"/>
      <c r="Q728" s="193"/>
      <c r="R728" s="28"/>
      <c r="S728" s="138"/>
      <c r="T728" s="142"/>
      <c r="U728" s="142"/>
      <c r="V728" s="142"/>
    </row>
    <row r="729">
      <c r="A729" s="320"/>
      <c r="B729" s="142"/>
      <c r="C729" s="320"/>
      <c r="D729" s="124"/>
      <c r="E729" s="320"/>
      <c r="F729" s="142"/>
      <c r="G729" s="320"/>
      <c r="H729" s="142"/>
      <c r="I729" s="329"/>
      <c r="J729" s="124"/>
      <c r="K729" s="329"/>
      <c r="L729" s="124"/>
      <c r="M729" s="329"/>
      <c r="N729" s="124"/>
      <c r="O729" s="320"/>
      <c r="P729" s="142"/>
      <c r="Q729" s="193"/>
      <c r="R729" s="28"/>
      <c r="S729" s="138"/>
      <c r="T729" s="142"/>
      <c r="U729" s="142"/>
      <c r="V729" s="142"/>
    </row>
    <row r="730">
      <c r="A730" s="320"/>
      <c r="B730" s="142"/>
      <c r="C730" s="320"/>
      <c r="D730" s="124"/>
      <c r="E730" s="320"/>
      <c r="F730" s="142"/>
      <c r="G730" s="320"/>
      <c r="H730" s="142"/>
      <c r="I730" s="329"/>
      <c r="J730" s="124"/>
      <c r="K730" s="329"/>
      <c r="L730" s="124"/>
      <c r="M730" s="329"/>
      <c r="N730" s="124"/>
      <c r="O730" s="320"/>
      <c r="P730" s="142"/>
      <c r="Q730" s="193"/>
      <c r="R730" s="28"/>
      <c r="S730" s="138"/>
      <c r="T730" s="142"/>
      <c r="U730" s="142"/>
      <c r="V730" s="142"/>
    </row>
    <row r="731">
      <c r="A731" s="320"/>
      <c r="B731" s="142"/>
      <c r="C731" s="320"/>
      <c r="D731" s="124"/>
      <c r="E731" s="320"/>
      <c r="F731" s="142"/>
      <c r="G731" s="320"/>
      <c r="H731" s="142"/>
      <c r="I731" s="329"/>
      <c r="J731" s="124"/>
      <c r="K731" s="329"/>
      <c r="L731" s="124"/>
      <c r="M731" s="329"/>
      <c r="N731" s="124"/>
      <c r="O731" s="320"/>
      <c r="P731" s="142"/>
      <c r="Q731" s="193"/>
      <c r="R731" s="28"/>
      <c r="S731" s="138"/>
      <c r="T731" s="142"/>
      <c r="U731" s="142"/>
      <c r="V731" s="142"/>
    </row>
    <row r="732">
      <c r="A732" s="320"/>
      <c r="B732" s="142"/>
      <c r="C732" s="320"/>
      <c r="D732" s="124"/>
      <c r="E732" s="320"/>
      <c r="F732" s="142"/>
      <c r="G732" s="320"/>
      <c r="H732" s="142"/>
      <c r="I732" s="329"/>
      <c r="J732" s="124"/>
      <c r="K732" s="329"/>
      <c r="L732" s="124"/>
      <c r="M732" s="329"/>
      <c r="N732" s="124"/>
      <c r="O732" s="320"/>
      <c r="P732" s="142"/>
      <c r="Q732" s="193"/>
      <c r="R732" s="28"/>
      <c r="S732" s="138"/>
      <c r="T732" s="142"/>
      <c r="U732" s="142"/>
      <c r="V732" s="142"/>
    </row>
    <row r="733">
      <c r="A733" s="320"/>
      <c r="B733" s="142"/>
      <c r="C733" s="320"/>
      <c r="D733" s="124"/>
      <c r="E733" s="320"/>
      <c r="F733" s="142"/>
      <c r="G733" s="320"/>
      <c r="H733" s="142"/>
      <c r="I733" s="329"/>
      <c r="J733" s="124"/>
      <c r="K733" s="329"/>
      <c r="L733" s="124"/>
      <c r="M733" s="329"/>
      <c r="N733" s="124"/>
      <c r="O733" s="320"/>
      <c r="P733" s="142"/>
      <c r="Q733" s="193"/>
      <c r="R733" s="28"/>
      <c r="S733" s="138"/>
      <c r="T733" s="142"/>
      <c r="U733" s="142"/>
      <c r="V733" s="142"/>
    </row>
    <row r="734">
      <c r="A734" s="320"/>
      <c r="B734" s="142"/>
      <c r="C734" s="320"/>
      <c r="D734" s="124"/>
      <c r="E734" s="320"/>
      <c r="F734" s="142"/>
      <c r="G734" s="320"/>
      <c r="H734" s="142"/>
      <c r="I734" s="329"/>
      <c r="J734" s="124"/>
      <c r="K734" s="329"/>
      <c r="L734" s="124"/>
      <c r="M734" s="329"/>
      <c r="N734" s="124"/>
      <c r="O734" s="320"/>
      <c r="P734" s="142"/>
      <c r="Q734" s="193"/>
      <c r="R734" s="28"/>
      <c r="S734" s="138"/>
      <c r="T734" s="142"/>
      <c r="U734" s="142"/>
      <c r="V734" s="142"/>
    </row>
    <row r="735">
      <c r="A735" s="320"/>
      <c r="B735" s="142"/>
      <c r="C735" s="320"/>
      <c r="D735" s="124"/>
      <c r="E735" s="320"/>
      <c r="F735" s="142"/>
      <c r="G735" s="320"/>
      <c r="H735" s="142"/>
      <c r="I735" s="329"/>
      <c r="J735" s="124"/>
      <c r="K735" s="329"/>
      <c r="L735" s="124"/>
      <c r="M735" s="329"/>
      <c r="N735" s="124"/>
      <c r="O735" s="320"/>
      <c r="P735" s="142"/>
      <c r="Q735" s="193"/>
      <c r="R735" s="28"/>
      <c r="S735" s="138"/>
      <c r="T735" s="142"/>
      <c r="U735" s="142"/>
      <c r="V735" s="142"/>
    </row>
    <row r="736">
      <c r="A736" s="320"/>
      <c r="B736" s="142"/>
      <c r="C736" s="320"/>
      <c r="D736" s="124"/>
      <c r="E736" s="320"/>
      <c r="F736" s="142"/>
      <c r="G736" s="320"/>
      <c r="H736" s="142"/>
      <c r="I736" s="329"/>
      <c r="J736" s="124"/>
      <c r="K736" s="329"/>
      <c r="L736" s="124"/>
      <c r="M736" s="329"/>
      <c r="N736" s="124"/>
      <c r="O736" s="320"/>
      <c r="P736" s="142"/>
      <c r="Q736" s="193"/>
      <c r="R736" s="28"/>
      <c r="S736" s="138"/>
      <c r="T736" s="142"/>
      <c r="U736" s="142"/>
      <c r="V736" s="142"/>
    </row>
    <row r="737">
      <c r="A737" s="320"/>
      <c r="B737" s="142"/>
      <c r="C737" s="320"/>
      <c r="D737" s="124"/>
      <c r="E737" s="320"/>
      <c r="F737" s="142"/>
      <c r="G737" s="320"/>
      <c r="H737" s="142"/>
      <c r="I737" s="329"/>
      <c r="J737" s="124"/>
      <c r="K737" s="329"/>
      <c r="L737" s="124"/>
      <c r="M737" s="329"/>
      <c r="N737" s="124"/>
      <c r="O737" s="320"/>
      <c r="P737" s="142"/>
      <c r="Q737" s="193"/>
      <c r="R737" s="28"/>
      <c r="S737" s="138"/>
      <c r="T737" s="142"/>
      <c r="U737" s="142"/>
      <c r="V737" s="142"/>
    </row>
    <row r="738">
      <c r="A738" s="320"/>
      <c r="B738" s="142"/>
      <c r="C738" s="320"/>
      <c r="D738" s="124"/>
      <c r="E738" s="320"/>
      <c r="F738" s="142"/>
      <c r="G738" s="320"/>
      <c r="H738" s="142"/>
      <c r="I738" s="329"/>
      <c r="J738" s="124"/>
      <c r="K738" s="329"/>
      <c r="L738" s="124"/>
      <c r="M738" s="329"/>
      <c r="N738" s="124"/>
      <c r="O738" s="320"/>
      <c r="P738" s="142"/>
      <c r="Q738" s="193"/>
      <c r="R738" s="28"/>
      <c r="S738" s="138"/>
      <c r="T738" s="142"/>
      <c r="U738" s="142"/>
      <c r="V738" s="142"/>
    </row>
    <row r="739">
      <c r="A739" s="320"/>
      <c r="B739" s="142"/>
      <c r="C739" s="320"/>
      <c r="D739" s="124"/>
      <c r="E739" s="320"/>
      <c r="F739" s="142"/>
      <c r="G739" s="320"/>
      <c r="H739" s="142"/>
      <c r="I739" s="329"/>
      <c r="J739" s="124"/>
      <c r="K739" s="329"/>
      <c r="L739" s="124"/>
      <c r="M739" s="329"/>
      <c r="N739" s="124"/>
      <c r="O739" s="320"/>
      <c r="P739" s="142"/>
      <c r="Q739" s="193"/>
      <c r="R739" s="28"/>
      <c r="S739" s="138"/>
      <c r="T739" s="142"/>
      <c r="U739" s="142"/>
      <c r="V739" s="142"/>
    </row>
    <row r="740">
      <c r="A740" s="320"/>
      <c r="B740" s="142"/>
      <c r="C740" s="320"/>
      <c r="D740" s="124"/>
      <c r="E740" s="320"/>
      <c r="F740" s="142"/>
      <c r="G740" s="320"/>
      <c r="H740" s="142"/>
      <c r="I740" s="329"/>
      <c r="J740" s="124"/>
      <c r="K740" s="329"/>
      <c r="L740" s="124"/>
      <c r="M740" s="329"/>
      <c r="N740" s="124"/>
      <c r="O740" s="320"/>
      <c r="P740" s="142"/>
      <c r="Q740" s="193"/>
      <c r="R740" s="28"/>
      <c r="S740" s="138"/>
      <c r="T740" s="142"/>
      <c r="U740" s="142"/>
      <c r="V740" s="142"/>
    </row>
    <row r="741">
      <c r="A741" s="320"/>
      <c r="B741" s="142"/>
      <c r="C741" s="320"/>
      <c r="D741" s="124"/>
      <c r="E741" s="320"/>
      <c r="F741" s="142"/>
      <c r="G741" s="320"/>
      <c r="H741" s="142"/>
      <c r="I741" s="329"/>
      <c r="J741" s="124"/>
      <c r="K741" s="329"/>
      <c r="L741" s="124"/>
      <c r="M741" s="329"/>
      <c r="N741" s="124"/>
      <c r="O741" s="320"/>
      <c r="P741" s="142"/>
      <c r="Q741" s="193"/>
      <c r="R741" s="28"/>
      <c r="S741" s="138"/>
      <c r="T741" s="142"/>
      <c r="U741" s="142"/>
      <c r="V741" s="142"/>
    </row>
    <row r="742">
      <c r="A742" s="320"/>
      <c r="B742" s="142"/>
      <c r="C742" s="320"/>
      <c r="D742" s="124"/>
      <c r="E742" s="320"/>
      <c r="F742" s="142"/>
      <c r="G742" s="320"/>
      <c r="H742" s="142"/>
      <c r="I742" s="329"/>
      <c r="J742" s="124"/>
      <c r="K742" s="329"/>
      <c r="L742" s="124"/>
      <c r="M742" s="329"/>
      <c r="N742" s="124"/>
      <c r="O742" s="320"/>
      <c r="P742" s="142"/>
      <c r="Q742" s="193"/>
      <c r="R742" s="28"/>
      <c r="S742" s="138"/>
      <c r="T742" s="142"/>
      <c r="U742" s="142"/>
      <c r="V742" s="142"/>
    </row>
    <row r="743">
      <c r="A743" s="320"/>
      <c r="B743" s="142"/>
      <c r="C743" s="320"/>
      <c r="D743" s="124"/>
      <c r="E743" s="320"/>
      <c r="F743" s="142"/>
      <c r="G743" s="320"/>
      <c r="H743" s="142"/>
      <c r="I743" s="329"/>
      <c r="J743" s="124"/>
      <c r="K743" s="329"/>
      <c r="L743" s="124"/>
      <c r="M743" s="329"/>
      <c r="N743" s="124"/>
      <c r="O743" s="320"/>
      <c r="P743" s="142"/>
      <c r="Q743" s="193"/>
      <c r="R743" s="28"/>
      <c r="S743" s="138"/>
      <c r="T743" s="142"/>
      <c r="U743" s="142"/>
      <c r="V743" s="142"/>
    </row>
    <row r="744">
      <c r="A744" s="320"/>
      <c r="B744" s="142"/>
      <c r="C744" s="320"/>
      <c r="D744" s="124"/>
      <c r="E744" s="320"/>
      <c r="F744" s="142"/>
      <c r="G744" s="320"/>
      <c r="H744" s="142"/>
      <c r="I744" s="329"/>
      <c r="J744" s="124"/>
      <c r="K744" s="329"/>
      <c r="L744" s="124"/>
      <c r="M744" s="329"/>
      <c r="N744" s="124"/>
      <c r="O744" s="320"/>
      <c r="P744" s="142"/>
      <c r="Q744" s="193"/>
      <c r="R744" s="28"/>
      <c r="S744" s="138"/>
      <c r="T744" s="142"/>
      <c r="U744" s="142"/>
      <c r="V744" s="142"/>
    </row>
    <row r="745">
      <c r="A745" s="320"/>
      <c r="B745" s="142"/>
      <c r="C745" s="320"/>
      <c r="D745" s="124"/>
      <c r="E745" s="320"/>
      <c r="F745" s="142"/>
      <c r="G745" s="320"/>
      <c r="H745" s="142"/>
      <c r="I745" s="329"/>
      <c r="J745" s="124"/>
      <c r="K745" s="329"/>
      <c r="L745" s="124"/>
      <c r="M745" s="329"/>
      <c r="N745" s="124"/>
      <c r="O745" s="320"/>
      <c r="P745" s="142"/>
      <c r="Q745" s="193"/>
      <c r="R745" s="28"/>
      <c r="S745" s="138"/>
      <c r="T745" s="142"/>
      <c r="U745" s="142"/>
      <c r="V745" s="142"/>
    </row>
    <row r="746">
      <c r="A746" s="320"/>
      <c r="B746" s="142"/>
      <c r="C746" s="320"/>
      <c r="D746" s="124"/>
      <c r="E746" s="320"/>
      <c r="F746" s="142"/>
      <c r="G746" s="320"/>
      <c r="H746" s="142"/>
      <c r="I746" s="329"/>
      <c r="J746" s="124"/>
      <c r="K746" s="329"/>
      <c r="L746" s="124"/>
      <c r="M746" s="329"/>
      <c r="N746" s="124"/>
      <c r="O746" s="320"/>
      <c r="P746" s="142"/>
      <c r="Q746" s="193"/>
      <c r="R746" s="28"/>
      <c r="S746" s="138"/>
      <c r="T746" s="142"/>
      <c r="U746" s="142"/>
      <c r="V746" s="142"/>
    </row>
    <row r="747">
      <c r="A747" s="320"/>
      <c r="B747" s="142"/>
      <c r="C747" s="320"/>
      <c r="D747" s="124"/>
      <c r="E747" s="320"/>
      <c r="F747" s="142"/>
      <c r="G747" s="320"/>
      <c r="H747" s="142"/>
      <c r="I747" s="329"/>
      <c r="J747" s="124"/>
      <c r="K747" s="329"/>
      <c r="L747" s="124"/>
      <c r="M747" s="329"/>
      <c r="N747" s="124"/>
      <c r="O747" s="320"/>
      <c r="P747" s="142"/>
      <c r="Q747" s="193"/>
      <c r="R747" s="28"/>
      <c r="S747" s="138"/>
      <c r="T747" s="142"/>
      <c r="U747" s="142"/>
      <c r="V747" s="142"/>
    </row>
    <row r="748">
      <c r="A748" s="320"/>
      <c r="B748" s="142"/>
      <c r="C748" s="320"/>
      <c r="D748" s="124"/>
      <c r="E748" s="320"/>
      <c r="F748" s="142"/>
      <c r="G748" s="320"/>
      <c r="H748" s="142"/>
      <c r="I748" s="329"/>
      <c r="J748" s="124"/>
      <c r="K748" s="329"/>
      <c r="L748" s="124"/>
      <c r="M748" s="329"/>
      <c r="N748" s="124"/>
      <c r="O748" s="320"/>
      <c r="P748" s="142"/>
      <c r="Q748" s="193"/>
      <c r="R748" s="28"/>
      <c r="S748" s="138"/>
      <c r="T748" s="142"/>
      <c r="U748" s="142"/>
      <c r="V748" s="142"/>
    </row>
    <row r="749">
      <c r="A749" s="320"/>
      <c r="B749" s="142"/>
      <c r="C749" s="320"/>
      <c r="D749" s="124"/>
      <c r="E749" s="320"/>
      <c r="F749" s="142"/>
      <c r="G749" s="320"/>
      <c r="H749" s="142"/>
      <c r="I749" s="329"/>
      <c r="J749" s="124"/>
      <c r="K749" s="329"/>
      <c r="L749" s="124"/>
      <c r="M749" s="329"/>
      <c r="N749" s="124"/>
      <c r="O749" s="320"/>
      <c r="P749" s="142"/>
      <c r="Q749" s="193"/>
      <c r="R749" s="28"/>
      <c r="S749" s="138"/>
      <c r="T749" s="142"/>
      <c r="U749" s="142"/>
      <c r="V749" s="142"/>
    </row>
    <row r="750">
      <c r="A750" s="320"/>
      <c r="B750" s="142"/>
      <c r="C750" s="320"/>
      <c r="D750" s="124"/>
      <c r="E750" s="320"/>
      <c r="F750" s="142"/>
      <c r="G750" s="320"/>
      <c r="H750" s="142"/>
      <c r="I750" s="329"/>
      <c r="J750" s="124"/>
      <c r="K750" s="329"/>
      <c r="L750" s="124"/>
      <c r="M750" s="329"/>
      <c r="N750" s="124"/>
      <c r="O750" s="320"/>
      <c r="P750" s="142"/>
      <c r="Q750" s="193"/>
      <c r="R750" s="28"/>
      <c r="S750" s="138"/>
      <c r="T750" s="142"/>
      <c r="U750" s="142"/>
      <c r="V750" s="142"/>
    </row>
    <row r="751">
      <c r="A751" s="320"/>
      <c r="B751" s="142"/>
      <c r="C751" s="320"/>
      <c r="D751" s="124"/>
      <c r="E751" s="320"/>
      <c r="F751" s="142"/>
      <c r="G751" s="320"/>
      <c r="H751" s="142"/>
      <c r="I751" s="329"/>
      <c r="J751" s="124"/>
      <c r="K751" s="329"/>
      <c r="L751" s="124"/>
      <c r="M751" s="329"/>
      <c r="N751" s="124"/>
      <c r="O751" s="320"/>
      <c r="P751" s="142"/>
      <c r="Q751" s="193"/>
      <c r="R751" s="28"/>
      <c r="S751" s="138"/>
      <c r="T751" s="142"/>
      <c r="U751" s="142"/>
      <c r="V751" s="142"/>
    </row>
    <row r="752">
      <c r="A752" s="320"/>
      <c r="B752" s="142"/>
      <c r="C752" s="320"/>
      <c r="D752" s="124"/>
      <c r="E752" s="320"/>
      <c r="F752" s="142"/>
      <c r="G752" s="320"/>
      <c r="H752" s="142"/>
      <c r="I752" s="329"/>
      <c r="J752" s="124"/>
      <c r="K752" s="329"/>
      <c r="L752" s="124"/>
      <c r="M752" s="329"/>
      <c r="N752" s="124"/>
      <c r="O752" s="320"/>
      <c r="P752" s="142"/>
      <c r="Q752" s="193"/>
      <c r="R752" s="28"/>
      <c r="S752" s="138"/>
      <c r="T752" s="142"/>
      <c r="U752" s="142"/>
      <c r="V752" s="142"/>
    </row>
    <row r="753">
      <c r="A753" s="320"/>
      <c r="B753" s="142"/>
      <c r="C753" s="320"/>
      <c r="D753" s="124"/>
      <c r="E753" s="320"/>
      <c r="F753" s="142"/>
      <c r="G753" s="320"/>
      <c r="H753" s="142"/>
      <c r="I753" s="329"/>
      <c r="J753" s="124"/>
      <c r="K753" s="329"/>
      <c r="L753" s="124"/>
      <c r="M753" s="329"/>
      <c r="N753" s="124"/>
      <c r="O753" s="320"/>
      <c r="P753" s="142"/>
      <c r="Q753" s="193"/>
      <c r="R753" s="28"/>
      <c r="S753" s="138"/>
      <c r="T753" s="142"/>
      <c r="U753" s="142"/>
      <c r="V753" s="142"/>
    </row>
    <row r="754">
      <c r="A754" s="320"/>
      <c r="B754" s="142"/>
      <c r="C754" s="320"/>
      <c r="D754" s="124"/>
      <c r="E754" s="320"/>
      <c r="F754" s="142"/>
      <c r="G754" s="320"/>
      <c r="H754" s="142"/>
      <c r="I754" s="329"/>
      <c r="J754" s="124"/>
      <c r="K754" s="329"/>
      <c r="L754" s="124"/>
      <c r="M754" s="329"/>
      <c r="N754" s="124"/>
      <c r="O754" s="320"/>
      <c r="P754" s="142"/>
      <c r="Q754" s="193"/>
      <c r="R754" s="28"/>
      <c r="S754" s="138"/>
      <c r="T754" s="142"/>
      <c r="U754" s="142"/>
      <c r="V754" s="142"/>
    </row>
    <row r="755">
      <c r="A755" s="320"/>
      <c r="B755" s="142"/>
      <c r="C755" s="320"/>
      <c r="D755" s="124"/>
      <c r="E755" s="320"/>
      <c r="F755" s="142"/>
      <c r="G755" s="320"/>
      <c r="H755" s="142"/>
      <c r="I755" s="329"/>
      <c r="J755" s="124"/>
      <c r="K755" s="329"/>
      <c r="L755" s="124"/>
      <c r="M755" s="329"/>
      <c r="N755" s="124"/>
      <c r="O755" s="320"/>
      <c r="P755" s="142"/>
      <c r="Q755" s="193"/>
      <c r="R755" s="28"/>
      <c r="S755" s="138"/>
      <c r="T755" s="142"/>
      <c r="U755" s="142"/>
      <c r="V755" s="142"/>
    </row>
    <row r="756">
      <c r="A756" s="320"/>
      <c r="B756" s="142"/>
      <c r="C756" s="320"/>
      <c r="D756" s="124"/>
      <c r="E756" s="320"/>
      <c r="F756" s="142"/>
      <c r="G756" s="320"/>
      <c r="H756" s="142"/>
      <c r="I756" s="329"/>
      <c r="J756" s="124"/>
      <c r="K756" s="329"/>
      <c r="L756" s="124"/>
      <c r="M756" s="329"/>
      <c r="N756" s="124"/>
      <c r="O756" s="320"/>
      <c r="P756" s="142"/>
      <c r="Q756" s="193"/>
      <c r="R756" s="28"/>
      <c r="S756" s="138"/>
      <c r="T756" s="142"/>
      <c r="U756" s="142"/>
      <c r="V756" s="142"/>
    </row>
    <row r="757">
      <c r="A757" s="320"/>
      <c r="B757" s="142"/>
      <c r="C757" s="320"/>
      <c r="D757" s="124"/>
      <c r="E757" s="320"/>
      <c r="F757" s="142"/>
      <c r="G757" s="320"/>
      <c r="H757" s="142"/>
      <c r="I757" s="329"/>
      <c r="J757" s="124"/>
      <c r="K757" s="329"/>
      <c r="L757" s="124"/>
      <c r="M757" s="329"/>
      <c r="N757" s="124"/>
      <c r="O757" s="320"/>
      <c r="P757" s="142"/>
      <c r="Q757" s="193"/>
      <c r="R757" s="28"/>
      <c r="S757" s="138"/>
      <c r="T757" s="142"/>
      <c r="U757" s="142"/>
      <c r="V757" s="142"/>
    </row>
    <row r="758">
      <c r="A758" s="320"/>
      <c r="B758" s="142"/>
      <c r="C758" s="320"/>
      <c r="D758" s="124"/>
      <c r="E758" s="320"/>
      <c r="F758" s="142"/>
      <c r="G758" s="320"/>
      <c r="H758" s="142"/>
      <c r="I758" s="329"/>
      <c r="J758" s="124"/>
      <c r="K758" s="329"/>
      <c r="L758" s="124"/>
      <c r="M758" s="329"/>
      <c r="N758" s="124"/>
      <c r="O758" s="320"/>
      <c r="P758" s="142"/>
      <c r="Q758" s="193"/>
      <c r="R758" s="28"/>
      <c r="S758" s="138"/>
      <c r="T758" s="142"/>
      <c r="U758" s="142"/>
      <c r="V758" s="142"/>
    </row>
    <row r="759">
      <c r="A759" s="320"/>
      <c r="B759" s="142"/>
      <c r="C759" s="320"/>
      <c r="D759" s="124"/>
      <c r="E759" s="320"/>
      <c r="F759" s="142"/>
      <c r="G759" s="320"/>
      <c r="H759" s="142"/>
      <c r="I759" s="329"/>
      <c r="J759" s="124"/>
      <c r="K759" s="329"/>
      <c r="L759" s="124"/>
      <c r="M759" s="329"/>
      <c r="N759" s="124"/>
      <c r="O759" s="320"/>
      <c r="P759" s="142"/>
      <c r="Q759" s="193"/>
      <c r="R759" s="28"/>
      <c r="S759" s="138"/>
      <c r="T759" s="142"/>
      <c r="U759" s="142"/>
      <c r="V759" s="142"/>
    </row>
    <row r="760">
      <c r="A760" s="320"/>
      <c r="B760" s="142"/>
      <c r="C760" s="320"/>
      <c r="D760" s="124"/>
      <c r="E760" s="320"/>
      <c r="F760" s="142"/>
      <c r="G760" s="320"/>
      <c r="H760" s="142"/>
      <c r="I760" s="329"/>
      <c r="J760" s="124"/>
      <c r="K760" s="329"/>
      <c r="L760" s="124"/>
      <c r="M760" s="329"/>
      <c r="N760" s="124"/>
      <c r="O760" s="320"/>
      <c r="P760" s="142"/>
      <c r="Q760" s="193"/>
      <c r="R760" s="28"/>
      <c r="S760" s="138"/>
      <c r="T760" s="142"/>
      <c r="U760" s="142"/>
      <c r="V760" s="142"/>
    </row>
    <row r="761">
      <c r="A761" s="320"/>
      <c r="B761" s="142"/>
      <c r="C761" s="320"/>
      <c r="D761" s="124"/>
      <c r="E761" s="320"/>
      <c r="F761" s="142"/>
      <c r="G761" s="320"/>
      <c r="H761" s="142"/>
      <c r="I761" s="329"/>
      <c r="J761" s="124"/>
      <c r="K761" s="329"/>
      <c r="L761" s="124"/>
      <c r="M761" s="329"/>
      <c r="N761" s="124"/>
      <c r="O761" s="320"/>
      <c r="P761" s="142"/>
      <c r="Q761" s="193"/>
      <c r="R761" s="28"/>
      <c r="S761" s="138"/>
      <c r="T761" s="142"/>
      <c r="U761" s="142"/>
      <c r="V761" s="142"/>
    </row>
    <row r="762">
      <c r="A762" s="320"/>
      <c r="B762" s="142"/>
      <c r="C762" s="320"/>
      <c r="D762" s="124"/>
      <c r="E762" s="320"/>
      <c r="F762" s="142"/>
      <c r="G762" s="320"/>
      <c r="H762" s="142"/>
      <c r="I762" s="329"/>
      <c r="J762" s="124"/>
      <c r="K762" s="329"/>
      <c r="L762" s="124"/>
      <c r="M762" s="329"/>
      <c r="N762" s="124"/>
      <c r="O762" s="320"/>
      <c r="P762" s="142"/>
      <c r="Q762" s="193"/>
      <c r="R762" s="28"/>
      <c r="S762" s="138"/>
      <c r="T762" s="142"/>
      <c r="U762" s="142"/>
      <c r="V762" s="142"/>
    </row>
    <row r="763">
      <c r="A763" s="320"/>
      <c r="B763" s="142"/>
      <c r="C763" s="320"/>
      <c r="D763" s="124"/>
      <c r="E763" s="320"/>
      <c r="F763" s="142"/>
      <c r="G763" s="320"/>
      <c r="H763" s="142"/>
      <c r="I763" s="329"/>
      <c r="J763" s="124"/>
      <c r="K763" s="329"/>
      <c r="L763" s="124"/>
      <c r="M763" s="329"/>
      <c r="N763" s="124"/>
      <c r="O763" s="320"/>
      <c r="P763" s="142"/>
      <c r="Q763" s="193"/>
      <c r="R763" s="28"/>
      <c r="S763" s="138"/>
      <c r="T763" s="142"/>
      <c r="U763" s="142"/>
      <c r="V763" s="142"/>
    </row>
    <row r="764">
      <c r="A764" s="320"/>
      <c r="B764" s="142"/>
      <c r="C764" s="320"/>
      <c r="D764" s="124"/>
      <c r="E764" s="320"/>
      <c r="F764" s="142"/>
      <c r="G764" s="320"/>
      <c r="H764" s="142"/>
      <c r="I764" s="329"/>
      <c r="J764" s="124"/>
      <c r="K764" s="329"/>
      <c r="L764" s="124"/>
      <c r="M764" s="329"/>
      <c r="N764" s="124"/>
      <c r="O764" s="320"/>
      <c r="P764" s="142"/>
      <c r="Q764" s="193"/>
      <c r="R764" s="28"/>
      <c r="S764" s="138"/>
      <c r="T764" s="142"/>
      <c r="U764" s="142"/>
      <c r="V764" s="142"/>
    </row>
    <row r="765">
      <c r="A765" s="320"/>
      <c r="B765" s="142"/>
      <c r="C765" s="320"/>
      <c r="D765" s="124"/>
      <c r="E765" s="320"/>
      <c r="F765" s="142"/>
      <c r="G765" s="320"/>
      <c r="H765" s="142"/>
      <c r="I765" s="329"/>
      <c r="J765" s="124"/>
      <c r="K765" s="329"/>
      <c r="L765" s="124"/>
      <c r="M765" s="329"/>
      <c r="N765" s="124"/>
      <c r="O765" s="320"/>
      <c r="P765" s="142"/>
      <c r="Q765" s="193"/>
      <c r="R765" s="28"/>
      <c r="S765" s="138"/>
      <c r="T765" s="142"/>
      <c r="U765" s="142"/>
      <c r="V765" s="142"/>
    </row>
    <row r="766">
      <c r="A766" s="320"/>
      <c r="B766" s="142"/>
      <c r="C766" s="320"/>
      <c r="D766" s="124"/>
      <c r="E766" s="320"/>
      <c r="F766" s="142"/>
      <c r="G766" s="320"/>
      <c r="H766" s="142"/>
      <c r="I766" s="329"/>
      <c r="J766" s="124"/>
      <c r="K766" s="329"/>
      <c r="L766" s="124"/>
      <c r="M766" s="329"/>
      <c r="N766" s="124"/>
      <c r="O766" s="320"/>
      <c r="P766" s="142"/>
      <c r="Q766" s="193"/>
      <c r="R766" s="28"/>
      <c r="S766" s="138"/>
      <c r="T766" s="142"/>
      <c r="U766" s="142"/>
      <c r="V766" s="142"/>
    </row>
    <row r="767">
      <c r="A767" s="320"/>
      <c r="B767" s="142"/>
      <c r="C767" s="320"/>
      <c r="D767" s="124"/>
      <c r="E767" s="320"/>
      <c r="F767" s="142"/>
      <c r="G767" s="320"/>
      <c r="H767" s="142"/>
      <c r="I767" s="329"/>
      <c r="J767" s="124"/>
      <c r="K767" s="329"/>
      <c r="L767" s="124"/>
      <c r="M767" s="329"/>
      <c r="N767" s="124"/>
      <c r="O767" s="320"/>
      <c r="P767" s="142"/>
      <c r="Q767" s="193"/>
      <c r="R767" s="28"/>
      <c r="S767" s="138"/>
      <c r="T767" s="142"/>
      <c r="U767" s="142"/>
      <c r="V767" s="142"/>
    </row>
    <row r="768">
      <c r="A768" s="320"/>
      <c r="B768" s="142"/>
      <c r="C768" s="320"/>
      <c r="D768" s="124"/>
      <c r="E768" s="320"/>
      <c r="F768" s="142"/>
      <c r="G768" s="320"/>
      <c r="H768" s="142"/>
      <c r="I768" s="329"/>
      <c r="J768" s="124"/>
      <c r="K768" s="329"/>
      <c r="L768" s="124"/>
      <c r="M768" s="329"/>
      <c r="N768" s="124"/>
      <c r="O768" s="320"/>
      <c r="P768" s="142"/>
      <c r="Q768" s="193"/>
      <c r="R768" s="28"/>
      <c r="S768" s="138"/>
      <c r="T768" s="142"/>
      <c r="U768" s="142"/>
      <c r="V768" s="142"/>
    </row>
    <row r="769">
      <c r="A769" s="320"/>
      <c r="B769" s="142"/>
      <c r="C769" s="320"/>
      <c r="D769" s="124"/>
      <c r="E769" s="320"/>
      <c r="F769" s="142"/>
      <c r="G769" s="320"/>
      <c r="H769" s="142"/>
      <c r="I769" s="329"/>
      <c r="J769" s="124"/>
      <c r="K769" s="329"/>
      <c r="L769" s="124"/>
      <c r="M769" s="329"/>
      <c r="N769" s="124"/>
      <c r="O769" s="320"/>
      <c r="P769" s="142"/>
      <c r="Q769" s="193"/>
      <c r="R769" s="28"/>
      <c r="S769" s="138"/>
      <c r="T769" s="142"/>
      <c r="U769" s="142"/>
      <c r="V769" s="142"/>
    </row>
    <row r="770">
      <c r="A770" s="320"/>
      <c r="B770" s="142"/>
      <c r="C770" s="320"/>
      <c r="D770" s="124"/>
      <c r="E770" s="320"/>
      <c r="F770" s="142"/>
      <c r="G770" s="320"/>
      <c r="H770" s="142"/>
      <c r="I770" s="329"/>
      <c r="J770" s="124"/>
      <c r="K770" s="329"/>
      <c r="L770" s="124"/>
      <c r="M770" s="329"/>
      <c r="N770" s="124"/>
      <c r="O770" s="320"/>
      <c r="P770" s="142"/>
      <c r="Q770" s="193"/>
      <c r="R770" s="28"/>
      <c r="S770" s="138"/>
      <c r="T770" s="142"/>
      <c r="U770" s="142"/>
      <c r="V770" s="142"/>
    </row>
    <row r="771">
      <c r="A771" s="320"/>
      <c r="B771" s="142"/>
      <c r="C771" s="320"/>
      <c r="D771" s="124"/>
      <c r="E771" s="320"/>
      <c r="F771" s="142"/>
      <c r="G771" s="320"/>
      <c r="H771" s="142"/>
      <c r="I771" s="329"/>
      <c r="J771" s="124"/>
      <c r="K771" s="329"/>
      <c r="L771" s="124"/>
      <c r="M771" s="329"/>
      <c r="N771" s="124"/>
      <c r="O771" s="320"/>
      <c r="P771" s="142"/>
      <c r="Q771" s="193"/>
      <c r="R771" s="28"/>
      <c r="S771" s="138"/>
      <c r="T771" s="142"/>
      <c r="U771" s="142"/>
      <c r="V771" s="142"/>
    </row>
    <row r="772">
      <c r="A772" s="320"/>
      <c r="B772" s="142"/>
      <c r="C772" s="320"/>
      <c r="D772" s="124"/>
      <c r="E772" s="320"/>
      <c r="F772" s="142"/>
      <c r="G772" s="320"/>
      <c r="H772" s="142"/>
      <c r="I772" s="329"/>
      <c r="J772" s="124"/>
      <c r="K772" s="329"/>
      <c r="L772" s="124"/>
      <c r="M772" s="329"/>
      <c r="N772" s="124"/>
      <c r="O772" s="320"/>
      <c r="P772" s="142"/>
      <c r="Q772" s="193"/>
      <c r="R772" s="28"/>
      <c r="S772" s="138"/>
      <c r="T772" s="142"/>
      <c r="U772" s="142"/>
      <c r="V772" s="142"/>
    </row>
    <row r="773">
      <c r="A773" s="320"/>
      <c r="B773" s="142"/>
      <c r="C773" s="320"/>
      <c r="D773" s="124"/>
      <c r="E773" s="320"/>
      <c r="F773" s="142"/>
      <c r="G773" s="320"/>
      <c r="H773" s="142"/>
      <c r="I773" s="329"/>
      <c r="J773" s="124"/>
      <c r="K773" s="329"/>
      <c r="L773" s="124"/>
      <c r="M773" s="329"/>
      <c r="N773" s="124"/>
      <c r="O773" s="320"/>
      <c r="P773" s="142"/>
      <c r="Q773" s="193"/>
      <c r="R773" s="28"/>
      <c r="S773" s="138"/>
      <c r="T773" s="142"/>
      <c r="U773" s="142"/>
      <c r="V773" s="142"/>
    </row>
    <row r="774">
      <c r="A774" s="320"/>
      <c r="B774" s="142"/>
      <c r="C774" s="320"/>
      <c r="D774" s="124"/>
      <c r="E774" s="320"/>
      <c r="F774" s="142"/>
      <c r="G774" s="320"/>
      <c r="H774" s="142"/>
      <c r="I774" s="329"/>
      <c r="J774" s="124"/>
      <c r="K774" s="329"/>
      <c r="L774" s="124"/>
      <c r="M774" s="329"/>
      <c r="N774" s="124"/>
      <c r="O774" s="320"/>
      <c r="P774" s="142"/>
      <c r="Q774" s="193"/>
      <c r="R774" s="28"/>
      <c r="S774" s="138"/>
      <c r="T774" s="142"/>
      <c r="U774" s="142"/>
      <c r="V774" s="142"/>
    </row>
    <row r="775">
      <c r="A775" s="320"/>
      <c r="B775" s="142"/>
      <c r="C775" s="320"/>
      <c r="D775" s="124"/>
      <c r="E775" s="320"/>
      <c r="F775" s="142"/>
      <c r="G775" s="320"/>
      <c r="H775" s="142"/>
      <c r="I775" s="329"/>
      <c r="J775" s="124"/>
      <c r="K775" s="329"/>
      <c r="L775" s="124"/>
      <c r="M775" s="329"/>
      <c r="N775" s="124"/>
      <c r="O775" s="320"/>
      <c r="P775" s="142"/>
      <c r="Q775" s="193"/>
      <c r="R775" s="28"/>
      <c r="S775" s="138"/>
      <c r="T775" s="142"/>
      <c r="U775" s="142"/>
      <c r="V775" s="142"/>
    </row>
    <row r="776">
      <c r="A776" s="320"/>
      <c r="B776" s="142"/>
      <c r="C776" s="320"/>
      <c r="D776" s="124"/>
      <c r="E776" s="320"/>
      <c r="F776" s="142"/>
      <c r="G776" s="320"/>
      <c r="H776" s="142"/>
      <c r="I776" s="329"/>
      <c r="J776" s="124"/>
      <c r="K776" s="329"/>
      <c r="L776" s="124"/>
      <c r="M776" s="329"/>
      <c r="N776" s="124"/>
      <c r="O776" s="320"/>
      <c r="P776" s="142"/>
      <c r="Q776" s="193"/>
      <c r="R776" s="28"/>
      <c r="S776" s="138"/>
      <c r="T776" s="142"/>
      <c r="U776" s="142"/>
      <c r="V776" s="142"/>
    </row>
    <row r="777">
      <c r="A777" s="320"/>
      <c r="B777" s="142"/>
      <c r="C777" s="320"/>
      <c r="D777" s="124"/>
      <c r="E777" s="320"/>
      <c r="F777" s="142"/>
      <c r="G777" s="320"/>
      <c r="H777" s="142"/>
      <c r="I777" s="329"/>
      <c r="J777" s="124"/>
      <c r="K777" s="329"/>
      <c r="L777" s="124"/>
      <c r="M777" s="329"/>
      <c r="N777" s="124"/>
      <c r="O777" s="320"/>
      <c r="P777" s="142"/>
      <c r="Q777" s="193"/>
      <c r="R777" s="28"/>
      <c r="S777" s="138"/>
      <c r="T777" s="142"/>
      <c r="U777" s="142"/>
      <c r="V777" s="142"/>
    </row>
    <row r="778">
      <c r="A778" s="320"/>
      <c r="B778" s="142"/>
      <c r="C778" s="320"/>
      <c r="D778" s="124"/>
      <c r="E778" s="320"/>
      <c r="F778" s="142"/>
      <c r="G778" s="320"/>
      <c r="H778" s="142"/>
      <c r="I778" s="329"/>
      <c r="J778" s="124"/>
      <c r="K778" s="329"/>
      <c r="L778" s="124"/>
      <c r="M778" s="329"/>
      <c r="N778" s="124"/>
      <c r="O778" s="320"/>
      <c r="P778" s="142"/>
      <c r="Q778" s="193"/>
      <c r="R778" s="28"/>
      <c r="S778" s="138"/>
      <c r="T778" s="142"/>
      <c r="U778" s="142"/>
      <c r="V778" s="142"/>
    </row>
    <row r="779">
      <c r="A779" s="320"/>
      <c r="B779" s="142"/>
      <c r="C779" s="320"/>
      <c r="D779" s="124"/>
      <c r="E779" s="320"/>
      <c r="F779" s="142"/>
      <c r="G779" s="320"/>
      <c r="H779" s="142"/>
      <c r="I779" s="329"/>
      <c r="J779" s="124"/>
      <c r="K779" s="329"/>
      <c r="L779" s="124"/>
      <c r="M779" s="329"/>
      <c r="N779" s="124"/>
      <c r="O779" s="320"/>
      <c r="P779" s="142"/>
      <c r="Q779" s="193"/>
      <c r="R779" s="28"/>
      <c r="S779" s="138"/>
      <c r="T779" s="142"/>
      <c r="U779" s="142"/>
      <c r="V779" s="142"/>
    </row>
    <row r="780">
      <c r="A780" s="320"/>
      <c r="B780" s="142"/>
      <c r="C780" s="320"/>
      <c r="D780" s="124"/>
      <c r="E780" s="320"/>
      <c r="F780" s="142"/>
      <c r="G780" s="320"/>
      <c r="H780" s="142"/>
      <c r="I780" s="329"/>
      <c r="J780" s="124"/>
      <c r="K780" s="329"/>
      <c r="L780" s="124"/>
      <c r="M780" s="329"/>
      <c r="N780" s="124"/>
      <c r="O780" s="320"/>
      <c r="P780" s="142"/>
      <c r="Q780" s="193"/>
      <c r="R780" s="28"/>
      <c r="S780" s="138"/>
      <c r="T780" s="142"/>
      <c r="U780" s="142"/>
      <c r="V780" s="142"/>
    </row>
    <row r="781">
      <c r="A781" s="320"/>
      <c r="B781" s="142"/>
      <c r="C781" s="320"/>
      <c r="D781" s="124"/>
      <c r="E781" s="320"/>
      <c r="F781" s="142"/>
      <c r="G781" s="320"/>
      <c r="H781" s="142"/>
      <c r="I781" s="329"/>
      <c r="J781" s="124"/>
      <c r="K781" s="329"/>
      <c r="L781" s="124"/>
      <c r="M781" s="329"/>
      <c r="N781" s="124"/>
      <c r="O781" s="320"/>
      <c r="P781" s="142"/>
      <c r="Q781" s="193"/>
      <c r="R781" s="28"/>
      <c r="S781" s="138"/>
      <c r="T781" s="142"/>
      <c r="U781" s="142"/>
      <c r="V781" s="142"/>
    </row>
    <row r="782">
      <c r="A782" s="320"/>
      <c r="B782" s="142"/>
      <c r="C782" s="320"/>
      <c r="D782" s="124"/>
      <c r="E782" s="320"/>
      <c r="F782" s="142"/>
      <c r="G782" s="320"/>
      <c r="H782" s="142"/>
      <c r="I782" s="329"/>
      <c r="J782" s="124"/>
      <c r="K782" s="329"/>
      <c r="L782" s="124"/>
      <c r="M782" s="329"/>
      <c r="N782" s="124"/>
      <c r="O782" s="320"/>
      <c r="P782" s="142"/>
      <c r="Q782" s="193"/>
      <c r="R782" s="28"/>
      <c r="S782" s="138"/>
      <c r="T782" s="142"/>
      <c r="U782" s="142"/>
      <c r="V782" s="142"/>
    </row>
    <row r="783">
      <c r="A783" s="320"/>
      <c r="B783" s="142"/>
      <c r="C783" s="320"/>
      <c r="D783" s="124"/>
      <c r="E783" s="320"/>
      <c r="F783" s="142"/>
      <c r="G783" s="320"/>
      <c r="H783" s="142"/>
      <c r="I783" s="329"/>
      <c r="J783" s="124"/>
      <c r="K783" s="329"/>
      <c r="L783" s="124"/>
      <c r="M783" s="329"/>
      <c r="N783" s="124"/>
      <c r="O783" s="320"/>
      <c r="P783" s="142"/>
      <c r="Q783" s="193"/>
      <c r="R783" s="28"/>
      <c r="S783" s="138"/>
      <c r="T783" s="142"/>
      <c r="U783" s="142"/>
      <c r="V783" s="142"/>
    </row>
    <row r="784">
      <c r="A784" s="320"/>
      <c r="B784" s="142"/>
      <c r="C784" s="320"/>
      <c r="D784" s="124"/>
      <c r="E784" s="320"/>
      <c r="F784" s="142"/>
      <c r="G784" s="320"/>
      <c r="H784" s="142"/>
      <c r="I784" s="329"/>
      <c r="J784" s="124"/>
      <c r="K784" s="329"/>
      <c r="L784" s="124"/>
      <c r="M784" s="329"/>
      <c r="N784" s="124"/>
      <c r="O784" s="320"/>
      <c r="P784" s="142"/>
      <c r="Q784" s="193"/>
      <c r="R784" s="28"/>
      <c r="S784" s="138"/>
      <c r="T784" s="142"/>
      <c r="U784" s="142"/>
      <c r="V784" s="142"/>
    </row>
    <row r="785">
      <c r="A785" s="320"/>
      <c r="B785" s="142"/>
      <c r="C785" s="320"/>
      <c r="D785" s="124"/>
      <c r="E785" s="320"/>
      <c r="F785" s="142"/>
      <c r="G785" s="320"/>
      <c r="H785" s="142"/>
      <c r="I785" s="329"/>
      <c r="J785" s="124"/>
      <c r="K785" s="329"/>
      <c r="L785" s="124"/>
      <c r="M785" s="329"/>
      <c r="N785" s="124"/>
      <c r="O785" s="320"/>
      <c r="P785" s="142"/>
      <c r="Q785" s="193"/>
      <c r="R785" s="28"/>
      <c r="S785" s="138"/>
      <c r="T785" s="142"/>
      <c r="U785" s="142"/>
      <c r="V785" s="142"/>
    </row>
    <row r="786">
      <c r="A786" s="320"/>
      <c r="B786" s="142"/>
      <c r="C786" s="320"/>
      <c r="D786" s="124"/>
      <c r="E786" s="320"/>
      <c r="F786" s="142"/>
      <c r="G786" s="320"/>
      <c r="H786" s="142"/>
      <c r="I786" s="329"/>
      <c r="J786" s="124"/>
      <c r="K786" s="329"/>
      <c r="L786" s="124"/>
      <c r="M786" s="329"/>
      <c r="N786" s="124"/>
      <c r="O786" s="320"/>
      <c r="P786" s="142"/>
      <c r="Q786" s="193"/>
      <c r="R786" s="28"/>
      <c r="S786" s="138"/>
      <c r="T786" s="142"/>
      <c r="U786" s="142"/>
      <c r="V786" s="142"/>
    </row>
    <row r="787">
      <c r="A787" s="320"/>
      <c r="B787" s="142"/>
      <c r="C787" s="320"/>
      <c r="D787" s="124"/>
      <c r="E787" s="320"/>
      <c r="F787" s="142"/>
      <c r="G787" s="320"/>
      <c r="H787" s="142"/>
      <c r="I787" s="329"/>
      <c r="J787" s="124"/>
      <c r="K787" s="329"/>
      <c r="L787" s="124"/>
      <c r="M787" s="329"/>
      <c r="N787" s="124"/>
      <c r="O787" s="320"/>
      <c r="P787" s="142"/>
      <c r="Q787" s="193"/>
      <c r="R787" s="28"/>
      <c r="S787" s="138"/>
      <c r="T787" s="142"/>
      <c r="U787" s="142"/>
      <c r="V787" s="142"/>
    </row>
    <row r="788">
      <c r="A788" s="320"/>
      <c r="B788" s="142"/>
      <c r="C788" s="320"/>
      <c r="D788" s="124"/>
      <c r="E788" s="320"/>
      <c r="F788" s="142"/>
      <c r="G788" s="320"/>
      <c r="H788" s="142"/>
      <c r="I788" s="329"/>
      <c r="J788" s="124"/>
      <c r="K788" s="329"/>
      <c r="L788" s="124"/>
      <c r="M788" s="329"/>
      <c r="N788" s="124"/>
      <c r="O788" s="320"/>
      <c r="P788" s="142"/>
      <c r="Q788" s="193"/>
      <c r="R788" s="28"/>
      <c r="S788" s="138"/>
      <c r="T788" s="142"/>
      <c r="U788" s="142"/>
      <c r="V788" s="142"/>
    </row>
    <row r="789">
      <c r="A789" s="320"/>
      <c r="B789" s="142"/>
      <c r="C789" s="320"/>
      <c r="D789" s="124"/>
      <c r="E789" s="320"/>
      <c r="F789" s="142"/>
      <c r="G789" s="320"/>
      <c r="H789" s="142"/>
      <c r="I789" s="329"/>
      <c r="J789" s="124"/>
      <c r="K789" s="329"/>
      <c r="L789" s="124"/>
      <c r="M789" s="329"/>
      <c r="N789" s="124"/>
      <c r="O789" s="320"/>
      <c r="P789" s="142"/>
      <c r="Q789" s="193"/>
      <c r="R789" s="28"/>
      <c r="S789" s="138"/>
      <c r="T789" s="142"/>
      <c r="U789" s="142"/>
      <c r="V789" s="142"/>
    </row>
    <row r="790">
      <c r="A790" s="320"/>
      <c r="B790" s="142"/>
      <c r="C790" s="320"/>
      <c r="D790" s="124"/>
      <c r="E790" s="320"/>
      <c r="F790" s="142"/>
      <c r="G790" s="320"/>
      <c r="H790" s="142"/>
      <c r="I790" s="329"/>
      <c r="J790" s="124"/>
      <c r="K790" s="329"/>
      <c r="L790" s="124"/>
      <c r="M790" s="329"/>
      <c r="N790" s="124"/>
      <c r="O790" s="320"/>
      <c r="P790" s="142"/>
      <c r="Q790" s="193"/>
      <c r="R790" s="28"/>
      <c r="S790" s="138"/>
      <c r="T790" s="142"/>
      <c r="U790" s="142"/>
      <c r="V790" s="142"/>
    </row>
    <row r="791">
      <c r="A791" s="320"/>
      <c r="B791" s="142"/>
      <c r="C791" s="320"/>
      <c r="D791" s="124"/>
      <c r="E791" s="320"/>
      <c r="F791" s="142"/>
      <c r="G791" s="320"/>
      <c r="H791" s="142"/>
      <c r="I791" s="329"/>
      <c r="J791" s="124"/>
      <c r="K791" s="329"/>
      <c r="L791" s="124"/>
      <c r="M791" s="329"/>
      <c r="N791" s="124"/>
      <c r="O791" s="320"/>
      <c r="P791" s="142"/>
      <c r="Q791" s="193"/>
      <c r="R791" s="28"/>
      <c r="S791" s="138"/>
      <c r="T791" s="142"/>
      <c r="U791" s="142"/>
      <c r="V791" s="142"/>
    </row>
    <row r="792">
      <c r="A792" s="320"/>
      <c r="B792" s="142"/>
      <c r="C792" s="320"/>
      <c r="D792" s="124"/>
      <c r="E792" s="320"/>
      <c r="F792" s="142"/>
      <c r="G792" s="320"/>
      <c r="H792" s="142"/>
      <c r="I792" s="329"/>
      <c r="J792" s="124"/>
      <c r="K792" s="329"/>
      <c r="L792" s="124"/>
      <c r="M792" s="329"/>
      <c r="N792" s="124"/>
      <c r="O792" s="320"/>
      <c r="P792" s="142"/>
      <c r="Q792" s="193"/>
      <c r="R792" s="28"/>
      <c r="S792" s="138"/>
      <c r="T792" s="142"/>
      <c r="U792" s="142"/>
      <c r="V792" s="142"/>
    </row>
    <row r="793">
      <c r="A793" s="320"/>
      <c r="B793" s="142"/>
      <c r="C793" s="320"/>
      <c r="D793" s="124"/>
      <c r="E793" s="320"/>
      <c r="F793" s="142"/>
      <c r="G793" s="320"/>
      <c r="H793" s="142"/>
      <c r="I793" s="329"/>
      <c r="J793" s="124"/>
      <c r="K793" s="329"/>
      <c r="L793" s="124"/>
      <c r="M793" s="329"/>
      <c r="N793" s="124"/>
      <c r="O793" s="320"/>
      <c r="P793" s="142"/>
      <c r="Q793" s="193"/>
      <c r="R793" s="28"/>
      <c r="S793" s="138"/>
      <c r="T793" s="142"/>
      <c r="U793" s="142"/>
      <c r="V793" s="142"/>
    </row>
    <row r="794">
      <c r="A794" s="320"/>
      <c r="B794" s="142"/>
      <c r="C794" s="320"/>
      <c r="D794" s="124"/>
      <c r="E794" s="320"/>
      <c r="F794" s="142"/>
      <c r="G794" s="320"/>
      <c r="H794" s="142"/>
      <c r="I794" s="329"/>
      <c r="J794" s="124"/>
      <c r="K794" s="329"/>
      <c r="L794" s="124"/>
      <c r="M794" s="329"/>
      <c r="N794" s="124"/>
      <c r="O794" s="320"/>
      <c r="P794" s="142"/>
      <c r="Q794" s="193"/>
      <c r="R794" s="28"/>
      <c r="S794" s="138"/>
      <c r="T794" s="142"/>
      <c r="U794" s="142"/>
      <c r="V794" s="142"/>
    </row>
    <row r="795">
      <c r="A795" s="320"/>
      <c r="B795" s="142"/>
      <c r="C795" s="320"/>
      <c r="D795" s="124"/>
      <c r="E795" s="320"/>
      <c r="F795" s="142"/>
      <c r="G795" s="320"/>
      <c r="H795" s="142"/>
      <c r="I795" s="329"/>
      <c r="J795" s="124"/>
      <c r="K795" s="329"/>
      <c r="L795" s="124"/>
      <c r="M795" s="329"/>
      <c r="N795" s="124"/>
      <c r="O795" s="320"/>
      <c r="P795" s="142"/>
      <c r="Q795" s="193"/>
      <c r="R795" s="28"/>
      <c r="S795" s="138"/>
      <c r="T795" s="142"/>
      <c r="U795" s="142"/>
      <c r="V795" s="142"/>
    </row>
    <row r="796">
      <c r="A796" s="320"/>
      <c r="B796" s="142"/>
      <c r="C796" s="320"/>
      <c r="D796" s="124"/>
      <c r="E796" s="320"/>
      <c r="F796" s="142"/>
      <c r="G796" s="320"/>
      <c r="H796" s="142"/>
      <c r="I796" s="329"/>
      <c r="J796" s="124"/>
      <c r="K796" s="329"/>
      <c r="L796" s="124"/>
      <c r="M796" s="329"/>
      <c r="N796" s="124"/>
      <c r="O796" s="320"/>
      <c r="P796" s="142"/>
      <c r="Q796" s="193"/>
      <c r="R796" s="28"/>
      <c r="S796" s="138"/>
      <c r="T796" s="142"/>
      <c r="U796" s="142"/>
      <c r="V796" s="142"/>
    </row>
    <row r="797">
      <c r="A797" s="320"/>
      <c r="B797" s="142"/>
      <c r="C797" s="320"/>
      <c r="D797" s="124"/>
      <c r="E797" s="320"/>
      <c r="F797" s="142"/>
      <c r="G797" s="320"/>
      <c r="H797" s="142"/>
      <c r="I797" s="329"/>
      <c r="J797" s="124"/>
      <c r="K797" s="329"/>
      <c r="L797" s="124"/>
      <c r="M797" s="329"/>
      <c r="N797" s="124"/>
      <c r="O797" s="320"/>
      <c r="P797" s="142"/>
      <c r="Q797" s="193"/>
      <c r="R797" s="28"/>
      <c r="S797" s="138"/>
      <c r="T797" s="142"/>
      <c r="U797" s="142"/>
      <c r="V797" s="142"/>
    </row>
    <row r="798">
      <c r="A798" s="320"/>
      <c r="B798" s="142"/>
      <c r="C798" s="320"/>
      <c r="D798" s="124"/>
      <c r="E798" s="320"/>
      <c r="F798" s="142"/>
      <c r="G798" s="320"/>
      <c r="H798" s="142"/>
      <c r="I798" s="329"/>
      <c r="J798" s="124"/>
      <c r="K798" s="329"/>
      <c r="L798" s="124"/>
      <c r="M798" s="329"/>
      <c r="N798" s="124"/>
      <c r="O798" s="320"/>
      <c r="P798" s="142"/>
      <c r="Q798" s="193"/>
      <c r="R798" s="28"/>
      <c r="S798" s="138"/>
      <c r="T798" s="142"/>
      <c r="U798" s="142"/>
      <c r="V798" s="142"/>
    </row>
    <row r="799">
      <c r="A799" s="320"/>
      <c r="B799" s="142"/>
      <c r="C799" s="320"/>
      <c r="D799" s="124"/>
      <c r="E799" s="320"/>
      <c r="F799" s="142"/>
      <c r="G799" s="320"/>
      <c r="H799" s="142"/>
      <c r="I799" s="329"/>
      <c r="J799" s="124"/>
      <c r="K799" s="329"/>
      <c r="L799" s="124"/>
      <c r="M799" s="329"/>
      <c r="N799" s="124"/>
      <c r="O799" s="320"/>
      <c r="P799" s="142"/>
      <c r="Q799" s="193"/>
      <c r="R799" s="28"/>
      <c r="S799" s="138"/>
      <c r="T799" s="142"/>
      <c r="U799" s="142"/>
      <c r="V799" s="142"/>
    </row>
    <row r="800">
      <c r="A800" s="320"/>
      <c r="B800" s="142"/>
      <c r="C800" s="320"/>
      <c r="D800" s="124"/>
      <c r="E800" s="320"/>
      <c r="F800" s="142"/>
      <c r="G800" s="320"/>
      <c r="H800" s="142"/>
      <c r="I800" s="329"/>
      <c r="J800" s="124"/>
      <c r="K800" s="329"/>
      <c r="L800" s="124"/>
      <c r="M800" s="329"/>
      <c r="N800" s="124"/>
      <c r="O800" s="320"/>
      <c r="P800" s="142"/>
      <c r="Q800" s="193"/>
      <c r="R800" s="28"/>
      <c r="S800" s="138"/>
      <c r="T800" s="142"/>
      <c r="U800" s="142"/>
      <c r="V800" s="142"/>
    </row>
    <row r="801">
      <c r="A801" s="320"/>
      <c r="B801" s="142"/>
      <c r="C801" s="320"/>
      <c r="D801" s="124"/>
      <c r="E801" s="320"/>
      <c r="F801" s="142"/>
      <c r="G801" s="320"/>
      <c r="H801" s="142"/>
      <c r="I801" s="329"/>
      <c r="J801" s="124"/>
      <c r="K801" s="329"/>
      <c r="L801" s="124"/>
      <c r="M801" s="329"/>
      <c r="N801" s="124"/>
      <c r="O801" s="320"/>
      <c r="P801" s="142"/>
      <c r="Q801" s="193"/>
      <c r="R801" s="28"/>
      <c r="S801" s="138"/>
      <c r="T801" s="142"/>
      <c r="U801" s="142"/>
      <c r="V801" s="142"/>
    </row>
    <row r="802">
      <c r="A802" s="320"/>
      <c r="B802" s="142"/>
      <c r="C802" s="320"/>
      <c r="D802" s="124"/>
      <c r="E802" s="320"/>
      <c r="F802" s="142"/>
      <c r="G802" s="320"/>
      <c r="H802" s="142"/>
      <c r="I802" s="329"/>
      <c r="J802" s="124"/>
      <c r="K802" s="329"/>
      <c r="L802" s="124"/>
      <c r="M802" s="329"/>
      <c r="N802" s="124"/>
      <c r="O802" s="320"/>
      <c r="P802" s="142"/>
      <c r="Q802" s="193"/>
      <c r="R802" s="28"/>
      <c r="S802" s="138"/>
      <c r="T802" s="142"/>
      <c r="U802" s="142"/>
      <c r="V802" s="142"/>
    </row>
    <row r="803">
      <c r="A803" s="320"/>
      <c r="B803" s="142"/>
      <c r="C803" s="320"/>
      <c r="D803" s="124"/>
      <c r="E803" s="320"/>
      <c r="F803" s="142"/>
      <c r="G803" s="320"/>
      <c r="H803" s="142"/>
      <c r="I803" s="329"/>
      <c r="J803" s="124"/>
      <c r="K803" s="329"/>
      <c r="L803" s="124"/>
      <c r="M803" s="329"/>
      <c r="N803" s="124"/>
      <c r="O803" s="320"/>
      <c r="P803" s="142"/>
      <c r="Q803" s="193"/>
      <c r="R803" s="28"/>
      <c r="S803" s="138"/>
      <c r="T803" s="142"/>
      <c r="U803" s="142"/>
      <c r="V803" s="142"/>
    </row>
    <row r="804">
      <c r="A804" s="320"/>
      <c r="B804" s="142"/>
      <c r="C804" s="320"/>
      <c r="D804" s="124"/>
      <c r="E804" s="320"/>
      <c r="F804" s="142"/>
      <c r="G804" s="320"/>
      <c r="H804" s="142"/>
      <c r="I804" s="329"/>
      <c r="J804" s="124"/>
      <c r="K804" s="329"/>
      <c r="L804" s="124"/>
      <c r="M804" s="329"/>
      <c r="N804" s="124"/>
      <c r="O804" s="320"/>
      <c r="P804" s="142"/>
      <c r="Q804" s="193"/>
      <c r="R804" s="28"/>
      <c r="S804" s="138"/>
      <c r="T804" s="142"/>
      <c r="U804" s="142"/>
      <c r="V804" s="142"/>
    </row>
    <row r="805">
      <c r="A805" s="320"/>
      <c r="B805" s="142"/>
      <c r="C805" s="320"/>
      <c r="D805" s="124"/>
      <c r="E805" s="320"/>
      <c r="F805" s="142"/>
      <c r="G805" s="320"/>
      <c r="H805" s="142"/>
      <c r="I805" s="329"/>
      <c r="J805" s="124"/>
      <c r="K805" s="329"/>
      <c r="L805" s="124"/>
      <c r="M805" s="329"/>
      <c r="N805" s="124"/>
      <c r="O805" s="320"/>
      <c r="P805" s="142"/>
      <c r="Q805" s="193"/>
      <c r="R805" s="28"/>
      <c r="S805" s="138"/>
      <c r="T805" s="142"/>
      <c r="U805" s="142"/>
      <c r="V805" s="142"/>
    </row>
    <row r="806">
      <c r="A806" s="320"/>
      <c r="B806" s="142"/>
      <c r="C806" s="320"/>
      <c r="D806" s="124"/>
      <c r="E806" s="320"/>
      <c r="F806" s="142"/>
      <c r="G806" s="320"/>
      <c r="H806" s="142"/>
      <c r="I806" s="329"/>
      <c r="J806" s="124"/>
      <c r="K806" s="329"/>
      <c r="L806" s="124"/>
      <c r="M806" s="329"/>
      <c r="N806" s="124"/>
      <c r="O806" s="320"/>
      <c r="P806" s="142"/>
      <c r="Q806" s="193"/>
      <c r="R806" s="28"/>
      <c r="S806" s="138"/>
      <c r="T806" s="142"/>
      <c r="U806" s="142"/>
      <c r="V806" s="142"/>
    </row>
    <row r="807">
      <c r="A807" s="320"/>
      <c r="B807" s="142"/>
      <c r="C807" s="320"/>
      <c r="D807" s="124"/>
      <c r="E807" s="320"/>
      <c r="F807" s="142"/>
      <c r="G807" s="320"/>
      <c r="H807" s="142"/>
      <c r="I807" s="329"/>
      <c r="J807" s="124"/>
      <c r="K807" s="329"/>
      <c r="L807" s="124"/>
      <c r="M807" s="329"/>
      <c r="N807" s="124"/>
      <c r="O807" s="320"/>
      <c r="P807" s="142"/>
      <c r="Q807" s="193"/>
      <c r="R807" s="28"/>
      <c r="S807" s="138"/>
      <c r="T807" s="142"/>
      <c r="U807" s="142"/>
      <c r="V807" s="142"/>
    </row>
    <row r="808">
      <c r="A808" s="320"/>
      <c r="B808" s="142"/>
      <c r="C808" s="320"/>
      <c r="D808" s="124"/>
      <c r="E808" s="320"/>
      <c r="F808" s="142"/>
      <c r="G808" s="320"/>
      <c r="H808" s="142"/>
      <c r="I808" s="329"/>
      <c r="J808" s="124"/>
      <c r="K808" s="329"/>
      <c r="L808" s="124"/>
      <c r="M808" s="329"/>
      <c r="N808" s="124"/>
      <c r="O808" s="320"/>
      <c r="P808" s="142"/>
      <c r="Q808" s="193"/>
      <c r="R808" s="28"/>
      <c r="S808" s="138"/>
      <c r="T808" s="142"/>
      <c r="U808" s="142"/>
      <c r="V808" s="142"/>
    </row>
    <row r="809">
      <c r="A809" s="320"/>
      <c r="B809" s="142"/>
      <c r="C809" s="320"/>
      <c r="D809" s="124"/>
      <c r="E809" s="320"/>
      <c r="F809" s="142"/>
      <c r="G809" s="320"/>
      <c r="H809" s="142"/>
      <c r="I809" s="329"/>
      <c r="J809" s="124"/>
      <c r="K809" s="329"/>
      <c r="L809" s="124"/>
      <c r="M809" s="329"/>
      <c r="N809" s="124"/>
      <c r="O809" s="320"/>
      <c r="P809" s="142"/>
      <c r="Q809" s="193"/>
      <c r="R809" s="28"/>
      <c r="S809" s="138"/>
      <c r="T809" s="142"/>
      <c r="U809" s="142"/>
      <c r="V809" s="142"/>
    </row>
    <row r="810">
      <c r="A810" s="320"/>
      <c r="B810" s="142"/>
      <c r="C810" s="320"/>
      <c r="D810" s="124"/>
      <c r="E810" s="320"/>
      <c r="F810" s="142"/>
      <c r="G810" s="320"/>
      <c r="H810" s="142"/>
      <c r="I810" s="329"/>
      <c r="J810" s="124"/>
      <c r="K810" s="329"/>
      <c r="L810" s="124"/>
      <c r="M810" s="329"/>
      <c r="N810" s="124"/>
      <c r="O810" s="320"/>
      <c r="P810" s="142"/>
      <c r="Q810" s="193"/>
      <c r="R810" s="28"/>
      <c r="S810" s="138"/>
      <c r="T810" s="142"/>
      <c r="U810" s="142"/>
      <c r="V810" s="142"/>
    </row>
    <row r="811">
      <c r="A811" s="320"/>
      <c r="B811" s="142"/>
      <c r="C811" s="320"/>
      <c r="D811" s="124"/>
      <c r="E811" s="320"/>
      <c r="F811" s="142"/>
      <c r="G811" s="320"/>
      <c r="H811" s="142"/>
      <c r="I811" s="329"/>
      <c r="J811" s="124"/>
      <c r="K811" s="329"/>
      <c r="L811" s="124"/>
      <c r="M811" s="329"/>
      <c r="N811" s="124"/>
      <c r="O811" s="320"/>
      <c r="P811" s="142"/>
      <c r="Q811" s="193"/>
      <c r="R811" s="28"/>
      <c r="S811" s="138"/>
      <c r="T811" s="142"/>
      <c r="U811" s="142"/>
      <c r="V811" s="142"/>
    </row>
    <row r="812">
      <c r="A812" s="320"/>
      <c r="B812" s="142"/>
      <c r="C812" s="320"/>
      <c r="D812" s="124"/>
      <c r="E812" s="320"/>
      <c r="F812" s="142"/>
      <c r="G812" s="320"/>
      <c r="H812" s="142"/>
      <c r="I812" s="329"/>
      <c r="J812" s="124"/>
      <c r="K812" s="329"/>
      <c r="L812" s="124"/>
      <c r="M812" s="329"/>
      <c r="N812" s="124"/>
      <c r="O812" s="320"/>
      <c r="P812" s="142"/>
      <c r="Q812" s="193"/>
      <c r="R812" s="28"/>
      <c r="S812" s="138"/>
      <c r="T812" s="142"/>
      <c r="U812" s="142"/>
      <c r="V812" s="142"/>
    </row>
    <row r="813">
      <c r="A813" s="320"/>
      <c r="B813" s="142"/>
      <c r="C813" s="320"/>
      <c r="D813" s="124"/>
      <c r="E813" s="320"/>
      <c r="F813" s="142"/>
      <c r="G813" s="320"/>
      <c r="H813" s="142"/>
      <c r="I813" s="329"/>
      <c r="J813" s="124"/>
      <c r="K813" s="329"/>
      <c r="L813" s="124"/>
      <c r="M813" s="329"/>
      <c r="N813" s="124"/>
      <c r="O813" s="320"/>
      <c r="P813" s="142"/>
      <c r="Q813" s="193"/>
      <c r="R813" s="28"/>
      <c r="S813" s="138"/>
      <c r="T813" s="142"/>
      <c r="U813" s="142"/>
      <c r="V813" s="142"/>
    </row>
    <row r="814">
      <c r="A814" s="320"/>
      <c r="B814" s="142"/>
      <c r="C814" s="320"/>
      <c r="D814" s="124"/>
      <c r="E814" s="320"/>
      <c r="F814" s="142"/>
      <c r="G814" s="320"/>
      <c r="H814" s="142"/>
      <c r="I814" s="329"/>
      <c r="J814" s="124"/>
      <c r="K814" s="329"/>
      <c r="L814" s="124"/>
      <c r="M814" s="329"/>
      <c r="N814" s="124"/>
      <c r="O814" s="320"/>
      <c r="P814" s="142"/>
      <c r="Q814" s="193"/>
      <c r="R814" s="28"/>
      <c r="S814" s="138"/>
      <c r="T814" s="142"/>
      <c r="U814" s="142"/>
      <c r="V814" s="142"/>
    </row>
    <row r="815">
      <c r="A815" s="320"/>
      <c r="B815" s="142"/>
      <c r="C815" s="320"/>
      <c r="D815" s="124"/>
      <c r="E815" s="320"/>
      <c r="F815" s="142"/>
      <c r="G815" s="320"/>
      <c r="H815" s="142"/>
      <c r="I815" s="329"/>
      <c r="J815" s="124"/>
      <c r="K815" s="329"/>
      <c r="L815" s="124"/>
      <c r="M815" s="329"/>
      <c r="N815" s="124"/>
      <c r="O815" s="320"/>
      <c r="P815" s="142"/>
      <c r="Q815" s="193"/>
      <c r="R815" s="28"/>
      <c r="S815" s="138"/>
      <c r="T815" s="142"/>
      <c r="U815" s="142"/>
      <c r="V815" s="142"/>
    </row>
    <row r="816">
      <c r="A816" s="320"/>
      <c r="B816" s="142"/>
      <c r="C816" s="320"/>
      <c r="D816" s="124"/>
      <c r="E816" s="320"/>
      <c r="F816" s="142"/>
      <c r="G816" s="320"/>
      <c r="H816" s="142"/>
      <c r="I816" s="329"/>
      <c r="J816" s="124"/>
      <c r="K816" s="329"/>
      <c r="L816" s="124"/>
      <c r="M816" s="329"/>
      <c r="N816" s="124"/>
      <c r="O816" s="320"/>
      <c r="P816" s="142"/>
      <c r="Q816" s="193"/>
      <c r="R816" s="28"/>
      <c r="S816" s="138"/>
      <c r="T816" s="142"/>
      <c r="U816" s="142"/>
      <c r="V816" s="142"/>
    </row>
    <row r="817">
      <c r="A817" s="320"/>
      <c r="B817" s="142"/>
      <c r="C817" s="320"/>
      <c r="D817" s="124"/>
      <c r="E817" s="320"/>
      <c r="F817" s="142"/>
      <c r="G817" s="320"/>
      <c r="H817" s="142"/>
      <c r="I817" s="329"/>
      <c r="J817" s="124"/>
      <c r="K817" s="329"/>
      <c r="L817" s="124"/>
      <c r="M817" s="329"/>
      <c r="N817" s="124"/>
      <c r="O817" s="320"/>
      <c r="P817" s="142"/>
      <c r="Q817" s="193"/>
      <c r="R817" s="28"/>
      <c r="S817" s="138"/>
      <c r="T817" s="142"/>
      <c r="U817" s="142"/>
      <c r="V817" s="142"/>
    </row>
    <row r="818">
      <c r="A818" s="320"/>
      <c r="B818" s="142"/>
      <c r="C818" s="320"/>
      <c r="D818" s="124"/>
      <c r="E818" s="320"/>
      <c r="F818" s="142"/>
      <c r="G818" s="320"/>
      <c r="H818" s="142"/>
      <c r="I818" s="329"/>
      <c r="J818" s="124"/>
      <c r="K818" s="329"/>
      <c r="L818" s="124"/>
      <c r="M818" s="329"/>
      <c r="N818" s="124"/>
      <c r="O818" s="320"/>
      <c r="P818" s="142"/>
      <c r="Q818" s="193"/>
      <c r="R818" s="28"/>
      <c r="S818" s="138"/>
      <c r="T818" s="142"/>
      <c r="U818" s="142"/>
      <c r="V818" s="142"/>
    </row>
    <row r="819">
      <c r="A819" s="320"/>
      <c r="B819" s="142"/>
      <c r="C819" s="320"/>
      <c r="D819" s="124"/>
      <c r="E819" s="320"/>
      <c r="F819" s="142"/>
      <c r="G819" s="320"/>
      <c r="H819" s="142"/>
      <c r="I819" s="329"/>
      <c r="J819" s="124"/>
      <c r="K819" s="329"/>
      <c r="L819" s="124"/>
      <c r="M819" s="329"/>
      <c r="N819" s="124"/>
      <c r="O819" s="320"/>
      <c r="P819" s="142"/>
      <c r="Q819" s="193"/>
      <c r="R819" s="28"/>
      <c r="S819" s="138"/>
      <c r="T819" s="142"/>
      <c r="U819" s="142"/>
      <c r="V819" s="142"/>
    </row>
    <row r="820">
      <c r="A820" s="320"/>
      <c r="B820" s="142"/>
      <c r="C820" s="320"/>
      <c r="D820" s="124"/>
      <c r="E820" s="320"/>
      <c r="F820" s="142"/>
      <c r="G820" s="320"/>
      <c r="H820" s="142"/>
      <c r="I820" s="329"/>
      <c r="J820" s="124"/>
      <c r="K820" s="329"/>
      <c r="L820" s="124"/>
      <c r="M820" s="329"/>
      <c r="N820" s="124"/>
      <c r="O820" s="320"/>
      <c r="P820" s="142"/>
      <c r="Q820" s="193"/>
      <c r="R820" s="28"/>
      <c r="S820" s="138"/>
      <c r="T820" s="142"/>
      <c r="U820" s="142"/>
      <c r="V820" s="142"/>
    </row>
    <row r="821">
      <c r="A821" s="320"/>
      <c r="B821" s="142"/>
      <c r="C821" s="320"/>
      <c r="D821" s="124"/>
      <c r="E821" s="320"/>
      <c r="F821" s="142"/>
      <c r="G821" s="320"/>
      <c r="H821" s="142"/>
      <c r="I821" s="329"/>
      <c r="J821" s="124"/>
      <c r="K821" s="329"/>
      <c r="L821" s="124"/>
      <c r="M821" s="329"/>
      <c r="N821" s="124"/>
      <c r="O821" s="320"/>
      <c r="P821" s="142"/>
      <c r="Q821" s="193"/>
      <c r="R821" s="28"/>
      <c r="S821" s="138"/>
      <c r="T821" s="142"/>
      <c r="U821" s="142"/>
      <c r="V821" s="142"/>
    </row>
    <row r="822">
      <c r="A822" s="320"/>
      <c r="B822" s="142"/>
      <c r="C822" s="320"/>
      <c r="D822" s="124"/>
      <c r="E822" s="320"/>
      <c r="F822" s="142"/>
      <c r="G822" s="320"/>
      <c r="H822" s="142"/>
      <c r="I822" s="329"/>
      <c r="J822" s="124"/>
      <c r="K822" s="329"/>
      <c r="L822" s="124"/>
      <c r="M822" s="329"/>
      <c r="N822" s="124"/>
      <c r="O822" s="320"/>
      <c r="P822" s="142"/>
      <c r="Q822" s="193"/>
      <c r="R822" s="28"/>
      <c r="S822" s="138"/>
      <c r="T822" s="142"/>
      <c r="U822" s="142"/>
      <c r="V822" s="142"/>
    </row>
    <row r="823">
      <c r="A823" s="320"/>
      <c r="B823" s="142"/>
      <c r="C823" s="320"/>
      <c r="D823" s="124"/>
      <c r="E823" s="320"/>
      <c r="F823" s="142"/>
      <c r="G823" s="320"/>
      <c r="H823" s="142"/>
      <c r="I823" s="329"/>
      <c r="J823" s="124"/>
      <c r="K823" s="329"/>
      <c r="L823" s="124"/>
      <c r="M823" s="329"/>
      <c r="N823" s="124"/>
      <c r="O823" s="320"/>
      <c r="P823" s="142"/>
      <c r="Q823" s="193"/>
      <c r="R823" s="28"/>
      <c r="S823" s="138"/>
      <c r="T823" s="142"/>
      <c r="U823" s="142"/>
      <c r="V823" s="142"/>
    </row>
    <row r="824">
      <c r="A824" s="320"/>
      <c r="B824" s="142"/>
      <c r="C824" s="320"/>
      <c r="D824" s="124"/>
      <c r="E824" s="320"/>
      <c r="F824" s="142"/>
      <c r="G824" s="320"/>
      <c r="H824" s="142"/>
      <c r="I824" s="329"/>
      <c r="J824" s="124"/>
      <c r="K824" s="329"/>
      <c r="L824" s="124"/>
      <c r="M824" s="329"/>
      <c r="N824" s="124"/>
      <c r="O824" s="320"/>
      <c r="P824" s="142"/>
      <c r="Q824" s="193"/>
      <c r="R824" s="28"/>
      <c r="S824" s="138"/>
      <c r="T824" s="142"/>
      <c r="U824" s="142"/>
      <c r="V824" s="142"/>
    </row>
    <row r="825">
      <c r="A825" s="320"/>
      <c r="B825" s="142"/>
      <c r="C825" s="320"/>
      <c r="D825" s="124"/>
      <c r="E825" s="320"/>
      <c r="F825" s="142"/>
      <c r="G825" s="320"/>
      <c r="H825" s="142"/>
      <c r="I825" s="329"/>
      <c r="J825" s="124"/>
      <c r="K825" s="329"/>
      <c r="L825" s="124"/>
      <c r="M825" s="329"/>
      <c r="N825" s="124"/>
      <c r="O825" s="320"/>
      <c r="P825" s="142"/>
      <c r="Q825" s="193"/>
      <c r="R825" s="28"/>
      <c r="S825" s="138"/>
      <c r="T825" s="142"/>
      <c r="U825" s="142"/>
      <c r="V825" s="142"/>
    </row>
    <row r="826">
      <c r="A826" s="320"/>
      <c r="B826" s="142"/>
      <c r="C826" s="320"/>
      <c r="D826" s="124"/>
      <c r="E826" s="320"/>
      <c r="F826" s="142"/>
      <c r="G826" s="320"/>
      <c r="H826" s="142"/>
      <c r="I826" s="329"/>
      <c r="J826" s="124"/>
      <c r="K826" s="329"/>
      <c r="L826" s="124"/>
      <c r="M826" s="329"/>
      <c r="N826" s="124"/>
      <c r="O826" s="320"/>
      <c r="P826" s="142"/>
      <c r="Q826" s="193"/>
      <c r="R826" s="28"/>
      <c r="S826" s="138"/>
      <c r="T826" s="142"/>
      <c r="U826" s="142"/>
      <c r="V826" s="142"/>
    </row>
    <row r="827">
      <c r="A827" s="320"/>
      <c r="B827" s="142"/>
      <c r="C827" s="320"/>
      <c r="D827" s="124"/>
      <c r="E827" s="320"/>
      <c r="F827" s="142"/>
      <c r="G827" s="320"/>
      <c r="H827" s="142"/>
      <c r="I827" s="329"/>
      <c r="J827" s="124"/>
      <c r="K827" s="329"/>
      <c r="L827" s="124"/>
      <c r="M827" s="329"/>
      <c r="N827" s="124"/>
      <c r="O827" s="320"/>
      <c r="P827" s="142"/>
      <c r="Q827" s="193"/>
      <c r="R827" s="28"/>
      <c r="S827" s="138"/>
      <c r="T827" s="142"/>
      <c r="U827" s="142"/>
      <c r="V827" s="142"/>
    </row>
    <row r="828">
      <c r="A828" s="320"/>
      <c r="B828" s="142"/>
      <c r="C828" s="320"/>
      <c r="D828" s="124"/>
      <c r="E828" s="320"/>
      <c r="F828" s="142"/>
      <c r="G828" s="320"/>
      <c r="H828" s="142"/>
      <c r="I828" s="329"/>
      <c r="J828" s="124"/>
      <c r="K828" s="329"/>
      <c r="L828" s="124"/>
      <c r="M828" s="329"/>
      <c r="N828" s="124"/>
      <c r="O828" s="320"/>
      <c r="P828" s="142"/>
      <c r="Q828" s="193"/>
      <c r="R828" s="28"/>
      <c r="S828" s="138"/>
      <c r="T828" s="142"/>
      <c r="U828" s="142"/>
      <c r="V828" s="142"/>
    </row>
    <row r="829">
      <c r="A829" s="320"/>
      <c r="B829" s="142"/>
      <c r="C829" s="320"/>
      <c r="D829" s="124"/>
      <c r="E829" s="320"/>
      <c r="F829" s="142"/>
      <c r="G829" s="320"/>
      <c r="H829" s="142"/>
      <c r="I829" s="329"/>
      <c r="J829" s="124"/>
      <c r="K829" s="329"/>
      <c r="L829" s="124"/>
      <c r="M829" s="329"/>
      <c r="N829" s="124"/>
      <c r="O829" s="320"/>
      <c r="P829" s="142"/>
      <c r="Q829" s="193"/>
      <c r="R829" s="28"/>
      <c r="S829" s="138"/>
      <c r="T829" s="142"/>
      <c r="U829" s="142"/>
      <c r="V829" s="142"/>
    </row>
    <row r="830">
      <c r="A830" s="320"/>
      <c r="B830" s="142"/>
      <c r="C830" s="320"/>
      <c r="D830" s="124"/>
      <c r="E830" s="320"/>
      <c r="F830" s="142"/>
      <c r="G830" s="320"/>
      <c r="H830" s="142"/>
      <c r="I830" s="329"/>
      <c r="J830" s="124"/>
      <c r="K830" s="329"/>
      <c r="L830" s="124"/>
      <c r="M830" s="329"/>
      <c r="N830" s="124"/>
      <c r="O830" s="320"/>
      <c r="P830" s="142"/>
      <c r="Q830" s="193"/>
      <c r="R830" s="28"/>
      <c r="S830" s="138"/>
      <c r="T830" s="142"/>
      <c r="U830" s="142"/>
      <c r="V830" s="142"/>
    </row>
    <row r="831">
      <c r="A831" s="320"/>
      <c r="B831" s="142"/>
      <c r="C831" s="320"/>
      <c r="D831" s="124"/>
      <c r="E831" s="320"/>
      <c r="F831" s="142"/>
      <c r="G831" s="320"/>
      <c r="H831" s="142"/>
      <c r="I831" s="329"/>
      <c r="J831" s="124"/>
      <c r="K831" s="329"/>
      <c r="L831" s="124"/>
      <c r="M831" s="329"/>
      <c r="N831" s="124"/>
      <c r="O831" s="320"/>
      <c r="P831" s="142"/>
      <c r="Q831" s="193"/>
      <c r="R831" s="28"/>
      <c r="S831" s="138"/>
      <c r="T831" s="142"/>
      <c r="U831" s="142"/>
      <c r="V831" s="142"/>
    </row>
    <row r="832">
      <c r="A832" s="320"/>
      <c r="B832" s="142"/>
      <c r="C832" s="320"/>
      <c r="D832" s="124"/>
      <c r="E832" s="320"/>
      <c r="F832" s="142"/>
      <c r="G832" s="320"/>
      <c r="H832" s="142"/>
      <c r="I832" s="329"/>
      <c r="J832" s="124"/>
      <c r="K832" s="329"/>
      <c r="L832" s="124"/>
      <c r="M832" s="329"/>
      <c r="N832" s="124"/>
      <c r="O832" s="320"/>
      <c r="P832" s="142"/>
      <c r="Q832" s="193"/>
      <c r="R832" s="28"/>
      <c r="S832" s="138"/>
      <c r="T832" s="142"/>
      <c r="U832" s="142"/>
      <c r="V832" s="142"/>
    </row>
    <row r="833">
      <c r="A833" s="320"/>
      <c r="B833" s="142"/>
      <c r="C833" s="320"/>
      <c r="D833" s="124"/>
      <c r="E833" s="320"/>
      <c r="F833" s="142"/>
      <c r="G833" s="320"/>
      <c r="H833" s="142"/>
      <c r="I833" s="329"/>
      <c r="J833" s="124"/>
      <c r="K833" s="329"/>
      <c r="L833" s="124"/>
      <c r="M833" s="329"/>
      <c r="N833" s="124"/>
      <c r="O833" s="320"/>
      <c r="P833" s="142"/>
      <c r="Q833" s="193"/>
      <c r="R833" s="28"/>
      <c r="S833" s="138"/>
      <c r="T833" s="142"/>
      <c r="U833" s="142"/>
      <c r="V833" s="142"/>
    </row>
    <row r="834">
      <c r="A834" s="320"/>
      <c r="B834" s="142"/>
      <c r="C834" s="320"/>
      <c r="D834" s="124"/>
      <c r="E834" s="320"/>
      <c r="F834" s="142"/>
      <c r="G834" s="320"/>
      <c r="H834" s="142"/>
      <c r="I834" s="329"/>
      <c r="J834" s="124"/>
      <c r="K834" s="329"/>
      <c r="L834" s="124"/>
      <c r="M834" s="329"/>
      <c r="N834" s="124"/>
      <c r="O834" s="320"/>
      <c r="P834" s="142"/>
      <c r="Q834" s="193"/>
      <c r="R834" s="28"/>
      <c r="S834" s="138"/>
      <c r="T834" s="142"/>
      <c r="U834" s="142"/>
      <c r="V834" s="142"/>
    </row>
    <row r="835">
      <c r="A835" s="320"/>
      <c r="B835" s="142"/>
      <c r="C835" s="320"/>
      <c r="D835" s="124"/>
      <c r="E835" s="320"/>
      <c r="F835" s="142"/>
      <c r="G835" s="320"/>
      <c r="H835" s="142"/>
      <c r="I835" s="329"/>
      <c r="J835" s="124"/>
      <c r="K835" s="329"/>
      <c r="L835" s="124"/>
      <c r="M835" s="329"/>
      <c r="N835" s="124"/>
      <c r="O835" s="320"/>
      <c r="P835" s="142"/>
      <c r="Q835" s="193"/>
      <c r="R835" s="28"/>
      <c r="S835" s="138"/>
      <c r="T835" s="142"/>
      <c r="U835" s="142"/>
      <c r="V835" s="142"/>
    </row>
    <row r="836">
      <c r="A836" s="320"/>
      <c r="B836" s="142"/>
      <c r="C836" s="320"/>
      <c r="D836" s="124"/>
      <c r="E836" s="320"/>
      <c r="F836" s="142"/>
      <c r="G836" s="320"/>
      <c r="H836" s="142"/>
      <c r="I836" s="329"/>
      <c r="J836" s="124"/>
      <c r="K836" s="329"/>
      <c r="L836" s="124"/>
      <c r="M836" s="329"/>
      <c r="N836" s="124"/>
      <c r="O836" s="320"/>
      <c r="P836" s="142"/>
      <c r="Q836" s="193"/>
      <c r="R836" s="28"/>
      <c r="S836" s="138"/>
      <c r="T836" s="142"/>
      <c r="U836" s="142"/>
      <c r="V836" s="142"/>
    </row>
    <row r="837">
      <c r="A837" s="320"/>
      <c r="B837" s="142"/>
      <c r="C837" s="320"/>
      <c r="D837" s="124"/>
      <c r="E837" s="320"/>
      <c r="F837" s="142"/>
      <c r="G837" s="320"/>
      <c r="H837" s="142"/>
      <c r="I837" s="329"/>
      <c r="J837" s="124"/>
      <c r="K837" s="329"/>
      <c r="L837" s="124"/>
      <c r="M837" s="329"/>
      <c r="N837" s="124"/>
      <c r="O837" s="320"/>
      <c r="P837" s="142"/>
      <c r="Q837" s="193"/>
      <c r="R837" s="28"/>
      <c r="S837" s="138"/>
      <c r="T837" s="142"/>
      <c r="U837" s="142"/>
      <c r="V837" s="142"/>
    </row>
    <row r="838">
      <c r="A838" s="320"/>
      <c r="B838" s="142"/>
      <c r="C838" s="320"/>
      <c r="D838" s="124"/>
      <c r="E838" s="320"/>
      <c r="F838" s="142"/>
      <c r="G838" s="320"/>
      <c r="H838" s="142"/>
      <c r="I838" s="329"/>
      <c r="J838" s="124"/>
      <c r="K838" s="329"/>
      <c r="L838" s="124"/>
      <c r="M838" s="329"/>
      <c r="N838" s="124"/>
      <c r="O838" s="320"/>
      <c r="P838" s="142"/>
      <c r="Q838" s="193"/>
      <c r="R838" s="28"/>
      <c r="S838" s="138"/>
      <c r="T838" s="142"/>
      <c r="U838" s="142"/>
      <c r="V838" s="142"/>
    </row>
    <row r="839">
      <c r="A839" s="320"/>
      <c r="B839" s="142"/>
      <c r="C839" s="320"/>
      <c r="D839" s="124"/>
      <c r="E839" s="320"/>
      <c r="F839" s="142"/>
      <c r="G839" s="320"/>
      <c r="H839" s="142"/>
      <c r="I839" s="329"/>
      <c r="J839" s="124"/>
      <c r="K839" s="329"/>
      <c r="L839" s="124"/>
      <c r="M839" s="329"/>
      <c r="N839" s="124"/>
      <c r="O839" s="320"/>
      <c r="P839" s="142"/>
      <c r="Q839" s="193"/>
      <c r="R839" s="28"/>
      <c r="S839" s="138"/>
      <c r="T839" s="142"/>
      <c r="U839" s="142"/>
      <c r="V839" s="142"/>
    </row>
    <row r="840">
      <c r="A840" s="320"/>
      <c r="B840" s="142"/>
      <c r="C840" s="320"/>
      <c r="D840" s="124"/>
      <c r="E840" s="320"/>
      <c r="F840" s="142"/>
      <c r="G840" s="320"/>
      <c r="H840" s="142"/>
      <c r="I840" s="329"/>
      <c r="J840" s="124"/>
      <c r="K840" s="329"/>
      <c r="L840" s="124"/>
      <c r="M840" s="329"/>
      <c r="N840" s="124"/>
      <c r="O840" s="320"/>
      <c r="P840" s="142"/>
      <c r="Q840" s="193"/>
      <c r="R840" s="28"/>
      <c r="S840" s="138"/>
      <c r="T840" s="142"/>
      <c r="U840" s="142"/>
      <c r="V840" s="142"/>
    </row>
    <row r="841">
      <c r="A841" s="320"/>
      <c r="B841" s="142"/>
      <c r="C841" s="320"/>
      <c r="D841" s="124"/>
      <c r="E841" s="320"/>
      <c r="F841" s="142"/>
      <c r="G841" s="320"/>
      <c r="H841" s="142"/>
      <c r="I841" s="329"/>
      <c r="J841" s="124"/>
      <c r="K841" s="329"/>
      <c r="L841" s="124"/>
      <c r="M841" s="329"/>
      <c r="N841" s="124"/>
      <c r="O841" s="320"/>
      <c r="P841" s="142"/>
      <c r="Q841" s="193"/>
      <c r="R841" s="28"/>
      <c r="S841" s="138"/>
      <c r="T841" s="142"/>
      <c r="U841" s="142"/>
      <c r="V841" s="142"/>
    </row>
    <row r="842">
      <c r="A842" s="320"/>
      <c r="B842" s="142"/>
      <c r="C842" s="320"/>
      <c r="D842" s="124"/>
      <c r="E842" s="320"/>
      <c r="F842" s="142"/>
      <c r="G842" s="320"/>
      <c r="H842" s="142"/>
      <c r="I842" s="329"/>
      <c r="J842" s="124"/>
      <c r="K842" s="329"/>
      <c r="L842" s="124"/>
      <c r="M842" s="329"/>
      <c r="N842" s="124"/>
      <c r="O842" s="320"/>
      <c r="P842" s="142"/>
      <c r="Q842" s="193"/>
      <c r="R842" s="28"/>
      <c r="S842" s="138"/>
      <c r="T842" s="142"/>
      <c r="U842" s="142"/>
      <c r="V842" s="142"/>
    </row>
    <row r="843">
      <c r="A843" s="320"/>
      <c r="B843" s="142"/>
      <c r="C843" s="320"/>
      <c r="D843" s="124"/>
      <c r="E843" s="320"/>
      <c r="F843" s="142"/>
      <c r="G843" s="320"/>
      <c r="H843" s="142"/>
      <c r="I843" s="329"/>
      <c r="J843" s="124"/>
      <c r="K843" s="329"/>
      <c r="L843" s="124"/>
      <c r="M843" s="329"/>
      <c r="N843" s="124"/>
      <c r="O843" s="320"/>
      <c r="P843" s="142"/>
      <c r="Q843" s="193"/>
      <c r="R843" s="28"/>
      <c r="S843" s="138"/>
      <c r="T843" s="142"/>
      <c r="U843" s="142"/>
      <c r="V843" s="142"/>
    </row>
    <row r="844">
      <c r="A844" s="320"/>
      <c r="B844" s="142"/>
      <c r="C844" s="320"/>
      <c r="D844" s="124"/>
      <c r="E844" s="320"/>
      <c r="F844" s="142"/>
      <c r="G844" s="320"/>
      <c r="H844" s="142"/>
      <c r="I844" s="329"/>
      <c r="J844" s="124"/>
      <c r="K844" s="329"/>
      <c r="L844" s="124"/>
      <c r="M844" s="329"/>
      <c r="N844" s="124"/>
      <c r="O844" s="320"/>
      <c r="P844" s="142"/>
      <c r="Q844" s="193"/>
      <c r="R844" s="28"/>
      <c r="S844" s="138"/>
      <c r="T844" s="142"/>
      <c r="U844" s="142"/>
      <c r="V844" s="142"/>
    </row>
    <row r="845">
      <c r="A845" s="320"/>
      <c r="B845" s="142"/>
      <c r="C845" s="320"/>
      <c r="D845" s="124"/>
      <c r="E845" s="320"/>
      <c r="F845" s="142"/>
      <c r="G845" s="320"/>
      <c r="H845" s="142"/>
      <c r="I845" s="329"/>
      <c r="J845" s="124"/>
      <c r="K845" s="329"/>
      <c r="L845" s="124"/>
      <c r="M845" s="329"/>
      <c r="N845" s="124"/>
      <c r="O845" s="320"/>
      <c r="P845" s="142"/>
      <c r="Q845" s="193"/>
      <c r="R845" s="28"/>
      <c r="S845" s="138"/>
      <c r="T845" s="142"/>
      <c r="U845" s="142"/>
      <c r="V845" s="142"/>
    </row>
    <row r="846">
      <c r="A846" s="320"/>
      <c r="B846" s="142"/>
      <c r="C846" s="320"/>
      <c r="D846" s="124"/>
      <c r="E846" s="320"/>
      <c r="F846" s="142"/>
      <c r="G846" s="320"/>
      <c r="H846" s="142"/>
      <c r="I846" s="329"/>
      <c r="J846" s="124"/>
      <c r="K846" s="329"/>
      <c r="L846" s="124"/>
      <c r="M846" s="329"/>
      <c r="N846" s="124"/>
      <c r="O846" s="320"/>
      <c r="P846" s="142"/>
      <c r="Q846" s="193"/>
      <c r="R846" s="28"/>
      <c r="S846" s="138"/>
      <c r="T846" s="142"/>
      <c r="U846" s="142"/>
      <c r="V846" s="142"/>
    </row>
    <row r="847">
      <c r="A847" s="320"/>
      <c r="B847" s="142"/>
      <c r="C847" s="320"/>
      <c r="D847" s="124"/>
      <c r="E847" s="320"/>
      <c r="F847" s="142"/>
      <c r="G847" s="320"/>
      <c r="H847" s="142"/>
      <c r="I847" s="329"/>
      <c r="J847" s="124"/>
      <c r="K847" s="329"/>
      <c r="L847" s="124"/>
      <c r="M847" s="329"/>
      <c r="N847" s="124"/>
      <c r="O847" s="320"/>
      <c r="P847" s="142"/>
      <c r="Q847" s="193"/>
      <c r="R847" s="28"/>
      <c r="S847" s="138"/>
      <c r="T847" s="142"/>
      <c r="U847" s="142"/>
      <c r="V847" s="142"/>
    </row>
    <row r="848">
      <c r="A848" s="320"/>
      <c r="B848" s="142"/>
      <c r="C848" s="320"/>
      <c r="D848" s="124"/>
      <c r="E848" s="320"/>
      <c r="F848" s="142"/>
      <c r="G848" s="320"/>
      <c r="H848" s="142"/>
      <c r="I848" s="329"/>
      <c r="J848" s="124"/>
      <c r="K848" s="329"/>
      <c r="L848" s="124"/>
      <c r="M848" s="329"/>
      <c r="N848" s="124"/>
      <c r="O848" s="320"/>
      <c r="P848" s="142"/>
      <c r="Q848" s="193"/>
      <c r="R848" s="28"/>
      <c r="S848" s="138"/>
      <c r="T848" s="142"/>
      <c r="U848" s="142"/>
      <c r="V848" s="142"/>
    </row>
    <row r="849">
      <c r="A849" s="320"/>
      <c r="B849" s="142"/>
      <c r="C849" s="320"/>
      <c r="D849" s="124"/>
      <c r="E849" s="320"/>
      <c r="F849" s="142"/>
      <c r="G849" s="320"/>
      <c r="H849" s="142"/>
      <c r="I849" s="329"/>
      <c r="J849" s="124"/>
      <c r="K849" s="329"/>
      <c r="L849" s="124"/>
      <c r="M849" s="329"/>
      <c r="N849" s="124"/>
      <c r="O849" s="320"/>
      <c r="P849" s="142"/>
      <c r="Q849" s="193"/>
      <c r="R849" s="28"/>
      <c r="S849" s="138"/>
      <c r="T849" s="142"/>
      <c r="U849" s="142"/>
      <c r="V849" s="142"/>
    </row>
    <row r="850">
      <c r="A850" s="320"/>
      <c r="B850" s="142"/>
      <c r="C850" s="320"/>
      <c r="D850" s="124"/>
      <c r="E850" s="320"/>
      <c r="F850" s="142"/>
      <c r="G850" s="320"/>
      <c r="H850" s="142"/>
      <c r="I850" s="329"/>
      <c r="J850" s="124"/>
      <c r="K850" s="329"/>
      <c r="L850" s="124"/>
      <c r="M850" s="329"/>
      <c r="N850" s="124"/>
      <c r="O850" s="320"/>
      <c r="P850" s="142"/>
      <c r="Q850" s="193"/>
      <c r="R850" s="28"/>
      <c r="S850" s="138"/>
      <c r="T850" s="142"/>
      <c r="U850" s="142"/>
      <c r="V850" s="142"/>
    </row>
    <row r="851">
      <c r="A851" s="320"/>
      <c r="B851" s="142"/>
      <c r="C851" s="320"/>
      <c r="D851" s="124"/>
      <c r="E851" s="320"/>
      <c r="F851" s="142"/>
      <c r="G851" s="320"/>
      <c r="H851" s="142"/>
      <c r="I851" s="329"/>
      <c r="J851" s="124"/>
      <c r="K851" s="329"/>
      <c r="L851" s="124"/>
      <c r="M851" s="329"/>
      <c r="N851" s="124"/>
      <c r="O851" s="320"/>
      <c r="P851" s="142"/>
      <c r="Q851" s="193"/>
      <c r="R851" s="28"/>
      <c r="S851" s="138"/>
      <c r="T851" s="142"/>
      <c r="U851" s="142"/>
      <c r="V851" s="142"/>
    </row>
    <row r="852">
      <c r="A852" s="320"/>
      <c r="B852" s="142"/>
      <c r="C852" s="320"/>
      <c r="D852" s="124"/>
      <c r="E852" s="320"/>
      <c r="F852" s="142"/>
      <c r="G852" s="320"/>
      <c r="H852" s="142"/>
      <c r="I852" s="329"/>
      <c r="J852" s="124"/>
      <c r="K852" s="329"/>
      <c r="L852" s="124"/>
      <c r="M852" s="329"/>
      <c r="N852" s="124"/>
      <c r="O852" s="320"/>
      <c r="P852" s="142"/>
      <c r="Q852" s="193"/>
      <c r="R852" s="28"/>
      <c r="S852" s="138"/>
      <c r="T852" s="142"/>
      <c r="U852" s="142"/>
      <c r="V852" s="142"/>
    </row>
    <row r="853">
      <c r="A853" s="320"/>
      <c r="B853" s="142"/>
      <c r="C853" s="320"/>
      <c r="D853" s="124"/>
      <c r="E853" s="320"/>
      <c r="F853" s="142"/>
      <c r="G853" s="320"/>
      <c r="H853" s="142"/>
      <c r="I853" s="329"/>
      <c r="J853" s="124"/>
      <c r="K853" s="329"/>
      <c r="L853" s="124"/>
      <c r="M853" s="329"/>
      <c r="N853" s="124"/>
      <c r="O853" s="320"/>
      <c r="P853" s="142"/>
      <c r="Q853" s="193"/>
      <c r="R853" s="28"/>
      <c r="S853" s="138"/>
      <c r="T853" s="142"/>
      <c r="U853" s="142"/>
      <c r="V853" s="142"/>
    </row>
    <row r="854">
      <c r="A854" s="320"/>
      <c r="B854" s="142"/>
      <c r="C854" s="320"/>
      <c r="D854" s="124"/>
      <c r="E854" s="320"/>
      <c r="F854" s="142"/>
      <c r="G854" s="320"/>
      <c r="H854" s="142"/>
      <c r="I854" s="329"/>
      <c r="J854" s="124"/>
      <c r="K854" s="329"/>
      <c r="L854" s="124"/>
      <c r="M854" s="329"/>
      <c r="N854" s="124"/>
      <c r="O854" s="320"/>
      <c r="P854" s="142"/>
      <c r="Q854" s="193"/>
      <c r="R854" s="28"/>
      <c r="S854" s="138"/>
      <c r="T854" s="142"/>
      <c r="U854" s="142"/>
      <c r="V854" s="142"/>
    </row>
    <row r="855">
      <c r="A855" s="320"/>
      <c r="B855" s="142"/>
      <c r="C855" s="320"/>
      <c r="D855" s="124"/>
      <c r="E855" s="320"/>
      <c r="F855" s="142"/>
      <c r="G855" s="320"/>
      <c r="H855" s="142"/>
      <c r="I855" s="329"/>
      <c r="J855" s="124"/>
      <c r="K855" s="329"/>
      <c r="L855" s="124"/>
      <c r="M855" s="329"/>
      <c r="N855" s="124"/>
      <c r="O855" s="320"/>
      <c r="P855" s="142"/>
      <c r="Q855" s="193"/>
      <c r="R855" s="28"/>
      <c r="S855" s="138"/>
      <c r="T855" s="142"/>
      <c r="U855" s="142"/>
      <c r="V855" s="142"/>
    </row>
    <row r="856">
      <c r="A856" s="320"/>
      <c r="B856" s="142"/>
      <c r="C856" s="320"/>
      <c r="D856" s="124"/>
      <c r="E856" s="320"/>
      <c r="F856" s="142"/>
      <c r="G856" s="320"/>
      <c r="H856" s="142"/>
      <c r="I856" s="329"/>
      <c r="J856" s="124"/>
      <c r="K856" s="329"/>
      <c r="L856" s="124"/>
      <c r="M856" s="329"/>
      <c r="N856" s="124"/>
      <c r="O856" s="320"/>
      <c r="P856" s="142"/>
      <c r="Q856" s="193"/>
      <c r="R856" s="28"/>
      <c r="S856" s="138"/>
      <c r="T856" s="142"/>
      <c r="U856" s="142"/>
      <c r="V856" s="142"/>
    </row>
    <row r="857">
      <c r="A857" s="320"/>
      <c r="B857" s="142"/>
      <c r="C857" s="320"/>
      <c r="D857" s="124"/>
      <c r="E857" s="320"/>
      <c r="F857" s="142"/>
      <c r="G857" s="320"/>
      <c r="H857" s="142"/>
      <c r="I857" s="329"/>
      <c r="J857" s="124"/>
      <c r="K857" s="329"/>
      <c r="L857" s="124"/>
      <c r="M857" s="329"/>
      <c r="N857" s="124"/>
      <c r="O857" s="320"/>
      <c r="P857" s="142"/>
      <c r="Q857" s="193"/>
      <c r="R857" s="28"/>
      <c r="S857" s="138"/>
      <c r="T857" s="142"/>
      <c r="U857" s="142"/>
      <c r="V857" s="142"/>
    </row>
    <row r="858">
      <c r="A858" s="320"/>
      <c r="B858" s="142"/>
      <c r="C858" s="320"/>
      <c r="D858" s="124"/>
      <c r="E858" s="320"/>
      <c r="F858" s="142"/>
      <c r="G858" s="320"/>
      <c r="H858" s="142"/>
      <c r="I858" s="329"/>
      <c r="J858" s="124"/>
      <c r="K858" s="329"/>
      <c r="L858" s="124"/>
      <c r="M858" s="329"/>
      <c r="N858" s="124"/>
      <c r="O858" s="320"/>
      <c r="P858" s="142"/>
      <c r="Q858" s="193"/>
      <c r="R858" s="28"/>
      <c r="S858" s="138"/>
      <c r="T858" s="142"/>
      <c r="U858" s="142"/>
      <c r="V858" s="142"/>
    </row>
    <row r="859">
      <c r="A859" s="320"/>
      <c r="B859" s="142"/>
      <c r="C859" s="320"/>
      <c r="D859" s="124"/>
      <c r="E859" s="320"/>
      <c r="F859" s="142"/>
      <c r="G859" s="320"/>
      <c r="H859" s="142"/>
      <c r="I859" s="329"/>
      <c r="J859" s="124"/>
      <c r="K859" s="329"/>
      <c r="L859" s="124"/>
      <c r="M859" s="329"/>
      <c r="N859" s="124"/>
      <c r="O859" s="320"/>
      <c r="P859" s="142"/>
      <c r="Q859" s="193"/>
      <c r="R859" s="28"/>
      <c r="S859" s="138"/>
      <c r="T859" s="142"/>
      <c r="U859" s="142"/>
      <c r="V859" s="142"/>
    </row>
    <row r="860">
      <c r="A860" s="320"/>
      <c r="B860" s="142"/>
      <c r="C860" s="320"/>
      <c r="D860" s="124"/>
      <c r="E860" s="320"/>
      <c r="F860" s="142"/>
      <c r="G860" s="320"/>
      <c r="H860" s="142"/>
      <c r="I860" s="329"/>
      <c r="J860" s="124"/>
      <c r="K860" s="329"/>
      <c r="L860" s="124"/>
      <c r="M860" s="329"/>
      <c r="N860" s="124"/>
      <c r="O860" s="320"/>
      <c r="P860" s="142"/>
      <c r="Q860" s="193"/>
      <c r="R860" s="28"/>
      <c r="S860" s="138"/>
      <c r="T860" s="142"/>
      <c r="U860" s="142"/>
      <c r="V860" s="142"/>
    </row>
    <row r="861">
      <c r="A861" s="320"/>
      <c r="B861" s="142"/>
      <c r="C861" s="320"/>
      <c r="D861" s="124"/>
      <c r="E861" s="320"/>
      <c r="F861" s="142"/>
      <c r="G861" s="320"/>
      <c r="H861" s="142"/>
      <c r="I861" s="329"/>
      <c r="J861" s="124"/>
      <c r="K861" s="329"/>
      <c r="L861" s="124"/>
      <c r="M861" s="329"/>
      <c r="N861" s="124"/>
      <c r="O861" s="320"/>
      <c r="P861" s="142"/>
      <c r="Q861" s="193"/>
      <c r="R861" s="28"/>
      <c r="S861" s="138"/>
      <c r="T861" s="142"/>
      <c r="U861" s="142"/>
      <c r="V861" s="142"/>
    </row>
    <row r="862">
      <c r="A862" s="320"/>
      <c r="B862" s="142"/>
      <c r="C862" s="320"/>
      <c r="D862" s="124"/>
      <c r="E862" s="320"/>
      <c r="F862" s="142"/>
      <c r="G862" s="320"/>
      <c r="H862" s="142"/>
      <c r="I862" s="329"/>
      <c r="J862" s="124"/>
      <c r="K862" s="329"/>
      <c r="L862" s="124"/>
      <c r="M862" s="329"/>
      <c r="N862" s="124"/>
      <c r="O862" s="320"/>
      <c r="P862" s="142"/>
      <c r="Q862" s="193"/>
      <c r="R862" s="28"/>
      <c r="S862" s="138"/>
      <c r="T862" s="142"/>
      <c r="U862" s="142"/>
      <c r="V862" s="142"/>
    </row>
    <row r="863">
      <c r="A863" s="320"/>
      <c r="B863" s="142"/>
      <c r="C863" s="320"/>
      <c r="D863" s="124"/>
      <c r="E863" s="320"/>
      <c r="F863" s="142"/>
      <c r="G863" s="320"/>
      <c r="H863" s="142"/>
      <c r="I863" s="329"/>
      <c r="J863" s="124"/>
      <c r="K863" s="329"/>
      <c r="L863" s="124"/>
      <c r="M863" s="329"/>
      <c r="N863" s="124"/>
      <c r="O863" s="320"/>
      <c r="P863" s="142"/>
      <c r="Q863" s="193"/>
      <c r="R863" s="28"/>
      <c r="S863" s="138"/>
      <c r="T863" s="142"/>
      <c r="U863" s="142"/>
      <c r="V863" s="142"/>
    </row>
    <row r="864">
      <c r="A864" s="320"/>
      <c r="B864" s="142"/>
      <c r="C864" s="320"/>
      <c r="D864" s="124"/>
      <c r="E864" s="320"/>
      <c r="F864" s="142"/>
      <c r="G864" s="320"/>
      <c r="H864" s="142"/>
      <c r="I864" s="329"/>
      <c r="J864" s="124"/>
      <c r="K864" s="329"/>
      <c r="L864" s="124"/>
      <c r="M864" s="329"/>
      <c r="N864" s="124"/>
      <c r="O864" s="320"/>
      <c r="P864" s="142"/>
      <c r="Q864" s="193"/>
      <c r="R864" s="28"/>
      <c r="S864" s="138"/>
      <c r="T864" s="142"/>
      <c r="U864" s="142"/>
      <c r="V864" s="142"/>
    </row>
    <row r="865">
      <c r="A865" s="320"/>
      <c r="B865" s="142"/>
      <c r="C865" s="320"/>
      <c r="D865" s="124"/>
      <c r="E865" s="320"/>
      <c r="F865" s="142"/>
      <c r="G865" s="320"/>
      <c r="H865" s="142"/>
      <c r="I865" s="329"/>
      <c r="J865" s="124"/>
      <c r="K865" s="329"/>
      <c r="L865" s="124"/>
      <c r="M865" s="329"/>
      <c r="N865" s="124"/>
      <c r="O865" s="320"/>
      <c r="P865" s="142"/>
      <c r="Q865" s="193"/>
      <c r="R865" s="28"/>
      <c r="S865" s="138"/>
      <c r="T865" s="142"/>
      <c r="U865" s="142"/>
      <c r="V865" s="142"/>
    </row>
    <row r="866">
      <c r="A866" s="320"/>
      <c r="B866" s="142"/>
      <c r="C866" s="320"/>
      <c r="D866" s="124"/>
      <c r="E866" s="320"/>
      <c r="F866" s="142"/>
      <c r="G866" s="320"/>
      <c r="H866" s="142"/>
      <c r="I866" s="329"/>
      <c r="J866" s="124"/>
      <c r="K866" s="329"/>
      <c r="L866" s="124"/>
      <c r="M866" s="329"/>
      <c r="N866" s="124"/>
      <c r="O866" s="320"/>
      <c r="P866" s="142"/>
      <c r="Q866" s="193"/>
      <c r="R866" s="28"/>
      <c r="S866" s="138"/>
      <c r="T866" s="142"/>
      <c r="U866" s="142"/>
      <c r="V866" s="142"/>
    </row>
    <row r="867">
      <c r="A867" s="320"/>
      <c r="B867" s="142"/>
      <c r="C867" s="320"/>
      <c r="D867" s="124"/>
      <c r="E867" s="320"/>
      <c r="F867" s="142"/>
      <c r="G867" s="320"/>
      <c r="H867" s="142"/>
      <c r="I867" s="329"/>
      <c r="J867" s="124"/>
      <c r="K867" s="329"/>
      <c r="L867" s="124"/>
      <c r="M867" s="329"/>
      <c r="N867" s="124"/>
      <c r="O867" s="320"/>
      <c r="P867" s="142"/>
      <c r="Q867" s="193"/>
      <c r="R867" s="28"/>
      <c r="S867" s="138"/>
      <c r="T867" s="142"/>
      <c r="U867" s="142"/>
      <c r="V867" s="142"/>
    </row>
    <row r="868">
      <c r="A868" s="320"/>
      <c r="B868" s="142"/>
      <c r="C868" s="320"/>
      <c r="D868" s="124"/>
      <c r="E868" s="320"/>
      <c r="F868" s="142"/>
      <c r="G868" s="320"/>
      <c r="H868" s="142"/>
      <c r="I868" s="329"/>
      <c r="J868" s="124"/>
      <c r="K868" s="329"/>
      <c r="L868" s="124"/>
      <c r="M868" s="329"/>
      <c r="N868" s="124"/>
      <c r="O868" s="320"/>
      <c r="P868" s="142"/>
      <c r="Q868" s="193"/>
      <c r="R868" s="28"/>
      <c r="S868" s="138"/>
      <c r="T868" s="142"/>
      <c r="U868" s="142"/>
      <c r="V868" s="142"/>
    </row>
    <row r="869">
      <c r="A869" s="320"/>
      <c r="B869" s="142"/>
      <c r="C869" s="320"/>
      <c r="D869" s="124"/>
      <c r="E869" s="320"/>
      <c r="F869" s="142"/>
      <c r="G869" s="320"/>
      <c r="H869" s="142"/>
      <c r="I869" s="329"/>
      <c r="J869" s="124"/>
      <c r="K869" s="329"/>
      <c r="L869" s="124"/>
      <c r="M869" s="329"/>
      <c r="N869" s="124"/>
      <c r="O869" s="320"/>
      <c r="P869" s="142"/>
      <c r="Q869" s="193"/>
      <c r="R869" s="28"/>
      <c r="S869" s="138"/>
      <c r="T869" s="142"/>
      <c r="U869" s="142"/>
      <c r="V869" s="142"/>
    </row>
    <row r="870">
      <c r="A870" s="320"/>
      <c r="B870" s="142"/>
      <c r="C870" s="320"/>
      <c r="D870" s="124"/>
      <c r="E870" s="320"/>
      <c r="F870" s="142"/>
      <c r="G870" s="320"/>
      <c r="H870" s="142"/>
      <c r="I870" s="329"/>
      <c r="J870" s="124"/>
      <c r="K870" s="329"/>
      <c r="L870" s="124"/>
      <c r="M870" s="329"/>
      <c r="N870" s="124"/>
      <c r="O870" s="320"/>
      <c r="P870" s="142"/>
      <c r="Q870" s="193"/>
      <c r="R870" s="28"/>
      <c r="S870" s="138"/>
      <c r="T870" s="142"/>
      <c r="U870" s="142"/>
      <c r="V870" s="142"/>
    </row>
    <row r="871">
      <c r="A871" s="320"/>
      <c r="B871" s="142"/>
      <c r="C871" s="320"/>
      <c r="D871" s="124"/>
      <c r="E871" s="320"/>
      <c r="F871" s="142"/>
      <c r="G871" s="320"/>
      <c r="H871" s="142"/>
      <c r="I871" s="329"/>
      <c r="J871" s="124"/>
      <c r="K871" s="329"/>
      <c r="L871" s="124"/>
      <c r="M871" s="329"/>
      <c r="N871" s="124"/>
      <c r="O871" s="320"/>
      <c r="P871" s="142"/>
      <c r="Q871" s="193"/>
      <c r="R871" s="28"/>
      <c r="S871" s="138"/>
      <c r="T871" s="142"/>
      <c r="U871" s="142"/>
      <c r="V871" s="142"/>
    </row>
    <row r="872">
      <c r="A872" s="320"/>
      <c r="B872" s="142"/>
      <c r="C872" s="320"/>
      <c r="D872" s="124"/>
      <c r="E872" s="320"/>
      <c r="F872" s="142"/>
      <c r="G872" s="320"/>
      <c r="H872" s="142"/>
      <c r="I872" s="329"/>
      <c r="J872" s="124"/>
      <c r="K872" s="329"/>
      <c r="L872" s="124"/>
      <c r="M872" s="329"/>
      <c r="N872" s="124"/>
      <c r="O872" s="320"/>
      <c r="P872" s="142"/>
      <c r="Q872" s="193"/>
      <c r="R872" s="28"/>
      <c r="S872" s="138"/>
      <c r="T872" s="142"/>
      <c r="U872" s="142"/>
      <c r="V872" s="142"/>
    </row>
    <row r="873">
      <c r="A873" s="320"/>
      <c r="B873" s="142"/>
      <c r="C873" s="320"/>
      <c r="D873" s="124"/>
      <c r="E873" s="320"/>
      <c r="F873" s="142"/>
      <c r="G873" s="320"/>
      <c r="H873" s="142"/>
      <c r="I873" s="329"/>
      <c r="J873" s="124"/>
      <c r="K873" s="329"/>
      <c r="L873" s="124"/>
      <c r="M873" s="329"/>
      <c r="N873" s="124"/>
      <c r="O873" s="320"/>
      <c r="P873" s="142"/>
      <c r="Q873" s="193"/>
      <c r="R873" s="28"/>
      <c r="S873" s="138"/>
      <c r="T873" s="142"/>
      <c r="U873" s="142"/>
      <c r="V873" s="142"/>
    </row>
    <row r="874">
      <c r="A874" s="320"/>
      <c r="B874" s="142"/>
      <c r="C874" s="320"/>
      <c r="D874" s="124"/>
      <c r="E874" s="320"/>
      <c r="F874" s="142"/>
      <c r="G874" s="320"/>
      <c r="H874" s="142"/>
      <c r="I874" s="329"/>
      <c r="J874" s="124"/>
      <c r="K874" s="329"/>
      <c r="L874" s="124"/>
      <c r="M874" s="329"/>
      <c r="N874" s="124"/>
      <c r="O874" s="320"/>
      <c r="P874" s="142"/>
      <c r="Q874" s="193"/>
      <c r="R874" s="28"/>
      <c r="S874" s="138"/>
      <c r="T874" s="142"/>
      <c r="U874" s="142"/>
      <c r="V874" s="142"/>
    </row>
    <row r="875">
      <c r="A875" s="320"/>
      <c r="B875" s="142"/>
      <c r="C875" s="320"/>
      <c r="D875" s="124"/>
      <c r="E875" s="320"/>
      <c r="F875" s="142"/>
      <c r="G875" s="320"/>
      <c r="H875" s="142"/>
      <c r="I875" s="329"/>
      <c r="J875" s="124"/>
      <c r="K875" s="329"/>
      <c r="L875" s="124"/>
      <c r="M875" s="329"/>
      <c r="N875" s="124"/>
      <c r="O875" s="320"/>
      <c r="P875" s="142"/>
      <c r="Q875" s="193"/>
      <c r="R875" s="28"/>
      <c r="S875" s="138"/>
      <c r="T875" s="142"/>
      <c r="U875" s="142"/>
      <c r="V875" s="142"/>
    </row>
    <row r="876">
      <c r="A876" s="320"/>
      <c r="B876" s="142"/>
      <c r="C876" s="320"/>
      <c r="D876" s="124"/>
      <c r="E876" s="320"/>
      <c r="F876" s="142"/>
      <c r="G876" s="320"/>
      <c r="H876" s="142"/>
      <c r="I876" s="329"/>
      <c r="J876" s="124"/>
      <c r="K876" s="329"/>
      <c r="L876" s="124"/>
      <c r="M876" s="329"/>
      <c r="N876" s="124"/>
      <c r="O876" s="320"/>
      <c r="P876" s="142"/>
      <c r="Q876" s="193"/>
      <c r="R876" s="28"/>
      <c r="S876" s="138"/>
      <c r="T876" s="142"/>
      <c r="U876" s="142"/>
      <c r="V876" s="142"/>
    </row>
    <row r="877">
      <c r="A877" s="320"/>
      <c r="B877" s="142"/>
      <c r="C877" s="320"/>
      <c r="D877" s="124"/>
      <c r="E877" s="320"/>
      <c r="F877" s="142"/>
      <c r="G877" s="320"/>
      <c r="H877" s="142"/>
      <c r="I877" s="329"/>
      <c r="J877" s="124"/>
      <c r="K877" s="329"/>
      <c r="L877" s="124"/>
      <c r="M877" s="329"/>
      <c r="N877" s="124"/>
      <c r="O877" s="320"/>
      <c r="P877" s="142"/>
      <c r="Q877" s="193"/>
      <c r="R877" s="28"/>
      <c r="S877" s="138"/>
      <c r="T877" s="142"/>
      <c r="U877" s="142"/>
      <c r="V877" s="142"/>
    </row>
    <row r="878">
      <c r="A878" s="320"/>
      <c r="B878" s="142"/>
      <c r="C878" s="320"/>
      <c r="D878" s="124"/>
      <c r="E878" s="320"/>
      <c r="F878" s="142"/>
      <c r="G878" s="320"/>
      <c r="H878" s="142"/>
      <c r="I878" s="329"/>
      <c r="J878" s="124"/>
      <c r="K878" s="329"/>
      <c r="L878" s="124"/>
      <c r="M878" s="329"/>
      <c r="N878" s="124"/>
      <c r="O878" s="320"/>
      <c r="P878" s="142"/>
      <c r="Q878" s="193"/>
      <c r="R878" s="28"/>
      <c r="S878" s="138"/>
      <c r="T878" s="142"/>
      <c r="U878" s="142"/>
      <c r="V878" s="142"/>
    </row>
    <row r="879">
      <c r="A879" s="320"/>
      <c r="B879" s="142"/>
      <c r="C879" s="320"/>
      <c r="D879" s="124"/>
      <c r="E879" s="320"/>
      <c r="F879" s="142"/>
      <c r="G879" s="320"/>
      <c r="H879" s="142"/>
      <c r="I879" s="329"/>
      <c r="J879" s="124"/>
      <c r="K879" s="329"/>
      <c r="L879" s="124"/>
      <c r="M879" s="329"/>
      <c r="N879" s="124"/>
      <c r="O879" s="320"/>
      <c r="P879" s="142"/>
      <c r="Q879" s="193"/>
      <c r="R879" s="28"/>
      <c r="S879" s="138"/>
      <c r="T879" s="142"/>
      <c r="U879" s="142"/>
      <c r="V879" s="142"/>
    </row>
    <row r="880">
      <c r="A880" s="320"/>
      <c r="B880" s="142"/>
      <c r="C880" s="320"/>
      <c r="D880" s="124"/>
      <c r="E880" s="320"/>
      <c r="F880" s="142"/>
      <c r="G880" s="320"/>
      <c r="H880" s="142"/>
      <c r="I880" s="329"/>
      <c r="J880" s="124"/>
      <c r="K880" s="329"/>
      <c r="L880" s="124"/>
      <c r="M880" s="329"/>
      <c r="N880" s="124"/>
      <c r="O880" s="320"/>
      <c r="P880" s="142"/>
      <c r="Q880" s="193"/>
      <c r="R880" s="28"/>
      <c r="S880" s="138"/>
      <c r="T880" s="142"/>
      <c r="U880" s="142"/>
      <c r="V880" s="142"/>
    </row>
    <row r="881">
      <c r="A881" s="320"/>
      <c r="B881" s="142"/>
      <c r="C881" s="320"/>
      <c r="D881" s="124"/>
      <c r="E881" s="320"/>
      <c r="F881" s="142"/>
      <c r="G881" s="320"/>
      <c r="H881" s="142"/>
      <c r="I881" s="329"/>
      <c r="J881" s="124"/>
      <c r="K881" s="329"/>
      <c r="L881" s="124"/>
      <c r="M881" s="329"/>
      <c r="N881" s="124"/>
      <c r="O881" s="320"/>
      <c r="P881" s="142"/>
      <c r="Q881" s="193"/>
      <c r="R881" s="28"/>
      <c r="S881" s="138"/>
      <c r="T881" s="142"/>
      <c r="U881" s="142"/>
      <c r="V881" s="142"/>
    </row>
    <row r="882">
      <c r="A882" s="320"/>
      <c r="B882" s="142"/>
      <c r="C882" s="320"/>
      <c r="D882" s="124"/>
      <c r="E882" s="320"/>
      <c r="F882" s="142"/>
      <c r="G882" s="320"/>
      <c r="H882" s="142"/>
      <c r="I882" s="329"/>
      <c r="J882" s="124"/>
      <c r="K882" s="329"/>
      <c r="L882" s="124"/>
      <c r="M882" s="329"/>
      <c r="N882" s="124"/>
      <c r="O882" s="320"/>
      <c r="P882" s="142"/>
      <c r="Q882" s="193"/>
      <c r="R882" s="28"/>
      <c r="S882" s="138"/>
      <c r="T882" s="142"/>
      <c r="U882" s="142"/>
      <c r="V882" s="142"/>
    </row>
    <row r="883">
      <c r="A883" s="320"/>
      <c r="B883" s="142"/>
      <c r="C883" s="320"/>
      <c r="D883" s="124"/>
      <c r="E883" s="320"/>
      <c r="F883" s="142"/>
      <c r="G883" s="320"/>
      <c r="H883" s="142"/>
      <c r="I883" s="329"/>
      <c r="J883" s="124"/>
      <c r="K883" s="329"/>
      <c r="L883" s="124"/>
      <c r="M883" s="329"/>
      <c r="N883" s="124"/>
      <c r="O883" s="320"/>
      <c r="P883" s="142"/>
      <c r="Q883" s="193"/>
      <c r="R883" s="28"/>
      <c r="S883" s="138"/>
      <c r="T883" s="142"/>
      <c r="U883" s="142"/>
      <c r="V883" s="142"/>
    </row>
    <row r="884">
      <c r="A884" s="320"/>
      <c r="B884" s="142"/>
      <c r="C884" s="320"/>
      <c r="D884" s="124"/>
      <c r="E884" s="320"/>
      <c r="F884" s="142"/>
      <c r="G884" s="320"/>
      <c r="H884" s="142"/>
      <c r="I884" s="329"/>
      <c r="J884" s="124"/>
      <c r="K884" s="329"/>
      <c r="L884" s="124"/>
      <c r="M884" s="329"/>
      <c r="N884" s="124"/>
      <c r="O884" s="320"/>
      <c r="P884" s="142"/>
      <c r="Q884" s="193"/>
      <c r="R884" s="28"/>
      <c r="S884" s="138"/>
      <c r="T884" s="142"/>
      <c r="U884" s="142"/>
      <c r="V884" s="142"/>
    </row>
    <row r="885">
      <c r="A885" s="320"/>
      <c r="B885" s="142"/>
      <c r="C885" s="320"/>
      <c r="D885" s="124"/>
      <c r="E885" s="320"/>
      <c r="F885" s="142"/>
      <c r="G885" s="320"/>
      <c r="H885" s="142"/>
      <c r="I885" s="329"/>
      <c r="J885" s="124"/>
      <c r="K885" s="329"/>
      <c r="L885" s="124"/>
      <c r="M885" s="329"/>
      <c r="N885" s="124"/>
      <c r="O885" s="320"/>
      <c r="P885" s="142"/>
      <c r="Q885" s="193"/>
      <c r="R885" s="28"/>
      <c r="S885" s="138"/>
      <c r="T885" s="142"/>
      <c r="U885" s="142"/>
      <c r="V885" s="142"/>
    </row>
    <row r="886">
      <c r="A886" s="320"/>
      <c r="B886" s="142"/>
      <c r="C886" s="320"/>
      <c r="D886" s="124"/>
      <c r="E886" s="320"/>
      <c r="F886" s="142"/>
      <c r="G886" s="320"/>
      <c r="H886" s="142"/>
      <c r="I886" s="329"/>
      <c r="J886" s="124"/>
      <c r="K886" s="329"/>
      <c r="L886" s="124"/>
      <c r="M886" s="329"/>
      <c r="N886" s="124"/>
      <c r="O886" s="320"/>
      <c r="P886" s="142"/>
      <c r="Q886" s="193"/>
      <c r="R886" s="28"/>
      <c r="S886" s="138"/>
      <c r="T886" s="142"/>
      <c r="U886" s="142"/>
      <c r="V886" s="142"/>
    </row>
    <row r="887">
      <c r="A887" s="320"/>
      <c r="B887" s="142"/>
      <c r="C887" s="320"/>
      <c r="D887" s="124"/>
      <c r="E887" s="320"/>
      <c r="F887" s="142"/>
      <c r="G887" s="320"/>
      <c r="H887" s="142"/>
      <c r="I887" s="329"/>
      <c r="J887" s="124"/>
      <c r="K887" s="329"/>
      <c r="L887" s="124"/>
      <c r="M887" s="329"/>
      <c r="N887" s="124"/>
      <c r="O887" s="320"/>
      <c r="P887" s="142"/>
      <c r="Q887" s="193"/>
      <c r="R887" s="28"/>
      <c r="S887" s="138"/>
      <c r="T887" s="142"/>
      <c r="U887" s="142"/>
      <c r="V887" s="142"/>
    </row>
    <row r="888">
      <c r="A888" s="320"/>
      <c r="B888" s="142"/>
      <c r="C888" s="320"/>
      <c r="D888" s="124"/>
      <c r="E888" s="320"/>
      <c r="F888" s="142"/>
      <c r="G888" s="320"/>
      <c r="H888" s="142"/>
      <c r="I888" s="329"/>
      <c r="J888" s="124"/>
      <c r="K888" s="329"/>
      <c r="L888" s="124"/>
      <c r="M888" s="329"/>
      <c r="N888" s="124"/>
      <c r="O888" s="320"/>
      <c r="P888" s="142"/>
      <c r="Q888" s="193"/>
      <c r="R888" s="28"/>
      <c r="S888" s="138"/>
      <c r="T888" s="142"/>
      <c r="U888" s="142"/>
      <c r="V888" s="142"/>
    </row>
    <row r="889">
      <c r="A889" s="320"/>
      <c r="B889" s="142"/>
      <c r="C889" s="320"/>
      <c r="D889" s="124"/>
      <c r="E889" s="320"/>
      <c r="F889" s="142"/>
      <c r="G889" s="320"/>
      <c r="H889" s="142"/>
      <c r="I889" s="329"/>
      <c r="J889" s="124"/>
      <c r="K889" s="329"/>
      <c r="L889" s="124"/>
      <c r="M889" s="329"/>
      <c r="N889" s="124"/>
      <c r="O889" s="320"/>
      <c r="P889" s="142"/>
      <c r="Q889" s="193"/>
      <c r="R889" s="28"/>
      <c r="S889" s="138"/>
      <c r="T889" s="142"/>
      <c r="U889" s="142"/>
      <c r="V889" s="142"/>
    </row>
    <row r="890">
      <c r="A890" s="320"/>
      <c r="B890" s="142"/>
      <c r="C890" s="320"/>
      <c r="D890" s="124"/>
      <c r="E890" s="320"/>
      <c r="F890" s="142"/>
      <c r="G890" s="320"/>
      <c r="H890" s="142"/>
      <c r="I890" s="329"/>
      <c r="J890" s="124"/>
      <c r="K890" s="329"/>
      <c r="L890" s="124"/>
      <c r="M890" s="329"/>
      <c r="N890" s="124"/>
      <c r="O890" s="320"/>
      <c r="P890" s="142"/>
      <c r="Q890" s="193"/>
      <c r="R890" s="28"/>
      <c r="S890" s="138"/>
      <c r="T890" s="142"/>
      <c r="U890" s="142"/>
      <c r="V890" s="142"/>
    </row>
    <row r="891">
      <c r="A891" s="320"/>
      <c r="B891" s="142"/>
      <c r="C891" s="320"/>
      <c r="D891" s="124"/>
      <c r="E891" s="320"/>
      <c r="F891" s="142"/>
      <c r="G891" s="320"/>
      <c r="H891" s="142"/>
      <c r="I891" s="329"/>
      <c r="J891" s="124"/>
      <c r="K891" s="329"/>
      <c r="L891" s="124"/>
      <c r="M891" s="329"/>
      <c r="N891" s="124"/>
      <c r="O891" s="320"/>
      <c r="P891" s="142"/>
      <c r="Q891" s="193"/>
      <c r="R891" s="28"/>
      <c r="S891" s="138"/>
      <c r="T891" s="142"/>
      <c r="U891" s="142"/>
      <c r="V891" s="142"/>
    </row>
    <row r="892">
      <c r="A892" s="320"/>
      <c r="B892" s="142"/>
      <c r="C892" s="320"/>
      <c r="D892" s="124"/>
      <c r="E892" s="320"/>
      <c r="F892" s="142"/>
      <c r="G892" s="320"/>
      <c r="H892" s="142"/>
      <c r="I892" s="329"/>
      <c r="J892" s="124"/>
      <c r="K892" s="329"/>
      <c r="L892" s="124"/>
      <c r="M892" s="329"/>
      <c r="N892" s="124"/>
      <c r="O892" s="320"/>
      <c r="P892" s="142"/>
      <c r="Q892" s="193"/>
      <c r="R892" s="28"/>
      <c r="S892" s="138"/>
      <c r="T892" s="142"/>
      <c r="U892" s="142"/>
      <c r="V892" s="142"/>
    </row>
    <row r="893">
      <c r="A893" s="320"/>
      <c r="B893" s="142"/>
      <c r="C893" s="320"/>
      <c r="D893" s="124"/>
      <c r="E893" s="320"/>
      <c r="F893" s="142"/>
      <c r="G893" s="320"/>
      <c r="H893" s="142"/>
      <c r="I893" s="329"/>
      <c r="J893" s="124"/>
      <c r="K893" s="329"/>
      <c r="L893" s="124"/>
      <c r="M893" s="329"/>
      <c r="N893" s="124"/>
      <c r="O893" s="320"/>
      <c r="P893" s="142"/>
      <c r="Q893" s="193"/>
      <c r="R893" s="28"/>
      <c r="S893" s="138"/>
      <c r="T893" s="142"/>
      <c r="U893" s="142"/>
      <c r="V893" s="142"/>
    </row>
    <row r="894">
      <c r="A894" s="320"/>
      <c r="B894" s="142"/>
      <c r="C894" s="320"/>
      <c r="D894" s="124"/>
      <c r="E894" s="320"/>
      <c r="F894" s="142"/>
      <c r="G894" s="320"/>
      <c r="H894" s="142"/>
      <c r="I894" s="329"/>
      <c r="J894" s="124"/>
      <c r="K894" s="329"/>
      <c r="L894" s="124"/>
      <c r="M894" s="329"/>
      <c r="N894" s="124"/>
      <c r="O894" s="320"/>
      <c r="P894" s="142"/>
      <c r="Q894" s="193"/>
      <c r="R894" s="28"/>
      <c r="S894" s="138"/>
      <c r="T894" s="142"/>
      <c r="U894" s="142"/>
      <c r="V894" s="142"/>
    </row>
    <row r="895">
      <c r="A895" s="320"/>
      <c r="B895" s="142"/>
      <c r="C895" s="320"/>
      <c r="D895" s="124"/>
      <c r="E895" s="320"/>
      <c r="F895" s="142"/>
      <c r="G895" s="320"/>
      <c r="H895" s="142"/>
      <c r="I895" s="329"/>
      <c r="J895" s="124"/>
      <c r="K895" s="329"/>
      <c r="L895" s="124"/>
      <c r="M895" s="329"/>
      <c r="N895" s="124"/>
      <c r="O895" s="320"/>
      <c r="P895" s="142"/>
      <c r="Q895" s="193"/>
      <c r="R895" s="28"/>
      <c r="S895" s="138"/>
      <c r="T895" s="142"/>
      <c r="U895" s="142"/>
      <c r="V895" s="142"/>
    </row>
    <row r="896">
      <c r="A896" s="320"/>
      <c r="B896" s="142"/>
      <c r="C896" s="320"/>
      <c r="D896" s="124"/>
      <c r="E896" s="320"/>
      <c r="F896" s="142"/>
      <c r="G896" s="320"/>
      <c r="H896" s="142"/>
      <c r="I896" s="329"/>
      <c r="J896" s="124"/>
      <c r="K896" s="329"/>
      <c r="L896" s="124"/>
      <c r="M896" s="329"/>
      <c r="N896" s="124"/>
      <c r="O896" s="320"/>
      <c r="P896" s="142"/>
      <c r="Q896" s="193"/>
      <c r="R896" s="28"/>
      <c r="S896" s="138"/>
      <c r="T896" s="142"/>
      <c r="U896" s="142"/>
      <c r="V896" s="142"/>
    </row>
    <row r="897">
      <c r="A897" s="320"/>
      <c r="B897" s="142"/>
      <c r="C897" s="320"/>
      <c r="D897" s="124"/>
      <c r="E897" s="320"/>
      <c r="F897" s="142"/>
      <c r="G897" s="320"/>
      <c r="H897" s="142"/>
      <c r="I897" s="329"/>
      <c r="J897" s="124"/>
      <c r="K897" s="329"/>
      <c r="L897" s="124"/>
      <c r="M897" s="329"/>
      <c r="N897" s="124"/>
      <c r="O897" s="320"/>
      <c r="P897" s="142"/>
      <c r="Q897" s="193"/>
      <c r="R897" s="28"/>
      <c r="S897" s="138"/>
      <c r="T897" s="142"/>
      <c r="U897" s="142"/>
      <c r="V897" s="142"/>
    </row>
    <row r="898">
      <c r="A898" s="320"/>
      <c r="B898" s="142"/>
      <c r="C898" s="320"/>
      <c r="D898" s="124"/>
      <c r="E898" s="320"/>
      <c r="F898" s="142"/>
      <c r="G898" s="320"/>
      <c r="H898" s="142"/>
      <c r="I898" s="329"/>
      <c r="J898" s="124"/>
      <c r="K898" s="329"/>
      <c r="L898" s="124"/>
      <c r="M898" s="329"/>
      <c r="N898" s="124"/>
      <c r="O898" s="320"/>
      <c r="P898" s="142"/>
      <c r="Q898" s="193"/>
      <c r="R898" s="28"/>
      <c r="S898" s="138"/>
      <c r="T898" s="142"/>
      <c r="U898" s="142"/>
      <c r="V898" s="142"/>
    </row>
    <row r="899">
      <c r="A899" s="320"/>
      <c r="B899" s="142"/>
      <c r="C899" s="320"/>
      <c r="D899" s="124"/>
      <c r="E899" s="320"/>
      <c r="F899" s="142"/>
      <c r="G899" s="320"/>
      <c r="H899" s="142"/>
      <c r="I899" s="329"/>
      <c r="J899" s="124"/>
      <c r="K899" s="329"/>
      <c r="L899" s="124"/>
      <c r="M899" s="329"/>
      <c r="N899" s="124"/>
      <c r="O899" s="320"/>
      <c r="P899" s="142"/>
      <c r="Q899" s="193"/>
      <c r="R899" s="28"/>
      <c r="S899" s="138"/>
      <c r="T899" s="142"/>
      <c r="U899" s="142"/>
      <c r="V899" s="142"/>
    </row>
    <row r="900">
      <c r="A900" s="320"/>
      <c r="B900" s="142"/>
      <c r="C900" s="320"/>
      <c r="D900" s="124"/>
      <c r="E900" s="320"/>
      <c r="F900" s="142"/>
      <c r="G900" s="320"/>
      <c r="H900" s="142"/>
      <c r="I900" s="329"/>
      <c r="J900" s="124"/>
      <c r="K900" s="329"/>
      <c r="L900" s="124"/>
      <c r="M900" s="329"/>
      <c r="N900" s="124"/>
      <c r="O900" s="320"/>
      <c r="P900" s="142"/>
      <c r="Q900" s="193"/>
      <c r="R900" s="28"/>
      <c r="S900" s="138"/>
      <c r="T900" s="142"/>
      <c r="U900" s="142"/>
      <c r="V900" s="142"/>
    </row>
    <row r="901">
      <c r="A901" s="320"/>
      <c r="B901" s="142"/>
      <c r="C901" s="320"/>
      <c r="D901" s="124"/>
      <c r="E901" s="320"/>
      <c r="F901" s="142"/>
      <c r="G901" s="320"/>
      <c r="H901" s="142"/>
      <c r="I901" s="329"/>
      <c r="J901" s="124"/>
      <c r="K901" s="329"/>
      <c r="L901" s="124"/>
      <c r="M901" s="329"/>
      <c r="N901" s="124"/>
      <c r="O901" s="320"/>
      <c r="P901" s="142"/>
      <c r="Q901" s="193"/>
      <c r="R901" s="28"/>
      <c r="S901" s="138"/>
      <c r="T901" s="142"/>
      <c r="U901" s="142"/>
      <c r="V901" s="142"/>
    </row>
    <row r="902">
      <c r="A902" s="320"/>
      <c r="B902" s="142"/>
      <c r="C902" s="320"/>
      <c r="D902" s="124"/>
      <c r="E902" s="320"/>
      <c r="F902" s="142"/>
      <c r="G902" s="320"/>
      <c r="H902" s="142"/>
      <c r="I902" s="329"/>
      <c r="J902" s="124"/>
      <c r="K902" s="329"/>
      <c r="L902" s="124"/>
      <c r="M902" s="329"/>
      <c r="N902" s="124"/>
      <c r="O902" s="320"/>
      <c r="P902" s="142"/>
      <c r="Q902" s="193"/>
      <c r="R902" s="28"/>
      <c r="S902" s="138"/>
      <c r="T902" s="142"/>
      <c r="U902" s="142"/>
      <c r="V902" s="142"/>
    </row>
    <row r="903">
      <c r="A903" s="320"/>
      <c r="B903" s="142"/>
      <c r="C903" s="320"/>
      <c r="D903" s="124"/>
      <c r="E903" s="320"/>
      <c r="F903" s="142"/>
      <c r="G903" s="320"/>
      <c r="H903" s="142"/>
      <c r="I903" s="329"/>
      <c r="J903" s="124"/>
      <c r="K903" s="329"/>
      <c r="L903" s="124"/>
      <c r="M903" s="329"/>
      <c r="N903" s="124"/>
      <c r="O903" s="320"/>
      <c r="P903" s="142"/>
      <c r="Q903" s="193"/>
      <c r="R903" s="28"/>
      <c r="S903" s="138"/>
      <c r="T903" s="142"/>
      <c r="U903" s="142"/>
      <c r="V903" s="142"/>
    </row>
    <row r="904">
      <c r="A904" s="320"/>
      <c r="B904" s="142"/>
      <c r="C904" s="320"/>
      <c r="D904" s="124"/>
      <c r="E904" s="320"/>
      <c r="F904" s="142"/>
      <c r="G904" s="320"/>
      <c r="H904" s="142"/>
      <c r="I904" s="329"/>
      <c r="J904" s="124"/>
      <c r="K904" s="329"/>
      <c r="L904" s="124"/>
      <c r="M904" s="329"/>
      <c r="N904" s="124"/>
      <c r="O904" s="320"/>
      <c r="P904" s="142"/>
      <c r="Q904" s="193"/>
      <c r="R904" s="28"/>
      <c r="S904" s="138"/>
      <c r="T904" s="142"/>
      <c r="U904" s="142"/>
      <c r="V904" s="142"/>
    </row>
    <row r="905">
      <c r="A905" s="320"/>
      <c r="B905" s="142"/>
      <c r="C905" s="320"/>
      <c r="D905" s="124"/>
      <c r="E905" s="320"/>
      <c r="F905" s="142"/>
      <c r="G905" s="320"/>
      <c r="H905" s="142"/>
      <c r="I905" s="329"/>
      <c r="J905" s="124"/>
      <c r="K905" s="329"/>
      <c r="L905" s="124"/>
      <c r="M905" s="329"/>
      <c r="N905" s="124"/>
      <c r="O905" s="320"/>
      <c r="P905" s="142"/>
      <c r="Q905" s="193"/>
      <c r="R905" s="28"/>
      <c r="S905" s="138"/>
      <c r="T905" s="142"/>
      <c r="U905" s="142"/>
      <c r="V905" s="142"/>
    </row>
    <row r="906">
      <c r="A906" s="320"/>
      <c r="B906" s="142"/>
      <c r="C906" s="320"/>
      <c r="D906" s="124"/>
      <c r="E906" s="320"/>
      <c r="F906" s="142"/>
      <c r="G906" s="320"/>
      <c r="H906" s="142"/>
      <c r="I906" s="329"/>
      <c r="J906" s="124"/>
      <c r="K906" s="329"/>
      <c r="L906" s="124"/>
      <c r="M906" s="329"/>
      <c r="N906" s="124"/>
      <c r="O906" s="320"/>
      <c r="P906" s="142"/>
      <c r="Q906" s="193"/>
      <c r="R906" s="28"/>
      <c r="S906" s="138"/>
      <c r="T906" s="142"/>
      <c r="U906" s="142"/>
      <c r="V906" s="142"/>
    </row>
    <row r="907">
      <c r="A907" s="320"/>
      <c r="B907" s="142"/>
      <c r="C907" s="320"/>
      <c r="D907" s="124"/>
      <c r="E907" s="320"/>
      <c r="F907" s="142"/>
      <c r="G907" s="320"/>
      <c r="H907" s="142"/>
      <c r="I907" s="329"/>
      <c r="J907" s="124"/>
      <c r="K907" s="329"/>
      <c r="L907" s="124"/>
      <c r="M907" s="329"/>
      <c r="N907" s="124"/>
      <c r="O907" s="320"/>
      <c r="P907" s="142"/>
      <c r="Q907" s="193"/>
      <c r="R907" s="28"/>
      <c r="S907" s="138"/>
      <c r="T907" s="142"/>
      <c r="U907" s="142"/>
      <c r="V907" s="142"/>
    </row>
    <row r="908">
      <c r="A908" s="320"/>
      <c r="B908" s="142"/>
      <c r="C908" s="320"/>
      <c r="D908" s="124"/>
      <c r="E908" s="320"/>
      <c r="F908" s="142"/>
      <c r="G908" s="320"/>
      <c r="H908" s="142"/>
      <c r="I908" s="329"/>
      <c r="J908" s="124"/>
      <c r="K908" s="329"/>
      <c r="L908" s="124"/>
      <c r="M908" s="329"/>
      <c r="N908" s="124"/>
      <c r="O908" s="320"/>
      <c r="P908" s="142"/>
      <c r="Q908" s="193"/>
      <c r="R908" s="28"/>
      <c r="S908" s="138"/>
      <c r="T908" s="142"/>
      <c r="U908" s="142"/>
      <c r="V908" s="142"/>
    </row>
    <row r="909">
      <c r="A909" s="320"/>
      <c r="B909" s="142"/>
      <c r="C909" s="320"/>
      <c r="D909" s="124"/>
      <c r="E909" s="320"/>
      <c r="F909" s="142"/>
      <c r="G909" s="320"/>
      <c r="H909" s="142"/>
      <c r="I909" s="329"/>
      <c r="J909" s="124"/>
      <c r="K909" s="329"/>
      <c r="L909" s="124"/>
      <c r="M909" s="329"/>
      <c r="N909" s="124"/>
      <c r="O909" s="320"/>
      <c r="P909" s="142"/>
      <c r="Q909" s="193"/>
      <c r="R909" s="28"/>
      <c r="S909" s="138"/>
      <c r="T909" s="142"/>
      <c r="U909" s="142"/>
      <c r="V909" s="142"/>
    </row>
    <row r="910">
      <c r="A910" s="320"/>
      <c r="B910" s="142"/>
      <c r="C910" s="320"/>
      <c r="D910" s="124"/>
      <c r="E910" s="320"/>
      <c r="F910" s="142"/>
      <c r="G910" s="320"/>
      <c r="H910" s="142"/>
      <c r="I910" s="329"/>
      <c r="J910" s="124"/>
      <c r="K910" s="329"/>
      <c r="L910" s="124"/>
      <c r="M910" s="329"/>
      <c r="N910" s="124"/>
      <c r="O910" s="320"/>
      <c r="P910" s="142"/>
      <c r="Q910" s="193"/>
      <c r="R910" s="28"/>
      <c r="S910" s="138"/>
      <c r="T910" s="142"/>
      <c r="U910" s="142"/>
      <c r="V910" s="142"/>
    </row>
    <row r="911">
      <c r="A911" s="320"/>
      <c r="B911" s="142"/>
      <c r="C911" s="320"/>
      <c r="D911" s="124"/>
      <c r="E911" s="320"/>
      <c r="F911" s="142"/>
      <c r="G911" s="320"/>
      <c r="H911" s="142"/>
      <c r="I911" s="329"/>
      <c r="J911" s="124"/>
      <c r="K911" s="329"/>
      <c r="L911" s="124"/>
      <c r="M911" s="329"/>
      <c r="N911" s="124"/>
      <c r="O911" s="320"/>
      <c r="P911" s="142"/>
      <c r="Q911" s="193"/>
      <c r="R911" s="28"/>
      <c r="S911" s="138"/>
      <c r="T911" s="142"/>
      <c r="U911" s="142"/>
      <c r="V911" s="142"/>
    </row>
    <row r="912">
      <c r="A912" s="320"/>
      <c r="B912" s="142"/>
      <c r="C912" s="320"/>
      <c r="D912" s="124"/>
      <c r="E912" s="320"/>
      <c r="F912" s="142"/>
      <c r="G912" s="320"/>
      <c r="H912" s="142"/>
      <c r="I912" s="329"/>
      <c r="J912" s="124"/>
      <c r="K912" s="329"/>
      <c r="L912" s="124"/>
      <c r="M912" s="329"/>
      <c r="N912" s="124"/>
      <c r="O912" s="320"/>
      <c r="P912" s="142"/>
      <c r="Q912" s="193"/>
      <c r="R912" s="28"/>
      <c r="S912" s="138"/>
      <c r="T912" s="142"/>
      <c r="U912" s="142"/>
      <c r="V912" s="142"/>
    </row>
    <row r="913">
      <c r="A913" s="320"/>
      <c r="B913" s="142"/>
      <c r="C913" s="320"/>
      <c r="D913" s="124"/>
      <c r="E913" s="320"/>
      <c r="F913" s="142"/>
      <c r="G913" s="320"/>
      <c r="H913" s="142"/>
      <c r="I913" s="329"/>
      <c r="J913" s="124"/>
      <c r="K913" s="329"/>
      <c r="L913" s="124"/>
      <c r="M913" s="329"/>
      <c r="N913" s="124"/>
      <c r="O913" s="320"/>
      <c r="P913" s="142"/>
      <c r="Q913" s="193"/>
      <c r="R913" s="28"/>
      <c r="S913" s="138"/>
      <c r="T913" s="142"/>
      <c r="U913" s="142"/>
      <c r="V913" s="142"/>
    </row>
    <row r="914">
      <c r="A914" s="320"/>
      <c r="B914" s="142"/>
      <c r="C914" s="320"/>
      <c r="D914" s="124"/>
      <c r="E914" s="320"/>
      <c r="F914" s="142"/>
      <c r="G914" s="320"/>
      <c r="H914" s="142"/>
      <c r="I914" s="329"/>
      <c r="J914" s="124"/>
      <c r="K914" s="329"/>
      <c r="L914" s="124"/>
      <c r="M914" s="329"/>
      <c r="N914" s="124"/>
      <c r="O914" s="320"/>
      <c r="P914" s="142"/>
      <c r="Q914" s="193"/>
      <c r="R914" s="28"/>
      <c r="S914" s="138"/>
      <c r="T914" s="142"/>
      <c r="U914" s="142"/>
      <c r="V914" s="142"/>
    </row>
    <row r="915">
      <c r="A915" s="320"/>
      <c r="B915" s="142"/>
      <c r="C915" s="320"/>
      <c r="D915" s="124"/>
      <c r="E915" s="320"/>
      <c r="F915" s="142"/>
      <c r="G915" s="320"/>
      <c r="H915" s="142"/>
      <c r="I915" s="329"/>
      <c r="J915" s="124"/>
      <c r="K915" s="329"/>
      <c r="L915" s="124"/>
      <c r="M915" s="329"/>
      <c r="N915" s="124"/>
      <c r="O915" s="320"/>
      <c r="P915" s="142"/>
      <c r="Q915" s="193"/>
      <c r="R915" s="28"/>
      <c r="S915" s="138"/>
      <c r="T915" s="142"/>
      <c r="U915" s="142"/>
      <c r="V915" s="142"/>
    </row>
    <row r="916">
      <c r="A916" s="320"/>
      <c r="B916" s="142"/>
      <c r="C916" s="320"/>
      <c r="D916" s="124"/>
      <c r="E916" s="320"/>
      <c r="F916" s="142"/>
      <c r="G916" s="320"/>
      <c r="H916" s="142"/>
      <c r="I916" s="329"/>
      <c r="J916" s="124"/>
      <c r="K916" s="329"/>
      <c r="L916" s="124"/>
      <c r="M916" s="329"/>
      <c r="N916" s="124"/>
      <c r="O916" s="320"/>
      <c r="P916" s="142"/>
      <c r="Q916" s="193"/>
      <c r="R916" s="28"/>
      <c r="S916" s="138"/>
      <c r="T916" s="142"/>
      <c r="U916" s="142"/>
      <c r="V916" s="142"/>
    </row>
    <row r="917">
      <c r="A917" s="320"/>
      <c r="B917" s="142"/>
      <c r="C917" s="320"/>
      <c r="D917" s="124"/>
      <c r="E917" s="320"/>
      <c r="F917" s="142"/>
      <c r="G917" s="320"/>
      <c r="H917" s="142"/>
      <c r="I917" s="329"/>
      <c r="J917" s="124"/>
      <c r="K917" s="329"/>
      <c r="L917" s="124"/>
      <c r="M917" s="329"/>
      <c r="N917" s="124"/>
      <c r="O917" s="320"/>
      <c r="P917" s="142"/>
      <c r="Q917" s="193"/>
      <c r="R917" s="28"/>
      <c r="S917" s="138"/>
      <c r="T917" s="142"/>
      <c r="U917" s="142"/>
      <c r="V917" s="142"/>
    </row>
    <row r="918">
      <c r="A918" s="320"/>
      <c r="B918" s="142"/>
      <c r="C918" s="320"/>
      <c r="D918" s="124"/>
      <c r="E918" s="320"/>
      <c r="F918" s="142"/>
      <c r="G918" s="320"/>
      <c r="H918" s="142"/>
      <c r="I918" s="329"/>
      <c r="J918" s="124"/>
      <c r="K918" s="329"/>
      <c r="L918" s="124"/>
      <c r="M918" s="329"/>
      <c r="N918" s="124"/>
      <c r="O918" s="320"/>
      <c r="P918" s="142"/>
      <c r="Q918" s="193"/>
      <c r="R918" s="28"/>
      <c r="S918" s="138"/>
      <c r="T918" s="142"/>
      <c r="U918" s="142"/>
      <c r="V918" s="142"/>
    </row>
    <row r="919">
      <c r="A919" s="320"/>
      <c r="B919" s="142"/>
      <c r="C919" s="320"/>
      <c r="D919" s="124"/>
      <c r="E919" s="320"/>
      <c r="F919" s="142"/>
      <c r="G919" s="320"/>
      <c r="H919" s="142"/>
      <c r="I919" s="329"/>
      <c r="J919" s="124"/>
      <c r="K919" s="329"/>
      <c r="L919" s="124"/>
      <c r="M919" s="329"/>
      <c r="N919" s="124"/>
      <c r="O919" s="320"/>
      <c r="P919" s="142"/>
      <c r="Q919" s="193"/>
      <c r="R919" s="28"/>
      <c r="S919" s="138"/>
      <c r="T919" s="142"/>
      <c r="U919" s="142"/>
      <c r="V919" s="142"/>
    </row>
    <row r="920">
      <c r="A920" s="320"/>
      <c r="B920" s="142"/>
      <c r="C920" s="320"/>
      <c r="D920" s="124"/>
      <c r="E920" s="320"/>
      <c r="F920" s="142"/>
      <c r="G920" s="320"/>
      <c r="H920" s="142"/>
      <c r="I920" s="329"/>
      <c r="J920" s="124"/>
      <c r="K920" s="329"/>
      <c r="L920" s="124"/>
      <c r="M920" s="329"/>
      <c r="N920" s="124"/>
      <c r="O920" s="320"/>
      <c r="P920" s="142"/>
      <c r="Q920" s="193"/>
      <c r="R920" s="28"/>
      <c r="S920" s="138"/>
      <c r="T920" s="142"/>
      <c r="U920" s="142"/>
      <c r="V920" s="142"/>
    </row>
    <row r="921">
      <c r="A921" s="320"/>
      <c r="B921" s="142"/>
      <c r="C921" s="320"/>
      <c r="D921" s="124"/>
      <c r="E921" s="320"/>
      <c r="F921" s="142"/>
      <c r="G921" s="320"/>
      <c r="H921" s="142"/>
      <c r="I921" s="329"/>
      <c r="J921" s="124"/>
      <c r="K921" s="329"/>
      <c r="L921" s="124"/>
      <c r="M921" s="329"/>
      <c r="N921" s="124"/>
      <c r="O921" s="320"/>
      <c r="P921" s="142"/>
      <c r="Q921" s="193"/>
      <c r="R921" s="28"/>
      <c r="S921" s="138"/>
      <c r="T921" s="142"/>
      <c r="U921" s="142"/>
      <c r="V921" s="142"/>
    </row>
    <row r="922">
      <c r="A922" s="320"/>
      <c r="B922" s="142"/>
      <c r="C922" s="320"/>
      <c r="D922" s="124"/>
      <c r="E922" s="320"/>
      <c r="F922" s="142"/>
      <c r="G922" s="320"/>
      <c r="H922" s="142"/>
      <c r="I922" s="329"/>
      <c r="J922" s="124"/>
      <c r="K922" s="329"/>
      <c r="L922" s="124"/>
      <c r="M922" s="329"/>
      <c r="N922" s="124"/>
      <c r="O922" s="320"/>
      <c r="P922" s="142"/>
      <c r="Q922" s="193"/>
      <c r="R922" s="28"/>
      <c r="S922" s="138"/>
      <c r="T922" s="142"/>
      <c r="U922" s="142"/>
      <c r="V922" s="142"/>
    </row>
    <row r="923">
      <c r="A923" s="320"/>
      <c r="B923" s="142"/>
      <c r="C923" s="320"/>
      <c r="D923" s="124"/>
      <c r="E923" s="320"/>
      <c r="F923" s="142"/>
      <c r="G923" s="320"/>
      <c r="H923" s="142"/>
      <c r="I923" s="329"/>
      <c r="J923" s="124"/>
      <c r="K923" s="329"/>
      <c r="L923" s="124"/>
      <c r="M923" s="329"/>
      <c r="N923" s="124"/>
      <c r="O923" s="320"/>
      <c r="P923" s="142"/>
      <c r="Q923" s="193"/>
      <c r="R923" s="28"/>
      <c r="S923" s="138"/>
      <c r="T923" s="142"/>
      <c r="U923" s="142"/>
      <c r="V923" s="142"/>
    </row>
    <row r="924">
      <c r="A924" s="320"/>
      <c r="B924" s="142"/>
      <c r="C924" s="320"/>
      <c r="D924" s="124"/>
      <c r="E924" s="320"/>
      <c r="F924" s="142"/>
      <c r="G924" s="320"/>
      <c r="H924" s="142"/>
      <c r="I924" s="329"/>
      <c r="J924" s="124"/>
      <c r="K924" s="329"/>
      <c r="L924" s="124"/>
      <c r="M924" s="329"/>
      <c r="N924" s="124"/>
      <c r="O924" s="320"/>
      <c r="P924" s="142"/>
      <c r="Q924" s="193"/>
      <c r="R924" s="28"/>
      <c r="S924" s="138"/>
      <c r="T924" s="142"/>
      <c r="U924" s="142"/>
      <c r="V924" s="142"/>
    </row>
    <row r="925">
      <c r="A925" s="320"/>
      <c r="B925" s="142"/>
      <c r="C925" s="320"/>
      <c r="D925" s="124"/>
      <c r="E925" s="320"/>
      <c r="F925" s="142"/>
      <c r="G925" s="320"/>
      <c r="H925" s="142"/>
      <c r="I925" s="329"/>
      <c r="J925" s="124"/>
      <c r="K925" s="329"/>
      <c r="L925" s="124"/>
      <c r="M925" s="329"/>
      <c r="N925" s="124"/>
      <c r="O925" s="320"/>
      <c r="P925" s="142"/>
      <c r="Q925" s="193"/>
      <c r="R925" s="28"/>
      <c r="S925" s="138"/>
      <c r="T925" s="142"/>
      <c r="U925" s="142"/>
      <c r="V925" s="142"/>
    </row>
    <row r="926">
      <c r="A926" s="320"/>
      <c r="B926" s="142"/>
      <c r="C926" s="320"/>
      <c r="D926" s="124"/>
      <c r="E926" s="320"/>
      <c r="F926" s="142"/>
      <c r="G926" s="320"/>
      <c r="H926" s="142"/>
      <c r="I926" s="329"/>
      <c r="J926" s="124"/>
      <c r="K926" s="329"/>
      <c r="L926" s="124"/>
      <c r="M926" s="329"/>
      <c r="N926" s="124"/>
      <c r="O926" s="320"/>
      <c r="P926" s="142"/>
      <c r="Q926" s="193"/>
      <c r="R926" s="28"/>
      <c r="S926" s="138"/>
      <c r="T926" s="142"/>
      <c r="U926" s="142"/>
      <c r="V926" s="142"/>
    </row>
    <row r="927">
      <c r="A927" s="320"/>
      <c r="B927" s="142"/>
      <c r="C927" s="320"/>
      <c r="D927" s="124"/>
      <c r="E927" s="320"/>
      <c r="F927" s="142"/>
      <c r="G927" s="320"/>
      <c r="H927" s="142"/>
      <c r="I927" s="329"/>
      <c r="J927" s="124"/>
      <c r="K927" s="329"/>
      <c r="L927" s="124"/>
      <c r="M927" s="329"/>
      <c r="N927" s="124"/>
      <c r="O927" s="320"/>
      <c r="P927" s="142"/>
      <c r="Q927" s="193"/>
      <c r="R927" s="28"/>
      <c r="S927" s="138"/>
      <c r="T927" s="142"/>
      <c r="U927" s="142"/>
      <c r="V927" s="142"/>
    </row>
    <row r="928">
      <c r="A928" s="320"/>
      <c r="B928" s="142"/>
      <c r="C928" s="320"/>
      <c r="D928" s="124"/>
      <c r="E928" s="320"/>
      <c r="F928" s="142"/>
      <c r="G928" s="320"/>
      <c r="H928" s="142"/>
      <c r="I928" s="329"/>
      <c r="J928" s="124"/>
      <c r="K928" s="329"/>
      <c r="L928" s="124"/>
      <c r="M928" s="329"/>
      <c r="N928" s="124"/>
      <c r="O928" s="320"/>
      <c r="P928" s="142"/>
      <c r="Q928" s="193"/>
      <c r="R928" s="28"/>
      <c r="S928" s="138"/>
      <c r="T928" s="142"/>
      <c r="U928" s="142"/>
      <c r="V928" s="142"/>
    </row>
    <row r="929">
      <c r="A929" s="320"/>
      <c r="B929" s="142"/>
      <c r="C929" s="320"/>
      <c r="D929" s="124"/>
      <c r="E929" s="320"/>
      <c r="F929" s="142"/>
      <c r="G929" s="320"/>
      <c r="H929" s="142"/>
      <c r="I929" s="329"/>
      <c r="J929" s="124"/>
      <c r="K929" s="329"/>
      <c r="L929" s="124"/>
      <c r="M929" s="329"/>
      <c r="N929" s="124"/>
      <c r="O929" s="320"/>
      <c r="P929" s="142"/>
      <c r="Q929" s="193"/>
      <c r="R929" s="28"/>
      <c r="S929" s="138"/>
      <c r="T929" s="142"/>
      <c r="U929" s="142"/>
      <c r="V929" s="142"/>
    </row>
    <row r="930">
      <c r="A930" s="320"/>
      <c r="B930" s="142"/>
      <c r="C930" s="320"/>
      <c r="D930" s="124"/>
      <c r="E930" s="320"/>
      <c r="F930" s="142"/>
      <c r="G930" s="320"/>
      <c r="H930" s="142"/>
      <c r="I930" s="329"/>
      <c r="J930" s="124"/>
      <c r="K930" s="329"/>
      <c r="L930" s="124"/>
      <c r="M930" s="329"/>
      <c r="N930" s="124"/>
      <c r="O930" s="320"/>
      <c r="P930" s="142"/>
      <c r="Q930" s="193"/>
      <c r="R930" s="28"/>
      <c r="S930" s="138"/>
      <c r="T930" s="142"/>
      <c r="U930" s="142"/>
      <c r="V930" s="142"/>
    </row>
    <row r="931">
      <c r="A931" s="320"/>
      <c r="B931" s="142"/>
      <c r="C931" s="320"/>
      <c r="D931" s="124"/>
      <c r="E931" s="320"/>
      <c r="F931" s="142"/>
      <c r="G931" s="320"/>
      <c r="H931" s="142"/>
      <c r="I931" s="329"/>
      <c r="J931" s="124"/>
      <c r="K931" s="329"/>
      <c r="L931" s="124"/>
      <c r="M931" s="329"/>
      <c r="N931" s="124"/>
      <c r="O931" s="320"/>
      <c r="P931" s="142"/>
      <c r="Q931" s="193"/>
      <c r="R931" s="28"/>
      <c r="S931" s="138"/>
      <c r="T931" s="142"/>
      <c r="U931" s="142"/>
      <c r="V931" s="142"/>
    </row>
    <row r="932">
      <c r="A932" s="320"/>
      <c r="B932" s="142"/>
      <c r="C932" s="320"/>
      <c r="D932" s="124"/>
      <c r="E932" s="320"/>
      <c r="F932" s="142"/>
      <c r="G932" s="320"/>
      <c r="H932" s="142"/>
      <c r="I932" s="329"/>
      <c r="J932" s="124"/>
      <c r="K932" s="329"/>
      <c r="L932" s="124"/>
      <c r="M932" s="329"/>
      <c r="N932" s="124"/>
      <c r="O932" s="320"/>
      <c r="P932" s="142"/>
      <c r="Q932" s="193"/>
      <c r="R932" s="28"/>
      <c r="S932" s="138"/>
      <c r="T932" s="142"/>
      <c r="U932" s="142"/>
      <c r="V932" s="142"/>
    </row>
    <row r="933">
      <c r="A933" s="320"/>
      <c r="B933" s="142"/>
      <c r="C933" s="320"/>
      <c r="D933" s="124"/>
      <c r="E933" s="320"/>
      <c r="F933" s="142"/>
      <c r="G933" s="320"/>
      <c r="H933" s="142"/>
      <c r="I933" s="329"/>
      <c r="J933" s="124"/>
      <c r="K933" s="329"/>
      <c r="L933" s="124"/>
      <c r="M933" s="329"/>
      <c r="N933" s="124"/>
      <c r="O933" s="320"/>
      <c r="P933" s="142"/>
      <c r="Q933" s="193"/>
      <c r="R933" s="28"/>
      <c r="S933" s="138"/>
      <c r="T933" s="142"/>
      <c r="U933" s="142"/>
      <c r="V933" s="142"/>
    </row>
    <row r="934">
      <c r="A934" s="320"/>
      <c r="B934" s="142"/>
      <c r="C934" s="320"/>
      <c r="D934" s="124"/>
      <c r="E934" s="320"/>
      <c r="F934" s="142"/>
      <c r="G934" s="320"/>
      <c r="H934" s="142"/>
      <c r="I934" s="329"/>
      <c r="J934" s="124"/>
      <c r="K934" s="329"/>
      <c r="L934" s="124"/>
      <c r="M934" s="329"/>
      <c r="N934" s="124"/>
      <c r="O934" s="320"/>
      <c r="P934" s="142"/>
      <c r="Q934" s="193"/>
      <c r="R934" s="28"/>
      <c r="S934" s="138"/>
      <c r="T934" s="142"/>
      <c r="U934" s="142"/>
      <c r="V934" s="142"/>
    </row>
    <row r="935">
      <c r="A935" s="320"/>
      <c r="B935" s="142"/>
      <c r="C935" s="320"/>
      <c r="D935" s="124"/>
      <c r="E935" s="320"/>
      <c r="F935" s="142"/>
      <c r="G935" s="320"/>
      <c r="H935" s="142"/>
      <c r="I935" s="329"/>
      <c r="J935" s="124"/>
      <c r="K935" s="329"/>
      <c r="L935" s="124"/>
      <c r="M935" s="329"/>
      <c r="N935" s="124"/>
      <c r="O935" s="320"/>
      <c r="P935" s="142"/>
      <c r="Q935" s="193"/>
      <c r="R935" s="28"/>
      <c r="S935" s="138"/>
      <c r="T935" s="142"/>
      <c r="U935" s="142"/>
      <c r="V935" s="142"/>
    </row>
    <row r="936">
      <c r="A936" s="320"/>
      <c r="B936" s="142"/>
      <c r="C936" s="320"/>
      <c r="D936" s="124"/>
      <c r="E936" s="320"/>
      <c r="F936" s="142"/>
      <c r="G936" s="320"/>
      <c r="H936" s="142"/>
      <c r="I936" s="329"/>
      <c r="J936" s="124"/>
      <c r="K936" s="329"/>
      <c r="L936" s="124"/>
      <c r="M936" s="329"/>
      <c r="N936" s="124"/>
      <c r="O936" s="320"/>
      <c r="P936" s="142"/>
      <c r="Q936" s="193"/>
      <c r="R936" s="28"/>
      <c r="S936" s="138"/>
      <c r="T936" s="142"/>
      <c r="U936" s="142"/>
      <c r="V936" s="142"/>
    </row>
    <row r="937">
      <c r="A937" s="320"/>
      <c r="B937" s="142"/>
      <c r="C937" s="320"/>
      <c r="D937" s="124"/>
      <c r="E937" s="320"/>
      <c r="F937" s="142"/>
      <c r="G937" s="320"/>
      <c r="H937" s="142"/>
      <c r="I937" s="329"/>
      <c r="J937" s="124"/>
      <c r="K937" s="329"/>
      <c r="L937" s="124"/>
      <c r="M937" s="329"/>
      <c r="N937" s="124"/>
      <c r="O937" s="320"/>
      <c r="P937" s="142"/>
      <c r="Q937" s="193"/>
      <c r="R937" s="28"/>
      <c r="S937" s="138"/>
      <c r="T937" s="142"/>
      <c r="U937" s="142"/>
      <c r="V937" s="142"/>
    </row>
    <row r="938">
      <c r="A938" s="320"/>
      <c r="B938" s="142"/>
      <c r="C938" s="320"/>
      <c r="D938" s="124"/>
      <c r="E938" s="320"/>
      <c r="F938" s="142"/>
      <c r="G938" s="320"/>
      <c r="H938" s="142"/>
      <c r="I938" s="329"/>
      <c r="J938" s="124"/>
      <c r="K938" s="329"/>
      <c r="L938" s="124"/>
      <c r="M938" s="329"/>
      <c r="N938" s="124"/>
      <c r="O938" s="320"/>
      <c r="P938" s="142"/>
      <c r="Q938" s="193"/>
      <c r="R938" s="28"/>
      <c r="S938" s="138"/>
      <c r="T938" s="142"/>
      <c r="U938" s="142"/>
      <c r="V938" s="142"/>
    </row>
    <row r="939">
      <c r="A939" s="320"/>
      <c r="B939" s="142"/>
      <c r="C939" s="320"/>
      <c r="D939" s="124"/>
      <c r="E939" s="320"/>
      <c r="F939" s="142"/>
      <c r="G939" s="320"/>
      <c r="H939" s="142"/>
      <c r="I939" s="329"/>
      <c r="J939" s="124"/>
      <c r="K939" s="329"/>
      <c r="L939" s="124"/>
      <c r="M939" s="329"/>
      <c r="N939" s="124"/>
      <c r="O939" s="320"/>
      <c r="P939" s="142"/>
      <c r="Q939" s="193"/>
      <c r="R939" s="28"/>
      <c r="S939" s="138"/>
      <c r="T939" s="142"/>
      <c r="U939" s="142"/>
      <c r="V939" s="142"/>
    </row>
    <row r="940">
      <c r="A940" s="320"/>
      <c r="B940" s="142"/>
      <c r="C940" s="320"/>
      <c r="D940" s="124"/>
      <c r="E940" s="320"/>
      <c r="F940" s="142"/>
      <c r="G940" s="320"/>
      <c r="H940" s="142"/>
      <c r="I940" s="329"/>
      <c r="J940" s="124"/>
      <c r="K940" s="329"/>
      <c r="L940" s="124"/>
      <c r="M940" s="329"/>
      <c r="N940" s="124"/>
      <c r="O940" s="320"/>
      <c r="P940" s="142"/>
      <c r="Q940" s="193"/>
      <c r="R940" s="28"/>
      <c r="S940" s="138"/>
      <c r="T940" s="142"/>
      <c r="U940" s="142"/>
      <c r="V940" s="142"/>
    </row>
    <row r="941">
      <c r="A941" s="320"/>
      <c r="B941" s="142"/>
      <c r="C941" s="320"/>
      <c r="D941" s="124"/>
      <c r="E941" s="320"/>
      <c r="F941" s="142"/>
      <c r="G941" s="320"/>
      <c r="H941" s="142"/>
      <c r="I941" s="329"/>
      <c r="J941" s="124"/>
      <c r="K941" s="329"/>
      <c r="L941" s="124"/>
      <c r="M941" s="329"/>
      <c r="N941" s="124"/>
      <c r="O941" s="320"/>
      <c r="P941" s="142"/>
      <c r="Q941" s="193"/>
      <c r="R941" s="28"/>
      <c r="S941" s="138"/>
      <c r="T941" s="142"/>
      <c r="U941" s="142"/>
      <c r="V941" s="142"/>
    </row>
    <row r="942">
      <c r="A942" s="320"/>
      <c r="B942" s="142"/>
      <c r="C942" s="320"/>
      <c r="D942" s="124"/>
      <c r="E942" s="320"/>
      <c r="F942" s="142"/>
      <c r="G942" s="320"/>
      <c r="H942" s="142"/>
      <c r="I942" s="329"/>
      <c r="J942" s="124"/>
      <c r="K942" s="329"/>
      <c r="L942" s="124"/>
      <c r="M942" s="329"/>
      <c r="N942" s="124"/>
      <c r="O942" s="320"/>
      <c r="P942" s="142"/>
      <c r="Q942" s="193"/>
      <c r="R942" s="28"/>
      <c r="S942" s="138"/>
      <c r="T942" s="142"/>
      <c r="U942" s="142"/>
      <c r="V942" s="142"/>
    </row>
    <row r="943">
      <c r="A943" s="320"/>
      <c r="B943" s="142"/>
      <c r="C943" s="320"/>
      <c r="D943" s="124"/>
      <c r="E943" s="320"/>
      <c r="F943" s="142"/>
      <c r="G943" s="320"/>
      <c r="H943" s="142"/>
      <c r="I943" s="329"/>
      <c r="J943" s="124"/>
      <c r="K943" s="329"/>
      <c r="L943" s="124"/>
      <c r="M943" s="329"/>
      <c r="N943" s="124"/>
      <c r="O943" s="320"/>
      <c r="P943" s="142"/>
      <c r="Q943" s="193"/>
      <c r="R943" s="28"/>
      <c r="S943" s="138"/>
      <c r="T943" s="142"/>
      <c r="U943" s="142"/>
      <c r="V943" s="142"/>
    </row>
    <row r="944">
      <c r="A944" s="320"/>
      <c r="B944" s="142"/>
      <c r="C944" s="320"/>
      <c r="D944" s="124"/>
      <c r="E944" s="320"/>
      <c r="F944" s="142"/>
      <c r="G944" s="320"/>
      <c r="H944" s="142"/>
      <c r="I944" s="329"/>
      <c r="J944" s="124"/>
      <c r="K944" s="329"/>
      <c r="L944" s="124"/>
      <c r="M944" s="329"/>
      <c r="N944" s="124"/>
      <c r="O944" s="320"/>
      <c r="P944" s="142"/>
      <c r="Q944" s="193"/>
      <c r="R944" s="28"/>
      <c r="S944" s="138"/>
      <c r="T944" s="142"/>
      <c r="U944" s="142"/>
      <c r="V944" s="142"/>
    </row>
    <row r="945">
      <c r="A945" s="320"/>
      <c r="B945" s="142"/>
      <c r="C945" s="320"/>
      <c r="D945" s="124"/>
      <c r="E945" s="320"/>
      <c r="F945" s="142"/>
      <c r="G945" s="320"/>
      <c r="H945" s="142"/>
      <c r="I945" s="329"/>
      <c r="J945" s="124"/>
      <c r="K945" s="329"/>
      <c r="L945" s="124"/>
      <c r="M945" s="329"/>
      <c r="N945" s="124"/>
      <c r="O945" s="320"/>
      <c r="P945" s="142"/>
      <c r="Q945" s="193"/>
      <c r="R945" s="28"/>
      <c r="S945" s="138"/>
      <c r="T945" s="142"/>
      <c r="U945" s="142"/>
      <c r="V945" s="142"/>
    </row>
    <row r="946">
      <c r="A946" s="320"/>
      <c r="B946" s="142"/>
      <c r="C946" s="320"/>
      <c r="D946" s="124"/>
      <c r="E946" s="320"/>
      <c r="F946" s="142"/>
      <c r="G946" s="320"/>
      <c r="H946" s="142"/>
      <c r="I946" s="329"/>
      <c r="J946" s="124"/>
      <c r="K946" s="329"/>
      <c r="L946" s="124"/>
      <c r="M946" s="329"/>
      <c r="N946" s="124"/>
      <c r="O946" s="320"/>
      <c r="P946" s="142"/>
      <c r="Q946" s="193"/>
      <c r="R946" s="28"/>
      <c r="S946" s="138"/>
      <c r="T946" s="142"/>
      <c r="U946" s="142"/>
      <c r="V946" s="142"/>
    </row>
    <row r="947">
      <c r="A947" s="320"/>
      <c r="B947" s="142"/>
      <c r="C947" s="320"/>
      <c r="D947" s="124"/>
      <c r="E947" s="320"/>
      <c r="F947" s="142"/>
      <c r="G947" s="320"/>
      <c r="H947" s="142"/>
      <c r="I947" s="329"/>
      <c r="J947" s="124"/>
      <c r="K947" s="329"/>
      <c r="L947" s="124"/>
      <c r="M947" s="329"/>
      <c r="N947" s="124"/>
      <c r="O947" s="320"/>
      <c r="P947" s="142"/>
      <c r="Q947" s="193"/>
      <c r="R947" s="28"/>
      <c r="S947" s="138"/>
      <c r="T947" s="142"/>
      <c r="U947" s="142"/>
      <c r="V947" s="142"/>
    </row>
    <row r="948">
      <c r="A948" s="320"/>
      <c r="B948" s="142"/>
      <c r="C948" s="320"/>
      <c r="D948" s="124"/>
      <c r="E948" s="320"/>
      <c r="F948" s="142"/>
      <c r="G948" s="320"/>
      <c r="H948" s="142"/>
      <c r="I948" s="329"/>
      <c r="J948" s="124"/>
      <c r="K948" s="329"/>
      <c r="L948" s="124"/>
      <c r="M948" s="329"/>
      <c r="N948" s="124"/>
      <c r="O948" s="320"/>
      <c r="P948" s="142"/>
      <c r="Q948" s="193"/>
      <c r="R948" s="28"/>
      <c r="S948" s="138"/>
      <c r="T948" s="142"/>
      <c r="U948" s="142"/>
      <c r="V948" s="142"/>
    </row>
    <row r="949">
      <c r="A949" s="320"/>
      <c r="B949" s="142"/>
      <c r="C949" s="320"/>
      <c r="D949" s="124"/>
      <c r="E949" s="320"/>
      <c r="F949" s="142"/>
      <c r="G949" s="320"/>
      <c r="H949" s="142"/>
      <c r="I949" s="329"/>
      <c r="J949" s="124"/>
      <c r="K949" s="329"/>
      <c r="L949" s="124"/>
      <c r="M949" s="329"/>
      <c r="N949" s="124"/>
      <c r="O949" s="320"/>
      <c r="P949" s="142"/>
      <c r="Q949" s="193"/>
      <c r="R949" s="28"/>
      <c r="S949" s="138"/>
      <c r="T949" s="142"/>
      <c r="U949" s="142"/>
      <c r="V949" s="142"/>
    </row>
    <row r="950">
      <c r="A950" s="320"/>
      <c r="B950" s="142"/>
      <c r="C950" s="320"/>
      <c r="D950" s="124"/>
      <c r="E950" s="320"/>
      <c r="F950" s="142"/>
      <c r="G950" s="320"/>
      <c r="H950" s="142"/>
      <c r="I950" s="329"/>
      <c r="J950" s="124"/>
      <c r="K950" s="329"/>
      <c r="L950" s="124"/>
      <c r="M950" s="329"/>
      <c r="N950" s="124"/>
      <c r="O950" s="320"/>
      <c r="P950" s="142"/>
      <c r="Q950" s="193"/>
      <c r="R950" s="28"/>
      <c r="S950" s="138"/>
      <c r="T950" s="142"/>
      <c r="U950" s="142"/>
      <c r="V950" s="142"/>
    </row>
    <row r="951">
      <c r="A951" s="320"/>
      <c r="B951" s="142"/>
      <c r="C951" s="320"/>
      <c r="D951" s="124"/>
      <c r="E951" s="320"/>
      <c r="F951" s="142"/>
      <c r="G951" s="320"/>
      <c r="H951" s="142"/>
      <c r="I951" s="329"/>
      <c r="J951" s="124"/>
      <c r="K951" s="329"/>
      <c r="L951" s="124"/>
      <c r="M951" s="329"/>
      <c r="N951" s="124"/>
      <c r="O951" s="320"/>
      <c r="P951" s="142"/>
      <c r="Q951" s="193"/>
      <c r="R951" s="28"/>
      <c r="S951" s="138"/>
      <c r="T951" s="142"/>
      <c r="U951" s="142"/>
      <c r="V951" s="142"/>
    </row>
    <row r="952">
      <c r="A952" s="320"/>
      <c r="B952" s="142"/>
      <c r="C952" s="320"/>
      <c r="D952" s="124"/>
      <c r="E952" s="320"/>
      <c r="F952" s="142"/>
      <c r="G952" s="320"/>
      <c r="H952" s="142"/>
      <c r="I952" s="329"/>
      <c r="J952" s="124"/>
      <c r="K952" s="329"/>
      <c r="L952" s="124"/>
      <c r="M952" s="329"/>
      <c r="N952" s="124"/>
      <c r="O952" s="320"/>
      <c r="P952" s="142"/>
      <c r="Q952" s="193"/>
      <c r="R952" s="28"/>
      <c r="S952" s="138"/>
      <c r="T952" s="142"/>
      <c r="U952" s="142"/>
      <c r="V952" s="142"/>
    </row>
    <row r="953">
      <c r="A953" s="320"/>
      <c r="B953" s="142"/>
      <c r="C953" s="320"/>
      <c r="D953" s="124"/>
      <c r="E953" s="320"/>
      <c r="F953" s="142"/>
      <c r="G953" s="320"/>
      <c r="H953" s="142"/>
      <c r="I953" s="329"/>
      <c r="J953" s="124"/>
      <c r="K953" s="329"/>
      <c r="L953" s="124"/>
      <c r="M953" s="329"/>
      <c r="N953" s="124"/>
      <c r="O953" s="320"/>
      <c r="P953" s="142"/>
      <c r="Q953" s="193"/>
      <c r="R953" s="28"/>
      <c r="S953" s="138"/>
      <c r="T953" s="142"/>
      <c r="U953" s="142"/>
      <c r="V953" s="142"/>
    </row>
    <row r="954">
      <c r="A954" s="320"/>
      <c r="B954" s="142"/>
      <c r="C954" s="320"/>
      <c r="D954" s="124"/>
      <c r="E954" s="320"/>
      <c r="F954" s="142"/>
      <c r="G954" s="320"/>
      <c r="H954" s="142"/>
      <c r="I954" s="329"/>
      <c r="J954" s="124"/>
      <c r="K954" s="329"/>
      <c r="L954" s="124"/>
      <c r="M954" s="329"/>
      <c r="N954" s="124"/>
      <c r="O954" s="320"/>
      <c r="P954" s="142"/>
      <c r="Q954" s="193"/>
      <c r="R954" s="28"/>
      <c r="S954" s="138"/>
      <c r="T954" s="142"/>
      <c r="U954" s="142"/>
      <c r="V954" s="142"/>
    </row>
    <row r="955">
      <c r="A955" s="320"/>
      <c r="B955" s="142"/>
      <c r="C955" s="320"/>
      <c r="D955" s="124"/>
      <c r="E955" s="320"/>
      <c r="F955" s="142"/>
      <c r="G955" s="320"/>
      <c r="H955" s="142"/>
      <c r="I955" s="329"/>
      <c r="J955" s="124"/>
      <c r="K955" s="329"/>
      <c r="L955" s="124"/>
      <c r="M955" s="329"/>
      <c r="N955" s="124"/>
      <c r="O955" s="320"/>
      <c r="P955" s="142"/>
      <c r="Q955" s="193"/>
      <c r="R955" s="28"/>
      <c r="S955" s="138"/>
      <c r="T955" s="142"/>
      <c r="U955" s="142"/>
      <c r="V955" s="142"/>
    </row>
    <row r="956">
      <c r="A956" s="320"/>
      <c r="B956" s="142"/>
      <c r="C956" s="320"/>
      <c r="D956" s="124"/>
      <c r="E956" s="320"/>
      <c r="F956" s="142"/>
      <c r="G956" s="320"/>
      <c r="H956" s="142"/>
      <c r="I956" s="329"/>
      <c r="J956" s="124"/>
      <c r="K956" s="329"/>
      <c r="L956" s="124"/>
      <c r="M956" s="329"/>
      <c r="N956" s="124"/>
      <c r="O956" s="320"/>
      <c r="P956" s="142"/>
      <c r="Q956" s="193"/>
      <c r="R956" s="28"/>
      <c r="S956" s="138"/>
      <c r="T956" s="142"/>
      <c r="U956" s="142"/>
      <c r="V956" s="142"/>
    </row>
    <row r="957">
      <c r="A957" s="320"/>
      <c r="B957" s="142"/>
      <c r="C957" s="320"/>
      <c r="D957" s="124"/>
      <c r="E957" s="320"/>
      <c r="F957" s="142"/>
      <c r="G957" s="320"/>
      <c r="H957" s="142"/>
      <c r="I957" s="329"/>
      <c r="J957" s="124"/>
      <c r="K957" s="329"/>
      <c r="L957" s="124"/>
      <c r="M957" s="329"/>
      <c r="N957" s="124"/>
      <c r="O957" s="320"/>
      <c r="P957" s="142"/>
      <c r="Q957" s="193"/>
      <c r="R957" s="28"/>
      <c r="S957" s="138"/>
      <c r="T957" s="142"/>
      <c r="U957" s="142"/>
      <c r="V957" s="142"/>
    </row>
    <row r="958">
      <c r="A958" s="320"/>
      <c r="B958" s="142"/>
      <c r="C958" s="320"/>
      <c r="D958" s="124"/>
      <c r="E958" s="320"/>
      <c r="F958" s="142"/>
      <c r="G958" s="320"/>
      <c r="H958" s="142"/>
      <c r="I958" s="329"/>
      <c r="J958" s="124"/>
      <c r="K958" s="329"/>
      <c r="L958" s="124"/>
      <c r="M958" s="329"/>
      <c r="N958" s="124"/>
      <c r="O958" s="320"/>
      <c r="P958" s="142"/>
      <c r="Q958" s="193"/>
      <c r="R958" s="28"/>
      <c r="S958" s="138"/>
      <c r="T958" s="142"/>
      <c r="U958" s="142"/>
      <c r="V958" s="142"/>
    </row>
    <row r="959">
      <c r="A959" s="320"/>
      <c r="B959" s="142"/>
      <c r="C959" s="320"/>
      <c r="D959" s="124"/>
      <c r="E959" s="320"/>
      <c r="F959" s="142"/>
      <c r="G959" s="320"/>
      <c r="H959" s="142"/>
      <c r="I959" s="329"/>
      <c r="J959" s="124"/>
      <c r="K959" s="329"/>
      <c r="L959" s="124"/>
      <c r="M959" s="329"/>
      <c r="N959" s="124"/>
      <c r="O959" s="320"/>
      <c r="P959" s="142"/>
      <c r="Q959" s="193"/>
      <c r="R959" s="28"/>
      <c r="S959" s="138"/>
      <c r="T959" s="142"/>
      <c r="U959" s="142"/>
      <c r="V959" s="142"/>
    </row>
    <row r="960">
      <c r="A960" s="320"/>
      <c r="B960" s="142"/>
      <c r="C960" s="320"/>
      <c r="D960" s="124"/>
      <c r="E960" s="320"/>
      <c r="F960" s="142"/>
      <c r="G960" s="320"/>
      <c r="H960" s="142"/>
      <c r="I960" s="329"/>
      <c r="J960" s="124"/>
      <c r="K960" s="329"/>
      <c r="L960" s="124"/>
      <c r="M960" s="329"/>
      <c r="N960" s="124"/>
      <c r="O960" s="320"/>
      <c r="P960" s="142"/>
      <c r="Q960" s="193"/>
      <c r="R960" s="28"/>
      <c r="S960" s="138"/>
      <c r="T960" s="142"/>
      <c r="U960" s="142"/>
      <c r="V960" s="142"/>
    </row>
    <row r="961">
      <c r="A961" s="320"/>
      <c r="B961" s="142"/>
      <c r="C961" s="320"/>
      <c r="D961" s="124"/>
      <c r="E961" s="320"/>
      <c r="F961" s="142"/>
      <c r="G961" s="320"/>
      <c r="H961" s="142"/>
      <c r="I961" s="329"/>
      <c r="J961" s="124"/>
      <c r="K961" s="329"/>
      <c r="L961" s="124"/>
      <c r="M961" s="329"/>
      <c r="N961" s="124"/>
      <c r="O961" s="320"/>
      <c r="P961" s="142"/>
      <c r="Q961" s="193"/>
      <c r="R961" s="28"/>
      <c r="S961" s="138"/>
      <c r="T961" s="142"/>
      <c r="U961" s="142"/>
      <c r="V961" s="142"/>
    </row>
    <row r="962">
      <c r="A962" s="320"/>
      <c r="B962" s="142"/>
      <c r="C962" s="320"/>
      <c r="D962" s="124"/>
      <c r="E962" s="320"/>
      <c r="F962" s="142"/>
      <c r="G962" s="320"/>
      <c r="H962" s="142"/>
      <c r="I962" s="329"/>
      <c r="J962" s="124"/>
      <c r="K962" s="329"/>
      <c r="L962" s="124"/>
      <c r="M962" s="329"/>
      <c r="N962" s="124"/>
      <c r="O962" s="320"/>
      <c r="P962" s="142"/>
      <c r="Q962" s="193"/>
      <c r="R962" s="28"/>
      <c r="S962" s="138"/>
      <c r="T962" s="142"/>
      <c r="U962" s="142"/>
      <c r="V962" s="142"/>
    </row>
    <row r="963">
      <c r="A963" s="320"/>
      <c r="B963" s="142"/>
      <c r="C963" s="320"/>
      <c r="D963" s="124"/>
      <c r="E963" s="320"/>
      <c r="F963" s="142"/>
      <c r="G963" s="320"/>
      <c r="H963" s="142"/>
      <c r="I963" s="329"/>
      <c r="J963" s="124"/>
      <c r="K963" s="329"/>
      <c r="L963" s="124"/>
      <c r="M963" s="329"/>
      <c r="N963" s="124"/>
      <c r="O963" s="320"/>
      <c r="P963" s="142"/>
      <c r="Q963" s="193"/>
      <c r="R963" s="28"/>
      <c r="S963" s="138"/>
      <c r="T963" s="142"/>
      <c r="U963" s="142"/>
      <c r="V963" s="142"/>
    </row>
    <row r="964">
      <c r="A964" s="320"/>
      <c r="B964" s="142"/>
      <c r="C964" s="320"/>
      <c r="D964" s="124"/>
      <c r="E964" s="320"/>
      <c r="F964" s="142"/>
      <c r="G964" s="320"/>
      <c r="H964" s="142"/>
      <c r="I964" s="329"/>
      <c r="J964" s="124"/>
      <c r="K964" s="329"/>
      <c r="L964" s="124"/>
      <c r="M964" s="329"/>
      <c r="N964" s="124"/>
      <c r="O964" s="320"/>
      <c r="P964" s="142"/>
      <c r="Q964" s="193"/>
      <c r="R964" s="28"/>
      <c r="S964" s="138"/>
      <c r="T964" s="142"/>
      <c r="U964" s="142"/>
      <c r="V964" s="142"/>
    </row>
    <row r="965">
      <c r="A965" s="320"/>
      <c r="B965" s="142"/>
      <c r="C965" s="320"/>
      <c r="D965" s="124"/>
      <c r="E965" s="320"/>
      <c r="F965" s="142"/>
      <c r="G965" s="320"/>
      <c r="H965" s="142"/>
      <c r="I965" s="329"/>
      <c r="J965" s="124"/>
      <c r="K965" s="329"/>
      <c r="L965" s="124"/>
      <c r="M965" s="329"/>
      <c r="N965" s="124"/>
      <c r="O965" s="320"/>
      <c r="P965" s="142"/>
      <c r="Q965" s="193"/>
      <c r="R965" s="28"/>
      <c r="S965" s="138"/>
      <c r="T965" s="142"/>
      <c r="U965" s="142"/>
      <c r="V965" s="142"/>
    </row>
    <row r="966">
      <c r="A966" s="320"/>
      <c r="B966" s="142"/>
      <c r="C966" s="320"/>
      <c r="D966" s="124"/>
      <c r="E966" s="320"/>
      <c r="F966" s="142"/>
      <c r="G966" s="320"/>
      <c r="H966" s="142"/>
      <c r="I966" s="329"/>
      <c r="J966" s="124"/>
      <c r="K966" s="329"/>
      <c r="L966" s="124"/>
      <c r="M966" s="329"/>
      <c r="N966" s="124"/>
      <c r="O966" s="320"/>
      <c r="P966" s="142"/>
      <c r="Q966" s="193"/>
      <c r="R966" s="28"/>
      <c r="S966" s="138"/>
      <c r="T966" s="142"/>
      <c r="U966" s="142"/>
      <c r="V966" s="142"/>
    </row>
    <row r="967">
      <c r="A967" s="320"/>
      <c r="B967" s="142"/>
      <c r="C967" s="320"/>
      <c r="D967" s="124"/>
      <c r="E967" s="320"/>
      <c r="F967" s="142"/>
      <c r="G967" s="320"/>
      <c r="H967" s="142"/>
      <c r="I967" s="329"/>
      <c r="J967" s="124"/>
      <c r="K967" s="329"/>
      <c r="L967" s="124"/>
      <c r="M967" s="329"/>
      <c r="N967" s="124"/>
      <c r="O967" s="320"/>
      <c r="P967" s="142"/>
      <c r="Q967" s="193"/>
      <c r="R967" s="28"/>
      <c r="S967" s="138"/>
      <c r="T967" s="142"/>
      <c r="U967" s="142"/>
      <c r="V967" s="142"/>
    </row>
    <row r="968">
      <c r="A968" s="320"/>
      <c r="B968" s="142"/>
      <c r="C968" s="320"/>
      <c r="D968" s="124"/>
      <c r="E968" s="320"/>
      <c r="F968" s="142"/>
      <c r="G968" s="320"/>
      <c r="H968" s="142"/>
      <c r="I968" s="329"/>
      <c r="J968" s="124"/>
      <c r="K968" s="329"/>
      <c r="L968" s="124"/>
      <c r="M968" s="329"/>
      <c r="N968" s="124"/>
      <c r="O968" s="320"/>
      <c r="P968" s="142"/>
      <c r="Q968" s="193"/>
      <c r="R968" s="28"/>
      <c r="S968" s="138"/>
      <c r="T968" s="142"/>
      <c r="U968" s="142"/>
      <c r="V968" s="142"/>
    </row>
    <row r="969">
      <c r="A969" s="320"/>
      <c r="B969" s="142"/>
      <c r="C969" s="320"/>
      <c r="D969" s="124"/>
      <c r="E969" s="320"/>
      <c r="F969" s="142"/>
      <c r="G969" s="320"/>
      <c r="H969" s="142"/>
      <c r="I969" s="329"/>
      <c r="J969" s="124"/>
      <c r="K969" s="329"/>
      <c r="L969" s="124"/>
      <c r="M969" s="329"/>
      <c r="N969" s="124"/>
      <c r="O969" s="320"/>
      <c r="P969" s="142"/>
      <c r="Q969" s="193"/>
      <c r="R969" s="28"/>
      <c r="S969" s="138"/>
      <c r="T969" s="142"/>
      <c r="U969" s="142"/>
      <c r="V969" s="142"/>
    </row>
    <row r="970">
      <c r="A970" s="320"/>
      <c r="B970" s="142"/>
      <c r="C970" s="320"/>
      <c r="D970" s="124"/>
      <c r="E970" s="320"/>
      <c r="F970" s="142"/>
      <c r="G970" s="320"/>
      <c r="H970" s="142"/>
      <c r="I970" s="329"/>
      <c r="J970" s="124"/>
      <c r="K970" s="329"/>
      <c r="L970" s="124"/>
      <c r="M970" s="329"/>
      <c r="N970" s="124"/>
      <c r="O970" s="320"/>
      <c r="P970" s="142"/>
      <c r="Q970" s="193"/>
      <c r="R970" s="28"/>
      <c r="S970" s="138"/>
      <c r="T970" s="142"/>
      <c r="U970" s="142"/>
      <c r="V970" s="142"/>
    </row>
    <row r="971">
      <c r="A971" s="320"/>
      <c r="B971" s="142"/>
      <c r="C971" s="320"/>
      <c r="D971" s="124"/>
      <c r="E971" s="320"/>
      <c r="F971" s="142"/>
      <c r="G971" s="320"/>
      <c r="H971" s="142"/>
      <c r="I971" s="329"/>
      <c r="J971" s="124"/>
      <c r="K971" s="329"/>
      <c r="L971" s="124"/>
      <c r="M971" s="329"/>
      <c r="N971" s="124"/>
      <c r="O971" s="320"/>
      <c r="P971" s="142"/>
      <c r="Q971" s="193"/>
      <c r="R971" s="28"/>
      <c r="S971" s="138"/>
      <c r="T971" s="142"/>
      <c r="U971" s="142"/>
      <c r="V971" s="142"/>
    </row>
    <row r="972">
      <c r="A972" s="320"/>
      <c r="B972" s="142"/>
      <c r="C972" s="320"/>
      <c r="D972" s="124"/>
      <c r="E972" s="320"/>
      <c r="F972" s="142"/>
      <c r="G972" s="320"/>
      <c r="H972" s="142"/>
      <c r="I972" s="329"/>
      <c r="J972" s="124"/>
      <c r="K972" s="329"/>
      <c r="L972" s="124"/>
      <c r="M972" s="329"/>
      <c r="N972" s="124"/>
      <c r="O972" s="320"/>
      <c r="P972" s="142"/>
      <c r="Q972" s="193"/>
      <c r="R972" s="28"/>
      <c r="S972" s="138"/>
      <c r="T972" s="142"/>
      <c r="U972" s="142"/>
      <c r="V972" s="142"/>
    </row>
    <row r="973">
      <c r="A973" s="320"/>
      <c r="B973" s="142"/>
      <c r="C973" s="320"/>
      <c r="D973" s="124"/>
      <c r="E973" s="320"/>
      <c r="F973" s="142"/>
      <c r="G973" s="320"/>
      <c r="H973" s="142"/>
      <c r="I973" s="329"/>
      <c r="J973" s="124"/>
      <c r="K973" s="329"/>
      <c r="L973" s="124"/>
      <c r="M973" s="329"/>
      <c r="N973" s="124"/>
      <c r="O973" s="320"/>
      <c r="P973" s="142"/>
      <c r="Q973" s="193"/>
      <c r="R973" s="28"/>
      <c r="S973" s="138"/>
      <c r="T973" s="142"/>
      <c r="U973" s="142"/>
      <c r="V973" s="142"/>
    </row>
    <row r="974">
      <c r="A974" s="320"/>
      <c r="B974" s="142"/>
      <c r="C974" s="320"/>
      <c r="D974" s="124"/>
      <c r="E974" s="320"/>
      <c r="F974" s="142"/>
      <c r="G974" s="320"/>
      <c r="H974" s="142"/>
      <c r="I974" s="329"/>
      <c r="J974" s="124"/>
      <c r="K974" s="329"/>
      <c r="L974" s="124"/>
      <c r="M974" s="329"/>
      <c r="N974" s="124"/>
      <c r="O974" s="320"/>
      <c r="P974" s="142"/>
      <c r="Q974" s="193"/>
      <c r="R974" s="28"/>
      <c r="S974" s="138"/>
      <c r="T974" s="142"/>
      <c r="U974" s="142"/>
      <c r="V974" s="142"/>
    </row>
    <row r="975">
      <c r="A975" s="320"/>
      <c r="B975" s="142"/>
      <c r="C975" s="320"/>
      <c r="D975" s="124"/>
      <c r="E975" s="320"/>
      <c r="F975" s="142"/>
      <c r="G975" s="320"/>
      <c r="H975" s="142"/>
      <c r="I975" s="329"/>
      <c r="J975" s="124"/>
      <c r="K975" s="329"/>
      <c r="L975" s="124"/>
      <c r="M975" s="329"/>
      <c r="N975" s="124"/>
      <c r="O975" s="320"/>
      <c r="P975" s="142"/>
      <c r="Q975" s="193"/>
      <c r="R975" s="28"/>
      <c r="S975" s="138"/>
      <c r="T975" s="142"/>
      <c r="U975" s="142"/>
      <c r="V975" s="142"/>
    </row>
    <row r="976">
      <c r="A976" s="320"/>
      <c r="B976" s="142"/>
      <c r="C976" s="320"/>
      <c r="D976" s="124"/>
      <c r="E976" s="320"/>
      <c r="F976" s="142"/>
      <c r="G976" s="320"/>
      <c r="H976" s="142"/>
      <c r="I976" s="329"/>
      <c r="J976" s="124"/>
      <c r="K976" s="329"/>
      <c r="L976" s="124"/>
      <c r="M976" s="329"/>
      <c r="N976" s="124"/>
      <c r="O976" s="320"/>
      <c r="P976" s="142"/>
      <c r="Q976" s="193"/>
      <c r="R976" s="28"/>
      <c r="S976" s="138"/>
      <c r="T976" s="142"/>
      <c r="U976" s="142"/>
      <c r="V976" s="142"/>
    </row>
    <row r="977">
      <c r="A977" s="320"/>
      <c r="B977" s="142"/>
      <c r="C977" s="320"/>
      <c r="D977" s="124"/>
      <c r="E977" s="320"/>
      <c r="F977" s="142"/>
      <c r="G977" s="320"/>
      <c r="H977" s="142"/>
      <c r="I977" s="329"/>
      <c r="J977" s="124"/>
      <c r="K977" s="329"/>
      <c r="L977" s="124"/>
      <c r="M977" s="329"/>
      <c r="N977" s="124"/>
      <c r="O977" s="320"/>
      <c r="P977" s="142"/>
      <c r="Q977" s="193"/>
      <c r="R977" s="28"/>
      <c r="S977" s="138"/>
      <c r="T977" s="142"/>
      <c r="U977" s="142"/>
      <c r="V977" s="142"/>
    </row>
    <row r="978">
      <c r="A978" s="320"/>
      <c r="B978" s="142"/>
      <c r="C978" s="320"/>
      <c r="D978" s="124"/>
      <c r="E978" s="320"/>
      <c r="F978" s="142"/>
      <c r="G978" s="320"/>
      <c r="H978" s="142"/>
      <c r="I978" s="329"/>
      <c r="J978" s="124"/>
      <c r="K978" s="329"/>
      <c r="L978" s="124"/>
      <c r="M978" s="329"/>
      <c r="N978" s="124"/>
      <c r="O978" s="320"/>
      <c r="P978" s="142"/>
      <c r="Q978" s="193"/>
      <c r="R978" s="28"/>
      <c r="S978" s="138"/>
      <c r="T978" s="142"/>
      <c r="U978" s="142"/>
      <c r="V978" s="142"/>
    </row>
    <row r="979">
      <c r="A979" s="320"/>
      <c r="B979" s="142"/>
      <c r="C979" s="320"/>
      <c r="D979" s="124"/>
      <c r="E979" s="320"/>
      <c r="F979" s="142"/>
      <c r="G979" s="320"/>
      <c r="H979" s="142"/>
      <c r="I979" s="329"/>
      <c r="J979" s="124"/>
      <c r="K979" s="329"/>
      <c r="L979" s="124"/>
      <c r="M979" s="329"/>
      <c r="N979" s="124"/>
      <c r="O979" s="320"/>
      <c r="P979" s="142"/>
      <c r="Q979" s="193"/>
      <c r="R979" s="28"/>
      <c r="S979" s="138"/>
      <c r="T979" s="142"/>
      <c r="U979" s="142"/>
      <c r="V979" s="142"/>
    </row>
    <row r="980">
      <c r="A980" s="320"/>
      <c r="B980" s="142"/>
      <c r="C980" s="320"/>
      <c r="D980" s="124"/>
      <c r="E980" s="320"/>
      <c r="F980" s="142"/>
      <c r="G980" s="320"/>
      <c r="H980" s="142"/>
      <c r="I980" s="329"/>
      <c r="J980" s="124"/>
      <c r="K980" s="329"/>
      <c r="L980" s="124"/>
      <c r="M980" s="329"/>
      <c r="N980" s="124"/>
      <c r="O980" s="320"/>
      <c r="P980" s="142"/>
      <c r="Q980" s="193"/>
      <c r="R980" s="28"/>
      <c r="S980" s="138"/>
      <c r="T980" s="142"/>
      <c r="U980" s="142"/>
      <c r="V980" s="142"/>
    </row>
    <row r="981">
      <c r="A981" s="320"/>
      <c r="B981" s="142"/>
      <c r="C981" s="320"/>
      <c r="D981" s="124"/>
      <c r="E981" s="320"/>
      <c r="F981" s="142"/>
      <c r="G981" s="320"/>
      <c r="H981" s="142"/>
      <c r="I981" s="329"/>
      <c r="J981" s="124"/>
      <c r="K981" s="329"/>
      <c r="L981" s="124"/>
      <c r="M981" s="329"/>
      <c r="N981" s="124"/>
      <c r="O981" s="320"/>
      <c r="P981" s="142"/>
      <c r="Q981" s="193"/>
      <c r="R981" s="28"/>
      <c r="S981" s="138"/>
      <c r="T981" s="142"/>
      <c r="U981" s="142"/>
      <c r="V981" s="142"/>
    </row>
    <row r="982">
      <c r="A982" s="320"/>
      <c r="B982" s="142"/>
      <c r="C982" s="320"/>
      <c r="D982" s="124"/>
      <c r="E982" s="320"/>
      <c r="F982" s="142"/>
      <c r="G982" s="320"/>
      <c r="H982" s="142"/>
      <c r="I982" s="329"/>
      <c r="J982" s="124"/>
      <c r="K982" s="329"/>
      <c r="L982" s="124"/>
      <c r="M982" s="329"/>
      <c r="N982" s="124"/>
      <c r="O982" s="320"/>
      <c r="P982" s="142"/>
      <c r="Q982" s="193"/>
      <c r="R982" s="28"/>
      <c r="S982" s="138"/>
      <c r="T982" s="142"/>
      <c r="U982" s="142"/>
      <c r="V982" s="142"/>
    </row>
    <row r="983">
      <c r="A983" s="320"/>
      <c r="B983" s="142"/>
      <c r="C983" s="320"/>
      <c r="D983" s="124"/>
      <c r="E983" s="320"/>
      <c r="F983" s="142"/>
      <c r="G983" s="320"/>
      <c r="H983" s="142"/>
      <c r="I983" s="329"/>
      <c r="J983" s="124"/>
      <c r="K983" s="329"/>
      <c r="L983" s="124"/>
      <c r="M983" s="329"/>
      <c r="N983" s="124"/>
      <c r="O983" s="320"/>
      <c r="P983" s="142"/>
      <c r="Q983" s="193"/>
      <c r="R983" s="28"/>
      <c r="S983" s="138"/>
      <c r="T983" s="142"/>
      <c r="U983" s="142"/>
      <c r="V983" s="142"/>
    </row>
    <row r="984">
      <c r="A984" s="320"/>
      <c r="B984" s="142"/>
      <c r="C984" s="320"/>
      <c r="D984" s="124"/>
      <c r="E984" s="320"/>
      <c r="F984" s="142"/>
      <c r="G984" s="320"/>
      <c r="H984" s="142"/>
      <c r="I984" s="329"/>
      <c r="J984" s="124"/>
      <c r="K984" s="329"/>
      <c r="L984" s="124"/>
      <c r="M984" s="329"/>
      <c r="N984" s="124"/>
      <c r="O984" s="320"/>
      <c r="P984" s="142"/>
      <c r="Q984" s="193"/>
      <c r="R984" s="28"/>
      <c r="S984" s="138"/>
      <c r="T984" s="142"/>
      <c r="U984" s="142"/>
      <c r="V984" s="142"/>
    </row>
    <row r="985">
      <c r="A985" s="320"/>
      <c r="B985" s="142"/>
      <c r="C985" s="320"/>
      <c r="D985" s="124"/>
      <c r="E985" s="320"/>
      <c r="F985" s="142"/>
      <c r="G985" s="320"/>
      <c r="H985" s="142"/>
      <c r="I985" s="329"/>
      <c r="J985" s="124"/>
      <c r="K985" s="329"/>
      <c r="L985" s="124"/>
      <c r="M985" s="329"/>
      <c r="N985" s="124"/>
      <c r="O985" s="320"/>
      <c r="P985" s="142"/>
      <c r="Q985" s="193"/>
      <c r="R985" s="28"/>
      <c r="S985" s="138"/>
      <c r="T985" s="142"/>
      <c r="U985" s="142"/>
      <c r="V985" s="142"/>
    </row>
    <row r="986">
      <c r="A986" s="320"/>
      <c r="B986" s="142"/>
      <c r="C986" s="320"/>
      <c r="D986" s="124"/>
      <c r="E986" s="320"/>
      <c r="F986" s="142"/>
      <c r="G986" s="320"/>
      <c r="H986" s="142"/>
      <c r="I986" s="329"/>
      <c r="J986" s="124"/>
      <c r="K986" s="329"/>
      <c r="L986" s="124"/>
      <c r="M986" s="329"/>
      <c r="N986" s="124"/>
      <c r="O986" s="320"/>
      <c r="P986" s="142"/>
      <c r="Q986" s="193"/>
      <c r="R986" s="28"/>
      <c r="S986" s="138"/>
      <c r="T986" s="142"/>
      <c r="U986" s="142"/>
      <c r="V986" s="142"/>
    </row>
    <row r="987">
      <c r="A987" s="320"/>
      <c r="B987" s="142"/>
      <c r="C987" s="320"/>
      <c r="D987" s="124"/>
      <c r="E987" s="320"/>
      <c r="F987" s="142"/>
      <c r="G987" s="320"/>
      <c r="H987" s="142"/>
      <c r="I987" s="329"/>
      <c r="J987" s="124"/>
      <c r="K987" s="329"/>
      <c r="L987" s="124"/>
      <c r="M987" s="329"/>
      <c r="N987" s="124"/>
      <c r="O987" s="320"/>
      <c r="P987" s="142"/>
      <c r="Q987" s="193"/>
      <c r="R987" s="28"/>
      <c r="S987" s="138"/>
      <c r="T987" s="142"/>
      <c r="U987" s="142"/>
      <c r="V987" s="142"/>
    </row>
    <row r="988">
      <c r="A988" s="320"/>
      <c r="B988" s="142"/>
      <c r="C988" s="320"/>
      <c r="D988" s="124"/>
      <c r="E988" s="320"/>
      <c r="F988" s="142"/>
      <c r="G988" s="320"/>
      <c r="H988" s="142"/>
      <c r="I988" s="329"/>
      <c r="J988" s="124"/>
      <c r="K988" s="329"/>
      <c r="L988" s="124"/>
      <c r="M988" s="329"/>
      <c r="N988" s="124"/>
      <c r="O988" s="320"/>
      <c r="P988" s="142"/>
      <c r="Q988" s="193"/>
      <c r="R988" s="28"/>
      <c r="S988" s="138"/>
      <c r="T988" s="142"/>
      <c r="U988" s="142"/>
      <c r="V988" s="142"/>
    </row>
    <row r="989">
      <c r="A989" s="320"/>
      <c r="B989" s="142"/>
      <c r="C989" s="320"/>
      <c r="D989" s="124"/>
      <c r="E989" s="320"/>
      <c r="F989" s="142"/>
      <c r="G989" s="320"/>
      <c r="H989" s="142"/>
      <c r="I989" s="329"/>
      <c r="J989" s="124"/>
      <c r="K989" s="329"/>
      <c r="L989" s="124"/>
      <c r="M989" s="329"/>
      <c r="N989" s="124"/>
      <c r="O989" s="320"/>
      <c r="P989" s="142"/>
      <c r="Q989" s="193"/>
      <c r="R989" s="28"/>
      <c r="S989" s="138"/>
      <c r="T989" s="142"/>
      <c r="U989" s="142"/>
      <c r="V989" s="142"/>
    </row>
    <row r="990">
      <c r="A990" s="320"/>
      <c r="B990" s="142"/>
      <c r="C990" s="320"/>
      <c r="D990" s="124"/>
      <c r="E990" s="320"/>
      <c r="F990" s="142"/>
      <c r="G990" s="320"/>
      <c r="H990" s="142"/>
      <c r="I990" s="329"/>
      <c r="J990" s="124"/>
      <c r="K990" s="329"/>
      <c r="L990" s="124"/>
      <c r="M990" s="329"/>
      <c r="N990" s="124"/>
      <c r="O990" s="320"/>
      <c r="P990" s="142"/>
      <c r="Q990" s="193"/>
      <c r="R990" s="28"/>
      <c r="S990" s="138"/>
      <c r="T990" s="142"/>
      <c r="U990" s="142"/>
      <c r="V990" s="142"/>
    </row>
    <row r="991">
      <c r="A991" s="320"/>
      <c r="B991" s="142"/>
      <c r="C991" s="320"/>
      <c r="D991" s="124"/>
      <c r="E991" s="320"/>
      <c r="F991" s="142"/>
      <c r="G991" s="320"/>
      <c r="H991" s="142"/>
      <c r="I991" s="329"/>
      <c r="J991" s="124"/>
      <c r="K991" s="329"/>
      <c r="L991" s="124"/>
      <c r="M991" s="329"/>
      <c r="N991" s="124"/>
      <c r="O991" s="320"/>
      <c r="P991" s="142"/>
      <c r="Q991" s="193"/>
      <c r="R991" s="28"/>
      <c r="S991" s="138"/>
      <c r="T991" s="142"/>
      <c r="U991" s="142"/>
      <c r="V991" s="142"/>
    </row>
    <row r="992">
      <c r="A992" s="320"/>
      <c r="B992" s="142"/>
      <c r="C992" s="320"/>
      <c r="D992" s="124"/>
      <c r="E992" s="320"/>
      <c r="F992" s="142"/>
      <c r="G992" s="320"/>
      <c r="H992" s="142"/>
      <c r="I992" s="329"/>
      <c r="J992" s="124"/>
      <c r="K992" s="329"/>
      <c r="L992" s="124"/>
      <c r="M992" s="329"/>
      <c r="N992" s="124"/>
      <c r="O992" s="320"/>
      <c r="P992" s="142"/>
      <c r="Q992" s="193"/>
      <c r="R992" s="28"/>
      <c r="S992" s="138"/>
      <c r="T992" s="142"/>
      <c r="U992" s="142"/>
      <c r="V992" s="142"/>
    </row>
    <row r="993">
      <c r="A993" s="320"/>
      <c r="B993" s="142"/>
      <c r="C993" s="320"/>
      <c r="D993" s="124"/>
      <c r="E993" s="320"/>
      <c r="F993" s="142"/>
      <c r="G993" s="320"/>
      <c r="H993" s="142"/>
      <c r="I993" s="329"/>
      <c r="J993" s="124"/>
      <c r="K993" s="329"/>
      <c r="L993" s="124"/>
      <c r="M993" s="329"/>
      <c r="N993" s="124"/>
      <c r="O993" s="320"/>
      <c r="P993" s="142"/>
      <c r="Q993" s="193"/>
      <c r="R993" s="28"/>
      <c r="S993" s="138"/>
      <c r="T993" s="142"/>
      <c r="U993" s="142"/>
      <c r="V993" s="142"/>
    </row>
    <row r="994">
      <c r="A994" s="320"/>
      <c r="B994" s="142"/>
      <c r="C994" s="320"/>
      <c r="D994" s="124"/>
      <c r="E994" s="320"/>
      <c r="F994" s="142"/>
      <c r="G994" s="320"/>
      <c r="H994" s="142"/>
      <c r="I994" s="329"/>
      <c r="J994" s="124"/>
      <c r="K994" s="329"/>
      <c r="L994" s="124"/>
      <c r="M994" s="329"/>
      <c r="N994" s="124"/>
      <c r="O994" s="320"/>
      <c r="P994" s="142"/>
      <c r="Q994" s="193"/>
      <c r="R994" s="28"/>
      <c r="S994" s="138"/>
      <c r="T994" s="142"/>
      <c r="U994" s="142"/>
      <c r="V994" s="142"/>
    </row>
    <row r="995">
      <c r="A995" s="320"/>
      <c r="B995" s="142"/>
      <c r="C995" s="320"/>
      <c r="D995" s="124"/>
      <c r="E995" s="320"/>
      <c r="F995" s="142"/>
      <c r="G995" s="320"/>
      <c r="H995" s="142"/>
      <c r="I995" s="329"/>
      <c r="J995" s="124"/>
      <c r="K995" s="329"/>
      <c r="L995" s="124"/>
      <c r="M995" s="329"/>
      <c r="N995" s="124"/>
      <c r="O995" s="320"/>
      <c r="P995" s="142"/>
      <c r="Q995" s="193"/>
      <c r="R995" s="28"/>
      <c r="S995" s="138"/>
      <c r="T995" s="142"/>
      <c r="U995" s="142"/>
      <c r="V995" s="142"/>
    </row>
    <row r="996">
      <c r="A996" s="320"/>
      <c r="B996" s="142"/>
      <c r="C996" s="320"/>
      <c r="D996" s="124"/>
      <c r="E996" s="320"/>
      <c r="F996" s="142"/>
      <c r="G996" s="320"/>
      <c r="H996" s="142"/>
      <c r="I996" s="329"/>
      <c r="J996" s="124"/>
      <c r="K996" s="329"/>
      <c r="L996" s="124"/>
      <c r="M996" s="329"/>
      <c r="N996" s="124"/>
      <c r="O996" s="320"/>
      <c r="P996" s="142"/>
      <c r="Q996" s="193"/>
      <c r="R996" s="28"/>
      <c r="S996" s="138"/>
      <c r="T996" s="142"/>
      <c r="U996" s="142"/>
      <c r="V996" s="142"/>
    </row>
    <row r="997">
      <c r="A997" s="320"/>
      <c r="B997" s="142"/>
      <c r="C997" s="320"/>
      <c r="D997" s="124"/>
      <c r="E997" s="320"/>
      <c r="F997" s="142"/>
      <c r="G997" s="320"/>
      <c r="H997" s="142"/>
      <c r="I997" s="329"/>
      <c r="J997" s="124"/>
      <c r="K997" s="329"/>
      <c r="L997" s="124"/>
      <c r="M997" s="329"/>
      <c r="N997" s="124"/>
      <c r="O997" s="320"/>
      <c r="P997" s="142"/>
      <c r="Q997" s="193"/>
      <c r="R997" s="28"/>
      <c r="S997" s="138"/>
      <c r="T997" s="142"/>
      <c r="U997" s="142"/>
      <c r="V997" s="142"/>
    </row>
    <row r="998">
      <c r="A998" s="320"/>
      <c r="B998" s="142"/>
      <c r="C998" s="320"/>
      <c r="D998" s="124"/>
      <c r="E998" s="320"/>
      <c r="F998" s="142"/>
      <c r="G998" s="320"/>
      <c r="H998" s="142"/>
      <c r="I998" s="329"/>
      <c r="J998" s="124"/>
      <c r="K998" s="329"/>
      <c r="L998" s="124"/>
      <c r="M998" s="329"/>
      <c r="N998" s="124"/>
      <c r="O998" s="320"/>
      <c r="P998" s="142"/>
      <c r="Q998" s="193"/>
      <c r="R998" s="28"/>
      <c r="S998" s="138"/>
      <c r="T998" s="142"/>
      <c r="U998" s="142"/>
      <c r="V998" s="142"/>
    </row>
    <row r="999">
      <c r="A999" s="320"/>
      <c r="B999" s="142"/>
      <c r="C999" s="320"/>
      <c r="D999" s="124"/>
      <c r="E999" s="320"/>
      <c r="F999" s="142"/>
      <c r="G999" s="320"/>
      <c r="H999" s="142"/>
      <c r="I999" s="329"/>
      <c r="J999" s="124"/>
      <c r="K999" s="329"/>
      <c r="L999" s="124"/>
      <c r="M999" s="329"/>
      <c r="N999" s="124"/>
      <c r="O999" s="320"/>
      <c r="P999" s="142"/>
      <c r="Q999" s="138"/>
      <c r="R999" s="142"/>
      <c r="S999" s="138"/>
      <c r="T999" s="142"/>
      <c r="U999" s="142"/>
      <c r="V999" s="142"/>
    </row>
    <row r="1000">
      <c r="A1000" s="320"/>
      <c r="B1000" s="142"/>
      <c r="C1000" s="320"/>
      <c r="D1000" s="124"/>
      <c r="E1000" s="320"/>
      <c r="F1000" s="142"/>
      <c r="G1000" s="320"/>
      <c r="H1000" s="142"/>
      <c r="I1000" s="329"/>
      <c r="J1000" s="124"/>
      <c r="K1000" s="329"/>
      <c r="L1000" s="124"/>
      <c r="M1000" s="329"/>
      <c r="N1000" s="124"/>
      <c r="O1000" s="320"/>
      <c r="P1000" s="142"/>
      <c r="Q1000" s="138"/>
      <c r="R1000" s="142"/>
      <c r="S1000" s="138"/>
      <c r="T1000" s="142"/>
      <c r="U1000" s="142"/>
      <c r="V1000" s="142"/>
    </row>
    <row r="1001">
      <c r="A1001" s="320"/>
      <c r="B1001" s="142"/>
      <c r="C1001" s="320"/>
      <c r="D1001" s="124"/>
      <c r="E1001" s="320"/>
      <c r="F1001" s="142"/>
      <c r="G1001" s="320"/>
      <c r="H1001" s="142"/>
      <c r="I1001" s="329"/>
      <c r="J1001" s="124"/>
      <c r="K1001" s="329"/>
      <c r="L1001" s="124"/>
      <c r="M1001" s="329"/>
      <c r="N1001" s="124"/>
      <c r="O1001" s="320"/>
      <c r="P1001" s="142"/>
      <c r="Q1001" s="138"/>
      <c r="R1001" s="142"/>
      <c r="S1001" s="138"/>
      <c r="T1001" s="142"/>
      <c r="U1001" s="142"/>
      <c r="V1001" s="142"/>
    </row>
    <row r="1002">
      <c r="A1002" s="320"/>
      <c r="B1002" s="142"/>
      <c r="C1002" s="320"/>
      <c r="D1002" s="124"/>
      <c r="E1002" s="320"/>
      <c r="F1002" s="142"/>
      <c r="G1002" s="320"/>
      <c r="H1002" s="142"/>
      <c r="I1002" s="329"/>
      <c r="J1002" s="124"/>
      <c r="K1002" s="329"/>
      <c r="L1002" s="124"/>
      <c r="M1002" s="329"/>
      <c r="N1002" s="124"/>
      <c r="O1002" s="320"/>
      <c r="P1002" s="142"/>
      <c r="Q1002" s="138"/>
      <c r="R1002" s="142"/>
      <c r="S1002" s="138"/>
      <c r="T1002" s="142"/>
      <c r="U1002" s="142"/>
      <c r="V1002" s="142"/>
    </row>
    <row r="1003">
      <c r="A1003" s="320"/>
      <c r="B1003" s="142"/>
      <c r="C1003" s="320"/>
      <c r="D1003" s="124"/>
      <c r="E1003" s="320"/>
      <c r="F1003" s="142"/>
      <c r="G1003" s="320"/>
      <c r="H1003" s="142"/>
      <c r="I1003" s="329"/>
      <c r="J1003" s="124"/>
      <c r="K1003" s="329"/>
      <c r="L1003" s="124"/>
      <c r="M1003" s="329"/>
      <c r="N1003" s="124"/>
      <c r="O1003" s="320"/>
      <c r="P1003" s="142"/>
      <c r="Q1003" s="138"/>
      <c r="R1003" s="142"/>
      <c r="S1003" s="138"/>
      <c r="T1003" s="142"/>
      <c r="U1003" s="142"/>
      <c r="V1003" s="142"/>
    </row>
    <row r="1004">
      <c r="A1004" s="320"/>
      <c r="B1004" s="142"/>
      <c r="C1004" s="320"/>
      <c r="D1004" s="124"/>
      <c r="E1004" s="320"/>
      <c r="F1004" s="142"/>
      <c r="G1004" s="320"/>
      <c r="H1004" s="142"/>
      <c r="I1004" s="329"/>
      <c r="J1004" s="124"/>
      <c r="K1004" s="329"/>
      <c r="L1004" s="124"/>
      <c r="M1004" s="329"/>
      <c r="N1004" s="124"/>
      <c r="O1004" s="320"/>
      <c r="P1004" s="142"/>
      <c r="Q1004" s="138"/>
      <c r="R1004" s="142"/>
      <c r="S1004" s="138"/>
      <c r="T1004" s="142"/>
      <c r="U1004" s="142"/>
      <c r="V1004" s="142"/>
    </row>
    <row r="1005">
      <c r="A1005" s="320"/>
      <c r="B1005" s="142"/>
      <c r="C1005" s="320"/>
      <c r="D1005" s="124"/>
      <c r="E1005" s="320"/>
      <c r="F1005" s="142"/>
      <c r="G1005" s="320"/>
      <c r="H1005" s="142"/>
      <c r="I1005" s="329"/>
      <c r="J1005" s="124"/>
      <c r="K1005" s="329"/>
      <c r="L1005" s="124"/>
      <c r="M1005" s="329"/>
      <c r="N1005" s="124"/>
      <c r="O1005" s="320"/>
      <c r="P1005" s="142"/>
      <c r="Q1005" s="138"/>
      <c r="R1005" s="142"/>
      <c r="S1005" s="138"/>
      <c r="T1005" s="142"/>
      <c r="U1005" s="142"/>
      <c r="V1005" s="142"/>
    </row>
    <row r="1006">
      <c r="A1006" s="320"/>
      <c r="B1006" s="142"/>
      <c r="C1006" s="320"/>
      <c r="D1006" s="124"/>
      <c r="E1006" s="320"/>
      <c r="F1006" s="142"/>
      <c r="G1006" s="320"/>
      <c r="H1006" s="142"/>
      <c r="I1006" s="329"/>
      <c r="J1006" s="124"/>
      <c r="K1006" s="329"/>
      <c r="L1006" s="124"/>
      <c r="M1006" s="329"/>
      <c r="N1006" s="124"/>
      <c r="O1006" s="320"/>
      <c r="P1006" s="142"/>
      <c r="Q1006" s="138"/>
      <c r="R1006" s="142"/>
      <c r="S1006" s="138"/>
      <c r="T1006" s="142"/>
      <c r="U1006" s="142"/>
      <c r="V1006" s="142"/>
    </row>
    <row r="1007">
      <c r="A1007" s="320"/>
      <c r="B1007" s="142"/>
      <c r="C1007" s="320"/>
      <c r="D1007" s="124"/>
      <c r="E1007" s="320"/>
      <c r="F1007" s="142"/>
      <c r="G1007" s="320"/>
      <c r="H1007" s="142"/>
      <c r="I1007" s="329"/>
      <c r="J1007" s="124"/>
      <c r="K1007" s="329"/>
      <c r="L1007" s="124"/>
      <c r="M1007" s="329"/>
      <c r="N1007" s="124"/>
      <c r="O1007" s="320"/>
      <c r="P1007" s="142"/>
      <c r="Q1007" s="138"/>
      <c r="R1007" s="142"/>
      <c r="S1007" s="138"/>
      <c r="T1007" s="142"/>
      <c r="U1007" s="142"/>
      <c r="V1007" s="142"/>
    </row>
    <row r="1008">
      <c r="A1008" s="320"/>
      <c r="B1008" s="142"/>
      <c r="C1008" s="320"/>
      <c r="D1008" s="124"/>
      <c r="E1008" s="320"/>
      <c r="F1008" s="142"/>
      <c r="G1008" s="320"/>
      <c r="H1008" s="142"/>
      <c r="I1008" s="329"/>
      <c r="J1008" s="124"/>
      <c r="K1008" s="329"/>
      <c r="L1008" s="124"/>
      <c r="M1008" s="329"/>
      <c r="N1008" s="124"/>
      <c r="O1008" s="320"/>
      <c r="P1008" s="142"/>
      <c r="Q1008" s="138"/>
      <c r="R1008" s="142"/>
      <c r="S1008" s="138"/>
      <c r="T1008" s="142"/>
      <c r="U1008" s="142"/>
      <c r="V1008" s="142"/>
    </row>
    <row r="1009">
      <c r="A1009" s="320"/>
      <c r="B1009" s="142"/>
      <c r="C1009" s="320"/>
      <c r="D1009" s="124"/>
      <c r="E1009" s="320"/>
      <c r="F1009" s="142"/>
      <c r="G1009" s="320"/>
      <c r="H1009" s="142"/>
      <c r="I1009" s="329"/>
      <c r="J1009" s="124"/>
      <c r="K1009" s="329"/>
      <c r="L1009" s="124"/>
      <c r="M1009" s="329"/>
      <c r="N1009" s="124"/>
      <c r="O1009" s="320"/>
      <c r="P1009" s="142"/>
      <c r="Q1009" s="138"/>
      <c r="R1009" s="142"/>
      <c r="S1009" s="138"/>
      <c r="T1009" s="142"/>
      <c r="U1009" s="142"/>
      <c r="V1009" s="142"/>
    </row>
    <row r="1010">
      <c r="A1010" s="320"/>
      <c r="B1010" s="142"/>
      <c r="C1010" s="320"/>
      <c r="D1010" s="124"/>
      <c r="E1010" s="320"/>
      <c r="F1010" s="142"/>
      <c r="G1010" s="320"/>
      <c r="H1010" s="142"/>
      <c r="I1010" s="329"/>
      <c r="J1010" s="124"/>
      <c r="K1010" s="329"/>
      <c r="L1010" s="124"/>
      <c r="M1010" s="329"/>
      <c r="N1010" s="124"/>
      <c r="O1010" s="320"/>
      <c r="P1010" s="142"/>
      <c r="Q1010" s="138"/>
      <c r="R1010" s="142"/>
      <c r="S1010" s="138"/>
      <c r="T1010" s="142"/>
      <c r="U1010" s="142"/>
      <c r="V1010" s="142"/>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3.13"/>
    <col customWidth="1" min="20" max="20" width="38.63"/>
    <col customWidth="1" min="21" max="26" width="23.13"/>
  </cols>
  <sheetData>
    <row r="1" ht="41.25" customHeight="1">
      <c r="A1" s="72" t="s">
        <v>233</v>
      </c>
      <c r="C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72" t="s">
        <v>234</v>
      </c>
      <c r="G1" s="73"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73"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30" t="s">
        <v>2355</v>
      </c>
      <c r="S1" s="306" t="s">
        <v>237</v>
      </c>
      <c r="U1" s="331"/>
      <c r="V1" s="331"/>
      <c r="W1" s="331"/>
      <c r="X1" s="331"/>
      <c r="Y1" s="331"/>
      <c r="Z1" s="331"/>
    </row>
    <row r="2" ht="41.25" customHeight="1">
      <c r="U2" s="331"/>
      <c r="V2" s="331"/>
      <c r="W2" s="331"/>
      <c r="X2" s="331"/>
      <c r="Y2" s="331"/>
      <c r="Z2" s="331"/>
    </row>
    <row r="3">
      <c r="A3" s="308" t="s">
        <v>6121</v>
      </c>
      <c r="B3" s="87" t="s">
        <v>6122</v>
      </c>
      <c r="C3" s="310" t="str">
        <f>IFERROR(__xludf.DUMMYFUNCTION("GOOGLETRANSLATE(A3,""zh-tw"",""ja"")"),"設備プロジェクト")</f>
        <v>設備プロジェクト</v>
      </c>
      <c r="D3" s="84" t="str">
        <f>IFERROR(__xludf.DUMMYFUNCTION("GOOGLETRANSLATE(B3,""zh-tw"",""ja"")"),"装備の属性")</f>
        <v>装備の属性</v>
      </c>
      <c r="E3" s="332" t="s">
        <v>6123</v>
      </c>
      <c r="F3" s="25" t="s">
        <v>5554</v>
      </c>
      <c r="G3" s="310" t="str">
        <f>IFERROR(__xludf.DUMMYFUNCTION("GOOGLETRANSLATE(A3,""zh-tw"",""zh"")"),"装备项目")</f>
        <v>装备项目</v>
      </c>
      <c r="H3" s="84" t="str">
        <f>IFERROR(__xludf.DUMMYFUNCTION("GOOGLETRANSLATE(B3,""zh-tw"",""zh"")"),"装备属性")</f>
        <v>装备属性</v>
      </c>
      <c r="I3" s="309" t="str">
        <f>IFERROR(__xludf.DUMMYFUNCTION("GOOGLETRANSLATE(A3,""zh-tw"",""es-MX"")"),"Proyecto de equipamiento")</f>
        <v>Proyecto de equipamiento</v>
      </c>
      <c r="J3" s="53" t="str">
        <f>IFERROR(__xludf.DUMMYFUNCTION("GOOGLETRANSLATE(B3,""zh-tw"",""es-MX"")"),"Atributos del equipo")</f>
        <v>Atributos del equipo</v>
      </c>
      <c r="K3" s="310" t="str">
        <f>IFERROR(__xludf.DUMMYFUNCTION("GOOGLETRANSLATE(A3,""zh-tw"",""KO"")"),"장비 프로젝트")</f>
        <v>장비 프로젝트</v>
      </c>
      <c r="L3" s="84" t="str">
        <f>IFERROR(__xludf.DUMMYFUNCTION("GOOGLETRANSLATE(B3,""zh-tw"",""KO"")"),"장비 속성")</f>
        <v>장비 속성</v>
      </c>
      <c r="M3" s="309" t="str">
        <f>IFERROR(__xludf.DUMMYFUNCTION("GOOGLETRANSLATE(A3,""zh-tw"",""ru"")"),"Проект оборудования")</f>
        <v>Проект оборудования</v>
      </c>
      <c r="N3" s="53" t="str">
        <f>IFERROR(__xludf.DUMMYFUNCTION("GOOGLETRANSLATE(B3,""zh-tw"",""ru"")"),"Атрибуты оборудования")</f>
        <v>Атрибуты оборудования</v>
      </c>
      <c r="O3" s="308" t="s">
        <v>6124</v>
      </c>
      <c r="P3" s="87" t="s">
        <v>6125</v>
      </c>
      <c r="Q3" s="333" t="s">
        <v>6126</v>
      </c>
      <c r="R3" s="312" t="s">
        <v>5558</v>
      </c>
      <c r="S3" s="309" t="s">
        <v>6127</v>
      </c>
      <c r="T3" s="53" t="s">
        <v>5560</v>
      </c>
      <c r="U3" s="30"/>
      <c r="V3" s="30"/>
      <c r="W3" s="30"/>
      <c r="X3" s="30"/>
      <c r="Y3" s="30"/>
      <c r="Z3" s="30"/>
    </row>
    <row r="4">
      <c r="A4" s="314" t="s">
        <v>6128</v>
      </c>
      <c r="B4" s="315" t="s">
        <v>6129</v>
      </c>
      <c r="C4" s="313" t="s">
        <v>6130</v>
      </c>
      <c r="D4" s="136" t="s">
        <v>6131</v>
      </c>
      <c r="E4" s="313" t="s">
        <v>6132</v>
      </c>
      <c r="F4" s="136" t="s">
        <v>6133</v>
      </c>
      <c r="G4" s="320" t="str">
        <f>IFERROR(__xludf.DUMMYFUNCTION("GOOGLETRANSLATE(A4,""zh-tw"",""zh"")"),"妹妹脱下的内裤")</f>
        <v>妹妹脱下的内裤</v>
      </c>
      <c r="H4" s="142" t="str">
        <f>IFERROR(__xludf.DUMMYFUNCTION("GOOGLETRANSLATE(B4,""zh-tw"",""zh"")"),"低体力回复")</f>
        <v>低体力回复</v>
      </c>
      <c r="I4" s="313" t="s">
        <v>6134</v>
      </c>
      <c r="J4" s="136" t="s">
        <v>6135</v>
      </c>
      <c r="K4" s="313" t="s">
        <v>6136</v>
      </c>
      <c r="L4" s="136" t="s">
        <v>6137</v>
      </c>
      <c r="M4" s="316" t="str">
        <f>IFERROR(__xludf.DUMMYFUNCTION("GOOGLETRANSLATE(A4,""zh-tw"",""ru"")"),"Нижнее белье моей сестры")</f>
        <v>Нижнее белье моей сестры</v>
      </c>
      <c r="N4" s="317" t="str">
        <f>IFERROR(__xludf.DUMMYFUNCTION("GOOGLETRANSLATE(B4,""zh-tw"",""ru"")"),"Низкое восстановление выносливости")</f>
        <v>Низкое восстановление выносливости</v>
      </c>
      <c r="O4" s="314" t="s">
        <v>6138</v>
      </c>
      <c r="P4" s="315" t="s">
        <v>6139</v>
      </c>
      <c r="Q4" s="334" t="s">
        <v>6140</v>
      </c>
      <c r="R4" s="319" t="s">
        <v>6141</v>
      </c>
      <c r="S4" s="313" t="s">
        <v>6142</v>
      </c>
      <c r="T4" s="142" t="s">
        <v>6143</v>
      </c>
      <c r="U4" s="30"/>
      <c r="V4" s="30"/>
      <c r="W4" s="30"/>
      <c r="X4" s="30"/>
      <c r="Y4" s="30"/>
      <c r="Z4" s="30"/>
    </row>
    <row r="5">
      <c r="A5" s="314" t="s">
        <v>6144</v>
      </c>
      <c r="B5" s="315" t="s">
        <v>6145</v>
      </c>
      <c r="C5" s="313" t="s">
        <v>6146</v>
      </c>
      <c r="D5" s="142" t="str">
        <f>IFERROR(__xludf.DUMMYFUNCTION("GOOGLETRANSLATE(B5,""zh-tw"",""ja"")"),"性欲が増し、全属性が10%増加します。")</f>
        <v>性欲が増し、全属性が10%増加します。</v>
      </c>
      <c r="E5" s="313" t="s">
        <v>6147</v>
      </c>
      <c r="F5" s="136" t="s">
        <v>6148</v>
      </c>
      <c r="G5" s="320" t="str">
        <f>IFERROR(__xludf.DUMMYFUNCTION("GOOGLETRANSLATE(A5,""zh-tw"",""zh"")"),"少女的笑容")</f>
        <v>少女的笑容</v>
      </c>
      <c r="H5" s="142" t="str">
        <f>IFERROR(__xludf.DUMMYFUNCTION("GOOGLETRANSLATE(B5,""zh-tw"",""zh"")"),"性欲上升，全属性上升10%")</f>
        <v>性欲上升，全属性上升10%</v>
      </c>
      <c r="I5" s="313" t="s">
        <v>6149</v>
      </c>
      <c r="J5" s="142" t="str">
        <f>IFERROR(__xludf.DUMMYFUNCTION("GOOGLETRANSLATE(B5,""zh-tw"",""es-MX"")"),"Aumento de la libido; todos los atributos aumentan en un 10%.")</f>
        <v>Aumento de la libido; todos los atributos aumentan en un 10%.</v>
      </c>
      <c r="K5" s="320" t="str">
        <f>IFERROR(__xludf.DUMMYFUNCTION("GOOGLETRANSLATE(A5,""zh-tw"",""KO"")"),"소녀의 미소")</f>
        <v>소녀의 미소</v>
      </c>
      <c r="L5" s="136" t="s">
        <v>6150</v>
      </c>
      <c r="M5" s="316" t="str">
        <f>IFERROR(__xludf.DUMMYFUNCTION("GOOGLETRANSLATE(A5,""zh-tw"",""ru"")"),"Улыбка девушки")</f>
        <v>Улыбка девушки</v>
      </c>
      <c r="N5" s="317" t="str">
        <f>IFERROR(__xludf.DUMMYFUNCTION("GOOGLETRANSLATE(B5,""zh-tw"",""ru"")"),"Повышение либидо; все показатели увеличиваются на 10%.")</f>
        <v>Повышение либидо; все показатели увеличиваются на 10%.</v>
      </c>
      <c r="O5" s="314" t="s">
        <v>6151</v>
      </c>
      <c r="P5" s="315" t="s">
        <v>6152</v>
      </c>
      <c r="Q5" s="334" t="s">
        <v>6153</v>
      </c>
      <c r="R5" s="319" t="s">
        <v>6154</v>
      </c>
      <c r="S5" s="320" t="s">
        <v>6155</v>
      </c>
      <c r="T5" s="142" t="s">
        <v>6156</v>
      </c>
      <c r="U5" s="30"/>
      <c r="V5" s="30"/>
      <c r="W5" s="30"/>
      <c r="X5" s="30"/>
      <c r="Y5" s="30"/>
      <c r="Z5" s="30"/>
    </row>
    <row r="6">
      <c r="A6" s="314" t="s">
        <v>6157</v>
      </c>
      <c r="B6" s="315" t="s">
        <v>813</v>
      </c>
      <c r="C6" s="320" t="str">
        <f>IFERROR(__xludf.DUMMYFUNCTION("GOOGLETRANSLATE(A6,""zh-tw"",""ja"")"),"フライドポテト")</f>
        <v>フライドポテト</v>
      </c>
      <c r="D6" s="142" t="str">
        <f>IFERROR(__xludf.DUMMYFUNCTION("GOOGLETRANSLATE(B6,""zh-tw"",""ja"")"),"-")</f>
        <v>-</v>
      </c>
      <c r="E6" s="313" t="s">
        <v>6158</v>
      </c>
      <c r="F6" s="136" t="s">
        <v>813</v>
      </c>
      <c r="G6" s="320" t="str">
        <f>IFERROR(__xludf.DUMMYFUNCTION("GOOGLETRANSLATE(A6,""zh-tw"",""zh"")"),"炸薯条")</f>
        <v>炸薯条</v>
      </c>
      <c r="H6" s="142" t="str">
        <f>IFERROR(__xludf.DUMMYFUNCTION("GOOGLETRANSLATE(B6,""zh-tw"",""zh"")"),"-")</f>
        <v>-</v>
      </c>
      <c r="I6" s="320" t="str">
        <f>IFERROR(__xludf.DUMMYFUNCTION("GOOGLETRANSLATE(A6,""zh-tw"",""es-MX"")"),"papas fritas")</f>
        <v>papas fritas</v>
      </c>
      <c r="J6" s="142" t="str">
        <f>IFERROR(__xludf.DUMMYFUNCTION("GOOGLETRANSLATE(B6,""zh-tw"",""es-MX"")"),"-")</f>
        <v>-</v>
      </c>
      <c r="K6" s="320" t="str">
        <f>IFERROR(__xludf.DUMMYFUNCTION("GOOGLETRANSLATE(A6,""zh-tw"",""KO"")"),"감자 튀김")</f>
        <v>감자 튀김</v>
      </c>
      <c r="L6" s="142" t="str">
        <f>IFERROR(__xludf.DUMMYFUNCTION("GOOGLETRANSLATE(B6,""zh-tw"",""KO"")"),"-")</f>
        <v>-</v>
      </c>
      <c r="M6" s="316" t="str">
        <f>IFERROR(__xludf.DUMMYFUNCTION("GOOGLETRANSLATE(A6,""zh-tw"",""ru"")"),"картофель фри")</f>
        <v>картофель фри</v>
      </c>
      <c r="N6" s="317" t="str">
        <f>IFERROR(__xludf.DUMMYFUNCTION("GOOGLETRANSLATE(B6,""zh-tw"",""ru"")"),"-")</f>
        <v>-</v>
      </c>
      <c r="O6" s="314" t="s">
        <v>6159</v>
      </c>
      <c r="P6" s="315" t="s">
        <v>6160</v>
      </c>
      <c r="Q6" s="334" t="s">
        <v>6161</v>
      </c>
      <c r="R6" s="319" t="s">
        <v>813</v>
      </c>
      <c r="S6" s="320" t="s">
        <v>6162</v>
      </c>
      <c r="T6" s="142" t="s">
        <v>813</v>
      </c>
      <c r="U6" s="30"/>
      <c r="V6" s="30"/>
      <c r="W6" s="30"/>
      <c r="X6" s="30"/>
      <c r="Y6" s="30"/>
      <c r="Z6" s="30"/>
    </row>
    <row r="7">
      <c r="A7" s="314" t="s">
        <v>6163</v>
      </c>
      <c r="B7" s="315" t="s">
        <v>6164</v>
      </c>
      <c r="C7" s="320" t="str">
        <f>IFERROR(__xludf.DUMMYFUNCTION("GOOGLETRANSLATE(A7,""zh-tw"",""ja"")"),"トイレットペーパー")</f>
        <v>トイレットペーパー</v>
      </c>
      <c r="D7" s="142" t="str">
        <f>IFERROR(__xludf.DUMMYFUNCTION("GOOGLETRANSLATE(B7,""zh-tw"",""ja"")"),"物理防御：1.出血ダメージを軽減します。")</f>
        <v>物理防御：1.出血ダメージを軽減します。</v>
      </c>
      <c r="E7" s="313" t="s">
        <v>6165</v>
      </c>
      <c r="F7" s="136" t="s">
        <v>6166</v>
      </c>
      <c r="G7" s="320" t="str">
        <f>IFERROR(__xludf.DUMMYFUNCTION("GOOGLETRANSLATE(A7,""zh-tw"",""zh"")"),"厕纸")</f>
        <v>厕纸</v>
      </c>
      <c r="H7" s="142" t="str">
        <f>IFERROR(__xludf.DUMMYFUNCTION("GOOGLETRANSLATE(B7,""zh-tw"",""zh"")"),"物防：1
降低出血伤害")</f>
        <v>物防：1
降低出血伤害</v>
      </c>
      <c r="I7" s="320" t="str">
        <f>IFERROR(__xludf.DUMMYFUNCTION("GOOGLETRANSLATE(A7,""zh-tw"",""es-MX"")"),"papel higiénico")</f>
        <v>papel higiénico</v>
      </c>
      <c r="J7" s="142" t="str">
        <f>IFERROR(__xludf.DUMMYFUNCTION("GOOGLETRANSLATE(B7,""zh-tw"",""es-MX"")"),"Defensa física: 1. Reduce el daño por sangrado.")</f>
        <v>Defensa física: 1. Reduce el daño por sangrado.</v>
      </c>
      <c r="K7" s="320" t="str">
        <f>IFERROR(__xludf.DUMMYFUNCTION("GOOGLETRANSLATE(A7,""zh-tw"",""KO"")"),"휴지")</f>
        <v>휴지</v>
      </c>
      <c r="L7" s="136" t="s">
        <v>6167</v>
      </c>
      <c r="M7" s="316" t="str">
        <f>IFERROR(__xludf.DUMMYFUNCTION("GOOGLETRANSLATE(A7,""zh-tw"",""ru"")"),"туалетная бумага")</f>
        <v>туалетная бумага</v>
      </c>
      <c r="N7" s="317" t="str">
        <f>IFERROR(__xludf.DUMMYFUNCTION("GOOGLETRANSLATE(B7,""zh-tw"",""ru"")"),"Физическая защита: 1. Уменьшает урон от кровотечения.")</f>
        <v>Физическая защита: 1. Уменьшает урон от кровотечения.</v>
      </c>
      <c r="O7" s="314" t="s">
        <v>6168</v>
      </c>
      <c r="P7" s="315" t="s">
        <v>6169</v>
      </c>
      <c r="Q7" s="334" t="s">
        <v>6170</v>
      </c>
      <c r="R7" s="322" t="s">
        <v>6171</v>
      </c>
      <c r="S7" s="320" t="s">
        <v>6172</v>
      </c>
      <c r="T7" s="142" t="s">
        <v>6173</v>
      </c>
      <c r="U7" s="30"/>
      <c r="V7" s="30"/>
      <c r="W7" s="30"/>
      <c r="X7" s="30"/>
      <c r="Y7" s="30"/>
      <c r="Z7" s="30"/>
    </row>
    <row r="8">
      <c r="A8" s="314" t="s">
        <v>6174</v>
      </c>
      <c r="B8" s="315" t="s">
        <v>6175</v>
      </c>
      <c r="C8" s="313" t="s">
        <v>6176</v>
      </c>
      <c r="D8" s="142" t="str">
        <f>IFERROR(__xludf.DUMMYFUNCTION("GOOGLETRANSLATE(B8,""zh-tw"",""ja"")"),"運：10（回復確率）")</f>
        <v>運：10（回復確率）</v>
      </c>
      <c r="E8" s="313" t="s">
        <v>6177</v>
      </c>
      <c r="F8" s="136" t="s">
        <v>6178</v>
      </c>
      <c r="G8" s="320" t="str">
        <f>IFERROR(__xludf.DUMMYFUNCTION("GOOGLETRANSLATE(A8,""zh-tw"",""zh"")"),"苹果头套")</f>
        <v>苹果头套</v>
      </c>
      <c r="H8" s="142" t="str">
        <f>IFERROR(__xludf.DUMMYFUNCTION("GOOGLETRANSLATE(B8,""zh-tw"",""zh"")"),"幸运：10
概率回复")</f>
        <v>幸运：10
概率回复</v>
      </c>
      <c r="I8" s="313" t="s">
        <v>6179</v>
      </c>
      <c r="J8" s="136" t="s">
        <v>6180</v>
      </c>
      <c r="K8" s="313" t="s">
        <v>6181</v>
      </c>
      <c r="L8" s="136" t="s">
        <v>6182</v>
      </c>
      <c r="M8" s="316" t="str">
        <f>IFERROR(__xludf.DUMMYFUNCTION("GOOGLETRANSLATE(A8,""zh-tw"",""ru"")"),"Головной убор Apple")</f>
        <v>Головной убор Apple</v>
      </c>
      <c r="N8" s="317" t="str">
        <f>IFERROR(__xludf.DUMMYFUNCTION("GOOGLETRANSLATE(B8,""zh-tw"",""ru"")"),"Удача: 10 (Вероятность выздоровления)")</f>
        <v>Удача: 10 (Вероятность выздоровления)</v>
      </c>
      <c r="O8" s="314" t="s">
        <v>6183</v>
      </c>
      <c r="P8" s="315" t="s">
        <v>6184</v>
      </c>
      <c r="Q8" s="334" t="s">
        <v>6185</v>
      </c>
      <c r="R8" s="319" t="s">
        <v>6186</v>
      </c>
      <c r="S8" s="320" t="s">
        <v>6187</v>
      </c>
      <c r="T8" s="142" t="s">
        <v>6188</v>
      </c>
      <c r="U8" s="30"/>
      <c r="V8" s="30"/>
      <c r="W8" s="30"/>
      <c r="X8" s="30"/>
      <c r="Y8" s="30"/>
      <c r="Z8" s="30"/>
    </row>
    <row r="9">
      <c r="A9" s="314" t="s">
        <v>6189</v>
      </c>
      <c r="B9" s="315" t="s">
        <v>6190</v>
      </c>
      <c r="C9" s="313" t="s">
        <v>6191</v>
      </c>
      <c r="D9" s="142" t="str">
        <f>IFERROR(__xludf.DUMMYFUNCTION("GOOGLETRANSLATE(B9,""zh-tw"",""ja"")"),"物理攻撃：5。攻撃力と攻撃速度が向上します。")</f>
        <v>物理攻撃：5。攻撃力と攻撃速度が向上します。</v>
      </c>
      <c r="E9" s="313" t="s">
        <v>6192</v>
      </c>
      <c r="F9" s="136" t="s">
        <v>6193</v>
      </c>
      <c r="G9" s="320" t="str">
        <f>IFERROR(__xludf.DUMMYFUNCTION("GOOGLETRANSLATE(A9,""zh-tw"",""zh"")"),"借来的猫爪")</f>
        <v>借来的猫爪</v>
      </c>
      <c r="H9" s="142" t="str">
        <f>IFERROR(__xludf.DUMMYFUNCTION("GOOGLETRANSLATE(B9,""zh-tw"",""zh"")"),"物攻：5
攻击力、攻速上升")</f>
        <v>物攻：5
攻击力、攻速上升</v>
      </c>
      <c r="I9" s="313" t="s">
        <v>6194</v>
      </c>
      <c r="J9" s="142" t="str">
        <f>IFERROR(__xludf.DUMMYFUNCTION("GOOGLETRANSLATE(B9,""zh-tw"",""es-MX"")"),"Ataque físico: 5. Aumenta el poder de ataque y la velocidad de ataque.")</f>
        <v>Ataque físico: 5. Aumenta el poder de ataque y la velocidad de ataque.</v>
      </c>
      <c r="K9" s="313" t="s">
        <v>6195</v>
      </c>
      <c r="L9" s="136" t="s">
        <v>6196</v>
      </c>
      <c r="M9" s="316" t="str">
        <f>IFERROR(__xludf.DUMMYFUNCTION("GOOGLETRANSLATE(A9,""zh-tw"",""ru"")"),"одолженная кошачья лапа")</f>
        <v>одолженная кошачья лапа</v>
      </c>
      <c r="N9" s="317" t="str">
        <f>IFERROR(__xludf.DUMMYFUNCTION("GOOGLETRANSLATE(B9,""zh-tw"",""ru"")"),"Физическая атака: 5. Увеличивает силу и скорость атаки.")</f>
        <v>Физическая атака: 5. Увеличивает силу и скорость атаки.</v>
      </c>
      <c r="O9" s="314" t="s">
        <v>6197</v>
      </c>
      <c r="P9" s="315" t="s">
        <v>6198</v>
      </c>
      <c r="Q9" s="334" t="s">
        <v>6199</v>
      </c>
      <c r="R9" s="319" t="s">
        <v>6200</v>
      </c>
      <c r="S9" s="320" t="s">
        <v>6201</v>
      </c>
      <c r="T9" s="142" t="s">
        <v>6202</v>
      </c>
      <c r="U9" s="30"/>
      <c r="V9" s="30"/>
      <c r="W9" s="30"/>
      <c r="X9" s="30"/>
      <c r="Y9" s="30"/>
      <c r="Z9" s="30"/>
    </row>
    <row r="10">
      <c r="A10" s="314" t="s">
        <v>6203</v>
      </c>
      <c r="B10" s="315" t="s">
        <v>6204</v>
      </c>
      <c r="C10" s="313" t="s">
        <v>6205</v>
      </c>
      <c r="D10" s="142"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13" t="s">
        <v>6206</v>
      </c>
      <c r="F10" s="136" t="s">
        <v>6207</v>
      </c>
      <c r="G10" s="320" t="str">
        <f>IFERROR(__xludf.DUMMYFUNCTION("GOOGLETRANSLATE(A10,""zh-tw"",""zh"")"),"借来的猫足")</f>
        <v>借来的猫足</v>
      </c>
      <c r="H10" s="142" t="str">
        <f>IFERROR(__xludf.DUMMYFUNCTION("GOOGLETRANSLATE(B10,""zh-tw"",""zh"")"),"攻速、移速上升
闪步冷却时间缩短")</f>
        <v>攻速、移速上升
闪步冷却时间缩短</v>
      </c>
      <c r="I10" s="320" t="str">
        <f>IFERROR(__xludf.DUMMYFUNCTION("GOOGLETRANSLATE(A10,""zh-tw"",""es-MX"")"),"patas de gato prestadas")</f>
        <v>patas de gato prestadas</v>
      </c>
      <c r="J10" s="142" t="str">
        <f>IFERROR(__xludf.DUMMYFUNCTION("GOOGLETRANSLATE(B10,""zh-tw"",""es-MX"")"),"Aumentan la velocidad de ataque y la velocidad de movimiento; se reduce el tiempo de reutilización de Paso relámpago.")</f>
        <v>Aumentan la velocidad de ataque y la velocidad de movimiento; se reduce el tiempo de reutilización de Paso relámpago.</v>
      </c>
      <c r="K10" s="313" t="s">
        <v>6208</v>
      </c>
      <c r="L10" s="136" t="s">
        <v>6209</v>
      </c>
      <c r="M10" s="316" t="str">
        <f>IFERROR(__xludf.DUMMYFUNCTION("GOOGLETRANSLATE(A10,""zh-tw"",""ru"")"),"одолженные кошачьи лапки")</f>
        <v>одолженные кошачьи лапки</v>
      </c>
      <c r="N10" s="317"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14" t="s">
        <v>6210</v>
      </c>
      <c r="P10" s="315" t="s">
        <v>6211</v>
      </c>
      <c r="Q10" s="334" t="s">
        <v>6212</v>
      </c>
      <c r="R10" s="319" t="s">
        <v>6213</v>
      </c>
      <c r="S10" s="320" t="s">
        <v>6214</v>
      </c>
      <c r="T10" s="142" t="s">
        <v>6215</v>
      </c>
      <c r="U10" s="30"/>
      <c r="V10" s="30"/>
      <c r="W10" s="30"/>
      <c r="X10" s="30"/>
      <c r="Y10" s="30"/>
      <c r="Z10" s="30"/>
    </row>
    <row r="11">
      <c r="A11" s="314" t="s">
        <v>5291</v>
      </c>
      <c r="B11" s="315" t="s">
        <v>6216</v>
      </c>
      <c r="C11" s="313" t="s">
        <v>5293</v>
      </c>
      <c r="D11" s="142" t="str">
        <f>IFERROR(__xludf.DUMMYFUNCTION("GOOGLETRANSLATE(B11,""zh-tw"",""ja"")"),"攻撃速度と攻撃回数を1増加します。")</f>
        <v>攻撃速度と攻撃回数を1増加します。</v>
      </c>
      <c r="E11" s="313" t="s">
        <v>5295</v>
      </c>
      <c r="F11" s="136" t="s">
        <v>6217</v>
      </c>
      <c r="G11" s="320" t="str">
        <f>IFERROR(__xludf.DUMMYFUNCTION("GOOGLETRANSLATE(A11,""zh-tw"",""zh"")"),"猫爪手套")</f>
        <v>猫爪手套</v>
      </c>
      <c r="H11" s="142" t="str">
        <f>IFERROR(__xludf.DUMMYFUNCTION("GOOGLETRANSLATE(B11,""zh-tw"",""zh"")"),"增加攻击速度、攻击数目+1")</f>
        <v>增加攻击速度、攻击数目+1</v>
      </c>
      <c r="I11" s="320" t="str">
        <f>IFERROR(__xludf.DUMMYFUNCTION("GOOGLETRANSLATE(A11,""zh-tw"",""es-MX"")"),"Guantes con forma de pata de gato")</f>
        <v>Guantes con forma de pata de gato</v>
      </c>
      <c r="J11" s="142" t="str">
        <f>IFERROR(__xludf.DUMMYFUNCTION("GOOGLETRANSLATE(B11,""zh-tw"",""es-MX"")"),"Aumenta la velocidad de ataque y el conteo de ataques en 1.")</f>
        <v>Aumenta la velocidad de ataque y el conteo de ataques en 1.</v>
      </c>
      <c r="K11" s="313" t="s">
        <v>5297</v>
      </c>
      <c r="L11" s="136" t="s">
        <v>6218</v>
      </c>
      <c r="M11" s="316" t="str">
        <f>IFERROR(__xludf.DUMMYFUNCTION("GOOGLETRANSLATE(A11,""zh-tw"",""ru"")"),"Перчатки «кошачьи лапки»")</f>
        <v>Перчатки «кошачьи лапки»</v>
      </c>
      <c r="N11" s="317" t="str">
        <f>IFERROR(__xludf.DUMMYFUNCTION("GOOGLETRANSLATE(B11,""zh-tw"",""ru"")"),"Увеличьте скорость атаки и количество атак на 1.")</f>
        <v>Увеличьте скорость атаки и количество атак на 1.</v>
      </c>
      <c r="O11" s="314" t="s">
        <v>5299</v>
      </c>
      <c r="P11" s="315" t="s">
        <v>6219</v>
      </c>
      <c r="Q11" s="334" t="s">
        <v>6220</v>
      </c>
      <c r="R11" s="319" t="s">
        <v>6221</v>
      </c>
      <c r="S11" s="320" t="s">
        <v>5303</v>
      </c>
      <c r="T11" s="142" t="s">
        <v>6222</v>
      </c>
      <c r="U11" s="30"/>
      <c r="V11" s="30"/>
      <c r="W11" s="30"/>
      <c r="X11" s="30"/>
      <c r="Y11" s="30"/>
      <c r="Z11" s="30"/>
    </row>
    <row r="12">
      <c r="A12" s="314" t="s">
        <v>6223</v>
      </c>
      <c r="B12" s="315" t="s">
        <v>6224</v>
      </c>
      <c r="C12" s="313" t="s">
        <v>6225</v>
      </c>
      <c r="D12" s="142"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13" t="s">
        <v>6226</v>
      </c>
      <c r="F12" s="136" t="s">
        <v>6227</v>
      </c>
      <c r="G12" s="320" t="str">
        <f>IFERROR(__xludf.DUMMYFUNCTION("GOOGLETRANSLATE(A12,""zh-tw"",""zh"")"),"毅力头巾")</f>
        <v>毅力头巾</v>
      </c>
      <c r="H12" s="142" t="str">
        <f>IFERROR(__xludf.DUMMYFUNCTION("GOOGLETRANSLATE(B12,""zh-tw"",""zh"")"),"物防：2
体力上升5%、增加了15%全异常抗性、15%机率免死")</f>
        <v>物防：2
体力上升5%、增加了15%全异常抗性、15%机率免死</v>
      </c>
      <c r="I12" s="320" t="str">
        <f>IFERROR(__xludf.DUMMYFUNCTION("GOOGLETRANSLATE(A12,""zh-tw"",""es-MX"")"),"Diadema de perseverancia")</f>
        <v>Diadema de perseverancia</v>
      </c>
      <c r="J12" s="142" t="str">
        <f>IFERROR(__xludf.DUMMYFUNCTION("GOOGLETRANSLATE(B12,""zh-tw"",""es-MX"")"),"Defensa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2" s="313" t="s">
        <v>6228</v>
      </c>
      <c r="L12" s="136" t="s">
        <v>6229</v>
      </c>
      <c r="M12" s="316" t="str">
        <f>IFERROR(__xludf.DUMMYFUNCTION("GOOGLETRANSLATE(A12,""zh-tw"",""ru"")"),"Повязка на голову Perseverance")</f>
        <v>Повязка на голову Perseverance</v>
      </c>
      <c r="N12" s="317"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14" t="s">
        <v>6230</v>
      </c>
      <c r="P12" s="315" t="s">
        <v>6231</v>
      </c>
      <c r="Q12" s="334" t="s">
        <v>6232</v>
      </c>
      <c r="R12" s="319" t="s">
        <v>6233</v>
      </c>
      <c r="S12" s="320" t="s">
        <v>6234</v>
      </c>
      <c r="T12" s="142" t="s">
        <v>6235</v>
      </c>
      <c r="U12" s="30"/>
      <c r="V12" s="30"/>
      <c r="W12" s="30"/>
      <c r="X12" s="30"/>
      <c r="Y12" s="30"/>
      <c r="Z12" s="30"/>
    </row>
    <row r="13">
      <c r="A13" s="314" t="s">
        <v>6236</v>
      </c>
      <c r="B13" s="315" t="s">
        <v>6237</v>
      </c>
      <c r="C13" s="320" t="str">
        <f>IFERROR(__xludf.DUMMYFUNCTION("GOOGLETRANSLATE(A13,""zh-tw"",""ja"")"),"招き猫")</f>
        <v>招き猫</v>
      </c>
      <c r="D13" s="136" t="s">
        <v>6238</v>
      </c>
      <c r="E13" s="313" t="s">
        <v>6239</v>
      </c>
      <c r="F13" s="136" t="s">
        <v>6240</v>
      </c>
      <c r="G13" s="320" t="str">
        <f>IFERROR(__xludf.DUMMYFUNCTION("GOOGLETRANSLATE(A13,""zh-tw"",""zh"")"),"招财猫")</f>
        <v>招财猫</v>
      </c>
      <c r="H13" s="142" t="str">
        <f>IFERROR(__xludf.DUMMYFUNCTION("GOOGLETRANSLATE(B13,""zh-tw"",""zh"")"),"魔抗：10
幸运：50
吸取物品")</f>
        <v>魔抗：10
幸运：50
吸取物品</v>
      </c>
      <c r="I13" s="320" t="str">
        <f>IFERROR(__xludf.DUMMYFUNCTION("GOOGLETRANSLATE(A13,""zh-tw"",""es-MX"")"),"Gato de la suerte")</f>
        <v>Gato de la suerte</v>
      </c>
      <c r="J13" s="142" t="str">
        <f>IFERROR(__xludf.DUMMYFUNCTION("GOOGLETRANSLATE(B13,""zh-tw"",""es-MX"")"),"Resistencia mágica: 10
Suerte: 50
Absorber objetos")</f>
        <v>Resistencia mágica: 10
Suerte: 50
Absorber objetos</v>
      </c>
      <c r="K13" s="313" t="s">
        <v>6241</v>
      </c>
      <c r="L13" s="136" t="s">
        <v>6242</v>
      </c>
      <c r="M13" s="316" t="str">
        <f>IFERROR(__xludf.DUMMYFUNCTION("GOOGLETRANSLATE(A13,""zh-tw"",""ru"")"),"Счастливый кот")</f>
        <v>Счастливый кот</v>
      </c>
      <c r="N13" s="317" t="str">
        <f>IFERROR(__xludf.DUMMYFUNCTION("GOOGLETRANSLATE(B13,""zh-tw"",""ru"")"),"Сопротивление магии: 10
Удача: 50
Поглощение предметов")</f>
        <v>Сопротивление магии: 10
Удача: 50
Поглощение предметов</v>
      </c>
      <c r="O13" s="314" t="s">
        <v>6243</v>
      </c>
      <c r="P13" s="315" t="s">
        <v>6244</v>
      </c>
      <c r="Q13" s="334" t="s">
        <v>6245</v>
      </c>
      <c r="R13" s="319" t="s">
        <v>6246</v>
      </c>
      <c r="S13" s="320" t="s">
        <v>6247</v>
      </c>
      <c r="T13" s="142" t="s">
        <v>6248</v>
      </c>
      <c r="U13" s="30"/>
      <c r="V13" s="30"/>
      <c r="W13" s="30"/>
      <c r="X13" s="30"/>
      <c r="Y13" s="30"/>
      <c r="Z13" s="30"/>
    </row>
    <row r="14">
      <c r="A14" s="314" t="s">
        <v>6249</v>
      </c>
      <c r="B14" s="315" t="s">
        <v>6250</v>
      </c>
      <c r="C14" s="320" t="str">
        <f>IFERROR(__xludf.DUMMYFUNCTION("GOOGLETRANSLATE(A14,""zh-tw"",""ja"")"),"怒りの拳")</f>
        <v>怒りの拳</v>
      </c>
      <c r="D14" s="142" t="str">
        <f>IFERROR(__xludf.DUMMYFUNCTION("GOOGLETRANSLATE(B14,""zh-tw"",""ja"")"),"物理攻撃力：1
魔法攻撃力：8
自動旋回攻撃")</f>
        <v>物理攻撃力：1
魔法攻撃力：8
自動旋回攻撃</v>
      </c>
      <c r="E14" s="313" t="s">
        <v>6251</v>
      </c>
      <c r="F14" s="136" t="s">
        <v>6252</v>
      </c>
      <c r="G14" s="320" t="str">
        <f>IFERROR(__xludf.DUMMYFUNCTION("GOOGLETRANSLATE(A14,""zh-tw"",""zh"")"),"愤怒的拳头")</f>
        <v>愤怒的拳头</v>
      </c>
      <c r="H14" s="142" t="str">
        <f>IFERROR(__xludf.DUMMYFUNCTION("GOOGLETRANSLATE(B14,""zh-tw"",""zh"")"),"物攻：1
魔攻：8
自动环绕攻击")</f>
        <v>物攻：1
魔攻：8
自动环绕攻击</v>
      </c>
      <c r="I14" s="320" t="str">
        <f>IFERROR(__xludf.DUMMYFUNCTION("GOOGLETRANSLATE(A14,""zh-tw"",""es-MX"")"),"Puño enojado")</f>
        <v>Puño enojado</v>
      </c>
      <c r="J14" s="142" t="str">
        <f>IFERROR(__xludf.DUMMYFUNCTION("GOOGLETRANSLATE(B14,""zh-tw"",""es-MX"")"),"Ataque físico: 1
Ataque mágico: 8
Ataque circular automático")</f>
        <v>Ataque físico: 1
Ataque mágico: 8
Ataque circular automático</v>
      </c>
      <c r="K14" s="320" t="str">
        <f>IFERROR(__xludf.DUMMYFUNCTION("GOOGLETRANSLATE(A14,""zh-tw"",""KO"")"),"화난 주먹")</f>
        <v>화난 주먹</v>
      </c>
      <c r="L14" s="136" t="s">
        <v>6253</v>
      </c>
      <c r="M14" s="316" t="str">
        <f>IFERROR(__xludf.DUMMYFUNCTION("GOOGLETRANSLATE(A14,""zh-tw"",""ru"")"),"Злой кулак")</f>
        <v>Злой кулак</v>
      </c>
      <c r="N14" s="317" t="str">
        <f>IFERROR(__xludf.DUMMYFUNCTION("GOOGLETRANSLATE(B14,""zh-tw"",""ru"")"),"Физическая атака: 1
Магическая атака: 8
Атака с автокругом")</f>
        <v>Физическая атака: 1
Магическая атака: 8
Атака с автокругом</v>
      </c>
      <c r="O14" s="314" t="s">
        <v>6254</v>
      </c>
      <c r="P14" s="315" t="s">
        <v>6255</v>
      </c>
      <c r="Q14" s="334" t="s">
        <v>6256</v>
      </c>
      <c r="R14" s="322" t="s">
        <v>6257</v>
      </c>
      <c r="S14" s="320" t="s">
        <v>6258</v>
      </c>
      <c r="T14" s="142" t="s">
        <v>6259</v>
      </c>
      <c r="U14" s="30"/>
      <c r="V14" s="30"/>
      <c r="W14" s="30"/>
      <c r="X14" s="30"/>
      <c r="Y14" s="30"/>
      <c r="Z14" s="30"/>
    </row>
    <row r="15">
      <c r="A15" s="314" t="s">
        <v>6260</v>
      </c>
      <c r="B15" s="315" t="s">
        <v>6250</v>
      </c>
      <c r="C15" s="313" t="s">
        <v>6261</v>
      </c>
      <c r="D15" s="136" t="s">
        <v>6262</v>
      </c>
      <c r="E15" s="313" t="s">
        <v>6263</v>
      </c>
      <c r="F15" s="136" t="s">
        <v>6264</v>
      </c>
      <c r="G15" s="320" t="str">
        <f>IFERROR(__xludf.DUMMYFUNCTION("GOOGLETRANSLATE(A15,""zh-tw"",""zh"")"),"毒蛇之拥")</f>
        <v>毒蛇之拥</v>
      </c>
      <c r="H15" s="142" t="str">
        <f>IFERROR(__xludf.DUMMYFUNCTION("GOOGLETRANSLATE(B15,""zh-tw"",""zh"")"),"物攻：1
魔攻：8
自动环绕攻击")</f>
        <v>物攻：1
魔攻：8
自动环绕攻击</v>
      </c>
      <c r="I15" s="320" t="str">
        <f>IFERROR(__xludf.DUMMYFUNCTION("GOOGLETRANSLATE(A15,""zh-tw"",""es-MX"")"),"El abrazo de la serpiente")</f>
        <v>El abrazo de la serpiente</v>
      </c>
      <c r="J15" s="142" t="str">
        <f>IFERROR(__xludf.DUMMYFUNCTION("GOOGLETRANSLATE(B15,""zh-tw"",""es-MX"")"),"Ataque físico: 1
Ataque mágico: 8
Ataque circular automático")</f>
        <v>Ataque físico: 1
Ataque mágico: 8
Ataque circular automático</v>
      </c>
      <c r="K15" s="313" t="s">
        <v>6265</v>
      </c>
      <c r="L15" s="136" t="s">
        <v>6253</v>
      </c>
      <c r="M15" s="316" t="str">
        <f>IFERROR(__xludf.DUMMYFUNCTION("GOOGLETRANSLATE(A15,""zh-tw"",""ru"")"),"Объятия Змеи")</f>
        <v>Объятия Змеи</v>
      </c>
      <c r="N15" s="317" t="str">
        <f>IFERROR(__xludf.DUMMYFUNCTION("GOOGLETRANSLATE(B15,""zh-tw"",""ru"")"),"Физическая атака: 1
Магическая атака: 8
Атака с автокругом")</f>
        <v>Физическая атака: 1
Магическая атака: 8
Атака с автокругом</v>
      </c>
      <c r="O15" s="314" t="s">
        <v>6266</v>
      </c>
      <c r="P15" s="315" t="s">
        <v>6267</v>
      </c>
      <c r="Q15" s="334" t="s">
        <v>6268</v>
      </c>
      <c r="R15" s="322" t="s">
        <v>6269</v>
      </c>
      <c r="S15" s="320" t="s">
        <v>6270</v>
      </c>
      <c r="T15" s="142" t="s">
        <v>6271</v>
      </c>
      <c r="U15" s="30"/>
      <c r="V15" s="30"/>
      <c r="W15" s="30"/>
      <c r="X15" s="30"/>
      <c r="Y15" s="30"/>
      <c r="Z15" s="30"/>
    </row>
    <row r="16">
      <c r="A16" s="314" t="s">
        <v>6272</v>
      </c>
      <c r="B16" s="315" t="s">
        <v>6273</v>
      </c>
      <c r="C16" s="320" t="str">
        <f>IFERROR(__xludf.DUMMYFUNCTION("GOOGLETRANSLATE(A16,""zh-tw"",""ja"")"),"火の鳥の羽")</f>
        <v>火の鳥の羽</v>
      </c>
      <c r="D16" s="142" t="str">
        <f>IFERROR(__xludf.DUMMYFUNCTION("GOOGLETRANSLATE(B16,""zh-tw"",""ja"")"),"復活し、体力を完全に回復します（消耗品）。")</f>
        <v>復活し、体力を完全に回復します（消耗品）。</v>
      </c>
      <c r="E16" s="313" t="s">
        <v>6274</v>
      </c>
      <c r="F16" s="136" t="s">
        <v>6275</v>
      </c>
      <c r="G16" s="320" t="str">
        <f>IFERROR(__xludf.DUMMYFUNCTION("GOOGLETRANSLATE(A16,""zh-tw"",""zh"")"),"火鸟的羽毛")</f>
        <v>火鸟的羽毛</v>
      </c>
      <c r="H16" s="142" t="str">
        <f>IFERROR(__xludf.DUMMYFUNCTION("GOOGLETRANSLATE(B16,""zh-tw"",""zh"")"),"复活并恢复全部体力(消耗品)")</f>
        <v>复活并恢复全部体力(消耗品)</v>
      </c>
      <c r="I16" s="320" t="str">
        <f>IFERROR(__xludf.DUMMYFUNCTION("GOOGLETRANSLATE(A16,""zh-tw"",""es-MX"")"),"Plumas de pájaro de fuego")</f>
        <v>Plumas de pájaro de fuego</v>
      </c>
      <c r="J16" s="142" t="str">
        <f>IFERROR(__xludf.DUMMYFUNCTION("GOOGLETRANSLATE(B16,""zh-tw"",""es-MX"")"),"Reanima y restaura la salud completa (consumible).")</f>
        <v>Reanima y restaura la salud completa (consumible).</v>
      </c>
      <c r="K16" s="314" t="s">
        <v>5395</v>
      </c>
      <c r="L16" s="136" t="s">
        <v>6276</v>
      </c>
      <c r="M16" s="316" t="str">
        <f>IFERROR(__xludf.DUMMYFUNCTION("GOOGLETRANSLATE(A16,""zh-tw"",""ru"")"),"Перья жар-птицы")</f>
        <v>Перья жар-птицы</v>
      </c>
      <c r="N16" s="317" t="str">
        <f>IFERROR(__xludf.DUMMYFUNCTION("GOOGLETRANSLATE(B16,""zh-tw"",""ru"")"),"Оживляет и восстанавливает полное здоровье (расходный материал).")</f>
        <v>Оживляет и восстанавливает полное здоровье (расходный материал).</v>
      </c>
      <c r="O16" s="314" t="s">
        <v>5398</v>
      </c>
      <c r="P16" s="315" t="s">
        <v>6277</v>
      </c>
      <c r="Q16" s="334" t="s">
        <v>6278</v>
      </c>
      <c r="R16" s="322" t="s">
        <v>6279</v>
      </c>
      <c r="S16" s="320" t="s">
        <v>6280</v>
      </c>
      <c r="T16" s="142" t="s">
        <v>6281</v>
      </c>
      <c r="U16" s="30"/>
      <c r="V16" s="30"/>
      <c r="W16" s="30"/>
      <c r="X16" s="30"/>
      <c r="Y16" s="30"/>
      <c r="Z16" s="30"/>
    </row>
    <row r="17">
      <c r="A17" s="314" t="s">
        <v>6282</v>
      </c>
      <c r="B17" s="315" t="s">
        <v>6283</v>
      </c>
      <c r="C17" s="313" t="s">
        <v>6284</v>
      </c>
      <c r="D17" s="142" t="str">
        <f>IFERROR(__xludf.DUMMYFUNCTION("GOOGLETRANSLATE(B17,""zh-tw"",""ja"")"),"物理防御力: 2
魔法耐性: 15
落下ダメージ軽減")</f>
        <v>物理防御力: 2
魔法耐性: 15
落下ダメージ軽減</v>
      </c>
      <c r="E17" s="313" t="s">
        <v>6285</v>
      </c>
      <c r="F17" s="136" t="s">
        <v>6286</v>
      </c>
      <c r="G17" s="320" t="str">
        <f>IFERROR(__xludf.DUMMYFUNCTION("GOOGLETRANSLATE(A17,""zh-tw"",""zh"")"),"倒吊人的骨戒")</f>
        <v>倒吊人的骨戒</v>
      </c>
      <c r="H17" s="142" t="str">
        <f>IFERROR(__xludf.DUMMYFUNCTION("GOOGLETRANSLATE(B17,""zh-tw"",""zh"")"),"物防：2
魔抗：15
掉落伤害减免")</f>
        <v>物防：2
魔抗：15
掉落伤害减免</v>
      </c>
      <c r="I17" s="320" t="str">
        <f>IFERROR(__xludf.DUMMYFUNCTION("GOOGLETRANSLATE(A17,""zh-tw"",""es-MX"")"),"El anillo de hueso del ahorcado")</f>
        <v>El anillo de hueso del ahorcado</v>
      </c>
      <c r="J17" s="142" t="str">
        <f>IFERROR(__xludf.DUMMYFUNCTION("GOOGLETRANSLATE(B17,""zh-tw"",""es-MX"")"),"Defensa física: 2
Resistencia mágica: 15
Reducción de daño por caída")</f>
        <v>Defensa física: 2
Resistencia mágica: 15
Reducción de daño por caída</v>
      </c>
      <c r="K17" s="313" t="s">
        <v>6287</v>
      </c>
      <c r="L17" s="136" t="s">
        <v>6288</v>
      </c>
      <c r="M17" s="316" t="str">
        <f>IFERROR(__xludf.DUMMYFUNCTION("GOOGLETRANSLATE(A17,""zh-tw"",""ru"")"),"Кольцо из костей повешенного")</f>
        <v>Кольцо из костей повешенного</v>
      </c>
      <c r="N17" s="317"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14" t="s">
        <v>6289</v>
      </c>
      <c r="P17" s="315" t="s">
        <v>6290</v>
      </c>
      <c r="Q17" s="334" t="s">
        <v>6291</v>
      </c>
      <c r="R17" s="322" t="s">
        <v>6292</v>
      </c>
      <c r="S17" s="320" t="s">
        <v>6293</v>
      </c>
      <c r="T17" s="142" t="s">
        <v>6294</v>
      </c>
      <c r="U17" s="30"/>
      <c r="V17" s="30"/>
      <c r="W17" s="30"/>
      <c r="X17" s="30"/>
      <c r="Y17" s="30"/>
      <c r="Z17" s="30"/>
    </row>
    <row r="18">
      <c r="A18" s="313" t="s">
        <v>6295</v>
      </c>
      <c r="B18" s="136" t="s">
        <v>6296</v>
      </c>
      <c r="C18" s="313" t="s">
        <v>6297</v>
      </c>
      <c r="D18" s="142" t="str">
        <f>IFERROR(__xludf.DUMMYFUNCTION("GOOGLETRANSLATE(B18,""zh-tw"",""ja"")"),"物理攻撃：3 物理武器の耐久度消費を減らし、攻撃速度とパンチダメージを増加させます。")</f>
        <v>物理攻撃：3 物理武器の耐久度消費を減らし、攻撃速度とパンチダメージを増加させます。</v>
      </c>
      <c r="E18" s="320" t="str">
        <f>IFERROR(__xludf.DUMMYFUNCTION("GOOGLETRANSLATE(A18,""zh-tw"",""en"")"),"Martial Arts Wristguards")</f>
        <v>Martial Arts Wristguards</v>
      </c>
      <c r="F18" s="136" t="s">
        <v>6298</v>
      </c>
      <c r="G18" s="320" t="str">
        <f>IFERROR(__xludf.DUMMYFUNCTION("GOOGLETRANSLATE(A18,""zh-tw"",""zh"")"),"武术家护腕")</f>
        <v>武术家护腕</v>
      </c>
      <c r="H18" s="142" t="str">
        <f>IFERROR(__xludf.DUMMYFUNCTION("GOOGLETRANSLATE(B18,""zh-tw"",""zh"")"),"物攻：3
减少物理系武器耐久消耗、提升攻速和拳击的伤害")</f>
        <v>物攻：3
减少物理系武器耐久消耗、提升攻速和拳击的伤害</v>
      </c>
      <c r="I18" s="320" t="str">
        <f>IFERROR(__xludf.DUMMYFUNCTION("GOOGLETRANSLATE(A18,""zh-tw"",""es-MX"")"),"Protectores de muñeca para artes marciales")</f>
        <v>Protectores de muñeca para artes marciales</v>
      </c>
      <c r="J18" s="142" t="str">
        <f>IFERROR(__xludf.DUMMYFUNCTION("GOOGLETRANSLATE(B18,""zh-tw"",""es-MX"")"),"Ataque físico: 3 Reduce el consumo de durabilidad de las armas físicas, aumenta la velocidad de ataque y el daño del puñetazo.")</f>
        <v>Ataque físico: 3 Reduce el consumo de durabilidad de las armas físicas, aumenta la velocidad de ataque y el daño del puñetazo.</v>
      </c>
      <c r="K18" s="320" t="str">
        <f>IFERROR(__xludf.DUMMYFUNCTION("GOOGLETRANSLATE(A18,""zh-tw"",""KO"")"),"무술 손목 보호대")</f>
        <v>무술 손목 보호대</v>
      </c>
      <c r="L18" s="142" t="str">
        <f>IFERROR(__xludf.DUMMYFUNCTION("GOOGLETRANSLATE(B18,""zh-tw"",""KO"")"),"물리 공격력 : 3 물리 무기의 내구도 소모를 감소시키고, 공격 속도와 펀치 데미지를 증가시킵니다.")</f>
        <v>물리 공격력 : 3 물리 무기의 내구도 소모를 감소시키고, 공격 속도와 펀치 데미지를 증가시킵니다.</v>
      </c>
      <c r="M18" s="316" t="str">
        <f>IFERROR(__xludf.DUMMYFUNCTION("GOOGLETRANSLATE(A18,""zh-tw"",""ru"")"),"Наручи для боевых искусств")</f>
        <v>Наручи для боевых искусств</v>
      </c>
      <c r="N18" s="317" t="str">
        <f>IFERROR(__xludf.DUMMYFUNCTION("GOOGLETRANSLATE(B18,""zh-tw"",""ru"")"),"Физическая атака: 3 Снижает расход прочности физического оружия, увеличивает скорость атаки и урон от ударов.")</f>
        <v>Физическая атака: 3 Снижает расход прочности физического оружия, увеличивает скорость атаки и урон от ударов.</v>
      </c>
      <c r="O18" s="314" t="s">
        <v>6299</v>
      </c>
      <c r="P18" s="315" t="s">
        <v>6300</v>
      </c>
      <c r="Q18" s="334" t="s">
        <v>6301</v>
      </c>
      <c r="R18" s="322" t="s">
        <v>6302</v>
      </c>
      <c r="S18" s="320" t="s">
        <v>6303</v>
      </c>
      <c r="T18" s="142" t="s">
        <v>6304</v>
      </c>
      <c r="U18" s="30"/>
      <c r="V18" s="30"/>
      <c r="W18" s="30"/>
      <c r="X18" s="30"/>
      <c r="Y18" s="30"/>
      <c r="Z18" s="30"/>
    </row>
    <row r="19">
      <c r="A19" s="314" t="s">
        <v>6305</v>
      </c>
      <c r="B19" s="315" t="s">
        <v>6306</v>
      </c>
      <c r="C19" s="313" t="s">
        <v>6307</v>
      </c>
      <c r="D19" s="142" t="str">
        <f>IFERROR(__xludf.DUMMYFUNCTION("GOOGLETRANSLATE(B19,""zh-tw"",""ja"")"),"物理防御力：2
魔法耐性：10
フラッシュステップ効果強化")</f>
        <v>物理防御力：2
魔法耐性：10
フラッシュステップ効果強化</v>
      </c>
      <c r="E19" s="313" t="s">
        <v>6308</v>
      </c>
      <c r="F19" s="136" t="s">
        <v>6309</v>
      </c>
      <c r="G19" s="320" t="str">
        <f>IFERROR(__xludf.DUMMYFUNCTION("GOOGLETRANSLATE(A19,""zh-tw"",""zh"")"),"武术家之鞋")</f>
        <v>武术家之鞋</v>
      </c>
      <c r="H19" s="142" t="str">
        <f>IFERROR(__xludf.DUMMYFUNCTION("GOOGLETRANSLATE(B19,""zh-tw"",""zh"")"),"物防：2
魔抗：10
闪步效果强化")</f>
        <v>物防：2
魔抗：10
闪步效果强化</v>
      </c>
      <c r="I19" s="320" t="str">
        <f>IFERROR(__xludf.DUMMYFUNCTION("GOOGLETRANSLATE(A19,""zh-tw"",""es-MX"")"),"Zapatos de artista marcial")</f>
        <v>Zapatos de artista marcial</v>
      </c>
      <c r="J19" s="142" t="str">
        <f>IFERROR(__xludf.DUMMYFUNCTION("GOOGLETRANSLATE(B19,""zh-tw"",""es-MX"")"),"Defensa física: 2
Resistencia mágica: 10
Mejora del efecto de Paso relámpago")</f>
        <v>Defensa física: 2
Resistencia mágica: 10
Mejora del efecto de Paso relámpago</v>
      </c>
      <c r="K19" s="320" t="str">
        <f>IFERROR(__xludf.DUMMYFUNCTION("GOOGLETRANSLATE(A19,""zh-tw"",""KO"")"),"무술가의 신발")</f>
        <v>무술가의 신발</v>
      </c>
      <c r="L19" s="142" t="str">
        <f>IFERROR(__xludf.DUMMYFUNCTION("GOOGLETRANSLATE(B19,""zh-tw"",""KO"")"),"물리 방어력: 2
마법 저항력: 10
플래시 스텝 효과 강화")</f>
        <v>물리 방어력: 2
마법 저항력: 10
플래시 스텝 효과 강화</v>
      </c>
      <c r="M19" s="316" t="str">
        <f>IFERROR(__xludf.DUMMYFUNCTION("GOOGLETRANSLATE(A19,""zh-tw"",""ru"")"),"Обувь для мастеров боевых искусств")</f>
        <v>Обувь для мастеров боевых искусств</v>
      </c>
      <c r="N19" s="317" t="str">
        <f>IFERROR(__xludf.DUMMYFUNCTION("GOOGLETRANSLATE(B19,""zh-tw"",""ru"")"),"Физическая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9" s="314" t="s">
        <v>6310</v>
      </c>
      <c r="P19" s="315" t="s">
        <v>6311</v>
      </c>
      <c r="Q19" s="334" t="s">
        <v>6312</v>
      </c>
      <c r="R19" s="322" t="s">
        <v>6313</v>
      </c>
      <c r="S19" s="320" t="s">
        <v>6314</v>
      </c>
      <c r="T19" s="142" t="s">
        <v>6315</v>
      </c>
      <c r="U19" s="30"/>
      <c r="V19" s="30"/>
      <c r="W19" s="30"/>
      <c r="X19" s="30"/>
      <c r="Y19" s="30"/>
      <c r="Z19" s="30"/>
    </row>
    <row r="20">
      <c r="A20" s="314" t="s">
        <v>6316</v>
      </c>
      <c r="B20" s="315" t="s">
        <v>6317</v>
      </c>
      <c r="C20" s="313" t="s">
        <v>6318</v>
      </c>
      <c r="D20" s="142" t="str">
        <f>IFERROR(__xludf.DUMMYFUNCTION("GOOGLETRANSLATE(B20,""zh-tw"",""ja"")"),"物理防御力: 1
幸運: 60
アイテムドロップ率アップ")</f>
        <v>物理防御力: 1
幸運: 60
アイテムドロップ率アップ</v>
      </c>
      <c r="E20" s="313" t="s">
        <v>6319</v>
      </c>
      <c r="F20" s="136" t="s">
        <v>6320</v>
      </c>
      <c r="G20" s="320" t="str">
        <f>IFERROR(__xludf.DUMMYFUNCTION("GOOGLETRANSLATE(A20,""zh-tw"",""zh"")"),"萌萌兔耳")</f>
        <v>萌萌兔耳</v>
      </c>
      <c r="H20" s="142" t="str">
        <f>IFERROR(__xludf.DUMMYFUNCTION("GOOGLETRANSLATE(B20,""zh-tw"",""zh"")"),"物防：1
幸运：60
增加物品掉落率")</f>
        <v>物防：1
幸运：60
增加物品掉落率</v>
      </c>
      <c r="I20" s="320" t="str">
        <f>IFERROR(__xludf.DUMMYFUNCTION("GOOGLETRANSLATE(A20,""zh-tw"",""es-MX"")"),"Lindas orejas de conejo")</f>
        <v>Lindas orejas de conejo</v>
      </c>
      <c r="J20" s="142" t="str">
        <f>IFERROR(__xludf.DUMMYFUNCTION("GOOGLETRANSLATE(B20,""zh-tw"",""es-MX"")"),"Defensa física: 1
Suerte: 60
Aumenta la probabilidad de conseguir objetos")</f>
        <v>Defensa física: 1
Suerte: 60
Aumenta la probabilidad de conseguir objetos</v>
      </c>
      <c r="K20" s="320" t="str">
        <f>IFERROR(__xludf.DUMMYFUNCTION("GOOGLETRANSLATE(A20,""zh-tw"",""KO"")"),"귀여운 토끼 귀")</f>
        <v>귀여운 토끼 귀</v>
      </c>
      <c r="L20" s="142" t="str">
        <f>IFERROR(__xludf.DUMMYFUNCTION("GOOGLETRANSLATE(B20,""zh-tw"",""KO"")"),"물리 방어력: 1
행운: 60
아이템 획득률 증가")</f>
        <v>물리 방어력: 1
행운: 60
아이템 획득률 증가</v>
      </c>
      <c r="M20" s="316" t="str">
        <f>IFERROR(__xludf.DUMMYFUNCTION("GOOGLETRANSLATE(A20,""zh-tw"",""ru"")"),"Милые ушки зайчика")</f>
        <v>Милые ушки зайчика</v>
      </c>
      <c r="N20" s="317" t="str">
        <f>IFERROR(__xludf.DUMMYFUNCTION("GOOGLETRANSLATE(B20,""zh-tw"",""ru"")"),"Физическая защита: 1
Удача: 60
Увеличивает шанс выпадения предметов")</f>
        <v>Физическая защита: 1
Удача: 60
Увеличивает шанс выпадения предметов</v>
      </c>
      <c r="O20" s="314" t="s">
        <v>6321</v>
      </c>
      <c r="P20" s="315" t="s">
        <v>6322</v>
      </c>
      <c r="Q20" s="334" t="s">
        <v>6323</v>
      </c>
      <c r="R20" s="322" t="s">
        <v>6324</v>
      </c>
      <c r="S20" s="320" t="s">
        <v>6325</v>
      </c>
      <c r="T20" s="142" t="s">
        <v>6326</v>
      </c>
      <c r="U20" s="30"/>
      <c r="V20" s="30"/>
      <c r="W20" s="30"/>
      <c r="X20" s="30"/>
      <c r="Y20" s="30"/>
      <c r="Z20" s="30"/>
    </row>
    <row r="21">
      <c r="A21" s="314" t="s">
        <v>6327</v>
      </c>
      <c r="B21" s="315" t="s">
        <v>6328</v>
      </c>
      <c r="C21" s="320" t="str">
        <f>IFERROR(__xludf.DUMMYFUNCTION("GOOGLETRANSLATE(A21,""zh-tw"",""ja"")"),"メイド服")</f>
        <v>メイド服</v>
      </c>
      <c r="D21" s="142" t="str">
        <f>IFERROR(__xludf.DUMMYFUNCTION("GOOGLETRANSLATE(B21,""zh-tw"",""ja"")"),"物理防御力: 4
魔法耐性: 4
幸運: 30
攻撃不可、特殊効果")</f>
        <v>物理防御力: 4
魔法耐性: 4
幸運: 30
攻撃不可、特殊効果</v>
      </c>
      <c r="E21" s="313" t="s">
        <v>6329</v>
      </c>
      <c r="F21" s="136" t="s">
        <v>6330</v>
      </c>
      <c r="G21" s="320" t="str">
        <f>IFERROR(__xludf.DUMMYFUNCTION("GOOGLETRANSLATE(A21,""zh-tw"",""zh"")"),"女仆制服")</f>
        <v>女仆制服</v>
      </c>
      <c r="H21" s="142" t="str">
        <f>IFERROR(__xludf.DUMMYFUNCTION("GOOGLETRANSLATE(B21,""zh-tw"",""zh"")"),"物防：4
魔抗：4
幸运：30
无法攻击、特殊效果")</f>
        <v>物防：4
魔抗：4
幸运：30
无法攻击、特殊效果</v>
      </c>
      <c r="I21" s="320" t="str">
        <f>IFERROR(__xludf.DUMMYFUNCTION("GOOGLETRANSLATE(A21,""zh-tw"",""es-MX"")"),"Uniforme de sirvienta")</f>
        <v>Uniforme de sirvienta</v>
      </c>
      <c r="J21" s="142" t="str">
        <f>IFERROR(__xludf.DUMMYFUNCTION("GOOGLETRANSLATE(B21,""zh-tw"",""es-MX"")"),"Defensa física: 4
Resistencia mágica: 4
Suerte: 30
No puede atacar, efecto especial")</f>
        <v>Defensa física: 4
Resistencia mágica: 4
Suerte: 30
No puede atacar, efecto especial</v>
      </c>
      <c r="K21" s="314" t="s">
        <v>6331</v>
      </c>
      <c r="L21" s="136" t="s">
        <v>6332</v>
      </c>
      <c r="M21" s="316" t="str">
        <f>IFERROR(__xludf.DUMMYFUNCTION("GOOGLETRANSLATE(A21,""zh-tw"",""ru"")"),"Униформа горничной")</f>
        <v>Униформа горничной</v>
      </c>
      <c r="N21" s="317"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14" t="s">
        <v>6333</v>
      </c>
      <c r="P21" s="315" t="s">
        <v>6334</v>
      </c>
      <c r="Q21" s="334" t="s">
        <v>6335</v>
      </c>
      <c r="R21" s="319" t="s">
        <v>6336</v>
      </c>
      <c r="S21" s="320" t="s">
        <v>6337</v>
      </c>
      <c r="T21" s="142" t="s">
        <v>6338</v>
      </c>
      <c r="U21" s="30"/>
      <c r="V21" s="30"/>
      <c r="W21" s="30"/>
      <c r="X21" s="30"/>
      <c r="Y21" s="30"/>
      <c r="Z21" s="30"/>
    </row>
    <row r="22">
      <c r="A22" s="314" t="s">
        <v>6339</v>
      </c>
      <c r="B22" s="315" t="s">
        <v>6340</v>
      </c>
      <c r="C22" s="313" t="s">
        <v>6341</v>
      </c>
      <c r="D22" s="142" t="str">
        <f>IFERROR(__xludf.DUMMYFUNCTION("GOOGLETRANSLATE(B22,""zh-tw"",""ja"")"),"魔法攻撃力：20
魔法耐性：10
詠唱速度が上昇し、最大魔法威力が上昇")</f>
        <v>魔法攻撃力：20
魔法耐性：10
詠唱速度が上昇し、最大魔法威力が上昇</v>
      </c>
      <c r="E22" s="313" t="s">
        <v>6342</v>
      </c>
      <c r="F22" s="136" t="s">
        <v>6343</v>
      </c>
      <c r="G22" s="320" t="str">
        <f>IFERROR(__xludf.DUMMYFUNCTION("GOOGLETRANSLATE(A22,""zh-tw"",""zh"")"),"魔力晶簇")</f>
        <v>魔力晶簇</v>
      </c>
      <c r="H22" s="142" t="str">
        <f>IFERROR(__xludf.DUMMYFUNCTION("GOOGLETRANSLATE(B22,""zh-tw"",""zh"")"),"魔攻：20
魔抗：10
加快吟唱、提升魔法威力上限")</f>
        <v>魔攻：20
魔抗：10
加快吟唱、提升魔法威力上限</v>
      </c>
      <c r="I22" s="320" t="str">
        <f>IFERROR(__xludf.DUMMYFUNCTION("GOOGLETRANSLATE(A22,""zh-tw"",""es-MX"")"),"Cúmulo de cristales mágicos")</f>
        <v>Cúmulo de cristales mágicos</v>
      </c>
      <c r="J22" s="142" t="str">
        <f>IFERROR(__xludf.DUMMYFUNCTION("GOOGLETRANSLATE(B22,""zh-tw"",""es-MX"")"),"Ataque mágico: 20
Resistencia mágica: 10
Acelera el lanzamiento de hechizos y aumenta el poder mágico máximo.")</f>
        <v>Ataque mágico: 20
Resistencia mágica: 10
Acelera el lanzamiento de hechizos y aumenta el poder mágico máximo.</v>
      </c>
      <c r="K22" s="313" t="s">
        <v>6344</v>
      </c>
      <c r="L22" s="136" t="s">
        <v>6345</v>
      </c>
      <c r="M22" s="316" t="str">
        <f>IFERROR(__xludf.DUMMYFUNCTION("GOOGLETRANSLATE(A22,""zh-tw"",""ru"")"),"Магический кристаллический кластер")</f>
        <v>Магический кристаллический кластер</v>
      </c>
      <c r="N22" s="317" t="str">
        <f>IFERROR(__xludf.DUMMYFUNCTION("GOOGLETRANSLATE(B22,""zh-tw"",""ru"")"),"Магическая атака: 20
Сопротивление магии: 10
Ускоряет произнесение заклинаний, увеличивает максимальную магическую силу")</f>
        <v>Магическая атака: 20
Сопротивление магии: 10
Ускоряет произнесение заклинаний, увеличивает максимальную магическую силу</v>
      </c>
      <c r="O22" s="314" t="s">
        <v>6346</v>
      </c>
      <c r="P22" s="315" t="s">
        <v>6347</v>
      </c>
      <c r="Q22" s="334" t="s">
        <v>6348</v>
      </c>
      <c r="R22" s="322" t="s">
        <v>6349</v>
      </c>
      <c r="S22" s="320" t="s">
        <v>6350</v>
      </c>
      <c r="T22" s="142" t="s">
        <v>6351</v>
      </c>
      <c r="U22" s="30"/>
      <c r="V22" s="30"/>
      <c r="W22" s="30"/>
      <c r="X22" s="30"/>
      <c r="Y22" s="30"/>
      <c r="Z22" s="30"/>
    </row>
    <row r="23">
      <c r="A23" s="314" t="s">
        <v>6352</v>
      </c>
      <c r="B23" s="315" t="s">
        <v>6353</v>
      </c>
      <c r="C23" s="313" t="s">
        <v>6354</v>
      </c>
      <c r="D23" s="142" t="str">
        <f>IFERROR(__xludf.DUMMYFUNCTION("GOOGLETRANSLATE(B23,""zh-tw"",""ja"")"),"魔法攻撃力：35
魔法耐性：20
詠唱速度が上昇し、最大魔法威力が上昇")</f>
        <v>魔法攻撃力：35
魔法耐性：20
詠唱速度が上昇し、最大魔法威力が上昇</v>
      </c>
      <c r="E23" s="313" t="s">
        <v>6355</v>
      </c>
      <c r="F23" s="136" t="s">
        <v>6356</v>
      </c>
      <c r="G23" s="320" t="str">
        <f>IFERROR(__xludf.DUMMYFUNCTION("GOOGLETRANSLATE(A23,""zh-tw"",""zh"")"),"深邃魔力晶簇")</f>
        <v>深邃魔力晶簇</v>
      </c>
      <c r="H23" s="142" t="str">
        <f>IFERROR(__xludf.DUMMYFUNCTION("GOOGLETRANSLATE(B23,""zh-tw"",""zh"")"),"魔攻：35
魔抗：20
加快吟唱、提升魔法威力上限")</f>
        <v>魔攻：35
魔抗：20
加快吟唱、提升魔法威力上限</v>
      </c>
      <c r="I23" s="320" t="str">
        <f>IFERROR(__xludf.DUMMYFUNCTION("GOOGLETRANSLATE(A23,""zh-tw"",""es-MX"")"),"Cúmulo de cristales de magia profunda")</f>
        <v>Cúmulo de cristales de magia profunda</v>
      </c>
      <c r="J23" s="142" t="str">
        <f>IFERROR(__xludf.DUMMYFUNCTION("GOOGLETRANSLATE(B23,""zh-tw"",""es-MX"")"),"Ataque mágico: 35
Resistencia mágica: 20
Acelera el lanzamiento de hechizos y aumenta el poder mágico máximo.")</f>
        <v>Ataque mágico: 35
Resistencia mágica: 20
Acelera el lanzamiento de hechizos y aumenta el poder mágico máximo.</v>
      </c>
      <c r="K23" s="314" t="s">
        <v>6357</v>
      </c>
      <c r="L23" s="136" t="s">
        <v>6358</v>
      </c>
      <c r="M23" s="316" t="str">
        <f>IFERROR(__xludf.DUMMYFUNCTION("GOOGLETRANSLATE(A23,""zh-tw"",""ru"")"),"Кристаллический кластер глубокой магии")</f>
        <v>Кристаллический кластер глубокой магии</v>
      </c>
      <c r="N23" s="317" t="str">
        <f>IFERROR(__xludf.DUMMYFUNCTION("GOOGLETRANSLATE(B23,""zh-tw"",""ru"")"),"Магическая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3" s="314" t="s">
        <v>6359</v>
      </c>
      <c r="P23" s="315" t="s">
        <v>6360</v>
      </c>
      <c r="Q23" s="334" t="s">
        <v>6361</v>
      </c>
      <c r="R23" s="322" t="s">
        <v>6362</v>
      </c>
      <c r="S23" s="320" t="s">
        <v>6363</v>
      </c>
      <c r="T23" s="142" t="s">
        <v>6364</v>
      </c>
      <c r="U23" s="30"/>
      <c r="V23" s="30"/>
      <c r="W23" s="30"/>
      <c r="X23" s="30"/>
      <c r="Y23" s="30"/>
      <c r="Z23" s="30"/>
    </row>
    <row r="24">
      <c r="A24" s="314" t="s">
        <v>6365</v>
      </c>
      <c r="B24" s="315" t="s">
        <v>6366</v>
      </c>
      <c r="C24" s="313" t="s">
        <v>6367</v>
      </c>
      <c r="D24" s="142" t="str">
        <f>IFERROR(__xludf.DUMMYFUNCTION("GOOGLETRANSLATE(B24,""zh-tw"",""ja"")"),"スタミナが基本値の25から2%増加し、スタミナ回復効果が20%増加しました。")</f>
        <v>スタミナが基本値の25から2%増加し、スタミナ回復効果が20%増加しました。</v>
      </c>
      <c r="E24" s="313" t="s">
        <v>6368</v>
      </c>
      <c r="F24" s="136" t="s">
        <v>6369</v>
      </c>
      <c r="G24" s="320" t="str">
        <f>IFERROR(__xludf.DUMMYFUNCTION("GOOGLETRANSLATE(A24,""zh-tw"",""zh"")"),"受诅胎体")</f>
        <v>受诅胎体</v>
      </c>
      <c r="H24" s="142" t="str">
        <f>IFERROR(__xludf.DUMMYFUNCTION("GOOGLETRANSLATE(B24,""zh-tw"",""zh"")"),"体力上升，基础25，额外加成2%
体力恢复效果提升20%")</f>
        <v>体力上升，基础25，额外加成2%
体力恢复效果提升20%</v>
      </c>
      <c r="I24" s="320" t="str">
        <f>IFERROR(__xludf.DUMMYFUNCTION("GOOGLETRANSLATE(A24,""zh-tw"",""es-MX"")"),"Feto maldito")</f>
        <v>Feto maldito</v>
      </c>
      <c r="J24" s="142" t="str">
        <f>IFERROR(__xludf.DUMMYFUNCTION("GOOGLETRANSLATE(B24,""zh-tw"",""es-MX"")"),"Resistencia aumentada desde una base de 25, con una bonificación adicional del 2%. El efecto de recuperación de resistencia aumenta un 20%.")</f>
        <v>Resistencia aumentada desde una base de 25, con una bonificación adicional del 2%. El efecto de recuperación de resistencia aumenta un 20%.</v>
      </c>
      <c r="K24" s="320" t="str">
        <f>IFERROR(__xludf.DUMMYFUNCTION("GOOGLETRANSLATE(A24,""zh-tw"",""KO"")"),"저주받은 태아")</f>
        <v>저주받은 태아</v>
      </c>
      <c r="L24" s="136" t="s">
        <v>6370</v>
      </c>
      <c r="M24" s="316" t="str">
        <f>IFERROR(__xludf.DUMMYFUNCTION("GOOGLETRANSLATE(A24,""zh-tw"",""ru"")"),"Проклятый плод")</f>
        <v>Проклятый плод</v>
      </c>
      <c r="N24" s="317"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14" t="s">
        <v>6371</v>
      </c>
      <c r="P24" s="315" t="s">
        <v>6372</v>
      </c>
      <c r="Q24" s="334" t="s">
        <v>6373</v>
      </c>
      <c r="R24" s="319" t="s">
        <v>6374</v>
      </c>
      <c r="S24" s="320" t="s">
        <v>6375</v>
      </c>
      <c r="T24" s="142" t="s">
        <v>6376</v>
      </c>
      <c r="U24" s="30"/>
      <c r="V24" s="30"/>
      <c r="W24" s="30"/>
      <c r="X24" s="30"/>
      <c r="Y24" s="30"/>
      <c r="Z24" s="30"/>
    </row>
    <row r="25">
      <c r="A25" s="314" t="s">
        <v>6377</v>
      </c>
      <c r="B25" s="315" t="s">
        <v>6378</v>
      </c>
      <c r="C25" s="313" t="s">
        <v>6379</v>
      </c>
      <c r="D25" s="142" t="str">
        <f>IFERROR(__xludf.DUMMYFUNCTION("GOOGLETRANSLATE(B25,""zh-tw"",""ja"")"),"スタミナが増加（基本30、追加ボーナス10%）。スタミナ自動回復を獲得し、スタミナ回復効果が25%増加。")</f>
        <v>スタミナが増加（基本30、追加ボーナス10%）。スタミナ自動回復を獲得し、スタミナ回復効果が25%増加。</v>
      </c>
      <c r="E25" s="313" t="s">
        <v>6380</v>
      </c>
      <c r="F25" s="136" t="s">
        <v>6381</v>
      </c>
      <c r="G25" s="320" t="str">
        <f>IFERROR(__xludf.DUMMYFUNCTION("GOOGLETRANSLATE(A25,""zh-tw"",""zh"")"),"不幸的诞生")</f>
        <v>不幸的诞生</v>
      </c>
      <c r="H25" s="142" t="str">
        <f>IFERROR(__xludf.DUMMYFUNCTION("GOOGLETRANSLATE(B25,""zh-tw"",""zh"")"),"体力上升，基础30，额外加成10%
获得自动回复效果，体力恢复效果提升25%")</f>
        <v>体力上升，基础30，额外加成10%
获得自动回复效果，体力恢复效果提升25%</v>
      </c>
      <c r="I25" s="320" t="str">
        <f>IFERROR(__xludf.DUMMYFUNCTION("GOOGLETRANSLATE(A25,""zh-tw"",""es-MX"")"),"Un nacimiento desafortunado")</f>
        <v>Un nacimiento desafortunado</v>
      </c>
      <c r="J25" s="142" t="str">
        <f>IFERROR(__xludf.DUMMYFUNCTION("GOOGLETRANSLATE(B25,""zh-tw"",""es-MX"")"),"Resistencia aumentada (base 30, bonificación adicional del 10%). Obtiene recuperación automática de resistencia; el efecto de recuperación de resistencia aumenta un 25%.")</f>
        <v>Resistencia aumentada (base 30, bonificación adicional del 10%). Obtiene recuperación automática de resistencia; el efecto de recuperación de resistencia aumenta un 25%.</v>
      </c>
      <c r="K25" s="320" t="str">
        <f>IFERROR(__xludf.DUMMYFUNCTION("GOOGLETRANSLATE(A25,""zh-tw"",""KO"")"),"불행한 탄생")</f>
        <v>불행한 탄생</v>
      </c>
      <c r="L25" s="136" t="s">
        <v>6382</v>
      </c>
      <c r="M25" s="316" t="str">
        <f>IFERROR(__xludf.DUMMYFUNCTION("GOOGLETRANSLATE(A25,""zh-tw"",""ru"")"),"Неудачное рождение")</f>
        <v>Неудачное рождение</v>
      </c>
      <c r="N25" s="317" t="str">
        <f>IFERROR(__xludf.DUMMYFUNCTION("GOOGLETRANSLATE(B25,""zh-tw"",""ru"")"),"Выносливость увеличена, базовая 30, дополнительный бонус 10%. Автоматически восстанавливает выносливость; эффект восстановления выносливости увеличивается на 25%.")</f>
        <v>Выносливость увеличена, базовая 30, дополнительный бонус 10%. Автоматически восстанавливает выносливость; эффект восстановления выносливости увеличивается на 25%.</v>
      </c>
      <c r="O25" s="314" t="s">
        <v>6383</v>
      </c>
      <c r="P25" s="315" t="s">
        <v>6384</v>
      </c>
      <c r="Q25" s="334" t="s">
        <v>6385</v>
      </c>
      <c r="R25" s="322" t="s">
        <v>6386</v>
      </c>
      <c r="S25" s="320" t="s">
        <v>6387</v>
      </c>
      <c r="T25" s="142" t="s">
        <v>6388</v>
      </c>
      <c r="U25" s="30"/>
      <c r="V25" s="30"/>
      <c r="W25" s="30"/>
      <c r="X25" s="30"/>
      <c r="Y25" s="30"/>
      <c r="Z25" s="30"/>
    </row>
    <row r="26">
      <c r="A26" s="313" t="s">
        <v>6389</v>
      </c>
      <c r="B26" s="136" t="s">
        <v>6390</v>
      </c>
      <c r="C26" s="313" t="s">
        <v>6391</v>
      </c>
      <c r="D26" s="136" t="s">
        <v>6392</v>
      </c>
      <c r="E26" s="313" t="s">
        <v>6393</v>
      </c>
      <c r="F26" s="136" t="s">
        <v>6394</v>
      </c>
      <c r="G26" s="320" t="str">
        <f>IFERROR(__xludf.DUMMYFUNCTION("GOOGLETRANSLATE(A26,""zh-tw"",""zh"")"),"调皮的杰克")</f>
        <v>调皮的杰克</v>
      </c>
      <c r="H26" s="142" t="str">
        <f>IFERROR(__xludf.DUMMYFUNCTION("GOOGLETRANSLATE(B26,""zh-tw"",""zh"")"),"魔攻：8
魔防：8
增强残血伤害
(最大额外附加30%伤害)")</f>
        <v>魔攻：8
魔防：8
增强残血伤害
(最大额外附加30%伤害)</v>
      </c>
      <c r="I26" s="320" t="str">
        <f>IFERROR(__xludf.DUMMYFUNCTION("GOOGLETRANSLATE(A26,""zh-tw"",""es-MX"")"),"Jack el travieso")</f>
        <v>Jack el travieso</v>
      </c>
      <c r="J26" s="142" t="str">
        <f>IFERROR(__xludf.DUMMYFUNCTION("GOOGLETRANSLATE(B26,""zh-tw"",""es-MX"")"),"Ataque mágico: 8
Defensa mágica: 8
Aumenta el daño infligido a enemigos con poca vida
(Daño adicional máximo del 30 %)")</f>
        <v>Ataque mágico: 8
Defensa mágica: 8
Aumenta el daño infligido a enemigos con poca vida
(Daño adicional máximo del 30 %)</v>
      </c>
      <c r="K26" s="320" t="str">
        <f>IFERROR(__xludf.DUMMYFUNCTION("GOOGLETRANSLATE(A26,""zh-tw"",""KO"")"),"장난꾸러기 잭")</f>
        <v>장난꾸러기 잭</v>
      </c>
      <c r="L26" s="136" t="s">
        <v>6395</v>
      </c>
      <c r="M26" s="316" t="str">
        <f>IFERROR(__xludf.DUMMYFUNCTION("GOOGLETRANSLATE(A26,""zh-tw"",""ru"")"),"Озорной Джек")</f>
        <v>Озорной Джек</v>
      </c>
      <c r="N26" s="317" t="str">
        <f>IFERROR(__xludf.DUMMYFUNCTION("GOOGLETRANSLATE(B26,""zh-tw"",""ru"")"),"Магическая атака: 8
Магическая защита: 8
Увеличивает урон, наносимый врагам с низким уровнем здоровья
(Максимальный дополнительный урон 30%)")</f>
        <v>Магическая атака: 8
Магическая защита: 8
Увеличивает урон, наносимый врагам с низким уровнем здоровья
(Максимальный дополнительный урон 30%)</v>
      </c>
      <c r="O26" s="314" t="s">
        <v>6396</v>
      </c>
      <c r="P26" s="315" t="s">
        <v>6397</v>
      </c>
      <c r="Q26" s="334" t="s">
        <v>6398</v>
      </c>
      <c r="R26" s="335" t="s">
        <v>6399</v>
      </c>
      <c r="S26" s="320" t="s">
        <v>6400</v>
      </c>
      <c r="T26" s="142" t="s">
        <v>6401</v>
      </c>
      <c r="U26" s="30"/>
      <c r="V26" s="30"/>
      <c r="W26" s="30"/>
      <c r="X26" s="30"/>
      <c r="Y26" s="30"/>
      <c r="Z26" s="30"/>
    </row>
    <row r="27">
      <c r="A27" s="313" t="s">
        <v>6402</v>
      </c>
      <c r="B27" s="136" t="s">
        <v>6403</v>
      </c>
      <c r="C27" s="313" t="s">
        <v>6404</v>
      </c>
      <c r="D27" s="142" t="str">
        <f>IFERROR(__xludf.DUMMYFUNCTION("GOOGLETRANSLATE(B27,""zh-tw"",""ja"")"),"幸運: 100 ドロップで拾えるお金の量が2倍になります。
(貯金箱との併用はできません)")</f>
        <v>幸運: 100 ドロップで拾えるお金の量が2倍になります。
(貯金箱との併用はできません)</v>
      </c>
      <c r="E27" s="313" t="s">
        <v>6405</v>
      </c>
      <c r="F27" s="136" t="s">
        <v>6406</v>
      </c>
      <c r="G27" s="320" t="str">
        <f>IFERROR(__xludf.DUMMYFUNCTION("GOOGLETRANSLATE(A27,""zh-tw"",""zh"")"),"未满的黄金圣杯")</f>
        <v>未满的黄金圣杯</v>
      </c>
      <c r="H27" s="142" t="str">
        <f>IFERROR(__xludf.DUMMYFUNCTION("GOOGLETRANSLATE(B27,""zh-tw"",""zh"")"),"幸运:100
掉落拾取的金钱数量翻倍
(不可以和存钱罐连动)")</f>
        <v>幸运:100
掉落拾取的金钱数量翻倍
(不可以和存钱罐连动)</v>
      </c>
      <c r="I27" s="313" t="s">
        <v>6407</v>
      </c>
      <c r="J27" s="142" t="str">
        <f>IFERROR(__xludf.DUMMYFUNCTION("GOOGLETRANSLATE(B27,""zh-tw"",""es-MX"")"),"Suerte: 100 Duplica la cantidad de dinero que recoges al conseguir objetos.
(No se puede combinar con una alcancía)")</f>
        <v>Suerte: 100 Duplica la cantidad de dinero que recoges al conseguir objetos.
(No se puede combinar con una alcancía)</v>
      </c>
      <c r="K27" s="313" t="s">
        <v>6408</v>
      </c>
      <c r="L27" s="136" t="s">
        <v>6409</v>
      </c>
      <c r="M27" s="316" t="str">
        <f>IFERROR(__xludf.DUMMYFUNCTION("GOOGLETRANSLATE(A27,""zh-tw"",""ru"")"),"Незавершённый Святой Грааль")</f>
        <v>Незавершённый Святой Грааль</v>
      </c>
      <c r="N27" s="317" t="str">
        <f>IFERROR(__xludf.DUMMYFUNCTION("GOOGLETRANSLATE(B27,""zh-tw"",""ru"")"),"Удача: 100 Удваивает количество денег, которые вы получаете из предметов.
(Нельзя объединить с копилкой)")</f>
        <v>Удача: 100 Удваивает количество денег, которые вы получаете из предметов.
(Нельзя объединить с копилкой)</v>
      </c>
      <c r="O27" s="314" t="s">
        <v>6410</v>
      </c>
      <c r="P27" s="315" t="s">
        <v>6411</v>
      </c>
      <c r="Q27" s="334" t="s">
        <v>6412</v>
      </c>
      <c r="R27" s="319" t="s">
        <v>6413</v>
      </c>
      <c r="S27" s="336" t="s">
        <v>6405</v>
      </c>
      <c r="T27" s="142" t="s">
        <v>6414</v>
      </c>
      <c r="U27" s="30"/>
      <c r="V27" s="30"/>
      <c r="W27" s="30"/>
      <c r="X27" s="30"/>
      <c r="Y27" s="30"/>
      <c r="Z27" s="30"/>
    </row>
    <row r="28">
      <c r="A28" s="313" t="s">
        <v>6415</v>
      </c>
      <c r="B28" s="136" t="s">
        <v>6416</v>
      </c>
      <c r="C28" s="313" t="s">
        <v>6417</v>
      </c>
      <c r="D28" s="142" t="str">
        <f>IFERROR(__xludf.DUMMYFUNCTION("GOOGLETRANSLATE(B28,""zh-tw"",""ja"")"),"爆発効果または爆発軽減を発動する確率が低い。")</f>
        <v>爆発効果または爆発軽減を発動する確率が低い。</v>
      </c>
      <c r="E28" s="313" t="s">
        <v>6418</v>
      </c>
      <c r="F28" s="136" t="s">
        <v>6419</v>
      </c>
      <c r="G28" s="320" t="str">
        <f>IFERROR(__xludf.DUMMYFUNCTION("GOOGLETRANSLATE(A28,""zh-tw"",""zh"")"),"炸弹魔之魂")</f>
        <v>炸弹魔之魂</v>
      </c>
      <c r="H28" s="142" t="str">
        <f>IFERROR(__xludf.DUMMYFUNCTION("GOOGLETRANSLATE(B28,""zh-tw"",""zh"")"),"小概率附带爆炸效果、爆炸减免")</f>
        <v>小概率附带爆炸效果、爆炸减免</v>
      </c>
      <c r="I28" s="320" t="str">
        <f>IFERROR(__xludf.DUMMYFUNCTION("GOOGLETRANSLATE(A28,""zh-tw"",""es-MX"")"),"Alma del bombardero")</f>
        <v>Alma del bombardero</v>
      </c>
      <c r="J28" s="142" t="str">
        <f>IFERROR(__xludf.DUMMYFUNCTION("GOOGLETRANSLATE(B28,""zh-tw"",""es-MX"")"),"Baja probabilidad de activar un efecto de explosión o reducción de explosión.")</f>
        <v>Baja probabilidad de activar un efecto de explosión o reducción de explosión.</v>
      </c>
      <c r="K28" s="314" t="s">
        <v>6420</v>
      </c>
      <c r="L28" s="136" t="s">
        <v>6421</v>
      </c>
      <c r="M28" s="316" t="str">
        <f>IFERROR(__xludf.DUMMYFUNCTION("GOOGLETRANSLATE(A28,""zh-tw"",""ru"")"),"Душа бомбардировщика")</f>
        <v>Душа бомбардировщика</v>
      </c>
      <c r="N28" s="317" t="str">
        <f>IFERROR(__xludf.DUMMYFUNCTION("GOOGLETRANSLATE(B28,""zh-tw"",""ru"")"),"Низкая вероятность срабатывания эффекта взрыва или его ослабления.")</f>
        <v>Низкая вероятность срабатывания эффекта взрыва или его ослабления.</v>
      </c>
      <c r="O28" s="314" t="s">
        <v>6422</v>
      </c>
      <c r="P28" s="315" t="s">
        <v>6423</v>
      </c>
      <c r="Q28" s="334" t="s">
        <v>6424</v>
      </c>
      <c r="R28" s="319" t="s">
        <v>6425</v>
      </c>
      <c r="S28" s="320" t="s">
        <v>6426</v>
      </c>
      <c r="T28" s="142" t="s">
        <v>6427</v>
      </c>
      <c r="U28" s="30"/>
      <c r="V28" s="30"/>
      <c r="W28" s="30"/>
      <c r="X28" s="30"/>
      <c r="Y28" s="30"/>
      <c r="Z28" s="30"/>
    </row>
    <row r="29">
      <c r="A29" s="313" t="s">
        <v>6428</v>
      </c>
      <c r="B29" s="136" t="s">
        <v>6429</v>
      </c>
      <c r="C29" s="313" t="s">
        <v>6430</v>
      </c>
      <c r="D29" s="142" t="str">
        <f>IFERROR(__xludf.DUMMYFUNCTION("GOOGLETRANSLATE(B29,""zh-tw"",""ja"")"),"物理攻撃力: 4
魔法耐性: 8
幸運: 4
爆弾効果強化
(爆弾投下時に連鎖爆発の確率)")</f>
        <v>物理攻撃力: 4
魔法耐性: 8
幸運: 4
爆弾効果強化
(爆弾投下時に連鎖爆発の確率)</v>
      </c>
      <c r="E29" s="313" t="s">
        <v>6431</v>
      </c>
      <c r="F29" s="136" t="s">
        <v>6432</v>
      </c>
      <c r="G29" s="320" t="str">
        <f>IFERROR(__xludf.DUMMYFUNCTION("GOOGLETRANSLATE(A29,""zh-tw"",""zh"")"),"纵火狂的防烫手套")</f>
        <v>纵火狂的防烫手套</v>
      </c>
      <c r="H29" s="142" t="str">
        <f>IFERROR(__xludf.DUMMYFUNCTION("GOOGLETRANSLATE(B29,""zh-tw"",""zh"")"),"物攻：4
魔抗：8
幸运：4
增强炸弹效果
(丢炸弹概率连环爆炸)")</f>
        <v>物攻：4
魔抗：8
幸运：4
增强炸弹效果
(丢炸弹概率连环爆炸)</v>
      </c>
      <c r="I29" s="320" t="str">
        <f>IFERROR(__xludf.DUMMYFUNCTION("GOOGLETRANSLATE(A29,""zh-tw"",""es-MX"")"),"Los guantes resistentes al calor del pirómano")</f>
        <v>Los guantes resistentes al calor del pirómano</v>
      </c>
      <c r="J29" s="142" t="str">
        <f>IFERROR(__xludf.DUMMYFUNCTION("GOOGLETRANSLATE(B29,""zh-tw"",""es-MX"")"),"Ataque físico: 4
Resistencia mágica: 8
Suerte: 4
Efecto de bomba mejorado
(Probabilidad de explosión en cadena al lanzar una bomba)")</f>
        <v>Ataque físico: 4
Resistencia mágica: 8
Suerte: 4
Efecto de bomba mejorado
(Probabilidad de explosión en cadena al lanzar una bomba)</v>
      </c>
      <c r="K29" s="313" t="s">
        <v>6433</v>
      </c>
      <c r="L29" s="136" t="s">
        <v>6434</v>
      </c>
      <c r="M29" s="316" t="str">
        <f>IFERROR(__xludf.DUMMYFUNCTION("GOOGLETRANSLATE(A29,""zh-tw"",""ru"")"),"Термостойкие перчатки поджигателя")</f>
        <v>Термостойкие перчатки поджигателя</v>
      </c>
      <c r="N29" s="317" t="str">
        <f>IFERROR(__xludf.DUMMYFUNCTION("GOOGLETRANSLATE(B29,""zh-tw"",""ru"")"),"Физическая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9" s="314" t="s">
        <v>6435</v>
      </c>
      <c r="P29" s="315" t="s">
        <v>6436</v>
      </c>
      <c r="Q29" s="334" t="s">
        <v>6437</v>
      </c>
      <c r="R29" s="322" t="s">
        <v>6438</v>
      </c>
      <c r="S29" s="320" t="s">
        <v>6439</v>
      </c>
      <c r="T29" s="142" t="s">
        <v>6440</v>
      </c>
      <c r="U29" s="30"/>
      <c r="V29" s="30"/>
      <c r="W29" s="30"/>
      <c r="X29" s="30"/>
      <c r="Y29" s="30"/>
      <c r="Z29" s="30"/>
    </row>
    <row r="30">
      <c r="A30" s="314" t="s">
        <v>6441</v>
      </c>
      <c r="B30" s="315" t="s">
        <v>6442</v>
      </c>
      <c r="C30" s="313" t="s">
        <v>6443</v>
      </c>
      <c r="D30" s="142" t="str">
        <f>IFERROR(__xludf.DUMMYFUNCTION("GOOGLETRANSLATE(B30,""zh-tw"",""ja"")"),"物理攻撃力: 3
魔法攻撃力: 10
物理防御力: 1
魔法耐性: 20
武器が追加の魔法ダメージを与えます。")</f>
        <v>物理攻撃力: 3
魔法攻撃力: 10
物理防御力: 1
魔法耐性: 20
武器が追加の魔法ダメージを与えます。</v>
      </c>
      <c r="E30" s="313" t="s">
        <v>6444</v>
      </c>
      <c r="F30" s="136" t="s">
        <v>6445</v>
      </c>
      <c r="G30" s="320" t="str">
        <f>IFERROR(__xludf.DUMMYFUNCTION("GOOGLETRANSLATE(A30,""zh-tw"",""zh"")"),"魔力汲取手套")</f>
        <v>魔力汲取手套</v>
      </c>
      <c r="H30" s="142" t="str">
        <f>IFERROR(__xludf.DUMMYFUNCTION("GOOGLETRANSLATE(B30,""zh-tw"",""zh"")"),"物攻：3
魔攻：10
物防：1
魔抗：20
武器附带魔法伤害")</f>
        <v>物攻：3
魔攻：10
物防：1
魔抗：20
武器附带魔法伤害</v>
      </c>
      <c r="I30" s="320" t="str">
        <f>IFERROR(__xludf.DUMMYFUNCTION("GOOGLETRANSLATE(A30,""zh-tw"",""es-MX"")"),"Guantes de absorción mágica")</f>
        <v>Guantes de absorción mágica</v>
      </c>
      <c r="J30" s="142" t="str">
        <f>IFERROR(__xludf.DUMMYFUNCTION("GOOGLETRANSLATE(B30,""zh-tw"",""es-MX"")"),"Ataque físico: 3
Ataque mágico: 10
Defensa física: 1
Resistencia mágica: 20
El arma inflige daño mágico adicional.")</f>
        <v>Ataque físico: 3
Ataque mágico: 10
Defensa física: 1
Resistencia mágica: 20
El arma inflige daño mágico adicional.</v>
      </c>
      <c r="K30" s="314" t="s">
        <v>6446</v>
      </c>
      <c r="L30" s="136" t="s">
        <v>6447</v>
      </c>
      <c r="M30" s="316" t="str">
        <f>IFERROR(__xludf.DUMMYFUNCTION("GOOGLETRANSLATE(A30,""zh-tw"",""ru"")"),"Перчатки магического поглощения")</f>
        <v>Перчатки магического поглощения</v>
      </c>
      <c r="N30" s="317" t="str">
        <f>IFERROR(__xludf.DUMMYFUNCTION("GOOGLETRANSLATE(B30,""zh-tw"",""ru"")"),"Физическая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30" s="314" t="s">
        <v>6448</v>
      </c>
      <c r="P30" s="315" t="s">
        <v>6449</v>
      </c>
      <c r="Q30" s="334" t="s">
        <v>6450</v>
      </c>
      <c r="R30" s="322" t="s">
        <v>6451</v>
      </c>
      <c r="S30" s="320" t="s">
        <v>6452</v>
      </c>
      <c r="T30" s="142" t="s">
        <v>6453</v>
      </c>
      <c r="U30" s="30"/>
      <c r="V30" s="30"/>
      <c r="W30" s="30"/>
      <c r="X30" s="30"/>
      <c r="Y30" s="30"/>
      <c r="Z30" s="30"/>
    </row>
    <row r="31">
      <c r="A31" s="314" t="s">
        <v>6454</v>
      </c>
      <c r="B31" s="315" t="s">
        <v>6455</v>
      </c>
      <c r="C31" s="313" t="s">
        <v>6456</v>
      </c>
      <c r="D31" s="142" t="str">
        <f>IFERROR(__xludf.DUMMYFUNCTION("GOOGLETRANSLATE(B31,""zh-tw"",""ja"")"),"物理攻撃: 2 物理防御: 6 ダメージを与えるアーマー")</f>
        <v>物理攻撃: 2 物理防御: 6 ダメージを与えるアーマー</v>
      </c>
      <c r="E31" s="313" t="s">
        <v>6457</v>
      </c>
      <c r="F31" s="136" t="s">
        <v>6458</v>
      </c>
      <c r="G31" s="320" t="str">
        <f>IFERROR(__xludf.DUMMYFUNCTION("GOOGLETRANSLATE(A31,""zh-tw"",""zh"")"),"穿刺钉甲")</f>
        <v>穿刺钉甲</v>
      </c>
      <c r="H31" s="142" t="str">
        <f>IFERROR(__xludf.DUMMYFUNCTION("GOOGLETRANSLATE(B31,""zh-tw"",""zh"")"),"物攻：2
物防：6
伤害型防具")</f>
        <v>物攻：2
物防：6
伤害型防具</v>
      </c>
      <c r="I31" s="320" t="str">
        <f>IFERROR(__xludf.DUMMYFUNCTION("GOOGLETRANSLATE(A31,""zh-tw"",""es-MX"")"),"Armadura de clavo perforante")</f>
        <v>Armadura de clavo perforante</v>
      </c>
      <c r="J31" s="142" t="str">
        <f>IFERROR(__xludf.DUMMYFUNCTION("GOOGLETRANSLATE(B31,""zh-tw"",""es-MX"")"),"Ataque físico: 2 Defensa física: 6 Armadura que inflige daño")</f>
        <v>Ataque físico: 2 Defensa física: 6 Armadura que inflige daño</v>
      </c>
      <c r="K31" s="313" t="s">
        <v>6459</v>
      </c>
      <c r="L31" s="136" t="s">
        <v>6460</v>
      </c>
      <c r="M31" s="316" t="str">
        <f>IFERROR(__xludf.DUMMYFUNCTION("GOOGLETRANSLATE(A31,""zh-tw"",""ru"")"),"Броня с пронзительными гвоздями")</f>
        <v>Броня с пронзительными гвоздями</v>
      </c>
      <c r="N31" s="317"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14" t="s">
        <v>6461</v>
      </c>
      <c r="P31" s="315" t="s">
        <v>6462</v>
      </c>
      <c r="Q31" s="334" t="s">
        <v>6463</v>
      </c>
      <c r="R31" s="319" t="s">
        <v>6464</v>
      </c>
      <c r="S31" s="320" t="s">
        <v>6465</v>
      </c>
      <c r="T31" s="142" t="s">
        <v>6466</v>
      </c>
      <c r="U31" s="30"/>
      <c r="V31" s="30"/>
      <c r="W31" s="30"/>
      <c r="X31" s="30"/>
      <c r="Y31" s="30"/>
      <c r="Z31" s="30"/>
    </row>
    <row r="32">
      <c r="A32" s="314" t="s">
        <v>6467</v>
      </c>
      <c r="B32" s="315" t="s">
        <v>6468</v>
      </c>
      <c r="C32" s="313" t="s">
        <v>6469</v>
      </c>
      <c r="D32" s="142" t="str">
        <f>IFERROR(__xludf.DUMMYFUNCTION("GOOGLETRANSLATE(B32,""zh-tw"",""ja"")"),"物理攻撃力：4
物理防御力：2
ダメージを与えるアーマー")</f>
        <v>物理攻撃力：4
物理防御力：2
ダメージを与えるアーマー</v>
      </c>
      <c r="E32" s="313" t="s">
        <v>6470</v>
      </c>
      <c r="F32" s="136" t="s">
        <v>6471</v>
      </c>
      <c r="G32" s="320" t="str">
        <f>IFERROR(__xludf.DUMMYFUNCTION("GOOGLETRANSLATE(A32,""zh-tw"",""zh"")"),"穿刺钉盔")</f>
        <v>穿刺钉盔</v>
      </c>
      <c r="H32" s="142" t="str">
        <f>IFERROR(__xludf.DUMMYFUNCTION("GOOGLETRANSLATE(B32,""zh-tw"",""zh"")"),"物攻：4
物防：2
伤害型防具")</f>
        <v>物攻：4
物防：2
伤害型防具</v>
      </c>
      <c r="I32" s="320" t="str">
        <f>IFERROR(__xludf.DUMMYFUNCTION("GOOGLETRANSLATE(A32,""zh-tw"",""es-MX"")"),"Casco perforante")</f>
        <v>Casco perforante</v>
      </c>
      <c r="J32" s="142" t="str">
        <f>IFERROR(__xludf.DUMMYFUNCTION("GOOGLETRANSLATE(B32,""zh-tw"",""es-MX"")"),"Ataque físico: 4
Defensa física: 2
Armadura que inflige daño")</f>
        <v>Ataque físico: 4
Defensa física: 2
Armadura que inflige daño</v>
      </c>
      <c r="K32" s="313" t="s">
        <v>6472</v>
      </c>
      <c r="L32" s="136" t="s">
        <v>6473</v>
      </c>
      <c r="M32" s="316" t="str">
        <f>IFERROR(__xludf.DUMMYFUNCTION("GOOGLETRANSLATE(A32,""zh-tw"",""ru"")"),"Пирсинг шлема")</f>
        <v>Пирсинг шлема</v>
      </c>
      <c r="N32" s="317"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14" t="s">
        <v>6474</v>
      </c>
      <c r="P32" s="315" t="s">
        <v>6475</v>
      </c>
      <c r="Q32" s="334" t="s">
        <v>6476</v>
      </c>
      <c r="R32" s="319" t="s">
        <v>6477</v>
      </c>
      <c r="S32" s="320" t="s">
        <v>6478</v>
      </c>
      <c r="T32" s="142" t="s">
        <v>6479</v>
      </c>
      <c r="U32" s="30"/>
      <c r="V32" s="30"/>
      <c r="W32" s="30"/>
      <c r="X32" s="30"/>
      <c r="Y32" s="30"/>
      <c r="Z32" s="30"/>
    </row>
    <row r="33">
      <c r="A33" s="314" t="s">
        <v>6480</v>
      </c>
      <c r="B33" s="315" t="s">
        <v>6481</v>
      </c>
      <c r="C33" s="313" t="s">
        <v>6482</v>
      </c>
      <c r="D33" s="142" t="str">
        <f>IFERROR(__xludf.DUMMYFUNCTION("GOOGLETRANSLATE(B33,""zh-tw"",""ja"")"),"物理攻撃: 2 物理防御: 2 ダメージを与えるアーマー")</f>
        <v>物理攻撃: 2 物理防御: 2 ダメージを与えるアーマー</v>
      </c>
      <c r="E33" s="313" t="s">
        <v>6483</v>
      </c>
      <c r="F33" s="136" t="s">
        <v>6484</v>
      </c>
      <c r="G33" s="320" t="str">
        <f>IFERROR(__xludf.DUMMYFUNCTION("GOOGLETRANSLATE(A33,""zh-tw"",""zh"")"),"穿刺钉鞋")</f>
        <v>穿刺钉鞋</v>
      </c>
      <c r="H33" s="142" t="str">
        <f>IFERROR(__xludf.DUMMYFUNCTION("GOOGLETRANSLATE(B33,""zh-tw"",""zh"")"),"物攻：2
物防：2
伤害型防具")</f>
        <v>物攻：2
物防：2
伤害型防具</v>
      </c>
      <c r="I33" s="313" t="s">
        <v>6485</v>
      </c>
      <c r="J33" s="142" t="str">
        <f>IFERROR(__xludf.DUMMYFUNCTION("GOOGLETRANSLATE(B33,""zh-tw"",""es-MX"")"),"Ataque físico: 2 Defensa física: 2 Armadura que inflige daño")</f>
        <v>Ataque físico: 2 Defensa física: 2 Armadura que inflige daño</v>
      </c>
      <c r="K33" s="313" t="s">
        <v>6486</v>
      </c>
      <c r="L33" s="136" t="s">
        <v>6487</v>
      </c>
      <c r="M33" s="316" t="str">
        <f>IFERROR(__xludf.DUMMYFUNCTION("GOOGLETRANSLATE(A33,""zh-tw"",""ru"")"),"Обувь с шипами")</f>
        <v>Обувь с шипами</v>
      </c>
      <c r="N33" s="317"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14" t="s">
        <v>6488</v>
      </c>
      <c r="P33" s="315" t="s">
        <v>6489</v>
      </c>
      <c r="Q33" s="334" t="s">
        <v>6490</v>
      </c>
      <c r="R33" s="319" t="s">
        <v>6491</v>
      </c>
      <c r="S33" s="320" t="s">
        <v>6483</v>
      </c>
      <c r="T33" s="142" t="s">
        <v>6492</v>
      </c>
      <c r="U33" s="30"/>
      <c r="V33" s="30"/>
      <c r="W33" s="30"/>
      <c r="X33" s="30"/>
      <c r="Y33" s="30"/>
      <c r="Z33" s="30"/>
    </row>
    <row r="34">
      <c r="A34" s="314" t="s">
        <v>6493</v>
      </c>
      <c r="B34" s="315" t="s">
        <v>6494</v>
      </c>
      <c r="C34" s="313" t="s">
        <v>6495</v>
      </c>
      <c r="D34" s="142" t="str">
        <f>IFERROR(__xludf.DUMMYFUNCTION("GOOGLETRANSLATE(B34,""zh-tw"",""ja"")"),"物理攻撃力：5
物理防御力：1
ダメージを与えるアーマー")</f>
        <v>物理攻撃力：5
物理防御力：1
ダメージを与えるアーマー</v>
      </c>
      <c r="E34" s="313" t="s">
        <v>6496</v>
      </c>
      <c r="F34" s="136" t="s">
        <v>6497</v>
      </c>
      <c r="G34" s="320" t="str">
        <f>IFERROR(__xludf.DUMMYFUNCTION("GOOGLETRANSLATE(A34,""zh-tw"",""zh"")"),"穿刺臂铠")</f>
        <v>穿刺臂铠</v>
      </c>
      <c r="H34" s="142" t="str">
        <f>IFERROR(__xludf.DUMMYFUNCTION("GOOGLETRANSLATE(B34,""zh-tw"",""zh"")"),"物攻：5
物防：1
伤害型防具")</f>
        <v>物攻：5
物防：1
伤害型防具</v>
      </c>
      <c r="I34" s="320" t="str">
        <f>IFERROR(__xludf.DUMMYFUNCTION("GOOGLETRANSLATE(A34,""zh-tw"",""es-MX"")"),"Armadura de brazo perforante")</f>
        <v>Armadura de brazo perforante</v>
      </c>
      <c r="J34" s="142" t="str">
        <f>IFERROR(__xludf.DUMMYFUNCTION("GOOGLETRANSLATE(B34,""zh-tw"",""es-MX"")"),"Ataque físico: 5
Defensa física: 1
Armadura que inflige daño")</f>
        <v>Ataque físico: 5
Defensa física: 1
Armadura que inflige daño</v>
      </c>
      <c r="K34" s="313" t="s">
        <v>6498</v>
      </c>
      <c r="L34" s="136" t="s">
        <v>6499</v>
      </c>
      <c r="M34" s="316" t="str">
        <f>IFERROR(__xludf.DUMMYFUNCTION("GOOGLETRANSLATE(A34,""zh-tw"",""ru"")"),"Броня для прокалывания рук")</f>
        <v>Броня для прокалывания рук</v>
      </c>
      <c r="N34" s="317"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14" t="s">
        <v>6500</v>
      </c>
      <c r="P34" s="315" t="s">
        <v>6501</v>
      </c>
      <c r="Q34" s="334" t="s">
        <v>6502</v>
      </c>
      <c r="R34" s="319" t="s">
        <v>6503</v>
      </c>
      <c r="S34" s="320" t="s">
        <v>6504</v>
      </c>
      <c r="T34" s="142" t="s">
        <v>6505</v>
      </c>
      <c r="U34" s="30"/>
      <c r="V34" s="30"/>
      <c r="W34" s="30"/>
      <c r="X34" s="30"/>
      <c r="Y34" s="30"/>
      <c r="Z34" s="30"/>
    </row>
    <row r="35">
      <c r="A35" s="314" t="s">
        <v>6506</v>
      </c>
      <c r="B35" s="315" t="s">
        <v>6507</v>
      </c>
      <c r="C35" s="320" t="str">
        <f>IFERROR(__xludf.DUMMYFUNCTION("GOOGLETRANSLATE(A35,""zh-tw"",""ja"")"),"騎士のヘルメット")</f>
        <v>騎士のヘルメット</v>
      </c>
      <c r="D35" s="142" t="str">
        <f>IFERROR(__xludf.DUMMYFUNCTION("GOOGLETRANSLATE(B35,""zh-tw"",""ja"")"),"物理防御力：5
魔法耐性：2
HPが低いと防御力が上昇")</f>
        <v>物理防御力：5
魔法耐性：2
HPが低いと防御力が上昇</v>
      </c>
      <c r="E35" s="313" t="s">
        <v>6508</v>
      </c>
      <c r="F35" s="136" t="s">
        <v>6509</v>
      </c>
      <c r="G35" s="320" t="str">
        <f>IFERROR(__xludf.DUMMYFUNCTION("GOOGLETRANSLATE(A35,""zh-tw"",""zh"")"),"骑士头盔")</f>
        <v>骑士头盔</v>
      </c>
      <c r="H35" s="142" t="str">
        <f>IFERROR(__xludf.DUMMYFUNCTION("GOOGLETRANSLATE(B35,""zh-tw"",""zh"")"),"物防：5
魔抗：2
低体力加防御")</f>
        <v>物防：5
魔抗：2
低体力加防御</v>
      </c>
      <c r="I35" s="320" t="str">
        <f>IFERROR(__xludf.DUMMYFUNCTION("GOOGLETRANSLATE(A35,""zh-tw"",""es-MX"")"),"Casco de caballero")</f>
        <v>Casco de caballero</v>
      </c>
      <c r="J35" s="142" t="str">
        <f>IFERROR(__xludf.DUMMYFUNCTION("GOOGLETRANSLATE(B35,""zh-tw"",""es-MX"")"),"Defensa física: 5
Resistencia mágica: 2
Un PS bajo aumenta la defensa.")</f>
        <v>Defensa física: 5
Resistencia mágica: 2
Un PS bajo aumenta la defensa.</v>
      </c>
      <c r="K35" s="313" t="s">
        <v>6510</v>
      </c>
      <c r="L35" s="136" t="s">
        <v>6511</v>
      </c>
      <c r="M35" s="316" t="str">
        <f>IFERROR(__xludf.DUMMYFUNCTION("GOOGLETRANSLATE(A35,""zh-tw"",""ru"")"),"Рыцарский шлем")</f>
        <v>Рыцарский шлем</v>
      </c>
      <c r="N35" s="317" t="str">
        <f>IFERROR(__xludf.DUMMYFUNCTION("GOOGLETRANSLATE(B35,""zh-tw"",""ru"")"),"Физическая защита: 5
Сопротивление магии: 2
Низкий уровень здоровья увеличивает защиту")</f>
        <v>Физическая защита: 5
Сопротивление магии: 2
Низкий уровень здоровья увеличивает защиту</v>
      </c>
      <c r="O35" s="314" t="s">
        <v>6512</v>
      </c>
      <c r="P35" s="315" t="s">
        <v>6513</v>
      </c>
      <c r="Q35" s="334" t="s">
        <v>6514</v>
      </c>
      <c r="R35" s="322" t="s">
        <v>6515</v>
      </c>
      <c r="S35" s="320" t="s">
        <v>6516</v>
      </c>
      <c r="T35" s="142" t="s">
        <v>6517</v>
      </c>
      <c r="U35" s="30"/>
      <c r="V35" s="30"/>
      <c r="W35" s="30"/>
      <c r="X35" s="30"/>
      <c r="Y35" s="30"/>
      <c r="Z35" s="30"/>
    </row>
    <row r="36">
      <c r="A36" s="314" t="s">
        <v>6518</v>
      </c>
      <c r="B36" s="315" t="s">
        <v>6519</v>
      </c>
      <c r="C36" s="313" t="s">
        <v>6520</v>
      </c>
      <c r="D36" s="142" t="str">
        <f>IFERROR(__xludf.DUMMYFUNCTION("GOOGLETRANSLATE(B36,""zh-tw"",""ja"")"),"物理攻撃：3 物理防御：3 HPが少ないときに攻撃力と防御力が上昇します。")</f>
        <v>物理攻撃：3 物理防御：3 HPが少ないときに攻撃力と防御力が上昇します。</v>
      </c>
      <c r="E36" s="313" t="s">
        <v>6521</v>
      </c>
      <c r="F36" s="136" t="s">
        <v>6522</v>
      </c>
      <c r="G36" s="320" t="str">
        <f>IFERROR(__xludf.DUMMYFUNCTION("GOOGLETRANSLATE(A36,""zh-tw"",""zh"")"),"骑士护臂")</f>
        <v>骑士护臂</v>
      </c>
      <c r="H36" s="142" t="str">
        <f>IFERROR(__xludf.DUMMYFUNCTION("GOOGLETRANSLATE(B36,""zh-tw"",""zh"")"),"物攻：3
物防：3
低体力加攻击、防御")</f>
        <v>物攻：3
物防：3
低体力加攻击、防御</v>
      </c>
      <c r="I36" s="313" t="s">
        <v>6523</v>
      </c>
      <c r="J36" s="142" t="str">
        <f>IFERROR(__xludf.DUMMYFUNCTION("GOOGLETRANSLATE(B36,""zh-tw"",""es-MX"")"),"Ataque físico: 3 Defensa física: 3 Aumenta el ataque y la defensa cuando los HP son bajos.")</f>
        <v>Ataque físico: 3 Defensa física: 3 Aumenta el ataque y la defensa cuando los HP son bajos.</v>
      </c>
      <c r="K36" s="314" t="s">
        <v>6524</v>
      </c>
      <c r="L36" s="136" t="s">
        <v>6525</v>
      </c>
      <c r="M36" s="316" t="str">
        <f>IFERROR(__xludf.DUMMYFUNCTION("GOOGLETRANSLATE(A36,""zh-tw"",""ru"")"),"Наручи рыцаря")</f>
        <v>Наручи рыцаря</v>
      </c>
      <c r="N36" s="317" t="str">
        <f>IFERROR(__xludf.DUMMYFUNCTION("GOOGLETRANSLATE(B36,""zh-tw"",""ru"")"),"Физическая атака: 3 Физическая защита: 3 Увеличивает атаку и защиту при низком уровне HP.")</f>
        <v>Физическая атака: 3 Физическая защита: 3 Увеличивает атаку и защиту при низком уровне HP.</v>
      </c>
      <c r="O36" s="314" t="s">
        <v>6526</v>
      </c>
      <c r="P36" s="315" t="s">
        <v>6527</v>
      </c>
      <c r="Q36" s="334" t="s">
        <v>6528</v>
      </c>
      <c r="R36" s="335" t="s">
        <v>6529</v>
      </c>
      <c r="S36" s="320" t="s">
        <v>6530</v>
      </c>
      <c r="T36" s="142" t="s">
        <v>6531</v>
      </c>
      <c r="U36" s="30"/>
      <c r="V36" s="30"/>
      <c r="W36" s="30"/>
      <c r="X36" s="30"/>
      <c r="Y36" s="30"/>
      <c r="Z36" s="30"/>
    </row>
    <row r="37">
      <c r="A37" s="314" t="s">
        <v>6532</v>
      </c>
      <c r="B37" s="315" t="s">
        <v>6533</v>
      </c>
      <c r="C37" s="313" t="s">
        <v>6534</v>
      </c>
      <c r="D37" s="142" t="str">
        <f>IFERROR(__xludf.DUMMYFUNCTION("GOOGLETRANSLATE(B37,""zh-tw"",""ja"")"),"物理防御力：2
魔法耐性：2
スタミナ低下、移動速度上昇")</f>
        <v>物理防御力：2
魔法耐性：2
スタミナ低下、移動速度上昇</v>
      </c>
      <c r="E37" s="313" t="s">
        <v>6535</v>
      </c>
      <c r="F37" s="136" t="s">
        <v>6536</v>
      </c>
      <c r="G37" s="320" t="str">
        <f>IFERROR(__xludf.DUMMYFUNCTION("GOOGLETRANSLATE(A37,""zh-tw"",""zh"")"),"骑士胫甲")</f>
        <v>骑士胫甲</v>
      </c>
      <c r="H37" s="142" t="str">
        <f>IFERROR(__xludf.DUMMYFUNCTION("GOOGLETRANSLATE(B37,""zh-tw"",""zh"")"),"物防：2
魔抗：2
低体力加移速")</f>
        <v>物防：2
魔抗：2
低体力加移速</v>
      </c>
      <c r="I37" s="320" t="str">
        <f>IFERROR(__xludf.DUMMYFUNCTION("GOOGLETRANSLATE(A37,""zh-tw"",""es-MX"")"),"Grebas de caballero")</f>
        <v>Grebas de caballero</v>
      </c>
      <c r="J37" s="142" t="str">
        <f>IFERROR(__xludf.DUMMYFUNCTION("GOOGLETRANSLATE(B37,""zh-tw"",""es-MX"")"),"Defensa física: 2
Resistencia mágica: 2
Baja resistencia, mayor velocidad de movimiento")</f>
        <v>Defensa física: 2
Resistencia mágica: 2
Baja resistencia, mayor velocidad de movimiento</v>
      </c>
      <c r="K37" s="313" t="s">
        <v>6537</v>
      </c>
      <c r="L37" s="136" t="s">
        <v>6538</v>
      </c>
      <c r="M37" s="316" t="str">
        <f>IFERROR(__xludf.DUMMYFUNCTION("GOOGLETRANSLATE(A37,""zh-tw"",""ru"")"),"Рыцарские поножи")</f>
        <v>Рыцарские поножи</v>
      </c>
      <c r="N37" s="317" t="str">
        <f>IFERROR(__xludf.DUMMYFUNCTION("GOOGLETRANSLATE(B37,""zh-tw"",""ru"")"),"Физическая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7" s="314" t="s">
        <v>6539</v>
      </c>
      <c r="P37" s="315" t="s">
        <v>6540</v>
      </c>
      <c r="Q37" s="334" t="s">
        <v>6541</v>
      </c>
      <c r="R37" s="322" t="s">
        <v>6542</v>
      </c>
      <c r="S37" s="320" t="s">
        <v>6543</v>
      </c>
      <c r="T37" s="142" t="s">
        <v>6544</v>
      </c>
      <c r="U37" s="30"/>
      <c r="V37" s="30"/>
      <c r="W37" s="30"/>
      <c r="X37" s="30"/>
      <c r="Y37" s="30"/>
      <c r="Z37" s="30"/>
    </row>
    <row r="38">
      <c r="A38" s="314" t="s">
        <v>6545</v>
      </c>
      <c r="B38" s="315" t="s">
        <v>6546</v>
      </c>
      <c r="C38" s="320" t="str">
        <f>IFERROR(__xludf.DUMMYFUNCTION("GOOGLETRANSLATE(A38,""zh-tw"",""ja"")"),"騎士の鎧")</f>
        <v>騎士の鎧</v>
      </c>
      <c r="D38" s="142" t="str">
        <f>IFERROR(__xludf.DUMMYFUNCTION("GOOGLETRANSLATE(B38,""zh-tw"",""ja"")"),"物理防御力：10
魔法耐性：4
HPが低いと防御力が上昇")</f>
        <v>物理防御力：10
魔法耐性：4
HPが低いと防御力が上昇</v>
      </c>
      <c r="E38" s="313" t="s">
        <v>6547</v>
      </c>
      <c r="F38" s="136" t="s">
        <v>6548</v>
      </c>
      <c r="G38" s="320" t="str">
        <f>IFERROR(__xludf.DUMMYFUNCTION("GOOGLETRANSLATE(A38,""zh-tw"",""zh"")"),"骑士铠甲")</f>
        <v>骑士铠甲</v>
      </c>
      <c r="H38" s="142" t="str">
        <f>IFERROR(__xludf.DUMMYFUNCTION("GOOGLETRANSLATE(B38,""zh-tw"",""zh"")"),"物防：10
魔抗：4
低体力加防御")</f>
        <v>物防：10
魔抗：4
低体力加防御</v>
      </c>
      <c r="I38" s="320" t="str">
        <f>IFERROR(__xludf.DUMMYFUNCTION("GOOGLETRANSLATE(A38,""zh-tw"",""es-MX"")"),"Armadura de caballero")</f>
        <v>Armadura de caballero</v>
      </c>
      <c r="J38" s="142" t="str">
        <f>IFERROR(__xludf.DUMMYFUNCTION("GOOGLETRANSLATE(B38,""zh-tw"",""es-MX"")"),"Defensa física: 10
Resistencia mágica: 4
Un nivel bajo de PS aumenta la defensa.")</f>
        <v>Defensa física: 10
Resistencia mágica: 4
Un nivel bajo de PS aumenta la defensa.</v>
      </c>
      <c r="K38" s="313" t="s">
        <v>6549</v>
      </c>
      <c r="L38" s="136" t="s">
        <v>6550</v>
      </c>
      <c r="M38" s="316" t="str">
        <f>IFERROR(__xludf.DUMMYFUNCTION("GOOGLETRANSLATE(A38,""zh-tw"",""ru"")"),"Рыцарские доспехи")</f>
        <v>Рыцарские доспехи</v>
      </c>
      <c r="N38" s="317" t="str">
        <f>IFERROR(__xludf.DUMMYFUNCTION("GOOGLETRANSLATE(B38,""zh-tw"",""ru"")"),"Физическая защита: 10
Сопротивление магии: 4
Низкий уровень здоровья увеличивает защиту")</f>
        <v>Физическая защита: 10
Сопротивление магии: 4
Низкий уровень здоровья увеличивает защиту</v>
      </c>
      <c r="O38" s="314" t="s">
        <v>6551</v>
      </c>
      <c r="P38" s="315" t="s">
        <v>6552</v>
      </c>
      <c r="Q38" s="334" t="s">
        <v>6553</v>
      </c>
      <c r="R38" s="322" t="s">
        <v>6554</v>
      </c>
      <c r="S38" s="320" t="s">
        <v>6555</v>
      </c>
      <c r="T38" s="142" t="s">
        <v>6556</v>
      </c>
      <c r="U38" s="30"/>
      <c r="V38" s="30"/>
      <c r="W38" s="30"/>
      <c r="X38" s="30"/>
      <c r="Y38" s="30"/>
      <c r="Z38" s="30"/>
    </row>
    <row r="39">
      <c r="A39" s="321" t="s">
        <v>6557</v>
      </c>
      <c r="B39" s="136" t="s">
        <v>6558</v>
      </c>
      <c r="C39" s="313" t="s">
        <v>6559</v>
      </c>
      <c r="D39" s="136" t="s">
        <v>6560</v>
      </c>
      <c r="E39" s="313" t="s">
        <v>6561</v>
      </c>
      <c r="F39" s="136" t="s">
        <v>6562</v>
      </c>
      <c r="G39" s="320" t="str">
        <f>IFERROR(__xludf.DUMMYFUNCTION("GOOGLETRANSLATE(A39,""zh-tw"",""zh"")"),"堕落法师的手套")</f>
        <v>堕落法师的手套</v>
      </c>
      <c r="H39" s="142" t="str">
        <f>IFERROR(__xludf.DUMMYFUNCTION("GOOGLETRANSLATE(B39,""zh-tw"",""zh"")"),"物攻：2
魔攻：10
魔抗：20
自动瞄准")</f>
        <v>物攻：2
魔攻：10
魔抗：20
自动瞄准</v>
      </c>
      <c r="I39" s="320" t="str">
        <f>IFERROR(__xludf.DUMMYFUNCTION("GOOGLETRANSLATE(A39,""zh-tw"",""es-MX"")"),"Los guantes del mago caído")</f>
        <v>Los guantes del mago caído</v>
      </c>
      <c r="J39" s="142" t="str">
        <f>IFERROR(__xludf.DUMMYFUNCTION("GOOGLETRANSLATE(B39,""zh-tw"",""es-MX"")"),"Ataque físico: 2
Ataque mágico: 10
Resistencia mágica: 20
Apuntado automático")</f>
        <v>Ataque físico: 2
Ataque mágico: 10
Resistencia mágica: 20
Apuntado automático</v>
      </c>
      <c r="K39" s="320" t="str">
        <f>IFERROR(__xludf.DUMMYFUNCTION("GOOGLETRANSLATE(A39,""zh-tw"",""KO"")"),"타락한 마법사의 장갑")</f>
        <v>타락한 마법사의 장갑</v>
      </c>
      <c r="L39" s="136" t="s">
        <v>6563</v>
      </c>
      <c r="M39" s="316" t="str">
        <f>IFERROR(__xludf.DUMMYFUNCTION("GOOGLETRANSLATE(A39,""zh-tw"",""ru"")"),"Перчатки падшего мага")</f>
        <v>Перчатки падшего мага</v>
      </c>
      <c r="N39" s="317" t="str">
        <f>IFERROR(__xludf.DUMMYFUNCTION("GOOGLETRANSLATE(B39,""zh-tw"",""ru"")"),"Физическая атака: 2
Магическая атака: 10
Сопротивление магии: 20
Автоприцеливание")</f>
        <v>Физическая атака: 2
Магическая атака: 10
Сопротивление магии: 20
Автоприцеливание</v>
      </c>
      <c r="O39" s="314" t="s">
        <v>6564</v>
      </c>
      <c r="P39" s="315" t="s">
        <v>6565</v>
      </c>
      <c r="Q39" s="334" t="s">
        <v>6566</v>
      </c>
      <c r="R39" s="337" t="s">
        <v>6567</v>
      </c>
      <c r="S39" s="320" t="s">
        <v>6568</v>
      </c>
      <c r="T39" s="142" t="s">
        <v>6569</v>
      </c>
      <c r="U39" s="30"/>
      <c r="V39" s="30"/>
      <c r="W39" s="30"/>
      <c r="X39" s="30"/>
      <c r="Y39" s="30"/>
      <c r="Z39" s="30"/>
    </row>
    <row r="40">
      <c r="A40" s="313" t="s">
        <v>6570</v>
      </c>
      <c r="B40" s="136" t="s">
        <v>6571</v>
      </c>
      <c r="C40" s="313" t="s">
        <v>6572</v>
      </c>
      <c r="D40" s="142" t="str">
        <f>IFERROR(__xludf.DUMMYFUNCTION("GOOGLETRANSLATE(B40,""zh-tw"",""ja"")"),"魔法攻撃力：10
魔法耐性：25
魔法攻撃力が上昇し、最大スタミナが減少します。")</f>
        <v>魔法攻撃力：10
魔法耐性：25
魔法攻撃力が上昇し、最大スタミナが減少します。</v>
      </c>
      <c r="E40" s="313" t="s">
        <v>6573</v>
      </c>
      <c r="F40" s="136" t="s">
        <v>6574</v>
      </c>
      <c r="G40" s="320" t="str">
        <f>IFERROR(__xludf.DUMMYFUNCTION("GOOGLETRANSLATE(A40,""zh-tw"",""zh"")"),"堕落法师的头环")</f>
        <v>堕落法师的头环</v>
      </c>
      <c r="H40" s="142" t="str">
        <f>IFERROR(__xludf.DUMMYFUNCTION("GOOGLETRANSLATE(B40,""zh-tw"",""zh"")"),"魔攻：10
魔抗：25
提升魔攻并降低自身体力上限")</f>
        <v>魔攻：10
魔抗：25
提升魔攻并降低自身体力上限</v>
      </c>
      <c r="I40" s="320" t="str">
        <f>IFERROR(__xludf.DUMMYFUNCTION("GOOGLETRANSLATE(A40,""zh-tw"",""es-MX"")"),"La diadema del mago caído")</f>
        <v>La diadema del mago caído</v>
      </c>
      <c r="J40" s="142" t="str">
        <f>IFERROR(__xludf.DUMMYFUNCTION("GOOGLETRANSLATE(B40,""zh-tw"",""es-MX"")"),"Ataque mágico: 10
Resistencia mágica: 25
Aumenta el ataque mágico y reduce la resistencia máxima.")</f>
        <v>Ataque mágico: 10
Resistencia mágica: 25
Aumenta el ataque mágico y reduce la resistencia máxima.</v>
      </c>
      <c r="K40" s="313" t="s">
        <v>6575</v>
      </c>
      <c r="L40" s="136" t="s">
        <v>6576</v>
      </c>
      <c r="M40" s="316" t="str">
        <f>IFERROR(__xludf.DUMMYFUNCTION("GOOGLETRANSLATE(A40,""zh-tw"",""ru"")"),"Повязка падшего мага")</f>
        <v>Повязка падшего мага</v>
      </c>
      <c r="N40" s="317"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14" t="s">
        <v>6577</v>
      </c>
      <c r="P40" s="315" t="s">
        <v>6578</v>
      </c>
      <c r="Q40" s="334" t="s">
        <v>6579</v>
      </c>
      <c r="R40" s="319" t="s">
        <v>6580</v>
      </c>
      <c r="S40" s="320" t="s">
        <v>6581</v>
      </c>
      <c r="T40" s="142" t="s">
        <v>6582</v>
      </c>
      <c r="U40" s="30"/>
      <c r="V40" s="30"/>
      <c r="W40" s="30"/>
      <c r="X40" s="30"/>
      <c r="Y40" s="30"/>
      <c r="Z40" s="30"/>
    </row>
    <row r="41">
      <c r="A41" s="313" t="s">
        <v>6583</v>
      </c>
      <c r="B41" s="136" t="s">
        <v>6584</v>
      </c>
      <c r="C41" s="313" t="s">
        <v>6585</v>
      </c>
      <c r="D41" s="142"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13" t="s">
        <v>6586</v>
      </c>
      <c r="F41" s="136" t="s">
        <v>6587</v>
      </c>
      <c r="G41" s="320" t="str">
        <f>IFERROR(__xludf.DUMMYFUNCTION("GOOGLETRANSLATE(A41,""zh-tw"",""zh"")"),"堕落法师的披风")</f>
        <v>堕落法师的披风</v>
      </c>
      <c r="H41" s="142" t="str">
        <f>IFERROR(__xludf.DUMMYFUNCTION("GOOGLETRANSLATE(B41,""zh-tw"",""zh"")"),"魔攻：10
物防:1
魔抗：35
闪步使物体陷入凝滞状态")</f>
        <v>魔攻：10
物防:1
魔抗：35
闪步使物体陷入凝滞状态</v>
      </c>
      <c r="I41" s="320" t="str">
        <f>IFERROR(__xludf.DUMMYFUNCTION("GOOGLETRANSLATE(A41,""zh-tw"",""es-MX"")"),"La capa del mago caído")</f>
        <v>La capa del mago caído</v>
      </c>
      <c r="J41" s="142" t="str">
        <f>IFERROR(__xludf.DUMMYFUNCTION("GOOGLETRANSLATE(B41,""zh-tw"",""es-MX"")"),"Ataque mágico: 10 Defensa física: 1 Resistencia mágica: 35 Flash Step congela los objetos en un estado de estancamiento.")</f>
        <v>Ataque mágico: 10 Defensa física: 1 Resistencia mágica: 35 Flash Step congela los objetos en un estado de estancamiento.</v>
      </c>
      <c r="K41" s="313" t="s">
        <v>6588</v>
      </c>
      <c r="L41" s="136" t="s">
        <v>6589</v>
      </c>
      <c r="M41" s="316" t="str">
        <f>IFERROR(__xludf.DUMMYFUNCTION("GOOGLETRANSLATE(A41,""zh-tw"",""ru"")"),"Плащ падшего мага")</f>
        <v>Плащ падшего мага</v>
      </c>
      <c r="N41" s="317"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14" t="s">
        <v>6590</v>
      </c>
      <c r="P41" s="315" t="s">
        <v>6591</v>
      </c>
      <c r="Q41" s="334" t="s">
        <v>6592</v>
      </c>
      <c r="R41" s="319" t="s">
        <v>6593</v>
      </c>
      <c r="S41" s="320" t="s">
        <v>6594</v>
      </c>
      <c r="T41" s="142" t="s">
        <v>6595</v>
      </c>
      <c r="U41" s="30"/>
      <c r="V41" s="30"/>
      <c r="W41" s="30"/>
      <c r="X41" s="30"/>
      <c r="Y41" s="30"/>
      <c r="Z41" s="30"/>
    </row>
    <row r="42">
      <c r="A42" s="321" t="s">
        <v>6596</v>
      </c>
      <c r="B42" s="136" t="s">
        <v>6597</v>
      </c>
      <c r="C42" s="313" t="s">
        <v>6598</v>
      </c>
      <c r="D42" s="142" t="str">
        <f>IFERROR(__xludf.DUMMYFUNCTION("GOOGLETRANSLATE(B42,""zh-tw"",""ja"")"),"物理攻撃力：2
魔法攻撃力：10
魔法耐性：20
ボイド：敵弾を含むあらゆる障害物を無視")</f>
        <v>物理攻撃力：2
魔法攻撃力：10
魔法耐性：20
ボイド：敵弾を含むあらゆる障害物を無視</v>
      </c>
      <c r="E42" s="313" t="s">
        <v>6599</v>
      </c>
      <c r="F42" s="136" t="s">
        <v>6600</v>
      </c>
      <c r="G42" s="320" t="str">
        <f>IFERROR(__xludf.DUMMYFUNCTION("GOOGLETRANSLATE(A42,""zh-tw"",""zh"")"),"堕落法师的轻履")</f>
        <v>堕落法师的轻履</v>
      </c>
      <c r="H42" s="142" t="str">
        <f>IFERROR(__xludf.DUMMYFUNCTION("GOOGLETRANSLATE(B42,""zh-tw"",""zh"")"),"物攻：2
魔攻：10
魔抗：20
虚无：无视一切阻碍、包括敌人子弹")</f>
        <v>物攻：2
魔攻：10
魔抗：20
虚无：无视一切阻碍、包括敌人子弹</v>
      </c>
      <c r="I42" s="320" t="str">
        <f>IFERROR(__xludf.DUMMYFUNCTION("GOOGLETRANSLATE(A42,""zh-tw"",""es-MX"")"),"Los ligeros pasos del mago caído")</f>
        <v>Los ligeros pasos del mago caído</v>
      </c>
      <c r="J42" s="142" t="str">
        <f>IFERROR(__xludf.DUMMYFUNCTION("GOOGLETRANSLATE(B42,""zh-tw"",""es-MX"")"),"Ataque físico: 2
Ataque mágico: 10
Resistencia mágica: 20
Vacío: Ignora todos los obstáculos, incluidas las balas enemigas.")</f>
        <v>Ataque físico: 2
Ataque mágico: 10
Resistencia mágica: 20
Vacío: Ignora todos los obstáculos, incluidas las balas enemigas.</v>
      </c>
      <c r="K42" s="313" t="s">
        <v>6601</v>
      </c>
      <c r="L42" s="136" t="s">
        <v>6602</v>
      </c>
      <c r="M42" s="316" t="str">
        <f>IFERROR(__xludf.DUMMYFUNCTION("GOOGLETRANSLATE(A42,""zh-tw"",""ru"")"),"Легкие шаги падшего мага")</f>
        <v>Легкие шаги падшего мага</v>
      </c>
      <c r="N42" s="317" t="str">
        <f>IFERROR(__xludf.DUMMYFUNCTION("GOOGLETRANSLATE(B42,""zh-tw"",""ru"")"),"Физическая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2" s="314" t="s">
        <v>6603</v>
      </c>
      <c r="P42" s="315" t="s">
        <v>6604</v>
      </c>
      <c r="Q42" s="334" t="s">
        <v>6605</v>
      </c>
      <c r="R42" s="322" t="s">
        <v>6606</v>
      </c>
      <c r="S42" s="320" t="s">
        <v>6607</v>
      </c>
      <c r="T42" s="142" t="s">
        <v>6608</v>
      </c>
      <c r="U42" s="30"/>
      <c r="V42" s="30"/>
      <c r="W42" s="30"/>
      <c r="X42" s="30"/>
      <c r="Y42" s="30"/>
      <c r="Z42" s="30"/>
    </row>
    <row r="43">
      <c r="A43" s="313" t="s">
        <v>6609</v>
      </c>
      <c r="B43" s="136" t="s">
        <v>6610</v>
      </c>
      <c r="C43" s="313" t="s">
        <v>6611</v>
      </c>
      <c r="D43" s="142" t="str">
        <f>IFERROR(__xludf.DUMMYFUNCTION("GOOGLETRANSLATE(B43,""zh-tw"",""ja"")"),"魔法攻撃力: 1
魔法耐性: 20
スタン耐性、魔法ダメージ出力と魔法射程が増加")</f>
        <v>魔法攻撃力: 1
魔法耐性: 20
スタン耐性、魔法ダメージ出力と魔法射程が増加</v>
      </c>
      <c r="E43" s="313" t="s">
        <v>6612</v>
      </c>
      <c r="F43" s="136" t="s">
        <v>6613</v>
      </c>
      <c r="G43" s="320" t="str">
        <f>IFERROR(__xludf.DUMMYFUNCTION("GOOGLETRANSLATE(A43,""zh-tw"",""zh"")"),"精神凝聚头环")</f>
        <v>精神凝聚头环</v>
      </c>
      <c r="H43" s="142" t="str">
        <f>IFERROR(__xludf.DUMMYFUNCTION("GOOGLETRANSLATE(B43,""zh-tw"",""zh"")"),"魔攻：1
魔抗：20
免疫晕眩、增强魔法输出和魔法范围")</f>
        <v>魔攻：1
魔抗：20
免疫晕眩、增强魔法输出和魔法范围</v>
      </c>
      <c r="I43" s="320" t="str">
        <f>IFERROR(__xludf.DUMMYFUNCTION("GOOGLETRANSLATE(A43,""zh-tw"",""es-MX"")"),"Diadema de cohesión espiritual")</f>
        <v>Diadema de cohesión espiritual</v>
      </c>
      <c r="J43" s="142" t="str">
        <f>IFERROR(__xludf.DUMMYFUNCTION("GOOGLETRANSLATE(B43,""zh-tw"",""es-MX"")"),"Ataque mágico: 1
Resistencia mágica: 20
Inmune al aturdimiento, aumenta el daño mágico y el alcance mágico.")</f>
        <v>Ataque mágico: 1
Resistencia mágica: 20
Inmune al aturdimiento, aumenta el daño mágico y el alcance mágico.</v>
      </c>
      <c r="K43" s="313" t="s">
        <v>6614</v>
      </c>
      <c r="L43" s="136" t="s">
        <v>6615</v>
      </c>
      <c r="M43" s="316" t="str">
        <f>IFERROR(__xludf.DUMMYFUNCTION("GOOGLETRANSLATE(A43,""zh-tw"",""ru"")"),"Повязка на голову «Духовное единство»")</f>
        <v>Повязка на голову «Духовное единство»</v>
      </c>
      <c r="N43" s="317" t="str">
        <f>IFERROR(__xludf.DUMMYFUNCTION("GOOGLETRANSLATE(B43,""zh-tw"",""ru"")"),"Магическая атака: 1
Сопротивление магии: 20
Невосприимчивость к оглушению, увеличивает магический урон и дальность магии")</f>
        <v>Магическая атака: 1
Сопротивление магии: 20
Невосприимчивость к оглушению, увеличивает магический урон и дальность магии</v>
      </c>
      <c r="O43" s="314" t="s">
        <v>6616</v>
      </c>
      <c r="P43" s="315" t="s">
        <v>6617</v>
      </c>
      <c r="Q43" s="334" t="s">
        <v>6618</v>
      </c>
      <c r="R43" s="322" t="s">
        <v>6619</v>
      </c>
      <c r="S43" s="320" t="s">
        <v>6620</v>
      </c>
      <c r="T43" s="142" t="s">
        <v>6621</v>
      </c>
      <c r="U43" s="30"/>
      <c r="V43" s="30"/>
      <c r="W43" s="30"/>
      <c r="X43" s="30"/>
      <c r="Y43" s="30"/>
      <c r="Z43" s="30"/>
    </row>
    <row r="44">
      <c r="A44" s="313" t="s">
        <v>6622</v>
      </c>
      <c r="B44" s="136" t="s">
        <v>6623</v>
      </c>
      <c r="C44" s="320" t="str">
        <f>IFERROR(__xludf.DUMMYFUNCTION("GOOGLETRANSLATE(A44,""zh-tw"",""ja"")"),"夜霧の幻影")</f>
        <v>夜霧の幻影</v>
      </c>
      <c r="D44" s="142"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13" t="s">
        <v>6624</v>
      </c>
      <c r="F44" s="136" t="s">
        <v>6625</v>
      </c>
      <c r="G44" s="320" t="str">
        <f>IFERROR(__xludf.DUMMYFUNCTION("GOOGLETRANSLATE(A44,""zh-tw"",""zh"")"),"夜雾幻影")</f>
        <v>夜雾幻影</v>
      </c>
      <c r="H44" s="142" t="str">
        <f>IFERROR(__xludf.DUMMYFUNCTION("GOOGLETRANSLATE(B44,""zh-tw"",""zh"")"),"物防:2
魔防:2
每隔一段时间会透明化、透明时进行背刺伤害加倍")</f>
        <v>物防:2
魔防:2
每隔一段时间会透明化、透明时进行背刺伤害加倍</v>
      </c>
      <c r="I44" s="320" t="str">
        <f>IFERROR(__xludf.DUMMYFUNCTION("GOOGLETRANSLATE(A44,""zh-tw"",""es-MX"")"),"Fantasma de niebla nocturna")</f>
        <v>Fantasma de niebla nocturna</v>
      </c>
      <c r="J44" s="142" t="str">
        <f>IFERROR(__xludf.DUMMYFUNCTION("GOOGLETRANSLATE(B44,""zh-tw"",""es-MX"")"),"Defensa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4" s="313" t="s">
        <v>6626</v>
      </c>
      <c r="L44" s="136" t="s">
        <v>6627</v>
      </c>
      <c r="M44" s="316" t="str">
        <f>IFERROR(__xludf.DUMMYFUNCTION("GOOGLETRANSLATE(A44,""zh-tw"",""ru"")"),"Ночной туманный фантом")</f>
        <v>Ночной туманный фантом</v>
      </c>
      <c r="N44" s="317"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14" t="s">
        <v>6628</v>
      </c>
      <c r="P44" s="315" t="s">
        <v>6629</v>
      </c>
      <c r="Q44" s="334" t="s">
        <v>6630</v>
      </c>
      <c r="R44" s="319" t="s">
        <v>6631</v>
      </c>
      <c r="S44" s="320" t="s">
        <v>6632</v>
      </c>
      <c r="T44" s="142" t="s">
        <v>6633</v>
      </c>
      <c r="U44" s="30"/>
      <c r="V44" s="30"/>
      <c r="W44" s="30"/>
      <c r="X44" s="30"/>
      <c r="Y44" s="30"/>
      <c r="Z44" s="30"/>
    </row>
    <row r="45">
      <c r="A45" s="313" t="s">
        <v>6634</v>
      </c>
      <c r="B45" s="136" t="s">
        <v>6635</v>
      </c>
      <c r="C45" s="313" t="s">
        <v>6636</v>
      </c>
      <c r="D45" s="136" t="s">
        <v>6637</v>
      </c>
      <c r="E45" s="313" t="s">
        <v>6638</v>
      </c>
      <c r="F45" s="136" t="s">
        <v>6639</v>
      </c>
      <c r="G45" s="320" t="str">
        <f>IFERROR(__xludf.DUMMYFUNCTION("GOOGLETRANSLATE(A45,""zh-tw"",""zh"")"),"圣少女的怜悯")</f>
        <v>圣少女的怜悯</v>
      </c>
      <c r="H45" s="142" t="str">
        <f>IFERROR(__xludf.DUMMYFUNCTION("GOOGLETRANSLATE(B45,""zh-tw"",""zh"")"),"魔攻：20
物防:2
魔抗：40
贤者、特殊好感")</f>
        <v>魔攻：20
物防:2
魔抗：40
贤者、特殊好感</v>
      </c>
      <c r="I45" s="320" t="str">
        <f>IFERROR(__xludf.DUMMYFUNCTION("GOOGLETRANSLATE(A45,""zh-tw"",""es-MX"")"),"La Misericordia de la Santa Doncella")</f>
        <v>La Misericordia de la Santa Doncella</v>
      </c>
      <c r="J45" s="142" t="str">
        <f>IFERROR(__xludf.DUMMYFUNCTION("GOOGLETRANSLATE(B45,""zh-tw"",""es-MX"")"),"Ataque mágico: 20 Defensa física: 2 Resistencia mágica: 40 Sabio, Afinidad especial")</f>
        <v>Ataque mágico: 20 Defensa física: 2 Resistencia mágica: 40 Sabio, Afinidad especial</v>
      </c>
      <c r="K45" s="313" t="s">
        <v>6640</v>
      </c>
      <c r="L45" s="136" t="s">
        <v>6641</v>
      </c>
      <c r="M45" s="316" t="str">
        <f>IFERROR(__xludf.DUMMYFUNCTION("GOOGLETRANSLATE(A45,""zh-tw"",""ru"")"),"Милосердие Святой Девы")</f>
        <v>Милосердие Святой Девы</v>
      </c>
      <c r="N45" s="317"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14" t="s">
        <v>6642</v>
      </c>
      <c r="P45" s="315" t="s">
        <v>6643</v>
      </c>
      <c r="Q45" s="334" t="s">
        <v>6644</v>
      </c>
      <c r="R45" s="319" t="s">
        <v>6645</v>
      </c>
      <c r="S45" s="320" t="s">
        <v>6646</v>
      </c>
      <c r="T45" s="142" t="s">
        <v>6647</v>
      </c>
      <c r="U45" s="30"/>
      <c r="V45" s="30"/>
      <c r="W45" s="30"/>
      <c r="X45" s="30"/>
      <c r="Y45" s="30"/>
      <c r="Z45" s="30"/>
    </row>
    <row r="46">
      <c r="A46" s="314" t="s">
        <v>6648</v>
      </c>
      <c r="B46" s="315" t="s">
        <v>6649</v>
      </c>
      <c r="C46" s="313" t="s">
        <v>6650</v>
      </c>
      <c r="D46" s="136" t="s">
        <v>6651</v>
      </c>
      <c r="E46" s="313" t="s">
        <v>6652</v>
      </c>
      <c r="F46" s="136" t="s">
        <v>6653</v>
      </c>
      <c r="G46" s="320" t="str">
        <f>IFERROR(__xludf.DUMMYFUNCTION("GOOGLETRANSLATE(A46,""zh-tw"",""zh"")"),"晴天娃娃")</f>
        <v>晴天娃娃</v>
      </c>
      <c r="H46" s="142" t="str">
        <f>IFERROR(__xludf.DUMMYFUNCTION("GOOGLETRANSLATE(B46,""zh-tw"",""zh"")"),"魔抗：10
幸运：10
第二天晴天")</f>
        <v>魔抗：10
幸运：10
第二天晴天</v>
      </c>
      <c r="I46" s="313" t="s">
        <v>6652</v>
      </c>
      <c r="J46" s="142" t="str">
        <f>IFERROR(__xludf.DUMMYFUNCTION("GOOGLETRANSLATE(B46,""zh-tw"",""es-MX"")"),"Resistencia mágica: 10
Suerte: 10
Día soleado al día siguiente")</f>
        <v>Resistencia mágica: 10
Suerte: 10
Día soleado al día siguiente</v>
      </c>
      <c r="K46" s="313" t="s">
        <v>6654</v>
      </c>
      <c r="L46" s="136" t="s">
        <v>6655</v>
      </c>
      <c r="M46" s="316" t="str">
        <f>IFERROR(__xludf.DUMMYFUNCTION("GOOGLETRANSLATE(A46,""zh-tw"",""ru"")"),"Солнечная кукла")</f>
        <v>Солнечная кукла</v>
      </c>
      <c r="N46" s="317" t="str">
        <f>IFERROR(__xludf.DUMMYFUNCTION("GOOGLETRANSLATE(B46,""zh-tw"",""ru"")"),"Сопротивление магии: 10
Удача: 10
Следующий день: солнечно")</f>
        <v>Сопротивление магии: 10
Удача: 10
Следующий день: солнечно</v>
      </c>
      <c r="O46" s="314" t="s">
        <v>6656</v>
      </c>
      <c r="P46" s="315" t="s">
        <v>6657</v>
      </c>
      <c r="Q46" s="338" t="s">
        <v>6658</v>
      </c>
      <c r="R46" s="319" t="s">
        <v>6659</v>
      </c>
      <c r="S46" s="320" t="s">
        <v>6660</v>
      </c>
      <c r="T46" s="142" t="s">
        <v>6661</v>
      </c>
      <c r="U46" s="30"/>
      <c r="V46" s="30"/>
      <c r="W46" s="30"/>
      <c r="X46" s="30"/>
      <c r="Y46" s="30"/>
      <c r="Z46" s="30"/>
    </row>
    <row r="47">
      <c r="A47" s="314" t="s">
        <v>6662</v>
      </c>
      <c r="B47" s="315" t="s">
        <v>6663</v>
      </c>
      <c r="C47" s="313" t="s">
        <v>6664</v>
      </c>
      <c r="D47" s="136" t="s">
        <v>6665</v>
      </c>
      <c r="E47" s="313" t="s">
        <v>6666</v>
      </c>
      <c r="F47" s="136" t="s">
        <v>6667</v>
      </c>
      <c r="G47" s="320" t="str">
        <f>IFERROR(__xludf.DUMMYFUNCTION("GOOGLETRANSLATE(A47,""zh-tw"",""zh"")"),"阴天娃娃")</f>
        <v>阴天娃娃</v>
      </c>
      <c r="H47" s="142" t="str">
        <f>IFERROR(__xludf.DUMMYFUNCTION("GOOGLETRANSLATE(B47,""zh-tw"",""zh"")"),"魔抗：10
幸运：10
第二天阴天")</f>
        <v>魔抗：10
幸运：10
第二天阴天</v>
      </c>
      <c r="I47" s="313" t="s">
        <v>6666</v>
      </c>
      <c r="J47" s="142" t="str">
        <f>IFERROR(__xludf.DUMMYFUNCTION("GOOGLETRANSLATE(B47,""zh-tw"",""es-MX"")"),"Resistencia Mágica: 10
Suerte: 10
El segundo día estuvo nublado.")</f>
        <v>Resistencia Mágica: 10
Suerte: 10
El segundo día estuvo nublado.</v>
      </c>
      <c r="K47" s="314" t="s">
        <v>6668</v>
      </c>
      <c r="L47" s="136" t="s">
        <v>6669</v>
      </c>
      <c r="M47" s="316" t="str">
        <f>IFERROR(__xludf.DUMMYFUNCTION("GOOGLETRANSLATE(A47,""zh-tw"",""ru"")"),"Облачная кукла")</f>
        <v>Облачная кукла</v>
      </c>
      <c r="N47" s="317" t="str">
        <f>IFERROR(__xludf.DUMMYFUNCTION("GOOGLETRANSLATE(B47,""zh-tw"",""ru"")"),"Сопротивление магии: 10
Удача: 10
Второй день был облачным.")</f>
        <v>Сопротивление магии: 10
Удача: 10
Второй день был облачным.</v>
      </c>
      <c r="O47" s="314" t="s">
        <v>6670</v>
      </c>
      <c r="P47" s="315" t="s">
        <v>6671</v>
      </c>
      <c r="Q47" s="338" t="s">
        <v>6672</v>
      </c>
      <c r="R47" s="319" t="s">
        <v>6673</v>
      </c>
      <c r="S47" s="320" t="s">
        <v>6674</v>
      </c>
      <c r="T47" s="142" t="s">
        <v>6675</v>
      </c>
      <c r="U47" s="30"/>
      <c r="V47" s="30"/>
      <c r="W47" s="30"/>
      <c r="X47" s="30"/>
      <c r="Y47" s="30"/>
      <c r="Z47" s="30"/>
    </row>
    <row r="48">
      <c r="A48" s="314" t="s">
        <v>6676</v>
      </c>
      <c r="B48" s="315" t="s">
        <v>6677</v>
      </c>
      <c r="C48" s="313" t="s">
        <v>6678</v>
      </c>
      <c r="D48" s="136" t="s">
        <v>6679</v>
      </c>
      <c r="E48" s="313" t="s">
        <v>6680</v>
      </c>
      <c r="F48" s="136" t="s">
        <v>6681</v>
      </c>
      <c r="G48" s="320" t="str">
        <f>IFERROR(__xludf.DUMMYFUNCTION("GOOGLETRANSLATE(A48,""zh-tw"",""zh"")"),"雨天娃娃")</f>
        <v>雨天娃娃</v>
      </c>
      <c r="H48" s="142" t="str">
        <f>IFERROR(__xludf.DUMMYFUNCTION("GOOGLETRANSLATE(B48,""zh-tw"",""zh"")"),"魔抗：10
幸运：10
第二天雨天")</f>
        <v>魔抗：10
幸运：10
第二天雨天</v>
      </c>
      <c r="I48" s="313" t="s">
        <v>6680</v>
      </c>
      <c r="J48" s="142" t="str">
        <f>IFERROR(__xludf.DUMMYFUNCTION("GOOGLETRANSLATE(B48,""zh-tw"",""es-MX"")"),"Resistencia Mágica: 10
Suerte: 10
El día siguiente llovió.")</f>
        <v>Resistencia Mágica: 10
Suerte: 10
El día siguiente llovió.</v>
      </c>
      <c r="K48" s="313" t="s">
        <v>6682</v>
      </c>
      <c r="L48" s="136" t="s">
        <v>6683</v>
      </c>
      <c r="M48" s="316" t="str">
        <f>IFERROR(__xludf.DUMMYFUNCTION("GOOGLETRANSLATE(A48,""zh-tw"",""ru"")"),"Кукла Дождливый День")</f>
        <v>Кукла Дождливый День</v>
      </c>
      <c r="N48" s="317"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14" t="s">
        <v>6684</v>
      </c>
      <c r="P48" s="315" t="s">
        <v>6685</v>
      </c>
      <c r="Q48" s="338" t="s">
        <v>6686</v>
      </c>
      <c r="R48" s="319" t="s">
        <v>6687</v>
      </c>
      <c r="S48" s="320" t="s">
        <v>6688</v>
      </c>
      <c r="T48" s="142" t="s">
        <v>6689</v>
      </c>
      <c r="U48" s="30"/>
      <c r="V48" s="30"/>
      <c r="W48" s="30"/>
      <c r="X48" s="30"/>
      <c r="Y48" s="30"/>
      <c r="Z48" s="30"/>
    </row>
    <row r="49">
      <c r="A49" s="313" t="s">
        <v>6690</v>
      </c>
      <c r="B49" s="136" t="s">
        <v>6691</v>
      </c>
      <c r="C49" s="313" t="s">
        <v>6690</v>
      </c>
      <c r="D49" s="142" t="str">
        <f>IFERROR(__xludf.DUMMYFUNCTION("GOOGLETRANSLATE(B49,""zh-tw"",""ja"")"),"物理防御力：1
魔法耐性：10
幸運：5
最大HPを増加")</f>
        <v>物理防御力：1
魔法耐性：10
幸運：5
最大HPを増加</v>
      </c>
      <c r="E49" s="313" t="s">
        <v>6692</v>
      </c>
      <c r="F49" s="136" t="s">
        <v>6693</v>
      </c>
      <c r="G49" s="320" t="str">
        <f>IFERROR(__xludf.DUMMYFUNCTION("GOOGLETRANSLATE(A49,""zh-tw"",""zh"")"),"芳草心")</f>
        <v>芳草心</v>
      </c>
      <c r="H49" s="142" t="str">
        <f>IFERROR(__xludf.DUMMYFUNCTION("GOOGLETRANSLATE(B49,""zh-tw"",""zh"")"),"物防：1
魔抗：10
幸运：5
提升最大体力")</f>
        <v>物防：1
魔抗：10
幸运：5
提升最大体力</v>
      </c>
      <c r="I49" s="320" t="str">
        <f>IFERROR(__xludf.DUMMYFUNCTION("GOOGLETRANSLATE(A49,""zh-tw"",""es-MX"")"),"Corazón de hierba fragante")</f>
        <v>Corazón de hierba fragante</v>
      </c>
      <c r="J49" s="142" t="str">
        <f>IFERROR(__xludf.DUMMYFUNCTION("GOOGLETRANSLATE(B49,""zh-tw"",""es-MX"")"),"Defensa física: 1
Resistencia mágica: 10
Suerte: 5
Aumenta los PS máximos")</f>
        <v>Defensa física: 1
Resistencia mágica: 10
Suerte: 5
Aumenta los PS máximos</v>
      </c>
      <c r="K49" s="313" t="s">
        <v>6694</v>
      </c>
      <c r="L49" s="136" t="s">
        <v>6695</v>
      </c>
      <c r="M49" s="316" t="str">
        <f>IFERROR(__xludf.DUMMYFUNCTION("GOOGLETRANSLATE(A49,""zh-tw"",""ru"")"),"Сердце ароматной травы")</f>
        <v>Сердце ароматной травы</v>
      </c>
      <c r="N49" s="317"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14" t="s">
        <v>6696</v>
      </c>
      <c r="P49" s="315" t="s">
        <v>6697</v>
      </c>
      <c r="Q49" s="334" t="s">
        <v>6698</v>
      </c>
      <c r="R49" s="319" t="s">
        <v>6699</v>
      </c>
      <c r="S49" s="320" t="s">
        <v>6700</v>
      </c>
      <c r="T49" s="142" t="s">
        <v>6701</v>
      </c>
      <c r="U49" s="30"/>
      <c r="V49" s="30"/>
      <c r="W49" s="30"/>
      <c r="X49" s="30"/>
      <c r="Y49" s="30"/>
      <c r="Z49" s="30"/>
    </row>
    <row r="50">
      <c r="A50" s="313" t="s">
        <v>5249</v>
      </c>
      <c r="B50" s="136" t="s">
        <v>6702</v>
      </c>
      <c r="C50" s="313" t="s">
        <v>5251</v>
      </c>
      <c r="D50" s="142" t="str">
        <f>IFERROR(__xludf.DUMMYFUNCTION("GOOGLETRANSLATE(B50,""zh-tw"",""ja"")"),"魔法耐性: 30 回復不能、7秒間無敵")</f>
        <v>魔法耐性: 30 回復不能、7秒間無敵</v>
      </c>
      <c r="E50" s="313" t="s">
        <v>5253</v>
      </c>
      <c r="F50" s="136" t="s">
        <v>6703</v>
      </c>
      <c r="G50" s="320" t="str">
        <f>IFERROR(__xludf.DUMMYFUNCTION("GOOGLETRANSLATE(A50,""zh-tw"",""zh"")"),"稻草人的心")</f>
        <v>稻草人的心</v>
      </c>
      <c r="H50" s="142" t="str">
        <f>IFERROR(__xludf.DUMMYFUNCTION("GOOGLETRANSLATE(B50,""zh-tw"",""zh"")"),"魔抗：30
无法回复、免死7秒")</f>
        <v>魔抗：30
无法回复、免死7秒</v>
      </c>
      <c r="I50" s="320" t="str">
        <f>IFERROR(__xludf.DUMMYFUNCTION("GOOGLETRANSLATE(A50,""zh-tw"",""es-MX"")"),"El corazón del espantapájaros")</f>
        <v>El corazón del espantapájaros</v>
      </c>
      <c r="J50" s="142" t="str">
        <f>IFERROR(__xludf.DUMMYFUNCTION("GOOGLETRANSLATE(B50,""zh-tw"",""es-MX"")"),"Resistencia mágica: 30 Incapaz de recuperarse, invulnerable durante 7 segundos")</f>
        <v>Resistencia mágica: 30 Incapaz de recuperarse, invulnerable durante 7 segundos</v>
      </c>
      <c r="K50" s="313" t="s">
        <v>5255</v>
      </c>
      <c r="L50" s="136" t="s">
        <v>6704</v>
      </c>
      <c r="M50" s="316" t="str">
        <f>IFERROR(__xludf.DUMMYFUNCTION("GOOGLETRANSLATE(A50,""zh-tw"",""ru"")"),"Сердце пугала")</f>
        <v>Сердце пугала</v>
      </c>
      <c r="N50" s="317"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14" t="s">
        <v>5257</v>
      </c>
      <c r="P50" s="315" t="s">
        <v>6705</v>
      </c>
      <c r="Q50" s="334" t="s">
        <v>5259</v>
      </c>
      <c r="R50" s="322" t="s">
        <v>6706</v>
      </c>
      <c r="S50" s="320" t="s">
        <v>5261</v>
      </c>
      <c r="T50" s="142" t="s">
        <v>6707</v>
      </c>
      <c r="U50" s="30"/>
      <c r="V50" s="30"/>
      <c r="W50" s="30"/>
      <c r="X50" s="30"/>
      <c r="Y50" s="30"/>
      <c r="Z50" s="30"/>
    </row>
    <row r="51">
      <c r="A51" s="313" t="s">
        <v>6708</v>
      </c>
      <c r="B51" s="136" t="s">
        <v>6709</v>
      </c>
      <c r="C51" s="320" t="str">
        <f>IFERROR(__xludf.DUMMYFUNCTION("GOOGLETRANSLATE(A51,""zh-tw"",""ja"")"),"貯金箱")</f>
        <v>貯金箱</v>
      </c>
      <c r="D51" s="142" t="str">
        <f>IFERROR(__xludf.DUMMYFUNCTION("GOOGLETRANSLATE(B51,""zh-tw"",""ja"")"),"幸運: 40 お金を見つける (100万で進化)、壊れやすい")</f>
        <v>幸運: 40 お金を見つける (100万で進化)、壊れやすい</v>
      </c>
      <c r="E51" s="313" t="s">
        <v>6710</v>
      </c>
      <c r="F51" s="136" t="s">
        <v>6711</v>
      </c>
      <c r="G51" s="320" t="str">
        <f>IFERROR(__xludf.DUMMYFUNCTION("GOOGLETRANSLATE(A51,""zh-tw"",""zh"")"),"猪猪存钱罐")</f>
        <v>猪猪存钱罐</v>
      </c>
      <c r="H51" s="142" t="str">
        <f>IFERROR(__xludf.DUMMYFUNCTION("GOOGLETRANSLATE(B51,""zh-tw"",""zh"")"),"幸运：40
捡钱(100万进化)、易碎")</f>
        <v>幸运：40
捡钱(100万进化)、易碎</v>
      </c>
      <c r="I51" s="320" t="str">
        <f>IFERROR(__xludf.DUMMYFUNCTION("GOOGLETRANSLATE(A51,""zh-tw"",""es-MX"")"),"Hucha")</f>
        <v>Hucha</v>
      </c>
      <c r="J51" s="142" t="str">
        <f>IFERROR(__xludf.DUMMYFUNCTION("GOOGLETRANSLATE(B51,""zh-tw"",""es-MX"")"),"Suerte: 40 Encontrar Dinero (Evolucionar con 1 Millón), Frágil")</f>
        <v>Suerte: 40 Encontrar Dinero (Evolucionar con 1 Millón), Frágil</v>
      </c>
      <c r="K51" s="320" t="str">
        <f>IFERROR(__xludf.DUMMYFUNCTION("GOOGLETRANSLATE(A51,""zh-tw"",""KO"")"),"돼지 저금통")</f>
        <v>돼지 저금통</v>
      </c>
      <c r="L51" s="136" t="s">
        <v>6712</v>
      </c>
      <c r="M51" s="316" t="str">
        <f>IFERROR(__xludf.DUMMYFUNCTION("GOOGLETRANSLATE(A51,""zh-tw"",""ru"")"),"Копилка")</f>
        <v>Копилка</v>
      </c>
      <c r="N51" s="317" t="str">
        <f>IFERROR(__xludf.DUMMYFUNCTION("GOOGLETRANSLATE(B51,""zh-tw"",""ru"")"),"Удача: 40 Найти деньги (Эволюция с 1 миллионом), Хрупкий")</f>
        <v>Удача: 40 Найти деньги (Эволюция с 1 миллионом), Хрупкий</v>
      </c>
      <c r="O51" s="314" t="s">
        <v>6713</v>
      </c>
      <c r="P51" s="315" t="s">
        <v>6714</v>
      </c>
      <c r="Q51" s="334" t="s">
        <v>6715</v>
      </c>
      <c r="R51" s="319" t="s">
        <v>6716</v>
      </c>
      <c r="S51" s="320" t="s">
        <v>6717</v>
      </c>
      <c r="T51" s="142" t="s">
        <v>6718</v>
      </c>
      <c r="U51" s="30"/>
      <c r="V51" s="30"/>
      <c r="W51" s="30"/>
      <c r="X51" s="30"/>
      <c r="Y51" s="30"/>
      <c r="Z51" s="30"/>
    </row>
    <row r="52">
      <c r="A52" s="313" t="s">
        <v>6719</v>
      </c>
      <c r="B52" s="136" t="s">
        <v>6720</v>
      </c>
      <c r="C52" s="320" t="str">
        <f>IFERROR(__xludf.DUMMYFUNCTION("GOOGLETRANSLATE(A52,""zh-tw"",""ja"")"),"貪欲な貯金箱")</f>
        <v>貪欲な貯金箱</v>
      </c>
      <c r="D52" s="142" t="str">
        <f>IFERROR(__xludf.DUMMYFUNCTION("GOOGLETRANSLATE(B52,""zh-tw"",""ja"")"),"幸運：100（幸運ステータスには、金策、マモンオーラ、無敵、移動速度上昇などが含まれます）
")</f>
        <v>幸運：100（幸運ステータスには、金策、マモンオーラ、無敵、移動速度上昇などが含まれます）
</v>
      </c>
      <c r="E52" s="313" t="s">
        <v>6721</v>
      </c>
      <c r="F52" s="142" t="str">
        <f>IFERROR(__xludf.DUMMYFUNCTION("GOOGLETRANSLATE(B52,""zh-tw"",""en"")"),"Luck: 100 (Lucky stats include: finding money, Mammon aura, indestructible, increased movement speed)
")</f>
        <v>Luck: 100 (Lucky stats include: finding money, Mammon aura, indestructible, increased movement speed)
</v>
      </c>
      <c r="G52" s="320" t="str">
        <f>IFERROR(__xludf.DUMMYFUNCTION("GOOGLETRANSLATE(A52,""zh-tw"",""zh"")"),"贪欲存钱罐")</f>
        <v>贪欲存钱罐</v>
      </c>
      <c r="H52" s="142" t="str">
        <f>IFERROR(__xludf.DUMMYFUNCTION("GOOGLETRANSLATE(B52,""zh-tw"",""zh"")"),"幸运：100
捡钱、玛门光环、坚不可摧、移动加快
")</f>
        <v>幸运：100
捡钱、玛门光环、坚不可摧、移动加快
</v>
      </c>
      <c r="I52" s="320" t="str">
        <f>IFERROR(__xludf.DUMMYFUNCTION("GOOGLETRANSLATE(A52,""zh-tw"",""es-MX"")"),"Alcancía codiciosa")</f>
        <v>Alcancía codiciosa</v>
      </c>
      <c r="J52" s="142" t="str">
        <f>IFERROR(__xludf.DUMMYFUNCTION("GOOGLETRANSLATE(B52,""zh-tw"",""es-MX"")"),"Suerte: 100 (Estadísticas de suerte: encontrar dinero, aura de Mammon, indestructibilidad y mayor velocidad de movimiento)
")</f>
        <v>Suerte: 100 (Estadísticas de suerte: encontrar dinero, aura de Mammon, indestructibilidad y mayor velocidad de movimiento)
</v>
      </c>
      <c r="K52" s="320" t="str">
        <f>IFERROR(__xludf.DUMMYFUNCTION("GOOGLETRANSLATE(A52,""zh-tw"",""KO"")"),"탐욕스러운 돼지 저금통")</f>
        <v>탐욕스러운 돼지 저금통</v>
      </c>
      <c r="L52" s="136" t="s">
        <v>6722</v>
      </c>
      <c r="M52" s="316" t="str">
        <f>IFERROR(__xludf.DUMMYFUNCTION("GOOGLETRANSLATE(A52,""zh-tw"",""ru"")"),"Жадная копилка")</f>
        <v>Жадная копилка</v>
      </c>
      <c r="N52" s="317" t="str">
        <f>IFERROR(__xludf.DUMMYFUNCTION("GOOGLETRANSLATE(B52,""zh-tw"",""ru"")"),"Удача: 100 (к удаче относятся: поиск денег, аура Маммона, неуязвимость, повышенная скорость передвижения)
")</f>
        <v>Удача: 100 (к удаче относятся: поиск денег, аура Маммона, неуязвимость, повышенная скорость передвижения)
</v>
      </c>
      <c r="O52" s="314" t="s">
        <v>6723</v>
      </c>
      <c r="P52" s="315" t="s">
        <v>6724</v>
      </c>
      <c r="Q52" s="334" t="s">
        <v>6725</v>
      </c>
      <c r="R52" s="322" t="s">
        <v>6726</v>
      </c>
      <c r="S52" s="320" t="s">
        <v>6727</v>
      </c>
      <c r="T52" s="136" t="s">
        <v>6728</v>
      </c>
      <c r="U52" s="30"/>
      <c r="V52" s="30"/>
      <c r="W52" s="30"/>
      <c r="X52" s="30"/>
      <c r="Y52" s="30"/>
      <c r="Z52" s="30"/>
    </row>
    <row r="53">
      <c r="A53" s="313" t="s">
        <v>6729</v>
      </c>
      <c r="B53" s="136" t="s">
        <v>6730</v>
      </c>
      <c r="C53" s="313" t="s">
        <v>6731</v>
      </c>
      <c r="D53" s="142"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13" t="s">
        <v>6732</v>
      </c>
      <c r="F53" s="136" t="s">
        <v>6733</v>
      </c>
      <c r="G53" s="320" t="str">
        <f>IFERROR(__xludf.DUMMYFUNCTION("GOOGLETRANSLATE(A53,""zh-tw"",""zh"")"),"王权之令")</f>
        <v>王权之令</v>
      </c>
      <c r="H53" s="142"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20" t="str">
        <f>IFERROR(__xludf.DUMMYFUNCTION("GOOGLETRANSLATE(A53,""zh-tw"",""es-MX"")"),"Real Decreto")</f>
        <v>Real Decreto</v>
      </c>
      <c r="J53" s="142" t="str">
        <f>IFERROR(__xludf.DUMMYFUNCTION("GOOGLETRANSLATE(B53,""zh-tw"",""es-MX"")"),"Aumenta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3" s="320" t="str">
        <f>IFERROR(__xludf.DUMMYFUNCTION("GOOGLETRANSLATE(A53,""zh-tw"",""KO"")"),"왕령")</f>
        <v>왕령</v>
      </c>
      <c r="L53" s="136" t="s">
        <v>6734</v>
      </c>
      <c r="M53" s="316" t="str">
        <f>IFERROR(__xludf.DUMMYFUNCTION("GOOGLETRANSLATE(A53,""zh-tw"",""ru"")"),"Королевский указ")</f>
        <v>Королевский указ</v>
      </c>
      <c r="N53" s="317"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"&amp;"действия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не"&amp;"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14" t="s">
        <v>6735</v>
      </c>
      <c r="P53" s="315" t="s">
        <v>6736</v>
      </c>
      <c r="Q53" s="334" t="s">
        <v>6737</v>
      </c>
      <c r="R53" s="335" t="s">
        <v>6738</v>
      </c>
      <c r="S53" s="320" t="s">
        <v>6739</v>
      </c>
      <c r="T53" s="142" t="s">
        <v>6740</v>
      </c>
      <c r="U53" s="30"/>
      <c r="V53" s="30"/>
      <c r="W53" s="30"/>
      <c r="X53" s="30"/>
      <c r="Y53" s="30"/>
      <c r="Z53" s="30"/>
    </row>
    <row r="54">
      <c r="A54" s="313" t="s">
        <v>6741</v>
      </c>
      <c r="B54" s="136" t="s">
        <v>6742</v>
      </c>
      <c r="C54" s="313" t="s">
        <v>6743</v>
      </c>
      <c r="D54" s="136" t="s">
        <v>6744</v>
      </c>
      <c r="E54" s="313" t="s">
        <v>6745</v>
      </c>
      <c r="F54" s="136" t="s">
        <v>6746</v>
      </c>
      <c r="G54" s="320" t="str">
        <f>IFERROR(__xludf.DUMMYFUNCTION("GOOGLETRANSLATE(A54,""zh-tw"",""zh"")"),"猫猫玩偶服")</f>
        <v>猫猫玩偶服</v>
      </c>
      <c r="H54" s="142" t="str">
        <f>IFERROR(__xludf.DUMMYFUNCTION("GOOGLETRANSLATE(B54,""zh-tw"",""zh"")"),"物防：3
魔抗：25
武器数量+10
装备数量+20")</f>
        <v>物防：3
魔抗：25
武器数量+10
装备数量+20</v>
      </c>
      <c r="I54" s="313" t="s">
        <v>6747</v>
      </c>
      <c r="J54" s="142" t="str">
        <f>IFERROR(__xludf.DUMMYFUNCTION("GOOGLETRANSLATE(B54,""zh-tw"",""es-MX"")"),"Defensa física: 3
Resistencia mágica: 25
Cantidad de armas +10
Cantidad de equipo +20")</f>
        <v>Defensa física: 3
Resistencia mágica: 25
Cantidad de armas +10
Cantidad de equipo +20</v>
      </c>
      <c r="K54" s="320" t="str">
        <f>IFERROR(__xludf.DUMMYFUNCTION("GOOGLETRANSLATE(A54,""zh-tw"",""KO"")"),"고양이 의상")</f>
        <v>고양이 의상</v>
      </c>
      <c r="L54" s="136" t="s">
        <v>6748</v>
      </c>
      <c r="M54" s="316" t="str">
        <f>IFERROR(__xludf.DUMMYFUNCTION("GOOGLETRANSLATE(A54,""zh-tw"",""ru"")"),"Костюм кошки")</f>
        <v>Костюм кошки</v>
      </c>
      <c r="N54" s="317"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14" t="s">
        <v>6749</v>
      </c>
      <c r="P54" s="315" t="s">
        <v>6750</v>
      </c>
      <c r="Q54" s="334" t="s">
        <v>6751</v>
      </c>
      <c r="R54" s="322" t="s">
        <v>6752</v>
      </c>
      <c r="S54" s="320" t="s">
        <v>6753</v>
      </c>
      <c r="T54" s="142" t="s">
        <v>6754</v>
      </c>
      <c r="U54" s="30"/>
      <c r="V54" s="30"/>
      <c r="W54" s="30"/>
      <c r="X54" s="30"/>
      <c r="Y54" s="30"/>
      <c r="Z54" s="30"/>
    </row>
    <row r="55">
      <c r="A55" s="313" t="s">
        <v>6755</v>
      </c>
      <c r="B55" s="136" t="s">
        <v>6756</v>
      </c>
      <c r="C55" s="320" t="str">
        <f>IFERROR(__xludf.DUMMYFUNCTION("GOOGLETRANSLATE(A55,""zh-tw"",""ja"")"),"溶岩リング")</f>
        <v>溶岩リング</v>
      </c>
      <c r="D55" s="142" t="str">
        <f>IFERROR(__xludf.DUMMYFUNCTION("GOOGLETRANSLATE(B55,""zh-tw"",""ja"")"),"物理防御：2
魔法攻撃：15
魔法耐性：60
凍結と燃焼の可能性を軽減します。")</f>
        <v>物理防御：2
魔法攻撃：15
魔法耐性：60
凍結と燃焼の可能性を軽減します。</v>
      </c>
      <c r="E55" s="313" t="s">
        <v>6757</v>
      </c>
      <c r="F55" s="136" t="s">
        <v>6758</v>
      </c>
      <c r="G55" s="320" t="str">
        <f>IFERROR(__xludf.DUMMYFUNCTION("GOOGLETRANSLATE(A55,""zh-tw"",""zh"")"),"熔岩戒指")</f>
        <v>熔岩戒指</v>
      </c>
      <c r="H55" s="142" t="str">
        <f>IFERROR(__xludf.DUMMYFUNCTION("GOOGLETRANSLATE(B55,""zh-tw"",""zh"")"),"物防：2
魔功：15
魔抗：60
降低结冰、炎上的机率")</f>
        <v>物防：2
魔功：15
魔抗：60
降低结冰、炎上的机率</v>
      </c>
      <c r="I55" s="320" t="str">
        <f>IFERROR(__xludf.DUMMYFUNCTION("GOOGLETRANSLATE(A55,""zh-tw"",""es-MX"")"),"Anillo de lava")</f>
        <v>Anillo de lava</v>
      </c>
      <c r="J55" s="142"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13" t="s">
        <v>5536</v>
      </c>
      <c r="L55" s="136" t="s">
        <v>6759</v>
      </c>
      <c r="M55" s="316" t="str">
        <f>IFERROR(__xludf.DUMMYFUNCTION("GOOGLETRANSLATE(A55,""zh-tw"",""ru"")"),"Кольцо лавы")</f>
        <v>Кольцо лавы</v>
      </c>
      <c r="N55" s="317"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14" t="s">
        <v>5538</v>
      </c>
      <c r="P55" s="315" t="s">
        <v>6760</v>
      </c>
      <c r="Q55" s="334" t="s">
        <v>6761</v>
      </c>
      <c r="R55" s="319" t="s">
        <v>6762</v>
      </c>
      <c r="S55" s="320" t="s">
        <v>6763</v>
      </c>
      <c r="T55" s="142" t="s">
        <v>6764</v>
      </c>
      <c r="U55" s="30"/>
      <c r="V55" s="30"/>
      <c r="W55" s="30"/>
      <c r="X55" s="30"/>
      <c r="Y55" s="30"/>
      <c r="Z55" s="30"/>
    </row>
    <row r="56">
      <c r="A56" s="313" t="s">
        <v>6765</v>
      </c>
      <c r="B56" s="315" t="s">
        <v>6766</v>
      </c>
      <c r="C56" s="313" t="s">
        <v>6767</v>
      </c>
      <c r="D56" s="136" t="s">
        <v>6768</v>
      </c>
      <c r="E56" s="313" t="s">
        <v>6769</v>
      </c>
      <c r="F56" s="136" t="s">
        <v>6770</v>
      </c>
      <c r="G56" s="320" t="str">
        <f>IFERROR(__xludf.DUMMYFUNCTION("GOOGLETRANSLATE(A56,""zh-tw"",""zh"")"),"炎天娃娃")</f>
        <v>炎天娃娃</v>
      </c>
      <c r="H56" s="142" t="str">
        <f>IFERROR(__xludf.DUMMYFUNCTION("GOOGLETRANSLATE(B56,""zh-tw"",""zh"")"),"魔抗：10
幸运：10
第二天炎热")</f>
        <v>魔抗：10
幸运：10
第二天炎热</v>
      </c>
      <c r="I56" s="313" t="s">
        <v>6769</v>
      </c>
      <c r="J56" s="142" t="str">
        <f>IFERROR(__xludf.DUMMYFUNCTION("GOOGLETRANSLATE(B56,""zh-tw"",""es-MX"")"),"Resistencia Mágica: 10
Suerte: 10
El día siguiente fue caluroso.")</f>
        <v>Resistencia Mágica: 10
Suerte: 10
El día siguiente fue caluroso.</v>
      </c>
      <c r="K56" s="320" t="str">
        <f>IFERROR(__xludf.DUMMYFUNCTION("GOOGLETRANSLATE(A56,""zh-tw"",""KO"")"),"불꽃 인형")</f>
        <v>불꽃 인형</v>
      </c>
      <c r="L56" s="142" t="str">
        <f>IFERROR(__xludf.DUMMYFUNCTION("GOOGLETRANSLATE(B56,""zh-tw"",""KO"")"),"마법 저항력: 10
행운: 10
다음 날은 더웠다.")</f>
        <v>마법 저항력: 10
행운: 10
다음 날은 더웠다.</v>
      </c>
      <c r="M56" s="316" t="str">
        <f>IFERROR(__xludf.DUMMYFUNCTION("GOOGLETRANSLATE(A56,""zh-tw"",""ru"")"),"Кукла Пламени")</f>
        <v>Кукла Пламени</v>
      </c>
      <c r="N56" s="317"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14" t="s">
        <v>6771</v>
      </c>
      <c r="P56" s="315" t="s">
        <v>6772</v>
      </c>
      <c r="Q56" s="338" t="s">
        <v>6773</v>
      </c>
      <c r="R56" s="319" t="s">
        <v>6774</v>
      </c>
      <c r="S56" s="320" t="s">
        <v>6775</v>
      </c>
      <c r="T56" s="142" t="s">
        <v>6776</v>
      </c>
      <c r="U56" s="30"/>
      <c r="V56" s="30"/>
      <c r="W56" s="30"/>
      <c r="X56" s="30"/>
      <c r="Y56" s="30"/>
      <c r="Z56" s="30"/>
    </row>
    <row r="57">
      <c r="A57" s="313" t="s">
        <v>6777</v>
      </c>
      <c r="B57" s="136" t="s">
        <v>6778</v>
      </c>
      <c r="C57" s="313" t="s">
        <v>6779</v>
      </c>
      <c r="D57" s="142"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v>
      </c>
      <c r="E57" s="313" t="s">
        <v>6780</v>
      </c>
      <c r="F57" s="136" t="s">
        <v>6781</v>
      </c>
      <c r="G57" s="320" t="str">
        <f>IFERROR(__xludf.DUMMYFUNCTION("GOOGLETRANSLATE(A57,""zh-tw"",""zh"")"),"破颜拳套")</f>
        <v>破颜拳套</v>
      </c>
      <c r="H57" s="142"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13" t="s">
        <v>6782</v>
      </c>
      <c r="J57" s="136" t="s">
        <v>6783</v>
      </c>
      <c r="K57" s="320" t="str">
        <f>IFERROR(__xludf.DUMMYFUNCTION("GOOGLETRANSLATE(A57,""zh-tw"",""KO"")"),"얼굴을 부수는 장갑")</f>
        <v>얼굴을 부수는 장갑</v>
      </c>
      <c r="L57" s="142"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16" t="str">
        <f>IFERROR(__xludf.DUMMYFUNCTION("GOOGLETRANSLATE(A57,""zh-tw"",""ru"")"),"Перчатки, ломающие лицо")</f>
        <v>Перчатки, ломающие лицо</v>
      </c>
      <c r="N57" s="317"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14" t="s">
        <v>6784</v>
      </c>
      <c r="P57" s="315" t="s">
        <v>6785</v>
      </c>
      <c r="Q57" s="334" t="s">
        <v>6786</v>
      </c>
      <c r="R57" s="322" t="s">
        <v>6787</v>
      </c>
      <c r="S57" s="320" t="s">
        <v>6788</v>
      </c>
      <c r="T57" s="142" t="s">
        <v>6789</v>
      </c>
      <c r="U57" s="30"/>
      <c r="V57" s="30"/>
      <c r="W57" s="30"/>
      <c r="X57" s="30"/>
      <c r="Y57" s="30"/>
      <c r="Z57" s="30"/>
    </row>
    <row r="58">
      <c r="A58" s="320" t="s">
        <v>6790</v>
      </c>
      <c r="B58" s="142" t="s">
        <v>6791</v>
      </c>
      <c r="C58" s="313" t="s">
        <v>6792</v>
      </c>
      <c r="D58" s="142" t="s">
        <v>6793</v>
      </c>
      <c r="E58" s="320" t="s">
        <v>6794</v>
      </c>
      <c r="F58" s="142" t="s">
        <v>6795</v>
      </c>
      <c r="G58" s="320" t="str">
        <f>IFERROR(__xludf.DUMMYFUNCTION("GOOGLETRANSLATE(A58,""zh-tw"",""zh"")"),"红髓玉吊坠")</f>
        <v>红髓玉吊坠</v>
      </c>
      <c r="H58" s="142"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20" t="str">
        <f>IFERROR(__xludf.DUMMYFUNCTION("GOOGLETRANSLATE(A58,""zh-tw"",""es-MX"")"),"Colgante de cornalina roja")</f>
        <v>Colgante de cornalina roja</v>
      </c>
      <c r="J58" s="142" t="str">
        <f>IFERROR(__xludf.DUMMYFUNCTION("GOOGLETRANSLATE(B58,""zh-tw"",""es-MX"")"),"Ataque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pueden acumular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pueden acumular varias piezas de equipo.</v>
      </c>
      <c r="K58" s="320" t="str">
        <f>IFERROR(__xludf.DUMMYFUNCTION("GOOGLETRANSLATE(A58,""zh-tw"",""KO"")"),"붉은 홍옥수 펜던트")</f>
        <v>붉은 홍옥수 펜던트</v>
      </c>
      <c r="L58" s="142"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 능력은 ""고유"" 효과입니다.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 능력은 "고유" 효과입니다. 여러 장비를 장착해도 효과가 중첩되지 않습니다.</v>
      </c>
      <c r="M58" s="316" t="str">
        <f>IFERROR(__xludf.DUMMYFUNCTION("GOOGLETRANSLATE(A58,""zh-tw"",""ru"")"),"Кулон из красного сердолика")</f>
        <v>Кулон из красного сердолика</v>
      </c>
      <c r="N58" s="317"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снаря"&amp;"жения — «уникальный» эффект; эффект от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снаряжения — «уникальный» эффект; эффект от нескольких предметов снаряжения не суммируется.</v>
      </c>
      <c r="O58" s="313" t="s">
        <v>6794</v>
      </c>
      <c r="P58" s="136" t="s">
        <v>6796</v>
      </c>
      <c r="Q58" s="339" t="s">
        <v>6797</v>
      </c>
      <c r="R58" s="340" t="s">
        <v>6798</v>
      </c>
      <c r="S58" s="320" t="s">
        <v>6799</v>
      </c>
      <c r="T58" s="142" t="s">
        <v>6800</v>
      </c>
      <c r="U58" s="30"/>
      <c r="V58" s="30"/>
      <c r="W58" s="30"/>
      <c r="X58" s="30"/>
      <c r="Y58" s="30"/>
      <c r="Z58" s="30"/>
    </row>
    <row r="59">
      <c r="A59" s="320" t="s">
        <v>6801</v>
      </c>
      <c r="B59" s="142" t="s">
        <v>6802</v>
      </c>
      <c r="C59" s="313" t="s">
        <v>6803</v>
      </c>
      <c r="D59" s="142" t="s">
        <v>6804</v>
      </c>
      <c r="E59" s="320" t="s">
        <v>6805</v>
      </c>
      <c r="F59" s="136" t="s">
        <v>6806</v>
      </c>
      <c r="G59" s="320" t="str">
        <f>IFERROR(__xludf.DUMMYFUNCTION("GOOGLETRANSLATE(A59,""zh-tw"",""zh"")"),"谢里斯的诅咒之手")</f>
        <v>谢里斯的诅咒之手</v>
      </c>
      <c r="H59" s="142"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20" t="str">
        <f>IFERROR(__xludf.DUMMYFUNCTION("GOOGLETRANSLATE(A59,""zh-tw"",""es-MX"")"),"La mano maldita de Sheris")</f>
        <v>La mano maldita de Sheris</v>
      </c>
      <c r="J59" s="142" t="str">
        <f>IFERROR(__xludf.DUMMYFUNCTION("GOOGLETRANSLATE(B59,""zh-tw"",""es-MX"")"),"Defensa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9" s="320" t="str">
        <f>IFERROR(__xludf.DUMMYFUNCTION("GOOGLETRANSLATE(A59,""zh-tw"",""KO"")"),"셰리스의 저주받은 손")</f>
        <v>셰리스의 저주받은 손</v>
      </c>
      <c r="L59" s="142" t="str">
        <f>IFERROR(__xludf.DUMMYFUNCTION("GOOGLETRANSLATE(B59,""zh-tw"",""KO"")"),"마법 방어력: 18 자동으로 서번트를 선회합니다. 대상에게 피해를 입힙니다. 도발, 격노 등의 디버프를 부여합니다.
(적의 방어력을 감소시키고, 적의 공격력을 증가시킵니다.)
(디버프는 아직 구현되지 않았습니다.)")</f>
        <v>마법 방어력: 18 자동으로 서번트를 선회합니다. 대상에게 피해를 입힙니다. 도발, 격노 등의 디버프를 부여합니다.
(적의 방어력을 감소시키고, 적의 공격력을 증가시킵니다.)
(디버프는 아직 구현되지 않았습니다.)</v>
      </c>
      <c r="M59" s="316" t="str">
        <f>IFERROR(__xludf.DUMMYFUNCTION("GOOGLETRANSLATE(A59,""zh-tw"",""ru"")"),"Проклятая рука Шерис")</f>
        <v>Проклятая рука Шерис</v>
      </c>
      <c r="N59" s="317" t="str">
        <f>IFERROR(__xludf.DUMMYFUNCTION("GOOGLETRANSLATE(B59,""zh-tw"",""ru"")"),"Защита от магии: 18. Автоматически вращается вокруг Слуги. Наносит урон цели. Накладывает ослабления: Провокация, Исступление.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Исступление.
(Снижает защиту противника, увеличивает атаку противника.)
(Ослабление пока не реализовано.)</v>
      </c>
      <c r="O59" s="313" t="s">
        <v>6807</v>
      </c>
      <c r="P59" s="136" t="s">
        <v>6808</v>
      </c>
      <c r="Q59" s="341" t="s">
        <v>6809</v>
      </c>
      <c r="R59" s="322" t="s">
        <v>6810</v>
      </c>
      <c r="S59" s="320" t="s">
        <v>6811</v>
      </c>
      <c r="T59" s="142" t="s">
        <v>6812</v>
      </c>
      <c r="U59" s="30"/>
      <c r="V59" s="30"/>
      <c r="W59" s="30"/>
      <c r="X59" s="30"/>
      <c r="Y59" s="30"/>
      <c r="Z59" s="30"/>
    </row>
    <row r="60">
      <c r="A60" s="320" t="s">
        <v>6813</v>
      </c>
      <c r="B60" s="142" t="s">
        <v>6814</v>
      </c>
      <c r="C60" s="313" t="s">
        <v>6815</v>
      </c>
      <c r="D60" s="136" t="s">
        <v>6816</v>
      </c>
      <c r="E60" s="313" t="s">
        <v>6817</v>
      </c>
      <c r="F60" s="136" t="s">
        <v>6818</v>
      </c>
      <c r="G60" s="320" t="str">
        <f>IFERROR(__xludf.DUMMYFUNCTION("GOOGLETRANSLATE(A60,""zh-tw"",""zh"")"),"爱神荡漾")</f>
        <v>爱神荡漾</v>
      </c>
      <c r="H60" s="142" t="str">
        <f>IFERROR(__xludf.DUMMYFUNCTION("GOOGLETRANSLATE(B60,""zh-tw"",""zh"")"),"大幅增加触摸时提升的好感度
(摸一次增加一颗好感)
※此为作弊神器，请参考TIPS")</f>
        <v>大幅增加触摸时提升的好感度
(摸一次增加一颗好感)
※此为作弊神器，请参考TIPS</v>
      </c>
      <c r="I60" s="320" t="str">
        <f>IFERROR(__xludf.DUMMYFUNCTION("GOOGLETRANSLATE(A60,""zh-tw"",""es-MX"")"),"La onda de Cupido")</f>
        <v>La onda de Cupido</v>
      </c>
      <c r="J60" s="142" t="str">
        <f>IFERROR(__xludf.DUMMYFUNCTION("GOOGLETRANSLATE(B60,""zh-tw"",""es-MX"")"),"Aumenta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60" s="320" t="str">
        <f>IFERROR(__xludf.DUMMYFUNCTION("GOOGLETRANSLATE(A60,""zh-tw"",""KO"")"),"큐피드의 물결")</f>
        <v>큐피드의 물결</v>
      </c>
      <c r="L60" s="142"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16" t="str">
        <f>IFERROR(__xludf.DUMMYFUNCTION("GOOGLETRANSLATE(A60,""zh-tw"",""ru"")"),"Волна Купидона")</f>
        <v>Волна Купидона</v>
      </c>
      <c r="N60" s="317"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13" t="s">
        <v>6819</v>
      </c>
      <c r="P60" s="136" t="s">
        <v>6820</v>
      </c>
      <c r="Q60" s="339" t="s">
        <v>6821</v>
      </c>
      <c r="R60" s="337" t="s">
        <v>6822</v>
      </c>
      <c r="S60" s="320" t="s">
        <v>6823</v>
      </c>
      <c r="T60" s="142" t="s">
        <v>6824</v>
      </c>
      <c r="U60" s="30"/>
      <c r="V60" s="30"/>
      <c r="W60" s="30"/>
      <c r="X60" s="30"/>
      <c r="Y60" s="30"/>
      <c r="Z60" s="30"/>
    </row>
    <row r="61">
      <c r="A61" s="313" t="s">
        <v>6825</v>
      </c>
      <c r="B61" s="136" t="s">
        <v>6826</v>
      </c>
      <c r="C61" s="313" t="s">
        <v>6827</v>
      </c>
      <c r="D61" s="136" t="s">
        <v>6828</v>
      </c>
      <c r="E61" s="313" t="s">
        <v>6829</v>
      </c>
      <c r="F61" s="136" t="s">
        <v>6830</v>
      </c>
      <c r="G61" s="320" t="str">
        <f>IFERROR(__xludf.DUMMYFUNCTION("GOOGLETRANSLATE(A61,""zh-tw"",""zh"")"),"绝对领域")</f>
        <v>绝对领域</v>
      </c>
      <c r="H61" s="142" t="str">
        <f>IFERROR(__xludf.DUMMYFUNCTION("GOOGLETRANSLATE(B61,""zh-tw"",""zh"")"),"魔防：169
幸运：69
增加携带武器/防具数量+99
※此为作弊神器，请参考TIPS")</f>
        <v>魔防：169
幸运：69
增加携带武器/防具数量+99
※此为作弊神器，请参考TIPS</v>
      </c>
      <c r="I61" s="320" t="str">
        <f>IFERROR(__xludf.DUMMYFUNCTION("GOOGLETRANSLATE(A61,""zh-tw"",""es-MX"")"),"Territorio absoluto")</f>
        <v>Territorio absoluto</v>
      </c>
      <c r="J61" s="142" t="str">
        <f>IFERROR(__xludf.DUMMYFUNCTION("GOOGLETRANSLATE(B61,""zh-tw"",""es-MX"")"),"Defensa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61" s="320" t="str">
        <f>IFERROR(__xludf.DUMMYFUNCTION("GOOGLETRANSLATE(A61,""zh-tw"",""KO"")"),"절대 영토")</f>
        <v>절대 영토</v>
      </c>
      <c r="L61" s="142"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16" t="str">
        <f>IFERROR(__xludf.DUMMYFUNCTION("GOOGLETRANSLATE(A61,""zh-tw"",""ru"")"),"Абсолютная Территория")</f>
        <v>Абсолютная Территория</v>
      </c>
      <c r="N61" s="317"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13" t="s">
        <v>6831</v>
      </c>
      <c r="P61" s="136" t="s">
        <v>6832</v>
      </c>
      <c r="Q61" s="334" t="s">
        <v>6833</v>
      </c>
      <c r="R61" s="322" t="s">
        <v>6834</v>
      </c>
      <c r="S61" s="320" t="s">
        <v>6835</v>
      </c>
      <c r="T61" s="142" t="s">
        <v>6836</v>
      </c>
      <c r="U61" s="30"/>
      <c r="V61" s="30"/>
      <c r="W61" s="30"/>
      <c r="X61" s="30"/>
      <c r="Y61" s="30"/>
      <c r="Z61" s="30"/>
    </row>
    <row r="62">
      <c r="A62" s="321" t="s">
        <v>6837</v>
      </c>
      <c r="B62" s="136" t="s">
        <v>6838</v>
      </c>
      <c r="C62" s="321" t="s">
        <v>6839</v>
      </c>
      <c r="D62" s="136" t="s">
        <v>6840</v>
      </c>
      <c r="E62" s="321" t="s">
        <v>6841</v>
      </c>
      <c r="F62" s="136" t="s">
        <v>6842</v>
      </c>
      <c r="G62" s="320" t="str">
        <f>IFERROR(__xludf.DUMMYFUNCTION("GOOGLETRANSLATE(A62,""zh-tw"",""zh"")"),"火蝾螈之卷")</f>
        <v>火蝾螈之卷</v>
      </c>
      <c r="H62" s="142" t="str">
        <f>IFERROR(__xludf.DUMMYFUNCTION("GOOGLETRANSLATE(B62,""zh-tw"",""zh"")"),"魔攻：25
魔防：15
强化火焰元素")</f>
        <v>魔攻：25
魔防：15
强化火焰元素</v>
      </c>
      <c r="I62" s="320" t="str">
        <f>IFERROR(__xludf.DUMMYFUNCTION("GOOGLETRANSLATE(A62,""zh-tw"",""es-MX"")"),"Pergamino de salamandra de fuego")</f>
        <v>Pergamino de salamandra de fuego</v>
      </c>
      <c r="J62" s="142" t="str">
        <f>IFERROR(__xludf.DUMMYFUNCTION("GOOGLETRANSLATE(B62,""zh-tw"",""es-MX"")"),"Ataque mágico: 25
Defensa mágica: 15
Elemento de fuego mejorado")</f>
        <v>Ataque mágico: 25
Defensa mágica: 15
Elemento de fuego mejorado</v>
      </c>
      <c r="K62" s="320" t="str">
        <f>IFERROR(__xludf.DUMMYFUNCTION("GOOGLETRANSLATE(A62,""zh-tw"",""KO"")"),"불도롱뇽 두루마리")</f>
        <v>불도롱뇽 두루마리</v>
      </c>
      <c r="L62" s="142" t="str">
        <f>IFERROR(__xludf.DUMMYFUNCTION("GOOGLETRANSLATE(B62,""zh-tw"",""KO"")"),"마법 공격력: 25
마법 방어력: 15
향상된 화속성")</f>
        <v>마법 공격력: 25
마법 방어력: 15
향상된 화속성</v>
      </c>
      <c r="M62" s="316" t="str">
        <f>IFERROR(__xludf.DUMMYFUNCTION("GOOGLETRANSLATE(A62,""zh-tw"",""ru"")"),"Свиток Огненной Саламандры")</f>
        <v>Свиток Огненной Саламандры</v>
      </c>
      <c r="N62" s="317" t="str">
        <f>IFERROR(__xludf.DUMMYFUNCTION("GOOGLETRANSLATE(B62,""zh-tw"",""ru"")"),"Магическая атака: 25
Магическая защита: 15
Усиленный элемент огня")</f>
        <v>Магическая атака: 25
Магическая защита: 15
Усиленный элемент огня</v>
      </c>
      <c r="O62" s="320" t="s">
        <v>6843</v>
      </c>
      <c r="P62" s="136" t="s">
        <v>6844</v>
      </c>
      <c r="Q62" s="334" t="s">
        <v>6845</v>
      </c>
      <c r="R62" s="322" t="s">
        <v>6846</v>
      </c>
      <c r="S62" s="320" t="s">
        <v>6841</v>
      </c>
      <c r="T62" s="142" t="s">
        <v>6847</v>
      </c>
      <c r="U62" s="30"/>
      <c r="V62" s="30"/>
      <c r="W62" s="30"/>
      <c r="X62" s="30"/>
      <c r="Y62" s="30"/>
      <c r="Z62" s="30"/>
    </row>
    <row r="63">
      <c r="A63" s="321" t="s">
        <v>6848</v>
      </c>
      <c r="B63" s="51" t="s">
        <v>6849</v>
      </c>
      <c r="C63" s="313" t="s">
        <v>6850</v>
      </c>
      <c r="D63" s="136" t="s">
        <v>6851</v>
      </c>
      <c r="E63" s="321" t="s">
        <v>6852</v>
      </c>
      <c r="F63" s="51" t="s">
        <v>6853</v>
      </c>
      <c r="G63" s="320" t="str">
        <f>IFERROR(__xludf.DUMMYFUNCTION("GOOGLETRANSLATE(A63,""zh-tw"",""zh"")"),"逆咒缚契约")</f>
        <v>逆咒缚契约</v>
      </c>
      <c r="H63" s="142" t="str">
        <f>IFERROR(__xludf.DUMMYFUNCTION("GOOGLETRANSLATE(B63,""zh-tw"",""zh"")"),"代替从者受到伤害
依从者数量提升主角生命回复力")</f>
        <v>代替从者受到伤害
依从者数量提升主角生命回复力</v>
      </c>
      <c r="I63" s="320" t="str">
        <f>IFERROR(__xludf.DUMMYFUNCTION("GOOGLETRANSLATE(A63,""zh-tw"",""es-MX"")"),"Contrato de maldición inversa")</f>
        <v>Contrato de maldición inversa</v>
      </c>
      <c r="J63" s="142" t="str">
        <f>IFERROR(__xludf.DUMMYFUNCTION("GOOGLETRANSLATE(B63,""zh-tw"",""es-MX"")"),"Recibir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3" s="320" t="str">
        <f>IFERROR(__xludf.DUMMYFUNCTION("GOOGLETRANSLATE(A63,""zh-tw"",""KO"")"),"역저주 계약")</f>
        <v>역저주 계약</v>
      </c>
      <c r="L63" s="142"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16" t="str">
        <f>IFERROR(__xludf.DUMMYFUNCTION("GOOGLETRANSLATE(A63,""zh-tw"",""ru"")"),"Контракт обратного проклятия")</f>
        <v>Контракт обратного проклятия</v>
      </c>
      <c r="N63" s="317"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20" t="s">
        <v>6854</v>
      </c>
      <c r="P63" s="142" t="s">
        <v>6855</v>
      </c>
      <c r="Q63" s="334" t="s">
        <v>6856</v>
      </c>
      <c r="R63" s="335" t="s">
        <v>6857</v>
      </c>
      <c r="S63" s="320" t="s">
        <v>6858</v>
      </c>
      <c r="T63" s="142" t="s">
        <v>6859</v>
      </c>
      <c r="U63" s="30"/>
      <c r="V63" s="30"/>
      <c r="W63" s="30"/>
      <c r="X63" s="30"/>
      <c r="Y63" s="30"/>
      <c r="Z63" s="30"/>
    </row>
    <row r="64">
      <c r="A64" s="313" t="s">
        <v>6860</v>
      </c>
      <c r="B64" s="136" t="s">
        <v>6861</v>
      </c>
      <c r="C64" s="313" t="s">
        <v>6862</v>
      </c>
      <c r="D64" s="142" t="str">
        <f>IFERROR(__xludf.DUMMYFUNCTION("GOOGLETRANSLATE(B64,""zh-tw"",""ja"")"),"物理防御力：3
魔法耐性：10
草の上にいる間、スタミナが回復する")</f>
        <v>物理防御力：3
魔法耐性：10
草の上にいる間、スタミナが回復する</v>
      </c>
      <c r="E64" s="313" t="s">
        <v>6863</v>
      </c>
      <c r="F64" s="136" t="s">
        <v>6864</v>
      </c>
      <c r="G64" s="320" t="str">
        <f>IFERROR(__xludf.DUMMYFUNCTION("GOOGLETRANSLATE(A64,""zh-tw"",""zh"")"),"猎人服")</f>
        <v>猎人服</v>
      </c>
      <c r="H64" s="142" t="str">
        <f>IFERROR(__xludf.DUMMYFUNCTION("GOOGLETRANSLATE(B64,""zh-tw"",""zh"")"),"物防：3
魔抗：10
站在草地上回复体力")</f>
        <v>物防：3
魔抗：10
站在草地上回复体力</v>
      </c>
      <c r="I64" s="320" t="str">
        <f>IFERROR(__xludf.DUMMYFUNCTION("GOOGLETRANSLATE(A64,""zh-tw"",""es-MX"")"),"Traje de cazador")</f>
        <v>Traje de cazador</v>
      </c>
      <c r="J64" s="142" t="str">
        <f>IFERROR(__xludf.DUMMYFUNCTION("GOOGLETRANSLATE(B64,""zh-tw"",""es-MX"")"),"Defensa física: 3
Resistencia mágica: 10
Recupera resistencia al estar sobre la hierba.")</f>
        <v>Defensa física: 3
Resistencia mágica: 10
Recupera resistencia al estar sobre la hierba.</v>
      </c>
      <c r="K64" s="320" t="str">
        <f>IFERROR(__xludf.DUMMYFUNCTION("GOOGLETRANSLATE(A64,""zh-tw"",""KO"")"),"사냥꾼의 복장")</f>
        <v>사냥꾼의 복장</v>
      </c>
      <c r="L64" s="142" t="str">
        <f>IFERROR(__xludf.DUMMYFUNCTION("GOOGLETRANSLATE(B64,""zh-tw"",""KO"")"),"물리 방어력: 3
마법 저항력: 10
풀밭에 서 있는 동안 지구력 회복")</f>
        <v>물리 방어력: 3
마법 저항력: 10
풀밭에 서 있는 동안 지구력 회복</v>
      </c>
      <c r="M64" s="316" t="str">
        <f>IFERROR(__xludf.DUMMYFUNCTION("GOOGLETRANSLATE(A64,""zh-tw"",""ru"")"),"Наряд охотника")</f>
        <v>Наряд охотника</v>
      </c>
      <c r="N64" s="317"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16" t="str">
        <f>IFERROR(__xludf.DUMMYFUNCTION("GOOGLETRANSLATE(A64,""zh-tw"",""de"")"),"Jägers Outfit")</f>
        <v>Jägers Outfit</v>
      </c>
      <c r="P64" s="317" t="str">
        <f>IFERROR(__xludf.DUMMYFUNCTION("GOOGLETRANSLATE(B64,""zh-tw"",""de"")"),"Physische Verteidigung: 3
Magieresistenz: 10
Regeneriert Ausdauer beim Stehen auf Gras")</f>
        <v>Physische Verteidigung: 3
Magieresistenz: 10
Regeneriert Ausdauer beim Stehen auf Gras</v>
      </c>
      <c r="Q64" s="334" t="s">
        <v>6865</v>
      </c>
      <c r="R64" s="319" t="s">
        <v>6866</v>
      </c>
      <c r="S64" s="320" t="s">
        <v>6867</v>
      </c>
      <c r="T64" s="142" t="s">
        <v>6868</v>
      </c>
      <c r="U64" s="30"/>
      <c r="V64" s="30"/>
      <c r="W64" s="30"/>
      <c r="X64" s="30"/>
      <c r="Y64" s="30"/>
      <c r="Z64" s="30"/>
    </row>
    <row r="65">
      <c r="A65" s="313" t="s">
        <v>6869</v>
      </c>
      <c r="B65" s="136" t="s">
        <v>6870</v>
      </c>
      <c r="C65" s="313" t="s">
        <v>6871</v>
      </c>
      <c r="D65" s="142" t="str">
        <f>IFERROR(__xludf.DUMMYFUNCTION("GOOGLETRANSLATE(B65,""zh-tw"",""ja"")"),"物理防御力：1 若干の改善：最大スタミナ、移動速度、装備容量")</f>
        <v>物理防御力：1 若干の改善：最大スタミナ、移動速度、装備容量</v>
      </c>
      <c r="E65" s="313" t="s">
        <v>6872</v>
      </c>
      <c r="F65" s="136" t="s">
        <v>6873</v>
      </c>
      <c r="G65" s="320" t="str">
        <f>IFERROR(__xludf.DUMMYFUNCTION("GOOGLETRANSLATE(A65,""zh-tw"",""zh"")"),"猎人腰带")</f>
        <v>猎人腰带</v>
      </c>
      <c r="H65" s="142" t="str">
        <f>IFERROR(__xludf.DUMMYFUNCTION("GOOGLETRANSLATE(B65,""zh-tw"",""zh"")"),"物防：1
小幅提升：体力上限、移动速度、装备携带数量")</f>
        <v>物防：1
小幅提升：体力上限、移动速度、装备携带数量</v>
      </c>
      <c r="I65" s="320" t="str">
        <f>IFERROR(__xludf.DUMMYFUNCTION("GOOGLETRANSLATE(A65,""zh-tw"",""es-MX"")"),"Cinturón de cazador")</f>
        <v>Cinturón de cazador</v>
      </c>
      <c r="J65" s="142" t="str">
        <f>IFERROR(__xludf.DUMMYFUNCTION("GOOGLETRANSLATE(B65,""zh-tw"",""es-MX"")"),"Defensa física: 1 Mejoras leves: Resistencia máxima, velocidad de movimiento, capacidad de equipo")</f>
        <v>Defensa física: 1 Mejoras leves: Resistencia máxima, velocidad de movimiento, capacidad de equipo</v>
      </c>
      <c r="K65" s="320" t="str">
        <f>IFERROR(__xludf.DUMMYFUNCTION("GOOGLETRANSLATE(A65,""zh-tw"",""KO"")"),"사냥꾼의 벨트")</f>
        <v>사냥꾼의 벨트</v>
      </c>
      <c r="L65" s="142" t="str">
        <f>IFERROR(__xludf.DUMMYFUNCTION("GOOGLETRANSLATE(B65,""zh-tw"",""KO"")"),"물리 방어력: 1 소폭 향상: 최대 체력, 이동 속도, 장비 수용량")</f>
        <v>물리 방어력: 1 소폭 향상: 최대 체력, 이동 속도, 장비 수용량</v>
      </c>
      <c r="M65" s="316" t="str">
        <f>IFERROR(__xludf.DUMMYFUNCTION("GOOGLETRANSLATE(A65,""zh-tw"",""ru"")"),"Пояс Охотника")</f>
        <v>Пояс Охотника</v>
      </c>
      <c r="N65" s="317"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16" t="str">
        <f>IFERROR(__xludf.DUMMYFUNCTION("GOOGLETRANSLATE(A65,""zh-tw"",""de"")"),"Jägergürtel")</f>
        <v>Jägergürtel</v>
      </c>
      <c r="P65" s="317"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34" t="s">
        <v>6874</v>
      </c>
      <c r="R65" s="322" t="s">
        <v>6875</v>
      </c>
      <c r="S65" s="320" t="s">
        <v>6876</v>
      </c>
      <c r="T65" s="142" t="s">
        <v>6877</v>
      </c>
      <c r="U65" s="30"/>
      <c r="V65" s="30"/>
      <c r="W65" s="30"/>
      <c r="X65" s="30"/>
      <c r="Y65" s="30"/>
      <c r="Z65" s="30"/>
    </row>
    <row r="66">
      <c r="A66" s="313" t="s">
        <v>6878</v>
      </c>
      <c r="B66" s="136" t="s">
        <v>6879</v>
      </c>
      <c r="C66" s="313" t="s">
        <v>6880</v>
      </c>
      <c r="D66" s="142" t="str">
        <f>IFERROR(__xludf.DUMMYFUNCTION("GOOGLETRANSLATE(B66,""zh-tw"",""ja"")"),"物理攻撃力：6
幸運：20
肉のドロップ率が2倍（魚のフライを含む）")</f>
        <v>物理攻撃力：6
幸運：20
肉のドロップ率が2倍（魚のフライを含む）</v>
      </c>
      <c r="E66" s="313" t="s">
        <v>6881</v>
      </c>
      <c r="F66" s="136" t="s">
        <v>6882</v>
      </c>
      <c r="G66" s="320" t="str">
        <f>IFERROR(__xludf.DUMMYFUNCTION("GOOGLETRANSLATE(A66,""zh-tw"",""zh"")"),"猎人短刀")</f>
        <v>猎人短刀</v>
      </c>
      <c r="H66" s="142" t="str">
        <f>IFERROR(__xludf.DUMMYFUNCTION("GOOGLETRANSLATE(B66,""zh-tw"",""zh"")"),"物攻：6
幸运：20
肉类掉落机率翻倍(包含炸鱼)")</f>
        <v>物攻：6
幸运：20
肉类掉落机率翻倍(包含炸鱼)</v>
      </c>
      <c r="I66" s="320" t="str">
        <f>IFERROR(__xludf.DUMMYFUNCTION("GOOGLETRANSLATE(A66,""zh-tw"",""es-MX"")"),"Daga del cazador")</f>
        <v>Daga del cazador</v>
      </c>
      <c r="J66" s="142" t="str">
        <f>IFERROR(__xludf.DUMMYFUNCTION("GOOGLETRANSLATE(B66,""zh-tw"",""es-MX"")"),"Ataque físico: 6
Suerte: 20
Probabilidad de obtener carne duplicada (incluido el pescado frito)")</f>
        <v>Ataque físico: 6
Suerte: 20
Probabilidad de obtener carne duplicada (incluido el pescado frito)</v>
      </c>
      <c r="K66" s="320" t="str">
        <f>IFERROR(__xludf.DUMMYFUNCTION("GOOGLETRANSLATE(A66,""zh-tw"",""KO"")"),"사냥꾼의 단검")</f>
        <v>사냥꾼의 단검</v>
      </c>
      <c r="L66" s="142" t="str">
        <f>IFERROR(__xludf.DUMMYFUNCTION("GOOGLETRANSLATE(B66,""zh-tw"",""KO"")"),"물리 공격력: 6
행운: 20
고기 드랍률 2배 증가 (생선튀김 포함)")</f>
        <v>물리 공격력: 6
행운: 20
고기 드랍률 2배 증가 (생선튀김 포함)</v>
      </c>
      <c r="M66" s="316" t="str">
        <f>IFERROR(__xludf.DUMMYFUNCTION("GOOGLETRANSLATE(A66,""zh-tw"",""ru"")"),"Кинжал охотника")</f>
        <v>Кинжал охотника</v>
      </c>
      <c r="N66" s="317"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16" t="str">
        <f>IFERROR(__xludf.DUMMYFUNCTION("GOOGLETRANSLATE(A66,""zh-tw"",""de"")"),"Jägerdolch")</f>
        <v>Jägerdolch</v>
      </c>
      <c r="P66" s="317" t="str">
        <f>IFERROR(__xludf.DUMMYFUNCTION("GOOGLETRANSLATE(B66,""zh-tw"",""de"")"),"Physischer Angriff: 6
Glück: 20
Fleischfundrate verdoppelt (einschließlich gebratenem Fisch)")</f>
        <v>Physischer Angriff: 6
Glück: 20
Fleischfundrate verdoppelt (einschließlich gebratenem Fisch)</v>
      </c>
      <c r="Q66" s="334" t="s">
        <v>6883</v>
      </c>
      <c r="R66" s="319" t="s">
        <v>6884</v>
      </c>
      <c r="S66" s="320" t="s">
        <v>6885</v>
      </c>
      <c r="T66" s="142" t="s">
        <v>6886</v>
      </c>
      <c r="U66" s="30"/>
      <c r="V66" s="30"/>
      <c r="W66" s="30"/>
      <c r="X66" s="30"/>
      <c r="Y66" s="30"/>
      <c r="Z66" s="30"/>
    </row>
    <row r="67">
      <c r="A67" s="313" t="s">
        <v>6887</v>
      </c>
      <c r="B67" s="136" t="s">
        <v>6888</v>
      </c>
      <c r="C67" s="313" t="s">
        <v>6889</v>
      </c>
      <c r="D67" s="142" t="str">
        <f>IFERROR(__xludf.DUMMYFUNCTION("GOOGLETRANSLATE(B67,""zh-tw"",""ja"")"),"物理防御力：20
魔法耐性：60
水泳速度が上昇し、陸上移動速度が低下")</f>
        <v>物理防御力：20
魔法耐性：60
水泳速度が上昇し、陸上移動速度が低下</v>
      </c>
      <c r="E67" s="313" t="s">
        <v>6890</v>
      </c>
      <c r="F67" s="136" t="s">
        <v>6891</v>
      </c>
      <c r="G67" s="320" t="str">
        <f>IFERROR(__xludf.DUMMYFUNCTION("GOOGLETRANSLATE(A67,""zh-tw"",""zh"")"),"绿龟壳")</f>
        <v>绿龟壳</v>
      </c>
      <c r="H67" s="142" t="str">
        <f>IFERROR(__xludf.DUMMYFUNCTION("GOOGLETRANSLATE(B67,""zh-tw"",""zh"")"),"物防：20
魔抗：60
增加游泳移速、降低陆地移速")</f>
        <v>物防：20
魔抗：60
增加游泳移速、降低陆地移速</v>
      </c>
      <c r="I67" s="320" t="str">
        <f>IFERROR(__xludf.DUMMYFUNCTION("GOOGLETRANSLATE(A67,""zh-tw"",""es-MX"")"),"caparazón de tortuga verde")</f>
        <v>caparazón de tortuga verde</v>
      </c>
      <c r="J67" s="142" t="str">
        <f>IFERROR(__xludf.DUMMYFUNCTION("GOOGLETRANSLATE(B67,""zh-tw"",""es-MX"")"),"Defensa física: 20
Resistencia mágica: 60
Aumenta la velocidad de natación y reduce la velocidad de movimiento en tierra.")</f>
        <v>Defensa física: 20
Resistencia mágica: 60
Aumenta la velocidad de natación y reduce la velocidad de movimiento en tierra.</v>
      </c>
      <c r="K67" s="320" t="str">
        <f>IFERROR(__xludf.DUMMYFUNCTION("GOOGLETRANSLATE(A67,""zh-tw"",""KO"")"),"녹색 거북이 껍질")</f>
        <v>녹색 거북이 껍질</v>
      </c>
      <c r="L67" s="142" t="str">
        <f>IFERROR(__xludf.DUMMYFUNCTION("GOOGLETRANSLATE(B67,""zh-tw"",""KO"")"),"물리 방어력: 20
마법 저항력: 60
수영 속도 증가, 지상 이동 속도 감소")</f>
        <v>물리 방어력: 20
마법 저항력: 60
수영 속도 증가, 지상 이동 속도 감소</v>
      </c>
      <c r="M67" s="316" t="str">
        <f>IFERROR(__xludf.DUMMYFUNCTION("GOOGLETRANSLATE(A67,""zh-tw"",""ru"")"),"Зеленый панцирь черепахи")</f>
        <v>Зеленый панцирь черепахи</v>
      </c>
      <c r="N67" s="317"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16" t="str">
        <f>IFERROR(__xludf.DUMMYFUNCTION("GOOGLETRANSLATE(A67,""zh-tw"",""de"")"),"Grüner Schildkrötenpanzer")</f>
        <v>Grüner Schildkrötenpanzer</v>
      </c>
      <c r="P67" s="317"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34" t="s">
        <v>6892</v>
      </c>
      <c r="R67" s="319" t="s">
        <v>6893</v>
      </c>
      <c r="S67" s="320" t="s">
        <v>6894</v>
      </c>
      <c r="T67" s="142" t="s">
        <v>6895</v>
      </c>
      <c r="U67" s="30"/>
      <c r="V67" s="30"/>
      <c r="W67" s="30"/>
      <c r="X67" s="30"/>
      <c r="Y67" s="30"/>
      <c r="Z67" s="30"/>
    </row>
    <row r="68">
      <c r="A68" s="313" t="s">
        <v>6896</v>
      </c>
      <c r="B68" s="136" t="s">
        <v>6897</v>
      </c>
      <c r="C68" s="320" t="str">
        <f>IFERROR(__xludf.DUMMYFUNCTION("GOOGLETRANSLATE(A68,""zh-tw"",""ja"")"),"宝石の剣")</f>
        <v>宝石の剣</v>
      </c>
      <c r="D68" s="142" t="str">
        <f>IFERROR(__xludf.DUMMYFUNCTION("GOOGLETRANSLATE(B68,""zh-tw"",""ja"")"),"魔法攻撃力: 15
魔法耐性: 20
幸運: 20
攻撃力を強化するには宝石を消費します")</f>
        <v>魔法攻撃力: 15
魔法耐性: 20
幸運: 20
攻撃力を強化するには宝石を消費します</v>
      </c>
      <c r="E68" s="313" t="s">
        <v>6898</v>
      </c>
      <c r="F68" s="136" t="s">
        <v>6899</v>
      </c>
      <c r="G68" s="320" t="str">
        <f>IFERROR(__xludf.DUMMYFUNCTION("GOOGLETRANSLATE(A68,""zh-tw"",""zh"")"),"宝石剑")</f>
        <v>宝石剑</v>
      </c>
      <c r="H68" s="142" t="str">
        <f>IFERROR(__xludf.DUMMYFUNCTION("GOOGLETRANSLATE(B68,""zh-tw"",""zh"")"),"魔攻：15
魔抗：20
幸运：20
消耗宝石强化攻击")</f>
        <v>魔攻：15
魔抗：20
幸运：20
消耗宝石强化攻击</v>
      </c>
      <c r="I68" s="320" t="str">
        <f>IFERROR(__xludf.DUMMYFUNCTION("GOOGLETRANSLATE(A68,""zh-tw"",""es-MX"")"),"Espada enjoyada")</f>
        <v>Espada enjoyada</v>
      </c>
      <c r="J68" s="142" t="str">
        <f>IFERROR(__xludf.DUMMYFUNCTION("GOOGLETRANSLATE(B68,""zh-tw"",""es-MX"")"),"Ataque mágico: 15
Resistencia mágica: 20
Suerte: 20
Consume gemas para mejorar el ataque.")</f>
        <v>Ataque mágico: 15
Resistencia mágica: 20
Suerte: 20
Consume gemas para mejorar el ataque.</v>
      </c>
      <c r="K68" s="320" t="str">
        <f>IFERROR(__xludf.DUMMYFUNCTION("GOOGLETRANSLATE(A68,""zh-tw"",""KO"")"),"보석 검")</f>
        <v>보석 검</v>
      </c>
      <c r="L68" s="142" t="str">
        <f>IFERROR(__xludf.DUMMYFUNCTION("GOOGLETRANSLATE(B68,""zh-tw"",""KO"")"),"마법 공격력: 15
마법 저항력: 20
행운: 20
보석을 소모하여 공격력을 강화하세요")</f>
        <v>마법 공격력: 15
마법 저항력: 20
행운: 20
보석을 소모하여 공격력을 강화하세요</v>
      </c>
      <c r="M68" s="316" t="str">
        <f>IFERROR(__xludf.DUMMYFUNCTION("GOOGLETRANSLATE(A68,""zh-tw"",""ru"")"),"Драгоценный меч")</f>
        <v>Драгоценный меч</v>
      </c>
      <c r="N68" s="317"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16" t="str">
        <f>IFERROR(__xludf.DUMMYFUNCTION("GOOGLETRANSLATE(A68,""zh-tw"",""de"")"),"Juwelenschwert")</f>
        <v>Juwelenschwert</v>
      </c>
      <c r="P68" s="317" t="str">
        <f>IFERROR(__xludf.DUMMYFUNCTION("GOOGLETRANSLATE(B68,""zh-tw"",""de"")"),"Magischer Angriff: 15
Magieresistenz: 20
Glück: 20
Verbrauche Edelsteine, um den Angriff zu erhöhen")</f>
        <v>Magischer Angriff: 15
Magieresistenz: 20
Glück: 20
Verbrauche Edelsteine, um den Angriff zu erhöhen</v>
      </c>
      <c r="Q68" s="334" t="s">
        <v>6900</v>
      </c>
      <c r="R68" s="335" t="s">
        <v>6901</v>
      </c>
      <c r="S68" s="320" t="s">
        <v>6902</v>
      </c>
      <c r="T68" s="142" t="s">
        <v>6903</v>
      </c>
      <c r="U68" s="30"/>
      <c r="V68" s="30"/>
      <c r="W68" s="30"/>
      <c r="X68" s="30"/>
      <c r="Y68" s="30"/>
      <c r="Z68" s="30"/>
    </row>
    <row r="69">
      <c r="A69" s="313" t="s">
        <v>6904</v>
      </c>
      <c r="B69" s="136" t="s">
        <v>6905</v>
      </c>
      <c r="C69" s="320" t="str">
        <f>IFERROR(__xludf.DUMMYFUNCTION("GOOGLETRANSLATE(A69,""zh-tw"",""ja"")"),"安全手袋")</f>
        <v>安全手袋</v>
      </c>
      <c r="D69" s="142" t="str">
        <f>IFERROR(__xludf.DUMMYFUNCTION("GOOGLETRANSLATE(B69,""zh-tw"",""ja"")"),"物理攻撃力: 1
物理防御力: 2
魔法耐性: 45
雷撃防御力")</f>
        <v>物理攻撃力: 1
物理防御力: 2
魔法耐性: 45
雷撃防御力</v>
      </c>
      <c r="E69" s="313" t="s">
        <v>6906</v>
      </c>
      <c r="F69" s="136" t="s">
        <v>6907</v>
      </c>
      <c r="G69" s="320" t="str">
        <f>IFERROR(__xludf.DUMMYFUNCTION("GOOGLETRANSLATE(A69,""zh-tw"",""zh"")"),"安全手套")</f>
        <v>安全手套</v>
      </c>
      <c r="H69" s="142" t="str">
        <f>IFERROR(__xludf.DUMMYFUNCTION("GOOGLETRANSLATE(B69,""zh-tw"",""zh"")"),"物攻：1
物防：2
魔抗：45
防御雷电")</f>
        <v>物攻：1
物防：2
魔抗：45
防御雷电</v>
      </c>
      <c r="I69" s="320" t="str">
        <f>IFERROR(__xludf.DUMMYFUNCTION("GOOGLETRANSLATE(A69,""zh-tw"",""es-MX"")"),"guantes de seguridad")</f>
        <v>guantes de seguridad</v>
      </c>
      <c r="J69" s="142" t="str">
        <f>IFERROR(__xludf.DUMMYFUNCTION("GOOGLETRANSLATE(B69,""zh-tw"",""es-MX"")"),"Ataque físico: 1
Defensa física: 2
Resistencia mágica: 45
Defensa relámpago")</f>
        <v>Ataque físico: 1
Defensa física: 2
Resistencia mágica: 45
Defensa relámpago</v>
      </c>
      <c r="K69" s="320" t="str">
        <f>IFERROR(__xludf.DUMMYFUNCTION("GOOGLETRANSLATE(A69,""zh-tw"",""KO"")"),"안전 장갑")</f>
        <v>안전 장갑</v>
      </c>
      <c r="L69" s="142" t="str">
        <f>IFERROR(__xludf.DUMMYFUNCTION("GOOGLETRANSLATE(B69,""zh-tw"",""KO"")"),"물리 공격력: 1
물리 방어력: 2
마법 저항력: 45
번개 방어력")</f>
        <v>물리 공격력: 1
물리 방어력: 2
마법 저항력: 45
번개 방어력</v>
      </c>
      <c r="M69" s="316" t="str">
        <f>IFERROR(__xludf.DUMMYFUNCTION("GOOGLETRANSLATE(A69,""zh-tw"",""ru"")"),"Защитные перчатки")</f>
        <v>Защитные перчатки</v>
      </c>
      <c r="N69" s="317" t="str">
        <f>IFERROR(__xludf.DUMMYFUNCTION("GOOGLETRANSLATE(B69,""zh-tw"",""ru"")"),"Физическая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9" s="316" t="str">
        <f>IFERROR(__xludf.DUMMYFUNCTION("GOOGLETRANSLATE(A69,""zh-tw"",""de"")"),"Schutzhandschuhe")</f>
        <v>Schutzhandschuhe</v>
      </c>
      <c r="P69" s="317" t="str">
        <f>IFERROR(__xludf.DUMMYFUNCTION("GOOGLETRANSLATE(B69,""zh-tw"",""de"")"),"Physischer Angriff: 1
Physische Verteidigung: 2
Magieresistenz: 45
Blitzabwehr")</f>
        <v>Physischer Angriff: 1
Physische Verteidigung: 2
Magieresistenz: 45
Blitzabwehr</v>
      </c>
      <c r="Q69" s="334" t="s">
        <v>6908</v>
      </c>
      <c r="R69" s="322" t="s">
        <v>6909</v>
      </c>
      <c r="S69" s="320" t="s">
        <v>6910</v>
      </c>
      <c r="T69" s="142" t="s">
        <v>6911</v>
      </c>
      <c r="U69" s="30"/>
      <c r="V69" s="30"/>
      <c r="W69" s="30"/>
      <c r="X69" s="30"/>
      <c r="Y69" s="30"/>
      <c r="Z69" s="30"/>
    </row>
    <row r="70">
      <c r="A70" s="313" t="s">
        <v>6912</v>
      </c>
      <c r="B70" s="136" t="s">
        <v>6913</v>
      </c>
      <c r="C70" s="313" t="s">
        <v>6914</v>
      </c>
      <c r="D70" s="142" t="str">
        <f>IFERROR(__xludf.DUMMYFUNCTION("GOOGLETRANSLATE(B70,""zh-tw"",""ja"")"),"物理攻撃力：4
物理防御力：1
物理攻撃力 +15%
")</f>
        <v>物理攻撃力：4
物理防御力：1
物理攻撃力 +15%
</v>
      </c>
      <c r="E70" s="313" t="s">
        <v>6915</v>
      </c>
      <c r="F70" s="136" t="s">
        <v>6916</v>
      </c>
      <c r="G70" s="320" t="str">
        <f>IFERROR(__xludf.DUMMYFUNCTION("GOOGLETRANSLATE(A70,""zh-tw"",""zh"")"),"锐刃指环")</f>
        <v>锐刃指环</v>
      </c>
      <c r="H70" s="142" t="str">
        <f>IFERROR(__xludf.DUMMYFUNCTION("GOOGLETRANSLATE(B70,""zh-tw"",""zh"")"),"物攻：4
物防：1
物攻+15%
")</f>
        <v>物攻：4
物防：1
物攻+15%
</v>
      </c>
      <c r="I70" s="320" t="str">
        <f>IFERROR(__xludf.DUMMYFUNCTION("GOOGLETRANSLATE(A70,""zh-tw"",""es-MX"")"),"Anillo de hoja afilada")</f>
        <v>Anillo de hoja afilada</v>
      </c>
      <c r="J70" s="142" t="str">
        <f>IFERROR(__xludf.DUMMYFUNCTION("GOOGLETRANSLATE(B70,""zh-tw"",""es-MX"")"),"Ataque físico: 4
Defensa física: 1
Ataque físico +15%
")</f>
        <v>Ataque físico: 4
Defensa física: 1
Ataque físico +15%
</v>
      </c>
      <c r="K70" s="320" t="str">
        <f>IFERROR(__xludf.DUMMYFUNCTION("GOOGLETRANSLATE(A70,""zh-tw"",""KO"")"),"날카로운 칼날 반지")</f>
        <v>날카로운 칼날 반지</v>
      </c>
      <c r="L70" s="142" t="str">
        <f>IFERROR(__xludf.DUMMYFUNCTION("GOOGLETRANSLATE(B70,""zh-tw"",""KO"")"),"물리 공격력: 4
물리 방어력: 1
물리 공격력 +15%
")</f>
        <v>물리 공격력: 4
물리 방어력: 1
물리 공격력 +15%
</v>
      </c>
      <c r="M70" s="316" t="str">
        <f>IFERROR(__xludf.DUMMYFUNCTION("GOOGLETRANSLATE(A70,""zh-tw"",""ru"")"),"Кольцо с острым лезвием")</f>
        <v>Кольцо с острым лезвием</v>
      </c>
      <c r="N70" s="317" t="str">
        <f>IFERROR(__xludf.DUMMYFUNCTION("GOOGLETRANSLATE(B70,""zh-tw"",""ru"")"),"Физическая атака: 4
Физическая защита: 1
Физическая атака +15%
")</f>
        <v>Физическая атака: 4
Физическая защита: 1
Физическая атака +15%
</v>
      </c>
      <c r="O70" s="316" t="str">
        <f>IFERROR(__xludf.DUMMYFUNCTION("GOOGLETRANSLATE(A70,""zh-tw"",""de"")"),"Scharfer Klingenring")</f>
        <v>Scharfer Klingenring</v>
      </c>
      <c r="P70" s="317" t="str">
        <f>IFERROR(__xludf.DUMMYFUNCTION("GOOGLETRANSLATE(B70,""zh-tw"",""de"")"),"Physischer Angriff: 4
Physische Verteidigung: 1
Physischer Angriff +15 %
")</f>
        <v>Physischer Angriff: 4
Physische Verteidigung: 1
Physischer Angriff +15 %
</v>
      </c>
      <c r="Q70" s="334" t="s">
        <v>6917</v>
      </c>
      <c r="R70" s="322" t="s">
        <v>6918</v>
      </c>
      <c r="S70" s="320" t="s">
        <v>6919</v>
      </c>
      <c r="T70" s="142" t="s">
        <v>6920</v>
      </c>
      <c r="U70" s="30"/>
      <c r="V70" s="30"/>
      <c r="W70" s="30"/>
      <c r="X70" s="30"/>
      <c r="Y70" s="30"/>
      <c r="Z70" s="30"/>
    </row>
    <row r="71">
      <c r="A71" s="313" t="s">
        <v>6921</v>
      </c>
      <c r="B71" s="136" t="s">
        <v>6922</v>
      </c>
      <c r="C71" s="313" t="s">
        <v>6921</v>
      </c>
      <c r="D71" s="136" t="s">
        <v>6923</v>
      </c>
      <c r="E71" s="313" t="s">
        <v>6924</v>
      </c>
      <c r="F71" s="136" t="s">
        <v>6925</v>
      </c>
      <c r="G71" s="320" t="str">
        <f>IFERROR(__xludf.DUMMYFUNCTION("GOOGLETRANSLATE(A71,""zh-tw"",""zh"")"),"胁差")</f>
        <v>胁差</v>
      </c>
      <c r="H71" s="142"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20" t="str">
        <f>IFERROR(__xludf.DUMMYFUNCTION("GOOGLETRANSLATE(A71,""zh-tw"",""es-MX"")"),"takizashi")</f>
        <v>takizashi</v>
      </c>
      <c r="J71" s="142" t="str">
        <f>IFERROR(__xludf.DUMMYFUNCTION("GOOGLETRANSLATE(B71,""zh-tw"",""es-MX"")"),"+1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71" s="320" t="str">
        <f>IFERROR(__xludf.DUMMYFUNCTION("GOOGLETRANSLATE(A71,""zh-tw"",""KO"")"),"다키자시")</f>
        <v>다키자시</v>
      </c>
      <c r="L71" s="142"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16" t="str">
        <f>IFERROR(__xludf.DUMMYFUNCTION("GOOGLETRANSLATE(A71,""zh-tw"",""ru"")"),"Такидзаси")</f>
        <v>Такидзаси</v>
      </c>
      <c r="N71" s="317" t="str">
        <f>IFERROR(__xludf.DUMMYFUNCTION("GOOGLETRANSLATE(B71,""zh-tw"",""ru"")"),"+1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16" t="str">
        <f>IFERROR(__xludf.DUMMYFUNCTION("GOOGLETRANSLATE(A71,""zh-tw"",""de"")"),"Takizashi")</f>
        <v>Takizashi</v>
      </c>
      <c r="P71" s="317"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34" t="s">
        <v>6924</v>
      </c>
      <c r="R71" s="335" t="s">
        <v>6926</v>
      </c>
      <c r="S71" s="320" t="s">
        <v>6924</v>
      </c>
      <c r="T71" s="142" t="s">
        <v>6927</v>
      </c>
      <c r="U71" s="30"/>
      <c r="V71" s="30"/>
      <c r="W71" s="30"/>
      <c r="X71" s="30"/>
      <c r="Y71" s="30"/>
      <c r="Z71" s="30"/>
    </row>
    <row r="72">
      <c r="A72" s="313" t="s">
        <v>6928</v>
      </c>
      <c r="B72" s="136" t="s">
        <v>6929</v>
      </c>
      <c r="C72" s="313" t="s">
        <v>6930</v>
      </c>
      <c r="D72" s="142" t="str">
        <f>IFERROR(__xludf.DUMMYFUNCTION("GOOGLETRANSLATE(B72,""zh-tw"",""ja"")"),"物理防御力：15
魔法耐性：10
詳細はヒントをご覧ください")</f>
        <v>物理防御力：15
魔法耐性：10
詳細はヒントをご覧ください</v>
      </c>
      <c r="E72" s="313" t="s">
        <v>6931</v>
      </c>
      <c r="F72" s="136" t="s">
        <v>6932</v>
      </c>
      <c r="G72" s="320" t="str">
        <f>IFERROR(__xludf.DUMMYFUNCTION("GOOGLETRANSLATE(A72,""zh-tw"",""zh"")"),"铁觇")</f>
        <v>铁觇</v>
      </c>
      <c r="H72" s="142" t="str">
        <f>IFERROR(__xludf.DUMMYFUNCTION("GOOGLETRANSLATE(B72,""zh-tw"",""zh"")"),"物防：15
魔抗：10
详细说明于Tips")</f>
        <v>物防：15
魔抗：10
详细说明于Tips</v>
      </c>
      <c r="I72" s="320" t="str">
        <f>IFERROR(__xludf.DUMMYFUNCTION("GOOGLETRANSLATE(A72,""zh-tw"",""es-MX"")"),"Águila de hierro")</f>
        <v>Águila de hierro</v>
      </c>
      <c r="J72" s="142" t="str">
        <f>IFERROR(__xludf.DUMMYFUNCTION("GOOGLETRANSLATE(B72,""zh-tw"",""es-MX"")"),"Defensa física: 15
Resistencia mágica: 10
Explicación detallada en Consejos")</f>
        <v>Defensa física: 15
Resistencia mágica: 10
Explicación detallada en Consejos</v>
      </c>
      <c r="K72" s="320" t="str">
        <f>IFERROR(__xludf.DUMMYFUNCTION("GOOGLETRANSLATE(A72,""zh-tw"",""KO"")"),"아이언 이글")</f>
        <v>아이언 이글</v>
      </c>
      <c r="L72" s="142" t="str">
        <f>IFERROR(__xludf.DUMMYFUNCTION("GOOGLETRANSLATE(B72,""zh-tw"",""KO"")"),"물리 방어력: 15
마법 저항력: 10
자세한 설명은 팁에 있습니다")</f>
        <v>물리 방어력: 15
마법 저항력: 10
자세한 설명은 팁에 있습니다</v>
      </c>
      <c r="M72" s="316" t="str">
        <f>IFERROR(__xludf.DUMMYFUNCTION("GOOGLETRANSLATE(A72,""zh-tw"",""ru"")"),"Железный орел")</f>
        <v>Железный орел</v>
      </c>
      <c r="N72" s="317"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16" t="str">
        <f>IFERROR(__xludf.DUMMYFUNCTION("GOOGLETRANSLATE(A72,""zh-tw"",""de"")"),"Eiserner Adler")</f>
        <v>Eiserner Adler</v>
      </c>
      <c r="P72" s="317" t="str">
        <f>IFERROR(__xludf.DUMMYFUNCTION("GOOGLETRANSLATE(B72,""zh-tw"",""de"")"),"Physische Verteidigung: 15
Magieresistenz: 10
Detaillierte Erklärung in den Tipps")</f>
        <v>Physische Verteidigung: 15
Magieresistenz: 10
Detaillierte Erklärung in den Tipps</v>
      </c>
      <c r="Q72" s="338" t="s">
        <v>6933</v>
      </c>
      <c r="R72" s="319" t="s">
        <v>6934</v>
      </c>
      <c r="S72" s="320" t="s">
        <v>6935</v>
      </c>
      <c r="T72" s="142" t="s">
        <v>6936</v>
      </c>
      <c r="U72" s="30"/>
      <c r="V72" s="30"/>
      <c r="W72" s="30"/>
      <c r="X72" s="30"/>
      <c r="Y72" s="30"/>
      <c r="Z72" s="30"/>
    </row>
    <row r="73">
      <c r="A73" s="313" t="s">
        <v>6937</v>
      </c>
      <c r="B73" s="136" t="s">
        <v>6938</v>
      </c>
      <c r="C73" s="313" t="s">
        <v>3701</v>
      </c>
      <c r="D73" s="142" t="str">
        <f>IFERROR(__xludf.DUMMYFUNCTION("GOOGLETRANSLATE(B73,""zh-tw"",""ja"")"),"攻撃力が減少し、攻撃上限が 200 に引き下げられました。武器の耐久度消費が減少しました。")</f>
        <v>攻撃力が減少し、攻撃上限が 200 に引き下げられました。武器の耐久度消費が減少しました。</v>
      </c>
      <c r="E73" s="313" t="s">
        <v>6939</v>
      </c>
      <c r="F73" s="136" t="s">
        <v>6940</v>
      </c>
      <c r="G73" s="320" t="str">
        <f>IFERROR(__xludf.DUMMYFUNCTION("GOOGLETRANSLATE(A73,""zh-tw"",""zh"")"),"护刃众的徽章")</f>
        <v>护刃众的徽章</v>
      </c>
      <c r="H73" s="142" t="str">
        <f>IFERROR(__xludf.DUMMYFUNCTION("GOOGLETRANSLATE(B73,""zh-tw"",""zh"")"),"减少攻击力、攻击上限降低至200
降低武器耐久度消耗")</f>
        <v>减少攻击力、攻击上限降低至200
降低武器耐久度消耗</v>
      </c>
      <c r="I73" s="320" t="str">
        <f>IFERROR(__xludf.DUMMYFUNCTION("GOOGLETRANSLATE(A73,""zh-tw"",""es-MX"")"),"Insignias del Goken-kun")</f>
        <v>Insignias del Goken-kun</v>
      </c>
      <c r="J73" s="142" t="str">
        <f>IFERROR(__xludf.DUMMYFUNCTION("GOOGLETRANSLATE(B73,""zh-tw"",""es-MX"")"),"Poder de ataque reducido, límite de ataque reducido a 200. Consumo de durabilidad del arma reducido.")</f>
        <v>Poder de ataque reducido, límite de ataque reducido a 200. Consumo de durabilidad del arma reducido.</v>
      </c>
      <c r="K73" s="320" t="str">
        <f>IFERROR(__xludf.DUMMYFUNCTION("GOOGLETRANSLATE(A73,""zh-tw"",""KO"")"),"고켄군의 배지")</f>
        <v>고켄군의 배지</v>
      </c>
      <c r="L73" s="142" t="str">
        <f>IFERROR(__xludf.DUMMYFUNCTION("GOOGLETRANSLATE(B73,""zh-tw"",""KO"")"),"공격력이 감소하고, 공격력 상한이 200으로 낮아졌습니다. 무기 내구도 소모가 감소했습니다.")</f>
        <v>공격력이 감소하고, 공격력 상한이 200으로 낮아졌습니다. 무기 내구도 소모가 감소했습니다.</v>
      </c>
      <c r="M73" s="316" t="str">
        <f>IFERROR(__xludf.DUMMYFUNCTION("GOOGLETRANSLATE(A73,""zh-tw"",""ru"")"),"Значки Гокен-куна")</f>
        <v>Значки Гокен-куна</v>
      </c>
      <c r="N73" s="317" t="str">
        <f>IFERROR(__xludf.DUMMYFUNCTION("GOOGLETRANSLATE(B73,""zh-tw"",""ru"")"),"Уменьшена сила атаки, предел атаки снижен до 200. Уменьшено потребление прочности оружия.")</f>
        <v>Уменьшена сила атаки, предел атаки снижен до 200. Уменьшено потребление прочности оружия.</v>
      </c>
      <c r="O73" s="316" t="str">
        <f>IFERROR(__xludf.DUMMYFUNCTION("GOOGLETRANSLATE(A73,""zh-tw"",""de"")"),"Abzeichen des Goken-kun")</f>
        <v>Abzeichen des Goken-kun</v>
      </c>
      <c r="P73" s="317" t="str">
        <f>IFERROR(__xludf.DUMMYFUNCTION("GOOGLETRANSLATE(B73,""zh-tw"",""de"")"),"Reduzierte Angriffskraft, Angriffslimit auf 200 gesenkt. Reduzierter Verbrauch der Waffenhaltbarkeit.")</f>
        <v>Reduzierte Angriffskraft, Angriffslimit auf 200 gesenkt. Reduzierter Verbrauch der Waffenhaltbarkeit.</v>
      </c>
      <c r="Q73" s="334" t="s">
        <v>6941</v>
      </c>
      <c r="R73" s="322" t="s">
        <v>6942</v>
      </c>
      <c r="S73" s="320" t="s">
        <v>6943</v>
      </c>
      <c r="T73" s="142" t="s">
        <v>6944</v>
      </c>
      <c r="U73" s="30"/>
      <c r="V73" s="30"/>
      <c r="W73" s="30"/>
      <c r="X73" s="30"/>
      <c r="Y73" s="30"/>
      <c r="Z73" s="30"/>
    </row>
    <row r="74">
      <c r="A74" s="313" t="s">
        <v>6945</v>
      </c>
      <c r="B74" s="136" t="s">
        <v>6946</v>
      </c>
      <c r="C74" s="313" t="s">
        <v>6947</v>
      </c>
      <c r="D74" s="142" t="str">
        <f>IFERROR(__xludf.DUMMYFUNCTION("GOOGLETRANSLATE(B74,""zh-tw"",""ja"")"),"コマンドタイプの装備
(スキルスロット参照)")</f>
        <v>コマンドタイプの装備
(スキルスロット参照)</v>
      </c>
      <c r="E74" s="313" t="s">
        <v>6948</v>
      </c>
      <c r="F74" s="136" t="s">
        <v>6949</v>
      </c>
      <c r="G74" s="320" t="str">
        <f>IFERROR(__xludf.DUMMYFUNCTION("GOOGLETRANSLATE(A74,""zh-tw"",""zh"")"),"把草莓夺回来！ !")</f>
        <v>把草莓夺回来！ !</v>
      </c>
      <c r="H74" s="142" t="str">
        <f>IFERROR(__xludf.DUMMYFUNCTION("GOOGLETRANSLATE(B74,""zh-tw"",""zh"")"),"指令类型装备
(请见技能栏位)")</f>
        <v>指令类型装备
(请见技能栏位)</v>
      </c>
      <c r="I74" s="320" t="str">
        <f>IFERROR(__xludf.DUMMYFUNCTION("GOOGLETRANSLATE(A74,""zh-tw"",""es-MX"")"),"¡Recupera las fresas!")</f>
        <v>¡Recupera las fresas!</v>
      </c>
      <c r="J74" s="142" t="str">
        <f>IFERROR(__xludf.DUMMYFUNCTION("GOOGLETRANSLATE(B74,""zh-tw"",""es-MX"")"),"Equipo de tipo comando
(Ver ranuras de habilidad)")</f>
        <v>Equipo de tipo comando
(Ver ranuras de habilidad)</v>
      </c>
      <c r="K74" s="320" t="str">
        <f>IFERROR(__xludf.DUMMYFUNCTION("GOOGLETRANSLATE(A74,""zh-tw"",""KO"")"),"딸기를 다시 가져와!")</f>
        <v>딸기를 다시 가져와!</v>
      </c>
      <c r="L74" s="142" t="str">
        <f>IFERROR(__xludf.DUMMYFUNCTION("GOOGLETRANSLATE(B74,""zh-tw"",""KO"")"),"명령형 장비
(스킬 슬롯 참조)")</f>
        <v>명령형 장비
(스킬 슬롯 참조)</v>
      </c>
      <c r="M74" s="316" t="str">
        <f>IFERROR(__xludf.DUMMYFUNCTION("GOOGLETRANSLATE(A74,""zh-tw"",""ru"")"),"Верните клубнику!")</f>
        <v>Верните клубнику!</v>
      </c>
      <c r="N74" s="317" t="str">
        <f>IFERROR(__xludf.DUMMYFUNCTION("GOOGLETRANSLATE(B74,""zh-tw"",""ru"")"),"Командное снаряжение
(См. слоты навыков)")</f>
        <v>Командное снаряжение
(См. слоты навыков)</v>
      </c>
      <c r="O74" s="316" t="str">
        <f>IFERROR(__xludf.DUMMYFUNCTION("GOOGLETRANSLATE(A74,""zh-tw"",""de"")"),"Holt die Erdbeeren zurück!")</f>
        <v>Holt die Erdbeeren zurück!</v>
      </c>
      <c r="P74" s="317" t="str">
        <f>IFERROR(__xludf.DUMMYFUNCTION("GOOGLETRANSLATE(B74,""zh-tw"",""de"")"),"Ausrüstung vom Typ „Befehl“
(Siehe Fertigkeitsplätze)")</f>
        <v>Ausrüstung vom Typ „Befehl“
(Siehe Fertigkeitsplätze)</v>
      </c>
      <c r="Q74" s="334" t="s">
        <v>6950</v>
      </c>
      <c r="R74" s="319" t="s">
        <v>6951</v>
      </c>
      <c r="S74" s="320" t="s">
        <v>6952</v>
      </c>
      <c r="T74" s="142" t="s">
        <v>6953</v>
      </c>
      <c r="U74" s="30"/>
      <c r="V74" s="30"/>
      <c r="W74" s="30"/>
      <c r="X74" s="30"/>
      <c r="Y74" s="30"/>
      <c r="Z74" s="30"/>
    </row>
    <row r="75">
      <c r="A75" s="321" t="s">
        <v>5014</v>
      </c>
      <c r="B75" s="136" t="s">
        <v>6954</v>
      </c>
      <c r="C75" s="313" t="s">
        <v>6955</v>
      </c>
      <c r="D75" s="136" t="s">
        <v>6956</v>
      </c>
      <c r="E75" s="313" t="s">
        <v>5020</v>
      </c>
      <c r="F75" s="136" t="s">
        <v>6957</v>
      </c>
      <c r="G75" s="320" t="str">
        <f>IFERROR(__xludf.DUMMYFUNCTION("GOOGLETRANSLATE(A75,""zh-tw"",""zh"")"),"◉▽◉(蓝色)")</f>
        <v>◉▽◉(蓝色)</v>
      </c>
      <c r="H75" s="142" t="str">
        <f>IFERROR(__xludf.DUMMYFUNCTION("GOOGLETRANSLATE(B75,""zh-tw"",""zh"")"),"投掷攻击
遇水消失、会被击杀
幸运：10")</f>
        <v>投掷攻击
遇水消失、会被击杀
幸运：10</v>
      </c>
      <c r="I75" s="320" t="str">
        <f>IFERROR(__xludf.DUMMYFUNCTION("GOOGLETRANSLATE(A75,""zh-tw"",""es-MX"")"),"◉▽◉ (Azul)")</f>
        <v>◉▽◉ (Azul)</v>
      </c>
      <c r="J75" s="142" t="str">
        <f>IFERROR(__xludf.DUMMYFUNCTION("GOOGLETRANSLATE(B75,""zh-tw"",""es-MX"")"),"Ataque arrojadizo. Desaparece al contacto con el agua y puede ser eliminado. Suerte: 10")</f>
        <v>Ataque arrojadizo. Desaparece al contacto con el agua y puede ser eliminado. Suerte: 10</v>
      </c>
      <c r="K75" s="320" t="str">
        <f>IFERROR(__xludf.DUMMYFUNCTION("GOOGLETRANSLATE(A75,""zh-tw"",""KO"")"),"◉▽◉ (파란색)")</f>
        <v>◉▽◉ (파란색)</v>
      </c>
      <c r="L75" s="142" t="str">
        <f>IFERROR(__xludf.DUMMYFUNCTION("GOOGLETRANSLATE(B75,""zh-tw"",""KO"")"),"던지기 공격. 물에 닿으면 사라지며, 죽을 수도 있습니다. 행운: 10")</f>
        <v>던지기 공격. 물에 닿으면 사라지며, 죽을 수도 있습니다. 행운: 10</v>
      </c>
      <c r="M75" s="316" t="str">
        <f>IFERROR(__xludf.DUMMYFUNCTION("GOOGLETRANSLATE(A75,""zh-tw"",""ru"")"),"◉▽◉ (Синий)")</f>
        <v>◉▽◉ (Синий)</v>
      </c>
      <c r="N75" s="317"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13" t="s">
        <v>5023</v>
      </c>
      <c r="P75" s="136" t="s">
        <v>6958</v>
      </c>
      <c r="Q75" s="334" t="s">
        <v>5026</v>
      </c>
      <c r="R75" s="319" t="s">
        <v>6959</v>
      </c>
      <c r="S75" s="320" t="s">
        <v>5029</v>
      </c>
      <c r="T75" s="142" t="s">
        <v>6960</v>
      </c>
      <c r="U75" s="30"/>
      <c r="V75" s="30"/>
      <c r="W75" s="30"/>
      <c r="X75" s="30"/>
      <c r="Y75" s="30"/>
      <c r="Z75" s="30"/>
    </row>
    <row r="76">
      <c r="A76" s="320" t="s">
        <v>5032</v>
      </c>
      <c r="B76" s="136" t="s">
        <v>6961</v>
      </c>
      <c r="C76" s="320" t="s">
        <v>5032</v>
      </c>
      <c r="D76" s="136" t="s">
        <v>6962</v>
      </c>
      <c r="E76" s="313" t="s">
        <v>5036</v>
      </c>
      <c r="F76" s="136" t="s">
        <v>6963</v>
      </c>
      <c r="G76" s="320" t="str">
        <f>IFERROR(__xludf.DUMMYFUNCTION("GOOGLETRANSLATE(A76,""zh-tw"",""zh"")"),"◉▽◉(紫色)")</f>
        <v>◉▽◉(紫色)</v>
      </c>
      <c r="H76" s="142" t="str">
        <f>IFERROR(__xludf.DUMMYFUNCTION("GOOGLETRANSLATE(B76,""zh-tw"",""zh"")"),"投掷攻击
遇水消失、会被击杀
幸运：20")</f>
        <v>投掷攻击
遇水消失、会被击杀
幸运：20</v>
      </c>
      <c r="I76" s="320" t="str">
        <f>IFERROR(__xludf.DUMMYFUNCTION("GOOGLETRANSLATE(A76,""zh-tw"",""es-MX"")"),"◉▽◉(púrpura)")</f>
        <v>◉▽◉(púrpura)</v>
      </c>
      <c r="J76" s="142" t="str">
        <f>IFERROR(__xludf.DUMMYFUNCTION("GOOGLETRANSLATE(B76,""zh-tw"",""es-MX"")"),"Ataque arrojadizo. Desaparece al contacto con el agua y puede ser eliminado. Suerte: 20")</f>
        <v>Ataque arrojadizo. Desaparece al contacto con el agua y puede ser eliminado. Suerte: 20</v>
      </c>
      <c r="K76" s="320" t="str">
        <f>IFERROR(__xludf.DUMMYFUNCTION("GOOGLETRANSLATE(A76,""zh-tw"",""KO"")"),"◉▽◉(보라색)")</f>
        <v>◉▽◉(보라색)</v>
      </c>
      <c r="L76" s="142" t="str">
        <f>IFERROR(__xludf.DUMMYFUNCTION("GOOGLETRANSLATE(B76,""zh-tw"",""KO"")"),"던지기 공격. 물에 닿으면 사라지며, 죽을 수도 있습니다. 행운: 20")</f>
        <v>던지기 공격. 물에 닿으면 사라지며, 죽을 수도 있습니다. 행운: 20</v>
      </c>
      <c r="M76" s="316" t="str">
        <f>IFERROR(__xludf.DUMMYFUNCTION("GOOGLETRANSLATE(A76,""zh-tw"",""ru"")"),"◉▽◉(фиолетовый)")</f>
        <v>◉▽◉(фиолетовый)</v>
      </c>
      <c r="N76" s="317"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13" t="s">
        <v>5038</v>
      </c>
      <c r="P76" s="136" t="s">
        <v>6964</v>
      </c>
      <c r="Q76" s="339" t="s">
        <v>5040</v>
      </c>
      <c r="R76" s="319" t="s">
        <v>6965</v>
      </c>
      <c r="S76" s="320" t="s">
        <v>5042</v>
      </c>
      <c r="T76" s="142" t="s">
        <v>6966</v>
      </c>
      <c r="U76" s="30"/>
      <c r="V76" s="30"/>
      <c r="W76" s="30"/>
      <c r="X76" s="30"/>
      <c r="Y76" s="30"/>
      <c r="Z76" s="30"/>
    </row>
    <row r="77">
      <c r="A77" s="320" t="s">
        <v>6967</v>
      </c>
      <c r="B77" s="136" t="s">
        <v>6968</v>
      </c>
      <c r="C77" s="313" t="s">
        <v>6969</v>
      </c>
      <c r="D77" s="136" t="s">
        <v>6970</v>
      </c>
      <c r="E77" s="313" t="s">
        <v>6971</v>
      </c>
      <c r="F77" s="136" t="s">
        <v>6972</v>
      </c>
      <c r="G77" s="320" t="str">
        <f>IFERROR(__xludf.DUMMYFUNCTION("GOOGLETRANSLATE(A77,""zh-tw"",""zh"")"),"◉▽◉(粉色)")</f>
        <v>◉▽◉(粉色)</v>
      </c>
      <c r="H77" s="142" t="str">
        <f>IFERROR(__xludf.DUMMYFUNCTION("GOOGLETRANSLATE(B77,""zh-tw"",""zh"")"),"投掷攻击
遇水消失、会被击杀
幸运：40")</f>
        <v>投掷攻击
遇水消失、会被击杀
幸运：40</v>
      </c>
      <c r="I77" s="320" t="str">
        <f>IFERROR(__xludf.DUMMYFUNCTION("GOOGLETRANSLATE(A77,""zh-tw"",""es-MX"")"),"◉▽◉(Rosa)")</f>
        <v>◉▽◉(Rosa)</v>
      </c>
      <c r="J77" s="142" t="str">
        <f>IFERROR(__xludf.DUMMYFUNCTION("GOOGLETRANSLATE(B77,""zh-tw"",""es-MX"")"),"Ataque arrojadizo. Desaparece al contacto con el agua; puede ser asesinado. Suerte: 40")</f>
        <v>Ataque arrojadizo. Desaparece al contacto con el agua; puede ser asesinado. Suerte: 40</v>
      </c>
      <c r="K77" s="320" t="str">
        <f>IFERROR(__xludf.DUMMYFUNCTION("GOOGLETRANSLATE(A77,""zh-tw"",""KO"")"),"◉▽◉(분홍색)")</f>
        <v>◉▽◉(분홍색)</v>
      </c>
      <c r="L77" s="142" t="str">
        <f>IFERROR(__xludf.DUMMYFUNCTION("GOOGLETRANSLATE(B77,""zh-tw"",""KO"")"),"던지기 공격. 물에 닿으면 사라짐. 죽을 수도 있음. 행운: 40")</f>
        <v>던지기 공격. 물에 닿으면 사라짐. 죽을 수도 있음. 행운: 40</v>
      </c>
      <c r="M77" s="316" t="str">
        <f>IFERROR(__xludf.DUMMYFUNCTION("GOOGLETRANSLATE(A77,""zh-tw"",""ru"")"),"◉▽◉(Розовый)")</f>
        <v>◉▽◉(Розовый)</v>
      </c>
      <c r="N77" s="317" t="str">
        <f>IFERROR(__xludf.DUMMYFUNCTION("GOOGLETRANSLATE(B77,""zh-tw"",""ru"")"),"Бросок. Исчезает при контакте с водой; может быть убит. Удача: 40.")</f>
        <v>Бросок. Исчезает при контакте с водой; может быть убит. Удача: 40.</v>
      </c>
      <c r="O77" s="313" t="s">
        <v>6973</v>
      </c>
      <c r="P77" s="136" t="s">
        <v>6974</v>
      </c>
      <c r="Q77" s="339" t="s">
        <v>6975</v>
      </c>
      <c r="R77" s="319" t="s">
        <v>6976</v>
      </c>
      <c r="S77" s="320" t="s">
        <v>6977</v>
      </c>
      <c r="T77" s="142" t="s">
        <v>6978</v>
      </c>
      <c r="U77" s="30"/>
      <c r="V77" s="30"/>
      <c r="W77" s="30"/>
      <c r="X77" s="30"/>
      <c r="Y77" s="30"/>
      <c r="Z77" s="30"/>
    </row>
    <row r="78">
      <c r="A78" s="313" t="s">
        <v>6979</v>
      </c>
      <c r="B78" s="136" t="s">
        <v>6980</v>
      </c>
      <c r="C78" s="313" t="s">
        <v>6981</v>
      </c>
      <c r="D78" s="136" t="s">
        <v>6982</v>
      </c>
      <c r="E78" s="313" t="s">
        <v>6983</v>
      </c>
      <c r="F78" s="136" t="s">
        <v>6984</v>
      </c>
      <c r="G78" s="320" t="str">
        <f>IFERROR(__xludf.DUMMYFUNCTION("GOOGLETRANSLATE(A78,""zh-tw"",""zh"")"),"初号机枢I~VII")</f>
        <v>初号机枢I~VII</v>
      </c>
      <c r="H78" s="142" t="str">
        <f>IFERROR(__xludf.DUMMYFUNCTION("GOOGLETRANSLATE(B78,""zh-tw"",""zh"")"),"可以于技能栏位中，消耗特定物品进行提升机甲的型态，由此获得新能力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8" s="320" t="str">
        <f>IFERROR(__xludf.DUMMYFUNCTION("GOOGLETRANSLATE(A78,""zh-tw"",""es-MX"")"),"Unidad 1-VII")</f>
        <v>Unidad 1-VII</v>
      </c>
      <c r="J78" s="142" t="str">
        <f>IFERROR(__xludf.DUMMYFUNCTION("GOOGLETRANSLATE(B78,""zh-tw"",""es-MX"")"),"Puedes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8" s="320" t="str">
        <f>IFERROR(__xludf.DUMMYFUNCTION("GOOGLETRANSLATE(A78,""zh-tw"",""KO"")"),"단원 1-VII")</f>
        <v>단원 1-VII</v>
      </c>
      <c r="L78" s="142" t="str">
        <f>IFERROR(__xludf.DUMMYFUNCTION("GOOGLETRANSLATE(B78,""zh-tw"",""KO"")"),"스킬 슬롯에 있는 특정 아이템을 소모하여 메카의 형태를 업그레이드하고 새로운 능력을 얻을 수 있습니다.
마법 저항력: 20~??
*버리거나 파괴할 수 없습니다.
(자세한 내용은 팁을 참조하세요)")</f>
        <v>스킬 슬롯에 있는 특정 아이템을 소모하여 메카의 형태를 업그레이드하고 새로운 능력을 얻을 수 있습니다.
마법 저항력: 20~??
*버리거나 파괴할 수 없습니다.
(자세한 내용은 팁을 참조하세요)</v>
      </c>
      <c r="M78" s="316" t="str">
        <f>IFERROR(__xludf.DUMMYFUNCTION("GOOGLETRANSLATE(A78,""zh-tw"",""ru"")"),"Блок 1-VII")</f>
        <v>Блок 1-VII</v>
      </c>
      <c r="N78" s="317" t="str">
        <f>IFERROR(__xludf.DUMMYFUNCTION("GOOGLETRANSLATE(B78,""zh-tw"",""ru"")"),"Вы можете улучшить форму своего меха, используя определённые предметы в ячейках навыков, тем самым приобретая новые способности.
Сопротивление магии: 20~??
*Нельзя выбросить или уничтожить.
(Подробности см. в разделе «СОВЕТЫ»).")</f>
        <v>Вы можете улучшить форму своего меха, используя определённые предметы в ячейках навыков, тем самым приобретая новые способности.
Сопротивление магии: 20~??
*Нельзя выбросить или уничтожить.
(Подробности см. в разделе «СОВЕТЫ»).</v>
      </c>
      <c r="O78" s="313" t="s">
        <v>6985</v>
      </c>
      <c r="P78" s="136" t="s">
        <v>6986</v>
      </c>
      <c r="Q78" s="334" t="s">
        <v>6983</v>
      </c>
      <c r="R78" s="322" t="s">
        <v>6987</v>
      </c>
      <c r="S78" s="320" t="s">
        <v>6988</v>
      </c>
      <c r="T78" s="142" t="s">
        <v>6989</v>
      </c>
      <c r="U78" s="30"/>
      <c r="V78" s="30"/>
      <c r="W78" s="30"/>
      <c r="X78" s="30"/>
      <c r="Y78" s="30"/>
      <c r="Z78" s="30"/>
    </row>
    <row r="79">
      <c r="A79" s="313" t="s">
        <v>6990</v>
      </c>
      <c r="B79" s="136" t="s">
        <v>6991</v>
      </c>
      <c r="C79" s="313" t="s">
        <v>6992</v>
      </c>
      <c r="D79" s="136" t="s">
        <v>6993</v>
      </c>
      <c r="E79" s="313" t="s">
        <v>6994</v>
      </c>
      <c r="F79" s="136" t="s">
        <v>6995</v>
      </c>
      <c r="G79" s="320" t="str">
        <f>IFERROR(__xludf.DUMMYFUNCTION("GOOGLETRANSLATE(A79,""zh-tw"",""zh"")"),"Ruika的万宝槌")</f>
        <v>Ruika的万宝槌</v>
      </c>
      <c r="H79" s="142" t="str">
        <f>IFERROR(__xludf.DUMMYFUNCTION("GOOGLETRANSLATE(B79,""zh-tw"",""zh"")"),"幸运：777
增加掉落率(作弊道具)")</f>
        <v>幸运：777
增加掉落率(作弊道具)</v>
      </c>
      <c r="I79" s="320" t="str">
        <f>IFERROR(__xludf.DUMMYFUNCTION("GOOGLETRANSLATE(A79,""zh-tw"",""es-MX"")"),"El martillo de Ruika")</f>
        <v>El martillo de Ruika</v>
      </c>
      <c r="J79" s="142" t="str">
        <f>IFERROR(__xludf.DUMMYFUNCTION("GOOGLETRANSLATE(B79,""zh-tw"",""es-MX"")"),"Suerte: 777 Aumenta la probabilidad de obtener objetos (objeto de trampa)")</f>
        <v>Suerte: 777 Aumenta la probabilidad de obtener objetos (objeto de trampa)</v>
      </c>
      <c r="K79" s="320" t="str">
        <f>IFERROR(__xludf.DUMMYFUNCTION("GOOGLETRANSLATE(A79,""zh-tw"",""KO"")"),"루이카의 망치")</f>
        <v>루이카의 망치</v>
      </c>
      <c r="L79" s="142" t="str">
        <f>IFERROR(__xludf.DUMMYFUNCTION("GOOGLETRANSLATE(B79,""zh-tw"",""KO"")"),"행운 : 777 (치트아이템) 드랍률 증가")</f>
        <v>행운 : 777 (치트아이템) 드랍률 증가</v>
      </c>
      <c r="M79" s="316" t="str">
        <f>IFERROR(__xludf.DUMMYFUNCTION("GOOGLETRANSLATE(A79,""zh-tw"",""ru"")"),"Молот Руики")</f>
        <v>Молот Руики</v>
      </c>
      <c r="N79" s="317" t="str">
        <f>IFERROR(__xludf.DUMMYFUNCTION("GOOGLETRANSLATE(B79,""zh-tw"",""ru"")"),"Удача: 777 Увеличивает шанс выпадения (чит-предмет)")</f>
        <v>Удача: 777 Увеличивает шанс выпадения (чит-предмет)</v>
      </c>
      <c r="O79" s="316" t="str">
        <f>IFERROR(__xludf.DUMMYFUNCTION("GOOGLETRANSLATE(A79,""zh-tw"",""de"")"),"Ruikas Hammer")</f>
        <v>Ruikas Hammer</v>
      </c>
      <c r="P79" s="317" t="str">
        <f>IFERROR(__xludf.DUMMYFUNCTION("GOOGLETRANSLATE(B79,""zh-tw"",""de"")"),"Glück: 777 Erhöht die Drop-Rate (Cheat-Gegenstand)")</f>
        <v>Glück: 777 Erhöht die Drop-Rate (Cheat-Gegenstand)</v>
      </c>
      <c r="Q79" s="338" t="s">
        <v>6996</v>
      </c>
      <c r="R79" s="322" t="s">
        <v>6997</v>
      </c>
      <c r="S79" s="138" t="s">
        <v>6998</v>
      </c>
      <c r="T79" s="142" t="s">
        <v>6999</v>
      </c>
      <c r="U79" s="30"/>
      <c r="V79" s="30"/>
      <c r="W79" s="30"/>
      <c r="X79" s="30"/>
      <c r="Y79" s="30"/>
      <c r="Z79" s="30"/>
    </row>
    <row r="80">
      <c r="A80" s="313" t="s">
        <v>7000</v>
      </c>
      <c r="B80" s="136" t="s">
        <v>7001</v>
      </c>
      <c r="C80" s="313" t="s">
        <v>7002</v>
      </c>
      <c r="D80" s="136" t="s">
        <v>7003</v>
      </c>
      <c r="E80" s="313" t="s">
        <v>7004</v>
      </c>
      <c r="F80" s="136" t="s">
        <v>7005</v>
      </c>
      <c r="G80" s="320" t="str">
        <f>IFERROR(__xludf.DUMMYFUNCTION("GOOGLETRANSLATE(A80,""zh-tw"",""zh"")"),"Mio的急救箱")</f>
        <v>Mio的急救箱</v>
      </c>
      <c r="H80" s="142" t="str">
        <f>IFERROR(__xludf.DUMMYFUNCTION("GOOGLETRANSLATE(B80,""zh-tw"",""zh"")"),"每秒回复血(作弊道具)")</f>
        <v>每秒回复血(作弊道具)</v>
      </c>
      <c r="I80" s="320" t="str">
        <f>IFERROR(__xludf.DUMMYFUNCTION("GOOGLETRANSLATE(A80,""zh-tw"",""es-MX"")"),"Botiquín de primeros auxilios de Mio")</f>
        <v>Botiquín de primeros auxilios de Mio</v>
      </c>
      <c r="J80" s="142" t="str">
        <f>IFERROR(__xludf.DUMMYFUNCTION("GOOGLETRANSLATE(B80,""zh-tw"",""es-MX"")"),"Regenera salud por segundo (objeto de truco)")</f>
        <v>Regenera salud por segundo (objeto de truco)</v>
      </c>
      <c r="K80" s="320" t="str">
        <f>IFERROR(__xludf.DUMMYFUNCTION("GOOGLETRANSLATE(A80,""zh-tw"",""KO"")"),"미오의 응급처치 키트")</f>
        <v>미오의 응급처치 키트</v>
      </c>
      <c r="L80" s="142" t="str">
        <f>IFERROR(__xludf.DUMMYFUNCTION("GOOGLETRANSLATE(B80,""zh-tw"",""KO"")"),"초당 체력 재생(치트 아이템)")</f>
        <v>초당 체력 재생(치트 아이템)</v>
      </c>
      <c r="M80" s="316" t="str">
        <f>IFERROR(__xludf.DUMMYFUNCTION("GOOGLETRANSLATE(A80,""zh-tw"",""ru"")"),"Аптечка первой помощи Мио")</f>
        <v>Аптечка первой помощи Мио</v>
      </c>
      <c r="N80" s="317" t="str">
        <f>IFERROR(__xludf.DUMMYFUNCTION("GOOGLETRANSLATE(B80,""zh-tw"",""ru"")"),"Восстанавливает здоровье каждую секунду (чит-предмет)")</f>
        <v>Восстанавливает здоровье каждую секунду (чит-предмет)</v>
      </c>
      <c r="O80" s="316" t="str">
        <f>IFERROR(__xludf.DUMMYFUNCTION("GOOGLETRANSLATE(A80,""zh-tw"",""de"")"),"Mios Erste-Hilfe-Set")</f>
        <v>Mios Erste-Hilfe-Set</v>
      </c>
      <c r="P80" s="317" t="str">
        <f>IFERROR(__xludf.DUMMYFUNCTION("GOOGLETRANSLATE(B80,""zh-tw"",""de"")"),"Regeneriert Gesundheit pro Sekunde (Cheat-Gegenstand)")</f>
        <v>Regeneriert Gesundheit pro Sekunde (Cheat-Gegenstand)</v>
      </c>
      <c r="Q80" s="338" t="s">
        <v>7006</v>
      </c>
      <c r="R80" s="322" t="s">
        <v>7007</v>
      </c>
      <c r="S80" s="138" t="s">
        <v>7008</v>
      </c>
      <c r="T80" s="142" t="s">
        <v>7009</v>
      </c>
      <c r="U80" s="30"/>
      <c r="V80" s="30"/>
      <c r="W80" s="30"/>
      <c r="X80" s="30"/>
      <c r="Y80" s="30"/>
      <c r="Z80" s="30"/>
    </row>
    <row r="81">
      <c r="A81" s="313" t="s">
        <v>7010</v>
      </c>
      <c r="B81" s="136" t="s">
        <v>7011</v>
      </c>
      <c r="C81" s="313" t="s">
        <v>7012</v>
      </c>
      <c r="D81" s="136" t="s">
        <v>7013</v>
      </c>
      <c r="E81" s="313" t="s">
        <v>7014</v>
      </c>
      <c r="F81" s="136" t="s">
        <v>7015</v>
      </c>
      <c r="G81" s="320" t="str">
        <f>IFERROR(__xludf.DUMMYFUNCTION("GOOGLETRANSLATE(A81,""zh-tw"",""zh"")"),"白湮的金手指")</f>
        <v>白湮的金手指</v>
      </c>
      <c r="H81" s="142" t="str">
        <f>IFERROR(__xludf.DUMMYFUNCTION("GOOGLETRANSLATE(B81,""zh-tw"",""zh"")"),"武器无消耗(作弊道具)")</f>
        <v>武器无消耗(作弊道具)</v>
      </c>
      <c r="I81" s="320" t="str">
        <f>IFERROR(__xludf.DUMMYFUNCTION("GOOGLETRANSLATE(A81,""zh-tw"",""es-MX"")"),"El dedo dorado de Bai Yan")</f>
        <v>El dedo dorado de Bai Yan</v>
      </c>
      <c r="J81" s="142" t="str">
        <f>IFERROR(__xludf.DUMMYFUNCTION("GOOGLETRANSLATE(B81,""zh-tw"",""es-MX"")"),"Las armas no tienen coste (objeto trampa)")</f>
        <v>Las armas no tienen coste (objeto trampa)</v>
      </c>
      <c r="K81" s="320" t="str">
        <f>IFERROR(__xludf.DUMMYFUNCTION("GOOGLETRANSLATE(A81,""zh-tw"",""KO"")"),"백연의 황금 손가락")</f>
        <v>백연의 황금 손가락</v>
      </c>
      <c r="L81" s="142" t="str">
        <f>IFERROR(__xludf.DUMMYFUNCTION("GOOGLETRANSLATE(B81,""zh-tw"",""KO"")"),"무기에는 비용이 없습니다(치트 아이템)")</f>
        <v>무기에는 비용이 없습니다(치트 아이템)</v>
      </c>
      <c r="M81" s="316" t="str">
        <f>IFERROR(__xludf.DUMMYFUNCTION("GOOGLETRANSLATE(A81,""zh-tw"",""ru"")"),"Золотой палец Бай Яня")</f>
        <v>Золотой палец Бай Яня</v>
      </c>
      <c r="N81" s="317" t="str">
        <f>IFERROR(__xludf.DUMMYFUNCTION("GOOGLETRANSLATE(B81,""zh-tw"",""ru"")"),"Оружие не имеет стоимости (чит-предмет)")</f>
        <v>Оружие не имеет стоимости (чит-предмет)</v>
      </c>
      <c r="O81" s="316" t="str">
        <f>IFERROR(__xludf.DUMMYFUNCTION("GOOGLETRANSLATE(A81,""zh-tw"",""de"")"),"Bai Yans goldener Finger")</f>
        <v>Bai Yans goldener Finger</v>
      </c>
      <c r="P81" s="317" t="str">
        <f>IFERROR(__xludf.DUMMYFUNCTION("GOOGLETRANSLATE(B81,""zh-tw"",""de"")"),"Waffen kosten nichts (Cheat-Gegenstand).")</f>
        <v>Waffen kosten nichts (Cheat-Gegenstand).</v>
      </c>
      <c r="Q81" s="338" t="s">
        <v>7016</v>
      </c>
      <c r="R81" s="322" t="s">
        <v>7017</v>
      </c>
      <c r="S81" s="138" t="s">
        <v>7018</v>
      </c>
      <c r="T81" s="142" t="s">
        <v>7019</v>
      </c>
      <c r="U81" s="30"/>
      <c r="V81" s="30"/>
      <c r="W81" s="30"/>
      <c r="X81" s="30"/>
      <c r="Y81" s="30"/>
      <c r="Z81" s="30"/>
    </row>
    <row r="82">
      <c r="A82" s="320" t="s">
        <v>7020</v>
      </c>
      <c r="B82" s="142" t="s">
        <v>7021</v>
      </c>
      <c r="C82" s="320" t="s">
        <v>7022</v>
      </c>
      <c r="D82" s="142" t="s">
        <v>7023</v>
      </c>
      <c r="E82" s="320" t="s">
        <v>7024</v>
      </c>
      <c r="F82" s="142" t="s">
        <v>7025</v>
      </c>
      <c r="G82" s="320" t="s">
        <v>7026</v>
      </c>
      <c r="H82" s="142" t="s">
        <v>7027</v>
      </c>
      <c r="I82" s="320" t="str">
        <f>IFERROR(__xludf.DUMMYFUNCTION("GOOGLETRANSLATE(A82,""zh-tw"",""es-MX"")"),"El regalo de los Creepers Oscuros")</f>
        <v>El regalo de los Creepers Oscuros</v>
      </c>
      <c r="J82" s="142" t="str">
        <f>IFERROR(__xludf.DUMMYFUNCTION("GOOGLETRANSLATE(B82,""zh-tw"",""es-MX"")"),"Mayor velocidad de movimiento.
Garantizado para otorgar un efecto de estado especial.")</f>
        <v>Mayor velocidad de movimiento.
Garantizado para otorgar un efecto de estado especial.</v>
      </c>
      <c r="K82" s="320" t="str">
        <f>IFERROR(__xludf.DUMMYFUNCTION("GOOGLETRANSLATE(A82,""zh-tw"",""KO"")"),"다크 크리퍼의 선물")</f>
        <v>다크 크리퍼의 선물</v>
      </c>
      <c r="L82" s="142" t="str">
        <f>IFERROR(__xludf.DUMMYFUNCTION("GOOGLETRANSLATE(B82,""zh-tw"",""KO"")"),"이동 속도 증가
특수 상태 효과 부여 보장")</f>
        <v>이동 속도 증가
특수 상태 효과 부여 보장</v>
      </c>
      <c r="M82" s="316" t="str">
        <f>IFERROR(__xludf.DUMMYFUNCTION("GOOGLETRANSLATE(A82,""zh-tw"",""ru"")"),"Дар Темных Ползунов")</f>
        <v>Дар Темных Ползунов</v>
      </c>
      <c r="N82" s="317" t="str">
        <f>IFERROR(__xludf.DUMMYFUNCTION("GOOGLETRANSLATE(B82,""zh-tw"",""ru"")"),"Увеличенная скорость передвижения
Гарантированно даёт особый статусный эффект")</f>
        <v>Увеличенная скорость передвижения
Гарантированно даёт особый статусный эффект</v>
      </c>
      <c r="O82" s="316" t="str">
        <f>IFERROR(__xludf.DUMMYFUNCTION("GOOGLETRANSLATE(A82,""zh-tw"",""de"")"),"Geschenk der dunklen Kriecher")</f>
        <v>Geschenk der dunklen Kriecher</v>
      </c>
      <c r="P82" s="317" t="str">
        <f>IFERROR(__xludf.DUMMYFUNCTION("GOOGLETRANSLATE(B82,""zh-tw"",""de"")"),"Erhöhte Bewegungsgeschwindigkeit. Gewährt garantiert einen besonderen Statuseffekt.")</f>
        <v>Erhöhte Bewegungsgeschwindigkeit. Gewährt garantiert einen besonderen Statuseffekt.</v>
      </c>
      <c r="Q82" s="342"/>
      <c r="R82" s="343" t="s">
        <v>7028</v>
      </c>
      <c r="S82" s="138" t="s">
        <v>7029</v>
      </c>
      <c r="T82" s="142" t="s">
        <v>7030</v>
      </c>
      <c r="U82" s="30"/>
      <c r="V82" s="30"/>
      <c r="W82" s="30"/>
      <c r="X82" s="30"/>
      <c r="Y82" s="30"/>
      <c r="Z82" s="30"/>
    </row>
    <row r="83">
      <c r="A83" s="320" t="s">
        <v>7031</v>
      </c>
      <c r="B83" s="142" t="s">
        <v>7032</v>
      </c>
      <c r="C83" s="320" t="s">
        <v>7033</v>
      </c>
      <c r="D83" s="142" t="s">
        <v>7034</v>
      </c>
      <c r="E83" s="320" t="s">
        <v>7035</v>
      </c>
      <c r="F83" s="142" t="s">
        <v>7036</v>
      </c>
      <c r="G83" s="320" t="s">
        <v>7037</v>
      </c>
      <c r="H83" s="142" t="s">
        <v>7038</v>
      </c>
      <c r="I83" s="320" t="str">
        <f>IFERROR(__xludf.DUMMYFUNCTION("GOOGLETRANSLATE(A83,""zh-tw"",""es-MX"")"),"Cuerno rojo")</f>
        <v>Cuerno rojo</v>
      </c>
      <c r="J83" s="142" t="str">
        <f>IFERROR(__xludf.DUMMYFUNCTION("GOOGLETRANSLATE(B83,""zh-tw"",""es-MX"")"),"Ataque físico: 4
Defensa física: 2
Defensa mágica: 25
Aumento de velocidad ilimitado tras la carga")</f>
        <v>Ataque físico: 4
Defensa física: 2
Defensa mágica: 25
Aumento de velocidad ilimitado tras la carga</v>
      </c>
      <c r="K83" s="320" t="str">
        <f>IFERROR(__xludf.DUMMYFUNCTION("GOOGLETRANSLATE(A83,""zh-tw"",""KO"")"),"붉은 뿔")</f>
        <v>붉은 뿔</v>
      </c>
      <c r="L83" s="142" t="str">
        <f>IFERROR(__xludf.DUMMYFUNCTION("GOOGLETRANSLATE(B83,""zh-tw"",""KO"")"),"물리 공격력: 4
물리 방어력: 2
마법 방어력: 25
충전 후 속도 무제한 증가")</f>
        <v>물리 공격력: 4
물리 방어력: 2
마법 방어력: 25
충전 후 속도 무제한 증가</v>
      </c>
      <c r="M83" s="316" t="str">
        <f>IFERROR(__xludf.DUMMYFUNCTION("GOOGLETRANSLATE(A83,""zh-tw"",""ru"")"),"Красный рог")</f>
        <v>Красный рог</v>
      </c>
      <c r="N83" s="317" t="str">
        <f>IFERROR(__xludf.DUMMYFUNCTION("GOOGLETRANSLATE(B83,""zh-tw"",""ru"")"),"Физическая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3" s="316" t="str">
        <f>IFERROR(__xludf.DUMMYFUNCTION("GOOGLETRANSLATE(A83,""zh-tw"",""de"")"),"Rothorn")</f>
        <v>Rothorn</v>
      </c>
      <c r="P83" s="317" t="str">
        <f>IFERROR(__xludf.DUMMYFUNCTION("GOOGLETRANSLATE(B83,""zh-tw"",""de"")"),"Physischer Angriff: 4
Physische Verteidigung: 2
Magische Verteidigung: 25
Unbegrenzter Geschwindigkeitsschub nach dem Aufladen")</f>
        <v>Physischer Angriff: 4
Physische Verteidigung: 2
Magische Verteidigung: 25
Unbegrenzter Geschwindigkeitsschub nach dem Aufladen</v>
      </c>
      <c r="Q83" s="344" t="s">
        <v>7039</v>
      </c>
      <c r="R83" s="171" t="s">
        <v>7040</v>
      </c>
      <c r="S83" s="138" t="s">
        <v>7041</v>
      </c>
      <c r="T83" s="142" t="s">
        <v>7042</v>
      </c>
      <c r="U83" s="30"/>
      <c r="V83" s="30"/>
      <c r="W83" s="30"/>
      <c r="X83" s="30"/>
      <c r="Y83" s="30"/>
      <c r="Z83" s="30"/>
    </row>
    <row r="84">
      <c r="A84" s="320"/>
      <c r="B84" s="142"/>
      <c r="C84" s="320"/>
      <c r="D84" s="142"/>
      <c r="E84" s="320"/>
      <c r="F84" s="142"/>
      <c r="G84" s="320"/>
      <c r="H84" s="142"/>
      <c r="I84" s="320"/>
      <c r="J84" s="142"/>
      <c r="K84" s="320"/>
      <c r="L84" s="142"/>
      <c r="M84" s="320"/>
      <c r="N84" s="142"/>
      <c r="O84" s="320"/>
      <c r="P84" s="142"/>
      <c r="Q84" s="345"/>
      <c r="R84" s="346"/>
      <c r="S84" s="138"/>
      <c r="T84" s="142"/>
      <c r="U84" s="30"/>
      <c r="V84" s="30"/>
      <c r="W84" s="30"/>
      <c r="X84" s="30"/>
      <c r="Y84" s="30"/>
      <c r="Z84" s="30"/>
    </row>
    <row r="85">
      <c r="A85" s="320"/>
      <c r="B85" s="142"/>
      <c r="C85" s="320"/>
      <c r="D85" s="142"/>
      <c r="E85" s="320"/>
      <c r="F85" s="142"/>
      <c r="G85" s="320"/>
      <c r="H85" s="142"/>
      <c r="I85" s="320"/>
      <c r="J85" s="142"/>
      <c r="K85" s="320"/>
      <c r="L85" s="142"/>
      <c r="M85" s="320"/>
      <c r="N85" s="142"/>
      <c r="O85" s="320"/>
      <c r="P85" s="142"/>
      <c r="Q85" s="345"/>
      <c r="R85" s="346"/>
      <c r="S85" s="138"/>
      <c r="T85" s="142"/>
      <c r="U85" s="30"/>
      <c r="V85" s="30"/>
      <c r="W85" s="30"/>
      <c r="X85" s="30"/>
      <c r="Y85" s="30"/>
      <c r="Z85" s="30"/>
    </row>
    <row r="86">
      <c r="A86" s="320"/>
      <c r="B86" s="142"/>
      <c r="C86" s="320"/>
      <c r="D86" s="142"/>
      <c r="E86" s="320"/>
      <c r="F86" s="142"/>
      <c r="G86" s="320"/>
      <c r="H86" s="142"/>
      <c r="I86" s="320"/>
      <c r="J86" s="142"/>
      <c r="K86" s="320"/>
      <c r="L86" s="142"/>
      <c r="M86" s="320"/>
      <c r="N86" s="142"/>
      <c r="O86" s="320"/>
      <c r="P86" s="142"/>
      <c r="Q86" s="345"/>
      <c r="R86" s="346"/>
      <c r="S86" s="138"/>
      <c r="T86" s="142"/>
      <c r="U86" s="30"/>
      <c r="V86" s="30"/>
      <c r="W86" s="30"/>
      <c r="X86" s="30"/>
      <c r="Y86" s="30"/>
      <c r="Z86" s="30"/>
    </row>
    <row r="87">
      <c r="A87" s="320"/>
      <c r="B87" s="142"/>
      <c r="C87" s="320"/>
      <c r="D87" s="142"/>
      <c r="E87" s="320"/>
      <c r="F87" s="142"/>
      <c r="G87" s="320"/>
      <c r="H87" s="142"/>
      <c r="I87" s="320"/>
      <c r="J87" s="142"/>
      <c r="K87" s="320"/>
      <c r="L87" s="142"/>
      <c r="M87" s="320"/>
      <c r="N87" s="142"/>
      <c r="O87" s="320"/>
      <c r="P87" s="142"/>
      <c r="Q87" s="345"/>
      <c r="R87" s="346"/>
      <c r="S87" s="320"/>
      <c r="T87" s="142"/>
      <c r="U87" s="30"/>
      <c r="V87" s="30"/>
      <c r="W87" s="30"/>
      <c r="X87" s="30"/>
      <c r="Y87" s="30"/>
      <c r="Z87" s="30"/>
    </row>
    <row r="88">
      <c r="A88" s="320"/>
      <c r="B88" s="142"/>
      <c r="C88" s="320"/>
      <c r="D88" s="142"/>
      <c r="E88" s="320"/>
      <c r="F88" s="142"/>
      <c r="G88" s="320"/>
      <c r="H88" s="142"/>
      <c r="I88" s="320"/>
      <c r="J88" s="142"/>
      <c r="K88" s="320"/>
      <c r="L88" s="142"/>
      <c r="M88" s="320"/>
      <c r="N88" s="142"/>
      <c r="O88" s="320"/>
      <c r="P88" s="142"/>
      <c r="Q88" s="345"/>
      <c r="R88" s="346"/>
      <c r="S88" s="320"/>
      <c r="T88" s="142"/>
      <c r="U88" s="30"/>
      <c r="V88" s="30"/>
      <c r="W88" s="30"/>
      <c r="X88" s="30"/>
      <c r="Y88" s="30"/>
      <c r="Z88" s="30"/>
    </row>
    <row r="89">
      <c r="A89" s="320"/>
      <c r="B89" s="347"/>
      <c r="C89" s="320"/>
      <c r="D89" s="142"/>
      <c r="E89" s="320"/>
      <c r="F89" s="142"/>
      <c r="G89" s="320"/>
      <c r="H89" s="142"/>
      <c r="I89" s="320"/>
      <c r="J89" s="142"/>
      <c r="K89" s="320"/>
      <c r="L89" s="142"/>
      <c r="M89" s="320"/>
      <c r="N89" s="142"/>
      <c r="O89" s="320"/>
      <c r="P89" s="142"/>
      <c r="Q89" s="345"/>
      <c r="R89" s="346"/>
      <c r="S89" s="320"/>
      <c r="T89" s="142"/>
      <c r="U89" s="30"/>
      <c r="V89" s="30"/>
      <c r="W89" s="30"/>
      <c r="X89" s="30"/>
      <c r="Y89" s="30"/>
      <c r="Z89" s="30"/>
    </row>
    <row r="90">
      <c r="A90" s="320"/>
      <c r="B90" s="142"/>
      <c r="C90" s="320"/>
      <c r="D90" s="142"/>
      <c r="E90" s="320"/>
      <c r="F90" s="142"/>
      <c r="G90" s="320"/>
      <c r="H90" s="142"/>
      <c r="I90" s="320"/>
      <c r="J90" s="142"/>
      <c r="K90" s="320"/>
      <c r="L90" s="142"/>
      <c r="M90" s="320"/>
      <c r="N90" s="142"/>
      <c r="O90" s="320"/>
      <c r="P90" s="142"/>
      <c r="Q90" s="345"/>
      <c r="R90" s="346"/>
      <c r="S90" s="320"/>
      <c r="T90" s="142"/>
      <c r="U90" s="30"/>
      <c r="V90" s="30"/>
      <c r="W90" s="30"/>
      <c r="X90" s="30"/>
      <c r="Y90" s="30"/>
      <c r="Z90" s="30"/>
    </row>
    <row r="91">
      <c r="A91" s="320"/>
      <c r="B91" s="142"/>
      <c r="C91" s="320"/>
      <c r="D91" s="142"/>
      <c r="E91" s="320"/>
      <c r="F91" s="142"/>
      <c r="G91" s="320"/>
      <c r="H91" s="142"/>
      <c r="I91" s="320"/>
      <c r="J91" s="142"/>
      <c r="K91" s="320"/>
      <c r="L91" s="142"/>
      <c r="M91" s="320"/>
      <c r="N91" s="142"/>
      <c r="O91" s="320"/>
      <c r="P91" s="142"/>
      <c r="Q91" s="345"/>
      <c r="R91" s="346"/>
      <c r="S91" s="320"/>
      <c r="T91" s="142"/>
      <c r="U91" s="30"/>
      <c r="V91" s="30"/>
      <c r="W91" s="30"/>
      <c r="X91" s="30"/>
      <c r="Y91" s="30"/>
      <c r="Z91" s="30"/>
    </row>
    <row r="92">
      <c r="A92" s="320"/>
      <c r="B92" s="142"/>
      <c r="C92" s="320"/>
      <c r="D92" s="142"/>
      <c r="E92" s="320"/>
      <c r="F92" s="142"/>
      <c r="G92" s="320"/>
      <c r="H92" s="142"/>
      <c r="I92" s="320"/>
      <c r="J92" s="142"/>
      <c r="K92" s="320"/>
      <c r="L92" s="142"/>
      <c r="M92" s="320"/>
      <c r="N92" s="142"/>
      <c r="O92" s="320"/>
      <c r="P92" s="142"/>
      <c r="Q92" s="345"/>
      <c r="R92" s="346"/>
      <c r="S92" s="320"/>
      <c r="T92" s="142"/>
      <c r="U92" s="30"/>
      <c r="V92" s="30"/>
      <c r="W92" s="30"/>
      <c r="X92" s="30"/>
      <c r="Y92" s="30"/>
      <c r="Z92" s="30"/>
    </row>
    <row r="93">
      <c r="A93" s="320"/>
      <c r="B93" s="142"/>
      <c r="C93" s="320"/>
      <c r="D93" s="142"/>
      <c r="E93" s="320"/>
      <c r="F93" s="142"/>
      <c r="G93" s="320"/>
      <c r="H93" s="142"/>
      <c r="I93" s="320"/>
      <c r="J93" s="142"/>
      <c r="K93" s="320"/>
      <c r="L93" s="142"/>
      <c r="M93" s="320"/>
      <c r="N93" s="142"/>
      <c r="O93" s="320"/>
      <c r="P93" s="142"/>
      <c r="Q93" s="345"/>
      <c r="R93" s="346"/>
      <c r="S93" s="320"/>
      <c r="T93" s="142"/>
      <c r="U93" s="30"/>
      <c r="V93" s="30"/>
      <c r="W93" s="30"/>
      <c r="X93" s="30"/>
      <c r="Y93" s="30"/>
      <c r="Z93" s="30"/>
    </row>
    <row r="94">
      <c r="A94" s="320"/>
      <c r="B94" s="142"/>
      <c r="C94" s="320"/>
      <c r="D94" s="142"/>
      <c r="E94" s="320"/>
      <c r="F94" s="142"/>
      <c r="G94" s="320"/>
      <c r="H94" s="142"/>
      <c r="I94" s="320"/>
      <c r="J94" s="142"/>
      <c r="K94" s="320"/>
      <c r="L94" s="142"/>
      <c r="M94" s="320"/>
      <c r="N94" s="142"/>
      <c r="O94" s="320"/>
      <c r="P94" s="142"/>
      <c r="Q94" s="345"/>
      <c r="R94" s="346"/>
      <c r="S94" s="320"/>
      <c r="T94" s="142"/>
      <c r="U94" s="30"/>
      <c r="V94" s="30"/>
      <c r="W94" s="30"/>
      <c r="X94" s="30"/>
      <c r="Y94" s="30"/>
      <c r="Z94" s="30"/>
    </row>
    <row r="95">
      <c r="A95" s="320"/>
      <c r="B95" s="142"/>
      <c r="C95" s="320"/>
      <c r="D95" s="142"/>
      <c r="E95" s="320"/>
      <c r="F95" s="142"/>
      <c r="G95" s="320"/>
      <c r="H95" s="142"/>
      <c r="I95" s="320"/>
      <c r="J95" s="142"/>
      <c r="K95" s="320"/>
      <c r="L95" s="142"/>
      <c r="M95" s="320"/>
      <c r="N95" s="142"/>
      <c r="O95" s="320"/>
      <c r="P95" s="142"/>
      <c r="Q95" s="345"/>
      <c r="R95" s="346"/>
      <c r="S95" s="320"/>
      <c r="T95" s="142"/>
      <c r="U95" s="30"/>
      <c r="V95" s="30"/>
      <c r="W95" s="30"/>
      <c r="X95" s="30"/>
      <c r="Y95" s="30"/>
      <c r="Z95" s="30"/>
    </row>
    <row r="96">
      <c r="A96" s="320"/>
      <c r="B96" s="142"/>
      <c r="C96" s="320"/>
      <c r="D96" s="142"/>
      <c r="E96" s="320"/>
      <c r="F96" s="142"/>
      <c r="G96" s="320"/>
      <c r="H96" s="142"/>
      <c r="I96" s="320"/>
      <c r="J96" s="142"/>
      <c r="K96" s="320"/>
      <c r="L96" s="142"/>
      <c r="M96" s="320"/>
      <c r="N96" s="142"/>
      <c r="O96" s="320"/>
      <c r="P96" s="142"/>
      <c r="Q96" s="345"/>
      <c r="R96" s="346"/>
      <c r="S96" s="320"/>
      <c r="T96" s="142"/>
      <c r="U96" s="30"/>
      <c r="V96" s="30"/>
      <c r="W96" s="30"/>
      <c r="X96" s="30"/>
      <c r="Y96" s="30"/>
      <c r="Z96" s="30"/>
    </row>
    <row r="97">
      <c r="A97" s="320"/>
      <c r="B97" s="142"/>
      <c r="C97" s="320"/>
      <c r="D97" s="142"/>
      <c r="E97" s="320"/>
      <c r="F97" s="142"/>
      <c r="G97" s="320"/>
      <c r="H97" s="142"/>
      <c r="I97" s="320"/>
      <c r="J97" s="142"/>
      <c r="K97" s="320"/>
      <c r="L97" s="142"/>
      <c r="M97" s="320"/>
      <c r="N97" s="142"/>
      <c r="O97" s="320"/>
      <c r="P97" s="142"/>
      <c r="Q97" s="345"/>
      <c r="R97" s="346"/>
      <c r="S97" s="320"/>
      <c r="T97" s="142"/>
      <c r="U97" s="30"/>
      <c r="V97" s="30"/>
      <c r="W97" s="30"/>
      <c r="X97" s="30"/>
      <c r="Y97" s="30"/>
      <c r="Z97" s="30"/>
    </row>
    <row r="98">
      <c r="A98" s="320"/>
      <c r="B98" s="142"/>
      <c r="C98" s="320"/>
      <c r="D98" s="142"/>
      <c r="E98" s="320"/>
      <c r="F98" s="142"/>
      <c r="G98" s="320"/>
      <c r="H98" s="142"/>
      <c r="I98" s="320"/>
      <c r="J98" s="142"/>
      <c r="K98" s="320"/>
      <c r="L98" s="142"/>
      <c r="M98" s="320"/>
      <c r="N98" s="142"/>
      <c r="O98" s="320"/>
      <c r="P98" s="142"/>
      <c r="Q98" s="345"/>
      <c r="R98" s="346"/>
      <c r="S98" s="320"/>
      <c r="T98" s="142"/>
      <c r="U98" s="30"/>
      <c r="V98" s="30"/>
      <c r="W98" s="30"/>
      <c r="X98" s="30"/>
      <c r="Y98" s="30"/>
      <c r="Z98" s="30"/>
    </row>
    <row r="99">
      <c r="A99" s="320"/>
      <c r="B99" s="142"/>
      <c r="C99" s="320"/>
      <c r="D99" s="142"/>
      <c r="E99" s="320"/>
      <c r="F99" s="142"/>
      <c r="G99" s="320"/>
      <c r="H99" s="142"/>
      <c r="I99" s="320"/>
      <c r="J99" s="142"/>
      <c r="K99" s="320"/>
      <c r="L99" s="142"/>
      <c r="M99" s="320"/>
      <c r="N99" s="142"/>
      <c r="O99" s="320"/>
      <c r="P99" s="142"/>
      <c r="Q99" s="345"/>
      <c r="R99" s="346"/>
      <c r="S99" s="320"/>
      <c r="T99" s="142"/>
      <c r="U99" s="30"/>
      <c r="V99" s="30"/>
      <c r="W99" s="30"/>
      <c r="X99" s="30"/>
      <c r="Y99" s="30"/>
      <c r="Z99" s="30"/>
    </row>
    <row r="100">
      <c r="A100" s="320"/>
      <c r="B100" s="142"/>
      <c r="C100" s="320"/>
      <c r="D100" s="142"/>
      <c r="E100" s="320"/>
      <c r="F100" s="142"/>
      <c r="G100" s="320"/>
      <c r="H100" s="142"/>
      <c r="I100" s="320"/>
      <c r="J100" s="142"/>
      <c r="K100" s="320"/>
      <c r="L100" s="142"/>
      <c r="M100" s="320"/>
      <c r="N100" s="142"/>
      <c r="O100" s="320"/>
      <c r="P100" s="142"/>
      <c r="Q100" s="345"/>
      <c r="R100" s="346"/>
      <c r="S100" s="320"/>
      <c r="T100" s="142"/>
      <c r="U100" s="30"/>
      <c r="V100" s="30"/>
      <c r="W100" s="30"/>
      <c r="X100" s="30"/>
      <c r="Y100" s="30"/>
      <c r="Z100" s="30"/>
    </row>
    <row r="101">
      <c r="A101" s="320"/>
      <c r="B101" s="142"/>
      <c r="C101" s="320"/>
      <c r="D101" s="142"/>
      <c r="E101" s="320"/>
      <c r="F101" s="142"/>
      <c r="G101" s="320"/>
      <c r="H101" s="142"/>
      <c r="I101" s="320"/>
      <c r="J101" s="142"/>
      <c r="K101" s="320"/>
      <c r="L101" s="142"/>
      <c r="M101" s="320"/>
      <c r="N101" s="142"/>
      <c r="O101" s="320"/>
      <c r="P101" s="142"/>
      <c r="Q101" s="345"/>
      <c r="R101" s="346"/>
      <c r="S101" s="320"/>
      <c r="T101" s="142"/>
      <c r="U101" s="30"/>
      <c r="V101" s="30"/>
      <c r="W101" s="30"/>
      <c r="X101" s="30"/>
      <c r="Y101" s="30"/>
      <c r="Z101" s="30"/>
    </row>
    <row r="102">
      <c r="A102" s="320"/>
      <c r="B102" s="142"/>
      <c r="C102" s="320"/>
      <c r="D102" s="142"/>
      <c r="E102" s="320"/>
      <c r="F102" s="142"/>
      <c r="G102" s="320"/>
      <c r="H102" s="142"/>
      <c r="I102" s="320"/>
      <c r="J102" s="142"/>
      <c r="K102" s="320"/>
      <c r="L102" s="142"/>
      <c r="M102" s="320"/>
      <c r="N102" s="142"/>
      <c r="O102" s="320"/>
      <c r="P102" s="142"/>
      <c r="Q102" s="345"/>
      <c r="R102" s="346"/>
      <c r="S102" s="320"/>
      <c r="T102" s="142"/>
      <c r="U102" s="30"/>
      <c r="V102" s="30"/>
      <c r="W102" s="30"/>
      <c r="X102" s="30"/>
      <c r="Y102" s="30"/>
      <c r="Z102" s="30"/>
    </row>
    <row r="103">
      <c r="A103" s="320"/>
      <c r="B103" s="142"/>
      <c r="C103" s="320"/>
      <c r="D103" s="142"/>
      <c r="E103" s="320"/>
      <c r="F103" s="142"/>
      <c r="G103" s="320"/>
      <c r="H103" s="142"/>
      <c r="I103" s="320"/>
      <c r="J103" s="142"/>
      <c r="K103" s="320"/>
      <c r="L103" s="142"/>
      <c r="M103" s="320"/>
      <c r="N103" s="142"/>
      <c r="O103" s="320"/>
      <c r="P103" s="142"/>
      <c r="Q103" s="345"/>
      <c r="R103" s="346"/>
      <c r="S103" s="320"/>
      <c r="T103" s="142"/>
      <c r="U103" s="30"/>
      <c r="V103" s="30"/>
      <c r="W103" s="30"/>
      <c r="X103" s="30"/>
      <c r="Y103" s="30"/>
      <c r="Z103" s="30"/>
    </row>
    <row r="104">
      <c r="A104" s="320"/>
      <c r="B104" s="142"/>
      <c r="C104" s="320"/>
      <c r="D104" s="142"/>
      <c r="E104" s="320"/>
      <c r="F104" s="142"/>
      <c r="G104" s="320"/>
      <c r="H104" s="142"/>
      <c r="I104" s="320"/>
      <c r="J104" s="142"/>
      <c r="K104" s="320"/>
      <c r="L104" s="142"/>
      <c r="M104" s="320"/>
      <c r="N104" s="142"/>
      <c r="O104" s="320"/>
      <c r="P104" s="142"/>
      <c r="Q104" s="345"/>
      <c r="R104" s="346"/>
      <c r="S104" s="320"/>
      <c r="T104" s="142"/>
      <c r="U104" s="30"/>
      <c r="V104" s="30"/>
      <c r="W104" s="30"/>
      <c r="X104" s="30"/>
      <c r="Y104" s="30"/>
      <c r="Z104" s="30"/>
    </row>
    <row r="105">
      <c r="A105" s="320"/>
      <c r="B105" s="142"/>
      <c r="C105" s="320"/>
      <c r="D105" s="142"/>
      <c r="E105" s="320"/>
      <c r="F105" s="142"/>
      <c r="G105" s="320"/>
      <c r="H105" s="142"/>
      <c r="I105" s="320"/>
      <c r="J105" s="142"/>
      <c r="K105" s="320"/>
      <c r="L105" s="142"/>
      <c r="M105" s="320"/>
      <c r="N105" s="142"/>
      <c r="O105" s="320"/>
      <c r="P105" s="142"/>
      <c r="Q105" s="345"/>
      <c r="R105" s="346"/>
      <c r="S105" s="320"/>
      <c r="T105" s="142"/>
      <c r="U105" s="30"/>
      <c r="V105" s="30"/>
      <c r="W105" s="30"/>
      <c r="X105" s="30"/>
      <c r="Y105" s="30"/>
      <c r="Z105" s="30"/>
    </row>
    <row r="106">
      <c r="A106" s="320"/>
      <c r="B106" s="142"/>
      <c r="C106" s="320"/>
      <c r="D106" s="142"/>
      <c r="E106" s="320"/>
      <c r="F106" s="142"/>
      <c r="G106" s="320"/>
      <c r="H106" s="142"/>
      <c r="I106" s="320"/>
      <c r="J106" s="142"/>
      <c r="K106" s="320"/>
      <c r="L106" s="142"/>
      <c r="M106" s="320"/>
      <c r="N106" s="142"/>
      <c r="O106" s="320"/>
      <c r="P106" s="142"/>
      <c r="Q106" s="345"/>
      <c r="R106" s="346"/>
      <c r="S106" s="320"/>
      <c r="T106" s="142"/>
      <c r="U106" s="30"/>
      <c r="V106" s="30"/>
      <c r="W106" s="30"/>
      <c r="X106" s="30"/>
      <c r="Y106" s="30"/>
      <c r="Z106" s="30"/>
    </row>
    <row r="107">
      <c r="A107" s="320"/>
      <c r="B107" s="142"/>
      <c r="C107" s="320"/>
      <c r="D107" s="142"/>
      <c r="E107" s="320"/>
      <c r="F107" s="142"/>
      <c r="G107" s="320"/>
      <c r="H107" s="142"/>
      <c r="I107" s="320"/>
      <c r="J107" s="142"/>
      <c r="K107" s="320"/>
      <c r="L107" s="142"/>
      <c r="M107" s="320"/>
      <c r="N107" s="142"/>
      <c r="O107" s="320"/>
      <c r="P107" s="142"/>
      <c r="Q107" s="345"/>
      <c r="R107" s="346"/>
      <c r="S107" s="320"/>
      <c r="T107" s="142"/>
      <c r="U107" s="30"/>
      <c r="V107" s="30"/>
      <c r="W107" s="30"/>
      <c r="X107" s="30"/>
      <c r="Y107" s="30"/>
      <c r="Z107" s="30"/>
    </row>
    <row r="108">
      <c r="A108" s="320"/>
      <c r="B108" s="142"/>
      <c r="C108" s="320"/>
      <c r="D108" s="142"/>
      <c r="E108" s="320"/>
      <c r="F108" s="142"/>
      <c r="G108" s="320"/>
      <c r="H108" s="142"/>
      <c r="I108" s="320"/>
      <c r="J108" s="142"/>
      <c r="K108" s="320"/>
      <c r="L108" s="142"/>
      <c r="M108" s="320"/>
      <c r="N108" s="142"/>
      <c r="O108" s="320"/>
      <c r="P108" s="142"/>
      <c r="Q108" s="345"/>
      <c r="R108" s="346"/>
      <c r="S108" s="320"/>
      <c r="T108" s="142"/>
      <c r="U108" s="30"/>
      <c r="V108" s="30"/>
      <c r="W108" s="30"/>
      <c r="X108" s="30"/>
      <c r="Y108" s="30"/>
      <c r="Z108" s="30"/>
    </row>
    <row r="109">
      <c r="A109" s="320"/>
      <c r="B109" s="142"/>
      <c r="C109" s="320"/>
      <c r="D109" s="142"/>
      <c r="E109" s="320"/>
      <c r="F109" s="142"/>
      <c r="G109" s="320"/>
      <c r="H109" s="142"/>
      <c r="I109" s="320"/>
      <c r="J109" s="142"/>
      <c r="K109" s="320"/>
      <c r="L109" s="142"/>
      <c r="M109" s="320"/>
      <c r="N109" s="142"/>
      <c r="O109" s="320"/>
      <c r="P109" s="142"/>
      <c r="Q109" s="345"/>
      <c r="R109" s="346"/>
      <c r="S109" s="320"/>
      <c r="T109" s="142"/>
      <c r="U109" s="30"/>
      <c r="V109" s="30"/>
      <c r="W109" s="30"/>
      <c r="X109" s="30"/>
      <c r="Y109" s="30"/>
      <c r="Z109" s="30"/>
    </row>
    <row r="110">
      <c r="A110" s="320"/>
      <c r="B110" s="142"/>
      <c r="C110" s="320"/>
      <c r="D110" s="142"/>
      <c r="E110" s="320"/>
      <c r="F110" s="142"/>
      <c r="G110" s="320"/>
      <c r="H110" s="142"/>
      <c r="I110" s="320"/>
      <c r="J110" s="142"/>
      <c r="K110" s="320"/>
      <c r="L110" s="142"/>
      <c r="M110" s="320"/>
      <c r="N110" s="142"/>
      <c r="O110" s="320"/>
      <c r="P110" s="142"/>
      <c r="Q110" s="345"/>
      <c r="R110" s="346"/>
      <c r="S110" s="320"/>
      <c r="T110" s="142"/>
      <c r="U110" s="30"/>
      <c r="V110" s="30"/>
      <c r="W110" s="30"/>
      <c r="X110" s="30"/>
      <c r="Y110" s="30"/>
      <c r="Z110" s="30"/>
    </row>
    <row r="111">
      <c r="A111" s="320"/>
      <c r="B111" s="142"/>
      <c r="C111" s="320"/>
      <c r="D111" s="142"/>
      <c r="E111" s="320"/>
      <c r="F111" s="142"/>
      <c r="G111" s="320"/>
      <c r="H111" s="142"/>
      <c r="I111" s="320"/>
      <c r="J111" s="142"/>
      <c r="K111" s="320"/>
      <c r="L111" s="142"/>
      <c r="M111" s="320"/>
      <c r="N111" s="142"/>
      <c r="O111" s="320"/>
      <c r="P111" s="142"/>
      <c r="Q111" s="345"/>
      <c r="R111" s="346"/>
      <c r="S111" s="320"/>
      <c r="T111" s="142"/>
      <c r="U111" s="30"/>
      <c r="V111" s="30"/>
      <c r="W111" s="30"/>
      <c r="X111" s="30"/>
      <c r="Y111" s="30"/>
      <c r="Z111" s="30"/>
    </row>
    <row r="112">
      <c r="A112" s="320"/>
      <c r="B112" s="142"/>
      <c r="C112" s="320"/>
      <c r="D112" s="142"/>
      <c r="E112" s="320"/>
      <c r="F112" s="142"/>
      <c r="G112" s="320"/>
      <c r="H112" s="142"/>
      <c r="I112" s="320"/>
      <c r="J112" s="142"/>
      <c r="K112" s="320"/>
      <c r="L112" s="142"/>
      <c r="M112" s="320"/>
      <c r="N112" s="142"/>
      <c r="O112" s="320"/>
      <c r="P112" s="142"/>
      <c r="Q112" s="345"/>
      <c r="R112" s="346"/>
      <c r="S112" s="320"/>
      <c r="T112" s="142"/>
      <c r="U112" s="30"/>
      <c r="V112" s="30"/>
      <c r="W112" s="30"/>
      <c r="X112" s="30"/>
      <c r="Y112" s="30"/>
      <c r="Z112" s="30"/>
    </row>
    <row r="113">
      <c r="A113" s="320"/>
      <c r="B113" s="142"/>
      <c r="C113" s="320"/>
      <c r="D113" s="142"/>
      <c r="E113" s="320"/>
      <c r="F113" s="142"/>
      <c r="G113" s="320"/>
      <c r="H113" s="142"/>
      <c r="I113" s="320"/>
      <c r="J113" s="142"/>
      <c r="K113" s="320"/>
      <c r="L113" s="142"/>
      <c r="M113" s="320"/>
      <c r="N113" s="142"/>
      <c r="O113" s="320"/>
      <c r="P113" s="142"/>
      <c r="Q113" s="345"/>
      <c r="R113" s="346"/>
      <c r="S113" s="320"/>
      <c r="T113" s="142"/>
      <c r="U113" s="30"/>
      <c r="V113" s="30"/>
      <c r="W113" s="30"/>
      <c r="X113" s="30"/>
      <c r="Y113" s="30"/>
      <c r="Z113" s="30"/>
    </row>
    <row r="114">
      <c r="A114" s="320"/>
      <c r="B114" s="142"/>
      <c r="C114" s="320"/>
      <c r="D114" s="142"/>
      <c r="E114" s="320"/>
      <c r="F114" s="142"/>
      <c r="G114" s="320"/>
      <c r="H114" s="142"/>
      <c r="I114" s="320"/>
      <c r="J114" s="142"/>
      <c r="K114" s="320"/>
      <c r="L114" s="142"/>
      <c r="M114" s="320"/>
      <c r="N114" s="142"/>
      <c r="O114" s="320"/>
      <c r="P114" s="142"/>
      <c r="Q114" s="345"/>
      <c r="R114" s="346"/>
      <c r="S114" s="320"/>
      <c r="T114" s="142"/>
      <c r="U114" s="30"/>
      <c r="V114" s="30"/>
      <c r="W114" s="30"/>
      <c r="X114" s="30"/>
      <c r="Y114" s="30"/>
      <c r="Z114" s="30"/>
    </row>
    <row r="115">
      <c r="A115" s="320"/>
      <c r="B115" s="142"/>
      <c r="C115" s="320"/>
      <c r="D115" s="142"/>
      <c r="E115" s="320"/>
      <c r="F115" s="142"/>
      <c r="G115" s="320"/>
      <c r="H115" s="142"/>
      <c r="I115" s="320"/>
      <c r="J115" s="142"/>
      <c r="K115" s="320"/>
      <c r="L115" s="142"/>
      <c r="M115" s="320"/>
      <c r="N115" s="142"/>
      <c r="O115" s="320"/>
      <c r="P115" s="142"/>
      <c r="Q115" s="345"/>
      <c r="R115" s="346"/>
      <c r="S115" s="320"/>
      <c r="T115" s="142"/>
      <c r="U115" s="30"/>
      <c r="V115" s="30"/>
      <c r="W115" s="30"/>
      <c r="X115" s="30"/>
      <c r="Y115" s="30"/>
      <c r="Z115" s="30"/>
    </row>
    <row r="116">
      <c r="A116" s="320"/>
      <c r="B116" s="142"/>
      <c r="C116" s="320"/>
      <c r="D116" s="142"/>
      <c r="E116" s="320"/>
      <c r="F116" s="142"/>
      <c r="G116" s="320"/>
      <c r="H116" s="142"/>
      <c r="I116" s="320"/>
      <c r="J116" s="142"/>
      <c r="K116" s="320"/>
      <c r="L116" s="142"/>
      <c r="M116" s="320"/>
      <c r="N116" s="142"/>
      <c r="O116" s="320"/>
      <c r="P116" s="142"/>
      <c r="Q116" s="345"/>
      <c r="R116" s="346"/>
      <c r="S116" s="320"/>
      <c r="T116" s="142"/>
      <c r="U116" s="30"/>
      <c r="V116" s="30"/>
      <c r="W116" s="30"/>
      <c r="X116" s="30"/>
      <c r="Y116" s="30"/>
      <c r="Z116" s="30"/>
    </row>
    <row r="117">
      <c r="A117" s="320"/>
      <c r="B117" s="142"/>
      <c r="C117" s="320"/>
      <c r="D117" s="142"/>
      <c r="E117" s="320"/>
      <c r="F117" s="142"/>
      <c r="G117" s="320"/>
      <c r="H117" s="142"/>
      <c r="I117" s="320"/>
      <c r="J117" s="142"/>
      <c r="K117" s="320"/>
      <c r="L117" s="142"/>
      <c r="M117" s="320"/>
      <c r="N117" s="142"/>
      <c r="O117" s="320"/>
      <c r="P117" s="142"/>
      <c r="Q117" s="345"/>
      <c r="R117" s="346"/>
      <c r="S117" s="320"/>
      <c r="T117" s="142"/>
      <c r="U117" s="30"/>
      <c r="V117" s="30"/>
      <c r="W117" s="30"/>
      <c r="X117" s="30"/>
      <c r="Y117" s="30"/>
      <c r="Z117" s="30"/>
    </row>
    <row r="118">
      <c r="A118" s="320"/>
      <c r="B118" s="142"/>
      <c r="C118" s="320"/>
      <c r="D118" s="142"/>
      <c r="E118" s="320"/>
      <c r="F118" s="142"/>
      <c r="G118" s="320"/>
      <c r="H118" s="142"/>
      <c r="I118" s="320"/>
      <c r="J118" s="142"/>
      <c r="K118" s="320"/>
      <c r="L118" s="142"/>
      <c r="M118" s="320"/>
      <c r="N118" s="142"/>
      <c r="O118" s="320"/>
      <c r="P118" s="142"/>
      <c r="Q118" s="345"/>
      <c r="R118" s="346"/>
      <c r="S118" s="320"/>
      <c r="T118" s="142"/>
      <c r="U118" s="30"/>
      <c r="V118" s="30"/>
      <c r="W118" s="30"/>
      <c r="X118" s="30"/>
      <c r="Y118" s="30"/>
      <c r="Z118" s="30"/>
    </row>
    <row r="119">
      <c r="A119" s="320"/>
      <c r="B119" s="142"/>
      <c r="C119" s="320"/>
      <c r="D119" s="142"/>
      <c r="E119" s="320"/>
      <c r="F119" s="142"/>
      <c r="G119" s="320"/>
      <c r="H119" s="142"/>
      <c r="I119" s="320"/>
      <c r="J119" s="142"/>
      <c r="K119" s="320"/>
      <c r="L119" s="142"/>
      <c r="M119" s="320"/>
      <c r="N119" s="142"/>
      <c r="O119" s="320"/>
      <c r="P119" s="142"/>
      <c r="Q119" s="345"/>
      <c r="R119" s="346"/>
      <c r="S119" s="320"/>
      <c r="T119" s="142"/>
      <c r="U119" s="30"/>
      <c r="V119" s="30"/>
      <c r="W119" s="30"/>
      <c r="X119" s="30"/>
      <c r="Y119" s="30"/>
      <c r="Z119" s="30"/>
    </row>
    <row r="120">
      <c r="A120" s="320"/>
      <c r="B120" s="142"/>
      <c r="C120" s="320"/>
      <c r="D120" s="142"/>
      <c r="E120" s="320"/>
      <c r="F120" s="142"/>
      <c r="G120" s="320"/>
      <c r="H120" s="142"/>
      <c r="I120" s="320"/>
      <c r="J120" s="142"/>
      <c r="K120" s="320"/>
      <c r="L120" s="142"/>
      <c r="M120" s="320"/>
      <c r="N120" s="142"/>
      <c r="O120" s="320"/>
      <c r="P120" s="142"/>
      <c r="Q120" s="345"/>
      <c r="R120" s="346"/>
      <c r="S120" s="320"/>
      <c r="T120" s="142"/>
      <c r="U120" s="30"/>
      <c r="V120" s="30"/>
      <c r="W120" s="30"/>
      <c r="X120" s="30"/>
      <c r="Y120" s="30"/>
      <c r="Z120" s="30"/>
    </row>
    <row r="121">
      <c r="A121" s="320"/>
      <c r="B121" s="142"/>
      <c r="C121" s="320"/>
      <c r="D121" s="142"/>
      <c r="E121" s="320"/>
      <c r="F121" s="142"/>
      <c r="G121" s="320"/>
      <c r="H121" s="142"/>
      <c r="I121" s="320"/>
      <c r="J121" s="142"/>
      <c r="K121" s="320"/>
      <c r="L121" s="142"/>
      <c r="M121" s="320"/>
      <c r="N121" s="142"/>
      <c r="O121" s="320"/>
      <c r="P121" s="142"/>
      <c r="Q121" s="345"/>
      <c r="R121" s="346"/>
      <c r="S121" s="320"/>
      <c r="T121" s="142"/>
      <c r="U121" s="30"/>
      <c r="V121" s="30"/>
      <c r="W121" s="30"/>
      <c r="X121" s="30"/>
      <c r="Y121" s="30"/>
      <c r="Z121" s="30"/>
    </row>
    <row r="122">
      <c r="A122" s="320"/>
      <c r="B122" s="142"/>
      <c r="C122" s="320"/>
      <c r="D122" s="142"/>
      <c r="E122" s="320"/>
      <c r="F122" s="142"/>
      <c r="G122" s="320"/>
      <c r="H122" s="142"/>
      <c r="I122" s="320"/>
      <c r="J122" s="142"/>
      <c r="K122" s="320"/>
      <c r="L122" s="142"/>
      <c r="M122" s="320"/>
      <c r="N122" s="142"/>
      <c r="O122" s="320"/>
      <c r="P122" s="142"/>
      <c r="Q122" s="345"/>
      <c r="R122" s="346"/>
      <c r="S122" s="320"/>
      <c r="T122" s="142"/>
      <c r="U122" s="30"/>
      <c r="V122" s="30"/>
      <c r="W122" s="30"/>
      <c r="X122" s="30"/>
      <c r="Y122" s="30"/>
      <c r="Z122" s="30"/>
    </row>
    <row r="123">
      <c r="A123" s="320"/>
      <c r="B123" s="142"/>
      <c r="C123" s="320"/>
      <c r="D123" s="142"/>
      <c r="E123" s="320"/>
      <c r="F123" s="142"/>
      <c r="G123" s="320"/>
      <c r="H123" s="142"/>
      <c r="I123" s="320"/>
      <c r="J123" s="142"/>
      <c r="K123" s="320"/>
      <c r="L123" s="142"/>
      <c r="M123" s="320"/>
      <c r="N123" s="142"/>
      <c r="O123" s="320"/>
      <c r="P123" s="142"/>
      <c r="Q123" s="345"/>
      <c r="R123" s="346"/>
      <c r="S123" s="320"/>
      <c r="T123" s="142"/>
      <c r="U123" s="30"/>
      <c r="V123" s="30"/>
      <c r="W123" s="30"/>
      <c r="X123" s="30"/>
      <c r="Y123" s="30"/>
      <c r="Z123" s="30"/>
    </row>
    <row r="124">
      <c r="A124" s="320"/>
      <c r="B124" s="142"/>
      <c r="C124" s="320"/>
      <c r="D124" s="142"/>
      <c r="E124" s="320"/>
      <c r="F124" s="142"/>
      <c r="G124" s="320"/>
      <c r="H124" s="142"/>
      <c r="I124" s="320"/>
      <c r="J124" s="142"/>
      <c r="K124" s="320"/>
      <c r="L124" s="142"/>
      <c r="M124" s="320"/>
      <c r="N124" s="142"/>
      <c r="O124" s="320"/>
      <c r="P124" s="142"/>
      <c r="Q124" s="345"/>
      <c r="R124" s="346"/>
      <c r="S124" s="320"/>
      <c r="T124" s="142"/>
      <c r="U124" s="30"/>
      <c r="V124" s="30"/>
      <c r="W124" s="30"/>
      <c r="X124" s="30"/>
      <c r="Y124" s="30"/>
      <c r="Z124" s="30"/>
    </row>
    <row r="125">
      <c r="A125" s="320"/>
      <c r="B125" s="142"/>
      <c r="C125" s="320"/>
      <c r="D125" s="142"/>
      <c r="E125" s="320"/>
      <c r="F125" s="142"/>
      <c r="G125" s="320"/>
      <c r="H125" s="142"/>
      <c r="I125" s="320"/>
      <c r="J125" s="142"/>
      <c r="K125" s="320"/>
      <c r="L125" s="142"/>
      <c r="M125" s="320"/>
      <c r="N125" s="142"/>
      <c r="O125" s="320"/>
      <c r="P125" s="142"/>
      <c r="Q125" s="345"/>
      <c r="R125" s="346"/>
      <c r="S125" s="320"/>
      <c r="T125" s="142"/>
      <c r="U125" s="30"/>
      <c r="V125" s="30"/>
      <c r="W125" s="30"/>
      <c r="X125" s="30"/>
      <c r="Y125" s="30"/>
      <c r="Z125" s="30"/>
    </row>
    <row r="126">
      <c r="A126" s="320"/>
      <c r="B126" s="142"/>
      <c r="C126" s="320"/>
      <c r="D126" s="142"/>
      <c r="E126" s="320"/>
      <c r="F126" s="142"/>
      <c r="G126" s="320"/>
      <c r="H126" s="142"/>
      <c r="I126" s="320"/>
      <c r="J126" s="142"/>
      <c r="K126" s="320"/>
      <c r="L126" s="142"/>
      <c r="M126" s="320"/>
      <c r="N126" s="142"/>
      <c r="O126" s="320"/>
      <c r="P126" s="142"/>
      <c r="Q126" s="345"/>
      <c r="R126" s="346"/>
      <c r="S126" s="320"/>
      <c r="T126" s="142"/>
      <c r="U126" s="30"/>
      <c r="V126" s="30"/>
      <c r="W126" s="30"/>
      <c r="X126" s="30"/>
      <c r="Y126" s="30"/>
      <c r="Z126" s="30"/>
    </row>
    <row r="127">
      <c r="A127" s="320"/>
      <c r="B127" s="142"/>
      <c r="C127" s="320"/>
      <c r="D127" s="142"/>
      <c r="E127" s="320"/>
      <c r="F127" s="142"/>
      <c r="G127" s="320"/>
      <c r="H127" s="142"/>
      <c r="I127" s="320"/>
      <c r="J127" s="142"/>
      <c r="K127" s="320"/>
      <c r="L127" s="142"/>
      <c r="M127" s="320"/>
      <c r="N127" s="142"/>
      <c r="O127" s="320"/>
      <c r="P127" s="142"/>
      <c r="Q127" s="345"/>
      <c r="R127" s="346"/>
      <c r="S127" s="320"/>
      <c r="T127" s="142"/>
      <c r="U127" s="30"/>
      <c r="V127" s="30"/>
      <c r="W127" s="30"/>
      <c r="X127" s="30"/>
      <c r="Y127" s="30"/>
      <c r="Z127" s="30"/>
    </row>
    <row r="128">
      <c r="A128" s="320"/>
      <c r="B128" s="142"/>
      <c r="C128" s="320"/>
      <c r="D128" s="142"/>
      <c r="E128" s="320"/>
      <c r="F128" s="142"/>
      <c r="G128" s="320"/>
      <c r="H128" s="142"/>
      <c r="I128" s="320"/>
      <c r="J128" s="142"/>
      <c r="K128" s="320"/>
      <c r="L128" s="142"/>
      <c r="M128" s="320"/>
      <c r="N128" s="142"/>
      <c r="O128" s="320"/>
      <c r="P128" s="142"/>
      <c r="Q128" s="348"/>
      <c r="R128" s="28"/>
      <c r="S128" s="320"/>
      <c r="T128" s="142"/>
      <c r="U128" s="30"/>
      <c r="V128" s="30"/>
      <c r="W128" s="30"/>
      <c r="X128" s="30"/>
      <c r="Y128" s="30"/>
      <c r="Z128" s="30"/>
    </row>
    <row r="129">
      <c r="A129" s="320"/>
      <c r="B129" s="142"/>
      <c r="C129" s="320"/>
      <c r="D129" s="142"/>
      <c r="E129" s="320"/>
      <c r="F129" s="142"/>
      <c r="G129" s="320"/>
      <c r="H129" s="142"/>
      <c r="I129" s="320"/>
      <c r="J129" s="142"/>
      <c r="K129" s="320"/>
      <c r="L129" s="142"/>
      <c r="M129" s="320"/>
      <c r="N129" s="142"/>
      <c r="O129" s="320"/>
      <c r="P129" s="142"/>
      <c r="Q129" s="348"/>
      <c r="R129" s="28"/>
      <c r="S129" s="320"/>
      <c r="T129" s="142"/>
      <c r="U129" s="30"/>
      <c r="V129" s="30"/>
      <c r="W129" s="30"/>
      <c r="X129" s="30"/>
      <c r="Y129" s="30"/>
      <c r="Z129" s="30"/>
    </row>
    <row r="130">
      <c r="A130" s="320"/>
      <c r="B130" s="142"/>
      <c r="C130" s="320"/>
      <c r="D130" s="142"/>
      <c r="E130" s="320"/>
      <c r="F130" s="142"/>
      <c r="G130" s="320"/>
      <c r="H130" s="142"/>
      <c r="I130" s="320"/>
      <c r="J130" s="142"/>
      <c r="K130" s="320"/>
      <c r="L130" s="142"/>
      <c r="M130" s="320"/>
      <c r="N130" s="142"/>
      <c r="O130" s="320"/>
      <c r="P130" s="142"/>
      <c r="Q130" s="348"/>
      <c r="R130" s="28"/>
      <c r="S130" s="320"/>
      <c r="T130" s="142"/>
      <c r="U130" s="30"/>
      <c r="V130" s="30"/>
      <c r="W130" s="30"/>
      <c r="X130" s="30"/>
      <c r="Y130" s="30"/>
      <c r="Z130" s="30"/>
    </row>
    <row r="131">
      <c r="A131" s="320"/>
      <c r="B131" s="142"/>
      <c r="C131" s="320"/>
      <c r="D131" s="142"/>
      <c r="E131" s="320"/>
      <c r="F131" s="142"/>
      <c r="G131" s="320"/>
      <c r="H131" s="142"/>
      <c r="I131" s="320"/>
      <c r="J131" s="142"/>
      <c r="K131" s="320"/>
      <c r="L131" s="142"/>
      <c r="M131" s="320"/>
      <c r="N131" s="142"/>
      <c r="O131" s="320"/>
      <c r="P131" s="142"/>
      <c r="Q131" s="348"/>
      <c r="R131" s="28"/>
      <c r="S131" s="320"/>
      <c r="T131" s="142"/>
      <c r="U131" s="30"/>
      <c r="V131" s="30"/>
      <c r="W131" s="30"/>
      <c r="X131" s="30"/>
      <c r="Y131" s="30"/>
      <c r="Z131" s="30"/>
    </row>
    <row r="132">
      <c r="A132" s="320"/>
      <c r="B132" s="142"/>
      <c r="C132" s="320"/>
      <c r="D132" s="142"/>
      <c r="E132" s="320"/>
      <c r="F132" s="142"/>
      <c r="G132" s="320"/>
      <c r="H132" s="142"/>
      <c r="I132" s="320"/>
      <c r="J132" s="142"/>
      <c r="K132" s="320"/>
      <c r="L132" s="142"/>
      <c r="M132" s="320"/>
      <c r="N132" s="142"/>
      <c r="O132" s="320"/>
      <c r="P132" s="142"/>
      <c r="Q132" s="348"/>
      <c r="R132" s="28"/>
      <c r="S132" s="320"/>
      <c r="T132" s="142"/>
      <c r="U132" s="30"/>
      <c r="V132" s="30"/>
      <c r="W132" s="30"/>
      <c r="X132" s="30"/>
      <c r="Y132" s="30"/>
      <c r="Z132" s="30"/>
    </row>
    <row r="133">
      <c r="A133" s="320"/>
      <c r="B133" s="142"/>
      <c r="C133" s="320"/>
      <c r="D133" s="142"/>
      <c r="E133" s="320"/>
      <c r="F133" s="142"/>
      <c r="G133" s="320"/>
      <c r="H133" s="142"/>
      <c r="I133" s="320"/>
      <c r="J133" s="142"/>
      <c r="K133" s="320"/>
      <c r="L133" s="142"/>
      <c r="M133" s="320"/>
      <c r="N133" s="142"/>
      <c r="O133" s="320"/>
      <c r="P133" s="142"/>
      <c r="Q133" s="348"/>
      <c r="R133" s="28"/>
      <c r="S133" s="320"/>
      <c r="T133" s="142"/>
      <c r="U133" s="30"/>
      <c r="V133" s="30"/>
      <c r="W133" s="30"/>
      <c r="X133" s="30"/>
      <c r="Y133" s="30"/>
      <c r="Z133" s="30"/>
    </row>
    <row r="134">
      <c r="A134" s="320"/>
      <c r="B134" s="142"/>
      <c r="C134" s="320"/>
      <c r="D134" s="142"/>
      <c r="E134" s="320"/>
      <c r="F134" s="142"/>
      <c r="G134" s="320"/>
      <c r="H134" s="142"/>
      <c r="I134" s="320"/>
      <c r="J134" s="142"/>
      <c r="K134" s="320"/>
      <c r="L134" s="142"/>
      <c r="M134" s="320"/>
      <c r="N134" s="142"/>
      <c r="O134" s="320"/>
      <c r="P134" s="142"/>
      <c r="Q134" s="348"/>
      <c r="R134" s="28"/>
      <c r="S134" s="320"/>
      <c r="T134" s="142"/>
      <c r="U134" s="30"/>
      <c r="V134" s="30"/>
      <c r="W134" s="30"/>
      <c r="X134" s="30"/>
      <c r="Y134" s="30"/>
      <c r="Z134" s="30"/>
    </row>
    <row r="135">
      <c r="A135" s="320"/>
      <c r="B135" s="142"/>
      <c r="C135" s="320"/>
      <c r="D135" s="142"/>
      <c r="E135" s="320"/>
      <c r="F135" s="142"/>
      <c r="G135" s="320"/>
      <c r="H135" s="142"/>
      <c r="I135" s="320"/>
      <c r="J135" s="142"/>
      <c r="K135" s="320"/>
      <c r="L135" s="142"/>
      <c r="M135" s="320"/>
      <c r="N135" s="142"/>
      <c r="O135" s="320"/>
      <c r="P135" s="142"/>
      <c r="Q135" s="348"/>
      <c r="R135" s="28"/>
      <c r="S135" s="320"/>
      <c r="T135" s="142"/>
      <c r="U135" s="30"/>
      <c r="V135" s="30"/>
      <c r="W135" s="30"/>
      <c r="X135" s="30"/>
      <c r="Y135" s="30"/>
      <c r="Z135" s="30"/>
    </row>
    <row r="136">
      <c r="A136" s="320"/>
      <c r="B136" s="142"/>
      <c r="C136" s="320"/>
      <c r="D136" s="142"/>
      <c r="E136" s="320"/>
      <c r="F136" s="142"/>
      <c r="G136" s="320"/>
      <c r="H136" s="142"/>
      <c r="I136" s="320"/>
      <c r="J136" s="142"/>
      <c r="K136" s="320"/>
      <c r="L136" s="142"/>
      <c r="M136" s="320"/>
      <c r="N136" s="142"/>
      <c r="O136" s="320"/>
      <c r="P136" s="142"/>
      <c r="Q136" s="348"/>
      <c r="R136" s="28"/>
      <c r="S136" s="320"/>
      <c r="T136" s="142"/>
      <c r="U136" s="30"/>
      <c r="V136" s="30"/>
      <c r="W136" s="30"/>
      <c r="X136" s="30"/>
      <c r="Y136" s="30"/>
      <c r="Z136" s="30"/>
    </row>
    <row r="137">
      <c r="A137" s="320"/>
      <c r="B137" s="142"/>
      <c r="C137" s="320"/>
      <c r="D137" s="142"/>
      <c r="E137" s="320"/>
      <c r="F137" s="142"/>
      <c r="G137" s="320"/>
      <c r="H137" s="142"/>
      <c r="I137" s="320"/>
      <c r="J137" s="142"/>
      <c r="K137" s="320"/>
      <c r="L137" s="142"/>
      <c r="M137" s="320"/>
      <c r="N137" s="142"/>
      <c r="O137" s="320"/>
      <c r="P137" s="142"/>
      <c r="Q137" s="348"/>
      <c r="R137" s="28"/>
      <c r="S137" s="320"/>
      <c r="T137" s="142"/>
      <c r="U137" s="30"/>
      <c r="V137" s="30"/>
      <c r="W137" s="30"/>
      <c r="X137" s="30"/>
      <c r="Y137" s="30"/>
      <c r="Z137" s="30"/>
    </row>
    <row r="138">
      <c r="A138" s="320"/>
      <c r="B138" s="142"/>
      <c r="C138" s="320"/>
      <c r="D138" s="142"/>
      <c r="E138" s="320"/>
      <c r="F138" s="142"/>
      <c r="G138" s="320"/>
      <c r="H138" s="142"/>
      <c r="I138" s="320"/>
      <c r="J138" s="142"/>
      <c r="K138" s="320"/>
      <c r="L138" s="142"/>
      <c r="M138" s="320"/>
      <c r="N138" s="142"/>
      <c r="O138" s="320"/>
      <c r="P138" s="142"/>
      <c r="Q138" s="348"/>
      <c r="R138" s="28"/>
      <c r="S138" s="320"/>
      <c r="T138" s="142"/>
      <c r="U138" s="30"/>
      <c r="V138" s="30"/>
      <c r="W138" s="30"/>
      <c r="X138" s="30"/>
      <c r="Y138" s="30"/>
      <c r="Z138" s="30"/>
    </row>
    <row r="139">
      <c r="A139" s="320"/>
      <c r="B139" s="142"/>
      <c r="C139" s="320"/>
      <c r="D139" s="142"/>
      <c r="E139" s="320"/>
      <c r="F139" s="142"/>
      <c r="G139" s="320"/>
      <c r="H139" s="142"/>
      <c r="I139" s="320"/>
      <c r="J139" s="142"/>
      <c r="K139" s="320"/>
      <c r="L139" s="142"/>
      <c r="M139" s="320"/>
      <c r="N139" s="142"/>
      <c r="O139" s="320"/>
      <c r="P139" s="142"/>
      <c r="Q139" s="348"/>
      <c r="R139" s="28"/>
      <c r="S139" s="320"/>
      <c r="T139" s="142"/>
      <c r="U139" s="30"/>
      <c r="V139" s="30"/>
      <c r="W139" s="30"/>
      <c r="X139" s="30"/>
      <c r="Y139" s="30"/>
      <c r="Z139" s="30"/>
    </row>
    <row r="140">
      <c r="A140" s="320"/>
      <c r="B140" s="142"/>
      <c r="C140" s="320"/>
      <c r="D140" s="142"/>
      <c r="E140" s="320"/>
      <c r="F140" s="142"/>
      <c r="G140" s="320"/>
      <c r="H140" s="142"/>
      <c r="I140" s="320"/>
      <c r="J140" s="142"/>
      <c r="K140" s="320"/>
      <c r="L140" s="142"/>
      <c r="M140" s="320"/>
      <c r="N140" s="142"/>
      <c r="O140" s="320"/>
      <c r="P140" s="142"/>
      <c r="Q140" s="348"/>
      <c r="R140" s="28"/>
      <c r="S140" s="320"/>
      <c r="T140" s="142"/>
      <c r="U140" s="30"/>
      <c r="V140" s="30"/>
      <c r="W140" s="30"/>
      <c r="X140" s="30"/>
      <c r="Y140" s="30"/>
      <c r="Z140" s="30"/>
    </row>
    <row r="141">
      <c r="A141" s="320"/>
      <c r="B141" s="142"/>
      <c r="C141" s="320"/>
      <c r="D141" s="142"/>
      <c r="E141" s="320"/>
      <c r="F141" s="142"/>
      <c r="G141" s="320"/>
      <c r="H141" s="142"/>
      <c r="I141" s="320"/>
      <c r="J141" s="142"/>
      <c r="K141" s="320"/>
      <c r="L141" s="142"/>
      <c r="M141" s="320"/>
      <c r="N141" s="142"/>
      <c r="O141" s="320"/>
      <c r="P141" s="142"/>
      <c r="Q141" s="348"/>
      <c r="R141" s="28"/>
      <c r="S141" s="320"/>
      <c r="T141" s="142"/>
      <c r="U141" s="30"/>
      <c r="V141" s="30"/>
      <c r="W141" s="30"/>
      <c r="X141" s="30"/>
      <c r="Y141" s="30"/>
      <c r="Z141" s="30"/>
    </row>
    <row r="142">
      <c r="A142" s="320"/>
      <c r="B142" s="142"/>
      <c r="C142" s="320"/>
      <c r="D142" s="142"/>
      <c r="E142" s="320"/>
      <c r="F142" s="142"/>
      <c r="G142" s="320"/>
      <c r="H142" s="142"/>
      <c r="I142" s="320"/>
      <c r="J142" s="142"/>
      <c r="K142" s="320"/>
      <c r="L142" s="142"/>
      <c r="M142" s="320"/>
      <c r="N142" s="142"/>
      <c r="O142" s="320"/>
      <c r="P142" s="142"/>
      <c r="Q142" s="348"/>
      <c r="R142" s="28"/>
      <c r="S142" s="320"/>
      <c r="T142" s="142"/>
      <c r="U142" s="30"/>
      <c r="V142" s="30"/>
      <c r="W142" s="30"/>
      <c r="X142" s="30"/>
      <c r="Y142" s="30"/>
      <c r="Z142" s="30"/>
    </row>
    <row r="143">
      <c r="A143" s="320"/>
      <c r="B143" s="142"/>
      <c r="C143" s="320"/>
      <c r="D143" s="142"/>
      <c r="E143" s="320"/>
      <c r="F143" s="142"/>
      <c r="G143" s="320"/>
      <c r="H143" s="142"/>
      <c r="I143" s="320"/>
      <c r="J143" s="142"/>
      <c r="K143" s="320"/>
      <c r="L143" s="142"/>
      <c r="M143" s="320"/>
      <c r="N143" s="142"/>
      <c r="O143" s="320"/>
      <c r="P143" s="142"/>
      <c r="Q143" s="348"/>
      <c r="R143" s="28"/>
      <c r="S143" s="320"/>
      <c r="T143" s="142"/>
      <c r="U143" s="30"/>
      <c r="V143" s="30"/>
      <c r="W143" s="30"/>
      <c r="X143" s="30"/>
      <c r="Y143" s="30"/>
      <c r="Z143" s="30"/>
    </row>
    <row r="144">
      <c r="A144" s="320"/>
      <c r="B144" s="142"/>
      <c r="C144" s="320"/>
      <c r="D144" s="142"/>
      <c r="E144" s="320"/>
      <c r="F144" s="142"/>
      <c r="G144" s="320"/>
      <c r="H144" s="142"/>
      <c r="I144" s="320"/>
      <c r="J144" s="142"/>
      <c r="K144" s="320"/>
      <c r="L144" s="142"/>
      <c r="M144" s="320"/>
      <c r="N144" s="142"/>
      <c r="O144" s="320"/>
      <c r="P144" s="142"/>
      <c r="Q144" s="348"/>
      <c r="R144" s="28"/>
      <c r="S144" s="320"/>
      <c r="T144" s="142"/>
      <c r="U144" s="30"/>
      <c r="V144" s="30"/>
      <c r="W144" s="30"/>
      <c r="X144" s="30"/>
      <c r="Y144" s="30"/>
      <c r="Z144" s="30"/>
    </row>
    <row r="145">
      <c r="A145" s="320"/>
      <c r="B145" s="142"/>
      <c r="C145" s="320"/>
      <c r="D145" s="142"/>
      <c r="E145" s="320"/>
      <c r="F145" s="142"/>
      <c r="G145" s="320"/>
      <c r="H145" s="142"/>
      <c r="I145" s="320"/>
      <c r="J145" s="142"/>
      <c r="K145" s="320"/>
      <c r="L145" s="142"/>
      <c r="M145" s="320"/>
      <c r="N145" s="142"/>
      <c r="O145" s="320"/>
      <c r="P145" s="142"/>
      <c r="Q145" s="348"/>
      <c r="R145" s="28"/>
      <c r="S145" s="320"/>
      <c r="T145" s="142"/>
      <c r="U145" s="30"/>
      <c r="V145" s="30"/>
      <c r="W145" s="30"/>
      <c r="X145" s="30"/>
      <c r="Y145" s="30"/>
      <c r="Z145" s="30"/>
    </row>
    <row r="146">
      <c r="A146" s="320"/>
      <c r="B146" s="142"/>
      <c r="C146" s="320"/>
      <c r="D146" s="142"/>
      <c r="E146" s="320"/>
      <c r="F146" s="142"/>
      <c r="G146" s="320"/>
      <c r="H146" s="142"/>
      <c r="I146" s="320"/>
      <c r="J146" s="142"/>
      <c r="K146" s="320"/>
      <c r="L146" s="142"/>
      <c r="M146" s="320"/>
      <c r="N146" s="142"/>
      <c r="O146" s="320"/>
      <c r="P146" s="142"/>
      <c r="Q146" s="348"/>
      <c r="R146" s="28"/>
      <c r="S146" s="320"/>
      <c r="T146" s="142"/>
      <c r="U146" s="30"/>
      <c r="V146" s="30"/>
      <c r="W146" s="30"/>
      <c r="X146" s="30"/>
      <c r="Y146" s="30"/>
      <c r="Z146" s="30"/>
    </row>
    <row r="147">
      <c r="A147" s="320"/>
      <c r="B147" s="142"/>
      <c r="C147" s="320"/>
      <c r="D147" s="142"/>
      <c r="E147" s="320"/>
      <c r="F147" s="142"/>
      <c r="G147" s="320"/>
      <c r="H147" s="142"/>
      <c r="I147" s="320"/>
      <c r="J147" s="142"/>
      <c r="K147" s="320"/>
      <c r="L147" s="142"/>
      <c r="M147" s="320"/>
      <c r="N147" s="142"/>
      <c r="O147" s="320"/>
      <c r="P147" s="142"/>
      <c r="Q147" s="348"/>
      <c r="R147" s="28"/>
      <c r="S147" s="320"/>
      <c r="T147" s="142"/>
      <c r="U147" s="30"/>
      <c r="V147" s="30"/>
      <c r="W147" s="30"/>
      <c r="X147" s="30"/>
      <c r="Y147" s="30"/>
      <c r="Z147" s="30"/>
    </row>
    <row r="148">
      <c r="A148" s="320"/>
      <c r="B148" s="142"/>
      <c r="C148" s="320"/>
      <c r="D148" s="142"/>
      <c r="E148" s="320"/>
      <c r="F148" s="142"/>
      <c r="G148" s="320"/>
      <c r="H148" s="142"/>
      <c r="I148" s="320"/>
      <c r="J148" s="142"/>
      <c r="K148" s="320"/>
      <c r="L148" s="142"/>
      <c r="M148" s="320"/>
      <c r="N148" s="142"/>
      <c r="O148" s="320"/>
      <c r="P148" s="142"/>
      <c r="Q148" s="348"/>
      <c r="R148" s="28"/>
      <c r="S148" s="320"/>
      <c r="T148" s="142"/>
      <c r="U148" s="30"/>
      <c r="V148" s="30"/>
      <c r="W148" s="30"/>
      <c r="X148" s="30"/>
      <c r="Y148" s="30"/>
      <c r="Z148" s="30"/>
    </row>
    <row r="149">
      <c r="A149" s="320"/>
      <c r="B149" s="142"/>
      <c r="C149" s="320"/>
      <c r="D149" s="142"/>
      <c r="E149" s="320"/>
      <c r="F149" s="142"/>
      <c r="G149" s="320"/>
      <c r="H149" s="142"/>
      <c r="I149" s="320"/>
      <c r="J149" s="142"/>
      <c r="K149" s="320"/>
      <c r="L149" s="142"/>
      <c r="M149" s="320"/>
      <c r="N149" s="142"/>
      <c r="O149" s="320"/>
      <c r="P149" s="142"/>
      <c r="Q149" s="348"/>
      <c r="R149" s="28"/>
      <c r="S149" s="320"/>
      <c r="T149" s="142"/>
      <c r="U149" s="30"/>
      <c r="V149" s="30"/>
      <c r="W149" s="30"/>
      <c r="X149" s="30"/>
      <c r="Y149" s="30"/>
      <c r="Z149" s="30"/>
    </row>
    <row r="150">
      <c r="A150" s="320"/>
      <c r="B150" s="142"/>
      <c r="C150" s="320"/>
      <c r="D150" s="142"/>
      <c r="E150" s="320"/>
      <c r="F150" s="142"/>
      <c r="G150" s="320"/>
      <c r="H150" s="142"/>
      <c r="I150" s="320"/>
      <c r="J150" s="142"/>
      <c r="K150" s="320"/>
      <c r="L150" s="142"/>
      <c r="M150" s="320"/>
      <c r="N150" s="142"/>
      <c r="O150" s="320"/>
      <c r="P150" s="142"/>
      <c r="Q150" s="348"/>
      <c r="R150" s="28"/>
      <c r="S150" s="320"/>
      <c r="T150" s="142"/>
      <c r="U150" s="30"/>
      <c r="V150" s="30"/>
      <c r="W150" s="30"/>
      <c r="X150" s="30"/>
      <c r="Y150" s="30"/>
      <c r="Z150" s="30"/>
    </row>
    <row r="151">
      <c r="A151" s="320"/>
      <c r="B151" s="142"/>
      <c r="C151" s="320"/>
      <c r="D151" s="142"/>
      <c r="E151" s="320"/>
      <c r="F151" s="142"/>
      <c r="G151" s="320"/>
      <c r="H151" s="142"/>
      <c r="I151" s="320"/>
      <c r="J151" s="142"/>
      <c r="K151" s="320"/>
      <c r="L151" s="142"/>
      <c r="M151" s="320"/>
      <c r="N151" s="142"/>
      <c r="O151" s="320"/>
      <c r="P151" s="142"/>
      <c r="Q151" s="348"/>
      <c r="R151" s="28"/>
      <c r="S151" s="320"/>
      <c r="T151" s="142"/>
      <c r="U151" s="30"/>
      <c r="V151" s="30"/>
      <c r="W151" s="30"/>
      <c r="X151" s="30"/>
      <c r="Y151" s="30"/>
      <c r="Z151" s="30"/>
    </row>
    <row r="152">
      <c r="A152" s="320"/>
      <c r="B152" s="142"/>
      <c r="C152" s="320"/>
      <c r="D152" s="142"/>
      <c r="E152" s="320"/>
      <c r="F152" s="142"/>
      <c r="G152" s="320"/>
      <c r="H152" s="142"/>
      <c r="I152" s="320"/>
      <c r="J152" s="142"/>
      <c r="K152" s="320"/>
      <c r="L152" s="142"/>
      <c r="M152" s="320"/>
      <c r="N152" s="142"/>
      <c r="O152" s="320"/>
      <c r="P152" s="142"/>
      <c r="Q152" s="348"/>
      <c r="R152" s="28"/>
      <c r="S152" s="320"/>
      <c r="T152" s="142"/>
      <c r="U152" s="30"/>
      <c r="V152" s="30"/>
      <c r="W152" s="30"/>
      <c r="X152" s="30"/>
      <c r="Y152" s="30"/>
      <c r="Z152" s="30"/>
    </row>
    <row r="153">
      <c r="A153" s="320"/>
      <c r="B153" s="142"/>
      <c r="C153" s="320"/>
      <c r="D153" s="142"/>
      <c r="E153" s="320"/>
      <c r="F153" s="142"/>
      <c r="G153" s="320"/>
      <c r="H153" s="142"/>
      <c r="I153" s="320"/>
      <c r="J153" s="142"/>
      <c r="K153" s="320"/>
      <c r="L153" s="142"/>
      <c r="M153" s="320"/>
      <c r="N153" s="142"/>
      <c r="O153" s="320"/>
      <c r="P153" s="142"/>
      <c r="Q153" s="348"/>
      <c r="R153" s="28"/>
      <c r="S153" s="320"/>
      <c r="T153" s="142"/>
      <c r="U153" s="30"/>
      <c r="V153" s="30"/>
      <c r="W153" s="30"/>
      <c r="X153" s="30"/>
      <c r="Y153" s="30"/>
      <c r="Z153" s="30"/>
    </row>
    <row r="154">
      <c r="A154" s="320"/>
      <c r="B154" s="142"/>
      <c r="C154" s="320"/>
      <c r="D154" s="142"/>
      <c r="E154" s="320"/>
      <c r="F154" s="142"/>
      <c r="G154" s="320"/>
      <c r="H154" s="142"/>
      <c r="I154" s="320"/>
      <c r="J154" s="142"/>
      <c r="K154" s="320"/>
      <c r="L154" s="142"/>
      <c r="M154" s="320"/>
      <c r="N154" s="142"/>
      <c r="O154" s="320"/>
      <c r="P154" s="142"/>
      <c r="Q154" s="348"/>
      <c r="R154" s="28"/>
      <c r="S154" s="320"/>
      <c r="T154" s="142"/>
      <c r="U154" s="30"/>
      <c r="V154" s="30"/>
      <c r="W154" s="30"/>
      <c r="X154" s="30"/>
      <c r="Y154" s="30"/>
      <c r="Z154" s="30"/>
    </row>
    <row r="155">
      <c r="A155" s="320"/>
      <c r="B155" s="142"/>
      <c r="C155" s="320"/>
      <c r="D155" s="142"/>
      <c r="E155" s="320"/>
      <c r="F155" s="142"/>
      <c r="G155" s="320"/>
      <c r="H155" s="142"/>
      <c r="I155" s="320"/>
      <c r="J155" s="142"/>
      <c r="K155" s="320"/>
      <c r="L155" s="142"/>
      <c r="M155" s="320"/>
      <c r="N155" s="142"/>
      <c r="O155" s="320"/>
      <c r="P155" s="142"/>
      <c r="Q155" s="348"/>
      <c r="R155" s="28"/>
      <c r="S155" s="320"/>
      <c r="T155" s="142"/>
      <c r="U155" s="30"/>
      <c r="V155" s="30"/>
      <c r="W155" s="30"/>
      <c r="X155" s="30"/>
      <c r="Y155" s="30"/>
      <c r="Z155" s="30"/>
    </row>
    <row r="156">
      <c r="A156" s="320"/>
      <c r="B156" s="142"/>
      <c r="C156" s="320"/>
      <c r="D156" s="142"/>
      <c r="E156" s="320"/>
      <c r="F156" s="142"/>
      <c r="G156" s="320"/>
      <c r="H156" s="142"/>
      <c r="I156" s="320"/>
      <c r="J156" s="142"/>
      <c r="K156" s="320"/>
      <c r="L156" s="142"/>
      <c r="M156" s="320"/>
      <c r="N156" s="142"/>
      <c r="O156" s="320"/>
      <c r="P156" s="142"/>
      <c r="Q156" s="348"/>
      <c r="R156" s="28"/>
      <c r="S156" s="320"/>
      <c r="T156" s="142"/>
      <c r="U156" s="30"/>
      <c r="V156" s="30"/>
      <c r="W156" s="30"/>
      <c r="X156" s="30"/>
      <c r="Y156" s="30"/>
      <c r="Z156" s="30"/>
    </row>
    <row r="157">
      <c r="A157" s="320"/>
      <c r="B157" s="142"/>
      <c r="C157" s="320"/>
      <c r="D157" s="142"/>
      <c r="E157" s="320"/>
      <c r="F157" s="142"/>
      <c r="G157" s="320"/>
      <c r="H157" s="142"/>
      <c r="I157" s="320"/>
      <c r="J157" s="142"/>
      <c r="K157" s="320"/>
      <c r="L157" s="142"/>
      <c r="M157" s="320"/>
      <c r="N157" s="142"/>
      <c r="O157" s="320"/>
      <c r="P157" s="142"/>
      <c r="Q157" s="348"/>
      <c r="R157" s="28"/>
      <c r="S157" s="320"/>
      <c r="T157" s="142"/>
      <c r="U157" s="30"/>
      <c r="V157" s="30"/>
      <c r="W157" s="30"/>
      <c r="X157" s="30"/>
      <c r="Y157" s="30"/>
      <c r="Z157" s="30"/>
    </row>
    <row r="158">
      <c r="A158" s="320"/>
      <c r="B158" s="142"/>
      <c r="C158" s="320"/>
      <c r="D158" s="142"/>
      <c r="E158" s="320"/>
      <c r="F158" s="142"/>
      <c r="G158" s="320"/>
      <c r="H158" s="142"/>
      <c r="I158" s="320"/>
      <c r="J158" s="142"/>
      <c r="K158" s="320"/>
      <c r="L158" s="142"/>
      <c r="M158" s="320"/>
      <c r="N158" s="142"/>
      <c r="O158" s="320"/>
      <c r="P158" s="142"/>
      <c r="Q158" s="348"/>
      <c r="R158" s="28"/>
      <c r="S158" s="320"/>
      <c r="T158" s="142"/>
      <c r="U158" s="30"/>
      <c r="V158" s="30"/>
      <c r="W158" s="30"/>
      <c r="X158" s="30"/>
      <c r="Y158" s="30"/>
      <c r="Z158" s="30"/>
    </row>
    <row r="159">
      <c r="A159" s="320"/>
      <c r="B159" s="142"/>
      <c r="C159" s="320"/>
      <c r="D159" s="142"/>
      <c r="E159" s="320"/>
      <c r="F159" s="142"/>
      <c r="G159" s="320"/>
      <c r="H159" s="142"/>
      <c r="I159" s="320"/>
      <c r="J159" s="142"/>
      <c r="K159" s="320"/>
      <c r="L159" s="142"/>
      <c r="M159" s="320"/>
      <c r="N159" s="142"/>
      <c r="O159" s="320"/>
      <c r="P159" s="142"/>
      <c r="Q159" s="348"/>
      <c r="R159" s="28"/>
      <c r="S159" s="320"/>
      <c r="T159" s="142"/>
      <c r="U159" s="30"/>
      <c r="V159" s="30"/>
      <c r="W159" s="30"/>
      <c r="X159" s="30"/>
      <c r="Y159" s="30"/>
      <c r="Z159" s="30"/>
    </row>
    <row r="160">
      <c r="A160" s="320"/>
      <c r="B160" s="142"/>
      <c r="C160" s="320"/>
      <c r="D160" s="142"/>
      <c r="E160" s="320"/>
      <c r="F160" s="142"/>
      <c r="G160" s="320"/>
      <c r="H160" s="142"/>
      <c r="I160" s="320"/>
      <c r="J160" s="142"/>
      <c r="K160" s="320"/>
      <c r="L160" s="142"/>
      <c r="M160" s="320"/>
      <c r="N160" s="142"/>
      <c r="O160" s="320"/>
      <c r="P160" s="142"/>
      <c r="Q160" s="348"/>
      <c r="R160" s="28"/>
      <c r="S160" s="320"/>
      <c r="T160" s="142"/>
      <c r="U160" s="30"/>
      <c r="V160" s="30"/>
      <c r="W160" s="30"/>
      <c r="X160" s="30"/>
      <c r="Y160" s="30"/>
      <c r="Z160" s="30"/>
    </row>
    <row r="161">
      <c r="A161" s="320"/>
      <c r="B161" s="142"/>
      <c r="C161" s="320"/>
      <c r="D161" s="142"/>
      <c r="E161" s="320"/>
      <c r="F161" s="142"/>
      <c r="G161" s="320"/>
      <c r="H161" s="142"/>
      <c r="I161" s="320"/>
      <c r="J161" s="142"/>
      <c r="K161" s="320"/>
      <c r="L161" s="142"/>
      <c r="M161" s="320"/>
      <c r="N161" s="142"/>
      <c r="O161" s="320"/>
      <c r="P161" s="142"/>
      <c r="Q161" s="348"/>
      <c r="R161" s="28"/>
      <c r="S161" s="320"/>
      <c r="T161" s="142"/>
      <c r="U161" s="30"/>
      <c r="V161" s="30"/>
      <c r="W161" s="30"/>
      <c r="X161" s="30"/>
      <c r="Y161" s="30"/>
      <c r="Z161" s="30"/>
    </row>
    <row r="162">
      <c r="A162" s="320"/>
      <c r="B162" s="142"/>
      <c r="C162" s="320"/>
      <c r="D162" s="142"/>
      <c r="E162" s="320"/>
      <c r="F162" s="142"/>
      <c r="G162" s="320"/>
      <c r="H162" s="142"/>
      <c r="I162" s="320"/>
      <c r="J162" s="142"/>
      <c r="K162" s="320"/>
      <c r="L162" s="142"/>
      <c r="M162" s="320"/>
      <c r="N162" s="142"/>
      <c r="O162" s="320"/>
      <c r="P162" s="142"/>
      <c r="Q162" s="348"/>
      <c r="R162" s="28"/>
      <c r="S162" s="320"/>
      <c r="T162" s="142"/>
      <c r="U162" s="30"/>
      <c r="V162" s="30"/>
      <c r="W162" s="30"/>
      <c r="X162" s="30"/>
      <c r="Y162" s="30"/>
      <c r="Z162" s="30"/>
    </row>
    <row r="163">
      <c r="A163" s="320"/>
      <c r="B163" s="142"/>
      <c r="C163" s="320"/>
      <c r="D163" s="142"/>
      <c r="E163" s="320"/>
      <c r="F163" s="142"/>
      <c r="G163" s="320"/>
      <c r="H163" s="142"/>
      <c r="I163" s="320"/>
      <c r="J163" s="142"/>
      <c r="K163" s="320"/>
      <c r="L163" s="142"/>
      <c r="M163" s="320"/>
      <c r="N163" s="142"/>
      <c r="O163" s="320"/>
      <c r="P163" s="142"/>
      <c r="Q163" s="348"/>
      <c r="R163" s="28"/>
      <c r="S163" s="320"/>
      <c r="T163" s="142"/>
      <c r="U163" s="30"/>
      <c r="V163" s="30"/>
      <c r="W163" s="30"/>
      <c r="X163" s="30"/>
      <c r="Y163" s="30"/>
      <c r="Z163" s="30"/>
    </row>
    <row r="164">
      <c r="A164" s="320"/>
      <c r="B164" s="142"/>
      <c r="C164" s="320"/>
      <c r="D164" s="142"/>
      <c r="E164" s="320"/>
      <c r="F164" s="142"/>
      <c r="G164" s="320"/>
      <c r="H164" s="142"/>
      <c r="I164" s="320"/>
      <c r="J164" s="142"/>
      <c r="K164" s="320"/>
      <c r="L164" s="142"/>
      <c r="M164" s="320"/>
      <c r="N164" s="142"/>
      <c r="O164" s="320"/>
      <c r="P164" s="142"/>
      <c r="Q164" s="348"/>
      <c r="R164" s="28"/>
      <c r="S164" s="320"/>
      <c r="T164" s="142"/>
      <c r="U164" s="30"/>
      <c r="V164" s="30"/>
      <c r="W164" s="30"/>
      <c r="X164" s="30"/>
      <c r="Y164" s="30"/>
      <c r="Z164" s="30"/>
    </row>
    <row r="165">
      <c r="A165" s="320"/>
      <c r="B165" s="142"/>
      <c r="C165" s="320"/>
      <c r="D165" s="142"/>
      <c r="E165" s="320"/>
      <c r="F165" s="142"/>
      <c r="G165" s="320"/>
      <c r="H165" s="142"/>
      <c r="I165" s="320"/>
      <c r="J165" s="142"/>
      <c r="K165" s="320"/>
      <c r="L165" s="142"/>
      <c r="M165" s="320"/>
      <c r="N165" s="142"/>
      <c r="O165" s="320"/>
      <c r="P165" s="142"/>
      <c r="Q165" s="348"/>
      <c r="R165" s="28"/>
      <c r="S165" s="320"/>
      <c r="T165" s="142"/>
      <c r="U165" s="30"/>
      <c r="V165" s="30"/>
      <c r="W165" s="30"/>
      <c r="X165" s="30"/>
      <c r="Y165" s="30"/>
      <c r="Z165" s="30"/>
    </row>
    <row r="166">
      <c r="A166" s="320"/>
      <c r="B166" s="142"/>
      <c r="C166" s="320"/>
      <c r="D166" s="142"/>
      <c r="E166" s="320"/>
      <c r="F166" s="142"/>
      <c r="G166" s="320"/>
      <c r="H166" s="142"/>
      <c r="I166" s="320"/>
      <c r="J166" s="142"/>
      <c r="K166" s="320"/>
      <c r="L166" s="142"/>
      <c r="M166" s="320"/>
      <c r="N166" s="142"/>
      <c r="O166" s="320"/>
      <c r="P166" s="142"/>
      <c r="Q166" s="348"/>
      <c r="R166" s="28"/>
      <c r="S166" s="320"/>
      <c r="T166" s="142"/>
      <c r="U166" s="30"/>
      <c r="V166" s="30"/>
      <c r="W166" s="30"/>
      <c r="X166" s="30"/>
      <c r="Y166" s="30"/>
      <c r="Z166" s="30"/>
    </row>
    <row r="167">
      <c r="A167" s="320"/>
      <c r="B167" s="142"/>
      <c r="C167" s="320"/>
      <c r="D167" s="142"/>
      <c r="E167" s="320"/>
      <c r="F167" s="142"/>
      <c r="G167" s="320"/>
      <c r="H167" s="142"/>
      <c r="I167" s="320"/>
      <c r="J167" s="142"/>
      <c r="K167" s="320"/>
      <c r="L167" s="142"/>
      <c r="M167" s="320"/>
      <c r="N167" s="142"/>
      <c r="O167" s="320"/>
      <c r="P167" s="142"/>
      <c r="Q167" s="348"/>
      <c r="R167" s="28"/>
      <c r="S167" s="320"/>
      <c r="T167" s="142"/>
      <c r="U167" s="30"/>
      <c r="V167" s="30"/>
      <c r="W167" s="30"/>
      <c r="X167" s="30"/>
      <c r="Y167" s="30"/>
      <c r="Z167" s="30"/>
    </row>
    <row r="168">
      <c r="A168" s="320"/>
      <c r="B168" s="142"/>
      <c r="C168" s="320"/>
      <c r="D168" s="142"/>
      <c r="E168" s="320"/>
      <c r="F168" s="142"/>
      <c r="G168" s="320"/>
      <c r="H168" s="142"/>
      <c r="I168" s="320"/>
      <c r="J168" s="142"/>
      <c r="K168" s="320"/>
      <c r="L168" s="142"/>
      <c r="M168" s="320"/>
      <c r="N168" s="142"/>
      <c r="O168" s="320"/>
      <c r="P168" s="142"/>
      <c r="Q168" s="348"/>
      <c r="R168" s="28"/>
      <c r="S168" s="320"/>
      <c r="T168" s="142"/>
      <c r="U168" s="30"/>
      <c r="V168" s="30"/>
      <c r="W168" s="30"/>
      <c r="X168" s="30"/>
      <c r="Y168" s="30"/>
      <c r="Z168" s="30"/>
    </row>
    <row r="169">
      <c r="A169" s="320"/>
      <c r="B169" s="142"/>
      <c r="C169" s="320"/>
      <c r="D169" s="142"/>
      <c r="E169" s="320"/>
      <c r="F169" s="142"/>
      <c r="G169" s="320"/>
      <c r="H169" s="142"/>
      <c r="I169" s="320"/>
      <c r="J169" s="142"/>
      <c r="K169" s="320"/>
      <c r="L169" s="142"/>
      <c r="M169" s="320"/>
      <c r="N169" s="142"/>
      <c r="O169" s="320"/>
      <c r="P169" s="142"/>
      <c r="Q169" s="348"/>
      <c r="R169" s="28"/>
      <c r="S169" s="320"/>
      <c r="T169" s="142"/>
      <c r="U169" s="30"/>
      <c r="V169" s="30"/>
      <c r="W169" s="30"/>
      <c r="X169" s="30"/>
      <c r="Y169" s="30"/>
      <c r="Z169" s="30"/>
    </row>
    <row r="170">
      <c r="A170" s="320"/>
      <c r="B170" s="142"/>
      <c r="C170" s="320"/>
      <c r="D170" s="142"/>
      <c r="E170" s="320"/>
      <c r="F170" s="142"/>
      <c r="G170" s="320"/>
      <c r="H170" s="142"/>
      <c r="I170" s="320"/>
      <c r="J170" s="142"/>
      <c r="K170" s="320"/>
      <c r="L170" s="142"/>
      <c r="M170" s="320"/>
      <c r="N170" s="142"/>
      <c r="O170" s="320"/>
      <c r="P170" s="142"/>
      <c r="Q170" s="348"/>
      <c r="R170" s="28"/>
      <c r="S170" s="320"/>
      <c r="T170" s="142"/>
      <c r="U170" s="30"/>
      <c r="V170" s="30"/>
      <c r="W170" s="30"/>
      <c r="X170" s="30"/>
      <c r="Y170" s="30"/>
      <c r="Z170" s="30"/>
    </row>
    <row r="171">
      <c r="A171" s="320"/>
      <c r="B171" s="142"/>
      <c r="C171" s="320"/>
      <c r="D171" s="142"/>
      <c r="E171" s="320"/>
      <c r="F171" s="142"/>
      <c r="G171" s="320"/>
      <c r="H171" s="142"/>
      <c r="I171" s="320"/>
      <c r="J171" s="142"/>
      <c r="K171" s="320"/>
      <c r="L171" s="142"/>
      <c r="M171" s="320"/>
      <c r="N171" s="142"/>
      <c r="O171" s="320"/>
      <c r="P171" s="142"/>
      <c r="Q171" s="348"/>
      <c r="R171" s="28"/>
      <c r="S171" s="320"/>
      <c r="T171" s="142"/>
      <c r="U171" s="30"/>
      <c r="V171" s="30"/>
      <c r="W171" s="30"/>
      <c r="X171" s="30"/>
      <c r="Y171" s="30"/>
      <c r="Z171" s="30"/>
    </row>
    <row r="172">
      <c r="A172" s="320"/>
      <c r="B172" s="142"/>
      <c r="C172" s="320"/>
      <c r="D172" s="142"/>
      <c r="E172" s="320"/>
      <c r="F172" s="142"/>
      <c r="G172" s="320"/>
      <c r="H172" s="142"/>
      <c r="I172" s="320"/>
      <c r="J172" s="142"/>
      <c r="K172" s="320"/>
      <c r="L172" s="142"/>
      <c r="M172" s="320"/>
      <c r="N172" s="142"/>
      <c r="O172" s="320"/>
      <c r="P172" s="142"/>
      <c r="Q172" s="348"/>
      <c r="R172" s="28"/>
      <c r="S172" s="320"/>
      <c r="T172" s="142"/>
      <c r="U172" s="30"/>
      <c r="V172" s="30"/>
      <c r="W172" s="30"/>
      <c r="X172" s="30"/>
      <c r="Y172" s="30"/>
      <c r="Z172" s="30"/>
    </row>
    <row r="173">
      <c r="A173" s="320"/>
      <c r="B173" s="142"/>
      <c r="C173" s="320"/>
      <c r="D173" s="142"/>
      <c r="E173" s="320"/>
      <c r="F173" s="142"/>
      <c r="G173" s="320"/>
      <c r="H173" s="142"/>
      <c r="I173" s="320"/>
      <c r="J173" s="142"/>
      <c r="K173" s="320"/>
      <c r="L173" s="142"/>
      <c r="M173" s="320"/>
      <c r="N173" s="142"/>
      <c r="O173" s="320"/>
      <c r="P173" s="142"/>
      <c r="Q173" s="348"/>
      <c r="R173" s="28"/>
      <c r="S173" s="320"/>
      <c r="T173" s="142"/>
      <c r="U173" s="30"/>
      <c r="V173" s="30"/>
      <c r="W173" s="30"/>
      <c r="X173" s="30"/>
      <c r="Y173" s="30"/>
      <c r="Z173" s="30"/>
    </row>
    <row r="174">
      <c r="A174" s="320"/>
      <c r="B174" s="142"/>
      <c r="C174" s="320"/>
      <c r="D174" s="142"/>
      <c r="E174" s="320"/>
      <c r="F174" s="142"/>
      <c r="G174" s="320"/>
      <c r="H174" s="142"/>
      <c r="I174" s="320"/>
      <c r="J174" s="142"/>
      <c r="K174" s="320"/>
      <c r="L174" s="142"/>
      <c r="M174" s="320"/>
      <c r="N174" s="142"/>
      <c r="O174" s="320"/>
      <c r="P174" s="142"/>
      <c r="Q174" s="348"/>
      <c r="R174" s="28"/>
      <c r="S174" s="320"/>
      <c r="T174" s="142"/>
      <c r="U174" s="30"/>
      <c r="V174" s="30"/>
      <c r="W174" s="30"/>
      <c r="X174" s="30"/>
      <c r="Y174" s="30"/>
      <c r="Z174" s="30"/>
    </row>
    <row r="175">
      <c r="A175" s="320"/>
      <c r="B175" s="142"/>
      <c r="C175" s="320"/>
      <c r="D175" s="142"/>
      <c r="E175" s="320"/>
      <c r="F175" s="142"/>
      <c r="G175" s="320"/>
      <c r="H175" s="142"/>
      <c r="I175" s="320"/>
      <c r="J175" s="142"/>
      <c r="K175" s="320"/>
      <c r="L175" s="142"/>
      <c r="M175" s="320"/>
      <c r="N175" s="142"/>
      <c r="O175" s="320"/>
      <c r="P175" s="142"/>
      <c r="Q175" s="348"/>
      <c r="R175" s="28"/>
      <c r="S175" s="320"/>
      <c r="T175" s="142"/>
      <c r="U175" s="30"/>
      <c r="V175" s="30"/>
      <c r="W175" s="30"/>
      <c r="X175" s="30"/>
      <c r="Y175" s="30"/>
      <c r="Z175" s="30"/>
    </row>
    <row r="176">
      <c r="A176" s="320"/>
      <c r="B176" s="142"/>
      <c r="C176" s="320"/>
      <c r="D176" s="142"/>
      <c r="E176" s="320"/>
      <c r="F176" s="142"/>
      <c r="G176" s="320"/>
      <c r="H176" s="142"/>
      <c r="I176" s="320"/>
      <c r="J176" s="142"/>
      <c r="K176" s="320"/>
      <c r="L176" s="142"/>
      <c r="M176" s="320"/>
      <c r="N176" s="142"/>
      <c r="O176" s="320"/>
      <c r="P176" s="142"/>
      <c r="Q176" s="348"/>
      <c r="R176" s="28"/>
      <c r="S176" s="320"/>
      <c r="T176" s="142"/>
      <c r="U176" s="30"/>
      <c r="V176" s="30"/>
      <c r="W176" s="30"/>
      <c r="X176" s="30"/>
      <c r="Y176" s="30"/>
      <c r="Z176" s="30"/>
    </row>
    <row r="177">
      <c r="A177" s="320"/>
      <c r="B177" s="142"/>
      <c r="C177" s="320"/>
      <c r="D177" s="142"/>
      <c r="E177" s="320"/>
      <c r="F177" s="142"/>
      <c r="G177" s="320"/>
      <c r="H177" s="142"/>
      <c r="I177" s="320"/>
      <c r="J177" s="142"/>
      <c r="K177" s="320"/>
      <c r="L177" s="142"/>
      <c r="M177" s="320"/>
      <c r="N177" s="142"/>
      <c r="O177" s="320"/>
      <c r="P177" s="142"/>
      <c r="Q177" s="348"/>
      <c r="R177" s="28"/>
      <c r="S177" s="320"/>
      <c r="T177" s="142"/>
      <c r="U177" s="30"/>
      <c r="V177" s="30"/>
      <c r="W177" s="30"/>
      <c r="X177" s="30"/>
      <c r="Y177" s="30"/>
      <c r="Z177" s="30"/>
    </row>
    <row r="178">
      <c r="A178" s="320"/>
      <c r="B178" s="142"/>
      <c r="C178" s="320"/>
      <c r="D178" s="142"/>
      <c r="E178" s="320"/>
      <c r="F178" s="142"/>
      <c r="G178" s="320"/>
      <c r="H178" s="142"/>
      <c r="I178" s="320"/>
      <c r="J178" s="142"/>
      <c r="K178" s="320"/>
      <c r="L178" s="142"/>
      <c r="M178" s="320"/>
      <c r="N178" s="142"/>
      <c r="O178" s="320"/>
      <c r="P178" s="142"/>
      <c r="Q178" s="348"/>
      <c r="R178" s="28"/>
      <c r="S178" s="320"/>
      <c r="T178" s="142"/>
      <c r="U178" s="30"/>
      <c r="V178" s="30"/>
      <c r="W178" s="30"/>
      <c r="X178" s="30"/>
      <c r="Y178" s="30"/>
      <c r="Z178" s="30"/>
    </row>
    <row r="179">
      <c r="A179" s="320"/>
      <c r="B179" s="142"/>
      <c r="C179" s="320"/>
      <c r="D179" s="142"/>
      <c r="E179" s="320"/>
      <c r="F179" s="142"/>
      <c r="G179" s="320"/>
      <c r="H179" s="142"/>
      <c r="I179" s="320"/>
      <c r="J179" s="142"/>
      <c r="K179" s="320"/>
      <c r="L179" s="142"/>
      <c r="M179" s="320"/>
      <c r="N179" s="142"/>
      <c r="O179" s="320"/>
      <c r="P179" s="142"/>
      <c r="Q179" s="348"/>
      <c r="R179" s="28"/>
      <c r="S179" s="320"/>
      <c r="T179" s="142"/>
      <c r="U179" s="30"/>
      <c r="V179" s="30"/>
      <c r="W179" s="30"/>
      <c r="X179" s="30"/>
      <c r="Y179" s="30"/>
      <c r="Z179" s="30"/>
    </row>
    <row r="180">
      <c r="A180" s="320"/>
      <c r="B180" s="142"/>
      <c r="C180" s="320"/>
      <c r="D180" s="142"/>
      <c r="E180" s="320"/>
      <c r="F180" s="142"/>
      <c r="G180" s="320"/>
      <c r="H180" s="142"/>
      <c r="I180" s="320"/>
      <c r="J180" s="142"/>
      <c r="K180" s="320"/>
      <c r="L180" s="142"/>
      <c r="M180" s="320"/>
      <c r="N180" s="142"/>
      <c r="O180" s="320"/>
      <c r="P180" s="142"/>
      <c r="Q180" s="348"/>
      <c r="R180" s="28"/>
      <c r="S180" s="320"/>
      <c r="T180" s="142"/>
      <c r="U180" s="30"/>
      <c r="V180" s="30"/>
      <c r="W180" s="30"/>
      <c r="X180" s="30"/>
      <c r="Y180" s="30"/>
      <c r="Z180" s="30"/>
    </row>
    <row r="181">
      <c r="A181" s="320"/>
      <c r="B181" s="142"/>
      <c r="C181" s="320"/>
      <c r="D181" s="142"/>
      <c r="E181" s="320"/>
      <c r="F181" s="142"/>
      <c r="G181" s="320"/>
      <c r="H181" s="142"/>
      <c r="I181" s="320"/>
      <c r="J181" s="142"/>
      <c r="K181" s="320"/>
      <c r="L181" s="142"/>
      <c r="M181" s="320"/>
      <c r="N181" s="142"/>
      <c r="O181" s="320"/>
      <c r="P181" s="142"/>
      <c r="Q181" s="348"/>
      <c r="R181" s="28"/>
      <c r="S181" s="320"/>
      <c r="T181" s="142"/>
      <c r="U181" s="30"/>
      <c r="V181" s="30"/>
      <c r="W181" s="30"/>
      <c r="X181" s="30"/>
      <c r="Y181" s="30"/>
      <c r="Z181" s="30"/>
    </row>
    <row r="182">
      <c r="A182" s="320"/>
      <c r="B182" s="142"/>
      <c r="C182" s="320"/>
      <c r="D182" s="142"/>
      <c r="E182" s="320"/>
      <c r="F182" s="142"/>
      <c r="G182" s="320"/>
      <c r="H182" s="142"/>
      <c r="I182" s="320"/>
      <c r="J182" s="142"/>
      <c r="K182" s="320"/>
      <c r="L182" s="142"/>
      <c r="M182" s="320"/>
      <c r="N182" s="142"/>
      <c r="O182" s="320"/>
      <c r="P182" s="142"/>
      <c r="Q182" s="348"/>
      <c r="R182" s="28"/>
      <c r="S182" s="320"/>
      <c r="T182" s="142"/>
      <c r="U182" s="30"/>
      <c r="V182" s="30"/>
      <c r="W182" s="30"/>
      <c r="X182" s="30"/>
      <c r="Y182" s="30"/>
      <c r="Z182" s="30"/>
    </row>
    <row r="183">
      <c r="A183" s="320"/>
      <c r="B183" s="142"/>
      <c r="C183" s="320"/>
      <c r="D183" s="142"/>
      <c r="E183" s="320"/>
      <c r="F183" s="142"/>
      <c r="G183" s="320"/>
      <c r="H183" s="142"/>
      <c r="I183" s="320"/>
      <c r="J183" s="142"/>
      <c r="K183" s="320"/>
      <c r="L183" s="142"/>
      <c r="M183" s="320"/>
      <c r="N183" s="142"/>
      <c r="O183" s="320"/>
      <c r="P183" s="142"/>
      <c r="Q183" s="348"/>
      <c r="R183" s="28"/>
      <c r="S183" s="320"/>
      <c r="T183" s="142"/>
      <c r="U183" s="30"/>
      <c r="V183" s="30"/>
      <c r="W183" s="30"/>
      <c r="X183" s="30"/>
      <c r="Y183" s="30"/>
      <c r="Z183" s="30"/>
    </row>
    <row r="184">
      <c r="A184" s="320"/>
      <c r="B184" s="142"/>
      <c r="C184" s="320"/>
      <c r="D184" s="142"/>
      <c r="E184" s="320"/>
      <c r="F184" s="142"/>
      <c r="G184" s="320"/>
      <c r="H184" s="142"/>
      <c r="I184" s="320"/>
      <c r="J184" s="142"/>
      <c r="K184" s="320"/>
      <c r="L184" s="142"/>
      <c r="M184" s="320"/>
      <c r="N184" s="142"/>
      <c r="O184" s="320"/>
      <c r="P184" s="142"/>
      <c r="Q184" s="348"/>
      <c r="R184" s="28"/>
      <c r="S184" s="320"/>
      <c r="T184" s="142"/>
      <c r="U184" s="30"/>
      <c r="V184" s="30"/>
      <c r="W184" s="30"/>
      <c r="X184" s="30"/>
      <c r="Y184" s="30"/>
      <c r="Z184" s="30"/>
    </row>
    <row r="185">
      <c r="A185" s="320"/>
      <c r="B185" s="142"/>
      <c r="C185" s="320"/>
      <c r="D185" s="142"/>
      <c r="E185" s="320"/>
      <c r="F185" s="142"/>
      <c r="G185" s="320"/>
      <c r="H185" s="142"/>
      <c r="I185" s="320"/>
      <c r="J185" s="142"/>
      <c r="K185" s="320"/>
      <c r="L185" s="142"/>
      <c r="M185" s="320"/>
      <c r="N185" s="142"/>
      <c r="O185" s="320"/>
      <c r="P185" s="142"/>
      <c r="Q185" s="348"/>
      <c r="R185" s="28"/>
      <c r="S185" s="320"/>
      <c r="T185" s="142"/>
      <c r="U185" s="30"/>
      <c r="V185" s="30"/>
      <c r="W185" s="30"/>
      <c r="X185" s="30"/>
      <c r="Y185" s="30"/>
      <c r="Z185" s="30"/>
    </row>
    <row r="186">
      <c r="A186" s="320"/>
      <c r="B186" s="142"/>
      <c r="C186" s="320"/>
      <c r="D186" s="142"/>
      <c r="E186" s="320"/>
      <c r="F186" s="142"/>
      <c r="G186" s="320"/>
      <c r="H186" s="142"/>
      <c r="I186" s="320"/>
      <c r="J186" s="142"/>
      <c r="K186" s="320"/>
      <c r="L186" s="142"/>
      <c r="M186" s="320"/>
      <c r="N186" s="142"/>
      <c r="O186" s="320"/>
      <c r="P186" s="142"/>
      <c r="Q186" s="348"/>
      <c r="R186" s="28"/>
      <c r="S186" s="320"/>
      <c r="T186" s="142"/>
      <c r="U186" s="30"/>
      <c r="V186" s="30"/>
      <c r="W186" s="30"/>
      <c r="X186" s="30"/>
      <c r="Y186" s="30"/>
      <c r="Z186" s="30"/>
    </row>
    <row r="187">
      <c r="A187" s="320"/>
      <c r="B187" s="142"/>
      <c r="C187" s="320"/>
      <c r="D187" s="142"/>
      <c r="E187" s="320"/>
      <c r="F187" s="142"/>
      <c r="G187" s="320"/>
      <c r="H187" s="142"/>
      <c r="I187" s="320"/>
      <c r="J187" s="142"/>
      <c r="K187" s="320"/>
      <c r="L187" s="142"/>
      <c r="M187" s="320"/>
      <c r="N187" s="142"/>
      <c r="O187" s="320"/>
      <c r="P187" s="142"/>
      <c r="Q187" s="348"/>
      <c r="R187" s="28"/>
      <c r="S187" s="320"/>
      <c r="T187" s="142"/>
      <c r="U187" s="30"/>
      <c r="V187" s="30"/>
      <c r="W187" s="30"/>
      <c r="X187" s="30"/>
      <c r="Y187" s="30"/>
      <c r="Z187" s="30"/>
    </row>
    <row r="188">
      <c r="A188" s="320"/>
      <c r="B188" s="142"/>
      <c r="C188" s="320"/>
      <c r="D188" s="142"/>
      <c r="E188" s="320"/>
      <c r="F188" s="142"/>
      <c r="G188" s="320"/>
      <c r="H188" s="142"/>
      <c r="I188" s="320"/>
      <c r="J188" s="142"/>
      <c r="K188" s="320"/>
      <c r="L188" s="142"/>
      <c r="M188" s="320"/>
      <c r="N188" s="142"/>
      <c r="O188" s="320"/>
      <c r="P188" s="142"/>
      <c r="Q188" s="348"/>
      <c r="R188" s="28"/>
      <c r="S188" s="320"/>
      <c r="T188" s="142"/>
      <c r="U188" s="30"/>
      <c r="V188" s="30"/>
      <c r="W188" s="30"/>
      <c r="X188" s="30"/>
      <c r="Y188" s="30"/>
      <c r="Z188" s="30"/>
    </row>
    <row r="189">
      <c r="A189" s="320"/>
      <c r="B189" s="142"/>
      <c r="C189" s="320"/>
      <c r="D189" s="142"/>
      <c r="E189" s="320"/>
      <c r="F189" s="142"/>
      <c r="G189" s="320"/>
      <c r="H189" s="142"/>
      <c r="I189" s="320"/>
      <c r="J189" s="142"/>
      <c r="K189" s="320"/>
      <c r="L189" s="142"/>
      <c r="M189" s="320"/>
      <c r="N189" s="142"/>
      <c r="O189" s="320"/>
      <c r="P189" s="142"/>
      <c r="Q189" s="348"/>
      <c r="R189" s="28"/>
      <c r="S189" s="320"/>
      <c r="T189" s="142"/>
      <c r="U189" s="30"/>
      <c r="V189" s="30"/>
      <c r="W189" s="30"/>
      <c r="X189" s="30"/>
      <c r="Y189" s="30"/>
      <c r="Z189" s="30"/>
    </row>
    <row r="190">
      <c r="A190" s="320"/>
      <c r="B190" s="142"/>
      <c r="C190" s="320"/>
      <c r="D190" s="142"/>
      <c r="E190" s="320"/>
      <c r="F190" s="142"/>
      <c r="G190" s="320"/>
      <c r="H190" s="142"/>
      <c r="I190" s="320"/>
      <c r="J190" s="142"/>
      <c r="K190" s="320"/>
      <c r="L190" s="142"/>
      <c r="M190" s="320"/>
      <c r="N190" s="142"/>
      <c r="O190" s="320"/>
      <c r="P190" s="142"/>
      <c r="Q190" s="348"/>
      <c r="R190" s="28"/>
      <c r="S190" s="320"/>
      <c r="T190" s="142"/>
      <c r="U190" s="30"/>
      <c r="V190" s="30"/>
      <c r="W190" s="30"/>
      <c r="X190" s="30"/>
      <c r="Y190" s="30"/>
      <c r="Z190" s="30"/>
    </row>
    <row r="191">
      <c r="A191" s="320"/>
      <c r="B191" s="142"/>
      <c r="C191" s="320"/>
      <c r="D191" s="142"/>
      <c r="E191" s="320"/>
      <c r="F191" s="142"/>
      <c r="G191" s="320"/>
      <c r="H191" s="142"/>
      <c r="I191" s="320"/>
      <c r="J191" s="142"/>
      <c r="K191" s="320"/>
      <c r="L191" s="142"/>
      <c r="M191" s="320"/>
      <c r="N191" s="142"/>
      <c r="O191" s="320"/>
      <c r="P191" s="142"/>
      <c r="Q191" s="348"/>
      <c r="R191" s="28"/>
      <c r="S191" s="320"/>
      <c r="T191" s="142"/>
      <c r="U191" s="30"/>
      <c r="V191" s="30"/>
      <c r="W191" s="30"/>
      <c r="X191" s="30"/>
      <c r="Y191" s="30"/>
      <c r="Z191" s="30"/>
    </row>
    <row r="192">
      <c r="A192" s="320"/>
      <c r="B192" s="142"/>
      <c r="C192" s="320"/>
      <c r="D192" s="142"/>
      <c r="E192" s="320"/>
      <c r="F192" s="142"/>
      <c r="G192" s="320"/>
      <c r="H192" s="142"/>
      <c r="I192" s="320"/>
      <c r="J192" s="142"/>
      <c r="K192" s="320"/>
      <c r="L192" s="142"/>
      <c r="M192" s="320"/>
      <c r="N192" s="142"/>
      <c r="O192" s="320"/>
      <c r="P192" s="142"/>
      <c r="Q192" s="348"/>
      <c r="R192" s="28"/>
      <c r="S192" s="320"/>
      <c r="T192" s="142"/>
      <c r="U192" s="30"/>
      <c r="V192" s="30"/>
      <c r="W192" s="30"/>
      <c r="X192" s="30"/>
      <c r="Y192" s="30"/>
      <c r="Z192" s="30"/>
    </row>
    <row r="193">
      <c r="A193" s="320"/>
      <c r="B193" s="142"/>
      <c r="C193" s="320"/>
      <c r="D193" s="142"/>
      <c r="E193" s="320"/>
      <c r="F193" s="142"/>
      <c r="G193" s="320"/>
      <c r="H193" s="142"/>
      <c r="I193" s="320"/>
      <c r="J193" s="142"/>
      <c r="K193" s="320"/>
      <c r="L193" s="142"/>
      <c r="M193" s="320"/>
      <c r="N193" s="142"/>
      <c r="O193" s="320"/>
      <c r="P193" s="142"/>
      <c r="Q193" s="348"/>
      <c r="R193" s="28"/>
      <c r="S193" s="320"/>
      <c r="T193" s="142"/>
      <c r="U193" s="30"/>
      <c r="V193" s="30"/>
      <c r="W193" s="30"/>
      <c r="X193" s="30"/>
      <c r="Y193" s="30"/>
      <c r="Z193" s="30"/>
    </row>
    <row r="194">
      <c r="A194" s="320"/>
      <c r="B194" s="142"/>
      <c r="C194" s="320"/>
      <c r="D194" s="142"/>
      <c r="E194" s="320"/>
      <c r="F194" s="142"/>
      <c r="G194" s="320"/>
      <c r="H194" s="142"/>
      <c r="I194" s="320"/>
      <c r="J194" s="142"/>
      <c r="K194" s="320"/>
      <c r="L194" s="142"/>
      <c r="M194" s="320"/>
      <c r="N194" s="142"/>
      <c r="O194" s="320"/>
      <c r="P194" s="142"/>
      <c r="Q194" s="348"/>
      <c r="R194" s="28"/>
      <c r="S194" s="320"/>
      <c r="T194" s="142"/>
      <c r="U194" s="30"/>
      <c r="V194" s="30"/>
      <c r="W194" s="30"/>
      <c r="X194" s="30"/>
      <c r="Y194" s="30"/>
      <c r="Z194" s="30"/>
    </row>
    <row r="195">
      <c r="A195" s="320"/>
      <c r="B195" s="142"/>
      <c r="C195" s="320"/>
      <c r="D195" s="142"/>
      <c r="E195" s="320"/>
      <c r="F195" s="142"/>
      <c r="G195" s="320"/>
      <c r="H195" s="142"/>
      <c r="I195" s="320"/>
      <c r="J195" s="142"/>
      <c r="K195" s="320"/>
      <c r="L195" s="142"/>
      <c r="M195" s="320"/>
      <c r="N195" s="142"/>
      <c r="O195" s="320"/>
      <c r="P195" s="142"/>
      <c r="Q195" s="348"/>
      <c r="R195" s="28"/>
      <c r="S195" s="320"/>
      <c r="T195" s="142"/>
      <c r="U195" s="30"/>
      <c r="V195" s="30"/>
      <c r="W195" s="30"/>
      <c r="X195" s="30"/>
      <c r="Y195" s="30"/>
      <c r="Z195" s="30"/>
    </row>
    <row r="196">
      <c r="A196" s="320"/>
      <c r="B196" s="142"/>
      <c r="C196" s="320"/>
      <c r="D196" s="142"/>
      <c r="E196" s="320"/>
      <c r="F196" s="142"/>
      <c r="G196" s="320"/>
      <c r="H196" s="142"/>
      <c r="I196" s="320"/>
      <c r="J196" s="142"/>
      <c r="K196" s="320"/>
      <c r="L196" s="142"/>
      <c r="M196" s="320"/>
      <c r="N196" s="142"/>
      <c r="O196" s="320"/>
      <c r="P196" s="142"/>
      <c r="Q196" s="348"/>
      <c r="R196" s="28"/>
      <c r="S196" s="320"/>
      <c r="T196" s="142"/>
      <c r="U196" s="30"/>
      <c r="V196" s="30"/>
      <c r="W196" s="30"/>
      <c r="X196" s="30"/>
      <c r="Y196" s="30"/>
      <c r="Z196" s="30"/>
    </row>
    <row r="197">
      <c r="A197" s="320"/>
      <c r="B197" s="142"/>
      <c r="C197" s="320"/>
      <c r="D197" s="142"/>
      <c r="E197" s="320"/>
      <c r="F197" s="142"/>
      <c r="G197" s="320"/>
      <c r="H197" s="142"/>
      <c r="I197" s="320"/>
      <c r="J197" s="142"/>
      <c r="K197" s="320"/>
      <c r="L197" s="142"/>
      <c r="M197" s="320"/>
      <c r="N197" s="142"/>
      <c r="O197" s="320"/>
      <c r="P197" s="142"/>
      <c r="Q197" s="348"/>
      <c r="R197" s="28"/>
      <c r="S197" s="320"/>
      <c r="T197" s="142"/>
      <c r="U197" s="30"/>
      <c r="V197" s="30"/>
      <c r="W197" s="30"/>
      <c r="X197" s="30"/>
      <c r="Y197" s="30"/>
      <c r="Z197" s="30"/>
    </row>
    <row r="198">
      <c r="A198" s="320"/>
      <c r="B198" s="142"/>
      <c r="C198" s="320"/>
      <c r="D198" s="142"/>
      <c r="E198" s="320"/>
      <c r="F198" s="142"/>
      <c r="G198" s="320"/>
      <c r="H198" s="142"/>
      <c r="I198" s="320"/>
      <c r="J198" s="142"/>
      <c r="K198" s="320"/>
      <c r="L198" s="142"/>
      <c r="M198" s="320"/>
      <c r="N198" s="142"/>
      <c r="O198" s="320"/>
      <c r="P198" s="142"/>
      <c r="Q198" s="348"/>
      <c r="R198" s="28"/>
      <c r="S198" s="320"/>
      <c r="T198" s="142"/>
      <c r="U198" s="30"/>
      <c r="V198" s="30"/>
      <c r="W198" s="30"/>
      <c r="X198" s="30"/>
      <c r="Y198" s="30"/>
      <c r="Z198" s="30"/>
    </row>
    <row r="199">
      <c r="A199" s="320"/>
      <c r="B199" s="142"/>
      <c r="C199" s="320"/>
      <c r="D199" s="142"/>
      <c r="E199" s="320"/>
      <c r="F199" s="142"/>
      <c r="G199" s="320"/>
      <c r="H199" s="142"/>
      <c r="I199" s="320"/>
      <c r="J199" s="142"/>
      <c r="K199" s="320"/>
      <c r="L199" s="142"/>
      <c r="M199" s="320"/>
      <c r="N199" s="142"/>
      <c r="O199" s="320"/>
      <c r="P199" s="142"/>
      <c r="Q199" s="348"/>
      <c r="R199" s="28"/>
      <c r="S199" s="320"/>
      <c r="T199" s="142"/>
      <c r="U199" s="30"/>
      <c r="V199" s="30"/>
      <c r="W199" s="30"/>
      <c r="X199" s="30"/>
      <c r="Y199" s="30"/>
      <c r="Z199" s="30"/>
    </row>
    <row r="200">
      <c r="A200" s="320"/>
      <c r="B200" s="142"/>
      <c r="C200" s="320"/>
      <c r="D200" s="142"/>
      <c r="E200" s="320"/>
      <c r="F200" s="142"/>
      <c r="G200" s="320"/>
      <c r="H200" s="142"/>
      <c r="I200" s="320"/>
      <c r="J200" s="142"/>
      <c r="K200" s="320"/>
      <c r="L200" s="142"/>
      <c r="M200" s="320"/>
      <c r="N200" s="142"/>
      <c r="O200" s="320"/>
      <c r="P200" s="142"/>
      <c r="Q200" s="348"/>
      <c r="R200" s="28"/>
      <c r="S200" s="320"/>
      <c r="T200" s="142"/>
      <c r="U200" s="30"/>
      <c r="V200" s="30"/>
      <c r="W200" s="30"/>
      <c r="X200" s="30"/>
      <c r="Y200" s="30"/>
      <c r="Z200" s="30"/>
    </row>
    <row r="201">
      <c r="A201" s="320"/>
      <c r="B201" s="142"/>
      <c r="C201" s="320"/>
      <c r="D201" s="142"/>
      <c r="E201" s="320"/>
      <c r="F201" s="142"/>
      <c r="G201" s="320"/>
      <c r="H201" s="142"/>
      <c r="I201" s="320"/>
      <c r="J201" s="142"/>
      <c r="K201" s="320"/>
      <c r="L201" s="142"/>
      <c r="M201" s="320"/>
      <c r="N201" s="142"/>
      <c r="O201" s="320"/>
      <c r="P201" s="142"/>
      <c r="Q201" s="348"/>
      <c r="R201" s="28"/>
      <c r="S201" s="320"/>
      <c r="T201" s="142"/>
      <c r="U201" s="30"/>
      <c r="V201" s="30"/>
      <c r="W201" s="30"/>
      <c r="X201" s="30"/>
      <c r="Y201" s="30"/>
      <c r="Z201" s="30"/>
    </row>
    <row r="202">
      <c r="A202" s="320"/>
      <c r="B202" s="142"/>
      <c r="C202" s="320"/>
      <c r="D202" s="142"/>
      <c r="E202" s="320"/>
      <c r="F202" s="142"/>
      <c r="G202" s="320"/>
      <c r="H202" s="142"/>
      <c r="I202" s="320"/>
      <c r="J202" s="142"/>
      <c r="K202" s="320"/>
      <c r="L202" s="142"/>
      <c r="M202" s="320"/>
      <c r="N202" s="142"/>
      <c r="O202" s="320"/>
      <c r="P202" s="142"/>
      <c r="Q202" s="348"/>
      <c r="R202" s="28"/>
      <c r="S202" s="320"/>
      <c r="T202" s="142"/>
      <c r="U202" s="30"/>
      <c r="V202" s="30"/>
      <c r="W202" s="30"/>
      <c r="X202" s="30"/>
      <c r="Y202" s="30"/>
      <c r="Z202" s="30"/>
    </row>
    <row r="203">
      <c r="A203" s="320"/>
      <c r="B203" s="142"/>
      <c r="C203" s="320"/>
      <c r="D203" s="142"/>
      <c r="E203" s="320"/>
      <c r="F203" s="142"/>
      <c r="G203" s="320"/>
      <c r="H203" s="142"/>
      <c r="I203" s="320"/>
      <c r="J203" s="142"/>
      <c r="K203" s="320"/>
      <c r="L203" s="142"/>
      <c r="M203" s="320"/>
      <c r="N203" s="142"/>
      <c r="O203" s="320"/>
      <c r="P203" s="142"/>
      <c r="Q203" s="348"/>
      <c r="R203" s="28"/>
      <c r="S203" s="320"/>
      <c r="T203" s="142"/>
      <c r="U203" s="30"/>
      <c r="V203" s="30"/>
      <c r="W203" s="30"/>
      <c r="X203" s="30"/>
      <c r="Y203" s="30"/>
      <c r="Z203" s="30"/>
    </row>
    <row r="204">
      <c r="A204" s="320"/>
      <c r="B204" s="142"/>
      <c r="C204" s="320"/>
      <c r="D204" s="142"/>
      <c r="E204" s="320"/>
      <c r="F204" s="142"/>
      <c r="G204" s="320"/>
      <c r="H204" s="142"/>
      <c r="I204" s="320"/>
      <c r="J204" s="142"/>
      <c r="K204" s="320"/>
      <c r="L204" s="142"/>
      <c r="M204" s="320"/>
      <c r="N204" s="142"/>
      <c r="O204" s="320"/>
      <c r="P204" s="142"/>
      <c r="Q204" s="348"/>
      <c r="R204" s="28"/>
      <c r="S204" s="320"/>
      <c r="T204" s="142"/>
      <c r="U204" s="30"/>
      <c r="V204" s="30"/>
      <c r="W204" s="30"/>
      <c r="X204" s="30"/>
      <c r="Y204" s="30"/>
      <c r="Z204" s="30"/>
    </row>
    <row r="205">
      <c r="A205" s="320"/>
      <c r="B205" s="142"/>
      <c r="C205" s="320"/>
      <c r="D205" s="142"/>
      <c r="E205" s="320"/>
      <c r="F205" s="142"/>
      <c r="G205" s="320"/>
      <c r="H205" s="142"/>
      <c r="I205" s="320"/>
      <c r="J205" s="142"/>
      <c r="K205" s="320"/>
      <c r="L205" s="142"/>
      <c r="M205" s="320"/>
      <c r="N205" s="142"/>
      <c r="O205" s="320"/>
      <c r="P205" s="142"/>
      <c r="Q205" s="348"/>
      <c r="R205" s="28"/>
      <c r="S205" s="320"/>
      <c r="T205" s="142"/>
      <c r="U205" s="30"/>
      <c r="V205" s="30"/>
      <c r="W205" s="30"/>
      <c r="X205" s="30"/>
      <c r="Y205" s="30"/>
      <c r="Z205" s="30"/>
    </row>
    <row r="206">
      <c r="A206" s="320"/>
      <c r="B206" s="142"/>
      <c r="C206" s="320"/>
      <c r="D206" s="142"/>
      <c r="E206" s="320"/>
      <c r="F206" s="142"/>
      <c r="G206" s="320"/>
      <c r="H206" s="142"/>
      <c r="I206" s="320"/>
      <c r="J206" s="142"/>
      <c r="K206" s="320"/>
      <c r="L206" s="142"/>
      <c r="M206" s="320"/>
      <c r="N206" s="142"/>
      <c r="O206" s="320"/>
      <c r="P206" s="142"/>
      <c r="Q206" s="348"/>
      <c r="R206" s="28"/>
      <c r="S206" s="320"/>
      <c r="T206" s="142"/>
      <c r="U206" s="30"/>
      <c r="V206" s="30"/>
      <c r="W206" s="30"/>
      <c r="X206" s="30"/>
      <c r="Y206" s="30"/>
      <c r="Z206" s="30"/>
    </row>
    <row r="207">
      <c r="A207" s="320"/>
      <c r="B207" s="142"/>
      <c r="C207" s="320"/>
      <c r="D207" s="142"/>
      <c r="E207" s="320"/>
      <c r="F207" s="142"/>
      <c r="G207" s="320"/>
      <c r="H207" s="142"/>
      <c r="I207" s="320"/>
      <c r="J207" s="142"/>
      <c r="K207" s="320"/>
      <c r="L207" s="142"/>
      <c r="M207" s="320"/>
      <c r="N207" s="142"/>
      <c r="O207" s="320"/>
      <c r="P207" s="142"/>
      <c r="Q207" s="348"/>
      <c r="R207" s="28"/>
      <c r="S207" s="320"/>
      <c r="T207" s="142"/>
      <c r="U207" s="30"/>
      <c r="V207" s="30"/>
      <c r="W207" s="30"/>
      <c r="X207" s="30"/>
      <c r="Y207" s="30"/>
      <c r="Z207" s="30"/>
    </row>
    <row r="208">
      <c r="A208" s="320"/>
      <c r="B208" s="142"/>
      <c r="C208" s="320"/>
      <c r="D208" s="142"/>
      <c r="E208" s="320"/>
      <c r="F208" s="142"/>
      <c r="G208" s="320"/>
      <c r="H208" s="142"/>
      <c r="I208" s="320"/>
      <c r="J208" s="142"/>
      <c r="K208" s="320"/>
      <c r="L208" s="142"/>
      <c r="M208" s="320"/>
      <c r="N208" s="142"/>
      <c r="O208" s="320"/>
      <c r="P208" s="142"/>
      <c r="Q208" s="348"/>
      <c r="R208" s="28"/>
      <c r="S208" s="320"/>
      <c r="T208" s="142"/>
      <c r="U208" s="30"/>
      <c r="V208" s="30"/>
      <c r="W208" s="30"/>
      <c r="X208" s="30"/>
      <c r="Y208" s="30"/>
      <c r="Z208" s="30"/>
    </row>
    <row r="209">
      <c r="A209" s="320"/>
      <c r="B209" s="142"/>
      <c r="C209" s="320"/>
      <c r="D209" s="142"/>
      <c r="E209" s="320"/>
      <c r="F209" s="142"/>
      <c r="G209" s="320"/>
      <c r="H209" s="142"/>
      <c r="I209" s="320"/>
      <c r="J209" s="142"/>
      <c r="K209" s="320"/>
      <c r="L209" s="142"/>
      <c r="M209" s="320"/>
      <c r="N209" s="142"/>
      <c r="O209" s="320"/>
      <c r="P209" s="142"/>
      <c r="Q209" s="348"/>
      <c r="R209" s="28"/>
      <c r="S209" s="320"/>
      <c r="T209" s="142"/>
      <c r="U209" s="30"/>
      <c r="V209" s="30"/>
      <c r="W209" s="30"/>
      <c r="X209" s="30"/>
      <c r="Y209" s="30"/>
      <c r="Z209" s="30"/>
    </row>
    <row r="210">
      <c r="A210" s="320"/>
      <c r="B210" s="142"/>
      <c r="C210" s="320"/>
      <c r="D210" s="142"/>
      <c r="E210" s="320"/>
      <c r="F210" s="142"/>
      <c r="G210" s="320"/>
      <c r="H210" s="142"/>
      <c r="I210" s="320"/>
      <c r="J210" s="142"/>
      <c r="K210" s="320"/>
      <c r="L210" s="142"/>
      <c r="M210" s="320"/>
      <c r="N210" s="142"/>
      <c r="O210" s="320"/>
      <c r="P210" s="142"/>
      <c r="Q210" s="348"/>
      <c r="R210" s="28"/>
      <c r="S210" s="320"/>
      <c r="T210" s="142"/>
      <c r="U210" s="30"/>
      <c r="V210" s="30"/>
      <c r="W210" s="30"/>
      <c r="X210" s="30"/>
      <c r="Y210" s="30"/>
      <c r="Z210" s="30"/>
    </row>
    <row r="211">
      <c r="A211" s="320"/>
      <c r="B211" s="142"/>
      <c r="C211" s="320"/>
      <c r="D211" s="142"/>
      <c r="E211" s="320"/>
      <c r="F211" s="142"/>
      <c r="G211" s="320"/>
      <c r="H211" s="142"/>
      <c r="I211" s="320"/>
      <c r="J211" s="142"/>
      <c r="K211" s="320"/>
      <c r="L211" s="142"/>
      <c r="M211" s="320"/>
      <c r="N211" s="142"/>
      <c r="O211" s="320"/>
      <c r="P211" s="142"/>
      <c r="Q211" s="348"/>
      <c r="R211" s="28"/>
      <c r="S211" s="320"/>
      <c r="T211" s="142"/>
      <c r="U211" s="30"/>
      <c r="V211" s="30"/>
      <c r="W211" s="30"/>
      <c r="X211" s="30"/>
      <c r="Y211" s="30"/>
      <c r="Z211" s="30"/>
    </row>
    <row r="212">
      <c r="A212" s="320"/>
      <c r="B212" s="142"/>
      <c r="C212" s="320"/>
      <c r="D212" s="142"/>
      <c r="E212" s="320"/>
      <c r="F212" s="142"/>
      <c r="G212" s="320"/>
      <c r="H212" s="142"/>
      <c r="I212" s="320"/>
      <c r="J212" s="142"/>
      <c r="K212" s="320"/>
      <c r="L212" s="142"/>
      <c r="M212" s="320"/>
      <c r="N212" s="142"/>
      <c r="O212" s="320"/>
      <c r="P212" s="142"/>
      <c r="Q212" s="348"/>
      <c r="R212" s="28"/>
      <c r="S212" s="320"/>
      <c r="T212" s="142"/>
      <c r="U212" s="30"/>
      <c r="V212" s="30"/>
      <c r="W212" s="30"/>
      <c r="X212" s="30"/>
      <c r="Y212" s="30"/>
      <c r="Z212" s="30"/>
    </row>
    <row r="213">
      <c r="A213" s="320"/>
      <c r="B213" s="142"/>
      <c r="C213" s="320"/>
      <c r="D213" s="142"/>
      <c r="E213" s="320"/>
      <c r="F213" s="142"/>
      <c r="G213" s="320"/>
      <c r="H213" s="142"/>
      <c r="I213" s="320"/>
      <c r="J213" s="142"/>
      <c r="K213" s="320"/>
      <c r="L213" s="142"/>
      <c r="M213" s="320"/>
      <c r="N213" s="142"/>
      <c r="O213" s="320"/>
      <c r="P213" s="142"/>
      <c r="Q213" s="348"/>
      <c r="R213" s="28"/>
      <c r="S213" s="320"/>
      <c r="T213" s="142"/>
      <c r="U213" s="30"/>
      <c r="V213" s="30"/>
      <c r="W213" s="30"/>
      <c r="X213" s="30"/>
      <c r="Y213" s="30"/>
      <c r="Z213" s="30"/>
    </row>
    <row r="214">
      <c r="A214" s="320"/>
      <c r="B214" s="142"/>
      <c r="C214" s="320"/>
      <c r="D214" s="142"/>
      <c r="E214" s="320"/>
      <c r="F214" s="142"/>
      <c r="G214" s="320"/>
      <c r="H214" s="142"/>
      <c r="I214" s="320"/>
      <c r="J214" s="142"/>
      <c r="K214" s="320"/>
      <c r="L214" s="142"/>
      <c r="M214" s="320"/>
      <c r="N214" s="142"/>
      <c r="O214" s="320"/>
      <c r="P214" s="142"/>
      <c r="Q214" s="348"/>
      <c r="R214" s="28"/>
      <c r="S214" s="320"/>
      <c r="T214" s="142"/>
      <c r="U214" s="30"/>
      <c r="V214" s="30"/>
      <c r="W214" s="30"/>
      <c r="X214" s="30"/>
      <c r="Y214" s="30"/>
      <c r="Z214" s="30"/>
    </row>
    <row r="215">
      <c r="A215" s="320"/>
      <c r="B215" s="142"/>
      <c r="C215" s="320"/>
      <c r="D215" s="142"/>
      <c r="E215" s="320"/>
      <c r="F215" s="142"/>
      <c r="G215" s="320"/>
      <c r="H215" s="142"/>
      <c r="I215" s="320"/>
      <c r="J215" s="142"/>
      <c r="K215" s="320"/>
      <c r="L215" s="142"/>
      <c r="M215" s="320"/>
      <c r="N215" s="142"/>
      <c r="O215" s="320"/>
      <c r="P215" s="142"/>
      <c r="Q215" s="348"/>
      <c r="R215" s="28"/>
      <c r="S215" s="320"/>
      <c r="T215" s="142"/>
      <c r="U215" s="30"/>
      <c r="V215" s="30"/>
      <c r="W215" s="30"/>
      <c r="X215" s="30"/>
      <c r="Y215" s="30"/>
      <c r="Z215" s="30"/>
    </row>
    <row r="216">
      <c r="A216" s="320"/>
      <c r="B216" s="142"/>
      <c r="C216" s="320"/>
      <c r="D216" s="142"/>
      <c r="E216" s="320"/>
      <c r="F216" s="142"/>
      <c r="G216" s="320"/>
      <c r="H216" s="142"/>
      <c r="I216" s="320"/>
      <c r="J216" s="142"/>
      <c r="K216" s="320"/>
      <c r="L216" s="142"/>
      <c r="M216" s="320"/>
      <c r="N216" s="142"/>
      <c r="O216" s="320"/>
      <c r="P216" s="142"/>
      <c r="Q216" s="348"/>
      <c r="R216" s="28"/>
      <c r="S216" s="320"/>
      <c r="T216" s="142"/>
      <c r="U216" s="30"/>
      <c r="V216" s="30"/>
      <c r="W216" s="30"/>
      <c r="X216" s="30"/>
      <c r="Y216" s="30"/>
      <c r="Z216" s="30"/>
    </row>
    <row r="217">
      <c r="A217" s="320"/>
      <c r="B217" s="142"/>
      <c r="C217" s="320"/>
      <c r="D217" s="142"/>
      <c r="E217" s="320"/>
      <c r="F217" s="142"/>
      <c r="G217" s="320"/>
      <c r="H217" s="142"/>
      <c r="I217" s="320"/>
      <c r="J217" s="142"/>
      <c r="K217" s="320"/>
      <c r="L217" s="142"/>
      <c r="M217" s="320"/>
      <c r="N217" s="142"/>
      <c r="O217" s="320"/>
      <c r="P217" s="142"/>
      <c r="Q217" s="348"/>
      <c r="R217" s="28"/>
      <c r="S217" s="320"/>
      <c r="T217" s="142"/>
      <c r="U217" s="30"/>
      <c r="V217" s="30"/>
      <c r="W217" s="30"/>
      <c r="X217" s="30"/>
      <c r="Y217" s="30"/>
      <c r="Z217" s="30"/>
    </row>
    <row r="218">
      <c r="A218" s="320"/>
      <c r="B218" s="142"/>
      <c r="C218" s="320"/>
      <c r="D218" s="142"/>
      <c r="E218" s="320"/>
      <c r="F218" s="142"/>
      <c r="G218" s="320"/>
      <c r="H218" s="142"/>
      <c r="I218" s="320"/>
      <c r="J218" s="142"/>
      <c r="K218" s="320"/>
      <c r="L218" s="142"/>
      <c r="M218" s="320"/>
      <c r="N218" s="142"/>
      <c r="O218" s="320"/>
      <c r="P218" s="142"/>
      <c r="Q218" s="348"/>
      <c r="R218" s="28"/>
      <c r="S218" s="320"/>
      <c r="T218" s="142"/>
      <c r="U218" s="30"/>
      <c r="V218" s="30"/>
      <c r="W218" s="30"/>
      <c r="X218" s="30"/>
      <c r="Y218" s="30"/>
      <c r="Z218" s="30"/>
    </row>
    <row r="219">
      <c r="A219" s="320"/>
      <c r="B219" s="142"/>
      <c r="C219" s="320"/>
      <c r="D219" s="142"/>
      <c r="E219" s="320"/>
      <c r="F219" s="142"/>
      <c r="G219" s="320"/>
      <c r="H219" s="142"/>
      <c r="I219" s="320"/>
      <c r="J219" s="142"/>
      <c r="K219" s="320"/>
      <c r="L219" s="142"/>
      <c r="M219" s="320"/>
      <c r="N219" s="142"/>
      <c r="O219" s="320"/>
      <c r="P219" s="142"/>
      <c r="Q219" s="348"/>
      <c r="R219" s="28"/>
      <c r="S219" s="320"/>
      <c r="T219" s="142"/>
      <c r="U219" s="30"/>
      <c r="V219" s="30"/>
      <c r="W219" s="30"/>
      <c r="X219" s="30"/>
      <c r="Y219" s="30"/>
      <c r="Z219" s="30"/>
    </row>
    <row r="220">
      <c r="A220" s="320"/>
      <c r="B220" s="142"/>
      <c r="C220" s="320"/>
      <c r="D220" s="142"/>
      <c r="E220" s="320"/>
      <c r="F220" s="142"/>
      <c r="G220" s="320"/>
      <c r="H220" s="142"/>
      <c r="I220" s="320"/>
      <c r="J220" s="142"/>
      <c r="K220" s="320"/>
      <c r="L220" s="142"/>
      <c r="M220" s="320"/>
      <c r="N220" s="142"/>
      <c r="O220" s="320"/>
      <c r="P220" s="142"/>
      <c r="Q220" s="348"/>
      <c r="R220" s="28"/>
      <c r="S220" s="320"/>
      <c r="T220" s="142"/>
      <c r="U220" s="30"/>
      <c r="V220" s="30"/>
      <c r="W220" s="30"/>
      <c r="X220" s="30"/>
      <c r="Y220" s="30"/>
      <c r="Z220" s="30"/>
    </row>
    <row r="221">
      <c r="A221" s="320"/>
      <c r="B221" s="142"/>
      <c r="C221" s="320"/>
      <c r="D221" s="142"/>
      <c r="E221" s="320"/>
      <c r="F221" s="142"/>
      <c r="G221" s="320"/>
      <c r="H221" s="142"/>
      <c r="I221" s="320"/>
      <c r="J221" s="142"/>
      <c r="K221" s="320"/>
      <c r="L221" s="142"/>
      <c r="M221" s="320"/>
      <c r="N221" s="142"/>
      <c r="O221" s="320"/>
      <c r="P221" s="142"/>
      <c r="Q221" s="348"/>
      <c r="R221" s="28"/>
      <c r="S221" s="320"/>
      <c r="T221" s="142"/>
      <c r="U221" s="30"/>
      <c r="V221" s="30"/>
      <c r="W221" s="30"/>
      <c r="X221" s="30"/>
      <c r="Y221" s="30"/>
      <c r="Z221" s="30"/>
    </row>
    <row r="222">
      <c r="A222" s="320"/>
      <c r="B222" s="142"/>
      <c r="C222" s="320"/>
      <c r="D222" s="142"/>
      <c r="E222" s="320"/>
      <c r="F222" s="142"/>
      <c r="G222" s="320"/>
      <c r="H222" s="142"/>
      <c r="I222" s="320"/>
      <c r="J222" s="142"/>
      <c r="K222" s="320"/>
      <c r="L222" s="142"/>
      <c r="M222" s="320"/>
      <c r="N222" s="142"/>
      <c r="O222" s="320"/>
      <c r="P222" s="142"/>
      <c r="Q222" s="348"/>
      <c r="R222" s="28"/>
      <c r="S222" s="320"/>
      <c r="T222" s="142"/>
      <c r="U222" s="30"/>
      <c r="V222" s="30"/>
      <c r="W222" s="30"/>
      <c r="X222" s="30"/>
      <c r="Y222" s="30"/>
      <c r="Z222" s="30"/>
    </row>
    <row r="223">
      <c r="A223" s="320"/>
      <c r="B223" s="142"/>
      <c r="C223" s="320"/>
      <c r="D223" s="142"/>
      <c r="E223" s="320"/>
      <c r="F223" s="142"/>
      <c r="G223" s="320"/>
      <c r="H223" s="142"/>
      <c r="I223" s="320"/>
      <c r="J223" s="142"/>
      <c r="K223" s="320"/>
      <c r="L223" s="142"/>
      <c r="M223" s="320"/>
      <c r="N223" s="142"/>
      <c r="O223" s="320"/>
      <c r="P223" s="142"/>
      <c r="Q223" s="348"/>
      <c r="R223" s="28"/>
      <c r="S223" s="320"/>
      <c r="T223" s="142"/>
      <c r="U223" s="30"/>
      <c r="V223" s="30"/>
      <c r="W223" s="30"/>
      <c r="X223" s="30"/>
      <c r="Y223" s="30"/>
      <c r="Z223" s="30"/>
    </row>
    <row r="224">
      <c r="A224" s="320"/>
      <c r="B224" s="142"/>
      <c r="C224" s="320"/>
      <c r="D224" s="142"/>
      <c r="E224" s="320"/>
      <c r="F224" s="142"/>
      <c r="G224" s="320"/>
      <c r="H224" s="142"/>
      <c r="I224" s="320"/>
      <c r="J224" s="142"/>
      <c r="K224" s="320"/>
      <c r="L224" s="142"/>
      <c r="M224" s="320"/>
      <c r="N224" s="142"/>
      <c r="O224" s="320"/>
      <c r="P224" s="142"/>
      <c r="Q224" s="348"/>
      <c r="R224" s="28"/>
      <c r="S224" s="320"/>
      <c r="T224" s="142"/>
      <c r="U224" s="30"/>
      <c r="V224" s="30"/>
      <c r="W224" s="30"/>
      <c r="X224" s="30"/>
      <c r="Y224" s="30"/>
      <c r="Z224" s="30"/>
    </row>
    <row r="225">
      <c r="A225" s="320"/>
      <c r="B225" s="142"/>
      <c r="C225" s="320"/>
      <c r="D225" s="142"/>
      <c r="E225" s="320"/>
      <c r="F225" s="142"/>
      <c r="G225" s="320"/>
      <c r="H225" s="142"/>
      <c r="I225" s="320"/>
      <c r="J225" s="142"/>
      <c r="K225" s="320"/>
      <c r="L225" s="142"/>
      <c r="M225" s="320"/>
      <c r="N225" s="142"/>
      <c r="O225" s="320"/>
      <c r="P225" s="142"/>
      <c r="Q225" s="348"/>
      <c r="R225" s="28"/>
      <c r="S225" s="320"/>
      <c r="T225" s="142"/>
      <c r="U225" s="30"/>
      <c r="V225" s="30"/>
      <c r="W225" s="30"/>
      <c r="X225" s="30"/>
      <c r="Y225" s="30"/>
      <c r="Z225" s="30"/>
    </row>
    <row r="226">
      <c r="A226" s="320"/>
      <c r="B226" s="142"/>
      <c r="C226" s="320"/>
      <c r="D226" s="142"/>
      <c r="E226" s="320"/>
      <c r="F226" s="142"/>
      <c r="G226" s="320"/>
      <c r="H226" s="142"/>
      <c r="I226" s="320"/>
      <c r="J226" s="142"/>
      <c r="K226" s="320"/>
      <c r="L226" s="142"/>
      <c r="M226" s="320"/>
      <c r="N226" s="142"/>
      <c r="O226" s="320"/>
      <c r="P226" s="142"/>
      <c r="Q226" s="348"/>
      <c r="R226" s="28"/>
      <c r="S226" s="320"/>
      <c r="T226" s="142"/>
      <c r="U226" s="30"/>
      <c r="V226" s="30"/>
      <c r="W226" s="30"/>
      <c r="X226" s="30"/>
      <c r="Y226" s="30"/>
      <c r="Z226" s="30"/>
    </row>
    <row r="227">
      <c r="A227" s="320"/>
      <c r="B227" s="142"/>
      <c r="C227" s="320"/>
      <c r="D227" s="142"/>
      <c r="E227" s="320"/>
      <c r="F227" s="142"/>
      <c r="G227" s="320"/>
      <c r="H227" s="142"/>
      <c r="I227" s="320"/>
      <c r="J227" s="142"/>
      <c r="K227" s="320"/>
      <c r="L227" s="142"/>
      <c r="M227" s="320"/>
      <c r="N227" s="142"/>
      <c r="O227" s="320"/>
      <c r="P227" s="142"/>
      <c r="Q227" s="348"/>
      <c r="R227" s="28"/>
      <c r="S227" s="320"/>
      <c r="T227" s="142"/>
      <c r="U227" s="30"/>
      <c r="V227" s="30"/>
      <c r="W227" s="30"/>
      <c r="X227" s="30"/>
      <c r="Y227" s="30"/>
      <c r="Z227" s="30"/>
    </row>
    <row r="228">
      <c r="A228" s="320"/>
      <c r="B228" s="142"/>
      <c r="C228" s="320"/>
      <c r="D228" s="142"/>
      <c r="E228" s="320"/>
      <c r="F228" s="142"/>
      <c r="G228" s="320"/>
      <c r="H228" s="142"/>
      <c r="I228" s="320"/>
      <c r="J228" s="142"/>
      <c r="K228" s="320"/>
      <c r="L228" s="142"/>
      <c r="M228" s="320"/>
      <c r="N228" s="142"/>
      <c r="O228" s="320"/>
      <c r="P228" s="142"/>
      <c r="Q228" s="348"/>
      <c r="R228" s="28"/>
      <c r="S228" s="320"/>
      <c r="T228" s="142"/>
      <c r="U228" s="30"/>
      <c r="V228" s="30"/>
      <c r="W228" s="30"/>
      <c r="X228" s="30"/>
      <c r="Y228" s="30"/>
      <c r="Z228" s="30"/>
    </row>
    <row r="229">
      <c r="A229" s="320"/>
      <c r="B229" s="142"/>
      <c r="C229" s="320"/>
      <c r="D229" s="142"/>
      <c r="E229" s="320"/>
      <c r="F229" s="142"/>
      <c r="G229" s="320"/>
      <c r="H229" s="142"/>
      <c r="I229" s="320"/>
      <c r="J229" s="142"/>
      <c r="K229" s="320"/>
      <c r="L229" s="142"/>
      <c r="M229" s="320"/>
      <c r="N229" s="142"/>
      <c r="O229" s="320"/>
      <c r="P229" s="142"/>
      <c r="Q229" s="348"/>
      <c r="R229" s="28"/>
      <c r="S229" s="320"/>
      <c r="T229" s="142"/>
      <c r="U229" s="30"/>
      <c r="V229" s="30"/>
      <c r="W229" s="30"/>
      <c r="X229" s="30"/>
      <c r="Y229" s="30"/>
      <c r="Z229" s="30"/>
    </row>
    <row r="230">
      <c r="A230" s="320"/>
      <c r="B230" s="142"/>
      <c r="C230" s="320"/>
      <c r="D230" s="142"/>
      <c r="E230" s="320"/>
      <c r="F230" s="142"/>
      <c r="G230" s="320"/>
      <c r="H230" s="142"/>
      <c r="I230" s="320"/>
      <c r="J230" s="142"/>
      <c r="K230" s="320"/>
      <c r="L230" s="142"/>
      <c r="M230" s="320"/>
      <c r="N230" s="142"/>
      <c r="O230" s="320"/>
      <c r="P230" s="142"/>
      <c r="Q230" s="348"/>
      <c r="R230" s="28"/>
      <c r="S230" s="320"/>
      <c r="T230" s="142"/>
      <c r="U230" s="30"/>
      <c r="V230" s="30"/>
      <c r="W230" s="30"/>
      <c r="X230" s="30"/>
      <c r="Y230" s="30"/>
      <c r="Z230" s="30"/>
    </row>
    <row r="231">
      <c r="A231" s="320"/>
      <c r="B231" s="142"/>
      <c r="C231" s="320"/>
      <c r="D231" s="142"/>
      <c r="E231" s="320"/>
      <c r="F231" s="142"/>
      <c r="G231" s="320"/>
      <c r="H231" s="142"/>
      <c r="I231" s="320"/>
      <c r="J231" s="142"/>
      <c r="K231" s="320"/>
      <c r="L231" s="142"/>
      <c r="M231" s="320"/>
      <c r="N231" s="142"/>
      <c r="O231" s="320"/>
      <c r="P231" s="142"/>
      <c r="Q231" s="348"/>
      <c r="R231" s="28"/>
      <c r="S231" s="320"/>
      <c r="T231" s="142"/>
      <c r="U231" s="30"/>
      <c r="V231" s="30"/>
      <c r="W231" s="30"/>
      <c r="X231" s="30"/>
      <c r="Y231" s="30"/>
      <c r="Z231" s="30"/>
    </row>
    <row r="232">
      <c r="A232" s="320"/>
      <c r="B232" s="142"/>
      <c r="C232" s="320"/>
      <c r="D232" s="142"/>
      <c r="E232" s="320"/>
      <c r="F232" s="142"/>
      <c r="G232" s="320"/>
      <c r="H232" s="142"/>
      <c r="I232" s="320"/>
      <c r="J232" s="142"/>
      <c r="K232" s="320"/>
      <c r="L232" s="142"/>
      <c r="M232" s="320"/>
      <c r="N232" s="142"/>
      <c r="O232" s="320"/>
      <c r="P232" s="142"/>
      <c r="Q232" s="348"/>
      <c r="R232" s="28"/>
      <c r="S232" s="320"/>
      <c r="T232" s="142"/>
      <c r="U232" s="30"/>
      <c r="V232" s="30"/>
      <c r="W232" s="30"/>
      <c r="X232" s="30"/>
      <c r="Y232" s="30"/>
      <c r="Z232" s="30"/>
    </row>
    <row r="233">
      <c r="A233" s="320"/>
      <c r="B233" s="142"/>
      <c r="C233" s="320"/>
      <c r="D233" s="142"/>
      <c r="E233" s="320"/>
      <c r="F233" s="142"/>
      <c r="G233" s="320"/>
      <c r="H233" s="142"/>
      <c r="I233" s="320"/>
      <c r="J233" s="142"/>
      <c r="K233" s="320"/>
      <c r="L233" s="142"/>
      <c r="M233" s="320"/>
      <c r="N233" s="142"/>
      <c r="O233" s="320"/>
      <c r="P233" s="142"/>
      <c r="Q233" s="348"/>
      <c r="R233" s="28"/>
      <c r="S233" s="320"/>
      <c r="T233" s="142"/>
      <c r="U233" s="30"/>
      <c r="V233" s="30"/>
      <c r="W233" s="30"/>
      <c r="X233" s="30"/>
      <c r="Y233" s="30"/>
      <c r="Z233" s="30"/>
    </row>
    <row r="234">
      <c r="A234" s="320"/>
      <c r="B234" s="142"/>
      <c r="C234" s="320"/>
      <c r="D234" s="142"/>
      <c r="E234" s="320"/>
      <c r="F234" s="142"/>
      <c r="G234" s="320"/>
      <c r="H234" s="142"/>
      <c r="I234" s="320"/>
      <c r="J234" s="142"/>
      <c r="K234" s="320"/>
      <c r="L234" s="142"/>
      <c r="M234" s="320"/>
      <c r="N234" s="142"/>
      <c r="O234" s="320"/>
      <c r="P234" s="142"/>
      <c r="Q234" s="348"/>
      <c r="R234" s="28"/>
      <c r="S234" s="320"/>
      <c r="T234" s="142"/>
      <c r="U234" s="30"/>
      <c r="V234" s="30"/>
      <c r="W234" s="30"/>
      <c r="X234" s="30"/>
      <c r="Y234" s="30"/>
      <c r="Z234" s="30"/>
    </row>
    <row r="235">
      <c r="A235" s="320"/>
      <c r="B235" s="142"/>
      <c r="C235" s="320"/>
      <c r="D235" s="142"/>
      <c r="E235" s="320"/>
      <c r="F235" s="142"/>
      <c r="G235" s="320"/>
      <c r="H235" s="142"/>
      <c r="I235" s="320"/>
      <c r="J235" s="142"/>
      <c r="K235" s="320"/>
      <c r="L235" s="142"/>
      <c r="M235" s="320"/>
      <c r="N235" s="142"/>
      <c r="O235" s="320"/>
      <c r="P235" s="142"/>
      <c r="Q235" s="348"/>
      <c r="R235" s="28"/>
      <c r="S235" s="320"/>
      <c r="T235" s="142"/>
      <c r="U235" s="30"/>
      <c r="V235" s="30"/>
      <c r="W235" s="30"/>
      <c r="X235" s="30"/>
      <c r="Y235" s="30"/>
      <c r="Z235" s="30"/>
    </row>
    <row r="236">
      <c r="A236" s="320"/>
      <c r="B236" s="142"/>
      <c r="C236" s="320"/>
      <c r="D236" s="142"/>
      <c r="E236" s="320"/>
      <c r="F236" s="142"/>
      <c r="G236" s="320"/>
      <c r="H236" s="142"/>
      <c r="I236" s="320"/>
      <c r="J236" s="142"/>
      <c r="K236" s="320"/>
      <c r="L236" s="142"/>
      <c r="M236" s="320"/>
      <c r="N236" s="142"/>
      <c r="O236" s="320"/>
      <c r="P236" s="142"/>
      <c r="Q236" s="348"/>
      <c r="R236" s="28"/>
      <c r="S236" s="320"/>
      <c r="T236" s="142"/>
      <c r="U236" s="30"/>
      <c r="V236" s="30"/>
      <c r="W236" s="30"/>
      <c r="X236" s="30"/>
      <c r="Y236" s="30"/>
      <c r="Z236" s="30"/>
    </row>
    <row r="237">
      <c r="A237" s="320"/>
      <c r="B237" s="142"/>
      <c r="C237" s="320"/>
      <c r="D237" s="142"/>
      <c r="E237" s="320"/>
      <c r="F237" s="142"/>
      <c r="G237" s="320"/>
      <c r="H237" s="142"/>
      <c r="I237" s="320"/>
      <c r="J237" s="142"/>
      <c r="K237" s="320"/>
      <c r="L237" s="142"/>
      <c r="M237" s="320"/>
      <c r="N237" s="142"/>
      <c r="O237" s="320"/>
      <c r="P237" s="142"/>
      <c r="Q237" s="348"/>
      <c r="R237" s="28"/>
      <c r="S237" s="320"/>
      <c r="T237" s="142"/>
      <c r="U237" s="30"/>
      <c r="V237" s="30"/>
      <c r="W237" s="30"/>
      <c r="X237" s="30"/>
      <c r="Y237" s="30"/>
      <c r="Z237" s="30"/>
    </row>
    <row r="238">
      <c r="A238" s="320"/>
      <c r="B238" s="142"/>
      <c r="C238" s="320"/>
      <c r="D238" s="142"/>
      <c r="E238" s="320"/>
      <c r="F238" s="142"/>
      <c r="G238" s="320"/>
      <c r="H238" s="142"/>
      <c r="I238" s="320"/>
      <c r="J238" s="142"/>
      <c r="K238" s="320"/>
      <c r="L238" s="142"/>
      <c r="M238" s="320"/>
      <c r="N238" s="142"/>
      <c r="O238" s="320"/>
      <c r="P238" s="142"/>
      <c r="Q238" s="348"/>
      <c r="R238" s="28"/>
      <c r="S238" s="320"/>
      <c r="T238" s="142"/>
      <c r="U238" s="30"/>
      <c r="V238" s="30"/>
      <c r="W238" s="30"/>
      <c r="X238" s="30"/>
      <c r="Y238" s="30"/>
      <c r="Z238" s="30"/>
    </row>
    <row r="239">
      <c r="A239" s="320"/>
      <c r="B239" s="142"/>
      <c r="C239" s="320"/>
      <c r="D239" s="142"/>
      <c r="E239" s="320"/>
      <c r="F239" s="142"/>
      <c r="G239" s="320"/>
      <c r="H239" s="142"/>
      <c r="I239" s="320"/>
      <c r="J239" s="142"/>
      <c r="K239" s="320"/>
      <c r="L239" s="142"/>
      <c r="M239" s="320"/>
      <c r="N239" s="142"/>
      <c r="O239" s="320"/>
      <c r="P239" s="142"/>
      <c r="Q239" s="348"/>
      <c r="R239" s="28"/>
      <c r="S239" s="320"/>
      <c r="T239" s="142"/>
      <c r="U239" s="30"/>
      <c r="V239" s="30"/>
      <c r="W239" s="30"/>
      <c r="X239" s="30"/>
      <c r="Y239" s="30"/>
      <c r="Z239" s="30"/>
    </row>
    <row r="240">
      <c r="A240" s="320"/>
      <c r="B240" s="142"/>
      <c r="C240" s="320"/>
      <c r="D240" s="142"/>
      <c r="E240" s="320"/>
      <c r="F240" s="142"/>
      <c r="G240" s="320"/>
      <c r="H240" s="142"/>
      <c r="I240" s="320"/>
      <c r="J240" s="142"/>
      <c r="K240" s="320"/>
      <c r="L240" s="142"/>
      <c r="M240" s="320"/>
      <c r="N240" s="142"/>
      <c r="O240" s="320"/>
      <c r="P240" s="142"/>
      <c r="Q240" s="348"/>
      <c r="R240" s="28"/>
      <c r="S240" s="320"/>
      <c r="T240" s="142"/>
      <c r="U240" s="30"/>
      <c r="V240" s="30"/>
      <c r="W240" s="30"/>
      <c r="X240" s="30"/>
      <c r="Y240" s="30"/>
      <c r="Z240" s="30"/>
    </row>
    <row r="241">
      <c r="A241" s="320"/>
      <c r="B241" s="142"/>
      <c r="C241" s="320"/>
      <c r="D241" s="142"/>
      <c r="E241" s="320"/>
      <c r="F241" s="142"/>
      <c r="G241" s="320"/>
      <c r="H241" s="142"/>
      <c r="I241" s="320"/>
      <c r="J241" s="142"/>
      <c r="K241" s="320"/>
      <c r="L241" s="142"/>
      <c r="M241" s="320"/>
      <c r="N241" s="142"/>
      <c r="O241" s="320"/>
      <c r="P241" s="142"/>
      <c r="Q241" s="348"/>
      <c r="R241" s="28"/>
      <c r="S241" s="320"/>
      <c r="T241" s="142"/>
      <c r="U241" s="30"/>
      <c r="V241" s="30"/>
      <c r="W241" s="30"/>
      <c r="X241" s="30"/>
      <c r="Y241" s="30"/>
      <c r="Z241" s="30"/>
    </row>
    <row r="242">
      <c r="A242" s="320"/>
      <c r="B242" s="142"/>
      <c r="C242" s="320"/>
      <c r="D242" s="142"/>
      <c r="E242" s="320"/>
      <c r="F242" s="142"/>
      <c r="G242" s="320"/>
      <c r="H242" s="142"/>
      <c r="I242" s="320"/>
      <c r="J242" s="142"/>
      <c r="K242" s="320"/>
      <c r="L242" s="142"/>
      <c r="M242" s="320"/>
      <c r="N242" s="142"/>
      <c r="O242" s="320"/>
      <c r="P242" s="142"/>
      <c r="Q242" s="348"/>
      <c r="R242" s="28"/>
      <c r="S242" s="320"/>
      <c r="T242" s="142"/>
      <c r="U242" s="30"/>
      <c r="V242" s="30"/>
      <c r="W242" s="30"/>
      <c r="X242" s="30"/>
      <c r="Y242" s="30"/>
      <c r="Z242" s="30"/>
    </row>
    <row r="243">
      <c r="A243" s="320"/>
      <c r="B243" s="142"/>
      <c r="C243" s="320"/>
      <c r="D243" s="142"/>
      <c r="E243" s="320"/>
      <c r="F243" s="142"/>
      <c r="G243" s="320"/>
      <c r="H243" s="142"/>
      <c r="I243" s="320"/>
      <c r="J243" s="142"/>
      <c r="K243" s="320"/>
      <c r="L243" s="142"/>
      <c r="M243" s="320"/>
      <c r="N243" s="142"/>
      <c r="O243" s="320"/>
      <c r="P243" s="142"/>
      <c r="Q243" s="348"/>
      <c r="R243" s="28"/>
      <c r="S243" s="320"/>
      <c r="T243" s="142"/>
      <c r="U243" s="30"/>
      <c r="V243" s="30"/>
      <c r="W243" s="30"/>
      <c r="X243" s="30"/>
      <c r="Y243" s="30"/>
      <c r="Z243" s="30"/>
    </row>
    <row r="244">
      <c r="A244" s="320"/>
      <c r="B244" s="142"/>
      <c r="C244" s="320"/>
      <c r="D244" s="142"/>
      <c r="E244" s="320"/>
      <c r="F244" s="142"/>
      <c r="G244" s="320"/>
      <c r="H244" s="142"/>
      <c r="I244" s="320"/>
      <c r="J244" s="142"/>
      <c r="K244" s="320"/>
      <c r="L244" s="142"/>
      <c r="M244" s="320"/>
      <c r="N244" s="142"/>
      <c r="O244" s="320"/>
      <c r="P244" s="142"/>
      <c r="Q244" s="348"/>
      <c r="R244" s="28"/>
      <c r="S244" s="320"/>
      <c r="T244" s="142"/>
      <c r="U244" s="30"/>
      <c r="V244" s="30"/>
      <c r="W244" s="30"/>
      <c r="X244" s="30"/>
      <c r="Y244" s="30"/>
      <c r="Z244" s="30"/>
    </row>
    <row r="245">
      <c r="A245" s="320"/>
      <c r="B245" s="142"/>
      <c r="C245" s="320"/>
      <c r="D245" s="142"/>
      <c r="E245" s="320"/>
      <c r="F245" s="142"/>
      <c r="G245" s="320"/>
      <c r="H245" s="142"/>
      <c r="I245" s="320"/>
      <c r="J245" s="142"/>
      <c r="K245" s="320"/>
      <c r="L245" s="142"/>
      <c r="M245" s="320"/>
      <c r="N245" s="142"/>
      <c r="O245" s="320"/>
      <c r="P245" s="142"/>
      <c r="Q245" s="348"/>
      <c r="R245" s="28"/>
      <c r="S245" s="320"/>
      <c r="T245" s="142"/>
      <c r="U245" s="30"/>
      <c r="V245" s="30"/>
      <c r="W245" s="30"/>
      <c r="X245" s="30"/>
      <c r="Y245" s="30"/>
      <c r="Z245" s="30"/>
    </row>
    <row r="246">
      <c r="A246" s="320"/>
      <c r="B246" s="142"/>
      <c r="C246" s="320"/>
      <c r="D246" s="142"/>
      <c r="E246" s="320"/>
      <c r="F246" s="142"/>
      <c r="G246" s="320"/>
      <c r="H246" s="142"/>
      <c r="I246" s="320"/>
      <c r="J246" s="142"/>
      <c r="K246" s="320"/>
      <c r="L246" s="142"/>
      <c r="M246" s="320"/>
      <c r="N246" s="142"/>
      <c r="O246" s="320"/>
      <c r="P246" s="142"/>
      <c r="Q246" s="348"/>
      <c r="R246" s="28"/>
      <c r="S246" s="320"/>
      <c r="T246" s="142"/>
      <c r="U246" s="30"/>
      <c r="V246" s="30"/>
      <c r="W246" s="30"/>
      <c r="X246" s="30"/>
      <c r="Y246" s="30"/>
      <c r="Z246" s="30"/>
    </row>
    <row r="247">
      <c r="A247" s="320"/>
      <c r="B247" s="142"/>
      <c r="C247" s="320"/>
      <c r="D247" s="142"/>
      <c r="E247" s="320"/>
      <c r="F247" s="142"/>
      <c r="G247" s="320"/>
      <c r="H247" s="142"/>
      <c r="I247" s="320"/>
      <c r="J247" s="142"/>
      <c r="K247" s="320"/>
      <c r="L247" s="142"/>
      <c r="M247" s="320"/>
      <c r="N247" s="142"/>
      <c r="O247" s="320"/>
      <c r="P247" s="142"/>
      <c r="Q247" s="348"/>
      <c r="R247" s="28"/>
      <c r="S247" s="320"/>
      <c r="T247" s="142"/>
      <c r="U247" s="30"/>
      <c r="V247" s="30"/>
      <c r="W247" s="30"/>
      <c r="X247" s="30"/>
      <c r="Y247" s="30"/>
      <c r="Z247" s="30"/>
    </row>
    <row r="248">
      <c r="A248" s="320"/>
      <c r="B248" s="142"/>
      <c r="C248" s="320"/>
      <c r="D248" s="142"/>
      <c r="E248" s="320"/>
      <c r="F248" s="142"/>
      <c r="G248" s="320"/>
      <c r="H248" s="142"/>
      <c r="I248" s="320"/>
      <c r="J248" s="142"/>
      <c r="K248" s="320"/>
      <c r="L248" s="142"/>
      <c r="M248" s="320"/>
      <c r="N248" s="142"/>
      <c r="O248" s="320"/>
      <c r="P248" s="142"/>
      <c r="Q248" s="348"/>
      <c r="R248" s="28"/>
      <c r="S248" s="320"/>
      <c r="T248" s="142"/>
      <c r="U248" s="30"/>
      <c r="V248" s="30"/>
      <c r="W248" s="30"/>
      <c r="X248" s="30"/>
      <c r="Y248" s="30"/>
      <c r="Z248" s="30"/>
    </row>
    <row r="249">
      <c r="A249" s="320"/>
      <c r="B249" s="142"/>
      <c r="C249" s="320"/>
      <c r="D249" s="142"/>
      <c r="E249" s="320"/>
      <c r="F249" s="142"/>
      <c r="G249" s="320"/>
      <c r="H249" s="142"/>
      <c r="I249" s="320"/>
      <c r="J249" s="142"/>
      <c r="K249" s="320"/>
      <c r="L249" s="142"/>
      <c r="M249" s="320"/>
      <c r="N249" s="142"/>
      <c r="O249" s="320"/>
      <c r="P249" s="142"/>
      <c r="Q249" s="348"/>
      <c r="R249" s="28"/>
      <c r="S249" s="320"/>
      <c r="T249" s="142"/>
      <c r="U249" s="30"/>
      <c r="V249" s="30"/>
      <c r="W249" s="30"/>
      <c r="X249" s="30"/>
      <c r="Y249" s="30"/>
      <c r="Z249" s="30"/>
    </row>
    <row r="250">
      <c r="A250" s="320"/>
      <c r="B250" s="142"/>
      <c r="C250" s="320"/>
      <c r="D250" s="142"/>
      <c r="E250" s="320"/>
      <c r="F250" s="142"/>
      <c r="G250" s="320"/>
      <c r="H250" s="142"/>
      <c r="I250" s="320"/>
      <c r="J250" s="142"/>
      <c r="K250" s="320"/>
      <c r="L250" s="142"/>
      <c r="M250" s="320"/>
      <c r="N250" s="142"/>
      <c r="O250" s="320"/>
      <c r="P250" s="142"/>
      <c r="Q250" s="348"/>
      <c r="R250" s="28"/>
      <c r="S250" s="320"/>
      <c r="T250" s="142"/>
      <c r="U250" s="30"/>
      <c r="V250" s="30"/>
      <c r="W250" s="30"/>
      <c r="X250" s="30"/>
      <c r="Y250" s="30"/>
      <c r="Z250" s="30"/>
    </row>
    <row r="251">
      <c r="A251" s="320"/>
      <c r="B251" s="142"/>
      <c r="C251" s="320"/>
      <c r="D251" s="142"/>
      <c r="E251" s="320"/>
      <c r="F251" s="142"/>
      <c r="G251" s="320"/>
      <c r="H251" s="142"/>
      <c r="I251" s="320"/>
      <c r="J251" s="142"/>
      <c r="K251" s="320"/>
      <c r="L251" s="142"/>
      <c r="M251" s="320"/>
      <c r="N251" s="142"/>
      <c r="O251" s="320"/>
      <c r="P251" s="142"/>
      <c r="Q251" s="348"/>
      <c r="R251" s="28"/>
      <c r="S251" s="320"/>
      <c r="T251" s="142"/>
      <c r="U251" s="30"/>
      <c r="V251" s="30"/>
      <c r="W251" s="30"/>
      <c r="X251" s="30"/>
      <c r="Y251" s="30"/>
      <c r="Z251" s="30"/>
    </row>
    <row r="252">
      <c r="A252" s="320"/>
      <c r="B252" s="142"/>
      <c r="C252" s="320"/>
      <c r="D252" s="142"/>
      <c r="E252" s="320"/>
      <c r="F252" s="142"/>
      <c r="G252" s="320"/>
      <c r="H252" s="142"/>
      <c r="I252" s="320"/>
      <c r="J252" s="142"/>
      <c r="K252" s="320"/>
      <c r="L252" s="142"/>
      <c r="M252" s="320"/>
      <c r="N252" s="142"/>
      <c r="O252" s="320"/>
      <c r="P252" s="142"/>
      <c r="Q252" s="348"/>
      <c r="R252" s="28"/>
      <c r="S252" s="320"/>
      <c r="T252" s="142"/>
      <c r="U252" s="30"/>
      <c r="V252" s="30"/>
      <c r="W252" s="30"/>
      <c r="X252" s="30"/>
      <c r="Y252" s="30"/>
      <c r="Z252" s="30"/>
    </row>
    <row r="253">
      <c r="A253" s="320"/>
      <c r="B253" s="142"/>
      <c r="C253" s="320"/>
      <c r="D253" s="142"/>
      <c r="E253" s="320"/>
      <c r="F253" s="142"/>
      <c r="G253" s="320"/>
      <c r="H253" s="142"/>
      <c r="I253" s="320"/>
      <c r="J253" s="142"/>
      <c r="K253" s="320"/>
      <c r="L253" s="142"/>
      <c r="M253" s="320"/>
      <c r="N253" s="142"/>
      <c r="O253" s="320"/>
      <c r="P253" s="142"/>
      <c r="Q253" s="348"/>
      <c r="R253" s="28"/>
      <c r="S253" s="320"/>
      <c r="T253" s="142"/>
      <c r="U253" s="30"/>
      <c r="V253" s="30"/>
      <c r="W253" s="30"/>
      <c r="X253" s="30"/>
      <c r="Y253" s="30"/>
      <c r="Z253" s="30"/>
    </row>
    <row r="254">
      <c r="A254" s="320"/>
      <c r="B254" s="142"/>
      <c r="C254" s="320"/>
      <c r="D254" s="142"/>
      <c r="E254" s="320"/>
      <c r="F254" s="142"/>
      <c r="G254" s="320"/>
      <c r="H254" s="142"/>
      <c r="I254" s="320"/>
      <c r="J254" s="142"/>
      <c r="K254" s="320"/>
      <c r="L254" s="142"/>
      <c r="M254" s="320"/>
      <c r="N254" s="142"/>
      <c r="O254" s="320"/>
      <c r="P254" s="142"/>
      <c r="Q254" s="348"/>
      <c r="R254" s="28"/>
      <c r="S254" s="320"/>
      <c r="T254" s="142"/>
      <c r="U254" s="30"/>
      <c r="V254" s="30"/>
      <c r="W254" s="30"/>
      <c r="X254" s="30"/>
      <c r="Y254" s="30"/>
      <c r="Z254" s="30"/>
    </row>
    <row r="255">
      <c r="A255" s="320"/>
      <c r="B255" s="142"/>
      <c r="C255" s="320"/>
      <c r="D255" s="142"/>
      <c r="E255" s="320"/>
      <c r="F255" s="142"/>
      <c r="G255" s="320"/>
      <c r="H255" s="142"/>
      <c r="I255" s="320"/>
      <c r="J255" s="142"/>
      <c r="K255" s="320"/>
      <c r="L255" s="142"/>
      <c r="M255" s="320"/>
      <c r="N255" s="142"/>
      <c r="O255" s="320"/>
      <c r="P255" s="142"/>
      <c r="Q255" s="348"/>
      <c r="R255" s="28"/>
      <c r="S255" s="320"/>
      <c r="T255" s="142"/>
      <c r="U255" s="30"/>
      <c r="V255" s="30"/>
      <c r="W255" s="30"/>
      <c r="X255" s="30"/>
      <c r="Y255" s="30"/>
      <c r="Z255" s="30"/>
    </row>
    <row r="256">
      <c r="A256" s="320"/>
      <c r="B256" s="142"/>
      <c r="C256" s="320"/>
      <c r="D256" s="142"/>
      <c r="E256" s="320"/>
      <c r="F256" s="142"/>
      <c r="G256" s="320"/>
      <c r="H256" s="142"/>
      <c r="I256" s="320"/>
      <c r="J256" s="142"/>
      <c r="K256" s="320"/>
      <c r="L256" s="142"/>
      <c r="M256" s="320"/>
      <c r="N256" s="142"/>
      <c r="O256" s="320"/>
      <c r="P256" s="142"/>
      <c r="Q256" s="348"/>
      <c r="R256" s="28"/>
      <c r="S256" s="320"/>
      <c r="T256" s="142"/>
      <c r="U256" s="30"/>
      <c r="V256" s="30"/>
      <c r="W256" s="30"/>
      <c r="X256" s="30"/>
      <c r="Y256" s="30"/>
      <c r="Z256" s="30"/>
    </row>
    <row r="257">
      <c r="A257" s="320"/>
      <c r="B257" s="142"/>
      <c r="C257" s="320"/>
      <c r="D257" s="142"/>
      <c r="E257" s="320"/>
      <c r="F257" s="142"/>
      <c r="G257" s="320"/>
      <c r="H257" s="142"/>
      <c r="I257" s="320"/>
      <c r="J257" s="142"/>
      <c r="K257" s="320"/>
      <c r="L257" s="142"/>
      <c r="M257" s="320"/>
      <c r="N257" s="142"/>
      <c r="O257" s="320"/>
      <c r="P257" s="142"/>
      <c r="Q257" s="348"/>
      <c r="R257" s="28"/>
      <c r="S257" s="320"/>
      <c r="T257" s="142"/>
      <c r="U257" s="30"/>
      <c r="V257" s="30"/>
      <c r="W257" s="30"/>
      <c r="X257" s="30"/>
      <c r="Y257" s="30"/>
      <c r="Z257" s="30"/>
    </row>
    <row r="258">
      <c r="A258" s="320"/>
      <c r="B258" s="142"/>
      <c r="C258" s="320"/>
      <c r="D258" s="142"/>
      <c r="E258" s="320"/>
      <c r="F258" s="142"/>
      <c r="G258" s="320"/>
      <c r="H258" s="142"/>
      <c r="I258" s="320"/>
      <c r="J258" s="142"/>
      <c r="K258" s="320"/>
      <c r="L258" s="142"/>
      <c r="M258" s="320"/>
      <c r="N258" s="142"/>
      <c r="O258" s="320"/>
      <c r="P258" s="142"/>
      <c r="Q258" s="348"/>
      <c r="R258" s="28"/>
      <c r="S258" s="320"/>
      <c r="T258" s="142"/>
      <c r="U258" s="30"/>
      <c r="V258" s="30"/>
      <c r="W258" s="30"/>
      <c r="X258" s="30"/>
      <c r="Y258" s="30"/>
      <c r="Z258" s="30"/>
    </row>
    <row r="259">
      <c r="A259" s="320"/>
      <c r="B259" s="142"/>
      <c r="C259" s="320"/>
      <c r="D259" s="142"/>
      <c r="E259" s="320"/>
      <c r="F259" s="142"/>
      <c r="G259" s="320"/>
      <c r="H259" s="142"/>
      <c r="I259" s="320"/>
      <c r="J259" s="142"/>
      <c r="K259" s="320"/>
      <c r="L259" s="142"/>
      <c r="M259" s="320"/>
      <c r="N259" s="142"/>
      <c r="O259" s="320"/>
      <c r="P259" s="142"/>
      <c r="Q259" s="348"/>
      <c r="R259" s="28"/>
      <c r="S259" s="320"/>
      <c r="T259" s="142"/>
      <c r="U259" s="30"/>
      <c r="V259" s="30"/>
      <c r="W259" s="30"/>
      <c r="X259" s="30"/>
      <c r="Y259" s="30"/>
      <c r="Z259" s="30"/>
    </row>
    <row r="260">
      <c r="A260" s="320"/>
      <c r="B260" s="142"/>
      <c r="C260" s="320"/>
      <c r="D260" s="142"/>
      <c r="E260" s="320"/>
      <c r="F260" s="142"/>
      <c r="G260" s="320"/>
      <c r="H260" s="142"/>
      <c r="I260" s="320"/>
      <c r="J260" s="142"/>
      <c r="K260" s="320"/>
      <c r="L260" s="142"/>
      <c r="M260" s="320"/>
      <c r="N260" s="142"/>
      <c r="O260" s="320"/>
      <c r="P260" s="142"/>
      <c r="Q260" s="348"/>
      <c r="R260" s="28"/>
      <c r="S260" s="320"/>
      <c r="T260" s="142"/>
      <c r="U260" s="30"/>
      <c r="V260" s="30"/>
      <c r="W260" s="30"/>
      <c r="X260" s="30"/>
      <c r="Y260" s="30"/>
      <c r="Z260" s="30"/>
    </row>
    <row r="261">
      <c r="A261" s="320"/>
      <c r="B261" s="142"/>
      <c r="C261" s="320"/>
      <c r="D261" s="142"/>
      <c r="E261" s="320"/>
      <c r="F261" s="142"/>
      <c r="G261" s="320"/>
      <c r="H261" s="142"/>
      <c r="I261" s="320"/>
      <c r="J261" s="142"/>
      <c r="K261" s="320"/>
      <c r="L261" s="142"/>
      <c r="M261" s="320"/>
      <c r="N261" s="142"/>
      <c r="O261" s="320"/>
      <c r="P261" s="142"/>
      <c r="Q261" s="348"/>
      <c r="R261" s="28"/>
      <c r="S261" s="320"/>
      <c r="T261" s="142"/>
      <c r="U261" s="30"/>
      <c r="V261" s="30"/>
      <c r="W261" s="30"/>
      <c r="X261" s="30"/>
      <c r="Y261" s="30"/>
      <c r="Z261" s="30"/>
    </row>
    <row r="262">
      <c r="A262" s="320"/>
      <c r="B262" s="142"/>
      <c r="C262" s="320"/>
      <c r="D262" s="142"/>
      <c r="E262" s="320"/>
      <c r="F262" s="142"/>
      <c r="G262" s="320"/>
      <c r="H262" s="142"/>
      <c r="I262" s="320"/>
      <c r="J262" s="142"/>
      <c r="K262" s="320"/>
      <c r="L262" s="142"/>
      <c r="M262" s="320"/>
      <c r="N262" s="142"/>
      <c r="O262" s="320"/>
      <c r="P262" s="142"/>
      <c r="Q262" s="348"/>
      <c r="R262" s="28"/>
      <c r="S262" s="320"/>
      <c r="T262" s="142"/>
      <c r="U262" s="30"/>
      <c r="V262" s="30"/>
      <c r="W262" s="30"/>
      <c r="X262" s="30"/>
      <c r="Y262" s="30"/>
      <c r="Z262" s="30"/>
    </row>
    <row r="263">
      <c r="A263" s="320"/>
      <c r="B263" s="142"/>
      <c r="C263" s="320"/>
      <c r="D263" s="142"/>
      <c r="E263" s="320"/>
      <c r="F263" s="142"/>
      <c r="G263" s="320"/>
      <c r="H263" s="142"/>
      <c r="I263" s="320"/>
      <c r="J263" s="142"/>
      <c r="K263" s="320"/>
      <c r="L263" s="142"/>
      <c r="M263" s="320"/>
      <c r="N263" s="142"/>
      <c r="O263" s="320"/>
      <c r="P263" s="142"/>
      <c r="Q263" s="348"/>
      <c r="R263" s="28"/>
      <c r="S263" s="320"/>
      <c r="T263" s="142"/>
      <c r="U263" s="30"/>
      <c r="V263" s="30"/>
      <c r="W263" s="30"/>
      <c r="X263" s="30"/>
      <c r="Y263" s="30"/>
      <c r="Z263" s="30"/>
    </row>
    <row r="264">
      <c r="A264" s="320"/>
      <c r="B264" s="142"/>
      <c r="C264" s="320"/>
      <c r="D264" s="142"/>
      <c r="E264" s="320"/>
      <c r="F264" s="142"/>
      <c r="G264" s="320"/>
      <c r="H264" s="142"/>
      <c r="I264" s="320"/>
      <c r="J264" s="142"/>
      <c r="K264" s="320"/>
      <c r="L264" s="142"/>
      <c r="M264" s="320"/>
      <c r="N264" s="142"/>
      <c r="O264" s="320"/>
      <c r="P264" s="142"/>
      <c r="Q264" s="348"/>
      <c r="R264" s="28"/>
      <c r="S264" s="320"/>
      <c r="T264" s="142"/>
      <c r="U264" s="30"/>
      <c r="V264" s="30"/>
      <c r="W264" s="30"/>
      <c r="X264" s="30"/>
      <c r="Y264" s="30"/>
      <c r="Z264" s="30"/>
    </row>
    <row r="265">
      <c r="A265" s="320"/>
      <c r="B265" s="142"/>
      <c r="C265" s="320"/>
      <c r="D265" s="142"/>
      <c r="E265" s="320"/>
      <c r="F265" s="142"/>
      <c r="G265" s="320"/>
      <c r="H265" s="142"/>
      <c r="I265" s="320"/>
      <c r="J265" s="142"/>
      <c r="K265" s="320"/>
      <c r="L265" s="142"/>
      <c r="M265" s="320"/>
      <c r="N265" s="142"/>
      <c r="O265" s="320"/>
      <c r="P265" s="142"/>
      <c r="Q265" s="348"/>
      <c r="R265" s="28"/>
      <c r="S265" s="320"/>
      <c r="T265" s="142"/>
      <c r="U265" s="30"/>
      <c r="V265" s="30"/>
      <c r="W265" s="30"/>
      <c r="X265" s="30"/>
      <c r="Y265" s="30"/>
      <c r="Z265" s="30"/>
    </row>
    <row r="266">
      <c r="A266" s="320"/>
      <c r="B266" s="142"/>
      <c r="C266" s="320"/>
      <c r="D266" s="142"/>
      <c r="E266" s="320"/>
      <c r="F266" s="142"/>
      <c r="G266" s="320"/>
      <c r="H266" s="142"/>
      <c r="I266" s="320"/>
      <c r="J266" s="142"/>
      <c r="K266" s="320"/>
      <c r="L266" s="142"/>
      <c r="M266" s="320"/>
      <c r="N266" s="142"/>
      <c r="O266" s="320"/>
      <c r="P266" s="142"/>
      <c r="Q266" s="348"/>
      <c r="R266" s="28"/>
      <c r="S266" s="320"/>
      <c r="T266" s="142"/>
      <c r="U266" s="30"/>
      <c r="V266" s="30"/>
      <c r="W266" s="30"/>
      <c r="X266" s="30"/>
      <c r="Y266" s="30"/>
      <c r="Z266" s="30"/>
    </row>
    <row r="267">
      <c r="A267" s="320"/>
      <c r="B267" s="142"/>
      <c r="C267" s="320"/>
      <c r="D267" s="142"/>
      <c r="E267" s="320"/>
      <c r="F267" s="142"/>
      <c r="G267" s="320"/>
      <c r="H267" s="142"/>
      <c r="I267" s="320"/>
      <c r="J267" s="142"/>
      <c r="K267" s="320"/>
      <c r="L267" s="142"/>
      <c r="M267" s="320"/>
      <c r="N267" s="142"/>
      <c r="O267" s="320"/>
      <c r="P267" s="142"/>
      <c r="Q267" s="348"/>
      <c r="R267" s="28"/>
      <c r="S267" s="320"/>
      <c r="T267" s="142"/>
      <c r="U267" s="30"/>
      <c r="V267" s="30"/>
      <c r="W267" s="30"/>
      <c r="X267" s="30"/>
      <c r="Y267" s="30"/>
      <c r="Z267" s="30"/>
    </row>
    <row r="268">
      <c r="A268" s="320"/>
      <c r="B268" s="142"/>
      <c r="C268" s="320"/>
      <c r="D268" s="142"/>
      <c r="E268" s="320"/>
      <c r="F268" s="142"/>
      <c r="G268" s="320"/>
      <c r="H268" s="142"/>
      <c r="I268" s="320"/>
      <c r="J268" s="142"/>
      <c r="K268" s="320"/>
      <c r="L268" s="142"/>
      <c r="M268" s="320"/>
      <c r="N268" s="142"/>
      <c r="O268" s="320"/>
      <c r="P268" s="142"/>
      <c r="Q268" s="348"/>
      <c r="R268" s="28"/>
      <c r="S268" s="320"/>
      <c r="T268" s="142"/>
      <c r="U268" s="30"/>
      <c r="V268" s="30"/>
      <c r="W268" s="30"/>
      <c r="X268" s="30"/>
      <c r="Y268" s="30"/>
      <c r="Z268" s="30"/>
    </row>
    <row r="269">
      <c r="A269" s="320"/>
      <c r="B269" s="142"/>
      <c r="C269" s="320"/>
      <c r="D269" s="142"/>
      <c r="E269" s="320"/>
      <c r="F269" s="142"/>
      <c r="G269" s="320"/>
      <c r="H269" s="142"/>
      <c r="I269" s="320"/>
      <c r="J269" s="142"/>
      <c r="K269" s="320"/>
      <c r="L269" s="142"/>
      <c r="M269" s="320"/>
      <c r="N269" s="142"/>
      <c r="O269" s="320"/>
      <c r="P269" s="142"/>
      <c r="Q269" s="348"/>
      <c r="R269" s="28"/>
      <c r="S269" s="320"/>
      <c r="T269" s="142"/>
      <c r="U269" s="30"/>
      <c r="V269" s="30"/>
      <c r="W269" s="30"/>
      <c r="X269" s="30"/>
      <c r="Y269" s="30"/>
      <c r="Z269" s="30"/>
    </row>
    <row r="270">
      <c r="A270" s="320"/>
      <c r="B270" s="142"/>
      <c r="C270" s="320"/>
      <c r="D270" s="142"/>
      <c r="E270" s="320"/>
      <c r="F270" s="142"/>
      <c r="G270" s="320"/>
      <c r="H270" s="142"/>
      <c r="I270" s="320"/>
      <c r="J270" s="142"/>
      <c r="K270" s="320"/>
      <c r="L270" s="142"/>
      <c r="M270" s="320"/>
      <c r="N270" s="142"/>
      <c r="O270" s="320"/>
      <c r="P270" s="142"/>
      <c r="Q270" s="348"/>
      <c r="R270" s="28"/>
      <c r="S270" s="320"/>
      <c r="T270" s="142"/>
      <c r="U270" s="30"/>
      <c r="V270" s="30"/>
      <c r="W270" s="30"/>
      <c r="X270" s="30"/>
      <c r="Y270" s="30"/>
      <c r="Z270" s="30"/>
    </row>
    <row r="271">
      <c r="A271" s="320"/>
      <c r="B271" s="142"/>
      <c r="C271" s="320"/>
      <c r="D271" s="142"/>
      <c r="E271" s="320"/>
      <c r="F271" s="142"/>
      <c r="G271" s="320"/>
      <c r="H271" s="142"/>
      <c r="I271" s="320"/>
      <c r="J271" s="142"/>
      <c r="K271" s="320"/>
      <c r="L271" s="142"/>
      <c r="M271" s="320"/>
      <c r="N271" s="142"/>
      <c r="O271" s="320"/>
      <c r="P271" s="142"/>
      <c r="Q271" s="348"/>
      <c r="R271" s="28"/>
      <c r="S271" s="320"/>
      <c r="T271" s="142"/>
      <c r="U271" s="30"/>
      <c r="V271" s="30"/>
      <c r="W271" s="30"/>
      <c r="X271" s="30"/>
      <c r="Y271" s="30"/>
      <c r="Z271" s="30"/>
    </row>
    <row r="272">
      <c r="A272" s="320"/>
      <c r="B272" s="142"/>
      <c r="C272" s="320"/>
      <c r="D272" s="142"/>
      <c r="E272" s="320"/>
      <c r="F272" s="142"/>
      <c r="G272" s="320"/>
      <c r="H272" s="142"/>
      <c r="I272" s="320"/>
      <c r="J272" s="142"/>
      <c r="K272" s="320"/>
      <c r="L272" s="142"/>
      <c r="M272" s="320"/>
      <c r="N272" s="142"/>
      <c r="O272" s="320"/>
      <c r="P272" s="142"/>
      <c r="Q272" s="348"/>
      <c r="R272" s="28"/>
      <c r="S272" s="320"/>
      <c r="T272" s="142"/>
      <c r="U272" s="30"/>
      <c r="V272" s="30"/>
      <c r="W272" s="30"/>
      <c r="X272" s="30"/>
      <c r="Y272" s="30"/>
      <c r="Z272" s="30"/>
    </row>
    <row r="273">
      <c r="A273" s="320"/>
      <c r="B273" s="142"/>
      <c r="C273" s="320"/>
      <c r="D273" s="142"/>
      <c r="E273" s="320"/>
      <c r="F273" s="142"/>
      <c r="G273" s="320"/>
      <c r="H273" s="142"/>
      <c r="I273" s="320"/>
      <c r="J273" s="142"/>
      <c r="K273" s="320"/>
      <c r="L273" s="142"/>
      <c r="M273" s="320"/>
      <c r="N273" s="142"/>
      <c r="O273" s="320"/>
      <c r="P273" s="142"/>
      <c r="Q273" s="348"/>
      <c r="R273" s="28"/>
      <c r="S273" s="320"/>
      <c r="T273" s="142"/>
      <c r="U273" s="30"/>
      <c r="V273" s="30"/>
      <c r="W273" s="30"/>
      <c r="X273" s="30"/>
      <c r="Y273" s="30"/>
      <c r="Z273" s="30"/>
    </row>
    <row r="274">
      <c r="A274" s="320"/>
      <c r="B274" s="142"/>
      <c r="C274" s="320"/>
      <c r="D274" s="142"/>
      <c r="E274" s="320"/>
      <c r="F274" s="142"/>
      <c r="G274" s="320"/>
      <c r="H274" s="142"/>
      <c r="I274" s="320"/>
      <c r="J274" s="142"/>
      <c r="K274" s="320"/>
      <c r="L274" s="142"/>
      <c r="M274" s="320"/>
      <c r="N274" s="142"/>
      <c r="O274" s="320"/>
      <c r="P274" s="142"/>
      <c r="Q274" s="348"/>
      <c r="R274" s="28"/>
      <c r="S274" s="320"/>
      <c r="T274" s="142"/>
      <c r="U274" s="30"/>
      <c r="V274" s="30"/>
      <c r="W274" s="30"/>
      <c r="X274" s="30"/>
      <c r="Y274" s="30"/>
      <c r="Z274" s="30"/>
    </row>
    <row r="275">
      <c r="A275" s="320"/>
      <c r="B275" s="142"/>
      <c r="C275" s="320"/>
      <c r="D275" s="142"/>
      <c r="E275" s="320"/>
      <c r="F275" s="142"/>
      <c r="G275" s="320"/>
      <c r="H275" s="142"/>
      <c r="I275" s="320"/>
      <c r="J275" s="142"/>
      <c r="K275" s="320"/>
      <c r="L275" s="142"/>
      <c r="M275" s="320"/>
      <c r="N275" s="142"/>
      <c r="O275" s="320"/>
      <c r="P275" s="142"/>
      <c r="Q275" s="348"/>
      <c r="R275" s="28"/>
      <c r="S275" s="320"/>
      <c r="T275" s="142"/>
      <c r="U275" s="30"/>
      <c r="V275" s="30"/>
      <c r="W275" s="30"/>
      <c r="X275" s="30"/>
      <c r="Y275" s="30"/>
      <c r="Z275" s="30"/>
    </row>
    <row r="276">
      <c r="A276" s="320"/>
      <c r="B276" s="142"/>
      <c r="C276" s="320"/>
      <c r="D276" s="142"/>
      <c r="E276" s="320"/>
      <c r="F276" s="142"/>
      <c r="G276" s="320"/>
      <c r="H276" s="142"/>
      <c r="I276" s="320"/>
      <c r="J276" s="142"/>
      <c r="K276" s="320"/>
      <c r="L276" s="142"/>
      <c r="M276" s="320"/>
      <c r="N276" s="142"/>
      <c r="O276" s="320"/>
      <c r="P276" s="142"/>
      <c r="Q276" s="348"/>
      <c r="R276" s="28"/>
      <c r="S276" s="320"/>
      <c r="T276" s="142"/>
      <c r="U276" s="30"/>
      <c r="V276" s="30"/>
      <c r="W276" s="30"/>
      <c r="X276" s="30"/>
      <c r="Y276" s="30"/>
      <c r="Z276" s="30"/>
    </row>
    <row r="277">
      <c r="A277" s="320"/>
      <c r="B277" s="142"/>
      <c r="C277" s="320"/>
      <c r="D277" s="142"/>
      <c r="E277" s="320"/>
      <c r="F277" s="142"/>
      <c r="G277" s="320"/>
      <c r="H277" s="142"/>
      <c r="I277" s="320"/>
      <c r="J277" s="142"/>
      <c r="K277" s="320"/>
      <c r="L277" s="142"/>
      <c r="M277" s="320"/>
      <c r="N277" s="142"/>
      <c r="O277" s="320"/>
      <c r="P277" s="142"/>
      <c r="Q277" s="348"/>
      <c r="R277" s="28"/>
      <c r="S277" s="320"/>
      <c r="T277" s="142"/>
      <c r="U277" s="30"/>
      <c r="V277" s="30"/>
      <c r="W277" s="30"/>
      <c r="X277" s="30"/>
      <c r="Y277" s="30"/>
      <c r="Z277" s="30"/>
    </row>
    <row r="278">
      <c r="A278" s="320"/>
      <c r="B278" s="142"/>
      <c r="C278" s="320"/>
      <c r="D278" s="142"/>
      <c r="E278" s="320"/>
      <c r="F278" s="142"/>
      <c r="G278" s="320"/>
      <c r="H278" s="142"/>
      <c r="I278" s="320"/>
      <c r="J278" s="142"/>
      <c r="K278" s="320"/>
      <c r="L278" s="142"/>
      <c r="M278" s="320"/>
      <c r="N278" s="142"/>
      <c r="O278" s="320"/>
      <c r="P278" s="142"/>
      <c r="Q278" s="348"/>
      <c r="R278" s="28"/>
      <c r="S278" s="320"/>
      <c r="T278" s="142"/>
      <c r="U278" s="30"/>
      <c r="V278" s="30"/>
      <c r="W278" s="30"/>
      <c r="X278" s="30"/>
      <c r="Y278" s="30"/>
      <c r="Z278" s="30"/>
    </row>
    <row r="279">
      <c r="A279" s="320"/>
      <c r="B279" s="142"/>
      <c r="C279" s="320"/>
      <c r="D279" s="142"/>
      <c r="E279" s="320"/>
      <c r="F279" s="142"/>
      <c r="G279" s="320"/>
      <c r="H279" s="142"/>
      <c r="I279" s="320"/>
      <c r="J279" s="142"/>
      <c r="K279" s="320"/>
      <c r="L279" s="142"/>
      <c r="M279" s="320"/>
      <c r="N279" s="142"/>
      <c r="O279" s="320"/>
      <c r="P279" s="142"/>
      <c r="Q279" s="348"/>
      <c r="R279" s="28"/>
      <c r="S279" s="320"/>
      <c r="T279" s="142"/>
      <c r="U279" s="30"/>
      <c r="V279" s="30"/>
      <c r="W279" s="30"/>
      <c r="X279" s="30"/>
      <c r="Y279" s="30"/>
      <c r="Z279" s="30"/>
    </row>
    <row r="280">
      <c r="A280" s="320"/>
      <c r="B280" s="142"/>
      <c r="C280" s="320"/>
      <c r="D280" s="142"/>
      <c r="E280" s="320"/>
      <c r="F280" s="142"/>
      <c r="G280" s="320"/>
      <c r="H280" s="142"/>
      <c r="I280" s="320"/>
      <c r="J280" s="142"/>
      <c r="K280" s="320"/>
      <c r="L280" s="142"/>
      <c r="M280" s="320"/>
      <c r="N280" s="142"/>
      <c r="O280" s="320"/>
      <c r="P280" s="142"/>
      <c r="Q280" s="348"/>
      <c r="R280" s="28"/>
      <c r="S280" s="320"/>
      <c r="T280" s="142"/>
      <c r="U280" s="30"/>
      <c r="V280" s="30"/>
      <c r="W280" s="30"/>
      <c r="X280" s="30"/>
      <c r="Y280" s="30"/>
      <c r="Z280" s="30"/>
    </row>
    <row r="281">
      <c r="A281" s="320"/>
      <c r="B281" s="142"/>
      <c r="C281" s="320"/>
      <c r="D281" s="142"/>
      <c r="E281" s="320"/>
      <c r="F281" s="142"/>
      <c r="G281" s="320"/>
      <c r="H281" s="142"/>
      <c r="I281" s="320"/>
      <c r="J281" s="142"/>
      <c r="K281" s="320"/>
      <c r="L281" s="142"/>
      <c r="M281" s="320"/>
      <c r="N281" s="142"/>
      <c r="O281" s="320"/>
      <c r="P281" s="142"/>
      <c r="Q281" s="348"/>
      <c r="R281" s="28"/>
      <c r="S281" s="320"/>
      <c r="T281" s="142"/>
      <c r="U281" s="30"/>
      <c r="V281" s="30"/>
      <c r="W281" s="30"/>
      <c r="X281" s="30"/>
      <c r="Y281" s="30"/>
      <c r="Z281" s="30"/>
    </row>
    <row r="282">
      <c r="A282" s="320"/>
      <c r="B282" s="142"/>
      <c r="C282" s="320"/>
      <c r="D282" s="142"/>
      <c r="E282" s="320"/>
      <c r="F282" s="142"/>
      <c r="G282" s="320"/>
      <c r="H282" s="142"/>
      <c r="I282" s="320"/>
      <c r="J282" s="142"/>
      <c r="K282" s="320"/>
      <c r="L282" s="142"/>
      <c r="M282" s="320"/>
      <c r="N282" s="142"/>
      <c r="O282" s="320"/>
      <c r="P282" s="142"/>
      <c r="Q282" s="348"/>
      <c r="R282" s="28"/>
      <c r="S282" s="320"/>
      <c r="T282" s="142"/>
      <c r="U282" s="30"/>
      <c r="V282" s="30"/>
      <c r="W282" s="30"/>
      <c r="X282" s="30"/>
      <c r="Y282" s="30"/>
      <c r="Z282" s="30"/>
    </row>
    <row r="283">
      <c r="A283" s="320"/>
      <c r="B283" s="142"/>
      <c r="C283" s="320"/>
      <c r="D283" s="142"/>
      <c r="E283" s="320"/>
      <c r="F283" s="142"/>
      <c r="G283" s="320"/>
      <c r="H283" s="142"/>
      <c r="I283" s="320"/>
      <c r="J283" s="142"/>
      <c r="K283" s="320"/>
      <c r="L283" s="142"/>
      <c r="M283" s="320"/>
      <c r="N283" s="142"/>
      <c r="O283" s="320"/>
      <c r="P283" s="142"/>
      <c r="Q283" s="348"/>
      <c r="R283" s="28"/>
      <c r="S283" s="320"/>
      <c r="T283" s="142"/>
      <c r="U283" s="30"/>
      <c r="V283" s="30"/>
      <c r="W283" s="30"/>
      <c r="X283" s="30"/>
      <c r="Y283" s="30"/>
      <c r="Z283" s="30"/>
    </row>
    <row r="284">
      <c r="A284" s="320"/>
      <c r="B284" s="142"/>
      <c r="C284" s="320"/>
      <c r="D284" s="142"/>
      <c r="E284" s="320"/>
      <c r="F284" s="142"/>
      <c r="G284" s="320"/>
      <c r="H284" s="142"/>
      <c r="I284" s="320"/>
      <c r="J284" s="142"/>
      <c r="K284" s="320"/>
      <c r="L284" s="142"/>
      <c r="M284" s="320"/>
      <c r="N284" s="142"/>
      <c r="O284" s="320"/>
      <c r="P284" s="142"/>
      <c r="Q284" s="348"/>
      <c r="R284" s="28"/>
      <c r="S284" s="320"/>
      <c r="T284" s="142"/>
      <c r="U284" s="30"/>
      <c r="V284" s="30"/>
      <c r="W284" s="30"/>
      <c r="X284" s="30"/>
      <c r="Y284" s="30"/>
      <c r="Z284" s="30"/>
    </row>
    <row r="285">
      <c r="A285" s="320"/>
      <c r="B285" s="142"/>
      <c r="C285" s="320"/>
      <c r="D285" s="142"/>
      <c r="E285" s="320"/>
      <c r="F285" s="142"/>
      <c r="G285" s="320"/>
      <c r="H285" s="142"/>
      <c r="I285" s="320"/>
      <c r="J285" s="142"/>
      <c r="K285" s="320"/>
      <c r="L285" s="142"/>
      <c r="M285" s="320"/>
      <c r="N285" s="142"/>
      <c r="O285" s="320"/>
      <c r="P285" s="142"/>
      <c r="Q285" s="348"/>
      <c r="R285" s="28"/>
      <c r="S285" s="320"/>
      <c r="T285" s="142"/>
      <c r="U285" s="30"/>
      <c r="V285" s="30"/>
      <c r="W285" s="30"/>
      <c r="X285" s="30"/>
      <c r="Y285" s="30"/>
      <c r="Z285" s="30"/>
    </row>
    <row r="286">
      <c r="A286" s="320"/>
      <c r="B286" s="142"/>
      <c r="C286" s="320"/>
      <c r="D286" s="142"/>
      <c r="E286" s="320"/>
      <c r="F286" s="142"/>
      <c r="G286" s="320"/>
      <c r="H286" s="142"/>
      <c r="I286" s="320"/>
      <c r="J286" s="142"/>
      <c r="K286" s="320"/>
      <c r="L286" s="142"/>
      <c r="M286" s="320"/>
      <c r="N286" s="142"/>
      <c r="O286" s="320"/>
      <c r="P286" s="142"/>
      <c r="Q286" s="348"/>
      <c r="R286" s="28"/>
      <c r="S286" s="320"/>
      <c r="T286" s="142"/>
      <c r="U286" s="30"/>
      <c r="V286" s="30"/>
      <c r="W286" s="30"/>
      <c r="X286" s="30"/>
      <c r="Y286" s="30"/>
      <c r="Z286" s="30"/>
    </row>
    <row r="287">
      <c r="A287" s="320"/>
      <c r="B287" s="142"/>
      <c r="C287" s="320"/>
      <c r="D287" s="142"/>
      <c r="E287" s="320"/>
      <c r="F287" s="142"/>
      <c r="G287" s="320"/>
      <c r="H287" s="142"/>
      <c r="I287" s="320"/>
      <c r="J287" s="142"/>
      <c r="K287" s="320"/>
      <c r="L287" s="142"/>
      <c r="M287" s="320"/>
      <c r="N287" s="142"/>
      <c r="O287" s="320"/>
      <c r="P287" s="142"/>
      <c r="Q287" s="348"/>
      <c r="R287" s="28"/>
      <c r="S287" s="320"/>
      <c r="T287" s="142"/>
      <c r="U287" s="30"/>
      <c r="V287" s="30"/>
      <c r="W287" s="30"/>
      <c r="X287" s="30"/>
      <c r="Y287" s="30"/>
      <c r="Z287" s="30"/>
    </row>
    <row r="288">
      <c r="A288" s="320"/>
      <c r="B288" s="142"/>
      <c r="C288" s="320"/>
      <c r="D288" s="142"/>
      <c r="E288" s="320"/>
      <c r="F288" s="142"/>
      <c r="G288" s="320"/>
      <c r="H288" s="142"/>
      <c r="I288" s="320"/>
      <c r="J288" s="142"/>
      <c r="K288" s="320"/>
      <c r="L288" s="142"/>
      <c r="M288" s="320"/>
      <c r="N288" s="142"/>
      <c r="O288" s="320"/>
      <c r="P288" s="142"/>
      <c r="Q288" s="348"/>
      <c r="R288" s="28"/>
      <c r="S288" s="320"/>
      <c r="T288" s="142"/>
      <c r="U288" s="30"/>
      <c r="V288" s="30"/>
      <c r="W288" s="30"/>
      <c r="X288" s="30"/>
      <c r="Y288" s="30"/>
      <c r="Z288" s="30"/>
    </row>
    <row r="289">
      <c r="A289" s="320"/>
      <c r="B289" s="142"/>
      <c r="C289" s="320"/>
      <c r="D289" s="142"/>
      <c r="E289" s="320"/>
      <c r="F289" s="142"/>
      <c r="G289" s="320"/>
      <c r="H289" s="142"/>
      <c r="I289" s="320"/>
      <c r="J289" s="142"/>
      <c r="K289" s="320"/>
      <c r="L289" s="142"/>
      <c r="M289" s="320"/>
      <c r="N289" s="142"/>
      <c r="O289" s="320"/>
      <c r="P289" s="142"/>
      <c r="Q289" s="348"/>
      <c r="R289" s="28"/>
      <c r="S289" s="320"/>
      <c r="T289" s="142"/>
      <c r="U289" s="30"/>
      <c r="V289" s="30"/>
      <c r="W289" s="30"/>
      <c r="X289" s="30"/>
      <c r="Y289" s="30"/>
      <c r="Z289" s="30"/>
    </row>
    <row r="290">
      <c r="A290" s="320"/>
      <c r="B290" s="142"/>
      <c r="C290" s="320"/>
      <c r="D290" s="142"/>
      <c r="E290" s="320"/>
      <c r="F290" s="142"/>
      <c r="G290" s="320"/>
      <c r="H290" s="142"/>
      <c r="I290" s="320"/>
      <c r="J290" s="142"/>
      <c r="K290" s="320"/>
      <c r="L290" s="142"/>
      <c r="M290" s="320"/>
      <c r="N290" s="142"/>
      <c r="O290" s="320"/>
      <c r="P290" s="142"/>
      <c r="Q290" s="348"/>
      <c r="R290" s="28"/>
      <c r="S290" s="320"/>
      <c r="T290" s="142"/>
      <c r="U290" s="30"/>
      <c r="V290" s="30"/>
      <c r="W290" s="30"/>
      <c r="X290" s="30"/>
      <c r="Y290" s="30"/>
      <c r="Z290" s="30"/>
    </row>
    <row r="291">
      <c r="A291" s="320"/>
      <c r="B291" s="142"/>
      <c r="C291" s="320"/>
      <c r="D291" s="142"/>
      <c r="E291" s="320"/>
      <c r="F291" s="142"/>
      <c r="G291" s="320"/>
      <c r="H291" s="142"/>
      <c r="I291" s="320"/>
      <c r="J291" s="142"/>
      <c r="K291" s="320"/>
      <c r="L291" s="142"/>
      <c r="M291" s="320"/>
      <c r="N291" s="142"/>
      <c r="O291" s="320"/>
      <c r="P291" s="142"/>
      <c r="Q291" s="348"/>
      <c r="R291" s="28"/>
      <c r="S291" s="320"/>
      <c r="T291" s="142"/>
      <c r="U291" s="30"/>
      <c r="V291" s="30"/>
      <c r="W291" s="30"/>
      <c r="X291" s="30"/>
      <c r="Y291" s="30"/>
      <c r="Z291" s="30"/>
    </row>
    <row r="292">
      <c r="A292" s="320"/>
      <c r="B292" s="142"/>
      <c r="C292" s="320"/>
      <c r="D292" s="142"/>
      <c r="E292" s="320"/>
      <c r="F292" s="142"/>
      <c r="G292" s="320"/>
      <c r="H292" s="142"/>
      <c r="I292" s="320"/>
      <c r="J292" s="142"/>
      <c r="K292" s="320"/>
      <c r="L292" s="142"/>
      <c r="M292" s="320"/>
      <c r="N292" s="142"/>
      <c r="O292" s="320"/>
      <c r="P292" s="142"/>
      <c r="Q292" s="348"/>
      <c r="R292" s="28"/>
      <c r="S292" s="320"/>
      <c r="T292" s="142"/>
      <c r="U292" s="30"/>
      <c r="V292" s="30"/>
      <c r="W292" s="30"/>
      <c r="X292" s="30"/>
      <c r="Y292" s="30"/>
      <c r="Z292" s="30"/>
    </row>
    <row r="293">
      <c r="A293" s="320"/>
      <c r="B293" s="142"/>
      <c r="C293" s="320"/>
      <c r="D293" s="142"/>
      <c r="E293" s="320"/>
      <c r="F293" s="142"/>
      <c r="G293" s="320"/>
      <c r="H293" s="142"/>
      <c r="I293" s="320"/>
      <c r="J293" s="142"/>
      <c r="K293" s="320"/>
      <c r="L293" s="142"/>
      <c r="M293" s="320"/>
      <c r="N293" s="142"/>
      <c r="O293" s="320"/>
      <c r="P293" s="142"/>
      <c r="Q293" s="348"/>
      <c r="R293" s="28"/>
      <c r="S293" s="320"/>
      <c r="T293" s="142"/>
      <c r="U293" s="30"/>
      <c r="V293" s="30"/>
      <c r="W293" s="30"/>
      <c r="X293" s="30"/>
      <c r="Y293" s="30"/>
      <c r="Z293" s="30"/>
    </row>
    <row r="294">
      <c r="A294" s="320"/>
      <c r="B294" s="142"/>
      <c r="C294" s="320"/>
      <c r="D294" s="142"/>
      <c r="E294" s="320"/>
      <c r="F294" s="142"/>
      <c r="G294" s="320"/>
      <c r="H294" s="142"/>
      <c r="I294" s="320"/>
      <c r="J294" s="142"/>
      <c r="K294" s="320"/>
      <c r="L294" s="142"/>
      <c r="M294" s="320"/>
      <c r="N294" s="142"/>
      <c r="O294" s="320"/>
      <c r="P294" s="142"/>
      <c r="Q294" s="348"/>
      <c r="R294" s="28"/>
      <c r="S294" s="320"/>
      <c r="T294" s="142"/>
      <c r="U294" s="30"/>
      <c r="V294" s="30"/>
      <c r="W294" s="30"/>
      <c r="X294" s="30"/>
      <c r="Y294" s="30"/>
      <c r="Z294" s="30"/>
    </row>
    <row r="295">
      <c r="A295" s="320"/>
      <c r="B295" s="142"/>
      <c r="C295" s="320"/>
      <c r="D295" s="142"/>
      <c r="E295" s="320"/>
      <c r="F295" s="142"/>
      <c r="G295" s="320"/>
      <c r="H295" s="142"/>
      <c r="I295" s="320"/>
      <c r="J295" s="142"/>
      <c r="K295" s="320"/>
      <c r="L295" s="142"/>
      <c r="M295" s="320"/>
      <c r="N295" s="142"/>
      <c r="O295" s="320"/>
      <c r="P295" s="142"/>
      <c r="Q295" s="348"/>
      <c r="R295" s="28"/>
      <c r="S295" s="320"/>
      <c r="T295" s="142"/>
      <c r="U295" s="30"/>
      <c r="V295" s="30"/>
      <c r="W295" s="30"/>
      <c r="X295" s="30"/>
      <c r="Y295" s="30"/>
      <c r="Z295" s="30"/>
    </row>
    <row r="296">
      <c r="A296" s="320"/>
      <c r="B296" s="142"/>
      <c r="C296" s="320"/>
      <c r="D296" s="142"/>
      <c r="E296" s="320"/>
      <c r="F296" s="142"/>
      <c r="G296" s="320"/>
      <c r="H296" s="142"/>
      <c r="I296" s="320"/>
      <c r="J296" s="142"/>
      <c r="K296" s="320"/>
      <c r="L296" s="142"/>
      <c r="M296" s="320"/>
      <c r="N296" s="142"/>
      <c r="O296" s="320"/>
      <c r="P296" s="142"/>
      <c r="Q296" s="348"/>
      <c r="R296" s="28"/>
      <c r="S296" s="320"/>
      <c r="T296" s="142"/>
      <c r="U296" s="30"/>
      <c r="V296" s="30"/>
      <c r="W296" s="30"/>
      <c r="X296" s="30"/>
      <c r="Y296" s="30"/>
      <c r="Z296" s="30"/>
    </row>
    <row r="297">
      <c r="A297" s="320"/>
      <c r="B297" s="142"/>
      <c r="C297" s="320"/>
      <c r="D297" s="142"/>
      <c r="E297" s="320"/>
      <c r="F297" s="142"/>
      <c r="G297" s="320"/>
      <c r="H297" s="142"/>
      <c r="I297" s="320"/>
      <c r="J297" s="142"/>
      <c r="K297" s="320"/>
      <c r="L297" s="142"/>
      <c r="M297" s="320"/>
      <c r="N297" s="142"/>
      <c r="O297" s="320"/>
      <c r="P297" s="142"/>
      <c r="Q297" s="348"/>
      <c r="R297" s="28"/>
      <c r="S297" s="320"/>
      <c r="T297" s="142"/>
      <c r="U297" s="30"/>
      <c r="V297" s="30"/>
      <c r="W297" s="30"/>
      <c r="X297" s="30"/>
      <c r="Y297" s="30"/>
      <c r="Z297" s="30"/>
    </row>
    <row r="298">
      <c r="A298" s="320"/>
      <c r="B298" s="142"/>
      <c r="C298" s="320"/>
      <c r="D298" s="142"/>
      <c r="E298" s="320"/>
      <c r="F298" s="142"/>
      <c r="G298" s="320"/>
      <c r="H298" s="142"/>
      <c r="I298" s="320"/>
      <c r="J298" s="142"/>
      <c r="K298" s="320"/>
      <c r="L298" s="142"/>
      <c r="M298" s="320"/>
      <c r="N298" s="142"/>
      <c r="O298" s="320"/>
      <c r="P298" s="142"/>
      <c r="Q298" s="348"/>
      <c r="R298" s="28"/>
      <c r="S298" s="320"/>
      <c r="T298" s="142"/>
      <c r="U298" s="30"/>
      <c r="V298" s="30"/>
      <c r="W298" s="30"/>
      <c r="X298" s="30"/>
      <c r="Y298" s="30"/>
      <c r="Z298" s="30"/>
    </row>
    <row r="299">
      <c r="A299" s="320"/>
      <c r="B299" s="142"/>
      <c r="C299" s="320"/>
      <c r="D299" s="142"/>
      <c r="E299" s="320"/>
      <c r="F299" s="142"/>
      <c r="G299" s="320"/>
      <c r="H299" s="142"/>
      <c r="I299" s="320"/>
      <c r="J299" s="142"/>
      <c r="K299" s="320"/>
      <c r="L299" s="142"/>
      <c r="M299" s="320"/>
      <c r="N299" s="142"/>
      <c r="O299" s="320"/>
      <c r="P299" s="142"/>
      <c r="Q299" s="348"/>
      <c r="R299" s="28"/>
      <c r="S299" s="320"/>
      <c r="T299" s="142"/>
      <c r="U299" s="30"/>
      <c r="V299" s="30"/>
      <c r="W299" s="30"/>
      <c r="X299" s="30"/>
      <c r="Y299" s="30"/>
      <c r="Z299" s="30"/>
    </row>
    <row r="300">
      <c r="A300" s="320"/>
      <c r="B300" s="142"/>
      <c r="C300" s="320"/>
      <c r="D300" s="142"/>
      <c r="E300" s="320"/>
      <c r="F300" s="142"/>
      <c r="G300" s="320"/>
      <c r="H300" s="142"/>
      <c r="I300" s="320"/>
      <c r="J300" s="142"/>
      <c r="K300" s="320"/>
      <c r="L300" s="142"/>
      <c r="M300" s="320"/>
      <c r="N300" s="142"/>
      <c r="O300" s="320"/>
      <c r="P300" s="142"/>
      <c r="Q300" s="348"/>
      <c r="R300" s="28"/>
      <c r="S300" s="320"/>
      <c r="T300" s="142"/>
      <c r="U300" s="30"/>
      <c r="V300" s="30"/>
      <c r="W300" s="30"/>
      <c r="X300" s="30"/>
      <c r="Y300" s="30"/>
      <c r="Z300" s="30"/>
    </row>
    <row r="301">
      <c r="A301" s="320"/>
      <c r="B301" s="142"/>
      <c r="C301" s="320"/>
      <c r="D301" s="142"/>
      <c r="E301" s="320"/>
      <c r="F301" s="142"/>
      <c r="G301" s="320"/>
      <c r="H301" s="142"/>
      <c r="I301" s="320"/>
      <c r="J301" s="142"/>
      <c r="K301" s="320"/>
      <c r="L301" s="142"/>
      <c r="M301" s="320"/>
      <c r="N301" s="142"/>
      <c r="O301" s="320"/>
      <c r="P301" s="142"/>
      <c r="Q301" s="348"/>
      <c r="R301" s="28"/>
      <c r="S301" s="320"/>
      <c r="T301" s="142"/>
      <c r="U301" s="30"/>
      <c r="V301" s="30"/>
      <c r="W301" s="30"/>
      <c r="X301" s="30"/>
      <c r="Y301" s="30"/>
      <c r="Z301" s="30"/>
    </row>
    <row r="302">
      <c r="A302" s="320"/>
      <c r="B302" s="142"/>
      <c r="C302" s="320"/>
      <c r="D302" s="142"/>
      <c r="E302" s="320"/>
      <c r="F302" s="142"/>
      <c r="G302" s="320"/>
      <c r="H302" s="142"/>
      <c r="I302" s="320"/>
      <c r="J302" s="142"/>
      <c r="K302" s="320"/>
      <c r="L302" s="142"/>
      <c r="M302" s="320"/>
      <c r="N302" s="142"/>
      <c r="O302" s="320"/>
      <c r="P302" s="142"/>
      <c r="Q302" s="348"/>
      <c r="R302" s="28"/>
      <c r="S302" s="320"/>
      <c r="T302" s="142"/>
      <c r="U302" s="30"/>
      <c r="V302" s="30"/>
      <c r="W302" s="30"/>
      <c r="X302" s="30"/>
      <c r="Y302" s="30"/>
      <c r="Z302" s="30"/>
    </row>
    <row r="303">
      <c r="A303" s="320"/>
      <c r="B303" s="142"/>
      <c r="C303" s="320"/>
      <c r="D303" s="142"/>
      <c r="E303" s="320"/>
      <c r="F303" s="142"/>
      <c r="G303" s="320"/>
      <c r="H303" s="142"/>
      <c r="I303" s="320"/>
      <c r="J303" s="142"/>
      <c r="K303" s="320"/>
      <c r="L303" s="142"/>
      <c r="M303" s="320"/>
      <c r="N303" s="142"/>
      <c r="O303" s="320"/>
      <c r="P303" s="142"/>
      <c r="Q303" s="348"/>
      <c r="R303" s="28"/>
      <c r="S303" s="320"/>
      <c r="T303" s="142"/>
      <c r="U303" s="30"/>
      <c r="V303" s="30"/>
      <c r="W303" s="30"/>
      <c r="X303" s="30"/>
      <c r="Y303" s="30"/>
      <c r="Z303" s="30"/>
    </row>
    <row r="304">
      <c r="A304" s="320"/>
      <c r="B304" s="142"/>
      <c r="C304" s="320"/>
      <c r="D304" s="142"/>
      <c r="E304" s="320"/>
      <c r="F304" s="142"/>
      <c r="G304" s="320"/>
      <c r="H304" s="142"/>
      <c r="I304" s="320"/>
      <c r="J304" s="142"/>
      <c r="K304" s="320"/>
      <c r="L304" s="142"/>
      <c r="M304" s="320"/>
      <c r="N304" s="142"/>
      <c r="O304" s="320"/>
      <c r="P304" s="142"/>
      <c r="Q304" s="348"/>
      <c r="R304" s="28"/>
      <c r="S304" s="320"/>
      <c r="T304" s="142"/>
      <c r="U304" s="30"/>
      <c r="V304" s="30"/>
      <c r="W304" s="30"/>
      <c r="X304" s="30"/>
      <c r="Y304" s="30"/>
      <c r="Z304" s="30"/>
    </row>
    <row r="305">
      <c r="A305" s="320"/>
      <c r="B305" s="142"/>
      <c r="C305" s="320"/>
      <c r="D305" s="142"/>
      <c r="E305" s="320"/>
      <c r="F305" s="142"/>
      <c r="G305" s="320"/>
      <c r="H305" s="142"/>
      <c r="I305" s="320"/>
      <c r="J305" s="142"/>
      <c r="K305" s="320"/>
      <c r="L305" s="142"/>
      <c r="M305" s="320"/>
      <c r="N305" s="142"/>
      <c r="O305" s="320"/>
      <c r="P305" s="142"/>
      <c r="Q305" s="348"/>
      <c r="R305" s="28"/>
      <c r="S305" s="320"/>
      <c r="T305" s="142"/>
      <c r="U305" s="30"/>
      <c r="V305" s="30"/>
      <c r="W305" s="30"/>
      <c r="X305" s="30"/>
      <c r="Y305" s="30"/>
      <c r="Z305" s="30"/>
    </row>
    <row r="306">
      <c r="A306" s="320"/>
      <c r="B306" s="142"/>
      <c r="C306" s="320"/>
      <c r="D306" s="142"/>
      <c r="E306" s="320"/>
      <c r="F306" s="142"/>
      <c r="G306" s="320"/>
      <c r="H306" s="142"/>
      <c r="I306" s="320"/>
      <c r="J306" s="142"/>
      <c r="K306" s="320"/>
      <c r="L306" s="142"/>
      <c r="M306" s="320"/>
      <c r="N306" s="142"/>
      <c r="O306" s="320"/>
      <c r="P306" s="142"/>
      <c r="Q306" s="348"/>
      <c r="R306" s="28"/>
      <c r="S306" s="320"/>
      <c r="T306" s="142"/>
      <c r="U306" s="30"/>
      <c r="V306" s="30"/>
      <c r="W306" s="30"/>
      <c r="X306" s="30"/>
      <c r="Y306" s="30"/>
      <c r="Z306" s="30"/>
    </row>
    <row r="307">
      <c r="A307" s="320"/>
      <c r="B307" s="142"/>
      <c r="C307" s="320"/>
      <c r="D307" s="142"/>
      <c r="E307" s="320"/>
      <c r="F307" s="142"/>
      <c r="G307" s="320"/>
      <c r="H307" s="142"/>
      <c r="I307" s="320"/>
      <c r="J307" s="142"/>
      <c r="K307" s="320"/>
      <c r="L307" s="142"/>
      <c r="M307" s="320"/>
      <c r="N307" s="142"/>
      <c r="O307" s="320"/>
      <c r="P307" s="142"/>
      <c r="Q307" s="348"/>
      <c r="R307" s="28"/>
      <c r="S307" s="320"/>
      <c r="T307" s="142"/>
      <c r="U307" s="30"/>
      <c r="V307" s="30"/>
      <c r="W307" s="30"/>
      <c r="X307" s="30"/>
      <c r="Y307" s="30"/>
      <c r="Z307" s="30"/>
    </row>
    <row r="308">
      <c r="A308" s="320"/>
      <c r="B308" s="142"/>
      <c r="C308" s="320"/>
      <c r="D308" s="142"/>
      <c r="E308" s="320"/>
      <c r="F308" s="142"/>
      <c r="G308" s="320"/>
      <c r="H308" s="142"/>
      <c r="I308" s="320"/>
      <c r="J308" s="142"/>
      <c r="K308" s="320"/>
      <c r="L308" s="142"/>
      <c r="M308" s="320"/>
      <c r="N308" s="142"/>
      <c r="O308" s="320"/>
      <c r="P308" s="142"/>
      <c r="Q308" s="348"/>
      <c r="R308" s="28"/>
      <c r="S308" s="320"/>
      <c r="T308" s="142"/>
      <c r="U308" s="30"/>
      <c r="V308" s="30"/>
      <c r="W308" s="30"/>
      <c r="X308" s="30"/>
      <c r="Y308" s="30"/>
      <c r="Z308" s="30"/>
    </row>
    <row r="309">
      <c r="A309" s="320"/>
      <c r="B309" s="142"/>
      <c r="C309" s="320"/>
      <c r="D309" s="142"/>
      <c r="E309" s="320"/>
      <c r="F309" s="142"/>
      <c r="G309" s="320"/>
      <c r="H309" s="142"/>
      <c r="I309" s="320"/>
      <c r="J309" s="142"/>
      <c r="K309" s="320"/>
      <c r="L309" s="142"/>
      <c r="M309" s="320"/>
      <c r="N309" s="142"/>
      <c r="O309" s="320"/>
      <c r="P309" s="142"/>
      <c r="Q309" s="348"/>
      <c r="R309" s="28"/>
      <c r="S309" s="320"/>
      <c r="T309" s="142"/>
      <c r="U309" s="30"/>
      <c r="V309" s="30"/>
      <c r="W309" s="30"/>
      <c r="X309" s="30"/>
      <c r="Y309" s="30"/>
      <c r="Z309" s="30"/>
    </row>
    <row r="310">
      <c r="A310" s="320"/>
      <c r="B310" s="142"/>
      <c r="C310" s="320"/>
      <c r="D310" s="142"/>
      <c r="E310" s="320"/>
      <c r="F310" s="142"/>
      <c r="G310" s="320"/>
      <c r="H310" s="142"/>
      <c r="I310" s="320"/>
      <c r="J310" s="142"/>
      <c r="K310" s="320"/>
      <c r="L310" s="142"/>
      <c r="M310" s="320"/>
      <c r="N310" s="142"/>
      <c r="O310" s="320"/>
      <c r="P310" s="142"/>
      <c r="Q310" s="348"/>
      <c r="R310" s="28"/>
      <c r="S310" s="320"/>
      <c r="T310" s="142"/>
      <c r="U310" s="30"/>
      <c r="V310" s="30"/>
      <c r="W310" s="30"/>
      <c r="X310" s="30"/>
      <c r="Y310" s="30"/>
      <c r="Z310" s="30"/>
    </row>
    <row r="311">
      <c r="A311" s="320"/>
      <c r="B311" s="142"/>
      <c r="C311" s="320"/>
      <c r="D311" s="142"/>
      <c r="E311" s="320"/>
      <c r="F311" s="142"/>
      <c r="G311" s="320"/>
      <c r="H311" s="142"/>
      <c r="I311" s="320"/>
      <c r="J311" s="142"/>
      <c r="K311" s="320"/>
      <c r="L311" s="142"/>
      <c r="M311" s="320"/>
      <c r="N311" s="142"/>
      <c r="O311" s="320"/>
      <c r="P311" s="142"/>
      <c r="Q311" s="348"/>
      <c r="R311" s="28"/>
      <c r="S311" s="320"/>
      <c r="T311" s="142"/>
      <c r="U311" s="30"/>
      <c r="V311" s="30"/>
      <c r="W311" s="30"/>
      <c r="X311" s="30"/>
      <c r="Y311" s="30"/>
      <c r="Z311" s="30"/>
    </row>
    <row r="312">
      <c r="A312" s="320"/>
      <c r="B312" s="142"/>
      <c r="C312" s="320"/>
      <c r="D312" s="142"/>
      <c r="E312" s="320"/>
      <c r="F312" s="142"/>
      <c r="G312" s="320"/>
      <c r="H312" s="142"/>
      <c r="I312" s="320"/>
      <c r="J312" s="142"/>
      <c r="K312" s="320"/>
      <c r="L312" s="142"/>
      <c r="M312" s="320"/>
      <c r="N312" s="142"/>
      <c r="O312" s="320"/>
      <c r="P312" s="142"/>
      <c r="Q312" s="348"/>
      <c r="R312" s="28"/>
      <c r="S312" s="320"/>
      <c r="T312" s="142"/>
      <c r="U312" s="30"/>
      <c r="V312" s="30"/>
      <c r="W312" s="30"/>
      <c r="X312" s="30"/>
      <c r="Y312" s="30"/>
      <c r="Z312" s="30"/>
    </row>
    <row r="313">
      <c r="A313" s="320"/>
      <c r="B313" s="142"/>
      <c r="C313" s="320"/>
      <c r="D313" s="142"/>
      <c r="E313" s="320"/>
      <c r="F313" s="142"/>
      <c r="G313" s="320"/>
      <c r="H313" s="142"/>
      <c r="I313" s="320"/>
      <c r="J313" s="142"/>
      <c r="K313" s="320"/>
      <c r="L313" s="142"/>
      <c r="M313" s="320"/>
      <c r="N313" s="142"/>
      <c r="O313" s="320"/>
      <c r="P313" s="142"/>
      <c r="Q313" s="348"/>
      <c r="R313" s="28"/>
      <c r="S313" s="320"/>
      <c r="T313" s="142"/>
      <c r="U313" s="30"/>
      <c r="V313" s="30"/>
      <c r="W313" s="30"/>
      <c r="X313" s="30"/>
      <c r="Y313" s="30"/>
      <c r="Z313" s="30"/>
    </row>
    <row r="314">
      <c r="A314" s="320"/>
      <c r="B314" s="142"/>
      <c r="C314" s="320"/>
      <c r="D314" s="142"/>
      <c r="E314" s="320"/>
      <c r="F314" s="142"/>
      <c r="G314" s="320"/>
      <c r="H314" s="142"/>
      <c r="I314" s="320"/>
      <c r="J314" s="142"/>
      <c r="K314" s="320"/>
      <c r="L314" s="142"/>
      <c r="M314" s="320"/>
      <c r="N314" s="142"/>
      <c r="O314" s="320"/>
      <c r="P314" s="142"/>
      <c r="Q314" s="348"/>
      <c r="R314" s="28"/>
      <c r="S314" s="320"/>
      <c r="T314" s="142"/>
      <c r="U314" s="30"/>
      <c r="V314" s="30"/>
      <c r="W314" s="30"/>
      <c r="X314" s="30"/>
      <c r="Y314" s="30"/>
      <c r="Z314" s="30"/>
    </row>
    <row r="315">
      <c r="A315" s="320"/>
      <c r="B315" s="142"/>
      <c r="C315" s="320"/>
      <c r="D315" s="142"/>
      <c r="E315" s="320"/>
      <c r="F315" s="142"/>
      <c r="G315" s="320"/>
      <c r="H315" s="142"/>
      <c r="I315" s="320"/>
      <c r="J315" s="142"/>
      <c r="K315" s="320"/>
      <c r="L315" s="142"/>
      <c r="M315" s="320"/>
      <c r="N315" s="142"/>
      <c r="O315" s="320"/>
      <c r="P315" s="142"/>
      <c r="Q315" s="348"/>
      <c r="R315" s="28"/>
      <c r="S315" s="320"/>
      <c r="T315" s="142"/>
      <c r="U315" s="30"/>
      <c r="V315" s="30"/>
      <c r="W315" s="30"/>
      <c r="X315" s="30"/>
      <c r="Y315" s="30"/>
      <c r="Z315" s="30"/>
    </row>
    <row r="316">
      <c r="A316" s="320"/>
      <c r="B316" s="142"/>
      <c r="C316" s="320"/>
      <c r="D316" s="142"/>
      <c r="E316" s="320"/>
      <c r="F316" s="142"/>
      <c r="G316" s="320"/>
      <c r="H316" s="142"/>
      <c r="I316" s="320"/>
      <c r="J316" s="142"/>
      <c r="K316" s="320"/>
      <c r="L316" s="142"/>
      <c r="M316" s="320"/>
      <c r="N316" s="142"/>
      <c r="O316" s="320"/>
      <c r="P316" s="142"/>
      <c r="Q316" s="348"/>
      <c r="R316" s="28"/>
      <c r="S316" s="320"/>
      <c r="T316" s="142"/>
      <c r="U316" s="30"/>
      <c r="V316" s="30"/>
      <c r="W316" s="30"/>
      <c r="X316" s="30"/>
      <c r="Y316" s="30"/>
      <c r="Z316" s="30"/>
    </row>
    <row r="317">
      <c r="A317" s="320"/>
      <c r="B317" s="142"/>
      <c r="C317" s="320"/>
      <c r="D317" s="142"/>
      <c r="E317" s="320"/>
      <c r="F317" s="142"/>
      <c r="G317" s="320"/>
      <c r="H317" s="142"/>
      <c r="I317" s="320"/>
      <c r="J317" s="142"/>
      <c r="K317" s="320"/>
      <c r="L317" s="142"/>
      <c r="M317" s="320"/>
      <c r="N317" s="142"/>
      <c r="O317" s="320"/>
      <c r="P317" s="142"/>
      <c r="Q317" s="348"/>
      <c r="R317" s="28"/>
      <c r="S317" s="320"/>
      <c r="T317" s="142"/>
      <c r="U317" s="30"/>
      <c r="V317" s="30"/>
      <c r="W317" s="30"/>
      <c r="X317" s="30"/>
      <c r="Y317" s="30"/>
      <c r="Z317" s="30"/>
    </row>
    <row r="318">
      <c r="A318" s="320"/>
      <c r="B318" s="142"/>
      <c r="C318" s="320"/>
      <c r="D318" s="142"/>
      <c r="E318" s="320"/>
      <c r="F318" s="142"/>
      <c r="G318" s="320"/>
      <c r="H318" s="142"/>
      <c r="I318" s="320"/>
      <c r="J318" s="142"/>
      <c r="K318" s="320"/>
      <c r="L318" s="142"/>
      <c r="M318" s="320"/>
      <c r="N318" s="142"/>
      <c r="O318" s="320"/>
      <c r="P318" s="142"/>
      <c r="Q318" s="348"/>
      <c r="R318" s="28"/>
      <c r="S318" s="320"/>
      <c r="T318" s="142"/>
      <c r="U318" s="30"/>
      <c r="V318" s="30"/>
      <c r="W318" s="30"/>
      <c r="X318" s="30"/>
      <c r="Y318" s="30"/>
      <c r="Z318" s="30"/>
    </row>
    <row r="319">
      <c r="A319" s="320"/>
      <c r="B319" s="142"/>
      <c r="C319" s="320"/>
      <c r="D319" s="142"/>
      <c r="E319" s="320"/>
      <c r="F319" s="142"/>
      <c r="G319" s="320"/>
      <c r="H319" s="142"/>
      <c r="I319" s="320"/>
      <c r="J319" s="142"/>
      <c r="K319" s="320"/>
      <c r="L319" s="142"/>
      <c r="M319" s="320"/>
      <c r="N319" s="142"/>
      <c r="O319" s="320"/>
      <c r="P319" s="142"/>
      <c r="Q319" s="348"/>
      <c r="R319" s="28"/>
      <c r="S319" s="320"/>
      <c r="T319" s="142"/>
      <c r="U319" s="30"/>
      <c r="V319" s="30"/>
      <c r="W319" s="30"/>
      <c r="X319" s="30"/>
      <c r="Y319" s="30"/>
      <c r="Z319" s="30"/>
    </row>
    <row r="320">
      <c r="A320" s="320"/>
      <c r="B320" s="142"/>
      <c r="C320" s="320"/>
      <c r="D320" s="142"/>
      <c r="E320" s="320"/>
      <c r="F320" s="142"/>
      <c r="G320" s="320"/>
      <c r="H320" s="142"/>
      <c r="I320" s="320"/>
      <c r="J320" s="142"/>
      <c r="K320" s="320"/>
      <c r="L320" s="142"/>
      <c r="M320" s="320"/>
      <c r="N320" s="142"/>
      <c r="O320" s="320"/>
      <c r="P320" s="142"/>
      <c r="Q320" s="348"/>
      <c r="R320" s="28"/>
      <c r="S320" s="320"/>
      <c r="T320" s="142"/>
      <c r="U320" s="30"/>
      <c r="V320" s="30"/>
      <c r="W320" s="30"/>
      <c r="X320" s="30"/>
      <c r="Y320" s="30"/>
      <c r="Z320" s="30"/>
    </row>
    <row r="321">
      <c r="A321" s="320"/>
      <c r="B321" s="142"/>
      <c r="C321" s="320"/>
      <c r="D321" s="142"/>
      <c r="E321" s="320"/>
      <c r="F321" s="142"/>
      <c r="G321" s="320"/>
      <c r="H321" s="142"/>
      <c r="I321" s="320"/>
      <c r="J321" s="142"/>
      <c r="K321" s="320"/>
      <c r="L321" s="142"/>
      <c r="M321" s="320"/>
      <c r="N321" s="142"/>
      <c r="O321" s="320"/>
      <c r="P321" s="142"/>
      <c r="Q321" s="348"/>
      <c r="R321" s="28"/>
      <c r="S321" s="320"/>
      <c r="T321" s="142"/>
      <c r="U321" s="30"/>
      <c r="V321" s="30"/>
      <c r="W321" s="30"/>
      <c r="X321" s="30"/>
      <c r="Y321" s="30"/>
      <c r="Z321" s="30"/>
    </row>
    <row r="322">
      <c r="A322" s="320"/>
      <c r="B322" s="142"/>
      <c r="C322" s="320"/>
      <c r="D322" s="142"/>
      <c r="E322" s="320"/>
      <c r="F322" s="142"/>
      <c r="G322" s="320"/>
      <c r="H322" s="142"/>
      <c r="I322" s="320"/>
      <c r="J322" s="142"/>
      <c r="K322" s="320"/>
      <c r="L322" s="142"/>
      <c r="M322" s="320"/>
      <c r="N322" s="142"/>
      <c r="O322" s="320"/>
      <c r="P322" s="142"/>
      <c r="Q322" s="348"/>
      <c r="R322" s="28"/>
      <c r="S322" s="320"/>
      <c r="T322" s="142"/>
      <c r="U322" s="30"/>
      <c r="V322" s="30"/>
      <c r="W322" s="30"/>
      <c r="X322" s="30"/>
      <c r="Y322" s="30"/>
      <c r="Z322" s="30"/>
    </row>
    <row r="323">
      <c r="A323" s="320"/>
      <c r="B323" s="142"/>
      <c r="C323" s="320"/>
      <c r="D323" s="142"/>
      <c r="E323" s="320"/>
      <c r="F323" s="142"/>
      <c r="G323" s="320"/>
      <c r="H323" s="142"/>
      <c r="I323" s="320"/>
      <c r="J323" s="142"/>
      <c r="K323" s="320"/>
      <c r="L323" s="142"/>
      <c r="M323" s="320"/>
      <c r="N323" s="142"/>
      <c r="O323" s="320"/>
      <c r="P323" s="142"/>
      <c r="Q323" s="348"/>
      <c r="R323" s="28"/>
      <c r="S323" s="320"/>
      <c r="T323" s="142"/>
      <c r="U323" s="30"/>
      <c r="V323" s="30"/>
      <c r="W323" s="30"/>
      <c r="X323" s="30"/>
      <c r="Y323" s="30"/>
      <c r="Z323" s="30"/>
    </row>
    <row r="324">
      <c r="A324" s="320"/>
      <c r="B324" s="142"/>
      <c r="C324" s="320"/>
      <c r="D324" s="142"/>
      <c r="E324" s="320"/>
      <c r="F324" s="142"/>
      <c r="G324" s="320"/>
      <c r="H324" s="142"/>
      <c r="I324" s="320"/>
      <c r="J324" s="142"/>
      <c r="K324" s="320"/>
      <c r="L324" s="142"/>
      <c r="M324" s="320"/>
      <c r="N324" s="142"/>
      <c r="O324" s="320"/>
      <c r="P324" s="142"/>
      <c r="Q324" s="348"/>
      <c r="R324" s="28"/>
      <c r="S324" s="320"/>
      <c r="T324" s="142"/>
      <c r="U324" s="30"/>
      <c r="V324" s="30"/>
      <c r="W324" s="30"/>
      <c r="X324" s="30"/>
      <c r="Y324" s="30"/>
      <c r="Z324" s="30"/>
    </row>
    <row r="325">
      <c r="A325" s="320"/>
      <c r="B325" s="142"/>
      <c r="C325" s="320"/>
      <c r="D325" s="142"/>
      <c r="E325" s="320"/>
      <c r="F325" s="142"/>
      <c r="G325" s="320"/>
      <c r="H325" s="142"/>
      <c r="I325" s="320"/>
      <c r="J325" s="142"/>
      <c r="K325" s="320"/>
      <c r="L325" s="142"/>
      <c r="M325" s="320"/>
      <c r="N325" s="142"/>
      <c r="O325" s="320"/>
      <c r="P325" s="142"/>
      <c r="Q325" s="348"/>
      <c r="R325" s="28"/>
      <c r="S325" s="320"/>
      <c r="T325" s="142"/>
      <c r="U325" s="30"/>
      <c r="V325" s="30"/>
      <c r="W325" s="30"/>
      <c r="X325" s="30"/>
      <c r="Y325" s="30"/>
      <c r="Z325" s="30"/>
    </row>
    <row r="326">
      <c r="A326" s="320"/>
      <c r="B326" s="142"/>
      <c r="C326" s="320"/>
      <c r="D326" s="142"/>
      <c r="E326" s="320"/>
      <c r="F326" s="142"/>
      <c r="G326" s="320"/>
      <c r="H326" s="142"/>
      <c r="I326" s="320"/>
      <c r="J326" s="142"/>
      <c r="K326" s="320"/>
      <c r="L326" s="142"/>
      <c r="M326" s="320"/>
      <c r="N326" s="142"/>
      <c r="O326" s="320"/>
      <c r="P326" s="142"/>
      <c r="Q326" s="348"/>
      <c r="R326" s="28"/>
      <c r="S326" s="320"/>
      <c r="T326" s="142"/>
      <c r="U326" s="30"/>
      <c r="V326" s="30"/>
      <c r="W326" s="30"/>
      <c r="X326" s="30"/>
      <c r="Y326" s="30"/>
      <c r="Z326" s="30"/>
    </row>
    <row r="327">
      <c r="A327" s="320"/>
      <c r="B327" s="142"/>
      <c r="C327" s="320"/>
      <c r="D327" s="142"/>
      <c r="E327" s="320"/>
      <c r="F327" s="142"/>
      <c r="G327" s="320"/>
      <c r="H327" s="142"/>
      <c r="I327" s="320"/>
      <c r="J327" s="142"/>
      <c r="K327" s="320"/>
      <c r="L327" s="142"/>
      <c r="M327" s="320"/>
      <c r="N327" s="142"/>
      <c r="O327" s="320"/>
      <c r="P327" s="142"/>
      <c r="Q327" s="348"/>
      <c r="R327" s="28"/>
      <c r="S327" s="320"/>
      <c r="T327" s="142"/>
      <c r="U327" s="30"/>
      <c r="V327" s="30"/>
      <c r="W327" s="30"/>
      <c r="X327" s="30"/>
      <c r="Y327" s="30"/>
      <c r="Z327" s="30"/>
    </row>
    <row r="328">
      <c r="A328" s="320"/>
      <c r="B328" s="142"/>
      <c r="C328" s="320"/>
      <c r="D328" s="142"/>
      <c r="E328" s="320"/>
      <c r="F328" s="142"/>
      <c r="G328" s="320"/>
      <c r="H328" s="142"/>
      <c r="I328" s="320"/>
      <c r="J328" s="142"/>
      <c r="K328" s="320"/>
      <c r="L328" s="142"/>
      <c r="M328" s="320"/>
      <c r="N328" s="142"/>
      <c r="O328" s="320"/>
      <c r="P328" s="142"/>
      <c r="Q328" s="348"/>
      <c r="R328" s="28"/>
      <c r="S328" s="320"/>
      <c r="T328" s="142"/>
      <c r="U328" s="30"/>
      <c r="V328" s="30"/>
      <c r="W328" s="30"/>
      <c r="X328" s="30"/>
      <c r="Y328" s="30"/>
      <c r="Z328" s="30"/>
    </row>
    <row r="329">
      <c r="A329" s="320"/>
      <c r="B329" s="142"/>
      <c r="C329" s="320"/>
      <c r="D329" s="142"/>
      <c r="E329" s="320"/>
      <c r="F329" s="142"/>
      <c r="G329" s="320"/>
      <c r="H329" s="142"/>
      <c r="I329" s="320"/>
      <c r="J329" s="142"/>
      <c r="K329" s="320"/>
      <c r="L329" s="142"/>
      <c r="M329" s="320"/>
      <c r="N329" s="142"/>
      <c r="O329" s="320"/>
      <c r="P329" s="142"/>
      <c r="Q329" s="348"/>
      <c r="R329" s="28"/>
      <c r="S329" s="320"/>
      <c r="T329" s="142"/>
      <c r="U329" s="30"/>
      <c r="V329" s="30"/>
      <c r="W329" s="30"/>
      <c r="X329" s="30"/>
      <c r="Y329" s="30"/>
      <c r="Z329" s="30"/>
    </row>
    <row r="330">
      <c r="A330" s="320"/>
      <c r="B330" s="142"/>
      <c r="C330" s="320"/>
      <c r="D330" s="142"/>
      <c r="E330" s="320"/>
      <c r="F330" s="142"/>
      <c r="G330" s="320"/>
      <c r="H330" s="142"/>
      <c r="I330" s="320"/>
      <c r="J330" s="142"/>
      <c r="K330" s="320"/>
      <c r="L330" s="142"/>
      <c r="M330" s="320"/>
      <c r="N330" s="142"/>
      <c r="O330" s="320"/>
      <c r="P330" s="142"/>
      <c r="Q330" s="348"/>
      <c r="R330" s="28"/>
      <c r="S330" s="320"/>
      <c r="T330" s="142"/>
      <c r="U330" s="30"/>
      <c r="V330" s="30"/>
      <c r="W330" s="30"/>
      <c r="X330" s="30"/>
      <c r="Y330" s="30"/>
      <c r="Z330" s="30"/>
    </row>
    <row r="331">
      <c r="A331" s="320"/>
      <c r="B331" s="142"/>
      <c r="C331" s="320"/>
      <c r="D331" s="142"/>
      <c r="E331" s="320"/>
      <c r="F331" s="142"/>
      <c r="G331" s="320"/>
      <c r="H331" s="142"/>
      <c r="I331" s="320"/>
      <c r="J331" s="142"/>
      <c r="K331" s="320"/>
      <c r="L331" s="142"/>
      <c r="M331" s="320"/>
      <c r="N331" s="142"/>
      <c r="O331" s="320"/>
      <c r="P331" s="142"/>
      <c r="Q331" s="348"/>
      <c r="R331" s="28"/>
      <c r="S331" s="320"/>
      <c r="T331" s="142"/>
      <c r="U331" s="30"/>
      <c r="V331" s="30"/>
      <c r="W331" s="30"/>
      <c r="X331" s="30"/>
      <c r="Y331" s="30"/>
      <c r="Z331" s="30"/>
    </row>
    <row r="332">
      <c r="A332" s="320"/>
      <c r="B332" s="142"/>
      <c r="C332" s="320"/>
      <c r="D332" s="142"/>
      <c r="E332" s="320"/>
      <c r="F332" s="142"/>
      <c r="G332" s="320"/>
      <c r="H332" s="142"/>
      <c r="I332" s="320"/>
      <c r="J332" s="142"/>
      <c r="K332" s="320"/>
      <c r="L332" s="142"/>
      <c r="M332" s="320"/>
      <c r="N332" s="142"/>
      <c r="O332" s="320"/>
      <c r="P332" s="142"/>
      <c r="Q332" s="348"/>
      <c r="R332" s="28"/>
      <c r="S332" s="320"/>
      <c r="T332" s="142"/>
      <c r="U332" s="30"/>
      <c r="V332" s="30"/>
      <c r="W332" s="30"/>
      <c r="X332" s="30"/>
      <c r="Y332" s="30"/>
      <c r="Z332" s="30"/>
    </row>
    <row r="333">
      <c r="A333" s="320"/>
      <c r="B333" s="142"/>
      <c r="C333" s="320"/>
      <c r="D333" s="142"/>
      <c r="E333" s="320"/>
      <c r="F333" s="142"/>
      <c r="G333" s="320"/>
      <c r="H333" s="142"/>
      <c r="I333" s="320"/>
      <c r="J333" s="142"/>
      <c r="K333" s="320"/>
      <c r="L333" s="142"/>
      <c r="M333" s="320"/>
      <c r="N333" s="142"/>
      <c r="O333" s="320"/>
      <c r="P333" s="142"/>
      <c r="Q333" s="348"/>
      <c r="R333" s="28"/>
      <c r="S333" s="320"/>
      <c r="T333" s="142"/>
      <c r="U333" s="30"/>
      <c r="V333" s="30"/>
      <c r="W333" s="30"/>
      <c r="X333" s="30"/>
      <c r="Y333" s="30"/>
      <c r="Z333" s="30"/>
    </row>
    <row r="334">
      <c r="A334" s="320"/>
      <c r="B334" s="142"/>
      <c r="C334" s="320"/>
      <c r="D334" s="142"/>
      <c r="E334" s="320"/>
      <c r="F334" s="142"/>
      <c r="G334" s="320"/>
      <c r="H334" s="142"/>
      <c r="I334" s="320"/>
      <c r="J334" s="142"/>
      <c r="K334" s="320"/>
      <c r="L334" s="142"/>
      <c r="M334" s="320"/>
      <c r="N334" s="142"/>
      <c r="O334" s="320"/>
      <c r="P334" s="142"/>
      <c r="Q334" s="348"/>
      <c r="R334" s="28"/>
      <c r="S334" s="320"/>
      <c r="T334" s="142"/>
      <c r="U334" s="30"/>
      <c r="V334" s="30"/>
      <c r="W334" s="30"/>
      <c r="X334" s="30"/>
      <c r="Y334" s="30"/>
      <c r="Z334" s="30"/>
    </row>
    <row r="335">
      <c r="A335" s="320"/>
      <c r="B335" s="142"/>
      <c r="C335" s="320"/>
      <c r="D335" s="142"/>
      <c r="E335" s="320"/>
      <c r="F335" s="142"/>
      <c r="G335" s="320"/>
      <c r="H335" s="142"/>
      <c r="I335" s="320"/>
      <c r="J335" s="142"/>
      <c r="K335" s="320"/>
      <c r="L335" s="142"/>
      <c r="M335" s="320"/>
      <c r="N335" s="142"/>
      <c r="O335" s="320"/>
      <c r="P335" s="142"/>
      <c r="Q335" s="348"/>
      <c r="R335" s="28"/>
      <c r="S335" s="320"/>
      <c r="T335" s="142"/>
      <c r="U335" s="30"/>
      <c r="V335" s="30"/>
      <c r="W335" s="30"/>
      <c r="X335" s="30"/>
      <c r="Y335" s="30"/>
      <c r="Z335" s="30"/>
    </row>
    <row r="336">
      <c r="A336" s="320"/>
      <c r="B336" s="142"/>
      <c r="C336" s="320"/>
      <c r="D336" s="142"/>
      <c r="E336" s="320"/>
      <c r="F336" s="142"/>
      <c r="G336" s="320"/>
      <c r="H336" s="142"/>
      <c r="I336" s="320"/>
      <c r="J336" s="142"/>
      <c r="K336" s="320"/>
      <c r="L336" s="142"/>
      <c r="M336" s="320"/>
      <c r="N336" s="142"/>
      <c r="O336" s="320"/>
      <c r="P336" s="142"/>
      <c r="Q336" s="348"/>
      <c r="R336" s="28"/>
      <c r="S336" s="320"/>
      <c r="T336" s="142"/>
      <c r="U336" s="30"/>
      <c r="V336" s="30"/>
      <c r="W336" s="30"/>
      <c r="X336" s="30"/>
      <c r="Y336" s="30"/>
      <c r="Z336" s="30"/>
    </row>
    <row r="337">
      <c r="A337" s="320"/>
      <c r="B337" s="142"/>
      <c r="C337" s="320"/>
      <c r="D337" s="142"/>
      <c r="E337" s="320"/>
      <c r="F337" s="142"/>
      <c r="G337" s="320"/>
      <c r="H337" s="142"/>
      <c r="I337" s="320"/>
      <c r="J337" s="142"/>
      <c r="K337" s="320"/>
      <c r="L337" s="142"/>
      <c r="M337" s="320"/>
      <c r="N337" s="142"/>
      <c r="O337" s="320"/>
      <c r="P337" s="142"/>
      <c r="Q337" s="348"/>
      <c r="R337" s="28"/>
      <c r="S337" s="320"/>
      <c r="T337" s="142"/>
      <c r="U337" s="30"/>
      <c r="V337" s="30"/>
      <c r="W337" s="30"/>
      <c r="X337" s="30"/>
      <c r="Y337" s="30"/>
      <c r="Z337" s="30"/>
    </row>
    <row r="338">
      <c r="A338" s="320"/>
      <c r="B338" s="142"/>
      <c r="C338" s="320"/>
      <c r="D338" s="142"/>
      <c r="E338" s="320"/>
      <c r="F338" s="142"/>
      <c r="G338" s="320"/>
      <c r="H338" s="142"/>
      <c r="I338" s="320"/>
      <c r="J338" s="142"/>
      <c r="K338" s="320"/>
      <c r="L338" s="142"/>
      <c r="M338" s="320"/>
      <c r="N338" s="142"/>
      <c r="O338" s="320"/>
      <c r="P338" s="142"/>
      <c r="Q338" s="348"/>
      <c r="R338" s="28"/>
      <c r="S338" s="320"/>
      <c r="T338" s="142"/>
      <c r="U338" s="30"/>
      <c r="V338" s="30"/>
      <c r="W338" s="30"/>
      <c r="X338" s="30"/>
      <c r="Y338" s="30"/>
      <c r="Z338" s="30"/>
    </row>
    <row r="339">
      <c r="A339" s="320"/>
      <c r="B339" s="142"/>
      <c r="C339" s="320"/>
      <c r="D339" s="142"/>
      <c r="E339" s="320"/>
      <c r="F339" s="142"/>
      <c r="G339" s="320"/>
      <c r="H339" s="142"/>
      <c r="I339" s="320"/>
      <c r="J339" s="142"/>
      <c r="K339" s="320"/>
      <c r="L339" s="142"/>
      <c r="M339" s="320"/>
      <c r="N339" s="142"/>
      <c r="O339" s="320"/>
      <c r="P339" s="142"/>
      <c r="Q339" s="348"/>
      <c r="R339" s="28"/>
      <c r="S339" s="320"/>
      <c r="T339" s="142"/>
      <c r="U339" s="30"/>
      <c r="V339" s="30"/>
      <c r="W339" s="30"/>
      <c r="X339" s="30"/>
      <c r="Y339" s="30"/>
      <c r="Z339" s="30"/>
    </row>
    <row r="340">
      <c r="A340" s="320"/>
      <c r="B340" s="142"/>
      <c r="C340" s="320"/>
      <c r="D340" s="142"/>
      <c r="E340" s="320"/>
      <c r="F340" s="142"/>
      <c r="G340" s="320"/>
      <c r="H340" s="142"/>
      <c r="I340" s="320"/>
      <c r="J340" s="142"/>
      <c r="K340" s="320"/>
      <c r="L340" s="142"/>
      <c r="M340" s="320"/>
      <c r="N340" s="142"/>
      <c r="O340" s="320"/>
      <c r="P340" s="142"/>
      <c r="Q340" s="348"/>
      <c r="R340" s="28"/>
      <c r="S340" s="320"/>
      <c r="T340" s="142"/>
      <c r="U340" s="30"/>
      <c r="V340" s="30"/>
      <c r="W340" s="30"/>
      <c r="X340" s="30"/>
      <c r="Y340" s="30"/>
      <c r="Z340" s="30"/>
    </row>
    <row r="341">
      <c r="A341" s="320"/>
      <c r="B341" s="142"/>
      <c r="C341" s="320"/>
      <c r="D341" s="142"/>
      <c r="E341" s="320"/>
      <c r="F341" s="142"/>
      <c r="G341" s="320"/>
      <c r="H341" s="142"/>
      <c r="I341" s="320"/>
      <c r="J341" s="142"/>
      <c r="K341" s="320"/>
      <c r="L341" s="142"/>
      <c r="M341" s="320"/>
      <c r="N341" s="142"/>
      <c r="O341" s="320"/>
      <c r="P341" s="142"/>
      <c r="Q341" s="348"/>
      <c r="R341" s="28"/>
      <c r="S341" s="320"/>
      <c r="T341" s="142"/>
      <c r="U341" s="30"/>
      <c r="V341" s="30"/>
      <c r="W341" s="30"/>
      <c r="X341" s="30"/>
      <c r="Y341" s="30"/>
      <c r="Z341" s="30"/>
    </row>
    <row r="342">
      <c r="A342" s="320"/>
      <c r="B342" s="142"/>
      <c r="C342" s="320"/>
      <c r="D342" s="142"/>
      <c r="E342" s="320"/>
      <c r="F342" s="142"/>
      <c r="G342" s="320"/>
      <c r="H342" s="142"/>
      <c r="I342" s="320"/>
      <c r="J342" s="142"/>
      <c r="K342" s="320"/>
      <c r="L342" s="142"/>
      <c r="M342" s="320"/>
      <c r="N342" s="142"/>
      <c r="O342" s="320"/>
      <c r="P342" s="142"/>
      <c r="Q342" s="348"/>
      <c r="R342" s="28"/>
      <c r="S342" s="320"/>
      <c r="T342" s="142"/>
      <c r="U342" s="30"/>
      <c r="V342" s="30"/>
      <c r="W342" s="30"/>
      <c r="X342" s="30"/>
      <c r="Y342" s="30"/>
      <c r="Z342" s="30"/>
    </row>
    <row r="343">
      <c r="A343" s="320"/>
      <c r="B343" s="142"/>
      <c r="C343" s="320"/>
      <c r="D343" s="142"/>
      <c r="E343" s="320"/>
      <c r="F343" s="142"/>
      <c r="G343" s="320"/>
      <c r="H343" s="142"/>
      <c r="I343" s="320"/>
      <c r="J343" s="142"/>
      <c r="K343" s="320"/>
      <c r="L343" s="142"/>
      <c r="M343" s="320"/>
      <c r="N343" s="142"/>
      <c r="O343" s="320"/>
      <c r="P343" s="142"/>
      <c r="Q343" s="348"/>
      <c r="R343" s="28"/>
      <c r="S343" s="320"/>
      <c r="T343" s="142"/>
      <c r="U343" s="30"/>
      <c r="V343" s="30"/>
      <c r="W343" s="30"/>
      <c r="X343" s="30"/>
      <c r="Y343" s="30"/>
      <c r="Z343" s="30"/>
    </row>
    <row r="344">
      <c r="A344" s="320"/>
      <c r="B344" s="142"/>
      <c r="C344" s="320"/>
      <c r="D344" s="142"/>
      <c r="E344" s="320"/>
      <c r="F344" s="142"/>
      <c r="G344" s="320"/>
      <c r="H344" s="142"/>
      <c r="I344" s="320"/>
      <c r="J344" s="142"/>
      <c r="K344" s="320"/>
      <c r="L344" s="142"/>
      <c r="M344" s="320"/>
      <c r="N344" s="142"/>
      <c r="O344" s="320"/>
      <c r="P344" s="142"/>
      <c r="Q344" s="348"/>
      <c r="R344" s="28"/>
      <c r="S344" s="320"/>
      <c r="T344" s="142"/>
      <c r="U344" s="30"/>
      <c r="V344" s="30"/>
      <c r="W344" s="30"/>
      <c r="X344" s="30"/>
      <c r="Y344" s="30"/>
      <c r="Z344" s="30"/>
    </row>
    <row r="345">
      <c r="A345" s="320"/>
      <c r="B345" s="142"/>
      <c r="C345" s="320"/>
      <c r="D345" s="142"/>
      <c r="E345" s="320"/>
      <c r="F345" s="142"/>
      <c r="G345" s="320"/>
      <c r="H345" s="142"/>
      <c r="I345" s="320"/>
      <c r="J345" s="142"/>
      <c r="K345" s="320"/>
      <c r="L345" s="142"/>
      <c r="M345" s="320"/>
      <c r="N345" s="142"/>
      <c r="O345" s="320"/>
      <c r="P345" s="142"/>
      <c r="Q345" s="348"/>
      <c r="R345" s="28"/>
      <c r="S345" s="320"/>
      <c r="T345" s="142"/>
      <c r="U345" s="30"/>
      <c r="V345" s="30"/>
      <c r="W345" s="30"/>
      <c r="X345" s="30"/>
      <c r="Y345" s="30"/>
      <c r="Z345" s="30"/>
    </row>
    <row r="346">
      <c r="A346" s="320"/>
      <c r="B346" s="142"/>
      <c r="C346" s="320"/>
      <c r="D346" s="142"/>
      <c r="E346" s="320"/>
      <c r="F346" s="142"/>
      <c r="G346" s="320"/>
      <c r="H346" s="142"/>
      <c r="I346" s="320"/>
      <c r="J346" s="142"/>
      <c r="K346" s="320"/>
      <c r="L346" s="142"/>
      <c r="M346" s="320"/>
      <c r="N346" s="142"/>
      <c r="O346" s="320"/>
      <c r="P346" s="142"/>
      <c r="Q346" s="348"/>
      <c r="R346" s="28"/>
      <c r="S346" s="320"/>
      <c r="T346" s="142"/>
      <c r="U346" s="30"/>
      <c r="V346" s="30"/>
      <c r="W346" s="30"/>
      <c r="X346" s="30"/>
      <c r="Y346" s="30"/>
      <c r="Z346" s="30"/>
    </row>
    <row r="347">
      <c r="A347" s="320"/>
      <c r="B347" s="142"/>
      <c r="C347" s="320"/>
      <c r="D347" s="142"/>
      <c r="E347" s="320"/>
      <c r="F347" s="142"/>
      <c r="G347" s="320"/>
      <c r="H347" s="142"/>
      <c r="I347" s="320"/>
      <c r="J347" s="142"/>
      <c r="K347" s="320"/>
      <c r="L347" s="142"/>
      <c r="M347" s="320"/>
      <c r="N347" s="142"/>
      <c r="O347" s="320"/>
      <c r="P347" s="142"/>
      <c r="Q347" s="348"/>
      <c r="R347" s="28"/>
      <c r="S347" s="320"/>
      <c r="T347" s="142"/>
      <c r="U347" s="30"/>
      <c r="V347" s="30"/>
      <c r="W347" s="30"/>
      <c r="X347" s="30"/>
      <c r="Y347" s="30"/>
      <c r="Z347" s="30"/>
    </row>
    <row r="348">
      <c r="A348" s="320"/>
      <c r="B348" s="142"/>
      <c r="C348" s="320"/>
      <c r="D348" s="142"/>
      <c r="E348" s="320"/>
      <c r="F348" s="142"/>
      <c r="G348" s="320"/>
      <c r="H348" s="142"/>
      <c r="I348" s="320"/>
      <c r="J348" s="142"/>
      <c r="K348" s="320"/>
      <c r="L348" s="142"/>
      <c r="M348" s="320"/>
      <c r="N348" s="142"/>
      <c r="O348" s="320"/>
      <c r="P348" s="142"/>
      <c r="Q348" s="348"/>
      <c r="R348" s="28"/>
      <c r="S348" s="320"/>
      <c r="T348" s="142"/>
      <c r="U348" s="30"/>
      <c r="V348" s="30"/>
      <c r="W348" s="30"/>
      <c r="X348" s="30"/>
      <c r="Y348" s="30"/>
      <c r="Z348" s="30"/>
    </row>
    <row r="349">
      <c r="A349" s="320"/>
      <c r="B349" s="142"/>
      <c r="C349" s="320"/>
      <c r="D349" s="142"/>
      <c r="E349" s="320"/>
      <c r="F349" s="142"/>
      <c r="G349" s="320"/>
      <c r="H349" s="142"/>
      <c r="I349" s="320"/>
      <c r="J349" s="142"/>
      <c r="K349" s="320"/>
      <c r="L349" s="142"/>
      <c r="M349" s="320"/>
      <c r="N349" s="142"/>
      <c r="O349" s="320"/>
      <c r="P349" s="142"/>
      <c r="Q349" s="348"/>
      <c r="R349" s="28"/>
      <c r="S349" s="320"/>
      <c r="T349" s="142"/>
      <c r="U349" s="30"/>
      <c r="V349" s="30"/>
      <c r="W349" s="30"/>
      <c r="X349" s="30"/>
      <c r="Y349" s="30"/>
      <c r="Z349" s="30"/>
    </row>
    <row r="350">
      <c r="A350" s="320"/>
      <c r="B350" s="142"/>
      <c r="C350" s="320"/>
      <c r="D350" s="142"/>
      <c r="E350" s="320"/>
      <c r="F350" s="142"/>
      <c r="G350" s="320"/>
      <c r="H350" s="142"/>
      <c r="I350" s="320"/>
      <c r="J350" s="142"/>
      <c r="K350" s="320"/>
      <c r="L350" s="142"/>
      <c r="M350" s="320"/>
      <c r="N350" s="142"/>
      <c r="O350" s="320"/>
      <c r="P350" s="142"/>
      <c r="Q350" s="348"/>
      <c r="R350" s="28"/>
      <c r="S350" s="320"/>
      <c r="T350" s="142"/>
      <c r="U350" s="30"/>
      <c r="V350" s="30"/>
      <c r="W350" s="30"/>
      <c r="X350" s="30"/>
      <c r="Y350" s="30"/>
      <c r="Z350" s="30"/>
    </row>
    <row r="351">
      <c r="A351" s="320"/>
      <c r="B351" s="142"/>
      <c r="C351" s="320"/>
      <c r="D351" s="142"/>
      <c r="E351" s="320"/>
      <c r="F351" s="142"/>
      <c r="G351" s="320"/>
      <c r="H351" s="142"/>
      <c r="I351" s="320"/>
      <c r="J351" s="142"/>
      <c r="K351" s="320"/>
      <c r="L351" s="142"/>
      <c r="M351" s="320"/>
      <c r="N351" s="142"/>
      <c r="O351" s="320"/>
      <c r="P351" s="142"/>
      <c r="Q351" s="348"/>
      <c r="R351" s="28"/>
      <c r="S351" s="320"/>
      <c r="T351" s="142"/>
      <c r="U351" s="30"/>
      <c r="V351" s="30"/>
      <c r="W351" s="30"/>
      <c r="X351" s="30"/>
      <c r="Y351" s="30"/>
      <c r="Z351" s="30"/>
    </row>
    <row r="352">
      <c r="A352" s="320"/>
      <c r="B352" s="142"/>
      <c r="C352" s="320"/>
      <c r="D352" s="142"/>
      <c r="E352" s="320"/>
      <c r="F352" s="142"/>
      <c r="G352" s="320"/>
      <c r="H352" s="142"/>
      <c r="I352" s="320"/>
      <c r="J352" s="142"/>
      <c r="K352" s="320"/>
      <c r="L352" s="142"/>
      <c r="M352" s="320"/>
      <c r="N352" s="142"/>
      <c r="O352" s="320"/>
      <c r="P352" s="142"/>
      <c r="Q352" s="348"/>
      <c r="R352" s="28"/>
      <c r="S352" s="320"/>
      <c r="T352" s="142"/>
      <c r="U352" s="30"/>
      <c r="V352" s="30"/>
      <c r="W352" s="30"/>
      <c r="X352" s="30"/>
      <c r="Y352" s="30"/>
      <c r="Z352" s="30"/>
    </row>
    <row r="353">
      <c r="A353" s="320"/>
      <c r="B353" s="142"/>
      <c r="C353" s="320"/>
      <c r="D353" s="142"/>
      <c r="E353" s="320"/>
      <c r="F353" s="142"/>
      <c r="G353" s="320"/>
      <c r="H353" s="142"/>
      <c r="I353" s="320"/>
      <c r="J353" s="142"/>
      <c r="K353" s="320"/>
      <c r="L353" s="142"/>
      <c r="M353" s="320"/>
      <c r="N353" s="142"/>
      <c r="O353" s="320"/>
      <c r="P353" s="142"/>
      <c r="Q353" s="348"/>
      <c r="R353" s="28"/>
      <c r="S353" s="320"/>
      <c r="T353" s="142"/>
      <c r="U353" s="30"/>
      <c r="V353" s="30"/>
      <c r="W353" s="30"/>
      <c r="X353" s="30"/>
      <c r="Y353" s="30"/>
      <c r="Z353" s="30"/>
    </row>
    <row r="354">
      <c r="A354" s="320"/>
      <c r="B354" s="142"/>
      <c r="C354" s="320"/>
      <c r="D354" s="142"/>
      <c r="E354" s="320"/>
      <c r="F354" s="142"/>
      <c r="G354" s="320"/>
      <c r="H354" s="142"/>
      <c r="I354" s="320"/>
      <c r="J354" s="142"/>
      <c r="K354" s="320"/>
      <c r="L354" s="142"/>
      <c r="M354" s="320"/>
      <c r="N354" s="142"/>
      <c r="O354" s="320"/>
      <c r="P354" s="142"/>
      <c r="Q354" s="348"/>
      <c r="R354" s="28"/>
      <c r="S354" s="320"/>
      <c r="T354" s="142"/>
      <c r="U354" s="30"/>
      <c r="V354" s="30"/>
      <c r="W354" s="30"/>
      <c r="X354" s="30"/>
      <c r="Y354" s="30"/>
      <c r="Z354" s="30"/>
    </row>
    <row r="355">
      <c r="A355" s="320"/>
      <c r="B355" s="142"/>
      <c r="C355" s="320"/>
      <c r="D355" s="142"/>
      <c r="E355" s="320"/>
      <c r="F355" s="142"/>
      <c r="G355" s="320"/>
      <c r="H355" s="142"/>
      <c r="I355" s="320"/>
      <c r="J355" s="142"/>
      <c r="K355" s="320"/>
      <c r="L355" s="142"/>
      <c r="M355" s="320"/>
      <c r="N355" s="142"/>
      <c r="O355" s="320"/>
      <c r="P355" s="142"/>
      <c r="Q355" s="348"/>
      <c r="R355" s="28"/>
      <c r="S355" s="320"/>
      <c r="T355" s="142"/>
      <c r="U355" s="30"/>
      <c r="V355" s="30"/>
      <c r="W355" s="30"/>
      <c r="X355" s="30"/>
      <c r="Y355" s="30"/>
      <c r="Z355" s="30"/>
    </row>
    <row r="356">
      <c r="A356" s="320"/>
      <c r="B356" s="142"/>
      <c r="C356" s="320"/>
      <c r="D356" s="142"/>
      <c r="E356" s="320"/>
      <c r="F356" s="142"/>
      <c r="G356" s="320"/>
      <c r="H356" s="142"/>
      <c r="I356" s="320"/>
      <c r="J356" s="142"/>
      <c r="K356" s="320"/>
      <c r="L356" s="142"/>
      <c r="M356" s="320"/>
      <c r="N356" s="142"/>
      <c r="O356" s="320"/>
      <c r="P356" s="142"/>
      <c r="Q356" s="348"/>
      <c r="R356" s="28"/>
      <c r="S356" s="320"/>
      <c r="T356" s="142"/>
      <c r="U356" s="30"/>
      <c r="V356" s="30"/>
      <c r="W356" s="30"/>
      <c r="X356" s="30"/>
      <c r="Y356" s="30"/>
      <c r="Z356" s="30"/>
    </row>
    <row r="357">
      <c r="A357" s="320"/>
      <c r="B357" s="142"/>
      <c r="C357" s="320"/>
      <c r="D357" s="142"/>
      <c r="E357" s="320"/>
      <c r="F357" s="142"/>
      <c r="G357" s="320"/>
      <c r="H357" s="142"/>
      <c r="I357" s="320"/>
      <c r="J357" s="142"/>
      <c r="K357" s="320"/>
      <c r="L357" s="142"/>
      <c r="M357" s="320"/>
      <c r="N357" s="142"/>
      <c r="O357" s="320"/>
      <c r="P357" s="142"/>
      <c r="Q357" s="348"/>
      <c r="R357" s="28"/>
      <c r="S357" s="320"/>
      <c r="T357" s="142"/>
      <c r="U357" s="30"/>
      <c r="V357" s="30"/>
      <c r="W357" s="30"/>
      <c r="X357" s="30"/>
      <c r="Y357" s="30"/>
      <c r="Z357" s="30"/>
    </row>
    <row r="358">
      <c r="A358" s="320"/>
      <c r="B358" s="142"/>
      <c r="C358" s="320"/>
      <c r="D358" s="142"/>
      <c r="E358" s="320"/>
      <c r="F358" s="142"/>
      <c r="G358" s="320"/>
      <c r="H358" s="142"/>
      <c r="I358" s="320"/>
      <c r="J358" s="142"/>
      <c r="K358" s="320"/>
      <c r="L358" s="142"/>
      <c r="M358" s="320"/>
      <c r="N358" s="142"/>
      <c r="O358" s="320"/>
      <c r="P358" s="142"/>
      <c r="Q358" s="348"/>
      <c r="R358" s="28"/>
      <c r="S358" s="320"/>
      <c r="T358" s="142"/>
      <c r="U358" s="30"/>
      <c r="V358" s="30"/>
      <c r="W358" s="30"/>
      <c r="X358" s="30"/>
      <c r="Y358" s="30"/>
      <c r="Z358" s="30"/>
    </row>
    <row r="359">
      <c r="A359" s="320"/>
      <c r="B359" s="142"/>
      <c r="C359" s="320"/>
      <c r="D359" s="142"/>
      <c r="E359" s="320"/>
      <c r="F359" s="142"/>
      <c r="G359" s="320"/>
      <c r="H359" s="142"/>
      <c r="I359" s="320"/>
      <c r="J359" s="142"/>
      <c r="K359" s="320"/>
      <c r="L359" s="142"/>
      <c r="M359" s="320"/>
      <c r="N359" s="142"/>
      <c r="O359" s="320"/>
      <c r="P359" s="142"/>
      <c r="Q359" s="348"/>
      <c r="R359" s="28"/>
      <c r="S359" s="320"/>
      <c r="T359" s="142"/>
      <c r="U359" s="30"/>
      <c r="V359" s="30"/>
      <c r="W359" s="30"/>
      <c r="X359" s="30"/>
      <c r="Y359" s="30"/>
      <c r="Z359" s="30"/>
    </row>
    <row r="360">
      <c r="A360" s="320"/>
      <c r="B360" s="142"/>
      <c r="C360" s="320"/>
      <c r="D360" s="142"/>
      <c r="E360" s="320"/>
      <c r="F360" s="142"/>
      <c r="G360" s="320"/>
      <c r="H360" s="142"/>
      <c r="I360" s="320"/>
      <c r="J360" s="142"/>
      <c r="K360" s="320"/>
      <c r="L360" s="142"/>
      <c r="M360" s="320"/>
      <c r="N360" s="142"/>
      <c r="O360" s="320"/>
      <c r="P360" s="142"/>
      <c r="Q360" s="348"/>
      <c r="R360" s="28"/>
      <c r="S360" s="320"/>
      <c r="T360" s="142"/>
      <c r="U360" s="30"/>
      <c r="V360" s="30"/>
      <c r="W360" s="30"/>
      <c r="X360" s="30"/>
      <c r="Y360" s="30"/>
      <c r="Z360" s="30"/>
    </row>
    <row r="361">
      <c r="A361" s="320"/>
      <c r="B361" s="142"/>
      <c r="C361" s="320"/>
      <c r="D361" s="142"/>
      <c r="E361" s="320"/>
      <c r="F361" s="142"/>
      <c r="G361" s="320"/>
      <c r="H361" s="142"/>
      <c r="I361" s="320"/>
      <c r="J361" s="142"/>
      <c r="K361" s="320"/>
      <c r="L361" s="142"/>
      <c r="M361" s="320"/>
      <c r="N361" s="142"/>
      <c r="O361" s="320"/>
      <c r="P361" s="142"/>
      <c r="Q361" s="348"/>
      <c r="R361" s="28"/>
      <c r="S361" s="320"/>
      <c r="T361" s="142"/>
      <c r="U361" s="30"/>
      <c r="V361" s="30"/>
      <c r="W361" s="30"/>
      <c r="X361" s="30"/>
      <c r="Y361" s="30"/>
      <c r="Z361" s="30"/>
    </row>
    <row r="362">
      <c r="A362" s="320"/>
      <c r="B362" s="142"/>
      <c r="C362" s="320"/>
      <c r="D362" s="142"/>
      <c r="E362" s="320"/>
      <c r="F362" s="142"/>
      <c r="G362" s="320"/>
      <c r="H362" s="142"/>
      <c r="I362" s="320"/>
      <c r="J362" s="142"/>
      <c r="K362" s="320"/>
      <c r="L362" s="142"/>
      <c r="M362" s="320"/>
      <c r="N362" s="142"/>
      <c r="O362" s="320"/>
      <c r="P362" s="142"/>
      <c r="Q362" s="348"/>
      <c r="R362" s="28"/>
      <c r="S362" s="320"/>
      <c r="T362" s="142"/>
      <c r="U362" s="30"/>
      <c r="V362" s="30"/>
      <c r="W362" s="30"/>
      <c r="X362" s="30"/>
      <c r="Y362" s="30"/>
      <c r="Z362" s="30"/>
    </row>
    <row r="363">
      <c r="A363" s="320"/>
      <c r="B363" s="142"/>
      <c r="C363" s="320"/>
      <c r="D363" s="142"/>
      <c r="E363" s="320"/>
      <c r="F363" s="142"/>
      <c r="G363" s="320"/>
      <c r="H363" s="142"/>
      <c r="I363" s="320"/>
      <c r="J363" s="142"/>
      <c r="K363" s="320"/>
      <c r="L363" s="142"/>
      <c r="M363" s="320"/>
      <c r="N363" s="142"/>
      <c r="O363" s="320"/>
      <c r="P363" s="142"/>
      <c r="Q363" s="348"/>
      <c r="R363" s="28"/>
      <c r="S363" s="320"/>
      <c r="T363" s="142"/>
      <c r="U363" s="30"/>
      <c r="V363" s="30"/>
      <c r="W363" s="30"/>
      <c r="X363" s="30"/>
      <c r="Y363" s="30"/>
      <c r="Z363" s="30"/>
    </row>
    <row r="364">
      <c r="A364" s="320"/>
      <c r="B364" s="142"/>
      <c r="C364" s="320"/>
      <c r="D364" s="142"/>
      <c r="E364" s="320"/>
      <c r="F364" s="142"/>
      <c r="G364" s="320"/>
      <c r="H364" s="142"/>
      <c r="I364" s="320"/>
      <c r="J364" s="142"/>
      <c r="K364" s="320"/>
      <c r="L364" s="142"/>
      <c r="M364" s="320"/>
      <c r="N364" s="142"/>
      <c r="O364" s="320"/>
      <c r="P364" s="142"/>
      <c r="Q364" s="348"/>
      <c r="R364" s="28"/>
      <c r="S364" s="320"/>
      <c r="T364" s="142"/>
      <c r="U364" s="30"/>
      <c r="V364" s="30"/>
      <c r="W364" s="30"/>
      <c r="X364" s="30"/>
      <c r="Y364" s="30"/>
      <c r="Z364" s="30"/>
    </row>
    <row r="365">
      <c r="A365" s="320"/>
      <c r="B365" s="142"/>
      <c r="C365" s="320"/>
      <c r="D365" s="142"/>
      <c r="E365" s="320"/>
      <c r="F365" s="142"/>
      <c r="G365" s="320"/>
      <c r="H365" s="142"/>
      <c r="I365" s="320"/>
      <c r="J365" s="142"/>
      <c r="K365" s="320"/>
      <c r="L365" s="142"/>
      <c r="M365" s="320"/>
      <c r="N365" s="142"/>
      <c r="O365" s="320"/>
      <c r="P365" s="142"/>
      <c r="Q365" s="348"/>
      <c r="R365" s="28"/>
      <c r="S365" s="320"/>
      <c r="T365" s="142"/>
      <c r="U365" s="30"/>
      <c r="V365" s="30"/>
      <c r="W365" s="30"/>
      <c r="X365" s="30"/>
      <c r="Y365" s="30"/>
      <c r="Z365" s="30"/>
    </row>
    <row r="366">
      <c r="A366" s="320"/>
      <c r="B366" s="142"/>
      <c r="C366" s="320"/>
      <c r="D366" s="142"/>
      <c r="E366" s="320"/>
      <c r="F366" s="142"/>
      <c r="G366" s="320"/>
      <c r="H366" s="142"/>
      <c r="I366" s="320"/>
      <c r="J366" s="142"/>
      <c r="K366" s="320"/>
      <c r="L366" s="142"/>
      <c r="M366" s="320"/>
      <c r="N366" s="142"/>
      <c r="O366" s="320"/>
      <c r="P366" s="142"/>
      <c r="Q366" s="348"/>
      <c r="R366" s="28"/>
      <c r="S366" s="320"/>
      <c r="T366" s="142"/>
      <c r="U366" s="30"/>
      <c r="V366" s="30"/>
      <c r="W366" s="30"/>
      <c r="X366" s="30"/>
      <c r="Y366" s="30"/>
      <c r="Z366" s="30"/>
    </row>
    <row r="367">
      <c r="A367" s="320"/>
      <c r="B367" s="142"/>
      <c r="C367" s="320"/>
      <c r="D367" s="142"/>
      <c r="E367" s="320"/>
      <c r="F367" s="142"/>
      <c r="G367" s="320"/>
      <c r="H367" s="142"/>
      <c r="I367" s="320"/>
      <c r="J367" s="142"/>
      <c r="K367" s="320"/>
      <c r="L367" s="142"/>
      <c r="M367" s="320"/>
      <c r="N367" s="142"/>
      <c r="O367" s="320"/>
      <c r="P367" s="142"/>
      <c r="Q367" s="348"/>
      <c r="R367" s="28"/>
      <c r="S367" s="320"/>
      <c r="T367" s="142"/>
      <c r="U367" s="30"/>
      <c r="V367" s="30"/>
      <c r="W367" s="30"/>
      <c r="X367" s="30"/>
      <c r="Y367" s="30"/>
      <c r="Z367" s="30"/>
    </row>
    <row r="368">
      <c r="A368" s="320"/>
      <c r="B368" s="142"/>
      <c r="C368" s="320"/>
      <c r="D368" s="142"/>
      <c r="E368" s="320"/>
      <c r="F368" s="142"/>
      <c r="G368" s="320"/>
      <c r="H368" s="142"/>
      <c r="I368" s="320"/>
      <c r="J368" s="142"/>
      <c r="K368" s="320"/>
      <c r="L368" s="142"/>
      <c r="M368" s="320"/>
      <c r="N368" s="142"/>
      <c r="O368" s="320"/>
      <c r="P368" s="142"/>
      <c r="Q368" s="348"/>
      <c r="R368" s="28"/>
      <c r="S368" s="320"/>
      <c r="T368" s="142"/>
      <c r="U368" s="30"/>
      <c r="V368" s="30"/>
      <c r="W368" s="30"/>
      <c r="X368" s="30"/>
      <c r="Y368" s="30"/>
      <c r="Z368" s="30"/>
    </row>
    <row r="369">
      <c r="A369" s="320"/>
      <c r="B369" s="142"/>
      <c r="C369" s="320"/>
      <c r="D369" s="142"/>
      <c r="E369" s="320"/>
      <c r="F369" s="142"/>
      <c r="G369" s="320"/>
      <c r="H369" s="142"/>
      <c r="I369" s="320"/>
      <c r="J369" s="142"/>
      <c r="K369" s="320"/>
      <c r="L369" s="142"/>
      <c r="M369" s="320"/>
      <c r="N369" s="142"/>
      <c r="O369" s="320"/>
      <c r="P369" s="142"/>
      <c r="Q369" s="348"/>
      <c r="R369" s="28"/>
      <c r="S369" s="320"/>
      <c r="T369" s="142"/>
      <c r="U369" s="30"/>
      <c r="V369" s="30"/>
      <c r="W369" s="30"/>
      <c r="X369" s="30"/>
      <c r="Y369" s="30"/>
      <c r="Z369" s="30"/>
    </row>
    <row r="370">
      <c r="A370" s="320"/>
      <c r="B370" s="142"/>
      <c r="C370" s="320"/>
      <c r="D370" s="142"/>
      <c r="E370" s="320"/>
      <c r="F370" s="142"/>
      <c r="G370" s="320"/>
      <c r="H370" s="142"/>
      <c r="I370" s="320"/>
      <c r="J370" s="142"/>
      <c r="K370" s="320"/>
      <c r="L370" s="142"/>
      <c r="M370" s="320"/>
      <c r="N370" s="142"/>
      <c r="O370" s="320"/>
      <c r="P370" s="142"/>
      <c r="Q370" s="348"/>
      <c r="R370" s="28"/>
      <c r="S370" s="320"/>
      <c r="T370" s="142"/>
      <c r="U370" s="30"/>
      <c r="V370" s="30"/>
      <c r="W370" s="30"/>
      <c r="X370" s="30"/>
      <c r="Y370" s="30"/>
      <c r="Z370" s="30"/>
    </row>
    <row r="371">
      <c r="A371" s="320"/>
      <c r="B371" s="142"/>
      <c r="C371" s="320"/>
      <c r="D371" s="142"/>
      <c r="E371" s="320"/>
      <c r="F371" s="142"/>
      <c r="G371" s="320"/>
      <c r="H371" s="142"/>
      <c r="I371" s="320"/>
      <c r="J371" s="142"/>
      <c r="K371" s="320"/>
      <c r="L371" s="142"/>
      <c r="M371" s="320"/>
      <c r="N371" s="142"/>
      <c r="O371" s="320"/>
      <c r="P371" s="142"/>
      <c r="Q371" s="348"/>
      <c r="R371" s="28"/>
      <c r="S371" s="320"/>
      <c r="T371" s="142"/>
      <c r="U371" s="30"/>
      <c r="V371" s="30"/>
      <c r="W371" s="30"/>
      <c r="X371" s="30"/>
      <c r="Y371" s="30"/>
      <c r="Z371" s="30"/>
    </row>
    <row r="372">
      <c r="A372" s="320"/>
      <c r="B372" s="142"/>
      <c r="C372" s="320"/>
      <c r="D372" s="142"/>
      <c r="E372" s="320"/>
      <c r="F372" s="142"/>
      <c r="G372" s="320"/>
      <c r="H372" s="142"/>
      <c r="I372" s="320"/>
      <c r="J372" s="142"/>
      <c r="K372" s="320"/>
      <c r="L372" s="142"/>
      <c r="M372" s="320"/>
      <c r="N372" s="142"/>
      <c r="O372" s="320"/>
      <c r="P372" s="142"/>
      <c r="Q372" s="348"/>
      <c r="R372" s="28"/>
      <c r="S372" s="320"/>
      <c r="T372" s="142"/>
      <c r="U372" s="30"/>
      <c r="V372" s="30"/>
      <c r="W372" s="30"/>
      <c r="X372" s="30"/>
      <c r="Y372" s="30"/>
      <c r="Z372" s="30"/>
    </row>
    <row r="373">
      <c r="A373" s="320"/>
      <c r="B373" s="142"/>
      <c r="C373" s="320"/>
      <c r="D373" s="142"/>
      <c r="E373" s="320"/>
      <c r="F373" s="142"/>
      <c r="G373" s="320"/>
      <c r="H373" s="142"/>
      <c r="I373" s="320"/>
      <c r="J373" s="142"/>
      <c r="K373" s="320"/>
      <c r="L373" s="142"/>
      <c r="M373" s="320"/>
      <c r="N373" s="142"/>
      <c r="O373" s="320"/>
      <c r="P373" s="142"/>
      <c r="Q373" s="348"/>
      <c r="R373" s="28"/>
      <c r="S373" s="320"/>
      <c r="T373" s="142"/>
      <c r="U373" s="30"/>
      <c r="V373" s="30"/>
      <c r="W373" s="30"/>
      <c r="X373" s="30"/>
      <c r="Y373" s="30"/>
      <c r="Z373" s="30"/>
    </row>
    <row r="374">
      <c r="A374" s="320"/>
      <c r="B374" s="142"/>
      <c r="C374" s="320"/>
      <c r="D374" s="142"/>
      <c r="E374" s="320"/>
      <c r="F374" s="142"/>
      <c r="G374" s="320"/>
      <c r="H374" s="142"/>
      <c r="I374" s="320"/>
      <c r="J374" s="142"/>
      <c r="K374" s="320"/>
      <c r="L374" s="142"/>
      <c r="M374" s="320"/>
      <c r="N374" s="142"/>
      <c r="O374" s="320"/>
      <c r="P374" s="142"/>
      <c r="Q374" s="348"/>
      <c r="R374" s="28"/>
      <c r="S374" s="320"/>
      <c r="T374" s="142"/>
      <c r="U374" s="30"/>
      <c r="V374" s="30"/>
      <c r="W374" s="30"/>
      <c r="X374" s="30"/>
      <c r="Y374" s="30"/>
      <c r="Z374" s="30"/>
    </row>
    <row r="375">
      <c r="A375" s="320"/>
      <c r="B375" s="142"/>
      <c r="C375" s="320"/>
      <c r="D375" s="142"/>
      <c r="E375" s="320"/>
      <c r="F375" s="142"/>
      <c r="G375" s="320"/>
      <c r="H375" s="142"/>
      <c r="I375" s="320"/>
      <c r="J375" s="142"/>
      <c r="K375" s="320"/>
      <c r="L375" s="142"/>
      <c r="M375" s="320"/>
      <c r="N375" s="142"/>
      <c r="O375" s="320"/>
      <c r="P375" s="142"/>
      <c r="Q375" s="348"/>
      <c r="R375" s="28"/>
      <c r="S375" s="320"/>
      <c r="T375" s="142"/>
      <c r="U375" s="30"/>
      <c r="V375" s="30"/>
      <c r="W375" s="30"/>
      <c r="X375" s="30"/>
      <c r="Y375" s="30"/>
      <c r="Z375" s="30"/>
    </row>
    <row r="376">
      <c r="A376" s="320"/>
      <c r="B376" s="142"/>
      <c r="C376" s="320"/>
      <c r="D376" s="142"/>
      <c r="E376" s="320"/>
      <c r="F376" s="142"/>
      <c r="G376" s="320"/>
      <c r="H376" s="142"/>
      <c r="I376" s="320"/>
      <c r="J376" s="142"/>
      <c r="K376" s="320"/>
      <c r="L376" s="142"/>
      <c r="M376" s="320"/>
      <c r="N376" s="142"/>
      <c r="O376" s="320"/>
      <c r="P376" s="142"/>
      <c r="Q376" s="348"/>
      <c r="R376" s="28"/>
      <c r="S376" s="320"/>
      <c r="T376" s="142"/>
      <c r="U376" s="30"/>
      <c r="V376" s="30"/>
      <c r="W376" s="30"/>
      <c r="X376" s="30"/>
      <c r="Y376" s="30"/>
      <c r="Z376" s="30"/>
    </row>
    <row r="377">
      <c r="A377" s="320"/>
      <c r="B377" s="142"/>
      <c r="C377" s="320"/>
      <c r="D377" s="142"/>
      <c r="E377" s="320"/>
      <c r="F377" s="142"/>
      <c r="G377" s="320"/>
      <c r="H377" s="142"/>
      <c r="I377" s="320"/>
      <c r="J377" s="142"/>
      <c r="K377" s="320"/>
      <c r="L377" s="142"/>
      <c r="M377" s="320"/>
      <c r="N377" s="142"/>
      <c r="O377" s="320"/>
      <c r="P377" s="142"/>
      <c r="Q377" s="348"/>
      <c r="R377" s="28"/>
      <c r="S377" s="320"/>
      <c r="T377" s="142"/>
      <c r="U377" s="30"/>
      <c r="V377" s="30"/>
      <c r="W377" s="30"/>
      <c r="X377" s="30"/>
      <c r="Y377" s="30"/>
      <c r="Z377" s="30"/>
    </row>
    <row r="378">
      <c r="A378" s="320"/>
      <c r="B378" s="142"/>
      <c r="C378" s="320"/>
      <c r="D378" s="142"/>
      <c r="E378" s="320"/>
      <c r="F378" s="142"/>
      <c r="G378" s="320"/>
      <c r="H378" s="142"/>
      <c r="I378" s="320"/>
      <c r="J378" s="142"/>
      <c r="K378" s="320"/>
      <c r="L378" s="142"/>
      <c r="M378" s="320"/>
      <c r="N378" s="142"/>
      <c r="O378" s="320"/>
      <c r="P378" s="142"/>
      <c r="Q378" s="348"/>
      <c r="R378" s="28"/>
      <c r="S378" s="320"/>
      <c r="T378" s="142"/>
      <c r="U378" s="30"/>
      <c r="V378" s="30"/>
      <c r="W378" s="30"/>
      <c r="X378" s="30"/>
      <c r="Y378" s="30"/>
      <c r="Z378" s="30"/>
    </row>
    <row r="379">
      <c r="A379" s="320"/>
      <c r="B379" s="142"/>
      <c r="C379" s="320"/>
      <c r="D379" s="142"/>
      <c r="E379" s="320"/>
      <c r="F379" s="142"/>
      <c r="G379" s="320"/>
      <c r="H379" s="142"/>
      <c r="I379" s="320"/>
      <c r="J379" s="142"/>
      <c r="K379" s="320"/>
      <c r="L379" s="142"/>
      <c r="M379" s="320"/>
      <c r="N379" s="142"/>
      <c r="O379" s="320"/>
      <c r="P379" s="142"/>
      <c r="Q379" s="348"/>
      <c r="R379" s="28"/>
      <c r="S379" s="320"/>
      <c r="T379" s="142"/>
      <c r="U379" s="30"/>
      <c r="V379" s="30"/>
      <c r="W379" s="30"/>
      <c r="X379" s="30"/>
      <c r="Y379" s="30"/>
      <c r="Z379" s="30"/>
    </row>
    <row r="380">
      <c r="A380" s="320"/>
      <c r="B380" s="142"/>
      <c r="C380" s="320"/>
      <c r="D380" s="142"/>
      <c r="E380" s="320"/>
      <c r="F380" s="142"/>
      <c r="G380" s="320"/>
      <c r="H380" s="142"/>
      <c r="I380" s="320"/>
      <c r="J380" s="142"/>
      <c r="K380" s="320"/>
      <c r="L380" s="142"/>
      <c r="M380" s="320"/>
      <c r="N380" s="142"/>
      <c r="O380" s="320"/>
      <c r="P380" s="142"/>
      <c r="Q380" s="348"/>
      <c r="R380" s="28"/>
      <c r="S380" s="320"/>
      <c r="T380" s="142"/>
      <c r="U380" s="30"/>
      <c r="V380" s="30"/>
      <c r="W380" s="30"/>
      <c r="X380" s="30"/>
      <c r="Y380" s="30"/>
      <c r="Z380" s="30"/>
    </row>
    <row r="381">
      <c r="A381" s="320"/>
      <c r="B381" s="142"/>
      <c r="C381" s="320"/>
      <c r="D381" s="142"/>
      <c r="E381" s="320"/>
      <c r="F381" s="142"/>
      <c r="G381" s="320"/>
      <c r="H381" s="142"/>
      <c r="I381" s="320"/>
      <c r="J381" s="142"/>
      <c r="K381" s="320"/>
      <c r="L381" s="142"/>
      <c r="M381" s="320"/>
      <c r="N381" s="142"/>
      <c r="O381" s="320"/>
      <c r="P381" s="142"/>
      <c r="Q381" s="348"/>
      <c r="R381" s="28"/>
      <c r="S381" s="320"/>
      <c r="T381" s="142"/>
      <c r="U381" s="30"/>
      <c r="V381" s="30"/>
      <c r="W381" s="30"/>
      <c r="X381" s="30"/>
      <c r="Y381" s="30"/>
      <c r="Z381" s="30"/>
    </row>
    <row r="382">
      <c r="A382" s="320"/>
      <c r="B382" s="142"/>
      <c r="C382" s="320"/>
      <c r="D382" s="142"/>
      <c r="E382" s="320"/>
      <c r="F382" s="142"/>
      <c r="G382" s="320"/>
      <c r="H382" s="142"/>
      <c r="I382" s="320"/>
      <c r="J382" s="142"/>
      <c r="K382" s="320"/>
      <c r="L382" s="142"/>
      <c r="M382" s="320"/>
      <c r="N382" s="142"/>
      <c r="O382" s="320"/>
      <c r="P382" s="142"/>
      <c r="Q382" s="348"/>
      <c r="R382" s="28"/>
      <c r="S382" s="320"/>
      <c r="T382" s="142"/>
      <c r="U382" s="30"/>
      <c r="V382" s="30"/>
      <c r="W382" s="30"/>
      <c r="X382" s="30"/>
      <c r="Y382" s="30"/>
      <c r="Z382" s="30"/>
    </row>
    <row r="383">
      <c r="A383" s="320"/>
      <c r="B383" s="142"/>
      <c r="C383" s="320"/>
      <c r="D383" s="142"/>
      <c r="E383" s="320"/>
      <c r="F383" s="142"/>
      <c r="G383" s="320"/>
      <c r="H383" s="142"/>
      <c r="I383" s="320"/>
      <c r="J383" s="142"/>
      <c r="K383" s="320"/>
      <c r="L383" s="142"/>
      <c r="M383" s="320"/>
      <c r="N383" s="142"/>
      <c r="O383" s="320"/>
      <c r="P383" s="142"/>
      <c r="Q383" s="348"/>
      <c r="R383" s="28"/>
      <c r="S383" s="320"/>
      <c r="T383" s="142"/>
      <c r="U383" s="30"/>
      <c r="V383" s="30"/>
      <c r="W383" s="30"/>
      <c r="X383" s="30"/>
      <c r="Y383" s="30"/>
      <c r="Z383" s="30"/>
    </row>
    <row r="384">
      <c r="A384" s="320"/>
      <c r="B384" s="142"/>
      <c r="C384" s="320"/>
      <c r="D384" s="142"/>
      <c r="E384" s="320"/>
      <c r="F384" s="142"/>
      <c r="G384" s="320"/>
      <c r="H384" s="142"/>
      <c r="I384" s="320"/>
      <c r="J384" s="142"/>
      <c r="K384" s="320"/>
      <c r="L384" s="142"/>
      <c r="M384" s="320"/>
      <c r="N384" s="142"/>
      <c r="O384" s="320"/>
      <c r="P384" s="142"/>
      <c r="Q384" s="348"/>
      <c r="R384" s="28"/>
      <c r="S384" s="320"/>
      <c r="T384" s="142"/>
      <c r="U384" s="30"/>
      <c r="V384" s="30"/>
      <c r="W384" s="30"/>
      <c r="X384" s="30"/>
      <c r="Y384" s="30"/>
      <c r="Z384" s="30"/>
    </row>
    <row r="385">
      <c r="A385" s="320"/>
      <c r="B385" s="142"/>
      <c r="C385" s="320"/>
      <c r="D385" s="142"/>
      <c r="E385" s="320"/>
      <c r="F385" s="142"/>
      <c r="G385" s="320"/>
      <c r="H385" s="142"/>
      <c r="I385" s="320"/>
      <c r="J385" s="142"/>
      <c r="K385" s="320"/>
      <c r="L385" s="142"/>
      <c r="M385" s="320"/>
      <c r="N385" s="142"/>
      <c r="O385" s="320"/>
      <c r="P385" s="142"/>
      <c r="Q385" s="348"/>
      <c r="R385" s="28"/>
      <c r="S385" s="320"/>
      <c r="T385" s="142"/>
      <c r="U385" s="30"/>
      <c r="V385" s="30"/>
      <c r="W385" s="30"/>
      <c r="X385" s="30"/>
      <c r="Y385" s="30"/>
      <c r="Z385" s="30"/>
    </row>
    <row r="386">
      <c r="A386" s="320"/>
      <c r="B386" s="142"/>
      <c r="C386" s="320"/>
      <c r="D386" s="142"/>
      <c r="E386" s="320"/>
      <c r="F386" s="142"/>
      <c r="G386" s="320"/>
      <c r="H386" s="142"/>
      <c r="I386" s="320"/>
      <c r="J386" s="142"/>
      <c r="K386" s="320"/>
      <c r="L386" s="142"/>
      <c r="M386" s="320"/>
      <c r="N386" s="142"/>
      <c r="O386" s="320"/>
      <c r="P386" s="142"/>
      <c r="Q386" s="348"/>
      <c r="R386" s="28"/>
      <c r="S386" s="320"/>
      <c r="T386" s="142"/>
      <c r="U386" s="30"/>
      <c r="V386" s="30"/>
      <c r="W386" s="30"/>
      <c r="X386" s="30"/>
      <c r="Y386" s="30"/>
      <c r="Z386" s="30"/>
    </row>
    <row r="387">
      <c r="A387" s="320"/>
      <c r="B387" s="142"/>
      <c r="C387" s="320"/>
      <c r="D387" s="142"/>
      <c r="E387" s="320"/>
      <c r="F387" s="142"/>
      <c r="G387" s="320"/>
      <c r="H387" s="142"/>
      <c r="I387" s="320"/>
      <c r="J387" s="142"/>
      <c r="K387" s="320"/>
      <c r="L387" s="142"/>
      <c r="M387" s="320"/>
      <c r="N387" s="142"/>
      <c r="O387" s="320"/>
      <c r="P387" s="142"/>
      <c r="Q387" s="348"/>
      <c r="R387" s="28"/>
      <c r="S387" s="320"/>
      <c r="T387" s="142"/>
      <c r="U387" s="30"/>
      <c r="V387" s="30"/>
      <c r="W387" s="30"/>
      <c r="X387" s="30"/>
      <c r="Y387" s="30"/>
      <c r="Z387" s="30"/>
    </row>
    <row r="388">
      <c r="A388" s="320"/>
      <c r="B388" s="142"/>
      <c r="C388" s="320"/>
      <c r="D388" s="142"/>
      <c r="E388" s="320"/>
      <c r="F388" s="142"/>
      <c r="G388" s="320"/>
      <c r="H388" s="142"/>
      <c r="I388" s="320"/>
      <c r="J388" s="142"/>
      <c r="K388" s="320"/>
      <c r="L388" s="142"/>
      <c r="M388" s="320"/>
      <c r="N388" s="142"/>
      <c r="O388" s="320"/>
      <c r="P388" s="142"/>
      <c r="Q388" s="348"/>
      <c r="R388" s="28"/>
      <c r="S388" s="320"/>
      <c r="T388" s="142"/>
      <c r="U388" s="30"/>
      <c r="V388" s="30"/>
      <c r="W388" s="30"/>
      <c r="X388" s="30"/>
      <c r="Y388" s="30"/>
      <c r="Z388" s="30"/>
    </row>
    <row r="389">
      <c r="A389" s="320"/>
      <c r="B389" s="142"/>
      <c r="C389" s="320"/>
      <c r="D389" s="142"/>
      <c r="E389" s="320"/>
      <c r="F389" s="142"/>
      <c r="G389" s="320"/>
      <c r="H389" s="142"/>
      <c r="I389" s="320"/>
      <c r="J389" s="142"/>
      <c r="K389" s="320"/>
      <c r="L389" s="142"/>
      <c r="M389" s="320"/>
      <c r="N389" s="142"/>
      <c r="O389" s="320"/>
      <c r="P389" s="142"/>
      <c r="Q389" s="348"/>
      <c r="R389" s="28"/>
      <c r="S389" s="320"/>
      <c r="T389" s="142"/>
      <c r="U389" s="30"/>
      <c r="V389" s="30"/>
      <c r="W389" s="30"/>
      <c r="X389" s="30"/>
      <c r="Y389" s="30"/>
      <c r="Z389" s="30"/>
    </row>
    <row r="390">
      <c r="A390" s="320"/>
      <c r="B390" s="142"/>
      <c r="C390" s="320"/>
      <c r="D390" s="142"/>
      <c r="E390" s="320"/>
      <c r="F390" s="142"/>
      <c r="G390" s="320"/>
      <c r="H390" s="142"/>
      <c r="I390" s="320"/>
      <c r="J390" s="142"/>
      <c r="K390" s="320"/>
      <c r="L390" s="142"/>
      <c r="M390" s="320"/>
      <c r="N390" s="142"/>
      <c r="O390" s="320"/>
      <c r="P390" s="142"/>
      <c r="Q390" s="348"/>
      <c r="R390" s="28"/>
      <c r="S390" s="320"/>
      <c r="T390" s="142"/>
      <c r="U390" s="30"/>
      <c r="V390" s="30"/>
      <c r="W390" s="30"/>
      <c r="X390" s="30"/>
      <c r="Y390" s="30"/>
      <c r="Z390" s="30"/>
    </row>
    <row r="391">
      <c r="A391" s="320"/>
      <c r="B391" s="142"/>
      <c r="C391" s="320"/>
      <c r="D391" s="142"/>
      <c r="E391" s="320"/>
      <c r="F391" s="142"/>
      <c r="G391" s="320"/>
      <c r="H391" s="142"/>
      <c r="I391" s="320"/>
      <c r="J391" s="142"/>
      <c r="K391" s="320"/>
      <c r="L391" s="142"/>
      <c r="M391" s="320"/>
      <c r="N391" s="142"/>
      <c r="O391" s="320"/>
      <c r="P391" s="142"/>
      <c r="Q391" s="348"/>
      <c r="R391" s="28"/>
      <c r="S391" s="320"/>
      <c r="T391" s="142"/>
      <c r="U391" s="30"/>
      <c r="V391" s="30"/>
      <c r="W391" s="30"/>
      <c r="X391" s="30"/>
      <c r="Y391" s="30"/>
      <c r="Z391" s="30"/>
    </row>
    <row r="392">
      <c r="A392" s="320"/>
      <c r="B392" s="142"/>
      <c r="C392" s="320"/>
      <c r="D392" s="142"/>
      <c r="E392" s="320"/>
      <c r="F392" s="142"/>
      <c r="G392" s="320"/>
      <c r="H392" s="142"/>
      <c r="I392" s="320"/>
      <c r="J392" s="142"/>
      <c r="K392" s="320"/>
      <c r="L392" s="142"/>
      <c r="M392" s="320"/>
      <c r="N392" s="142"/>
      <c r="O392" s="320"/>
      <c r="P392" s="142"/>
      <c r="Q392" s="348"/>
      <c r="R392" s="28"/>
      <c r="S392" s="320"/>
      <c r="T392" s="142"/>
      <c r="U392" s="30"/>
      <c r="V392" s="30"/>
      <c r="W392" s="30"/>
      <c r="X392" s="30"/>
      <c r="Y392" s="30"/>
      <c r="Z392" s="30"/>
    </row>
    <row r="393">
      <c r="A393" s="320"/>
      <c r="B393" s="142"/>
      <c r="C393" s="320"/>
      <c r="D393" s="142"/>
      <c r="E393" s="320"/>
      <c r="F393" s="142"/>
      <c r="G393" s="320"/>
      <c r="H393" s="142"/>
      <c r="I393" s="320"/>
      <c r="J393" s="142"/>
      <c r="K393" s="320"/>
      <c r="L393" s="142"/>
      <c r="M393" s="320"/>
      <c r="N393" s="142"/>
      <c r="O393" s="320"/>
      <c r="P393" s="142"/>
      <c r="Q393" s="348"/>
      <c r="R393" s="28"/>
      <c r="S393" s="320"/>
      <c r="T393" s="142"/>
      <c r="U393" s="30"/>
      <c r="V393" s="30"/>
      <c r="W393" s="30"/>
      <c r="X393" s="30"/>
      <c r="Y393" s="30"/>
      <c r="Z393" s="30"/>
    </row>
    <row r="394">
      <c r="A394" s="320"/>
      <c r="B394" s="142"/>
      <c r="C394" s="320"/>
      <c r="D394" s="142"/>
      <c r="E394" s="320"/>
      <c r="F394" s="142"/>
      <c r="G394" s="320"/>
      <c r="H394" s="142"/>
      <c r="I394" s="320"/>
      <c r="J394" s="142"/>
      <c r="K394" s="320"/>
      <c r="L394" s="142"/>
      <c r="M394" s="320"/>
      <c r="N394" s="142"/>
      <c r="O394" s="320"/>
      <c r="P394" s="142"/>
      <c r="Q394" s="348"/>
      <c r="R394" s="28"/>
      <c r="S394" s="320"/>
      <c r="T394" s="142"/>
      <c r="U394" s="30"/>
      <c r="V394" s="30"/>
      <c r="W394" s="30"/>
      <c r="X394" s="30"/>
      <c r="Y394" s="30"/>
      <c r="Z394" s="30"/>
    </row>
    <row r="395">
      <c r="A395" s="320"/>
      <c r="B395" s="142"/>
      <c r="C395" s="320"/>
      <c r="D395" s="142"/>
      <c r="E395" s="320"/>
      <c r="F395" s="142"/>
      <c r="G395" s="320"/>
      <c r="H395" s="142"/>
      <c r="I395" s="320"/>
      <c r="J395" s="142"/>
      <c r="K395" s="320"/>
      <c r="L395" s="142"/>
      <c r="M395" s="320"/>
      <c r="N395" s="142"/>
      <c r="O395" s="320"/>
      <c r="P395" s="142"/>
      <c r="Q395" s="348"/>
      <c r="R395" s="28"/>
      <c r="S395" s="320"/>
      <c r="T395" s="142"/>
      <c r="U395" s="30"/>
      <c r="V395" s="30"/>
      <c r="W395" s="30"/>
      <c r="X395" s="30"/>
      <c r="Y395" s="30"/>
      <c r="Z395" s="30"/>
    </row>
    <row r="396">
      <c r="A396" s="320"/>
      <c r="B396" s="142"/>
      <c r="C396" s="320"/>
      <c r="D396" s="142"/>
      <c r="E396" s="320"/>
      <c r="F396" s="142"/>
      <c r="G396" s="320"/>
      <c r="H396" s="142"/>
      <c r="I396" s="320"/>
      <c r="J396" s="142"/>
      <c r="K396" s="320"/>
      <c r="L396" s="142"/>
      <c r="M396" s="320"/>
      <c r="N396" s="142"/>
      <c r="O396" s="320"/>
      <c r="P396" s="142"/>
      <c r="Q396" s="348"/>
      <c r="R396" s="28"/>
      <c r="S396" s="320"/>
      <c r="T396" s="142"/>
      <c r="U396" s="30"/>
      <c r="V396" s="30"/>
      <c r="W396" s="30"/>
      <c r="X396" s="30"/>
      <c r="Y396" s="30"/>
      <c r="Z396" s="30"/>
    </row>
    <row r="397">
      <c r="A397" s="320"/>
      <c r="B397" s="142"/>
      <c r="C397" s="320"/>
      <c r="D397" s="142"/>
      <c r="E397" s="320"/>
      <c r="F397" s="142"/>
      <c r="G397" s="320"/>
      <c r="H397" s="142"/>
      <c r="I397" s="320"/>
      <c r="J397" s="142"/>
      <c r="K397" s="320"/>
      <c r="L397" s="142"/>
      <c r="M397" s="320"/>
      <c r="N397" s="142"/>
      <c r="O397" s="320"/>
      <c r="P397" s="142"/>
      <c r="Q397" s="348"/>
      <c r="R397" s="28"/>
      <c r="S397" s="320"/>
      <c r="T397" s="142"/>
      <c r="U397" s="30"/>
      <c r="V397" s="30"/>
      <c r="W397" s="30"/>
      <c r="X397" s="30"/>
      <c r="Y397" s="30"/>
      <c r="Z397" s="30"/>
    </row>
    <row r="398">
      <c r="A398" s="320"/>
      <c r="B398" s="142"/>
      <c r="C398" s="320"/>
      <c r="D398" s="142"/>
      <c r="E398" s="320"/>
      <c r="F398" s="142"/>
      <c r="G398" s="320"/>
      <c r="H398" s="142"/>
      <c r="I398" s="320"/>
      <c r="J398" s="142"/>
      <c r="K398" s="320"/>
      <c r="L398" s="142"/>
      <c r="M398" s="320"/>
      <c r="N398" s="142"/>
      <c r="O398" s="320"/>
      <c r="P398" s="142"/>
      <c r="Q398" s="348"/>
      <c r="R398" s="28"/>
      <c r="S398" s="320"/>
      <c r="T398" s="142"/>
      <c r="U398" s="30"/>
      <c r="V398" s="30"/>
      <c r="W398" s="30"/>
      <c r="X398" s="30"/>
      <c r="Y398" s="30"/>
      <c r="Z398" s="30"/>
    </row>
    <row r="399">
      <c r="A399" s="320"/>
      <c r="B399" s="142"/>
      <c r="C399" s="320"/>
      <c r="D399" s="142"/>
      <c r="E399" s="320"/>
      <c r="F399" s="142"/>
      <c r="G399" s="320"/>
      <c r="H399" s="142"/>
      <c r="I399" s="320"/>
      <c r="J399" s="142"/>
      <c r="K399" s="320"/>
      <c r="L399" s="142"/>
      <c r="M399" s="320"/>
      <c r="N399" s="142"/>
      <c r="O399" s="320"/>
      <c r="P399" s="142"/>
      <c r="Q399" s="348"/>
      <c r="R399" s="28"/>
      <c r="S399" s="320"/>
      <c r="T399" s="142"/>
      <c r="U399" s="30"/>
      <c r="V399" s="30"/>
      <c r="W399" s="30"/>
      <c r="X399" s="30"/>
      <c r="Y399" s="30"/>
      <c r="Z399" s="30"/>
    </row>
    <row r="400">
      <c r="A400" s="320"/>
      <c r="B400" s="142"/>
      <c r="C400" s="320"/>
      <c r="D400" s="142"/>
      <c r="E400" s="320"/>
      <c r="F400" s="142"/>
      <c r="G400" s="320"/>
      <c r="H400" s="142"/>
      <c r="I400" s="320"/>
      <c r="J400" s="142"/>
      <c r="K400" s="320"/>
      <c r="L400" s="142"/>
      <c r="M400" s="320"/>
      <c r="N400" s="142"/>
      <c r="O400" s="320"/>
      <c r="P400" s="142"/>
      <c r="Q400" s="348"/>
      <c r="R400" s="28"/>
      <c r="S400" s="320"/>
      <c r="T400" s="142"/>
      <c r="U400" s="30"/>
      <c r="V400" s="30"/>
      <c r="W400" s="30"/>
      <c r="X400" s="30"/>
      <c r="Y400" s="30"/>
      <c r="Z400" s="30"/>
    </row>
    <row r="401">
      <c r="A401" s="320"/>
      <c r="B401" s="142"/>
      <c r="C401" s="320"/>
      <c r="D401" s="142"/>
      <c r="E401" s="320"/>
      <c r="F401" s="142"/>
      <c r="G401" s="320"/>
      <c r="H401" s="142"/>
      <c r="I401" s="320"/>
      <c r="J401" s="142"/>
      <c r="K401" s="320"/>
      <c r="L401" s="142"/>
      <c r="M401" s="320"/>
      <c r="N401" s="142"/>
      <c r="O401" s="320"/>
      <c r="P401" s="142"/>
      <c r="Q401" s="348"/>
      <c r="R401" s="28"/>
      <c r="S401" s="320"/>
      <c r="T401" s="142"/>
      <c r="U401" s="30"/>
      <c r="V401" s="30"/>
      <c r="W401" s="30"/>
      <c r="X401" s="30"/>
      <c r="Y401" s="30"/>
      <c r="Z401" s="30"/>
    </row>
    <row r="402">
      <c r="A402" s="320"/>
      <c r="B402" s="142"/>
      <c r="C402" s="320"/>
      <c r="D402" s="142"/>
      <c r="E402" s="320"/>
      <c r="F402" s="142"/>
      <c r="G402" s="320"/>
      <c r="H402" s="142"/>
      <c r="I402" s="320"/>
      <c r="J402" s="142"/>
      <c r="K402" s="320"/>
      <c r="L402" s="142"/>
      <c r="M402" s="320"/>
      <c r="N402" s="142"/>
      <c r="O402" s="320"/>
      <c r="P402" s="142"/>
      <c r="Q402" s="348"/>
      <c r="R402" s="28"/>
      <c r="S402" s="320"/>
      <c r="T402" s="142"/>
      <c r="U402" s="30"/>
      <c r="V402" s="30"/>
      <c r="W402" s="30"/>
      <c r="X402" s="30"/>
      <c r="Y402" s="30"/>
      <c r="Z402" s="30"/>
    </row>
    <row r="403">
      <c r="A403" s="320"/>
      <c r="B403" s="142"/>
      <c r="C403" s="320"/>
      <c r="D403" s="142"/>
      <c r="E403" s="320"/>
      <c r="F403" s="142"/>
      <c r="G403" s="320"/>
      <c r="H403" s="142"/>
      <c r="I403" s="320"/>
      <c r="J403" s="142"/>
      <c r="K403" s="320"/>
      <c r="L403" s="142"/>
      <c r="M403" s="320"/>
      <c r="N403" s="142"/>
      <c r="O403" s="320"/>
      <c r="P403" s="142"/>
      <c r="Q403" s="348"/>
      <c r="R403" s="28"/>
      <c r="S403" s="320"/>
      <c r="T403" s="142"/>
      <c r="U403" s="30"/>
      <c r="V403" s="30"/>
      <c r="W403" s="30"/>
      <c r="X403" s="30"/>
      <c r="Y403" s="30"/>
      <c r="Z403" s="30"/>
    </row>
    <row r="404">
      <c r="A404" s="320"/>
      <c r="B404" s="142"/>
      <c r="C404" s="320"/>
      <c r="D404" s="142"/>
      <c r="E404" s="320"/>
      <c r="F404" s="142"/>
      <c r="G404" s="320"/>
      <c r="H404" s="142"/>
      <c r="I404" s="320"/>
      <c r="J404" s="142"/>
      <c r="K404" s="320"/>
      <c r="L404" s="142"/>
      <c r="M404" s="320"/>
      <c r="N404" s="142"/>
      <c r="O404" s="320"/>
      <c r="P404" s="142"/>
      <c r="Q404" s="348"/>
      <c r="R404" s="28"/>
      <c r="S404" s="320"/>
      <c r="T404" s="142"/>
      <c r="U404" s="30"/>
      <c r="V404" s="30"/>
      <c r="W404" s="30"/>
      <c r="X404" s="30"/>
      <c r="Y404" s="30"/>
      <c r="Z404" s="30"/>
    </row>
    <row r="405">
      <c r="A405" s="320"/>
      <c r="B405" s="142"/>
      <c r="C405" s="320"/>
      <c r="D405" s="142"/>
      <c r="E405" s="320"/>
      <c r="F405" s="142"/>
      <c r="G405" s="320"/>
      <c r="H405" s="142"/>
      <c r="I405" s="320"/>
      <c r="J405" s="142"/>
      <c r="K405" s="320"/>
      <c r="L405" s="142"/>
      <c r="M405" s="320"/>
      <c r="N405" s="142"/>
      <c r="O405" s="320"/>
      <c r="P405" s="142"/>
      <c r="Q405" s="348"/>
      <c r="R405" s="28"/>
      <c r="S405" s="320"/>
      <c r="T405" s="142"/>
      <c r="U405" s="30"/>
      <c r="V405" s="30"/>
      <c r="W405" s="30"/>
      <c r="X405" s="30"/>
      <c r="Y405" s="30"/>
      <c r="Z405" s="30"/>
    </row>
    <row r="406">
      <c r="A406" s="320"/>
      <c r="B406" s="142"/>
      <c r="C406" s="320"/>
      <c r="D406" s="142"/>
      <c r="E406" s="320"/>
      <c r="F406" s="142"/>
      <c r="G406" s="320"/>
      <c r="H406" s="142"/>
      <c r="I406" s="320"/>
      <c r="J406" s="142"/>
      <c r="K406" s="320"/>
      <c r="L406" s="142"/>
      <c r="M406" s="320"/>
      <c r="N406" s="142"/>
      <c r="O406" s="320"/>
      <c r="P406" s="142"/>
      <c r="Q406" s="348"/>
      <c r="R406" s="28"/>
      <c r="S406" s="320"/>
      <c r="T406" s="142"/>
      <c r="U406" s="30"/>
      <c r="V406" s="30"/>
      <c r="W406" s="30"/>
      <c r="X406" s="30"/>
      <c r="Y406" s="30"/>
      <c r="Z406" s="30"/>
    </row>
    <row r="407">
      <c r="A407" s="320"/>
      <c r="B407" s="142"/>
      <c r="C407" s="320"/>
      <c r="D407" s="142"/>
      <c r="E407" s="320"/>
      <c r="F407" s="142"/>
      <c r="G407" s="320"/>
      <c r="H407" s="142"/>
      <c r="I407" s="320"/>
      <c r="J407" s="142"/>
      <c r="K407" s="320"/>
      <c r="L407" s="142"/>
      <c r="M407" s="320"/>
      <c r="N407" s="142"/>
      <c r="O407" s="320"/>
      <c r="P407" s="142"/>
      <c r="Q407" s="348"/>
      <c r="R407" s="28"/>
      <c r="S407" s="320"/>
      <c r="T407" s="142"/>
      <c r="U407" s="30"/>
      <c r="V407" s="30"/>
      <c r="W407" s="30"/>
      <c r="X407" s="30"/>
      <c r="Y407" s="30"/>
      <c r="Z407" s="30"/>
    </row>
    <row r="408">
      <c r="A408" s="320"/>
      <c r="B408" s="142"/>
      <c r="C408" s="320"/>
      <c r="D408" s="142"/>
      <c r="E408" s="320"/>
      <c r="F408" s="142"/>
      <c r="G408" s="320"/>
      <c r="H408" s="142"/>
      <c r="I408" s="320"/>
      <c r="J408" s="142"/>
      <c r="K408" s="320"/>
      <c r="L408" s="142"/>
      <c r="M408" s="320"/>
      <c r="N408" s="142"/>
      <c r="O408" s="320"/>
      <c r="P408" s="142"/>
      <c r="Q408" s="348"/>
      <c r="R408" s="28"/>
      <c r="S408" s="320"/>
      <c r="T408" s="142"/>
      <c r="U408" s="30"/>
      <c r="V408" s="30"/>
      <c r="W408" s="30"/>
      <c r="X408" s="30"/>
      <c r="Y408" s="30"/>
      <c r="Z408" s="30"/>
    </row>
    <row r="409">
      <c r="A409" s="320"/>
      <c r="B409" s="142"/>
      <c r="C409" s="320"/>
      <c r="D409" s="142"/>
      <c r="E409" s="320"/>
      <c r="F409" s="142"/>
      <c r="G409" s="320"/>
      <c r="H409" s="142"/>
      <c r="I409" s="320"/>
      <c r="J409" s="142"/>
      <c r="K409" s="320"/>
      <c r="L409" s="142"/>
      <c r="M409" s="320"/>
      <c r="N409" s="142"/>
      <c r="O409" s="320"/>
      <c r="P409" s="142"/>
      <c r="Q409" s="348"/>
      <c r="R409" s="28"/>
      <c r="S409" s="320"/>
      <c r="T409" s="142"/>
      <c r="U409" s="30"/>
      <c r="V409" s="30"/>
      <c r="W409" s="30"/>
      <c r="X409" s="30"/>
      <c r="Y409" s="30"/>
      <c r="Z409" s="30"/>
    </row>
    <row r="410">
      <c r="A410" s="320"/>
      <c r="B410" s="142"/>
      <c r="C410" s="320"/>
      <c r="D410" s="142"/>
      <c r="E410" s="320"/>
      <c r="F410" s="142"/>
      <c r="G410" s="320"/>
      <c r="H410" s="142"/>
      <c r="I410" s="320"/>
      <c r="J410" s="142"/>
      <c r="K410" s="320"/>
      <c r="L410" s="142"/>
      <c r="M410" s="320"/>
      <c r="N410" s="142"/>
      <c r="O410" s="320"/>
      <c r="P410" s="142"/>
      <c r="Q410" s="348"/>
      <c r="R410" s="28"/>
      <c r="S410" s="320"/>
      <c r="T410" s="142"/>
      <c r="U410" s="30"/>
      <c r="V410" s="30"/>
      <c r="W410" s="30"/>
      <c r="X410" s="30"/>
      <c r="Y410" s="30"/>
      <c r="Z410" s="30"/>
    </row>
    <row r="411">
      <c r="A411" s="320"/>
      <c r="B411" s="142"/>
      <c r="C411" s="320"/>
      <c r="D411" s="142"/>
      <c r="E411" s="320"/>
      <c r="F411" s="142"/>
      <c r="G411" s="320"/>
      <c r="H411" s="142"/>
      <c r="I411" s="320"/>
      <c r="J411" s="142"/>
      <c r="K411" s="320"/>
      <c r="L411" s="142"/>
      <c r="M411" s="320"/>
      <c r="N411" s="142"/>
      <c r="O411" s="320"/>
      <c r="P411" s="142"/>
      <c r="Q411" s="348"/>
      <c r="R411" s="28"/>
      <c r="S411" s="320"/>
      <c r="T411" s="142"/>
      <c r="U411" s="30"/>
      <c r="V411" s="30"/>
      <c r="W411" s="30"/>
      <c r="X411" s="30"/>
      <c r="Y411" s="30"/>
      <c r="Z411" s="30"/>
    </row>
    <row r="412">
      <c r="A412" s="320"/>
      <c r="B412" s="142"/>
      <c r="C412" s="320"/>
      <c r="D412" s="142"/>
      <c r="E412" s="320"/>
      <c r="F412" s="142"/>
      <c r="G412" s="320"/>
      <c r="H412" s="142"/>
      <c r="I412" s="320"/>
      <c r="J412" s="142"/>
      <c r="K412" s="320"/>
      <c r="L412" s="142"/>
      <c r="M412" s="320"/>
      <c r="N412" s="142"/>
      <c r="O412" s="320"/>
      <c r="P412" s="142"/>
      <c r="Q412" s="348"/>
      <c r="R412" s="28"/>
      <c r="S412" s="320"/>
      <c r="T412" s="142"/>
      <c r="U412" s="30"/>
      <c r="V412" s="30"/>
      <c r="W412" s="30"/>
      <c r="X412" s="30"/>
      <c r="Y412" s="30"/>
      <c r="Z412" s="30"/>
    </row>
    <row r="413">
      <c r="A413" s="320"/>
      <c r="B413" s="142"/>
      <c r="C413" s="320"/>
      <c r="D413" s="142"/>
      <c r="E413" s="320"/>
      <c r="F413" s="142"/>
      <c r="G413" s="320"/>
      <c r="H413" s="142"/>
      <c r="I413" s="320"/>
      <c r="J413" s="142"/>
      <c r="K413" s="320"/>
      <c r="L413" s="142"/>
      <c r="M413" s="320"/>
      <c r="N413" s="142"/>
      <c r="O413" s="320"/>
      <c r="P413" s="142"/>
      <c r="Q413" s="348"/>
      <c r="R413" s="28"/>
      <c r="S413" s="320"/>
      <c r="T413" s="142"/>
      <c r="U413" s="30"/>
      <c r="V413" s="30"/>
      <c r="W413" s="30"/>
      <c r="X413" s="30"/>
      <c r="Y413" s="30"/>
      <c r="Z413" s="30"/>
    </row>
    <row r="414">
      <c r="A414" s="320"/>
      <c r="B414" s="142"/>
      <c r="C414" s="320"/>
      <c r="D414" s="142"/>
      <c r="E414" s="320"/>
      <c r="F414" s="142"/>
      <c r="G414" s="320"/>
      <c r="H414" s="142"/>
      <c r="I414" s="320"/>
      <c r="J414" s="142"/>
      <c r="K414" s="320"/>
      <c r="L414" s="142"/>
      <c r="M414" s="320"/>
      <c r="N414" s="142"/>
      <c r="O414" s="320"/>
      <c r="P414" s="142"/>
      <c r="Q414" s="348"/>
      <c r="R414" s="28"/>
      <c r="S414" s="320"/>
      <c r="T414" s="142"/>
      <c r="U414" s="30"/>
      <c r="V414" s="30"/>
      <c r="W414" s="30"/>
      <c r="X414" s="30"/>
      <c r="Y414" s="30"/>
      <c r="Z414" s="30"/>
    </row>
    <row r="415">
      <c r="A415" s="320"/>
      <c r="B415" s="142"/>
      <c r="C415" s="320"/>
      <c r="D415" s="142"/>
      <c r="E415" s="320"/>
      <c r="F415" s="142"/>
      <c r="G415" s="320"/>
      <c r="H415" s="142"/>
      <c r="I415" s="320"/>
      <c r="J415" s="142"/>
      <c r="K415" s="320"/>
      <c r="L415" s="142"/>
      <c r="M415" s="320"/>
      <c r="N415" s="142"/>
      <c r="O415" s="320"/>
      <c r="P415" s="142"/>
      <c r="Q415" s="348"/>
      <c r="R415" s="28"/>
      <c r="S415" s="320"/>
      <c r="T415" s="142"/>
      <c r="U415" s="30"/>
      <c r="V415" s="30"/>
      <c r="W415" s="30"/>
      <c r="X415" s="30"/>
      <c r="Y415" s="30"/>
      <c r="Z415" s="30"/>
    </row>
    <row r="416">
      <c r="A416" s="320"/>
      <c r="B416" s="142"/>
      <c r="C416" s="320"/>
      <c r="D416" s="142"/>
      <c r="E416" s="320"/>
      <c r="F416" s="142"/>
      <c r="G416" s="320"/>
      <c r="H416" s="142"/>
      <c r="I416" s="320"/>
      <c r="J416" s="142"/>
      <c r="K416" s="320"/>
      <c r="L416" s="142"/>
      <c r="M416" s="320"/>
      <c r="N416" s="142"/>
      <c r="O416" s="320"/>
      <c r="P416" s="142"/>
      <c r="Q416" s="348"/>
      <c r="R416" s="28"/>
      <c r="S416" s="320"/>
      <c r="T416" s="142"/>
      <c r="U416" s="30"/>
      <c r="V416" s="30"/>
      <c r="W416" s="30"/>
      <c r="X416" s="30"/>
      <c r="Y416" s="30"/>
      <c r="Z416" s="30"/>
    </row>
    <row r="417">
      <c r="A417" s="320"/>
      <c r="B417" s="142"/>
      <c r="C417" s="320"/>
      <c r="D417" s="142"/>
      <c r="E417" s="320"/>
      <c r="F417" s="142"/>
      <c r="G417" s="320"/>
      <c r="H417" s="142"/>
      <c r="I417" s="320"/>
      <c r="J417" s="142"/>
      <c r="K417" s="320"/>
      <c r="L417" s="142"/>
      <c r="M417" s="320"/>
      <c r="N417" s="142"/>
      <c r="O417" s="320"/>
      <c r="P417" s="142"/>
      <c r="Q417" s="348"/>
      <c r="R417" s="28"/>
      <c r="S417" s="320"/>
      <c r="T417" s="142"/>
      <c r="U417" s="30"/>
      <c r="V417" s="30"/>
      <c r="W417" s="30"/>
      <c r="X417" s="30"/>
      <c r="Y417" s="30"/>
      <c r="Z417" s="30"/>
    </row>
    <row r="418">
      <c r="A418" s="320"/>
      <c r="B418" s="142"/>
      <c r="C418" s="320"/>
      <c r="D418" s="142"/>
      <c r="E418" s="320"/>
      <c r="F418" s="142"/>
      <c r="G418" s="320"/>
      <c r="H418" s="142"/>
      <c r="I418" s="320"/>
      <c r="J418" s="142"/>
      <c r="K418" s="320"/>
      <c r="L418" s="142"/>
      <c r="M418" s="320"/>
      <c r="N418" s="142"/>
      <c r="O418" s="320"/>
      <c r="P418" s="142"/>
      <c r="Q418" s="348"/>
      <c r="R418" s="28"/>
      <c r="S418" s="320"/>
      <c r="T418" s="142"/>
      <c r="U418" s="30"/>
      <c r="V418" s="30"/>
      <c r="W418" s="30"/>
      <c r="X418" s="30"/>
      <c r="Y418" s="30"/>
      <c r="Z418" s="30"/>
    </row>
    <row r="419">
      <c r="A419" s="320"/>
      <c r="B419" s="142"/>
      <c r="C419" s="320"/>
      <c r="D419" s="142"/>
      <c r="E419" s="320"/>
      <c r="F419" s="142"/>
      <c r="G419" s="320"/>
      <c r="H419" s="142"/>
      <c r="I419" s="320"/>
      <c r="J419" s="142"/>
      <c r="K419" s="320"/>
      <c r="L419" s="142"/>
      <c r="M419" s="320"/>
      <c r="N419" s="142"/>
      <c r="O419" s="320"/>
      <c r="P419" s="142"/>
      <c r="Q419" s="348"/>
      <c r="R419" s="28"/>
      <c r="S419" s="320"/>
      <c r="T419" s="142"/>
      <c r="U419" s="30"/>
      <c r="V419" s="30"/>
      <c r="W419" s="30"/>
      <c r="X419" s="30"/>
      <c r="Y419" s="30"/>
      <c r="Z419" s="30"/>
    </row>
    <row r="420">
      <c r="A420" s="320"/>
      <c r="B420" s="142"/>
      <c r="C420" s="320"/>
      <c r="D420" s="142"/>
      <c r="E420" s="320"/>
      <c r="F420" s="142"/>
      <c r="G420" s="320"/>
      <c r="H420" s="142"/>
      <c r="I420" s="320"/>
      <c r="J420" s="142"/>
      <c r="K420" s="320"/>
      <c r="L420" s="142"/>
      <c r="M420" s="320"/>
      <c r="N420" s="142"/>
      <c r="O420" s="320"/>
      <c r="P420" s="142"/>
      <c r="Q420" s="348"/>
      <c r="R420" s="28"/>
      <c r="S420" s="320"/>
      <c r="T420" s="142"/>
      <c r="U420" s="30"/>
      <c r="V420" s="30"/>
      <c r="W420" s="30"/>
      <c r="X420" s="30"/>
      <c r="Y420" s="30"/>
      <c r="Z420" s="30"/>
    </row>
    <row r="421">
      <c r="A421" s="320"/>
      <c r="B421" s="142"/>
      <c r="C421" s="320"/>
      <c r="D421" s="142"/>
      <c r="E421" s="320"/>
      <c r="F421" s="142"/>
      <c r="G421" s="320"/>
      <c r="H421" s="142"/>
      <c r="I421" s="320"/>
      <c r="J421" s="142"/>
      <c r="K421" s="320"/>
      <c r="L421" s="142"/>
      <c r="M421" s="320"/>
      <c r="N421" s="142"/>
      <c r="O421" s="320"/>
      <c r="P421" s="142"/>
      <c r="Q421" s="348"/>
      <c r="R421" s="28"/>
      <c r="S421" s="320"/>
      <c r="T421" s="142"/>
      <c r="U421" s="30"/>
      <c r="V421" s="30"/>
      <c r="W421" s="30"/>
      <c r="X421" s="30"/>
      <c r="Y421" s="30"/>
      <c r="Z421" s="30"/>
    </row>
    <row r="422">
      <c r="A422" s="320"/>
      <c r="B422" s="142"/>
      <c r="C422" s="320"/>
      <c r="D422" s="142"/>
      <c r="E422" s="320"/>
      <c r="F422" s="142"/>
      <c r="G422" s="320"/>
      <c r="H422" s="142"/>
      <c r="I422" s="320"/>
      <c r="J422" s="142"/>
      <c r="K422" s="320"/>
      <c r="L422" s="142"/>
      <c r="M422" s="320"/>
      <c r="N422" s="142"/>
      <c r="O422" s="320"/>
      <c r="P422" s="142"/>
      <c r="Q422" s="348"/>
      <c r="R422" s="28"/>
      <c r="S422" s="320"/>
      <c r="T422" s="142"/>
      <c r="U422" s="30"/>
      <c r="V422" s="30"/>
      <c r="W422" s="30"/>
      <c r="X422" s="30"/>
      <c r="Y422" s="30"/>
      <c r="Z422" s="30"/>
    </row>
    <row r="423">
      <c r="A423" s="320"/>
      <c r="B423" s="142"/>
      <c r="C423" s="320"/>
      <c r="D423" s="142"/>
      <c r="E423" s="320"/>
      <c r="F423" s="142"/>
      <c r="G423" s="320"/>
      <c r="H423" s="142"/>
      <c r="I423" s="320"/>
      <c r="J423" s="142"/>
      <c r="K423" s="320"/>
      <c r="L423" s="142"/>
      <c r="M423" s="320"/>
      <c r="N423" s="142"/>
      <c r="O423" s="320"/>
      <c r="P423" s="142"/>
      <c r="Q423" s="348"/>
      <c r="R423" s="28"/>
      <c r="S423" s="320"/>
      <c r="T423" s="142"/>
      <c r="U423" s="30"/>
      <c r="V423" s="30"/>
      <c r="W423" s="30"/>
      <c r="X423" s="30"/>
      <c r="Y423" s="30"/>
      <c r="Z423" s="30"/>
    </row>
    <row r="424">
      <c r="A424" s="320"/>
      <c r="B424" s="142"/>
      <c r="C424" s="320"/>
      <c r="D424" s="142"/>
      <c r="E424" s="320"/>
      <c r="F424" s="142"/>
      <c r="G424" s="320"/>
      <c r="H424" s="142"/>
      <c r="I424" s="320"/>
      <c r="J424" s="142"/>
      <c r="K424" s="320"/>
      <c r="L424" s="142"/>
      <c r="M424" s="320"/>
      <c r="N424" s="142"/>
      <c r="O424" s="320"/>
      <c r="P424" s="142"/>
      <c r="Q424" s="348"/>
      <c r="R424" s="28"/>
      <c r="S424" s="320"/>
      <c r="T424" s="142"/>
      <c r="U424" s="30"/>
      <c r="V424" s="30"/>
      <c r="W424" s="30"/>
      <c r="X424" s="30"/>
      <c r="Y424" s="30"/>
      <c r="Z424" s="30"/>
    </row>
    <row r="425">
      <c r="A425" s="320"/>
      <c r="B425" s="142"/>
      <c r="C425" s="320"/>
      <c r="D425" s="142"/>
      <c r="E425" s="320"/>
      <c r="F425" s="142"/>
      <c r="G425" s="320"/>
      <c r="H425" s="142"/>
      <c r="I425" s="320"/>
      <c r="J425" s="142"/>
      <c r="K425" s="320"/>
      <c r="L425" s="142"/>
      <c r="M425" s="320"/>
      <c r="N425" s="142"/>
      <c r="O425" s="320"/>
      <c r="P425" s="142"/>
      <c r="Q425" s="348"/>
      <c r="R425" s="28"/>
      <c r="S425" s="320"/>
      <c r="T425" s="142"/>
      <c r="U425" s="30"/>
      <c r="V425" s="30"/>
      <c r="W425" s="30"/>
      <c r="X425" s="30"/>
      <c r="Y425" s="30"/>
      <c r="Z425" s="30"/>
    </row>
    <row r="426">
      <c r="A426" s="320"/>
      <c r="B426" s="142"/>
      <c r="C426" s="320"/>
      <c r="D426" s="142"/>
      <c r="E426" s="320"/>
      <c r="F426" s="142"/>
      <c r="G426" s="320"/>
      <c r="H426" s="142"/>
      <c r="I426" s="320"/>
      <c r="J426" s="142"/>
      <c r="K426" s="320"/>
      <c r="L426" s="142"/>
      <c r="M426" s="320"/>
      <c r="N426" s="142"/>
      <c r="O426" s="320"/>
      <c r="P426" s="142"/>
      <c r="Q426" s="348"/>
      <c r="R426" s="28"/>
      <c r="S426" s="320"/>
      <c r="T426" s="142"/>
      <c r="U426" s="30"/>
      <c r="V426" s="30"/>
      <c r="W426" s="30"/>
      <c r="X426" s="30"/>
      <c r="Y426" s="30"/>
      <c r="Z426" s="30"/>
    </row>
    <row r="427">
      <c r="A427" s="320"/>
      <c r="B427" s="142"/>
      <c r="C427" s="320"/>
      <c r="D427" s="142"/>
      <c r="E427" s="320"/>
      <c r="F427" s="142"/>
      <c r="G427" s="320"/>
      <c r="H427" s="142"/>
      <c r="I427" s="320"/>
      <c r="J427" s="142"/>
      <c r="K427" s="320"/>
      <c r="L427" s="142"/>
      <c r="M427" s="320"/>
      <c r="N427" s="142"/>
      <c r="O427" s="320"/>
      <c r="P427" s="142"/>
      <c r="Q427" s="348"/>
      <c r="R427" s="28"/>
      <c r="S427" s="320"/>
      <c r="T427" s="142"/>
      <c r="U427" s="30"/>
      <c r="V427" s="30"/>
      <c r="W427" s="30"/>
      <c r="X427" s="30"/>
      <c r="Y427" s="30"/>
      <c r="Z427" s="30"/>
    </row>
    <row r="428">
      <c r="A428" s="320"/>
      <c r="B428" s="142"/>
      <c r="C428" s="320"/>
      <c r="D428" s="142"/>
      <c r="E428" s="320"/>
      <c r="F428" s="142"/>
      <c r="G428" s="320"/>
      <c r="H428" s="142"/>
      <c r="I428" s="320"/>
      <c r="J428" s="142"/>
      <c r="K428" s="320"/>
      <c r="L428" s="142"/>
      <c r="M428" s="320"/>
      <c r="N428" s="142"/>
      <c r="O428" s="320"/>
      <c r="P428" s="142"/>
      <c r="Q428" s="348"/>
      <c r="R428" s="28"/>
      <c r="S428" s="320"/>
      <c r="T428" s="142"/>
      <c r="U428" s="30"/>
      <c r="V428" s="30"/>
      <c r="W428" s="30"/>
      <c r="X428" s="30"/>
      <c r="Y428" s="30"/>
      <c r="Z428" s="30"/>
    </row>
    <row r="429">
      <c r="A429" s="320"/>
      <c r="B429" s="142"/>
      <c r="C429" s="320"/>
      <c r="D429" s="142"/>
      <c r="E429" s="320"/>
      <c r="F429" s="142"/>
      <c r="G429" s="320"/>
      <c r="H429" s="142"/>
      <c r="I429" s="320"/>
      <c r="J429" s="142"/>
      <c r="K429" s="320"/>
      <c r="L429" s="142"/>
      <c r="M429" s="320"/>
      <c r="N429" s="142"/>
      <c r="O429" s="320"/>
      <c r="P429" s="142"/>
      <c r="Q429" s="348"/>
      <c r="R429" s="28"/>
      <c r="S429" s="320"/>
      <c r="T429" s="142"/>
      <c r="U429" s="30"/>
      <c r="V429" s="30"/>
      <c r="W429" s="30"/>
      <c r="X429" s="30"/>
      <c r="Y429" s="30"/>
      <c r="Z429" s="30"/>
    </row>
    <row r="430">
      <c r="A430" s="320"/>
      <c r="B430" s="142"/>
      <c r="C430" s="320"/>
      <c r="D430" s="142"/>
      <c r="E430" s="320"/>
      <c r="F430" s="142"/>
      <c r="G430" s="320"/>
      <c r="H430" s="142"/>
      <c r="I430" s="320"/>
      <c r="J430" s="142"/>
      <c r="K430" s="320"/>
      <c r="L430" s="142"/>
      <c r="M430" s="320"/>
      <c r="N430" s="142"/>
      <c r="O430" s="320"/>
      <c r="P430" s="142"/>
      <c r="Q430" s="348"/>
      <c r="R430" s="28"/>
      <c r="S430" s="320"/>
      <c r="T430" s="142"/>
      <c r="U430" s="30"/>
      <c r="V430" s="30"/>
      <c r="W430" s="30"/>
      <c r="X430" s="30"/>
      <c r="Y430" s="30"/>
      <c r="Z430" s="30"/>
    </row>
    <row r="431">
      <c r="A431" s="320"/>
      <c r="B431" s="142"/>
      <c r="C431" s="320"/>
      <c r="D431" s="142"/>
      <c r="E431" s="320"/>
      <c r="F431" s="142"/>
      <c r="G431" s="320"/>
      <c r="H431" s="142"/>
      <c r="I431" s="320"/>
      <c r="J431" s="142"/>
      <c r="K431" s="320"/>
      <c r="L431" s="142"/>
      <c r="M431" s="320"/>
      <c r="N431" s="142"/>
      <c r="O431" s="320"/>
      <c r="P431" s="142"/>
      <c r="Q431" s="348"/>
      <c r="R431" s="28"/>
      <c r="S431" s="320"/>
      <c r="T431" s="142"/>
      <c r="U431" s="30"/>
      <c r="V431" s="30"/>
      <c r="W431" s="30"/>
      <c r="X431" s="30"/>
      <c r="Y431" s="30"/>
      <c r="Z431" s="30"/>
    </row>
    <row r="432">
      <c r="A432" s="320"/>
      <c r="B432" s="142"/>
      <c r="C432" s="320"/>
      <c r="D432" s="142"/>
      <c r="E432" s="320"/>
      <c r="F432" s="142"/>
      <c r="G432" s="320"/>
      <c r="H432" s="142"/>
      <c r="I432" s="320"/>
      <c r="J432" s="142"/>
      <c r="K432" s="320"/>
      <c r="L432" s="142"/>
      <c r="M432" s="320"/>
      <c r="N432" s="142"/>
      <c r="O432" s="320"/>
      <c r="P432" s="142"/>
      <c r="Q432" s="348"/>
      <c r="R432" s="28"/>
      <c r="S432" s="320"/>
      <c r="T432" s="142"/>
      <c r="U432" s="30"/>
      <c r="V432" s="30"/>
      <c r="W432" s="30"/>
      <c r="X432" s="30"/>
      <c r="Y432" s="30"/>
      <c r="Z432" s="30"/>
    </row>
    <row r="433">
      <c r="A433" s="320"/>
      <c r="B433" s="142"/>
      <c r="C433" s="320"/>
      <c r="D433" s="142"/>
      <c r="E433" s="320"/>
      <c r="F433" s="142"/>
      <c r="G433" s="320"/>
      <c r="H433" s="142"/>
      <c r="I433" s="320"/>
      <c r="J433" s="142"/>
      <c r="K433" s="320"/>
      <c r="L433" s="142"/>
      <c r="M433" s="320"/>
      <c r="N433" s="142"/>
      <c r="O433" s="320"/>
      <c r="P433" s="142"/>
      <c r="Q433" s="348"/>
      <c r="R433" s="28"/>
      <c r="S433" s="320"/>
      <c r="T433" s="142"/>
      <c r="U433" s="30"/>
      <c r="V433" s="30"/>
      <c r="W433" s="30"/>
      <c r="X433" s="30"/>
      <c r="Y433" s="30"/>
      <c r="Z433" s="30"/>
    </row>
    <row r="434">
      <c r="A434" s="320"/>
      <c r="B434" s="142"/>
      <c r="C434" s="320"/>
      <c r="D434" s="142"/>
      <c r="E434" s="320"/>
      <c r="F434" s="142"/>
      <c r="G434" s="320"/>
      <c r="H434" s="142"/>
      <c r="I434" s="320"/>
      <c r="J434" s="142"/>
      <c r="K434" s="320"/>
      <c r="L434" s="142"/>
      <c r="M434" s="320"/>
      <c r="N434" s="142"/>
      <c r="O434" s="320"/>
      <c r="P434" s="142"/>
      <c r="Q434" s="348"/>
      <c r="R434" s="28"/>
      <c r="S434" s="320"/>
      <c r="T434" s="142"/>
      <c r="U434" s="30"/>
      <c r="V434" s="30"/>
      <c r="W434" s="30"/>
      <c r="X434" s="30"/>
      <c r="Y434" s="30"/>
      <c r="Z434" s="30"/>
    </row>
    <row r="435">
      <c r="A435" s="320"/>
      <c r="B435" s="142"/>
      <c r="C435" s="320"/>
      <c r="D435" s="142"/>
      <c r="E435" s="320"/>
      <c r="F435" s="142"/>
      <c r="G435" s="320"/>
      <c r="H435" s="142"/>
      <c r="I435" s="320"/>
      <c r="J435" s="142"/>
      <c r="K435" s="320"/>
      <c r="L435" s="142"/>
      <c r="M435" s="320"/>
      <c r="N435" s="142"/>
      <c r="O435" s="320"/>
      <c r="P435" s="142"/>
      <c r="Q435" s="348"/>
      <c r="R435" s="28"/>
      <c r="S435" s="320"/>
      <c r="T435" s="142"/>
      <c r="U435" s="30"/>
      <c r="V435" s="30"/>
      <c r="W435" s="30"/>
      <c r="X435" s="30"/>
      <c r="Y435" s="30"/>
      <c r="Z435" s="30"/>
    </row>
    <row r="436">
      <c r="A436" s="320"/>
      <c r="B436" s="142"/>
      <c r="C436" s="320"/>
      <c r="D436" s="142"/>
      <c r="E436" s="320"/>
      <c r="F436" s="142"/>
      <c r="G436" s="320"/>
      <c r="H436" s="142"/>
      <c r="I436" s="320"/>
      <c r="J436" s="142"/>
      <c r="K436" s="320"/>
      <c r="L436" s="142"/>
      <c r="M436" s="320"/>
      <c r="N436" s="142"/>
      <c r="O436" s="320"/>
      <c r="P436" s="142"/>
      <c r="Q436" s="348"/>
      <c r="R436" s="28"/>
      <c r="S436" s="320"/>
      <c r="T436" s="142"/>
      <c r="U436" s="30"/>
      <c r="V436" s="30"/>
      <c r="W436" s="30"/>
      <c r="X436" s="30"/>
      <c r="Y436" s="30"/>
      <c r="Z436" s="30"/>
    </row>
    <row r="437">
      <c r="A437" s="320"/>
      <c r="B437" s="142"/>
      <c r="C437" s="320"/>
      <c r="D437" s="142"/>
      <c r="E437" s="320"/>
      <c r="F437" s="142"/>
      <c r="G437" s="320"/>
      <c r="H437" s="142"/>
      <c r="I437" s="320"/>
      <c r="J437" s="142"/>
      <c r="K437" s="320"/>
      <c r="L437" s="142"/>
      <c r="M437" s="320"/>
      <c r="N437" s="142"/>
      <c r="O437" s="320"/>
      <c r="P437" s="142"/>
      <c r="Q437" s="348"/>
      <c r="R437" s="28"/>
      <c r="S437" s="320"/>
      <c r="T437" s="142"/>
      <c r="U437" s="30"/>
      <c r="V437" s="30"/>
      <c r="W437" s="30"/>
      <c r="X437" s="30"/>
      <c r="Y437" s="30"/>
      <c r="Z437" s="30"/>
    </row>
    <row r="438">
      <c r="A438" s="320"/>
      <c r="B438" s="142"/>
      <c r="C438" s="320"/>
      <c r="D438" s="142"/>
      <c r="E438" s="320"/>
      <c r="F438" s="142"/>
      <c r="G438" s="320"/>
      <c r="H438" s="142"/>
      <c r="I438" s="320"/>
      <c r="J438" s="142"/>
      <c r="K438" s="320"/>
      <c r="L438" s="142"/>
      <c r="M438" s="320"/>
      <c r="N438" s="142"/>
      <c r="O438" s="320"/>
      <c r="P438" s="142"/>
      <c r="Q438" s="348"/>
      <c r="R438" s="28"/>
      <c r="S438" s="320"/>
      <c r="T438" s="142"/>
      <c r="U438" s="30"/>
      <c r="V438" s="30"/>
      <c r="W438" s="30"/>
      <c r="X438" s="30"/>
      <c r="Y438" s="30"/>
      <c r="Z438" s="30"/>
    </row>
    <row r="439">
      <c r="A439" s="320"/>
      <c r="B439" s="142"/>
      <c r="C439" s="320"/>
      <c r="D439" s="142"/>
      <c r="E439" s="320"/>
      <c r="F439" s="142"/>
      <c r="G439" s="320"/>
      <c r="H439" s="142"/>
      <c r="I439" s="320"/>
      <c r="J439" s="142"/>
      <c r="K439" s="320"/>
      <c r="L439" s="142"/>
      <c r="M439" s="320"/>
      <c r="N439" s="142"/>
      <c r="O439" s="320"/>
      <c r="P439" s="142"/>
      <c r="Q439" s="348"/>
      <c r="R439" s="28"/>
      <c r="S439" s="320"/>
      <c r="T439" s="142"/>
      <c r="U439" s="30"/>
      <c r="V439" s="30"/>
      <c r="W439" s="30"/>
      <c r="X439" s="30"/>
      <c r="Y439" s="30"/>
      <c r="Z439" s="30"/>
    </row>
    <row r="440">
      <c r="A440" s="320"/>
      <c r="B440" s="142"/>
      <c r="C440" s="320"/>
      <c r="D440" s="142"/>
      <c r="E440" s="320"/>
      <c r="F440" s="142"/>
      <c r="G440" s="320"/>
      <c r="H440" s="142"/>
      <c r="I440" s="320"/>
      <c r="J440" s="142"/>
      <c r="K440" s="320"/>
      <c r="L440" s="142"/>
      <c r="M440" s="320"/>
      <c r="N440" s="142"/>
      <c r="O440" s="320"/>
      <c r="P440" s="142"/>
      <c r="Q440" s="348"/>
      <c r="R440" s="28"/>
      <c r="S440" s="320"/>
      <c r="T440" s="142"/>
      <c r="U440" s="30"/>
      <c r="V440" s="30"/>
      <c r="W440" s="30"/>
      <c r="X440" s="30"/>
      <c r="Y440" s="30"/>
      <c r="Z440" s="30"/>
    </row>
    <row r="441">
      <c r="A441" s="320"/>
      <c r="B441" s="142"/>
      <c r="C441" s="320"/>
      <c r="D441" s="142"/>
      <c r="E441" s="320"/>
      <c r="F441" s="142"/>
      <c r="G441" s="320"/>
      <c r="H441" s="142"/>
      <c r="I441" s="320"/>
      <c r="J441" s="142"/>
      <c r="K441" s="320"/>
      <c r="L441" s="142"/>
      <c r="M441" s="320"/>
      <c r="N441" s="142"/>
      <c r="O441" s="320"/>
      <c r="P441" s="142"/>
      <c r="Q441" s="348"/>
      <c r="R441" s="28"/>
      <c r="S441" s="320"/>
      <c r="T441" s="142"/>
      <c r="U441" s="30"/>
      <c r="V441" s="30"/>
      <c r="W441" s="30"/>
      <c r="X441" s="30"/>
      <c r="Y441" s="30"/>
      <c r="Z441" s="30"/>
    </row>
    <row r="442">
      <c r="A442" s="320"/>
      <c r="B442" s="142"/>
      <c r="C442" s="320"/>
      <c r="D442" s="142"/>
      <c r="E442" s="320"/>
      <c r="F442" s="142"/>
      <c r="G442" s="320"/>
      <c r="H442" s="142"/>
      <c r="I442" s="320"/>
      <c r="J442" s="142"/>
      <c r="K442" s="320"/>
      <c r="L442" s="142"/>
      <c r="M442" s="320"/>
      <c r="N442" s="142"/>
      <c r="O442" s="320"/>
      <c r="P442" s="142"/>
      <c r="Q442" s="348"/>
      <c r="R442" s="28"/>
      <c r="S442" s="320"/>
      <c r="T442" s="142"/>
      <c r="U442" s="30"/>
      <c r="V442" s="30"/>
      <c r="W442" s="30"/>
      <c r="X442" s="30"/>
      <c r="Y442" s="30"/>
      <c r="Z442" s="30"/>
    </row>
    <row r="443">
      <c r="A443" s="320"/>
      <c r="B443" s="142"/>
      <c r="C443" s="320"/>
      <c r="D443" s="142"/>
      <c r="E443" s="320"/>
      <c r="F443" s="142"/>
      <c r="G443" s="320"/>
      <c r="H443" s="142"/>
      <c r="I443" s="320"/>
      <c r="J443" s="142"/>
      <c r="K443" s="320"/>
      <c r="L443" s="142"/>
      <c r="M443" s="320"/>
      <c r="N443" s="142"/>
      <c r="O443" s="320"/>
      <c r="P443" s="142"/>
      <c r="Q443" s="348"/>
      <c r="R443" s="28"/>
      <c r="S443" s="320"/>
      <c r="T443" s="142"/>
      <c r="U443" s="30"/>
      <c r="V443" s="30"/>
      <c r="W443" s="30"/>
      <c r="X443" s="30"/>
      <c r="Y443" s="30"/>
      <c r="Z443" s="30"/>
    </row>
    <row r="444">
      <c r="A444" s="320"/>
      <c r="B444" s="142"/>
      <c r="C444" s="320"/>
      <c r="D444" s="142"/>
      <c r="E444" s="320"/>
      <c r="F444" s="142"/>
      <c r="G444" s="320"/>
      <c r="H444" s="142"/>
      <c r="I444" s="320"/>
      <c r="J444" s="142"/>
      <c r="K444" s="320"/>
      <c r="L444" s="142"/>
      <c r="M444" s="320"/>
      <c r="N444" s="142"/>
      <c r="O444" s="320"/>
      <c r="P444" s="142"/>
      <c r="Q444" s="348"/>
      <c r="R444" s="28"/>
      <c r="S444" s="320"/>
      <c r="T444" s="142"/>
      <c r="U444" s="30"/>
      <c r="V444" s="30"/>
      <c r="W444" s="30"/>
      <c r="X444" s="30"/>
      <c r="Y444" s="30"/>
      <c r="Z444" s="30"/>
    </row>
    <row r="445">
      <c r="A445" s="320"/>
      <c r="B445" s="142"/>
      <c r="C445" s="320"/>
      <c r="D445" s="142"/>
      <c r="E445" s="320"/>
      <c r="F445" s="142"/>
      <c r="G445" s="320"/>
      <c r="H445" s="142"/>
      <c r="I445" s="320"/>
      <c r="J445" s="142"/>
      <c r="K445" s="320"/>
      <c r="L445" s="142"/>
      <c r="M445" s="320"/>
      <c r="N445" s="142"/>
      <c r="O445" s="320"/>
      <c r="P445" s="142"/>
      <c r="Q445" s="348"/>
      <c r="R445" s="28"/>
      <c r="S445" s="320"/>
      <c r="T445" s="142"/>
      <c r="U445" s="30"/>
      <c r="V445" s="30"/>
      <c r="W445" s="30"/>
      <c r="X445" s="30"/>
      <c r="Y445" s="30"/>
      <c r="Z445" s="30"/>
    </row>
    <row r="446">
      <c r="A446" s="320"/>
      <c r="B446" s="142"/>
      <c r="C446" s="320"/>
      <c r="D446" s="142"/>
      <c r="E446" s="320"/>
      <c r="F446" s="142"/>
      <c r="G446" s="320"/>
      <c r="H446" s="142"/>
      <c r="I446" s="320"/>
      <c r="J446" s="142"/>
      <c r="K446" s="320"/>
      <c r="L446" s="142"/>
      <c r="M446" s="320"/>
      <c r="N446" s="142"/>
      <c r="O446" s="320"/>
      <c r="P446" s="142"/>
      <c r="Q446" s="348"/>
      <c r="R446" s="28"/>
      <c r="S446" s="320"/>
      <c r="T446" s="142"/>
      <c r="U446" s="30"/>
      <c r="V446" s="30"/>
      <c r="W446" s="30"/>
      <c r="X446" s="30"/>
      <c r="Y446" s="30"/>
      <c r="Z446" s="30"/>
    </row>
    <row r="447">
      <c r="A447" s="320"/>
      <c r="B447" s="142"/>
      <c r="C447" s="320"/>
      <c r="D447" s="142"/>
      <c r="E447" s="320"/>
      <c r="F447" s="142"/>
      <c r="G447" s="320"/>
      <c r="H447" s="142"/>
      <c r="I447" s="320"/>
      <c r="J447" s="142"/>
      <c r="K447" s="320"/>
      <c r="L447" s="142"/>
      <c r="M447" s="320"/>
      <c r="N447" s="142"/>
      <c r="O447" s="320"/>
      <c r="P447" s="142"/>
      <c r="Q447" s="348"/>
      <c r="R447" s="28"/>
      <c r="S447" s="320"/>
      <c r="T447" s="142"/>
      <c r="U447" s="30"/>
      <c r="V447" s="30"/>
      <c r="W447" s="30"/>
      <c r="X447" s="30"/>
      <c r="Y447" s="30"/>
      <c r="Z447" s="30"/>
    </row>
    <row r="448">
      <c r="A448" s="320"/>
      <c r="B448" s="142"/>
      <c r="C448" s="320"/>
      <c r="D448" s="142"/>
      <c r="E448" s="320"/>
      <c r="F448" s="142"/>
      <c r="G448" s="320"/>
      <c r="H448" s="142"/>
      <c r="I448" s="320"/>
      <c r="J448" s="142"/>
      <c r="K448" s="320"/>
      <c r="L448" s="142"/>
      <c r="M448" s="320"/>
      <c r="N448" s="142"/>
      <c r="O448" s="320"/>
      <c r="P448" s="142"/>
      <c r="Q448" s="348"/>
      <c r="R448" s="28"/>
      <c r="S448" s="320"/>
      <c r="T448" s="142"/>
      <c r="U448" s="30"/>
      <c r="V448" s="30"/>
      <c r="W448" s="30"/>
      <c r="X448" s="30"/>
      <c r="Y448" s="30"/>
      <c r="Z448" s="30"/>
    </row>
    <row r="449">
      <c r="A449" s="320"/>
      <c r="B449" s="142"/>
      <c r="C449" s="320"/>
      <c r="D449" s="142"/>
      <c r="E449" s="320"/>
      <c r="F449" s="142"/>
      <c r="G449" s="320"/>
      <c r="H449" s="142"/>
      <c r="I449" s="320"/>
      <c r="J449" s="142"/>
      <c r="K449" s="320"/>
      <c r="L449" s="142"/>
      <c r="M449" s="320"/>
      <c r="N449" s="142"/>
      <c r="O449" s="320"/>
      <c r="P449" s="142"/>
      <c r="Q449" s="348"/>
      <c r="R449" s="28"/>
      <c r="S449" s="320"/>
      <c r="T449" s="142"/>
      <c r="U449" s="30"/>
      <c r="V449" s="30"/>
      <c r="W449" s="30"/>
      <c r="X449" s="30"/>
      <c r="Y449" s="30"/>
      <c r="Z449" s="30"/>
    </row>
    <row r="450">
      <c r="A450" s="320"/>
      <c r="B450" s="142"/>
      <c r="C450" s="320"/>
      <c r="D450" s="142"/>
      <c r="E450" s="320"/>
      <c r="F450" s="142"/>
      <c r="G450" s="320"/>
      <c r="H450" s="142"/>
      <c r="I450" s="320"/>
      <c r="J450" s="142"/>
      <c r="K450" s="320"/>
      <c r="L450" s="142"/>
      <c r="M450" s="320"/>
      <c r="N450" s="142"/>
      <c r="O450" s="320"/>
      <c r="P450" s="142"/>
      <c r="Q450" s="348"/>
      <c r="R450" s="28"/>
      <c r="S450" s="320"/>
      <c r="T450" s="142"/>
      <c r="U450" s="30"/>
      <c r="V450" s="30"/>
      <c r="W450" s="30"/>
      <c r="X450" s="30"/>
      <c r="Y450" s="30"/>
      <c r="Z450" s="30"/>
    </row>
    <row r="451">
      <c r="A451" s="320"/>
      <c r="B451" s="142"/>
      <c r="C451" s="320"/>
      <c r="D451" s="142"/>
      <c r="E451" s="320"/>
      <c r="F451" s="142"/>
      <c r="G451" s="320"/>
      <c r="H451" s="142"/>
      <c r="I451" s="320"/>
      <c r="J451" s="142"/>
      <c r="K451" s="320"/>
      <c r="L451" s="142"/>
      <c r="M451" s="320"/>
      <c r="N451" s="142"/>
      <c r="O451" s="320"/>
      <c r="P451" s="142"/>
      <c r="Q451" s="348"/>
      <c r="R451" s="28"/>
      <c r="S451" s="320"/>
      <c r="T451" s="142"/>
      <c r="U451" s="30"/>
      <c r="V451" s="30"/>
      <c r="W451" s="30"/>
      <c r="X451" s="30"/>
      <c r="Y451" s="30"/>
      <c r="Z451" s="30"/>
    </row>
    <row r="452">
      <c r="A452" s="320"/>
      <c r="B452" s="142"/>
      <c r="C452" s="320"/>
      <c r="D452" s="142"/>
      <c r="E452" s="320"/>
      <c r="F452" s="142"/>
      <c r="G452" s="320"/>
      <c r="H452" s="142"/>
      <c r="I452" s="320"/>
      <c r="J452" s="142"/>
      <c r="K452" s="320"/>
      <c r="L452" s="142"/>
      <c r="M452" s="320"/>
      <c r="N452" s="142"/>
      <c r="O452" s="320"/>
      <c r="P452" s="142"/>
      <c r="Q452" s="348"/>
      <c r="R452" s="28"/>
      <c r="S452" s="320"/>
      <c r="T452" s="142"/>
      <c r="U452" s="30"/>
      <c r="V452" s="30"/>
      <c r="W452" s="30"/>
      <c r="X452" s="30"/>
      <c r="Y452" s="30"/>
      <c r="Z452" s="30"/>
    </row>
    <row r="453">
      <c r="A453" s="320"/>
      <c r="B453" s="142"/>
      <c r="C453" s="320"/>
      <c r="D453" s="142"/>
      <c r="E453" s="320"/>
      <c r="F453" s="142"/>
      <c r="G453" s="320"/>
      <c r="H453" s="142"/>
      <c r="I453" s="320"/>
      <c r="J453" s="142"/>
      <c r="K453" s="320"/>
      <c r="L453" s="142"/>
      <c r="M453" s="320"/>
      <c r="N453" s="142"/>
      <c r="O453" s="320"/>
      <c r="P453" s="142"/>
      <c r="Q453" s="348"/>
      <c r="R453" s="28"/>
      <c r="S453" s="320"/>
      <c r="T453" s="142"/>
      <c r="U453" s="30"/>
      <c r="V453" s="30"/>
      <c r="W453" s="30"/>
      <c r="X453" s="30"/>
      <c r="Y453" s="30"/>
      <c r="Z453" s="30"/>
    </row>
    <row r="454">
      <c r="A454" s="320"/>
      <c r="B454" s="142"/>
      <c r="C454" s="320"/>
      <c r="D454" s="142"/>
      <c r="E454" s="320"/>
      <c r="F454" s="142"/>
      <c r="G454" s="320"/>
      <c r="H454" s="142"/>
      <c r="I454" s="320"/>
      <c r="J454" s="142"/>
      <c r="K454" s="320"/>
      <c r="L454" s="142"/>
      <c r="M454" s="320"/>
      <c r="N454" s="142"/>
      <c r="O454" s="320"/>
      <c r="P454" s="142"/>
      <c r="Q454" s="348"/>
      <c r="R454" s="28"/>
      <c r="S454" s="320"/>
      <c r="T454" s="142"/>
      <c r="U454" s="30"/>
      <c r="V454" s="30"/>
      <c r="W454" s="30"/>
      <c r="X454" s="30"/>
      <c r="Y454" s="30"/>
      <c r="Z454" s="30"/>
    </row>
    <row r="455">
      <c r="A455" s="320"/>
      <c r="B455" s="142"/>
      <c r="C455" s="320"/>
      <c r="D455" s="142"/>
      <c r="E455" s="320"/>
      <c r="F455" s="142"/>
      <c r="G455" s="320"/>
      <c r="H455" s="142"/>
      <c r="I455" s="320"/>
      <c r="J455" s="142"/>
      <c r="K455" s="320"/>
      <c r="L455" s="142"/>
      <c r="M455" s="320"/>
      <c r="N455" s="142"/>
      <c r="O455" s="320"/>
      <c r="P455" s="142"/>
      <c r="Q455" s="348"/>
      <c r="R455" s="28"/>
      <c r="S455" s="320"/>
      <c r="T455" s="142"/>
      <c r="U455" s="30"/>
      <c r="V455" s="30"/>
      <c r="W455" s="30"/>
      <c r="X455" s="30"/>
      <c r="Y455" s="30"/>
      <c r="Z455" s="30"/>
    </row>
    <row r="456">
      <c r="A456" s="320"/>
      <c r="B456" s="142"/>
      <c r="C456" s="320"/>
      <c r="D456" s="142"/>
      <c r="E456" s="320"/>
      <c r="F456" s="142"/>
      <c r="G456" s="320"/>
      <c r="H456" s="142"/>
      <c r="I456" s="320"/>
      <c r="J456" s="142"/>
      <c r="K456" s="320"/>
      <c r="L456" s="142"/>
      <c r="M456" s="320"/>
      <c r="N456" s="142"/>
      <c r="O456" s="320"/>
      <c r="P456" s="142"/>
      <c r="Q456" s="348"/>
      <c r="R456" s="28"/>
      <c r="S456" s="320"/>
      <c r="T456" s="142"/>
      <c r="U456" s="30"/>
      <c r="V456" s="30"/>
      <c r="W456" s="30"/>
      <c r="X456" s="30"/>
      <c r="Y456" s="30"/>
      <c r="Z456" s="30"/>
    </row>
    <row r="457">
      <c r="A457" s="320"/>
      <c r="B457" s="142"/>
      <c r="C457" s="320"/>
      <c r="D457" s="142"/>
      <c r="E457" s="320"/>
      <c r="F457" s="142"/>
      <c r="G457" s="320"/>
      <c r="H457" s="142"/>
      <c r="I457" s="320"/>
      <c r="J457" s="142"/>
      <c r="K457" s="320"/>
      <c r="L457" s="142"/>
      <c r="M457" s="320"/>
      <c r="N457" s="142"/>
      <c r="O457" s="320"/>
      <c r="P457" s="142"/>
      <c r="Q457" s="348"/>
      <c r="R457" s="28"/>
      <c r="S457" s="320"/>
      <c r="T457" s="142"/>
      <c r="U457" s="30"/>
      <c r="V457" s="30"/>
      <c r="W457" s="30"/>
      <c r="X457" s="30"/>
      <c r="Y457" s="30"/>
      <c r="Z457" s="30"/>
    </row>
    <row r="458">
      <c r="A458" s="320"/>
      <c r="B458" s="142"/>
      <c r="C458" s="320"/>
      <c r="D458" s="142"/>
      <c r="E458" s="320"/>
      <c r="F458" s="142"/>
      <c r="G458" s="320"/>
      <c r="H458" s="142"/>
      <c r="I458" s="320"/>
      <c r="J458" s="142"/>
      <c r="K458" s="320"/>
      <c r="L458" s="142"/>
      <c r="M458" s="320"/>
      <c r="N458" s="142"/>
      <c r="O458" s="320"/>
      <c r="P458" s="142"/>
      <c r="Q458" s="348"/>
      <c r="R458" s="28"/>
      <c r="S458" s="320"/>
      <c r="T458" s="142"/>
      <c r="U458" s="30"/>
      <c r="V458" s="30"/>
      <c r="W458" s="30"/>
      <c r="X458" s="30"/>
      <c r="Y458" s="30"/>
      <c r="Z458" s="30"/>
    </row>
    <row r="459">
      <c r="A459" s="320"/>
      <c r="B459" s="142"/>
      <c r="C459" s="320"/>
      <c r="D459" s="142"/>
      <c r="E459" s="320"/>
      <c r="F459" s="142"/>
      <c r="G459" s="320"/>
      <c r="H459" s="142"/>
      <c r="I459" s="320"/>
      <c r="J459" s="142"/>
      <c r="K459" s="320"/>
      <c r="L459" s="142"/>
      <c r="M459" s="320"/>
      <c r="N459" s="142"/>
      <c r="O459" s="320"/>
      <c r="P459" s="142"/>
      <c r="Q459" s="348"/>
      <c r="R459" s="28"/>
      <c r="S459" s="320"/>
      <c r="T459" s="142"/>
      <c r="U459" s="30"/>
      <c r="V459" s="30"/>
      <c r="W459" s="30"/>
      <c r="X459" s="30"/>
      <c r="Y459" s="30"/>
      <c r="Z459" s="30"/>
    </row>
    <row r="460">
      <c r="A460" s="320"/>
      <c r="B460" s="142"/>
      <c r="C460" s="320"/>
      <c r="D460" s="142"/>
      <c r="E460" s="320"/>
      <c r="F460" s="142"/>
      <c r="G460" s="320"/>
      <c r="H460" s="142"/>
      <c r="I460" s="320"/>
      <c r="J460" s="142"/>
      <c r="K460" s="320"/>
      <c r="L460" s="142"/>
      <c r="M460" s="320"/>
      <c r="N460" s="142"/>
      <c r="O460" s="320"/>
      <c r="P460" s="142"/>
      <c r="Q460" s="348"/>
      <c r="R460" s="28"/>
      <c r="S460" s="320"/>
      <c r="T460" s="142"/>
      <c r="U460" s="30"/>
      <c r="V460" s="30"/>
      <c r="W460" s="30"/>
      <c r="X460" s="30"/>
      <c r="Y460" s="30"/>
      <c r="Z460" s="30"/>
    </row>
    <row r="461">
      <c r="A461" s="320"/>
      <c r="B461" s="142"/>
      <c r="C461" s="320"/>
      <c r="D461" s="142"/>
      <c r="E461" s="320"/>
      <c r="F461" s="142"/>
      <c r="G461" s="320"/>
      <c r="H461" s="142"/>
      <c r="I461" s="320"/>
      <c r="J461" s="142"/>
      <c r="K461" s="320"/>
      <c r="L461" s="142"/>
      <c r="M461" s="320"/>
      <c r="N461" s="142"/>
      <c r="O461" s="320"/>
      <c r="P461" s="142"/>
      <c r="Q461" s="348"/>
      <c r="R461" s="28"/>
      <c r="S461" s="320"/>
      <c r="T461" s="142"/>
      <c r="U461" s="30"/>
      <c r="V461" s="30"/>
      <c r="W461" s="30"/>
      <c r="X461" s="30"/>
      <c r="Y461" s="30"/>
      <c r="Z461" s="30"/>
    </row>
    <row r="462">
      <c r="A462" s="320"/>
      <c r="B462" s="142"/>
      <c r="C462" s="320"/>
      <c r="D462" s="142"/>
      <c r="E462" s="320"/>
      <c r="F462" s="142"/>
      <c r="G462" s="320"/>
      <c r="H462" s="142"/>
      <c r="I462" s="320"/>
      <c r="J462" s="142"/>
      <c r="K462" s="320"/>
      <c r="L462" s="142"/>
      <c r="M462" s="320"/>
      <c r="N462" s="142"/>
      <c r="O462" s="320"/>
      <c r="P462" s="142"/>
      <c r="Q462" s="348"/>
      <c r="R462" s="28"/>
      <c r="S462" s="320"/>
      <c r="T462" s="142"/>
      <c r="U462" s="30"/>
      <c r="V462" s="30"/>
      <c r="W462" s="30"/>
      <c r="X462" s="30"/>
      <c r="Y462" s="30"/>
      <c r="Z462" s="30"/>
    </row>
    <row r="463">
      <c r="A463" s="320"/>
      <c r="B463" s="142"/>
      <c r="C463" s="320"/>
      <c r="D463" s="142"/>
      <c r="E463" s="320"/>
      <c r="F463" s="142"/>
      <c r="G463" s="320"/>
      <c r="H463" s="142"/>
      <c r="I463" s="320"/>
      <c r="J463" s="142"/>
      <c r="K463" s="320"/>
      <c r="L463" s="142"/>
      <c r="M463" s="320"/>
      <c r="N463" s="142"/>
      <c r="O463" s="320"/>
      <c r="P463" s="142"/>
      <c r="Q463" s="348"/>
      <c r="R463" s="28"/>
      <c r="S463" s="320"/>
      <c r="T463" s="142"/>
      <c r="U463" s="30"/>
      <c r="V463" s="30"/>
      <c r="W463" s="30"/>
      <c r="X463" s="30"/>
      <c r="Y463" s="30"/>
      <c r="Z463" s="30"/>
    </row>
    <row r="464">
      <c r="A464" s="320"/>
      <c r="B464" s="142"/>
      <c r="C464" s="320"/>
      <c r="D464" s="142"/>
      <c r="E464" s="320"/>
      <c r="F464" s="142"/>
      <c r="G464" s="320"/>
      <c r="H464" s="142"/>
      <c r="I464" s="320"/>
      <c r="J464" s="142"/>
      <c r="K464" s="320"/>
      <c r="L464" s="142"/>
      <c r="M464" s="320"/>
      <c r="N464" s="142"/>
      <c r="O464" s="320"/>
      <c r="P464" s="142"/>
      <c r="Q464" s="348"/>
      <c r="R464" s="28"/>
      <c r="S464" s="320"/>
      <c r="T464" s="142"/>
      <c r="U464" s="30"/>
      <c r="V464" s="30"/>
      <c r="W464" s="30"/>
      <c r="X464" s="30"/>
      <c r="Y464" s="30"/>
      <c r="Z464" s="30"/>
    </row>
    <row r="465">
      <c r="A465" s="320"/>
      <c r="B465" s="142"/>
      <c r="C465" s="320"/>
      <c r="D465" s="142"/>
      <c r="E465" s="320"/>
      <c r="F465" s="142"/>
      <c r="G465" s="320"/>
      <c r="H465" s="142"/>
      <c r="I465" s="320"/>
      <c r="J465" s="142"/>
      <c r="K465" s="320"/>
      <c r="L465" s="142"/>
      <c r="M465" s="320"/>
      <c r="N465" s="142"/>
      <c r="O465" s="320"/>
      <c r="P465" s="142"/>
      <c r="Q465" s="348"/>
      <c r="R465" s="28"/>
      <c r="S465" s="320"/>
      <c r="T465" s="142"/>
      <c r="U465" s="30"/>
      <c r="V465" s="30"/>
      <c r="W465" s="30"/>
      <c r="X465" s="30"/>
      <c r="Y465" s="30"/>
      <c r="Z465" s="30"/>
    </row>
    <row r="466">
      <c r="A466" s="320"/>
      <c r="B466" s="142"/>
      <c r="C466" s="320"/>
      <c r="D466" s="142"/>
      <c r="E466" s="320"/>
      <c r="F466" s="142"/>
      <c r="G466" s="320"/>
      <c r="H466" s="142"/>
      <c r="I466" s="320"/>
      <c r="J466" s="142"/>
      <c r="K466" s="320"/>
      <c r="L466" s="142"/>
      <c r="M466" s="320"/>
      <c r="N466" s="142"/>
      <c r="O466" s="320"/>
      <c r="P466" s="142"/>
      <c r="Q466" s="348"/>
      <c r="R466" s="28"/>
      <c r="S466" s="320"/>
      <c r="T466" s="142"/>
      <c r="U466" s="30"/>
      <c r="V466" s="30"/>
      <c r="W466" s="30"/>
      <c r="X466" s="30"/>
      <c r="Y466" s="30"/>
      <c r="Z466" s="30"/>
    </row>
    <row r="467">
      <c r="A467" s="320"/>
      <c r="B467" s="142"/>
      <c r="C467" s="320"/>
      <c r="D467" s="142"/>
      <c r="E467" s="320"/>
      <c r="F467" s="142"/>
      <c r="G467" s="320"/>
      <c r="H467" s="142"/>
      <c r="I467" s="320"/>
      <c r="J467" s="142"/>
      <c r="K467" s="320"/>
      <c r="L467" s="142"/>
      <c r="M467" s="320"/>
      <c r="N467" s="142"/>
      <c r="O467" s="320"/>
      <c r="P467" s="142"/>
      <c r="Q467" s="348"/>
      <c r="R467" s="28"/>
      <c r="S467" s="320"/>
      <c r="T467" s="142"/>
      <c r="U467" s="30"/>
      <c r="V467" s="30"/>
      <c r="W467" s="30"/>
      <c r="X467" s="30"/>
      <c r="Y467" s="30"/>
      <c r="Z467" s="30"/>
    </row>
    <row r="468">
      <c r="A468" s="320"/>
      <c r="B468" s="142"/>
      <c r="C468" s="320"/>
      <c r="D468" s="142"/>
      <c r="E468" s="320"/>
      <c r="F468" s="142"/>
      <c r="G468" s="320"/>
      <c r="H468" s="142"/>
      <c r="I468" s="320"/>
      <c r="J468" s="142"/>
      <c r="K468" s="320"/>
      <c r="L468" s="142"/>
      <c r="M468" s="320"/>
      <c r="N468" s="142"/>
      <c r="O468" s="320"/>
      <c r="P468" s="142"/>
      <c r="Q468" s="348"/>
      <c r="R468" s="28"/>
      <c r="S468" s="320"/>
      <c r="T468" s="142"/>
      <c r="U468" s="30"/>
      <c r="V468" s="30"/>
      <c r="W468" s="30"/>
      <c r="X468" s="30"/>
      <c r="Y468" s="30"/>
      <c r="Z468" s="30"/>
    </row>
    <row r="469">
      <c r="A469" s="320"/>
      <c r="B469" s="142"/>
      <c r="C469" s="320"/>
      <c r="D469" s="142"/>
      <c r="E469" s="320"/>
      <c r="F469" s="142"/>
      <c r="G469" s="320"/>
      <c r="H469" s="142"/>
      <c r="I469" s="320"/>
      <c r="J469" s="142"/>
      <c r="K469" s="320"/>
      <c r="L469" s="142"/>
      <c r="M469" s="320"/>
      <c r="N469" s="142"/>
      <c r="O469" s="320"/>
      <c r="P469" s="142"/>
      <c r="Q469" s="348"/>
      <c r="R469" s="28"/>
      <c r="S469" s="320"/>
      <c r="T469" s="142"/>
      <c r="U469" s="30"/>
      <c r="V469" s="30"/>
      <c r="W469" s="30"/>
      <c r="X469" s="30"/>
      <c r="Y469" s="30"/>
      <c r="Z469" s="30"/>
    </row>
    <row r="470">
      <c r="A470" s="320"/>
      <c r="B470" s="142"/>
      <c r="C470" s="320"/>
      <c r="D470" s="142"/>
      <c r="E470" s="320"/>
      <c r="F470" s="142"/>
      <c r="G470" s="320"/>
      <c r="H470" s="142"/>
      <c r="I470" s="320"/>
      <c r="J470" s="142"/>
      <c r="K470" s="320"/>
      <c r="L470" s="142"/>
      <c r="M470" s="320"/>
      <c r="N470" s="142"/>
      <c r="O470" s="320"/>
      <c r="P470" s="142"/>
      <c r="Q470" s="348"/>
      <c r="R470" s="28"/>
      <c r="S470" s="320"/>
      <c r="T470" s="142"/>
      <c r="U470" s="30"/>
      <c r="V470" s="30"/>
      <c r="W470" s="30"/>
      <c r="X470" s="30"/>
      <c r="Y470" s="30"/>
      <c r="Z470" s="30"/>
    </row>
    <row r="471">
      <c r="A471" s="320"/>
      <c r="B471" s="142"/>
      <c r="C471" s="320"/>
      <c r="D471" s="142"/>
      <c r="E471" s="320"/>
      <c r="F471" s="142"/>
      <c r="G471" s="320"/>
      <c r="H471" s="142"/>
      <c r="I471" s="320"/>
      <c r="J471" s="142"/>
      <c r="K471" s="320"/>
      <c r="L471" s="142"/>
      <c r="M471" s="320"/>
      <c r="N471" s="142"/>
      <c r="O471" s="320"/>
      <c r="P471" s="142"/>
      <c r="Q471" s="348"/>
      <c r="R471" s="28"/>
      <c r="S471" s="320"/>
      <c r="T471" s="142"/>
      <c r="U471" s="30"/>
      <c r="V471" s="30"/>
      <c r="W471" s="30"/>
      <c r="X471" s="30"/>
      <c r="Y471" s="30"/>
      <c r="Z471" s="30"/>
    </row>
    <row r="472">
      <c r="A472" s="320"/>
      <c r="B472" s="142"/>
      <c r="C472" s="320"/>
      <c r="D472" s="142"/>
      <c r="E472" s="320"/>
      <c r="F472" s="142"/>
      <c r="G472" s="320"/>
      <c r="H472" s="142"/>
      <c r="I472" s="320"/>
      <c r="J472" s="142"/>
      <c r="K472" s="320"/>
      <c r="L472" s="142"/>
      <c r="M472" s="320"/>
      <c r="N472" s="142"/>
      <c r="O472" s="320"/>
      <c r="P472" s="142"/>
      <c r="Q472" s="348"/>
      <c r="R472" s="28"/>
      <c r="S472" s="320"/>
      <c r="T472" s="142"/>
      <c r="U472" s="30"/>
      <c r="V472" s="30"/>
      <c r="W472" s="30"/>
      <c r="X472" s="30"/>
      <c r="Y472" s="30"/>
      <c r="Z472" s="30"/>
    </row>
    <row r="473">
      <c r="A473" s="320"/>
      <c r="B473" s="142"/>
      <c r="C473" s="320"/>
      <c r="D473" s="142"/>
      <c r="E473" s="320"/>
      <c r="F473" s="142"/>
      <c r="G473" s="320"/>
      <c r="H473" s="142"/>
      <c r="I473" s="320"/>
      <c r="J473" s="142"/>
      <c r="K473" s="320"/>
      <c r="L473" s="142"/>
      <c r="M473" s="320"/>
      <c r="N473" s="142"/>
      <c r="O473" s="320"/>
      <c r="P473" s="142"/>
      <c r="Q473" s="348"/>
      <c r="R473" s="28"/>
      <c r="S473" s="320"/>
      <c r="T473" s="142"/>
      <c r="U473" s="30"/>
      <c r="V473" s="30"/>
      <c r="W473" s="30"/>
      <c r="X473" s="30"/>
      <c r="Y473" s="30"/>
      <c r="Z473" s="30"/>
    </row>
    <row r="474">
      <c r="A474" s="320"/>
      <c r="B474" s="142"/>
      <c r="C474" s="320"/>
      <c r="D474" s="142"/>
      <c r="E474" s="320"/>
      <c r="F474" s="142"/>
      <c r="G474" s="320"/>
      <c r="H474" s="142"/>
      <c r="I474" s="320"/>
      <c r="J474" s="142"/>
      <c r="K474" s="320"/>
      <c r="L474" s="142"/>
      <c r="M474" s="320"/>
      <c r="N474" s="142"/>
      <c r="O474" s="320"/>
      <c r="P474" s="142"/>
      <c r="Q474" s="348"/>
      <c r="R474" s="28"/>
      <c r="S474" s="320"/>
      <c r="T474" s="142"/>
      <c r="U474" s="30"/>
      <c r="V474" s="30"/>
      <c r="W474" s="30"/>
      <c r="X474" s="30"/>
      <c r="Y474" s="30"/>
      <c r="Z474" s="30"/>
    </row>
    <row r="475">
      <c r="A475" s="320"/>
      <c r="B475" s="142"/>
      <c r="C475" s="320"/>
      <c r="D475" s="142"/>
      <c r="E475" s="320"/>
      <c r="F475" s="142"/>
      <c r="G475" s="320"/>
      <c r="H475" s="142"/>
      <c r="I475" s="320"/>
      <c r="J475" s="142"/>
      <c r="K475" s="320"/>
      <c r="L475" s="142"/>
      <c r="M475" s="320"/>
      <c r="N475" s="142"/>
      <c r="O475" s="320"/>
      <c r="P475" s="142"/>
      <c r="Q475" s="348"/>
      <c r="R475" s="28"/>
      <c r="S475" s="320"/>
      <c r="T475" s="142"/>
      <c r="U475" s="30"/>
      <c r="V475" s="30"/>
      <c r="W475" s="30"/>
      <c r="X475" s="30"/>
      <c r="Y475" s="30"/>
      <c r="Z475" s="30"/>
    </row>
    <row r="476">
      <c r="A476" s="320"/>
      <c r="B476" s="142"/>
      <c r="C476" s="320"/>
      <c r="D476" s="142"/>
      <c r="E476" s="320"/>
      <c r="F476" s="142"/>
      <c r="G476" s="320"/>
      <c r="H476" s="142"/>
      <c r="I476" s="320"/>
      <c r="J476" s="142"/>
      <c r="K476" s="320"/>
      <c r="L476" s="142"/>
      <c r="M476" s="320"/>
      <c r="N476" s="142"/>
      <c r="O476" s="320"/>
      <c r="P476" s="142"/>
      <c r="Q476" s="348"/>
      <c r="R476" s="28"/>
      <c r="S476" s="320"/>
      <c r="T476" s="142"/>
      <c r="U476" s="30"/>
      <c r="V476" s="30"/>
      <c r="W476" s="30"/>
      <c r="X476" s="30"/>
      <c r="Y476" s="30"/>
      <c r="Z476" s="30"/>
    </row>
    <row r="477">
      <c r="A477" s="320"/>
      <c r="B477" s="142"/>
      <c r="C477" s="320"/>
      <c r="D477" s="142"/>
      <c r="E477" s="320"/>
      <c r="F477" s="142"/>
      <c r="G477" s="320"/>
      <c r="H477" s="142"/>
      <c r="I477" s="320"/>
      <c r="J477" s="142"/>
      <c r="K477" s="320"/>
      <c r="L477" s="142"/>
      <c r="M477" s="320"/>
      <c r="N477" s="142"/>
      <c r="O477" s="320"/>
      <c r="P477" s="142"/>
      <c r="Q477" s="348"/>
      <c r="R477" s="28"/>
      <c r="S477" s="320"/>
      <c r="T477" s="142"/>
      <c r="U477" s="30"/>
      <c r="V477" s="30"/>
      <c r="W477" s="30"/>
      <c r="X477" s="30"/>
      <c r="Y477" s="30"/>
      <c r="Z477" s="30"/>
    </row>
    <row r="478">
      <c r="A478" s="320"/>
      <c r="B478" s="142"/>
      <c r="C478" s="320"/>
      <c r="D478" s="142"/>
      <c r="E478" s="320"/>
      <c r="F478" s="142"/>
      <c r="G478" s="320"/>
      <c r="H478" s="142"/>
      <c r="I478" s="320"/>
      <c r="J478" s="142"/>
      <c r="K478" s="320"/>
      <c r="L478" s="142"/>
      <c r="M478" s="320"/>
      <c r="N478" s="142"/>
      <c r="O478" s="320"/>
      <c r="P478" s="142"/>
      <c r="Q478" s="348"/>
      <c r="R478" s="28"/>
      <c r="S478" s="320"/>
      <c r="T478" s="142"/>
      <c r="U478" s="30"/>
      <c r="V478" s="30"/>
      <c r="W478" s="30"/>
      <c r="X478" s="30"/>
      <c r="Y478" s="30"/>
      <c r="Z478" s="30"/>
    </row>
    <row r="479">
      <c r="A479" s="320"/>
      <c r="B479" s="142"/>
      <c r="C479" s="320"/>
      <c r="D479" s="142"/>
      <c r="E479" s="320"/>
      <c r="F479" s="142"/>
      <c r="G479" s="320"/>
      <c r="H479" s="142"/>
      <c r="I479" s="320"/>
      <c r="J479" s="142"/>
      <c r="K479" s="320"/>
      <c r="L479" s="142"/>
      <c r="M479" s="320"/>
      <c r="N479" s="142"/>
      <c r="O479" s="320"/>
      <c r="P479" s="142"/>
      <c r="Q479" s="348"/>
      <c r="R479" s="28"/>
      <c r="S479" s="320"/>
      <c r="T479" s="142"/>
      <c r="U479" s="30"/>
      <c r="V479" s="30"/>
      <c r="W479" s="30"/>
      <c r="X479" s="30"/>
      <c r="Y479" s="30"/>
      <c r="Z479" s="30"/>
    </row>
    <row r="480">
      <c r="A480" s="320"/>
      <c r="B480" s="142"/>
      <c r="C480" s="320"/>
      <c r="D480" s="142"/>
      <c r="E480" s="320"/>
      <c r="F480" s="142"/>
      <c r="G480" s="320"/>
      <c r="H480" s="142"/>
      <c r="I480" s="320"/>
      <c r="J480" s="142"/>
      <c r="K480" s="320"/>
      <c r="L480" s="142"/>
      <c r="M480" s="320"/>
      <c r="N480" s="142"/>
      <c r="O480" s="320"/>
      <c r="P480" s="142"/>
      <c r="Q480" s="348"/>
      <c r="R480" s="28"/>
      <c r="S480" s="320"/>
      <c r="T480" s="142"/>
      <c r="U480" s="30"/>
      <c r="V480" s="30"/>
      <c r="W480" s="30"/>
      <c r="X480" s="30"/>
      <c r="Y480" s="30"/>
      <c r="Z480" s="30"/>
    </row>
    <row r="481">
      <c r="A481" s="320"/>
      <c r="B481" s="142"/>
      <c r="C481" s="320"/>
      <c r="D481" s="142"/>
      <c r="E481" s="320"/>
      <c r="F481" s="142"/>
      <c r="G481" s="320"/>
      <c r="H481" s="142"/>
      <c r="I481" s="320"/>
      <c r="J481" s="142"/>
      <c r="K481" s="320"/>
      <c r="L481" s="142"/>
      <c r="M481" s="320"/>
      <c r="N481" s="142"/>
      <c r="O481" s="320"/>
      <c r="P481" s="142"/>
      <c r="Q481" s="348"/>
      <c r="R481" s="28"/>
      <c r="S481" s="320"/>
      <c r="T481" s="142"/>
      <c r="U481" s="30"/>
      <c r="V481" s="30"/>
      <c r="W481" s="30"/>
      <c r="X481" s="30"/>
      <c r="Y481" s="30"/>
      <c r="Z481" s="30"/>
    </row>
    <row r="482">
      <c r="A482" s="320"/>
      <c r="B482" s="142"/>
      <c r="C482" s="320"/>
      <c r="D482" s="142"/>
      <c r="E482" s="320"/>
      <c r="F482" s="142"/>
      <c r="G482" s="320"/>
      <c r="H482" s="142"/>
      <c r="I482" s="320"/>
      <c r="J482" s="142"/>
      <c r="K482" s="320"/>
      <c r="L482" s="142"/>
      <c r="M482" s="320"/>
      <c r="N482" s="142"/>
      <c r="O482" s="320"/>
      <c r="P482" s="142"/>
      <c r="Q482" s="348"/>
      <c r="R482" s="28"/>
      <c r="S482" s="320"/>
      <c r="T482" s="142"/>
      <c r="U482" s="30"/>
      <c r="V482" s="30"/>
      <c r="W482" s="30"/>
      <c r="X482" s="30"/>
      <c r="Y482" s="30"/>
      <c r="Z482" s="30"/>
    </row>
    <row r="483">
      <c r="A483" s="320"/>
      <c r="B483" s="142"/>
      <c r="C483" s="320"/>
      <c r="D483" s="142"/>
      <c r="E483" s="320"/>
      <c r="F483" s="142"/>
      <c r="G483" s="320"/>
      <c r="H483" s="142"/>
      <c r="I483" s="320"/>
      <c r="J483" s="142"/>
      <c r="K483" s="320"/>
      <c r="L483" s="142"/>
      <c r="M483" s="320"/>
      <c r="N483" s="142"/>
      <c r="O483" s="320"/>
      <c r="P483" s="142"/>
      <c r="Q483" s="348"/>
      <c r="R483" s="28"/>
      <c r="S483" s="320"/>
      <c r="T483" s="142"/>
      <c r="U483" s="30"/>
      <c r="V483" s="30"/>
      <c r="W483" s="30"/>
      <c r="X483" s="30"/>
      <c r="Y483" s="30"/>
      <c r="Z483" s="30"/>
    </row>
    <row r="484">
      <c r="A484" s="320"/>
      <c r="B484" s="142"/>
      <c r="C484" s="320"/>
      <c r="D484" s="142"/>
      <c r="E484" s="320"/>
      <c r="F484" s="142"/>
      <c r="G484" s="320"/>
      <c r="H484" s="142"/>
      <c r="I484" s="320"/>
      <c r="J484" s="142"/>
      <c r="K484" s="320"/>
      <c r="L484" s="142"/>
      <c r="M484" s="320"/>
      <c r="N484" s="142"/>
      <c r="O484" s="320"/>
      <c r="P484" s="142"/>
      <c r="Q484" s="348"/>
      <c r="R484" s="28"/>
      <c r="S484" s="320"/>
      <c r="T484" s="142"/>
      <c r="U484" s="30"/>
      <c r="V484" s="30"/>
      <c r="W484" s="30"/>
      <c r="X484" s="30"/>
      <c r="Y484" s="30"/>
      <c r="Z484" s="30"/>
    </row>
    <row r="485">
      <c r="A485" s="320"/>
      <c r="B485" s="142"/>
      <c r="C485" s="320"/>
      <c r="D485" s="142"/>
      <c r="E485" s="320"/>
      <c r="F485" s="142"/>
      <c r="G485" s="320"/>
      <c r="H485" s="142"/>
      <c r="I485" s="320"/>
      <c r="J485" s="142"/>
      <c r="K485" s="320"/>
      <c r="L485" s="142"/>
      <c r="M485" s="320"/>
      <c r="N485" s="142"/>
      <c r="O485" s="320"/>
      <c r="P485" s="142"/>
      <c r="Q485" s="348"/>
      <c r="R485" s="28"/>
      <c r="S485" s="320"/>
      <c r="T485" s="142"/>
      <c r="U485" s="30"/>
      <c r="V485" s="30"/>
      <c r="W485" s="30"/>
      <c r="X485" s="30"/>
      <c r="Y485" s="30"/>
      <c r="Z485" s="30"/>
    </row>
    <row r="486">
      <c r="A486" s="320"/>
      <c r="B486" s="142"/>
      <c r="C486" s="320"/>
      <c r="D486" s="142"/>
      <c r="E486" s="320"/>
      <c r="F486" s="142"/>
      <c r="G486" s="320"/>
      <c r="H486" s="142"/>
      <c r="I486" s="320"/>
      <c r="J486" s="142"/>
      <c r="K486" s="320"/>
      <c r="L486" s="142"/>
      <c r="M486" s="320"/>
      <c r="N486" s="142"/>
      <c r="O486" s="320"/>
      <c r="P486" s="142"/>
      <c r="Q486" s="348"/>
      <c r="R486" s="28"/>
      <c r="S486" s="320"/>
      <c r="T486" s="142"/>
      <c r="U486" s="30"/>
      <c r="V486" s="30"/>
      <c r="W486" s="30"/>
      <c r="X486" s="30"/>
      <c r="Y486" s="30"/>
      <c r="Z486" s="30"/>
    </row>
    <row r="487">
      <c r="A487" s="320"/>
      <c r="B487" s="142"/>
      <c r="C487" s="320"/>
      <c r="D487" s="142"/>
      <c r="E487" s="320"/>
      <c r="F487" s="142"/>
      <c r="G487" s="320"/>
      <c r="H487" s="142"/>
      <c r="I487" s="320"/>
      <c r="J487" s="142"/>
      <c r="K487" s="320"/>
      <c r="L487" s="142"/>
      <c r="M487" s="320"/>
      <c r="N487" s="142"/>
      <c r="O487" s="320"/>
      <c r="P487" s="142"/>
      <c r="Q487" s="348"/>
      <c r="R487" s="28"/>
      <c r="S487" s="320"/>
      <c r="T487" s="142"/>
      <c r="U487" s="30"/>
      <c r="V487" s="30"/>
      <c r="W487" s="30"/>
      <c r="X487" s="30"/>
      <c r="Y487" s="30"/>
      <c r="Z487" s="30"/>
    </row>
    <row r="488">
      <c r="A488" s="320"/>
      <c r="B488" s="142"/>
      <c r="C488" s="320"/>
      <c r="D488" s="142"/>
      <c r="E488" s="320"/>
      <c r="F488" s="142"/>
      <c r="G488" s="320"/>
      <c r="H488" s="142"/>
      <c r="I488" s="320"/>
      <c r="J488" s="142"/>
      <c r="K488" s="320"/>
      <c r="L488" s="142"/>
      <c r="M488" s="320"/>
      <c r="N488" s="142"/>
      <c r="O488" s="320"/>
      <c r="P488" s="142"/>
      <c r="Q488" s="348"/>
      <c r="R488" s="28"/>
      <c r="S488" s="320"/>
      <c r="T488" s="142"/>
      <c r="U488" s="30"/>
      <c r="V488" s="30"/>
      <c r="W488" s="30"/>
      <c r="X488" s="30"/>
      <c r="Y488" s="30"/>
      <c r="Z488" s="30"/>
    </row>
    <row r="489">
      <c r="A489" s="320"/>
      <c r="B489" s="142"/>
      <c r="C489" s="320"/>
      <c r="D489" s="142"/>
      <c r="E489" s="320"/>
      <c r="F489" s="142"/>
      <c r="G489" s="320"/>
      <c r="H489" s="142"/>
      <c r="I489" s="320"/>
      <c r="J489" s="142"/>
      <c r="K489" s="320"/>
      <c r="L489" s="142"/>
      <c r="M489" s="320"/>
      <c r="N489" s="142"/>
      <c r="O489" s="320"/>
      <c r="P489" s="142"/>
      <c r="Q489" s="348"/>
      <c r="R489" s="28"/>
      <c r="S489" s="320"/>
      <c r="T489" s="142"/>
      <c r="U489" s="30"/>
      <c r="V489" s="30"/>
      <c r="W489" s="30"/>
      <c r="X489" s="30"/>
      <c r="Y489" s="30"/>
      <c r="Z489" s="30"/>
    </row>
    <row r="490">
      <c r="A490" s="320"/>
      <c r="B490" s="142"/>
      <c r="C490" s="320"/>
      <c r="D490" s="142"/>
      <c r="E490" s="320"/>
      <c r="F490" s="142"/>
      <c r="G490" s="320"/>
      <c r="H490" s="142"/>
      <c r="I490" s="320"/>
      <c r="J490" s="142"/>
      <c r="K490" s="320"/>
      <c r="L490" s="142"/>
      <c r="M490" s="320"/>
      <c r="N490" s="142"/>
      <c r="O490" s="320"/>
      <c r="P490" s="142"/>
      <c r="Q490" s="348"/>
      <c r="R490" s="28"/>
      <c r="S490" s="320"/>
      <c r="T490" s="142"/>
      <c r="U490" s="30"/>
      <c r="V490" s="30"/>
      <c r="W490" s="30"/>
      <c r="X490" s="30"/>
      <c r="Y490" s="30"/>
      <c r="Z490" s="30"/>
    </row>
    <row r="491">
      <c r="A491" s="320"/>
      <c r="B491" s="142"/>
      <c r="C491" s="320"/>
      <c r="D491" s="142"/>
      <c r="E491" s="320"/>
      <c r="F491" s="142"/>
      <c r="G491" s="320"/>
      <c r="H491" s="142"/>
      <c r="I491" s="320"/>
      <c r="J491" s="142"/>
      <c r="K491" s="320"/>
      <c r="L491" s="142"/>
      <c r="M491" s="320"/>
      <c r="N491" s="142"/>
      <c r="O491" s="320"/>
      <c r="P491" s="142"/>
      <c r="Q491" s="348"/>
      <c r="R491" s="28"/>
      <c r="S491" s="320"/>
      <c r="T491" s="142"/>
      <c r="U491" s="30"/>
      <c r="V491" s="30"/>
      <c r="W491" s="30"/>
      <c r="X491" s="30"/>
      <c r="Y491" s="30"/>
      <c r="Z491" s="30"/>
    </row>
    <row r="492">
      <c r="A492" s="320"/>
      <c r="B492" s="142"/>
      <c r="C492" s="320"/>
      <c r="D492" s="142"/>
      <c r="E492" s="320"/>
      <c r="F492" s="142"/>
      <c r="G492" s="320"/>
      <c r="H492" s="142"/>
      <c r="I492" s="320"/>
      <c r="J492" s="142"/>
      <c r="K492" s="320"/>
      <c r="L492" s="142"/>
      <c r="M492" s="320"/>
      <c r="N492" s="142"/>
      <c r="O492" s="320"/>
      <c r="P492" s="142"/>
      <c r="Q492" s="348"/>
      <c r="R492" s="28"/>
      <c r="S492" s="320"/>
      <c r="T492" s="142"/>
      <c r="U492" s="30"/>
      <c r="V492" s="30"/>
      <c r="W492" s="30"/>
      <c r="X492" s="30"/>
      <c r="Y492" s="30"/>
      <c r="Z492" s="30"/>
    </row>
    <row r="493">
      <c r="A493" s="320"/>
      <c r="B493" s="142"/>
      <c r="C493" s="320"/>
      <c r="D493" s="142"/>
      <c r="E493" s="320"/>
      <c r="F493" s="142"/>
      <c r="G493" s="320"/>
      <c r="H493" s="142"/>
      <c r="I493" s="320"/>
      <c r="J493" s="142"/>
      <c r="K493" s="320"/>
      <c r="L493" s="142"/>
      <c r="M493" s="320"/>
      <c r="N493" s="142"/>
      <c r="O493" s="320"/>
      <c r="P493" s="142"/>
      <c r="Q493" s="348"/>
      <c r="R493" s="28"/>
      <c r="S493" s="320"/>
      <c r="T493" s="142"/>
      <c r="U493" s="30"/>
      <c r="V493" s="30"/>
      <c r="W493" s="30"/>
      <c r="X493" s="30"/>
      <c r="Y493" s="30"/>
      <c r="Z493" s="30"/>
    </row>
    <row r="494">
      <c r="A494" s="320"/>
      <c r="B494" s="142"/>
      <c r="C494" s="320"/>
      <c r="D494" s="142"/>
      <c r="E494" s="320"/>
      <c r="F494" s="142"/>
      <c r="G494" s="320"/>
      <c r="H494" s="142"/>
      <c r="I494" s="320"/>
      <c r="J494" s="142"/>
      <c r="K494" s="320"/>
      <c r="L494" s="142"/>
      <c r="M494" s="320"/>
      <c r="N494" s="142"/>
      <c r="O494" s="320"/>
      <c r="P494" s="142"/>
      <c r="Q494" s="348"/>
      <c r="R494" s="28"/>
      <c r="S494" s="320"/>
      <c r="T494" s="142"/>
      <c r="U494" s="30"/>
      <c r="V494" s="30"/>
      <c r="W494" s="30"/>
      <c r="X494" s="30"/>
      <c r="Y494" s="30"/>
      <c r="Z494" s="30"/>
    </row>
    <row r="495">
      <c r="A495" s="320"/>
      <c r="B495" s="142"/>
      <c r="C495" s="320"/>
      <c r="D495" s="142"/>
      <c r="E495" s="320"/>
      <c r="F495" s="142"/>
      <c r="G495" s="320"/>
      <c r="H495" s="142"/>
      <c r="I495" s="320"/>
      <c r="J495" s="142"/>
      <c r="K495" s="320"/>
      <c r="L495" s="142"/>
      <c r="M495" s="320"/>
      <c r="N495" s="142"/>
      <c r="O495" s="320"/>
      <c r="P495" s="142"/>
      <c r="Q495" s="348"/>
      <c r="R495" s="28"/>
      <c r="S495" s="320"/>
      <c r="T495" s="142"/>
      <c r="U495" s="30"/>
      <c r="V495" s="30"/>
      <c r="W495" s="30"/>
      <c r="X495" s="30"/>
      <c r="Y495" s="30"/>
      <c r="Z495" s="30"/>
    </row>
    <row r="496">
      <c r="A496" s="320"/>
      <c r="B496" s="142"/>
      <c r="C496" s="320"/>
      <c r="D496" s="142"/>
      <c r="E496" s="320"/>
      <c r="F496" s="142"/>
      <c r="G496" s="320"/>
      <c r="H496" s="142"/>
      <c r="I496" s="320"/>
      <c r="J496" s="142"/>
      <c r="K496" s="320"/>
      <c r="L496" s="142"/>
      <c r="M496" s="320"/>
      <c r="N496" s="142"/>
      <c r="O496" s="320"/>
      <c r="P496" s="142"/>
      <c r="Q496" s="348"/>
      <c r="R496" s="28"/>
      <c r="S496" s="320"/>
      <c r="T496" s="142"/>
      <c r="U496" s="30"/>
      <c r="V496" s="30"/>
      <c r="W496" s="30"/>
      <c r="X496" s="30"/>
      <c r="Y496" s="30"/>
      <c r="Z496" s="30"/>
    </row>
    <row r="497">
      <c r="A497" s="320"/>
      <c r="B497" s="142"/>
      <c r="C497" s="320"/>
      <c r="D497" s="142"/>
      <c r="E497" s="320"/>
      <c r="F497" s="142"/>
      <c r="G497" s="320"/>
      <c r="H497" s="142"/>
      <c r="I497" s="320"/>
      <c r="J497" s="142"/>
      <c r="K497" s="320"/>
      <c r="L497" s="142"/>
      <c r="M497" s="320"/>
      <c r="N497" s="142"/>
      <c r="O497" s="320"/>
      <c r="P497" s="142"/>
      <c r="Q497" s="348"/>
      <c r="R497" s="28"/>
      <c r="S497" s="320"/>
      <c r="T497" s="142"/>
      <c r="U497" s="30"/>
      <c r="V497" s="30"/>
      <c r="W497" s="30"/>
      <c r="X497" s="30"/>
      <c r="Y497" s="30"/>
      <c r="Z497" s="30"/>
    </row>
    <row r="498">
      <c r="A498" s="320"/>
      <c r="B498" s="142"/>
      <c r="C498" s="320"/>
      <c r="D498" s="142"/>
      <c r="E498" s="320"/>
      <c r="F498" s="142"/>
      <c r="G498" s="320"/>
      <c r="H498" s="142"/>
      <c r="I498" s="320"/>
      <c r="J498" s="142"/>
      <c r="K498" s="320"/>
      <c r="L498" s="142"/>
      <c r="M498" s="320"/>
      <c r="N498" s="142"/>
      <c r="O498" s="320"/>
      <c r="P498" s="142"/>
      <c r="Q498" s="348"/>
      <c r="R498" s="28"/>
      <c r="S498" s="320"/>
      <c r="T498" s="142"/>
      <c r="U498" s="30"/>
      <c r="V498" s="30"/>
      <c r="W498" s="30"/>
      <c r="X498" s="30"/>
      <c r="Y498" s="30"/>
      <c r="Z498" s="30"/>
    </row>
    <row r="499">
      <c r="A499" s="320"/>
      <c r="B499" s="142"/>
      <c r="C499" s="320"/>
      <c r="D499" s="142"/>
      <c r="E499" s="320"/>
      <c r="F499" s="142"/>
      <c r="G499" s="320"/>
      <c r="H499" s="142"/>
      <c r="I499" s="320"/>
      <c r="J499" s="142"/>
      <c r="K499" s="320"/>
      <c r="L499" s="142"/>
      <c r="M499" s="320"/>
      <c r="N499" s="142"/>
      <c r="O499" s="320"/>
      <c r="P499" s="142"/>
      <c r="Q499" s="348"/>
      <c r="R499" s="28"/>
      <c r="S499" s="320"/>
      <c r="T499" s="142"/>
      <c r="U499" s="30"/>
      <c r="V499" s="30"/>
      <c r="W499" s="30"/>
      <c r="X499" s="30"/>
      <c r="Y499" s="30"/>
      <c r="Z499" s="30"/>
    </row>
    <row r="500">
      <c r="A500" s="320"/>
      <c r="B500" s="142"/>
      <c r="C500" s="320"/>
      <c r="D500" s="142"/>
      <c r="E500" s="320"/>
      <c r="F500" s="142"/>
      <c r="G500" s="320"/>
      <c r="H500" s="142"/>
      <c r="I500" s="320"/>
      <c r="J500" s="142"/>
      <c r="K500" s="320"/>
      <c r="L500" s="142"/>
      <c r="M500" s="320"/>
      <c r="N500" s="142"/>
      <c r="O500" s="320"/>
      <c r="P500" s="142"/>
      <c r="Q500" s="348"/>
      <c r="R500" s="28"/>
      <c r="S500" s="320"/>
      <c r="T500" s="142"/>
      <c r="U500" s="30"/>
      <c r="V500" s="30"/>
      <c r="W500" s="30"/>
      <c r="X500" s="30"/>
      <c r="Y500" s="30"/>
      <c r="Z500" s="30"/>
    </row>
    <row r="501">
      <c r="A501" s="320"/>
      <c r="B501" s="142"/>
      <c r="C501" s="320"/>
      <c r="D501" s="142"/>
      <c r="E501" s="320"/>
      <c r="F501" s="142"/>
      <c r="G501" s="320"/>
      <c r="H501" s="142"/>
      <c r="I501" s="320"/>
      <c r="J501" s="142"/>
      <c r="K501" s="320"/>
      <c r="L501" s="142"/>
      <c r="M501" s="320"/>
      <c r="N501" s="142"/>
      <c r="O501" s="320"/>
      <c r="P501" s="142"/>
      <c r="Q501" s="348"/>
      <c r="R501" s="28"/>
      <c r="S501" s="320"/>
      <c r="T501" s="142"/>
      <c r="U501" s="30"/>
      <c r="V501" s="30"/>
      <c r="W501" s="30"/>
      <c r="X501" s="30"/>
      <c r="Y501" s="30"/>
      <c r="Z501" s="30"/>
    </row>
    <row r="502">
      <c r="A502" s="320"/>
      <c r="B502" s="142"/>
      <c r="C502" s="320"/>
      <c r="D502" s="142"/>
      <c r="E502" s="320"/>
      <c r="F502" s="142"/>
      <c r="G502" s="320"/>
      <c r="H502" s="142"/>
      <c r="I502" s="320"/>
      <c r="J502" s="142"/>
      <c r="K502" s="320"/>
      <c r="L502" s="142"/>
      <c r="M502" s="320"/>
      <c r="N502" s="142"/>
      <c r="O502" s="320"/>
      <c r="P502" s="142"/>
      <c r="Q502" s="348"/>
      <c r="R502" s="28"/>
      <c r="S502" s="320"/>
      <c r="T502" s="142"/>
      <c r="U502" s="30"/>
      <c r="V502" s="30"/>
      <c r="W502" s="30"/>
      <c r="X502" s="30"/>
      <c r="Y502" s="30"/>
      <c r="Z502" s="30"/>
    </row>
    <row r="503">
      <c r="A503" s="320"/>
      <c r="B503" s="142"/>
      <c r="C503" s="320"/>
      <c r="D503" s="142"/>
      <c r="E503" s="320"/>
      <c r="F503" s="142"/>
      <c r="G503" s="320"/>
      <c r="H503" s="142"/>
      <c r="I503" s="320"/>
      <c r="J503" s="142"/>
      <c r="K503" s="320"/>
      <c r="L503" s="142"/>
      <c r="M503" s="320"/>
      <c r="N503" s="142"/>
      <c r="O503" s="320"/>
      <c r="P503" s="142"/>
      <c r="Q503" s="348"/>
      <c r="R503" s="28"/>
      <c r="S503" s="320"/>
      <c r="T503" s="142"/>
      <c r="U503" s="30"/>
      <c r="V503" s="30"/>
      <c r="W503" s="30"/>
      <c r="X503" s="30"/>
      <c r="Y503" s="30"/>
      <c r="Z503" s="30"/>
    </row>
    <row r="504">
      <c r="A504" s="320"/>
      <c r="B504" s="142"/>
      <c r="C504" s="320"/>
      <c r="D504" s="142"/>
      <c r="E504" s="320"/>
      <c r="F504" s="142"/>
      <c r="G504" s="320"/>
      <c r="H504" s="142"/>
      <c r="I504" s="320"/>
      <c r="J504" s="142"/>
      <c r="K504" s="320"/>
      <c r="L504" s="142"/>
      <c r="M504" s="320"/>
      <c r="N504" s="142"/>
      <c r="O504" s="320"/>
      <c r="P504" s="142"/>
      <c r="Q504" s="348"/>
      <c r="R504" s="28"/>
      <c r="S504" s="320"/>
      <c r="T504" s="142"/>
      <c r="U504" s="30"/>
      <c r="V504" s="30"/>
      <c r="W504" s="30"/>
      <c r="X504" s="30"/>
      <c r="Y504" s="30"/>
      <c r="Z504" s="30"/>
    </row>
    <row r="505">
      <c r="A505" s="320"/>
      <c r="B505" s="142"/>
      <c r="C505" s="320"/>
      <c r="D505" s="142"/>
      <c r="E505" s="320"/>
      <c r="F505" s="142"/>
      <c r="G505" s="320"/>
      <c r="H505" s="142"/>
      <c r="I505" s="320"/>
      <c r="J505" s="142"/>
      <c r="K505" s="320"/>
      <c r="L505" s="142"/>
      <c r="M505" s="320"/>
      <c r="N505" s="142"/>
      <c r="O505" s="320"/>
      <c r="P505" s="142"/>
      <c r="Q505" s="348"/>
      <c r="R505" s="28"/>
      <c r="S505" s="320"/>
      <c r="T505" s="142"/>
      <c r="U505" s="30"/>
      <c r="V505" s="30"/>
      <c r="W505" s="30"/>
      <c r="X505" s="30"/>
      <c r="Y505" s="30"/>
      <c r="Z505" s="30"/>
    </row>
    <row r="506">
      <c r="A506" s="320"/>
      <c r="B506" s="142"/>
      <c r="C506" s="320"/>
      <c r="D506" s="142"/>
      <c r="E506" s="320"/>
      <c r="F506" s="142"/>
      <c r="G506" s="320"/>
      <c r="H506" s="142"/>
      <c r="I506" s="320"/>
      <c r="J506" s="142"/>
      <c r="K506" s="320"/>
      <c r="L506" s="142"/>
      <c r="M506" s="320"/>
      <c r="N506" s="142"/>
      <c r="O506" s="320"/>
      <c r="P506" s="142"/>
      <c r="Q506" s="348"/>
      <c r="R506" s="28"/>
      <c r="S506" s="320"/>
      <c r="T506" s="142"/>
      <c r="U506" s="30"/>
      <c r="V506" s="30"/>
      <c r="W506" s="30"/>
      <c r="X506" s="30"/>
      <c r="Y506" s="30"/>
      <c r="Z506" s="30"/>
    </row>
    <row r="507">
      <c r="A507" s="320"/>
      <c r="B507" s="142"/>
      <c r="C507" s="320"/>
      <c r="D507" s="142"/>
      <c r="E507" s="320"/>
      <c r="F507" s="142"/>
      <c r="G507" s="320"/>
      <c r="H507" s="142"/>
      <c r="I507" s="320"/>
      <c r="J507" s="142"/>
      <c r="K507" s="320"/>
      <c r="L507" s="142"/>
      <c r="M507" s="320"/>
      <c r="N507" s="142"/>
      <c r="O507" s="320"/>
      <c r="P507" s="142"/>
      <c r="Q507" s="348"/>
      <c r="R507" s="28"/>
      <c r="S507" s="320"/>
      <c r="T507" s="142"/>
      <c r="U507" s="30"/>
      <c r="V507" s="30"/>
      <c r="W507" s="30"/>
      <c r="X507" s="30"/>
      <c r="Y507" s="30"/>
      <c r="Z507" s="30"/>
    </row>
    <row r="508">
      <c r="A508" s="320"/>
      <c r="B508" s="142"/>
      <c r="C508" s="320"/>
      <c r="D508" s="142"/>
      <c r="E508" s="320"/>
      <c r="F508" s="142"/>
      <c r="G508" s="320"/>
      <c r="H508" s="142"/>
      <c r="I508" s="320"/>
      <c r="J508" s="142"/>
      <c r="K508" s="320"/>
      <c r="L508" s="142"/>
      <c r="M508" s="320"/>
      <c r="N508" s="142"/>
      <c r="O508" s="320"/>
      <c r="P508" s="142"/>
      <c r="Q508" s="348"/>
      <c r="R508" s="28"/>
      <c r="S508" s="320"/>
      <c r="T508" s="142"/>
      <c r="U508" s="30"/>
      <c r="V508" s="30"/>
      <c r="W508" s="30"/>
      <c r="X508" s="30"/>
      <c r="Y508" s="30"/>
      <c r="Z508" s="30"/>
    </row>
    <row r="509">
      <c r="A509" s="320"/>
      <c r="B509" s="142"/>
      <c r="C509" s="320"/>
      <c r="D509" s="142"/>
      <c r="E509" s="320"/>
      <c r="F509" s="142"/>
      <c r="G509" s="320"/>
      <c r="H509" s="142"/>
      <c r="I509" s="320"/>
      <c r="J509" s="142"/>
      <c r="K509" s="320"/>
      <c r="L509" s="142"/>
      <c r="M509" s="320"/>
      <c r="N509" s="142"/>
      <c r="O509" s="320"/>
      <c r="P509" s="142"/>
      <c r="Q509" s="348"/>
      <c r="R509" s="28"/>
      <c r="S509" s="320"/>
      <c r="T509" s="142"/>
      <c r="U509" s="30"/>
      <c r="V509" s="30"/>
      <c r="W509" s="30"/>
      <c r="X509" s="30"/>
      <c r="Y509" s="30"/>
      <c r="Z509" s="30"/>
    </row>
    <row r="510">
      <c r="A510" s="320"/>
      <c r="B510" s="142"/>
      <c r="C510" s="320"/>
      <c r="D510" s="142"/>
      <c r="E510" s="320"/>
      <c r="F510" s="142"/>
      <c r="G510" s="320"/>
      <c r="H510" s="142"/>
      <c r="I510" s="320"/>
      <c r="J510" s="142"/>
      <c r="K510" s="320"/>
      <c r="L510" s="142"/>
      <c r="M510" s="320"/>
      <c r="N510" s="142"/>
      <c r="O510" s="320"/>
      <c r="P510" s="142"/>
      <c r="Q510" s="348"/>
      <c r="R510" s="28"/>
      <c r="S510" s="320"/>
      <c r="T510" s="142"/>
      <c r="U510" s="30"/>
      <c r="V510" s="30"/>
      <c r="W510" s="30"/>
      <c r="X510" s="30"/>
      <c r="Y510" s="30"/>
      <c r="Z510" s="30"/>
    </row>
    <row r="511">
      <c r="A511" s="320"/>
      <c r="B511" s="142"/>
      <c r="C511" s="320"/>
      <c r="D511" s="142"/>
      <c r="E511" s="320"/>
      <c r="F511" s="142"/>
      <c r="G511" s="320"/>
      <c r="H511" s="142"/>
      <c r="I511" s="320"/>
      <c r="J511" s="142"/>
      <c r="K511" s="320"/>
      <c r="L511" s="142"/>
      <c r="M511" s="320"/>
      <c r="N511" s="142"/>
      <c r="O511" s="320"/>
      <c r="P511" s="142"/>
      <c r="Q511" s="348"/>
      <c r="R511" s="28"/>
      <c r="S511" s="320"/>
      <c r="T511" s="142"/>
      <c r="U511" s="30"/>
      <c r="V511" s="30"/>
      <c r="W511" s="30"/>
      <c r="X511" s="30"/>
      <c r="Y511" s="30"/>
      <c r="Z511" s="30"/>
    </row>
    <row r="512">
      <c r="A512" s="320"/>
      <c r="B512" s="142"/>
      <c r="C512" s="320"/>
      <c r="D512" s="142"/>
      <c r="E512" s="320"/>
      <c r="F512" s="142"/>
      <c r="G512" s="320"/>
      <c r="H512" s="142"/>
      <c r="I512" s="320"/>
      <c r="J512" s="142"/>
      <c r="K512" s="320"/>
      <c r="L512" s="142"/>
      <c r="M512" s="320"/>
      <c r="N512" s="142"/>
      <c r="O512" s="320"/>
      <c r="P512" s="142"/>
      <c r="Q512" s="348"/>
      <c r="R512" s="28"/>
      <c r="S512" s="320"/>
      <c r="T512" s="142"/>
      <c r="U512" s="30"/>
      <c r="V512" s="30"/>
      <c r="W512" s="30"/>
      <c r="X512" s="30"/>
      <c r="Y512" s="30"/>
      <c r="Z512" s="30"/>
    </row>
    <row r="513">
      <c r="A513" s="320"/>
      <c r="B513" s="142"/>
      <c r="C513" s="320"/>
      <c r="D513" s="142"/>
      <c r="E513" s="320"/>
      <c r="F513" s="142"/>
      <c r="G513" s="320"/>
      <c r="H513" s="142"/>
      <c r="I513" s="320"/>
      <c r="J513" s="142"/>
      <c r="K513" s="320"/>
      <c r="L513" s="142"/>
      <c r="M513" s="320"/>
      <c r="N513" s="142"/>
      <c r="O513" s="320"/>
      <c r="P513" s="142"/>
      <c r="Q513" s="195"/>
      <c r="R513" s="28"/>
      <c r="S513" s="320"/>
      <c r="T513" s="142"/>
      <c r="U513" s="30"/>
      <c r="V513" s="30"/>
      <c r="W513" s="30"/>
      <c r="X513" s="30"/>
      <c r="Y513" s="30"/>
      <c r="Z513" s="30"/>
    </row>
    <row r="514">
      <c r="A514" s="320"/>
      <c r="B514" s="142"/>
      <c r="C514" s="320"/>
      <c r="D514" s="142"/>
      <c r="E514" s="320"/>
      <c r="F514" s="142"/>
      <c r="G514" s="320"/>
      <c r="H514" s="142"/>
      <c r="I514" s="320"/>
      <c r="J514" s="142"/>
      <c r="K514" s="320"/>
      <c r="L514" s="142"/>
      <c r="M514" s="320"/>
      <c r="N514" s="142"/>
      <c r="O514" s="320"/>
      <c r="P514" s="142"/>
      <c r="Q514" s="195"/>
      <c r="R514" s="28"/>
      <c r="S514" s="320"/>
      <c r="T514" s="142"/>
      <c r="U514" s="30"/>
      <c r="V514" s="30"/>
      <c r="W514" s="30"/>
      <c r="X514" s="30"/>
      <c r="Y514" s="30"/>
      <c r="Z514" s="30"/>
    </row>
    <row r="515">
      <c r="A515" s="320"/>
      <c r="B515" s="142"/>
      <c r="C515" s="320"/>
      <c r="D515" s="142"/>
      <c r="E515" s="320"/>
      <c r="F515" s="142"/>
      <c r="G515" s="320"/>
      <c r="H515" s="142"/>
      <c r="I515" s="320"/>
      <c r="J515" s="142"/>
      <c r="K515" s="320"/>
      <c r="L515" s="142"/>
      <c r="M515" s="320"/>
      <c r="N515" s="142"/>
      <c r="O515" s="320"/>
      <c r="P515" s="142"/>
      <c r="Q515" s="195"/>
      <c r="R515" s="28"/>
      <c r="S515" s="320"/>
      <c r="T515" s="142"/>
      <c r="U515" s="30"/>
      <c r="V515" s="30"/>
      <c r="W515" s="30"/>
      <c r="X515" s="30"/>
      <c r="Y515" s="30"/>
      <c r="Z515" s="30"/>
    </row>
    <row r="516">
      <c r="A516" s="320"/>
      <c r="B516" s="142"/>
      <c r="C516" s="320"/>
      <c r="D516" s="142"/>
      <c r="E516" s="320"/>
      <c r="F516" s="142"/>
      <c r="G516" s="320"/>
      <c r="H516" s="142"/>
      <c r="I516" s="320"/>
      <c r="J516" s="142"/>
      <c r="K516" s="320"/>
      <c r="L516" s="142"/>
      <c r="M516" s="320"/>
      <c r="N516" s="142"/>
      <c r="O516" s="320"/>
      <c r="P516" s="142"/>
      <c r="Q516" s="195"/>
      <c r="R516" s="28"/>
      <c r="S516" s="320"/>
      <c r="T516" s="142"/>
      <c r="U516" s="30"/>
      <c r="V516" s="30"/>
      <c r="W516" s="30"/>
      <c r="X516" s="30"/>
      <c r="Y516" s="30"/>
      <c r="Z516" s="30"/>
    </row>
    <row r="517">
      <c r="A517" s="320"/>
      <c r="B517" s="142"/>
      <c r="C517" s="320"/>
      <c r="D517" s="142"/>
      <c r="E517" s="320"/>
      <c r="F517" s="142"/>
      <c r="G517" s="320"/>
      <c r="H517" s="142"/>
      <c r="I517" s="320"/>
      <c r="J517" s="142"/>
      <c r="K517" s="320"/>
      <c r="L517" s="142"/>
      <c r="M517" s="320"/>
      <c r="N517" s="142"/>
      <c r="O517" s="320"/>
      <c r="P517" s="142"/>
      <c r="Q517" s="195"/>
      <c r="R517" s="28"/>
      <c r="S517" s="320"/>
      <c r="T517" s="142"/>
      <c r="U517" s="30"/>
      <c r="V517" s="30"/>
      <c r="W517" s="30"/>
      <c r="X517" s="30"/>
      <c r="Y517" s="30"/>
      <c r="Z517" s="30"/>
    </row>
    <row r="518">
      <c r="A518" s="320"/>
      <c r="B518" s="142"/>
      <c r="C518" s="320"/>
      <c r="D518" s="142"/>
      <c r="E518" s="320"/>
      <c r="F518" s="142"/>
      <c r="G518" s="320"/>
      <c r="H518" s="142"/>
      <c r="I518" s="320"/>
      <c r="J518" s="142"/>
      <c r="K518" s="320"/>
      <c r="L518" s="142"/>
      <c r="M518" s="320"/>
      <c r="N518" s="142"/>
      <c r="O518" s="320"/>
      <c r="P518" s="142"/>
      <c r="Q518" s="195"/>
      <c r="R518" s="28"/>
      <c r="S518" s="320"/>
      <c r="T518" s="142"/>
      <c r="U518" s="30"/>
      <c r="V518" s="30"/>
      <c r="W518" s="30"/>
      <c r="X518" s="30"/>
      <c r="Y518" s="30"/>
      <c r="Z518" s="30"/>
    </row>
    <row r="519">
      <c r="A519" s="320"/>
      <c r="B519" s="142"/>
      <c r="C519" s="320"/>
      <c r="D519" s="142"/>
      <c r="E519" s="320"/>
      <c r="F519" s="142"/>
      <c r="G519" s="320"/>
      <c r="H519" s="142"/>
      <c r="I519" s="320"/>
      <c r="J519" s="142"/>
      <c r="K519" s="320"/>
      <c r="L519" s="142"/>
      <c r="M519" s="320"/>
      <c r="N519" s="142"/>
      <c r="O519" s="320"/>
      <c r="P519" s="142"/>
      <c r="Q519" s="195"/>
      <c r="R519" s="28"/>
      <c r="S519" s="320"/>
      <c r="T519" s="142"/>
      <c r="U519" s="30"/>
      <c r="V519" s="30"/>
      <c r="W519" s="30"/>
      <c r="X519" s="30"/>
      <c r="Y519" s="30"/>
      <c r="Z519" s="30"/>
    </row>
    <row r="520">
      <c r="A520" s="320"/>
      <c r="B520" s="142"/>
      <c r="C520" s="320"/>
      <c r="D520" s="142"/>
      <c r="E520" s="320"/>
      <c r="F520" s="142"/>
      <c r="G520" s="320"/>
      <c r="H520" s="142"/>
      <c r="I520" s="320"/>
      <c r="J520" s="142"/>
      <c r="K520" s="320"/>
      <c r="L520" s="142"/>
      <c r="M520" s="320"/>
      <c r="N520" s="142"/>
      <c r="O520" s="320"/>
      <c r="P520" s="142"/>
      <c r="Q520" s="195"/>
      <c r="R520" s="28"/>
      <c r="S520" s="320"/>
      <c r="T520" s="142"/>
      <c r="U520" s="30"/>
      <c r="V520" s="30"/>
      <c r="W520" s="30"/>
      <c r="X520" s="30"/>
      <c r="Y520" s="30"/>
      <c r="Z520" s="30"/>
    </row>
    <row r="521">
      <c r="A521" s="320"/>
      <c r="B521" s="142"/>
      <c r="C521" s="320"/>
      <c r="D521" s="142"/>
      <c r="E521" s="320"/>
      <c r="F521" s="142"/>
      <c r="G521" s="320"/>
      <c r="H521" s="142"/>
      <c r="I521" s="320"/>
      <c r="J521" s="142"/>
      <c r="K521" s="320"/>
      <c r="L521" s="142"/>
      <c r="M521" s="320"/>
      <c r="N521" s="142"/>
      <c r="O521" s="320"/>
      <c r="P521" s="142"/>
      <c r="Q521" s="195"/>
      <c r="R521" s="28"/>
      <c r="S521" s="320"/>
      <c r="T521" s="142"/>
      <c r="U521" s="30"/>
      <c r="V521" s="30"/>
      <c r="W521" s="30"/>
      <c r="X521" s="30"/>
      <c r="Y521" s="30"/>
      <c r="Z521" s="30"/>
    </row>
    <row r="522">
      <c r="A522" s="320"/>
      <c r="B522" s="142"/>
      <c r="C522" s="320"/>
      <c r="D522" s="142"/>
      <c r="E522" s="320"/>
      <c r="F522" s="142"/>
      <c r="G522" s="320"/>
      <c r="H522" s="142"/>
      <c r="I522" s="320"/>
      <c r="J522" s="142"/>
      <c r="K522" s="320"/>
      <c r="L522" s="142"/>
      <c r="M522" s="320"/>
      <c r="N522" s="142"/>
      <c r="O522" s="320"/>
      <c r="P522" s="142"/>
      <c r="Q522" s="195"/>
      <c r="R522" s="28"/>
      <c r="S522" s="320"/>
      <c r="T522" s="142"/>
      <c r="U522" s="30"/>
      <c r="V522" s="30"/>
      <c r="W522" s="30"/>
      <c r="X522" s="30"/>
      <c r="Y522" s="30"/>
      <c r="Z522" s="30"/>
    </row>
    <row r="523">
      <c r="A523" s="320"/>
      <c r="B523" s="142"/>
      <c r="C523" s="320"/>
      <c r="D523" s="142"/>
      <c r="E523" s="320"/>
      <c r="F523" s="142"/>
      <c r="G523" s="320"/>
      <c r="H523" s="142"/>
      <c r="I523" s="320"/>
      <c r="J523" s="142"/>
      <c r="K523" s="320"/>
      <c r="L523" s="142"/>
      <c r="M523" s="320"/>
      <c r="N523" s="142"/>
      <c r="O523" s="320"/>
      <c r="P523" s="142"/>
      <c r="Q523" s="195"/>
      <c r="R523" s="28"/>
      <c r="S523" s="320"/>
      <c r="T523" s="142"/>
      <c r="U523" s="30"/>
      <c r="V523" s="30"/>
      <c r="W523" s="30"/>
      <c r="X523" s="30"/>
      <c r="Y523" s="30"/>
      <c r="Z523" s="30"/>
    </row>
    <row r="524">
      <c r="A524" s="320"/>
      <c r="B524" s="142"/>
      <c r="C524" s="320"/>
      <c r="D524" s="142"/>
      <c r="E524" s="320"/>
      <c r="F524" s="142"/>
      <c r="G524" s="320"/>
      <c r="H524" s="142"/>
      <c r="I524" s="320"/>
      <c r="J524" s="142"/>
      <c r="K524" s="320"/>
      <c r="L524" s="142"/>
      <c r="M524" s="320"/>
      <c r="N524" s="142"/>
      <c r="O524" s="320"/>
      <c r="P524" s="142"/>
      <c r="Q524" s="195"/>
      <c r="R524" s="28"/>
      <c r="S524" s="320"/>
      <c r="T524" s="142"/>
      <c r="U524" s="30"/>
      <c r="V524" s="30"/>
      <c r="W524" s="30"/>
      <c r="X524" s="30"/>
      <c r="Y524" s="30"/>
      <c r="Z524" s="30"/>
    </row>
    <row r="525">
      <c r="A525" s="320"/>
      <c r="B525" s="142"/>
      <c r="C525" s="320"/>
      <c r="D525" s="142"/>
      <c r="E525" s="320"/>
      <c r="F525" s="142"/>
      <c r="G525" s="320"/>
      <c r="H525" s="142"/>
      <c r="I525" s="320"/>
      <c r="J525" s="142"/>
      <c r="K525" s="320"/>
      <c r="L525" s="142"/>
      <c r="M525" s="320"/>
      <c r="N525" s="142"/>
      <c r="O525" s="320"/>
      <c r="P525" s="142"/>
      <c r="Q525" s="195"/>
      <c r="R525" s="28"/>
      <c r="S525" s="320"/>
      <c r="T525" s="142"/>
      <c r="U525" s="30"/>
      <c r="V525" s="30"/>
      <c r="W525" s="30"/>
      <c r="X525" s="30"/>
      <c r="Y525" s="30"/>
      <c r="Z525" s="30"/>
    </row>
    <row r="526">
      <c r="A526" s="320"/>
      <c r="B526" s="142"/>
      <c r="C526" s="320"/>
      <c r="D526" s="142"/>
      <c r="E526" s="320"/>
      <c r="F526" s="142"/>
      <c r="G526" s="320"/>
      <c r="H526" s="142"/>
      <c r="I526" s="320"/>
      <c r="J526" s="142"/>
      <c r="K526" s="320"/>
      <c r="L526" s="142"/>
      <c r="M526" s="320"/>
      <c r="N526" s="142"/>
      <c r="O526" s="320"/>
      <c r="P526" s="142"/>
      <c r="Q526" s="195"/>
      <c r="R526" s="28"/>
      <c r="S526" s="320"/>
      <c r="T526" s="142"/>
      <c r="U526" s="30"/>
      <c r="V526" s="30"/>
      <c r="W526" s="30"/>
      <c r="X526" s="30"/>
      <c r="Y526" s="30"/>
      <c r="Z526" s="30"/>
    </row>
    <row r="527">
      <c r="A527" s="320"/>
      <c r="B527" s="142"/>
      <c r="C527" s="320"/>
      <c r="D527" s="142"/>
      <c r="E527" s="320"/>
      <c r="F527" s="142"/>
      <c r="G527" s="320"/>
      <c r="H527" s="142"/>
      <c r="I527" s="320"/>
      <c r="J527" s="142"/>
      <c r="K527" s="320"/>
      <c r="L527" s="142"/>
      <c r="M527" s="320"/>
      <c r="N527" s="142"/>
      <c r="O527" s="320"/>
      <c r="P527" s="142"/>
      <c r="Q527" s="195"/>
      <c r="R527" s="28"/>
      <c r="S527" s="320"/>
      <c r="T527" s="142"/>
      <c r="U527" s="30"/>
      <c r="V527" s="30"/>
      <c r="W527" s="30"/>
      <c r="X527" s="30"/>
      <c r="Y527" s="30"/>
      <c r="Z527" s="30"/>
    </row>
    <row r="528">
      <c r="A528" s="320"/>
      <c r="B528" s="142"/>
      <c r="C528" s="320"/>
      <c r="D528" s="142"/>
      <c r="E528" s="320"/>
      <c r="F528" s="142"/>
      <c r="G528" s="320"/>
      <c r="H528" s="142"/>
      <c r="I528" s="320"/>
      <c r="J528" s="142"/>
      <c r="K528" s="320"/>
      <c r="L528" s="142"/>
      <c r="M528" s="320"/>
      <c r="N528" s="142"/>
      <c r="O528" s="320"/>
      <c r="P528" s="142"/>
      <c r="Q528" s="195"/>
      <c r="R528" s="28"/>
      <c r="S528" s="320"/>
      <c r="T528" s="142"/>
      <c r="U528" s="30"/>
      <c r="V528" s="30"/>
      <c r="W528" s="30"/>
      <c r="X528" s="30"/>
      <c r="Y528" s="30"/>
      <c r="Z528" s="30"/>
    </row>
    <row r="529">
      <c r="A529" s="320"/>
      <c r="B529" s="142"/>
      <c r="C529" s="320"/>
      <c r="D529" s="142"/>
      <c r="E529" s="320"/>
      <c r="F529" s="142"/>
      <c r="G529" s="320"/>
      <c r="H529" s="142"/>
      <c r="I529" s="320"/>
      <c r="J529" s="142"/>
      <c r="K529" s="320"/>
      <c r="L529" s="142"/>
      <c r="M529" s="320"/>
      <c r="N529" s="142"/>
      <c r="O529" s="320"/>
      <c r="P529" s="142"/>
      <c r="Q529" s="195"/>
      <c r="R529" s="28"/>
      <c r="S529" s="320"/>
      <c r="T529" s="142"/>
      <c r="U529" s="30"/>
      <c r="V529" s="30"/>
      <c r="W529" s="30"/>
      <c r="X529" s="30"/>
      <c r="Y529" s="30"/>
      <c r="Z529" s="30"/>
    </row>
    <row r="530">
      <c r="A530" s="320"/>
      <c r="B530" s="142"/>
      <c r="C530" s="320"/>
      <c r="D530" s="142"/>
      <c r="E530" s="320"/>
      <c r="F530" s="142"/>
      <c r="G530" s="320"/>
      <c r="H530" s="142"/>
      <c r="I530" s="320"/>
      <c r="J530" s="142"/>
      <c r="K530" s="320"/>
      <c r="L530" s="142"/>
      <c r="M530" s="320"/>
      <c r="N530" s="142"/>
      <c r="O530" s="320"/>
      <c r="P530" s="142"/>
      <c r="Q530" s="195"/>
      <c r="R530" s="28"/>
      <c r="S530" s="320"/>
      <c r="T530" s="142"/>
      <c r="U530" s="30"/>
      <c r="V530" s="30"/>
      <c r="W530" s="30"/>
      <c r="X530" s="30"/>
      <c r="Y530" s="30"/>
      <c r="Z530" s="30"/>
    </row>
    <row r="531">
      <c r="A531" s="320"/>
      <c r="B531" s="142"/>
      <c r="C531" s="320"/>
      <c r="D531" s="142"/>
      <c r="E531" s="320"/>
      <c r="F531" s="142"/>
      <c r="G531" s="320"/>
      <c r="H531" s="142"/>
      <c r="I531" s="320"/>
      <c r="J531" s="142"/>
      <c r="K531" s="320"/>
      <c r="L531" s="142"/>
      <c r="M531" s="320"/>
      <c r="N531" s="142"/>
      <c r="O531" s="320"/>
      <c r="P531" s="142"/>
      <c r="Q531" s="195"/>
      <c r="R531" s="195"/>
      <c r="S531" s="320"/>
      <c r="T531" s="142"/>
      <c r="U531" s="30"/>
      <c r="V531" s="30"/>
      <c r="W531" s="30"/>
      <c r="X531" s="30"/>
      <c r="Y531" s="30"/>
      <c r="Z531" s="30"/>
    </row>
    <row r="532">
      <c r="A532" s="320"/>
      <c r="B532" s="142"/>
      <c r="C532" s="320"/>
      <c r="D532" s="142"/>
      <c r="E532" s="320"/>
      <c r="F532" s="142"/>
      <c r="G532" s="320"/>
      <c r="H532" s="142"/>
      <c r="I532" s="320"/>
      <c r="J532" s="142"/>
      <c r="K532" s="320"/>
      <c r="L532" s="142"/>
      <c r="M532" s="320"/>
      <c r="N532" s="142"/>
      <c r="O532" s="320"/>
      <c r="P532" s="142"/>
      <c r="Q532" s="195"/>
      <c r="R532" s="195"/>
      <c r="S532" s="320"/>
      <c r="T532" s="142"/>
      <c r="U532" s="30"/>
      <c r="V532" s="30"/>
      <c r="W532" s="30"/>
      <c r="X532" s="30"/>
      <c r="Y532" s="30"/>
      <c r="Z532" s="30"/>
    </row>
    <row r="533">
      <c r="A533" s="320"/>
      <c r="B533" s="142"/>
      <c r="C533" s="320"/>
      <c r="D533" s="142"/>
      <c r="E533" s="320"/>
      <c r="F533" s="142"/>
      <c r="G533" s="320"/>
      <c r="H533" s="142"/>
      <c r="I533" s="320"/>
      <c r="J533" s="142"/>
      <c r="K533" s="320"/>
      <c r="L533" s="142"/>
      <c r="M533" s="320"/>
      <c r="N533" s="142"/>
      <c r="O533" s="320"/>
      <c r="P533" s="142"/>
      <c r="Q533" s="195"/>
      <c r="R533" s="195"/>
      <c r="S533" s="320"/>
      <c r="T533" s="142"/>
      <c r="U533" s="30"/>
      <c r="V533" s="30"/>
      <c r="W533" s="30"/>
      <c r="X533" s="30"/>
      <c r="Y533" s="30"/>
      <c r="Z533" s="30"/>
    </row>
    <row r="534">
      <c r="A534" s="320"/>
      <c r="B534" s="142"/>
      <c r="C534" s="320"/>
      <c r="D534" s="142"/>
      <c r="E534" s="320"/>
      <c r="F534" s="142"/>
      <c r="G534" s="320"/>
      <c r="H534" s="142"/>
      <c r="I534" s="320"/>
      <c r="J534" s="142"/>
      <c r="K534" s="320"/>
      <c r="L534" s="142"/>
      <c r="M534" s="320"/>
      <c r="N534" s="142"/>
      <c r="O534" s="320"/>
      <c r="P534" s="142"/>
      <c r="Q534" s="195"/>
      <c r="R534" s="195"/>
      <c r="S534" s="320"/>
      <c r="T534" s="142"/>
      <c r="U534" s="30"/>
      <c r="V534" s="30"/>
      <c r="W534" s="30"/>
      <c r="X534" s="30"/>
      <c r="Y534" s="30"/>
      <c r="Z534" s="30"/>
    </row>
    <row r="535">
      <c r="A535" s="320"/>
      <c r="B535" s="142"/>
      <c r="C535" s="320"/>
      <c r="D535" s="142"/>
      <c r="E535" s="320"/>
      <c r="F535" s="142"/>
      <c r="G535" s="320"/>
      <c r="H535" s="142"/>
      <c r="I535" s="320"/>
      <c r="J535" s="142"/>
      <c r="K535" s="320"/>
      <c r="L535" s="142"/>
      <c r="M535" s="320"/>
      <c r="N535" s="142"/>
      <c r="O535" s="320"/>
      <c r="P535" s="142"/>
      <c r="Q535" s="195"/>
      <c r="R535" s="195"/>
      <c r="S535" s="320"/>
      <c r="T535" s="142"/>
      <c r="U535" s="30"/>
      <c r="V535" s="30"/>
      <c r="W535" s="30"/>
      <c r="X535" s="30"/>
      <c r="Y535" s="30"/>
      <c r="Z535" s="30"/>
    </row>
    <row r="536">
      <c r="A536" s="320"/>
      <c r="B536" s="142"/>
      <c r="C536" s="320"/>
      <c r="D536" s="142"/>
      <c r="E536" s="320"/>
      <c r="F536" s="142"/>
      <c r="G536" s="320"/>
      <c r="H536" s="142"/>
      <c r="I536" s="320"/>
      <c r="J536" s="142"/>
      <c r="K536" s="320"/>
      <c r="L536" s="142"/>
      <c r="M536" s="320"/>
      <c r="N536" s="142"/>
      <c r="O536" s="320"/>
      <c r="P536" s="142"/>
      <c r="Q536" s="195"/>
      <c r="R536" s="195"/>
      <c r="S536" s="320"/>
      <c r="T536" s="142"/>
      <c r="U536" s="30"/>
      <c r="V536" s="30"/>
      <c r="W536" s="30"/>
      <c r="X536" s="30"/>
      <c r="Y536" s="30"/>
      <c r="Z536" s="30"/>
    </row>
    <row r="537">
      <c r="A537" s="320"/>
      <c r="B537" s="142"/>
      <c r="C537" s="320"/>
      <c r="D537" s="142"/>
      <c r="E537" s="320"/>
      <c r="F537" s="142"/>
      <c r="G537" s="320"/>
      <c r="H537" s="142"/>
      <c r="I537" s="320"/>
      <c r="J537" s="142"/>
      <c r="K537" s="320"/>
      <c r="L537" s="142"/>
      <c r="M537" s="320"/>
      <c r="N537" s="142"/>
      <c r="O537" s="320"/>
      <c r="P537" s="142"/>
      <c r="Q537" s="195"/>
      <c r="R537" s="195"/>
      <c r="S537" s="320"/>
      <c r="T537" s="142"/>
      <c r="U537" s="30"/>
      <c r="V537" s="30"/>
      <c r="W537" s="30"/>
      <c r="X537" s="30"/>
      <c r="Y537" s="30"/>
      <c r="Z537" s="30"/>
    </row>
    <row r="538">
      <c r="A538" s="320"/>
      <c r="B538" s="142"/>
      <c r="C538" s="320"/>
      <c r="D538" s="142"/>
      <c r="E538" s="320"/>
      <c r="F538" s="142"/>
      <c r="G538" s="320"/>
      <c r="H538" s="142"/>
      <c r="I538" s="320"/>
      <c r="J538" s="142"/>
      <c r="K538" s="320"/>
      <c r="L538" s="142"/>
      <c r="M538" s="320"/>
      <c r="N538" s="142"/>
      <c r="O538" s="320"/>
      <c r="P538" s="142"/>
      <c r="Q538" s="195"/>
      <c r="R538" s="195"/>
      <c r="S538" s="320"/>
      <c r="T538" s="142"/>
      <c r="U538" s="30"/>
      <c r="V538" s="30"/>
      <c r="W538" s="30"/>
      <c r="X538" s="30"/>
      <c r="Y538" s="30"/>
      <c r="Z538" s="30"/>
    </row>
    <row r="539">
      <c r="A539" s="320"/>
      <c r="B539" s="142"/>
      <c r="C539" s="320"/>
      <c r="D539" s="142"/>
      <c r="E539" s="320"/>
      <c r="F539" s="142"/>
      <c r="G539" s="320"/>
      <c r="H539" s="142"/>
      <c r="I539" s="320"/>
      <c r="J539" s="142"/>
      <c r="K539" s="320"/>
      <c r="L539" s="142"/>
      <c r="M539" s="320"/>
      <c r="N539" s="142"/>
      <c r="O539" s="320"/>
      <c r="P539" s="142"/>
      <c r="Q539" s="195"/>
      <c r="R539" s="195"/>
      <c r="S539" s="320"/>
      <c r="T539" s="142"/>
      <c r="U539" s="30"/>
      <c r="V539" s="30"/>
      <c r="W539" s="30"/>
      <c r="X539" s="30"/>
      <c r="Y539" s="30"/>
      <c r="Z539" s="30"/>
    </row>
    <row r="540">
      <c r="A540" s="320"/>
      <c r="B540" s="142"/>
      <c r="C540" s="320"/>
      <c r="D540" s="142"/>
      <c r="E540" s="320"/>
      <c r="F540" s="142"/>
      <c r="G540" s="320"/>
      <c r="H540" s="142"/>
      <c r="I540" s="320"/>
      <c r="J540" s="142"/>
      <c r="K540" s="320"/>
      <c r="L540" s="142"/>
      <c r="M540" s="320"/>
      <c r="N540" s="142"/>
      <c r="O540" s="320"/>
      <c r="P540" s="142"/>
      <c r="Q540" s="195"/>
      <c r="R540" s="195"/>
      <c r="S540" s="320"/>
      <c r="T540" s="142"/>
      <c r="U540" s="30"/>
      <c r="V540" s="30"/>
      <c r="W540" s="30"/>
      <c r="X540" s="30"/>
      <c r="Y540" s="30"/>
      <c r="Z540" s="30"/>
    </row>
    <row r="541">
      <c r="A541" s="320"/>
      <c r="B541" s="142"/>
      <c r="C541" s="320"/>
      <c r="D541" s="142"/>
      <c r="E541" s="320"/>
      <c r="F541" s="142"/>
      <c r="G541" s="320"/>
      <c r="H541" s="142"/>
      <c r="I541" s="320"/>
      <c r="J541" s="142"/>
      <c r="K541" s="320"/>
      <c r="L541" s="142"/>
      <c r="M541" s="320"/>
      <c r="N541" s="142"/>
      <c r="O541" s="320"/>
      <c r="P541" s="142"/>
      <c r="Q541" s="195"/>
      <c r="R541" s="195"/>
      <c r="S541" s="320"/>
      <c r="T541" s="142"/>
      <c r="U541" s="30"/>
      <c r="V541" s="30"/>
      <c r="W541" s="30"/>
      <c r="X541" s="30"/>
      <c r="Y541" s="30"/>
      <c r="Z541" s="30"/>
    </row>
    <row r="542">
      <c r="A542" s="320"/>
      <c r="B542" s="142"/>
      <c r="C542" s="320"/>
      <c r="D542" s="142"/>
      <c r="E542" s="320"/>
      <c r="F542" s="142"/>
      <c r="G542" s="320"/>
      <c r="H542" s="142"/>
      <c r="I542" s="320"/>
      <c r="J542" s="142"/>
      <c r="K542" s="320"/>
      <c r="L542" s="142"/>
      <c r="M542" s="320"/>
      <c r="N542" s="142"/>
      <c r="O542" s="320"/>
      <c r="P542" s="142"/>
      <c r="Q542" s="195"/>
      <c r="R542" s="195"/>
      <c r="S542" s="320"/>
      <c r="T542" s="142"/>
      <c r="U542" s="30"/>
      <c r="V542" s="30"/>
      <c r="W542" s="30"/>
      <c r="X542" s="30"/>
      <c r="Y542" s="30"/>
      <c r="Z542" s="30"/>
    </row>
    <row r="543">
      <c r="A543" s="320"/>
      <c r="B543" s="142"/>
      <c r="C543" s="320"/>
      <c r="D543" s="142"/>
      <c r="E543" s="320"/>
      <c r="F543" s="142"/>
      <c r="G543" s="320"/>
      <c r="H543" s="142"/>
      <c r="I543" s="320"/>
      <c r="J543" s="142"/>
      <c r="K543" s="320"/>
      <c r="L543" s="142"/>
      <c r="M543" s="320"/>
      <c r="N543" s="142"/>
      <c r="O543" s="320"/>
      <c r="P543" s="142"/>
      <c r="Q543" s="195"/>
      <c r="R543" s="195"/>
      <c r="S543" s="320"/>
      <c r="T543" s="142"/>
      <c r="U543" s="30"/>
      <c r="V543" s="30"/>
      <c r="W543" s="30"/>
      <c r="X543" s="30"/>
      <c r="Y543" s="30"/>
      <c r="Z543" s="30"/>
    </row>
    <row r="544">
      <c r="A544" s="320"/>
      <c r="B544" s="142"/>
      <c r="C544" s="320"/>
      <c r="D544" s="142"/>
      <c r="E544" s="320"/>
      <c r="F544" s="142"/>
      <c r="G544" s="320"/>
      <c r="H544" s="142"/>
      <c r="I544" s="320"/>
      <c r="J544" s="142"/>
      <c r="K544" s="320"/>
      <c r="L544" s="142"/>
      <c r="M544" s="320"/>
      <c r="N544" s="142"/>
      <c r="O544" s="320"/>
      <c r="P544" s="142"/>
      <c r="Q544" s="195"/>
      <c r="R544" s="195"/>
      <c r="S544" s="320"/>
      <c r="T544" s="142"/>
      <c r="U544" s="30"/>
      <c r="V544" s="30"/>
      <c r="W544" s="30"/>
      <c r="X544" s="30"/>
      <c r="Y544" s="30"/>
      <c r="Z544" s="30"/>
    </row>
    <row r="545">
      <c r="A545" s="320"/>
      <c r="B545" s="142"/>
      <c r="C545" s="320"/>
      <c r="D545" s="142"/>
      <c r="E545" s="320"/>
      <c r="F545" s="142"/>
      <c r="G545" s="320"/>
      <c r="H545" s="142"/>
      <c r="I545" s="320"/>
      <c r="J545" s="142"/>
      <c r="K545" s="320"/>
      <c r="L545" s="142"/>
      <c r="M545" s="320"/>
      <c r="N545" s="142"/>
      <c r="O545" s="320"/>
      <c r="P545" s="142"/>
      <c r="Q545" s="195"/>
      <c r="R545" s="195"/>
      <c r="S545" s="320"/>
      <c r="T545" s="142"/>
      <c r="U545" s="30"/>
      <c r="V545" s="30"/>
      <c r="W545" s="30"/>
      <c r="X545" s="30"/>
      <c r="Y545" s="30"/>
      <c r="Z545" s="30"/>
    </row>
    <row r="546">
      <c r="A546" s="320"/>
      <c r="B546" s="142"/>
      <c r="C546" s="320"/>
      <c r="D546" s="142"/>
      <c r="E546" s="320"/>
      <c r="F546" s="142"/>
      <c r="G546" s="320"/>
      <c r="H546" s="142"/>
      <c r="I546" s="320"/>
      <c r="J546" s="142"/>
      <c r="K546" s="320"/>
      <c r="L546" s="142"/>
      <c r="M546" s="320"/>
      <c r="N546" s="142"/>
      <c r="O546" s="320"/>
      <c r="P546" s="142"/>
      <c r="Q546" s="195"/>
      <c r="R546" s="195"/>
      <c r="S546" s="320"/>
      <c r="T546" s="142"/>
      <c r="U546" s="30"/>
      <c r="V546" s="30"/>
      <c r="W546" s="30"/>
      <c r="X546" s="30"/>
      <c r="Y546" s="30"/>
      <c r="Z546" s="30"/>
    </row>
    <row r="547">
      <c r="A547" s="320"/>
      <c r="B547" s="142"/>
      <c r="C547" s="320"/>
      <c r="D547" s="142"/>
      <c r="E547" s="320"/>
      <c r="F547" s="142"/>
      <c r="G547" s="320"/>
      <c r="H547" s="142"/>
      <c r="I547" s="320"/>
      <c r="J547" s="142"/>
      <c r="K547" s="320"/>
      <c r="L547" s="142"/>
      <c r="M547" s="320"/>
      <c r="N547" s="142"/>
      <c r="O547" s="320"/>
      <c r="P547" s="142"/>
      <c r="Q547" s="195"/>
      <c r="R547" s="195"/>
      <c r="S547" s="320"/>
      <c r="T547" s="142"/>
      <c r="U547" s="30"/>
      <c r="V547" s="30"/>
      <c r="W547" s="30"/>
      <c r="X547" s="30"/>
      <c r="Y547" s="30"/>
      <c r="Z547" s="30"/>
    </row>
    <row r="548">
      <c r="A548" s="320"/>
      <c r="B548" s="142"/>
      <c r="C548" s="320"/>
      <c r="D548" s="142"/>
      <c r="E548" s="320"/>
      <c r="F548" s="142"/>
      <c r="G548" s="320"/>
      <c r="H548" s="142"/>
      <c r="I548" s="320"/>
      <c r="J548" s="142"/>
      <c r="K548" s="320"/>
      <c r="L548" s="142"/>
      <c r="M548" s="320"/>
      <c r="N548" s="142"/>
      <c r="O548" s="320"/>
      <c r="P548" s="142"/>
      <c r="Q548" s="195"/>
      <c r="R548" s="195"/>
      <c r="S548" s="320"/>
      <c r="T548" s="142"/>
      <c r="U548" s="30"/>
      <c r="V548" s="30"/>
      <c r="W548" s="30"/>
      <c r="X548" s="30"/>
      <c r="Y548" s="30"/>
      <c r="Z548" s="30"/>
    </row>
    <row r="549">
      <c r="A549" s="320"/>
      <c r="B549" s="142"/>
      <c r="C549" s="320"/>
      <c r="D549" s="142"/>
      <c r="E549" s="320"/>
      <c r="F549" s="142"/>
      <c r="G549" s="320"/>
      <c r="H549" s="142"/>
      <c r="I549" s="320"/>
      <c r="J549" s="142"/>
      <c r="K549" s="320"/>
      <c r="L549" s="142"/>
      <c r="M549" s="320"/>
      <c r="N549" s="142"/>
      <c r="O549" s="320"/>
      <c r="P549" s="142"/>
      <c r="Q549" s="195"/>
      <c r="R549" s="195"/>
      <c r="S549" s="320"/>
      <c r="T549" s="142"/>
      <c r="U549" s="30"/>
      <c r="V549" s="30"/>
      <c r="W549" s="30"/>
      <c r="X549" s="30"/>
      <c r="Y549" s="30"/>
      <c r="Z549" s="30"/>
    </row>
    <row r="550">
      <c r="A550" s="320"/>
      <c r="B550" s="142"/>
      <c r="C550" s="320"/>
      <c r="D550" s="142"/>
      <c r="E550" s="320"/>
      <c r="F550" s="142"/>
      <c r="G550" s="320"/>
      <c r="H550" s="142"/>
      <c r="I550" s="320"/>
      <c r="J550" s="142"/>
      <c r="K550" s="320"/>
      <c r="L550" s="142"/>
      <c r="M550" s="320"/>
      <c r="N550" s="142"/>
      <c r="O550" s="320"/>
      <c r="P550" s="142"/>
      <c r="Q550" s="195"/>
      <c r="R550" s="195"/>
      <c r="S550" s="320"/>
      <c r="T550" s="142"/>
      <c r="U550" s="30"/>
      <c r="V550" s="30"/>
      <c r="W550" s="30"/>
      <c r="X550" s="30"/>
      <c r="Y550" s="30"/>
      <c r="Z550" s="30"/>
    </row>
    <row r="551">
      <c r="A551" s="320"/>
      <c r="B551" s="142"/>
      <c r="C551" s="320"/>
      <c r="D551" s="142"/>
      <c r="E551" s="320"/>
      <c r="F551" s="142"/>
      <c r="G551" s="320"/>
      <c r="H551" s="142"/>
      <c r="I551" s="320"/>
      <c r="J551" s="142"/>
      <c r="K551" s="320"/>
      <c r="L551" s="142"/>
      <c r="M551" s="320"/>
      <c r="N551" s="142"/>
      <c r="O551" s="320"/>
      <c r="P551" s="142"/>
      <c r="Q551" s="195"/>
      <c r="R551" s="195"/>
      <c r="S551" s="320"/>
      <c r="T551" s="142"/>
      <c r="U551" s="30"/>
      <c r="V551" s="30"/>
      <c r="W551" s="30"/>
      <c r="X551" s="30"/>
      <c r="Y551" s="30"/>
      <c r="Z551" s="30"/>
    </row>
    <row r="552">
      <c r="A552" s="320"/>
      <c r="B552" s="142"/>
      <c r="C552" s="320"/>
      <c r="D552" s="142"/>
      <c r="E552" s="320"/>
      <c r="F552" s="142"/>
      <c r="G552" s="320"/>
      <c r="H552" s="142"/>
      <c r="I552" s="320"/>
      <c r="J552" s="142"/>
      <c r="K552" s="320"/>
      <c r="L552" s="142"/>
      <c r="M552" s="320"/>
      <c r="N552" s="142"/>
      <c r="O552" s="320"/>
      <c r="P552" s="142"/>
      <c r="Q552" s="195"/>
      <c r="R552" s="195"/>
      <c r="S552" s="320"/>
      <c r="T552" s="142"/>
      <c r="U552" s="30"/>
      <c r="V552" s="30"/>
      <c r="W552" s="30"/>
      <c r="X552" s="30"/>
      <c r="Y552" s="30"/>
      <c r="Z552" s="30"/>
    </row>
    <row r="553">
      <c r="A553" s="320"/>
      <c r="B553" s="142"/>
      <c r="C553" s="320"/>
      <c r="D553" s="142"/>
      <c r="E553" s="320"/>
      <c r="F553" s="142"/>
      <c r="G553" s="320"/>
      <c r="H553" s="142"/>
      <c r="I553" s="320"/>
      <c r="J553" s="142"/>
      <c r="K553" s="320"/>
      <c r="L553" s="142"/>
      <c r="M553" s="320"/>
      <c r="N553" s="142"/>
      <c r="O553" s="320"/>
      <c r="P553" s="142"/>
      <c r="Q553" s="195"/>
      <c r="R553" s="195"/>
      <c r="S553" s="320"/>
      <c r="T553" s="142"/>
      <c r="U553" s="30"/>
      <c r="V553" s="30"/>
      <c r="W553" s="30"/>
      <c r="X553" s="30"/>
      <c r="Y553" s="30"/>
      <c r="Z553" s="30"/>
    </row>
    <row r="554">
      <c r="A554" s="320"/>
      <c r="B554" s="142"/>
      <c r="C554" s="320"/>
      <c r="D554" s="142"/>
      <c r="E554" s="320"/>
      <c r="F554" s="142"/>
      <c r="G554" s="320"/>
      <c r="H554" s="142"/>
      <c r="I554" s="320"/>
      <c r="J554" s="142"/>
      <c r="K554" s="320"/>
      <c r="L554" s="142"/>
      <c r="M554" s="320"/>
      <c r="N554" s="142"/>
      <c r="O554" s="320"/>
      <c r="P554" s="142"/>
      <c r="Q554" s="195"/>
      <c r="R554" s="195"/>
      <c r="S554" s="320"/>
      <c r="T554" s="142"/>
      <c r="U554" s="30"/>
      <c r="V554" s="30"/>
      <c r="W554" s="30"/>
      <c r="X554" s="30"/>
      <c r="Y554" s="30"/>
      <c r="Z554" s="30"/>
    </row>
    <row r="555">
      <c r="A555" s="320"/>
      <c r="B555" s="142"/>
      <c r="C555" s="320"/>
      <c r="D555" s="142"/>
      <c r="E555" s="320"/>
      <c r="F555" s="142"/>
      <c r="G555" s="320"/>
      <c r="H555" s="142"/>
      <c r="I555" s="320"/>
      <c r="J555" s="142"/>
      <c r="K555" s="320"/>
      <c r="L555" s="142"/>
      <c r="M555" s="320"/>
      <c r="N555" s="142"/>
      <c r="O555" s="320"/>
      <c r="P555" s="142"/>
      <c r="Q555" s="195"/>
      <c r="R555" s="195"/>
      <c r="S555" s="320"/>
      <c r="T555" s="142"/>
      <c r="U555" s="30"/>
      <c r="V555" s="30"/>
      <c r="W555" s="30"/>
      <c r="X555" s="30"/>
      <c r="Y555" s="30"/>
      <c r="Z555" s="30"/>
    </row>
    <row r="556">
      <c r="A556" s="320"/>
      <c r="B556" s="142"/>
      <c r="C556" s="320"/>
      <c r="D556" s="142"/>
      <c r="E556" s="320"/>
      <c r="F556" s="142"/>
      <c r="G556" s="320"/>
      <c r="H556" s="142"/>
      <c r="I556" s="320"/>
      <c r="J556" s="142"/>
      <c r="K556" s="320"/>
      <c r="L556" s="142"/>
      <c r="M556" s="320"/>
      <c r="N556" s="142"/>
      <c r="O556" s="320"/>
      <c r="P556" s="142"/>
      <c r="Q556" s="195"/>
      <c r="R556" s="195"/>
      <c r="S556" s="320"/>
      <c r="T556" s="142"/>
      <c r="U556" s="30"/>
      <c r="V556" s="30"/>
      <c r="W556" s="30"/>
      <c r="X556" s="30"/>
      <c r="Y556" s="30"/>
      <c r="Z556" s="30"/>
    </row>
    <row r="557">
      <c r="A557" s="320"/>
      <c r="B557" s="142"/>
      <c r="C557" s="320"/>
      <c r="D557" s="142"/>
      <c r="E557" s="320"/>
      <c r="F557" s="142"/>
      <c r="G557" s="320"/>
      <c r="H557" s="142"/>
      <c r="I557" s="320"/>
      <c r="J557" s="142"/>
      <c r="K557" s="320"/>
      <c r="L557" s="142"/>
      <c r="M557" s="320"/>
      <c r="N557" s="142"/>
      <c r="O557" s="320"/>
      <c r="P557" s="142"/>
      <c r="Q557" s="195"/>
      <c r="R557" s="195"/>
      <c r="S557" s="320"/>
      <c r="T557" s="142"/>
      <c r="U557" s="30"/>
      <c r="V557" s="30"/>
      <c r="W557" s="30"/>
      <c r="X557" s="30"/>
      <c r="Y557" s="30"/>
      <c r="Z557" s="30"/>
    </row>
    <row r="558">
      <c r="A558" s="320"/>
      <c r="B558" s="142"/>
      <c r="C558" s="320"/>
      <c r="D558" s="142"/>
      <c r="E558" s="320"/>
      <c r="F558" s="142"/>
      <c r="G558" s="320"/>
      <c r="H558" s="142"/>
      <c r="I558" s="320"/>
      <c r="J558" s="142"/>
      <c r="K558" s="320"/>
      <c r="L558" s="142"/>
      <c r="M558" s="320"/>
      <c r="N558" s="142"/>
      <c r="O558" s="320"/>
      <c r="P558" s="142"/>
      <c r="Q558" s="195"/>
      <c r="R558" s="195"/>
      <c r="S558" s="320"/>
      <c r="T558" s="142"/>
      <c r="U558" s="30"/>
      <c r="V558" s="30"/>
      <c r="W558" s="30"/>
      <c r="X558" s="30"/>
      <c r="Y558" s="30"/>
      <c r="Z558" s="30"/>
    </row>
    <row r="559">
      <c r="A559" s="320"/>
      <c r="B559" s="142"/>
      <c r="C559" s="320"/>
      <c r="D559" s="142"/>
      <c r="E559" s="320"/>
      <c r="F559" s="142"/>
      <c r="G559" s="320"/>
      <c r="H559" s="142"/>
      <c r="I559" s="320"/>
      <c r="J559" s="142"/>
      <c r="K559" s="320"/>
      <c r="L559" s="142"/>
      <c r="M559" s="320"/>
      <c r="N559" s="142"/>
      <c r="O559" s="320"/>
      <c r="P559" s="142"/>
      <c r="Q559" s="195"/>
      <c r="R559" s="195"/>
      <c r="S559" s="320"/>
      <c r="T559" s="142"/>
      <c r="U559" s="30"/>
      <c r="V559" s="30"/>
      <c r="W559" s="30"/>
      <c r="X559" s="30"/>
      <c r="Y559" s="30"/>
      <c r="Z559" s="30"/>
    </row>
    <row r="560">
      <c r="A560" s="320"/>
      <c r="B560" s="142"/>
      <c r="C560" s="320"/>
      <c r="D560" s="142"/>
      <c r="E560" s="320"/>
      <c r="F560" s="142"/>
      <c r="G560" s="320"/>
      <c r="H560" s="142"/>
      <c r="I560" s="320"/>
      <c r="J560" s="142"/>
      <c r="K560" s="320"/>
      <c r="L560" s="142"/>
      <c r="M560" s="320"/>
      <c r="N560" s="142"/>
      <c r="O560" s="320"/>
      <c r="P560" s="142"/>
      <c r="Q560" s="195"/>
      <c r="R560" s="195"/>
      <c r="S560" s="320"/>
      <c r="T560" s="142"/>
      <c r="U560" s="30"/>
      <c r="V560" s="30"/>
      <c r="W560" s="30"/>
      <c r="X560" s="30"/>
      <c r="Y560" s="30"/>
      <c r="Z560" s="30"/>
    </row>
    <row r="561">
      <c r="A561" s="320"/>
      <c r="B561" s="142"/>
      <c r="C561" s="320"/>
      <c r="D561" s="142"/>
      <c r="E561" s="320"/>
      <c r="F561" s="142"/>
      <c r="G561" s="320"/>
      <c r="H561" s="142"/>
      <c r="I561" s="320"/>
      <c r="J561" s="142"/>
      <c r="K561" s="320"/>
      <c r="L561" s="142"/>
      <c r="M561" s="320"/>
      <c r="N561" s="142"/>
      <c r="O561" s="320"/>
      <c r="P561" s="142"/>
      <c r="Q561" s="195"/>
      <c r="R561" s="195"/>
      <c r="S561" s="320"/>
      <c r="T561" s="142"/>
      <c r="U561" s="30"/>
      <c r="V561" s="30"/>
      <c r="W561" s="30"/>
      <c r="X561" s="30"/>
      <c r="Y561" s="30"/>
      <c r="Z561" s="30"/>
    </row>
    <row r="562">
      <c r="A562" s="320"/>
      <c r="B562" s="142"/>
      <c r="C562" s="320"/>
      <c r="D562" s="142"/>
      <c r="E562" s="320"/>
      <c r="F562" s="142"/>
      <c r="G562" s="320"/>
      <c r="H562" s="142"/>
      <c r="I562" s="320"/>
      <c r="J562" s="142"/>
      <c r="K562" s="320"/>
      <c r="L562" s="142"/>
      <c r="M562" s="320"/>
      <c r="N562" s="142"/>
      <c r="O562" s="320"/>
      <c r="P562" s="142"/>
      <c r="Q562" s="195"/>
      <c r="R562" s="195"/>
      <c r="S562" s="320"/>
      <c r="T562" s="142"/>
      <c r="U562" s="30"/>
      <c r="V562" s="30"/>
      <c r="W562" s="30"/>
      <c r="X562" s="30"/>
      <c r="Y562" s="30"/>
      <c r="Z562" s="30"/>
    </row>
    <row r="563">
      <c r="A563" s="320"/>
      <c r="B563" s="142"/>
      <c r="C563" s="320"/>
      <c r="D563" s="142"/>
      <c r="E563" s="320"/>
      <c r="F563" s="142"/>
      <c r="G563" s="320"/>
      <c r="H563" s="142"/>
      <c r="I563" s="320"/>
      <c r="J563" s="142"/>
      <c r="K563" s="320"/>
      <c r="L563" s="142"/>
      <c r="M563" s="320"/>
      <c r="N563" s="142"/>
      <c r="O563" s="320"/>
      <c r="P563" s="142"/>
      <c r="Q563" s="195"/>
      <c r="R563" s="195"/>
      <c r="S563" s="320"/>
      <c r="T563" s="142"/>
      <c r="U563" s="30"/>
      <c r="V563" s="30"/>
      <c r="W563" s="30"/>
      <c r="X563" s="30"/>
      <c r="Y563" s="30"/>
      <c r="Z563" s="30"/>
    </row>
    <row r="564">
      <c r="A564" s="320"/>
      <c r="B564" s="142"/>
      <c r="C564" s="320"/>
      <c r="D564" s="142"/>
      <c r="E564" s="320"/>
      <c r="F564" s="142"/>
      <c r="G564" s="320"/>
      <c r="H564" s="142"/>
      <c r="I564" s="320"/>
      <c r="J564" s="142"/>
      <c r="K564" s="320"/>
      <c r="L564" s="142"/>
      <c r="M564" s="320"/>
      <c r="N564" s="142"/>
      <c r="O564" s="320"/>
      <c r="P564" s="142"/>
      <c r="Q564" s="195"/>
      <c r="R564" s="195"/>
      <c r="S564" s="320"/>
      <c r="T564" s="142"/>
      <c r="U564" s="30"/>
      <c r="V564" s="30"/>
      <c r="W564" s="30"/>
      <c r="X564" s="30"/>
      <c r="Y564" s="30"/>
      <c r="Z564" s="30"/>
    </row>
    <row r="565">
      <c r="A565" s="320"/>
      <c r="B565" s="142"/>
      <c r="C565" s="320"/>
      <c r="D565" s="142"/>
      <c r="E565" s="320"/>
      <c r="F565" s="142"/>
      <c r="G565" s="320"/>
      <c r="H565" s="142"/>
      <c r="I565" s="320"/>
      <c r="J565" s="142"/>
      <c r="K565" s="320"/>
      <c r="L565" s="142"/>
      <c r="M565" s="320"/>
      <c r="N565" s="142"/>
      <c r="O565" s="320"/>
      <c r="P565" s="142"/>
      <c r="Q565" s="195"/>
      <c r="R565" s="195"/>
      <c r="S565" s="320"/>
      <c r="T565" s="142"/>
      <c r="U565" s="30"/>
      <c r="V565" s="30"/>
      <c r="W565" s="30"/>
      <c r="X565" s="30"/>
      <c r="Y565" s="30"/>
      <c r="Z565" s="30"/>
    </row>
    <row r="566">
      <c r="A566" s="320"/>
      <c r="B566" s="142"/>
      <c r="C566" s="320"/>
      <c r="D566" s="142"/>
      <c r="E566" s="320"/>
      <c r="F566" s="142"/>
      <c r="G566" s="320"/>
      <c r="H566" s="142"/>
      <c r="I566" s="320"/>
      <c r="J566" s="142"/>
      <c r="K566" s="320"/>
      <c r="L566" s="142"/>
      <c r="M566" s="320"/>
      <c r="N566" s="142"/>
      <c r="O566" s="320"/>
      <c r="P566" s="142"/>
      <c r="Q566" s="195"/>
      <c r="R566" s="195"/>
      <c r="S566" s="320"/>
      <c r="T566" s="142"/>
      <c r="U566" s="30"/>
      <c r="V566" s="30"/>
      <c r="W566" s="30"/>
      <c r="X566" s="30"/>
      <c r="Y566" s="30"/>
      <c r="Z566" s="30"/>
    </row>
    <row r="567">
      <c r="A567" s="320"/>
      <c r="B567" s="142"/>
      <c r="C567" s="320"/>
      <c r="D567" s="142"/>
      <c r="E567" s="320"/>
      <c r="F567" s="142"/>
      <c r="G567" s="320"/>
      <c r="H567" s="142"/>
      <c r="I567" s="320"/>
      <c r="J567" s="142"/>
      <c r="K567" s="320"/>
      <c r="L567" s="142"/>
      <c r="M567" s="320"/>
      <c r="N567" s="142"/>
      <c r="O567" s="320"/>
      <c r="P567" s="142"/>
      <c r="Q567" s="195"/>
      <c r="R567" s="195"/>
      <c r="S567" s="320"/>
      <c r="T567" s="142"/>
      <c r="U567" s="30"/>
      <c r="V567" s="30"/>
      <c r="W567" s="30"/>
      <c r="X567" s="30"/>
      <c r="Y567" s="30"/>
      <c r="Z567" s="30"/>
    </row>
    <row r="568">
      <c r="A568" s="320"/>
      <c r="B568" s="142"/>
      <c r="C568" s="320"/>
      <c r="D568" s="142"/>
      <c r="E568" s="320"/>
      <c r="F568" s="142"/>
      <c r="G568" s="320"/>
      <c r="H568" s="142"/>
      <c r="I568" s="320"/>
      <c r="J568" s="142"/>
      <c r="K568" s="320"/>
      <c r="L568" s="142"/>
      <c r="M568" s="320"/>
      <c r="N568" s="142"/>
      <c r="O568" s="320"/>
      <c r="P568" s="142"/>
      <c r="Q568" s="195"/>
      <c r="R568" s="195"/>
      <c r="S568" s="320"/>
      <c r="T568" s="142"/>
      <c r="U568" s="30"/>
      <c r="V568" s="30"/>
      <c r="W568" s="30"/>
      <c r="X568" s="30"/>
      <c r="Y568" s="30"/>
      <c r="Z568" s="30"/>
    </row>
    <row r="569">
      <c r="A569" s="320"/>
      <c r="B569" s="142"/>
      <c r="C569" s="320"/>
      <c r="D569" s="142"/>
      <c r="E569" s="320"/>
      <c r="F569" s="142"/>
      <c r="G569" s="320"/>
      <c r="H569" s="142"/>
      <c r="I569" s="320"/>
      <c r="J569" s="142"/>
      <c r="K569" s="320"/>
      <c r="L569" s="142"/>
      <c r="M569" s="320"/>
      <c r="N569" s="142"/>
      <c r="O569" s="320"/>
      <c r="P569" s="142"/>
      <c r="Q569" s="195"/>
      <c r="R569" s="195"/>
      <c r="S569" s="320"/>
      <c r="T569" s="142"/>
      <c r="U569" s="30"/>
      <c r="V569" s="30"/>
      <c r="W569" s="30"/>
      <c r="X569" s="30"/>
      <c r="Y569" s="30"/>
      <c r="Z569" s="30"/>
    </row>
    <row r="570">
      <c r="A570" s="320"/>
      <c r="B570" s="142"/>
      <c r="C570" s="320"/>
      <c r="D570" s="142"/>
      <c r="E570" s="320"/>
      <c r="F570" s="142"/>
      <c r="G570" s="320"/>
      <c r="H570" s="142"/>
      <c r="I570" s="320"/>
      <c r="J570" s="142"/>
      <c r="K570" s="320"/>
      <c r="L570" s="142"/>
      <c r="M570" s="320"/>
      <c r="N570" s="142"/>
      <c r="O570" s="320"/>
      <c r="P570" s="142"/>
      <c r="Q570" s="195"/>
      <c r="R570" s="195"/>
      <c r="S570" s="320"/>
      <c r="T570" s="142"/>
      <c r="U570" s="30"/>
      <c r="V570" s="30"/>
      <c r="W570" s="30"/>
      <c r="X570" s="30"/>
      <c r="Y570" s="30"/>
      <c r="Z570" s="30"/>
    </row>
    <row r="571">
      <c r="A571" s="320"/>
      <c r="B571" s="142"/>
      <c r="C571" s="320"/>
      <c r="D571" s="142"/>
      <c r="E571" s="320"/>
      <c r="F571" s="142"/>
      <c r="G571" s="320"/>
      <c r="H571" s="142"/>
      <c r="I571" s="320"/>
      <c r="J571" s="142"/>
      <c r="K571" s="320"/>
      <c r="L571" s="142"/>
      <c r="M571" s="320"/>
      <c r="N571" s="142"/>
      <c r="O571" s="320"/>
      <c r="P571" s="142"/>
      <c r="Q571" s="195"/>
      <c r="R571" s="195"/>
      <c r="S571" s="320"/>
      <c r="T571" s="142"/>
      <c r="U571" s="30"/>
      <c r="V571" s="30"/>
      <c r="W571" s="30"/>
      <c r="X571" s="30"/>
      <c r="Y571" s="30"/>
      <c r="Z571" s="30"/>
    </row>
    <row r="572">
      <c r="A572" s="320"/>
      <c r="B572" s="142"/>
      <c r="C572" s="320"/>
      <c r="D572" s="142"/>
      <c r="E572" s="320"/>
      <c r="F572" s="142"/>
      <c r="G572" s="320"/>
      <c r="H572" s="142"/>
      <c r="I572" s="320"/>
      <c r="J572" s="142"/>
      <c r="K572" s="320"/>
      <c r="L572" s="142"/>
      <c r="M572" s="320"/>
      <c r="N572" s="142"/>
      <c r="O572" s="320"/>
      <c r="P572" s="142"/>
      <c r="Q572" s="195"/>
      <c r="R572" s="195"/>
      <c r="S572" s="320"/>
      <c r="T572" s="142"/>
      <c r="U572" s="30"/>
      <c r="V572" s="30"/>
      <c r="W572" s="30"/>
      <c r="X572" s="30"/>
      <c r="Y572" s="30"/>
      <c r="Z572" s="30"/>
    </row>
    <row r="573">
      <c r="A573" s="320"/>
      <c r="B573" s="142"/>
      <c r="C573" s="320"/>
      <c r="D573" s="142"/>
      <c r="E573" s="320"/>
      <c r="F573" s="142"/>
      <c r="G573" s="320"/>
      <c r="H573" s="142"/>
      <c r="I573" s="320"/>
      <c r="J573" s="142"/>
      <c r="K573" s="320"/>
      <c r="L573" s="142"/>
      <c r="M573" s="320"/>
      <c r="N573" s="142"/>
      <c r="O573" s="320"/>
      <c r="P573" s="142"/>
      <c r="Q573" s="195"/>
      <c r="R573" s="195"/>
      <c r="S573" s="320"/>
      <c r="T573" s="142"/>
      <c r="U573" s="30"/>
      <c r="V573" s="30"/>
      <c r="W573" s="30"/>
      <c r="X573" s="30"/>
      <c r="Y573" s="30"/>
      <c r="Z573" s="30"/>
    </row>
    <row r="574">
      <c r="A574" s="320"/>
      <c r="B574" s="142"/>
      <c r="C574" s="320"/>
      <c r="D574" s="142"/>
      <c r="E574" s="320"/>
      <c r="F574" s="142"/>
      <c r="G574" s="320"/>
      <c r="H574" s="142"/>
      <c r="I574" s="320"/>
      <c r="J574" s="142"/>
      <c r="K574" s="320"/>
      <c r="L574" s="142"/>
      <c r="M574" s="320"/>
      <c r="N574" s="142"/>
      <c r="O574" s="320"/>
      <c r="P574" s="142"/>
      <c r="Q574" s="195"/>
      <c r="R574" s="195"/>
      <c r="S574" s="320"/>
      <c r="T574" s="142"/>
      <c r="U574" s="30"/>
      <c r="V574" s="30"/>
      <c r="W574" s="30"/>
      <c r="X574" s="30"/>
      <c r="Y574" s="30"/>
      <c r="Z574" s="30"/>
    </row>
    <row r="575">
      <c r="A575" s="320"/>
      <c r="B575" s="142"/>
      <c r="C575" s="320"/>
      <c r="D575" s="142"/>
      <c r="E575" s="320"/>
      <c r="F575" s="142"/>
      <c r="G575" s="320"/>
      <c r="H575" s="142"/>
      <c r="I575" s="320"/>
      <c r="J575" s="142"/>
      <c r="K575" s="320"/>
      <c r="L575" s="142"/>
      <c r="M575" s="320"/>
      <c r="N575" s="142"/>
      <c r="O575" s="320"/>
      <c r="P575" s="142"/>
      <c r="Q575" s="195"/>
      <c r="R575" s="195"/>
      <c r="S575" s="320"/>
      <c r="T575" s="142"/>
      <c r="U575" s="30"/>
      <c r="V575" s="30"/>
      <c r="W575" s="30"/>
      <c r="X575" s="30"/>
      <c r="Y575" s="30"/>
      <c r="Z575" s="30"/>
    </row>
    <row r="576">
      <c r="A576" s="320"/>
      <c r="B576" s="142"/>
      <c r="C576" s="320"/>
      <c r="D576" s="142"/>
      <c r="E576" s="320"/>
      <c r="F576" s="142"/>
      <c r="G576" s="320"/>
      <c r="H576" s="142"/>
      <c r="I576" s="320"/>
      <c r="J576" s="142"/>
      <c r="K576" s="320"/>
      <c r="L576" s="142"/>
      <c r="M576" s="320"/>
      <c r="N576" s="142"/>
      <c r="O576" s="320"/>
      <c r="P576" s="142"/>
      <c r="Q576" s="195"/>
      <c r="R576" s="195"/>
      <c r="S576" s="320"/>
      <c r="T576" s="142"/>
      <c r="U576" s="30"/>
      <c r="V576" s="30"/>
      <c r="W576" s="30"/>
      <c r="X576" s="30"/>
      <c r="Y576" s="30"/>
      <c r="Z576" s="30"/>
    </row>
    <row r="577">
      <c r="A577" s="320"/>
      <c r="B577" s="142"/>
      <c r="C577" s="320"/>
      <c r="D577" s="142"/>
      <c r="E577" s="320"/>
      <c r="F577" s="142"/>
      <c r="G577" s="320"/>
      <c r="H577" s="142"/>
      <c r="I577" s="320"/>
      <c r="J577" s="142"/>
      <c r="K577" s="320"/>
      <c r="L577" s="142"/>
      <c r="M577" s="320"/>
      <c r="N577" s="142"/>
      <c r="O577" s="320"/>
      <c r="P577" s="142"/>
      <c r="Q577" s="195"/>
      <c r="R577" s="195"/>
      <c r="S577" s="320"/>
      <c r="T577" s="142"/>
      <c r="U577" s="30"/>
      <c r="V577" s="30"/>
      <c r="W577" s="30"/>
      <c r="X577" s="30"/>
      <c r="Y577" s="30"/>
      <c r="Z577" s="30"/>
    </row>
    <row r="578">
      <c r="A578" s="320"/>
      <c r="B578" s="142"/>
      <c r="C578" s="320"/>
      <c r="D578" s="142"/>
      <c r="E578" s="320"/>
      <c r="F578" s="142"/>
      <c r="G578" s="320"/>
      <c r="H578" s="142"/>
      <c r="I578" s="320"/>
      <c r="J578" s="142"/>
      <c r="K578" s="320"/>
      <c r="L578" s="142"/>
      <c r="M578" s="320"/>
      <c r="N578" s="142"/>
      <c r="O578" s="320"/>
      <c r="P578" s="142"/>
      <c r="Q578" s="195"/>
      <c r="R578" s="195"/>
      <c r="S578" s="320"/>
      <c r="T578" s="142"/>
      <c r="U578" s="30"/>
      <c r="V578" s="30"/>
      <c r="W578" s="30"/>
      <c r="X578" s="30"/>
      <c r="Y578" s="30"/>
      <c r="Z578" s="30"/>
    </row>
    <row r="579">
      <c r="A579" s="320"/>
      <c r="B579" s="142"/>
      <c r="C579" s="320"/>
      <c r="D579" s="142"/>
      <c r="E579" s="320"/>
      <c r="F579" s="142"/>
      <c r="G579" s="320"/>
      <c r="H579" s="142"/>
      <c r="I579" s="320"/>
      <c r="J579" s="142"/>
      <c r="K579" s="320"/>
      <c r="L579" s="142"/>
      <c r="M579" s="320"/>
      <c r="N579" s="142"/>
      <c r="O579" s="320"/>
      <c r="P579" s="142"/>
      <c r="Q579" s="195"/>
      <c r="R579" s="195"/>
      <c r="S579" s="320"/>
      <c r="T579" s="142"/>
      <c r="U579" s="30"/>
      <c r="V579" s="30"/>
      <c r="W579" s="30"/>
      <c r="X579" s="30"/>
      <c r="Y579" s="30"/>
      <c r="Z579" s="30"/>
    </row>
    <row r="580">
      <c r="A580" s="320"/>
      <c r="B580" s="142"/>
      <c r="C580" s="320"/>
      <c r="D580" s="142"/>
      <c r="E580" s="320"/>
      <c r="F580" s="142"/>
      <c r="G580" s="320"/>
      <c r="H580" s="142"/>
      <c r="I580" s="320"/>
      <c r="J580" s="142"/>
      <c r="K580" s="320"/>
      <c r="L580" s="142"/>
      <c r="M580" s="320"/>
      <c r="N580" s="142"/>
      <c r="O580" s="320"/>
      <c r="P580" s="142"/>
      <c r="Q580" s="195"/>
      <c r="R580" s="195"/>
      <c r="S580" s="320"/>
      <c r="T580" s="142"/>
      <c r="U580" s="30"/>
      <c r="V580" s="30"/>
      <c r="W580" s="30"/>
      <c r="X580" s="30"/>
      <c r="Y580" s="30"/>
      <c r="Z580" s="30"/>
    </row>
    <row r="581">
      <c r="A581" s="320"/>
      <c r="B581" s="142"/>
      <c r="C581" s="320"/>
      <c r="D581" s="142"/>
      <c r="E581" s="320"/>
      <c r="F581" s="142"/>
      <c r="G581" s="320"/>
      <c r="H581" s="142"/>
      <c r="I581" s="320"/>
      <c r="J581" s="142"/>
      <c r="K581" s="320"/>
      <c r="L581" s="142"/>
      <c r="M581" s="320"/>
      <c r="N581" s="142"/>
      <c r="O581" s="320"/>
      <c r="P581" s="142"/>
      <c r="Q581" s="195"/>
      <c r="R581" s="195"/>
      <c r="S581" s="320"/>
      <c r="T581" s="142"/>
      <c r="U581" s="30"/>
      <c r="V581" s="30"/>
      <c r="W581" s="30"/>
      <c r="X581" s="30"/>
      <c r="Y581" s="30"/>
      <c r="Z581" s="30"/>
    </row>
    <row r="582">
      <c r="A582" s="320"/>
      <c r="B582" s="142"/>
      <c r="C582" s="320"/>
      <c r="D582" s="142"/>
      <c r="E582" s="320"/>
      <c r="F582" s="142"/>
      <c r="G582" s="320"/>
      <c r="H582" s="142"/>
      <c r="I582" s="320"/>
      <c r="J582" s="142"/>
      <c r="K582" s="320"/>
      <c r="L582" s="142"/>
      <c r="M582" s="320"/>
      <c r="N582" s="142"/>
      <c r="O582" s="320"/>
      <c r="P582" s="142"/>
      <c r="Q582" s="195"/>
      <c r="R582" s="195"/>
      <c r="S582" s="320"/>
      <c r="T582" s="142"/>
      <c r="U582" s="30"/>
      <c r="V582" s="30"/>
      <c r="W582" s="30"/>
      <c r="X582" s="30"/>
      <c r="Y582" s="30"/>
      <c r="Z582" s="30"/>
    </row>
    <row r="583">
      <c r="A583" s="320"/>
      <c r="B583" s="142"/>
      <c r="C583" s="320"/>
      <c r="D583" s="142"/>
      <c r="E583" s="320"/>
      <c r="F583" s="142"/>
      <c r="G583" s="320"/>
      <c r="H583" s="142"/>
      <c r="I583" s="320"/>
      <c r="J583" s="142"/>
      <c r="K583" s="320"/>
      <c r="L583" s="142"/>
      <c r="M583" s="320"/>
      <c r="N583" s="142"/>
      <c r="O583" s="320"/>
      <c r="P583" s="142"/>
      <c r="Q583" s="195"/>
      <c r="R583" s="195"/>
      <c r="S583" s="320"/>
      <c r="T583" s="142"/>
      <c r="U583" s="30"/>
      <c r="V583" s="30"/>
      <c r="W583" s="30"/>
      <c r="X583" s="30"/>
      <c r="Y583" s="30"/>
      <c r="Z583" s="30"/>
    </row>
    <row r="584">
      <c r="A584" s="320"/>
      <c r="B584" s="142"/>
      <c r="C584" s="320"/>
      <c r="D584" s="142"/>
      <c r="E584" s="320"/>
      <c r="F584" s="142"/>
      <c r="G584" s="320"/>
      <c r="H584" s="142"/>
      <c r="I584" s="320"/>
      <c r="J584" s="142"/>
      <c r="K584" s="320"/>
      <c r="L584" s="142"/>
      <c r="M584" s="320"/>
      <c r="N584" s="142"/>
      <c r="O584" s="320"/>
      <c r="P584" s="142"/>
      <c r="Q584" s="195"/>
      <c r="R584" s="195"/>
      <c r="S584" s="320"/>
      <c r="T584" s="142"/>
      <c r="U584" s="30"/>
      <c r="V584" s="30"/>
      <c r="W584" s="30"/>
      <c r="X584" s="30"/>
      <c r="Y584" s="30"/>
      <c r="Z584" s="30"/>
    </row>
    <row r="585">
      <c r="A585" s="320"/>
      <c r="B585" s="142"/>
      <c r="C585" s="320"/>
      <c r="D585" s="142"/>
      <c r="E585" s="320"/>
      <c r="F585" s="142"/>
      <c r="G585" s="320"/>
      <c r="H585" s="142"/>
      <c r="I585" s="320"/>
      <c r="J585" s="142"/>
      <c r="K585" s="320"/>
      <c r="L585" s="142"/>
      <c r="M585" s="320"/>
      <c r="N585" s="142"/>
      <c r="O585" s="320"/>
      <c r="P585" s="142"/>
      <c r="Q585" s="195"/>
      <c r="R585" s="195"/>
      <c r="S585" s="320"/>
      <c r="T585" s="142"/>
      <c r="U585" s="30"/>
      <c r="V585" s="30"/>
      <c r="W585" s="30"/>
      <c r="X585" s="30"/>
      <c r="Y585" s="30"/>
      <c r="Z585" s="30"/>
    </row>
    <row r="586">
      <c r="A586" s="320"/>
      <c r="B586" s="142"/>
      <c r="C586" s="320"/>
      <c r="D586" s="142"/>
      <c r="E586" s="320"/>
      <c r="F586" s="142"/>
      <c r="G586" s="320"/>
      <c r="H586" s="142"/>
      <c r="I586" s="320"/>
      <c r="J586" s="142"/>
      <c r="K586" s="320"/>
      <c r="L586" s="142"/>
      <c r="M586" s="320"/>
      <c r="N586" s="142"/>
      <c r="O586" s="320"/>
      <c r="P586" s="142"/>
      <c r="Q586" s="195"/>
      <c r="R586" s="195"/>
      <c r="S586" s="320"/>
      <c r="T586" s="142"/>
      <c r="U586" s="30"/>
      <c r="V586" s="30"/>
      <c r="W586" s="30"/>
      <c r="X586" s="30"/>
      <c r="Y586" s="30"/>
      <c r="Z586" s="30"/>
    </row>
    <row r="587">
      <c r="A587" s="320"/>
      <c r="B587" s="142"/>
      <c r="C587" s="320"/>
      <c r="D587" s="142"/>
      <c r="E587" s="320"/>
      <c r="F587" s="142"/>
      <c r="G587" s="320"/>
      <c r="H587" s="142"/>
      <c r="I587" s="320"/>
      <c r="J587" s="142"/>
      <c r="K587" s="320"/>
      <c r="L587" s="142"/>
      <c r="M587" s="320"/>
      <c r="N587" s="142"/>
      <c r="O587" s="320"/>
      <c r="P587" s="142"/>
      <c r="Q587" s="195"/>
      <c r="R587" s="195"/>
      <c r="S587" s="320"/>
      <c r="T587" s="142"/>
      <c r="U587" s="30"/>
      <c r="V587" s="30"/>
      <c r="W587" s="30"/>
      <c r="X587" s="30"/>
      <c r="Y587" s="30"/>
      <c r="Z587" s="30"/>
    </row>
    <row r="588">
      <c r="A588" s="320"/>
      <c r="B588" s="142"/>
      <c r="C588" s="320"/>
      <c r="D588" s="142"/>
      <c r="E588" s="320"/>
      <c r="F588" s="142"/>
      <c r="G588" s="320"/>
      <c r="H588" s="142"/>
      <c r="I588" s="320"/>
      <c r="J588" s="142"/>
      <c r="K588" s="320"/>
      <c r="L588" s="142"/>
      <c r="M588" s="320"/>
      <c r="N588" s="142"/>
      <c r="O588" s="320"/>
      <c r="P588" s="142"/>
      <c r="Q588" s="195"/>
      <c r="R588" s="195"/>
      <c r="S588" s="320"/>
      <c r="T588" s="142"/>
      <c r="U588" s="30"/>
      <c r="V588" s="30"/>
      <c r="W588" s="30"/>
      <c r="X588" s="30"/>
      <c r="Y588" s="30"/>
      <c r="Z588" s="30"/>
    </row>
    <row r="589">
      <c r="A589" s="320"/>
      <c r="B589" s="142"/>
      <c r="C589" s="320"/>
      <c r="D589" s="142"/>
      <c r="E589" s="320"/>
      <c r="F589" s="142"/>
      <c r="G589" s="320"/>
      <c r="H589" s="142"/>
      <c r="I589" s="320"/>
      <c r="J589" s="142"/>
      <c r="K589" s="320"/>
      <c r="L589" s="142"/>
      <c r="M589" s="320"/>
      <c r="N589" s="142"/>
      <c r="O589" s="320"/>
      <c r="P589" s="142"/>
      <c r="Q589" s="195"/>
      <c r="R589" s="195"/>
      <c r="S589" s="320"/>
      <c r="T589" s="142"/>
      <c r="U589" s="30"/>
      <c r="V589" s="30"/>
      <c r="W589" s="30"/>
      <c r="X589" s="30"/>
      <c r="Y589" s="30"/>
      <c r="Z589" s="30"/>
    </row>
    <row r="590">
      <c r="A590" s="320"/>
      <c r="B590" s="142"/>
      <c r="C590" s="320"/>
      <c r="D590" s="142"/>
      <c r="E590" s="320"/>
      <c r="F590" s="142"/>
      <c r="G590" s="320"/>
      <c r="H590" s="142"/>
      <c r="I590" s="320"/>
      <c r="J590" s="142"/>
      <c r="K590" s="320"/>
      <c r="L590" s="142"/>
      <c r="M590" s="320"/>
      <c r="N590" s="142"/>
      <c r="O590" s="320"/>
      <c r="P590" s="142"/>
      <c r="Q590" s="195"/>
      <c r="R590" s="195"/>
      <c r="S590" s="320"/>
      <c r="T590" s="142"/>
      <c r="U590" s="30"/>
      <c r="V590" s="30"/>
      <c r="W590" s="30"/>
      <c r="X590" s="30"/>
      <c r="Y590" s="30"/>
      <c r="Z590" s="30"/>
    </row>
    <row r="591">
      <c r="A591" s="320"/>
      <c r="B591" s="142"/>
      <c r="C591" s="320"/>
      <c r="D591" s="142"/>
      <c r="E591" s="320"/>
      <c r="F591" s="142"/>
      <c r="G591" s="320"/>
      <c r="H591" s="142"/>
      <c r="I591" s="320"/>
      <c r="J591" s="142"/>
      <c r="K591" s="320"/>
      <c r="L591" s="142"/>
      <c r="M591" s="320"/>
      <c r="N591" s="142"/>
      <c r="O591" s="320"/>
      <c r="P591" s="142"/>
      <c r="Q591" s="195"/>
      <c r="R591" s="195"/>
      <c r="S591" s="320"/>
      <c r="T591" s="142"/>
      <c r="U591" s="30"/>
      <c r="V591" s="30"/>
      <c r="W591" s="30"/>
      <c r="X591" s="30"/>
      <c r="Y591" s="30"/>
      <c r="Z591" s="30"/>
    </row>
    <row r="592">
      <c r="A592" s="320"/>
      <c r="B592" s="142"/>
      <c r="C592" s="320"/>
      <c r="D592" s="142"/>
      <c r="E592" s="320"/>
      <c r="F592" s="142"/>
      <c r="G592" s="320"/>
      <c r="H592" s="142"/>
      <c r="I592" s="320"/>
      <c r="J592" s="142"/>
      <c r="K592" s="320"/>
      <c r="L592" s="142"/>
      <c r="M592" s="320"/>
      <c r="N592" s="142"/>
      <c r="O592" s="320"/>
      <c r="P592" s="142"/>
      <c r="Q592" s="195"/>
      <c r="R592" s="195"/>
      <c r="S592" s="320"/>
      <c r="T592" s="142"/>
      <c r="U592" s="30"/>
      <c r="V592" s="30"/>
      <c r="W592" s="30"/>
      <c r="X592" s="30"/>
      <c r="Y592" s="30"/>
      <c r="Z592" s="30"/>
    </row>
    <row r="593">
      <c r="A593" s="320"/>
      <c r="B593" s="142"/>
      <c r="C593" s="320"/>
      <c r="D593" s="142"/>
      <c r="E593" s="320"/>
      <c r="F593" s="142"/>
      <c r="G593" s="320"/>
      <c r="H593" s="142"/>
      <c r="I593" s="320"/>
      <c r="J593" s="142"/>
      <c r="K593" s="320"/>
      <c r="L593" s="142"/>
      <c r="M593" s="320"/>
      <c r="N593" s="142"/>
      <c r="O593" s="320"/>
      <c r="P593" s="142"/>
      <c r="Q593" s="195"/>
      <c r="R593" s="195"/>
      <c r="S593" s="320"/>
      <c r="T593" s="142"/>
      <c r="U593" s="30"/>
      <c r="V593" s="30"/>
      <c r="W593" s="30"/>
      <c r="X593" s="30"/>
      <c r="Y593" s="30"/>
      <c r="Z593" s="30"/>
    </row>
    <row r="594">
      <c r="A594" s="320"/>
      <c r="B594" s="142"/>
      <c r="C594" s="320"/>
      <c r="D594" s="142"/>
      <c r="E594" s="320"/>
      <c r="F594" s="142"/>
      <c r="G594" s="320"/>
      <c r="H594" s="142"/>
      <c r="I594" s="320"/>
      <c r="J594" s="142"/>
      <c r="K594" s="320"/>
      <c r="L594" s="142"/>
      <c r="M594" s="320"/>
      <c r="N594" s="142"/>
      <c r="O594" s="320"/>
      <c r="P594" s="142"/>
      <c r="Q594" s="195"/>
      <c r="R594" s="195"/>
      <c r="S594" s="320"/>
      <c r="T594" s="142"/>
      <c r="U594" s="30"/>
      <c r="V594" s="30"/>
      <c r="W594" s="30"/>
      <c r="X594" s="30"/>
      <c r="Y594" s="30"/>
      <c r="Z594" s="30"/>
    </row>
    <row r="595">
      <c r="A595" s="320"/>
      <c r="B595" s="142"/>
      <c r="C595" s="320"/>
      <c r="D595" s="142"/>
      <c r="E595" s="320"/>
      <c r="F595" s="142"/>
      <c r="G595" s="320"/>
      <c r="H595" s="142"/>
      <c r="I595" s="320"/>
      <c r="J595" s="142"/>
      <c r="K595" s="320"/>
      <c r="L595" s="142"/>
      <c r="M595" s="320"/>
      <c r="N595" s="142"/>
      <c r="O595" s="320"/>
      <c r="P595" s="142"/>
      <c r="Q595" s="195"/>
      <c r="R595" s="195"/>
      <c r="S595" s="320"/>
      <c r="T595" s="142"/>
      <c r="U595" s="30"/>
      <c r="V595" s="30"/>
      <c r="W595" s="30"/>
      <c r="X595" s="30"/>
      <c r="Y595" s="30"/>
      <c r="Z595" s="30"/>
    </row>
    <row r="596">
      <c r="A596" s="320"/>
      <c r="B596" s="142"/>
      <c r="C596" s="320"/>
      <c r="D596" s="142"/>
      <c r="E596" s="320"/>
      <c r="F596" s="142"/>
      <c r="G596" s="320"/>
      <c r="H596" s="142"/>
      <c r="I596" s="320"/>
      <c r="J596" s="142"/>
      <c r="K596" s="320"/>
      <c r="L596" s="142"/>
      <c r="M596" s="320"/>
      <c r="N596" s="142"/>
      <c r="O596" s="320"/>
      <c r="P596" s="142"/>
      <c r="Q596" s="195"/>
      <c r="R596" s="195"/>
      <c r="S596" s="320"/>
      <c r="T596" s="142"/>
      <c r="U596" s="30"/>
      <c r="V596" s="30"/>
      <c r="W596" s="30"/>
      <c r="X596" s="30"/>
      <c r="Y596" s="30"/>
      <c r="Z596" s="30"/>
    </row>
    <row r="597">
      <c r="A597" s="320"/>
      <c r="B597" s="142"/>
      <c r="C597" s="320"/>
      <c r="D597" s="142"/>
      <c r="E597" s="320"/>
      <c r="F597" s="142"/>
      <c r="G597" s="320"/>
      <c r="H597" s="142"/>
      <c r="I597" s="320"/>
      <c r="J597" s="142"/>
      <c r="K597" s="320"/>
      <c r="L597" s="142"/>
      <c r="M597" s="320"/>
      <c r="N597" s="142"/>
      <c r="O597" s="320"/>
      <c r="P597" s="142"/>
      <c r="Q597" s="195"/>
      <c r="R597" s="195"/>
      <c r="S597" s="320"/>
      <c r="T597" s="142"/>
      <c r="U597" s="30"/>
      <c r="V597" s="30"/>
      <c r="W597" s="30"/>
      <c r="X597" s="30"/>
      <c r="Y597" s="30"/>
      <c r="Z597" s="30"/>
    </row>
    <row r="598">
      <c r="A598" s="320"/>
      <c r="B598" s="142"/>
      <c r="C598" s="320"/>
      <c r="D598" s="142"/>
      <c r="E598" s="320"/>
      <c r="F598" s="142"/>
      <c r="G598" s="320"/>
      <c r="H598" s="142"/>
      <c r="I598" s="320"/>
      <c r="J598" s="142"/>
      <c r="K598" s="320"/>
      <c r="L598" s="142"/>
      <c r="M598" s="320"/>
      <c r="N598" s="142"/>
      <c r="O598" s="320"/>
      <c r="P598" s="142"/>
      <c r="Q598" s="195"/>
      <c r="R598" s="195"/>
      <c r="S598" s="320"/>
      <c r="T598" s="142"/>
      <c r="U598" s="30"/>
      <c r="V598" s="30"/>
      <c r="W598" s="30"/>
      <c r="X598" s="30"/>
      <c r="Y598" s="30"/>
      <c r="Z598" s="30"/>
    </row>
    <row r="599">
      <c r="A599" s="320"/>
      <c r="B599" s="142"/>
      <c r="C599" s="320"/>
      <c r="D599" s="142"/>
      <c r="E599" s="320"/>
      <c r="F599" s="142"/>
      <c r="G599" s="320"/>
      <c r="H599" s="142"/>
      <c r="I599" s="320"/>
      <c r="J599" s="142"/>
      <c r="K599" s="320"/>
      <c r="L599" s="142"/>
      <c r="M599" s="320"/>
      <c r="N599" s="142"/>
      <c r="O599" s="320"/>
      <c r="P599" s="142"/>
      <c r="Q599" s="195"/>
      <c r="R599" s="195"/>
      <c r="S599" s="320"/>
      <c r="T599" s="142"/>
      <c r="U599" s="30"/>
      <c r="V599" s="30"/>
      <c r="W599" s="30"/>
      <c r="X599" s="30"/>
      <c r="Y599" s="30"/>
      <c r="Z599" s="30"/>
    </row>
    <row r="600">
      <c r="A600" s="320"/>
      <c r="B600" s="142"/>
      <c r="C600" s="320"/>
      <c r="D600" s="142"/>
      <c r="E600" s="320"/>
      <c r="F600" s="142"/>
      <c r="G600" s="320"/>
      <c r="H600" s="142"/>
      <c r="I600" s="320"/>
      <c r="J600" s="142"/>
      <c r="K600" s="320"/>
      <c r="L600" s="142"/>
      <c r="M600" s="320"/>
      <c r="N600" s="142"/>
      <c r="O600" s="320"/>
      <c r="P600" s="142"/>
      <c r="Q600" s="195"/>
      <c r="R600" s="195"/>
      <c r="S600" s="320"/>
      <c r="T600" s="142"/>
      <c r="U600" s="30"/>
      <c r="V600" s="30"/>
      <c r="W600" s="30"/>
      <c r="X600" s="30"/>
      <c r="Y600" s="30"/>
      <c r="Z600" s="30"/>
    </row>
    <row r="601">
      <c r="A601" s="320"/>
      <c r="B601" s="142"/>
      <c r="C601" s="320"/>
      <c r="D601" s="142"/>
      <c r="E601" s="320"/>
      <c r="F601" s="142"/>
      <c r="G601" s="320"/>
      <c r="H601" s="142"/>
      <c r="I601" s="320"/>
      <c r="J601" s="142"/>
      <c r="K601" s="320"/>
      <c r="L601" s="142"/>
      <c r="M601" s="320"/>
      <c r="N601" s="142"/>
      <c r="O601" s="320"/>
      <c r="P601" s="142"/>
      <c r="Q601" s="195"/>
      <c r="R601" s="195"/>
      <c r="S601" s="320"/>
      <c r="T601" s="142"/>
      <c r="U601" s="30"/>
      <c r="V601" s="30"/>
      <c r="W601" s="30"/>
      <c r="X601" s="30"/>
      <c r="Y601" s="30"/>
      <c r="Z601" s="30"/>
    </row>
    <row r="602">
      <c r="A602" s="320"/>
      <c r="B602" s="142"/>
      <c r="C602" s="320"/>
      <c r="D602" s="142"/>
      <c r="E602" s="320"/>
      <c r="F602" s="142"/>
      <c r="G602" s="320"/>
      <c r="H602" s="142"/>
      <c r="I602" s="320"/>
      <c r="J602" s="142"/>
      <c r="K602" s="320"/>
      <c r="L602" s="142"/>
      <c r="M602" s="320"/>
      <c r="N602" s="142"/>
      <c r="O602" s="320"/>
      <c r="P602" s="142"/>
      <c r="Q602" s="195"/>
      <c r="R602" s="195"/>
      <c r="S602" s="320"/>
      <c r="T602" s="142"/>
      <c r="U602" s="30"/>
      <c r="V602" s="30"/>
      <c r="W602" s="30"/>
      <c r="X602" s="30"/>
      <c r="Y602" s="30"/>
      <c r="Z602" s="30"/>
    </row>
    <row r="603">
      <c r="A603" s="320"/>
      <c r="B603" s="142"/>
      <c r="C603" s="320"/>
      <c r="D603" s="142"/>
      <c r="E603" s="320"/>
      <c r="F603" s="142"/>
      <c r="G603" s="320"/>
      <c r="H603" s="142"/>
      <c r="I603" s="320"/>
      <c r="J603" s="142"/>
      <c r="K603" s="320"/>
      <c r="L603" s="142"/>
      <c r="M603" s="320"/>
      <c r="N603" s="142"/>
      <c r="O603" s="320"/>
      <c r="P603" s="142"/>
      <c r="Q603" s="195"/>
      <c r="R603" s="195"/>
      <c r="S603" s="320"/>
      <c r="T603" s="142"/>
      <c r="U603" s="30"/>
      <c r="V603" s="30"/>
      <c r="W603" s="30"/>
      <c r="X603" s="30"/>
      <c r="Y603" s="30"/>
      <c r="Z603" s="30"/>
    </row>
    <row r="604">
      <c r="A604" s="320"/>
      <c r="B604" s="142"/>
      <c r="C604" s="320"/>
      <c r="D604" s="142"/>
      <c r="E604" s="320"/>
      <c r="F604" s="142"/>
      <c r="G604" s="320"/>
      <c r="H604" s="142"/>
      <c r="I604" s="320"/>
      <c r="J604" s="142"/>
      <c r="K604" s="320"/>
      <c r="L604" s="142"/>
      <c r="M604" s="320"/>
      <c r="N604" s="142"/>
      <c r="O604" s="320"/>
      <c r="P604" s="142"/>
      <c r="Q604" s="195"/>
      <c r="R604" s="195"/>
      <c r="S604" s="320"/>
      <c r="T604" s="142"/>
      <c r="U604" s="30"/>
      <c r="V604" s="30"/>
      <c r="W604" s="30"/>
      <c r="X604" s="30"/>
      <c r="Y604" s="30"/>
      <c r="Z604" s="30"/>
    </row>
    <row r="605">
      <c r="A605" s="320"/>
      <c r="B605" s="142"/>
      <c r="C605" s="320"/>
      <c r="D605" s="142"/>
      <c r="E605" s="320"/>
      <c r="F605" s="142"/>
      <c r="G605" s="320"/>
      <c r="H605" s="142"/>
      <c r="I605" s="320"/>
      <c r="J605" s="142"/>
      <c r="K605" s="320"/>
      <c r="L605" s="142"/>
      <c r="M605" s="320"/>
      <c r="N605" s="142"/>
      <c r="O605" s="320"/>
      <c r="P605" s="142"/>
      <c r="Q605" s="195"/>
      <c r="R605" s="195"/>
      <c r="S605" s="320"/>
      <c r="T605" s="142"/>
      <c r="U605" s="30"/>
      <c r="V605" s="30"/>
      <c r="W605" s="30"/>
      <c r="X605" s="30"/>
      <c r="Y605" s="30"/>
      <c r="Z605" s="30"/>
    </row>
    <row r="606">
      <c r="A606" s="320"/>
      <c r="B606" s="142"/>
      <c r="C606" s="320"/>
      <c r="D606" s="142"/>
      <c r="E606" s="320"/>
      <c r="F606" s="142"/>
      <c r="G606" s="320"/>
      <c r="H606" s="142"/>
      <c r="I606" s="320"/>
      <c r="J606" s="142"/>
      <c r="K606" s="320"/>
      <c r="L606" s="142"/>
      <c r="M606" s="320"/>
      <c r="N606" s="142"/>
      <c r="O606" s="320"/>
      <c r="P606" s="142"/>
      <c r="Q606" s="195"/>
      <c r="R606" s="195"/>
      <c r="S606" s="320"/>
      <c r="T606" s="142"/>
      <c r="U606" s="30"/>
      <c r="V606" s="30"/>
      <c r="W606" s="30"/>
      <c r="X606" s="30"/>
      <c r="Y606" s="30"/>
      <c r="Z606" s="30"/>
    </row>
    <row r="607">
      <c r="A607" s="320"/>
      <c r="B607" s="142"/>
      <c r="C607" s="320"/>
      <c r="D607" s="142"/>
      <c r="E607" s="320"/>
      <c r="F607" s="142"/>
      <c r="G607" s="320"/>
      <c r="H607" s="142"/>
      <c r="I607" s="320"/>
      <c r="J607" s="142"/>
      <c r="K607" s="320"/>
      <c r="L607" s="142"/>
      <c r="M607" s="320"/>
      <c r="N607" s="142"/>
      <c r="O607" s="320"/>
      <c r="P607" s="142"/>
      <c r="Q607" s="195"/>
      <c r="R607" s="195"/>
      <c r="S607" s="320"/>
      <c r="T607" s="142"/>
      <c r="U607" s="30"/>
      <c r="V607" s="30"/>
      <c r="W607" s="30"/>
      <c r="X607" s="30"/>
      <c r="Y607" s="30"/>
      <c r="Z607" s="30"/>
    </row>
    <row r="608">
      <c r="A608" s="320"/>
      <c r="B608" s="142"/>
      <c r="C608" s="320"/>
      <c r="D608" s="142"/>
      <c r="E608" s="320"/>
      <c r="F608" s="142"/>
      <c r="G608" s="320"/>
      <c r="H608" s="142"/>
      <c r="I608" s="320"/>
      <c r="J608" s="142"/>
      <c r="K608" s="320"/>
      <c r="L608" s="142"/>
      <c r="M608" s="320"/>
      <c r="N608" s="142"/>
      <c r="O608" s="320"/>
      <c r="P608" s="142"/>
      <c r="Q608" s="195"/>
      <c r="R608" s="195"/>
      <c r="S608" s="320"/>
      <c r="T608" s="142"/>
      <c r="U608" s="30"/>
      <c r="V608" s="30"/>
      <c r="W608" s="30"/>
      <c r="X608" s="30"/>
      <c r="Y608" s="30"/>
      <c r="Z608" s="30"/>
    </row>
    <row r="609">
      <c r="A609" s="320"/>
      <c r="B609" s="142"/>
      <c r="C609" s="320"/>
      <c r="D609" s="142"/>
      <c r="E609" s="320"/>
      <c r="F609" s="142"/>
      <c r="G609" s="320"/>
      <c r="H609" s="142"/>
      <c r="I609" s="320"/>
      <c r="J609" s="142"/>
      <c r="K609" s="320"/>
      <c r="L609" s="142"/>
      <c r="M609" s="320"/>
      <c r="N609" s="142"/>
      <c r="O609" s="320"/>
      <c r="P609" s="142"/>
      <c r="Q609" s="195"/>
      <c r="R609" s="195"/>
      <c r="S609" s="320"/>
      <c r="T609" s="142"/>
      <c r="U609" s="30"/>
      <c r="V609" s="30"/>
      <c r="W609" s="30"/>
      <c r="X609" s="30"/>
      <c r="Y609" s="30"/>
      <c r="Z609" s="30"/>
    </row>
    <row r="610">
      <c r="A610" s="320"/>
      <c r="B610" s="142"/>
      <c r="C610" s="320"/>
      <c r="D610" s="142"/>
      <c r="E610" s="320"/>
      <c r="F610" s="142"/>
      <c r="G610" s="320"/>
      <c r="H610" s="142"/>
      <c r="I610" s="320"/>
      <c r="J610" s="142"/>
      <c r="K610" s="320"/>
      <c r="L610" s="142"/>
      <c r="M610" s="320"/>
      <c r="N610" s="142"/>
      <c r="O610" s="320"/>
      <c r="P610" s="142"/>
      <c r="Q610" s="195"/>
      <c r="R610" s="195"/>
      <c r="S610" s="320"/>
      <c r="T610" s="142"/>
      <c r="U610" s="30"/>
      <c r="V610" s="30"/>
      <c r="W610" s="30"/>
      <c r="X610" s="30"/>
      <c r="Y610" s="30"/>
      <c r="Z610" s="30"/>
    </row>
    <row r="611">
      <c r="A611" s="320"/>
      <c r="B611" s="142"/>
      <c r="C611" s="320"/>
      <c r="D611" s="142"/>
      <c r="E611" s="320"/>
      <c r="F611" s="142"/>
      <c r="G611" s="320"/>
      <c r="H611" s="142"/>
      <c r="I611" s="320"/>
      <c r="J611" s="142"/>
      <c r="K611" s="320"/>
      <c r="L611" s="142"/>
      <c r="M611" s="320"/>
      <c r="N611" s="142"/>
      <c r="O611" s="320"/>
      <c r="P611" s="142"/>
      <c r="Q611" s="195"/>
      <c r="R611" s="195"/>
      <c r="S611" s="320"/>
      <c r="T611" s="142"/>
      <c r="U611" s="30"/>
      <c r="V611" s="30"/>
      <c r="W611" s="30"/>
      <c r="X611" s="30"/>
      <c r="Y611" s="30"/>
      <c r="Z611" s="30"/>
    </row>
    <row r="612">
      <c r="A612" s="320"/>
      <c r="B612" s="142"/>
      <c r="C612" s="320"/>
      <c r="D612" s="142"/>
      <c r="E612" s="320"/>
      <c r="F612" s="142"/>
      <c r="G612" s="320"/>
      <c r="H612" s="142"/>
      <c r="I612" s="320"/>
      <c r="J612" s="142"/>
      <c r="K612" s="320"/>
      <c r="L612" s="142"/>
      <c r="M612" s="320"/>
      <c r="N612" s="142"/>
      <c r="O612" s="320"/>
      <c r="P612" s="142"/>
      <c r="Q612" s="195"/>
      <c r="R612" s="195"/>
      <c r="S612" s="320"/>
      <c r="T612" s="142"/>
      <c r="U612" s="30"/>
      <c r="V612" s="30"/>
      <c r="W612" s="30"/>
      <c r="X612" s="30"/>
      <c r="Y612" s="30"/>
      <c r="Z612" s="30"/>
    </row>
    <row r="613">
      <c r="A613" s="320"/>
      <c r="B613" s="142"/>
      <c r="C613" s="320"/>
      <c r="D613" s="142"/>
      <c r="E613" s="320"/>
      <c r="F613" s="142"/>
      <c r="G613" s="320"/>
      <c r="H613" s="142"/>
      <c r="I613" s="320"/>
      <c r="J613" s="142"/>
      <c r="K613" s="320"/>
      <c r="L613" s="142"/>
      <c r="M613" s="320"/>
      <c r="N613" s="142"/>
      <c r="O613" s="320"/>
      <c r="P613" s="142"/>
      <c r="Q613" s="195"/>
      <c r="R613" s="195"/>
      <c r="S613" s="320"/>
      <c r="T613" s="142"/>
      <c r="U613" s="30"/>
      <c r="V613" s="30"/>
      <c r="W613" s="30"/>
      <c r="X613" s="30"/>
      <c r="Y613" s="30"/>
      <c r="Z613" s="30"/>
    </row>
    <row r="614">
      <c r="A614" s="320"/>
      <c r="B614" s="142"/>
      <c r="C614" s="320"/>
      <c r="D614" s="142"/>
      <c r="E614" s="320"/>
      <c r="F614" s="142"/>
      <c r="G614" s="320"/>
      <c r="H614" s="142"/>
      <c r="I614" s="320"/>
      <c r="J614" s="142"/>
      <c r="K614" s="320"/>
      <c r="L614" s="142"/>
      <c r="M614" s="320"/>
      <c r="N614" s="142"/>
      <c r="O614" s="320"/>
      <c r="P614" s="142"/>
      <c r="Q614" s="195"/>
      <c r="R614" s="195"/>
      <c r="S614" s="320"/>
      <c r="T614" s="142"/>
      <c r="U614" s="30"/>
      <c r="V614" s="30"/>
      <c r="W614" s="30"/>
      <c r="X614" s="30"/>
      <c r="Y614" s="30"/>
      <c r="Z614" s="30"/>
    </row>
    <row r="615">
      <c r="A615" s="320"/>
      <c r="B615" s="142"/>
      <c r="C615" s="320"/>
      <c r="D615" s="142"/>
      <c r="E615" s="320"/>
      <c r="F615" s="142"/>
      <c r="G615" s="320"/>
      <c r="H615" s="142"/>
      <c r="I615" s="320"/>
      <c r="J615" s="142"/>
      <c r="K615" s="320"/>
      <c r="L615" s="142"/>
      <c r="M615" s="320"/>
      <c r="N615" s="142"/>
      <c r="O615" s="320"/>
      <c r="P615" s="142"/>
      <c r="Q615" s="195"/>
      <c r="R615" s="195"/>
      <c r="S615" s="320"/>
      <c r="T615" s="142"/>
      <c r="U615" s="30"/>
      <c r="V615" s="30"/>
      <c r="W615" s="30"/>
      <c r="X615" s="30"/>
      <c r="Y615" s="30"/>
      <c r="Z615" s="30"/>
    </row>
    <row r="616">
      <c r="A616" s="320"/>
      <c r="B616" s="142"/>
      <c r="C616" s="320"/>
      <c r="D616" s="142"/>
      <c r="E616" s="320"/>
      <c r="F616" s="142"/>
      <c r="G616" s="320"/>
      <c r="H616" s="142"/>
      <c r="I616" s="320"/>
      <c r="J616" s="142"/>
      <c r="K616" s="320"/>
      <c r="L616" s="142"/>
      <c r="M616" s="320"/>
      <c r="N616" s="142"/>
      <c r="O616" s="320"/>
      <c r="P616" s="142"/>
      <c r="Q616" s="195"/>
      <c r="R616" s="195"/>
      <c r="S616" s="320"/>
      <c r="T616" s="142"/>
      <c r="U616" s="30"/>
      <c r="V616" s="30"/>
      <c r="W616" s="30"/>
      <c r="X616" s="30"/>
      <c r="Y616" s="30"/>
      <c r="Z616" s="30"/>
    </row>
    <row r="617">
      <c r="A617" s="320"/>
      <c r="B617" s="142"/>
      <c r="C617" s="320"/>
      <c r="D617" s="142"/>
      <c r="E617" s="320"/>
      <c r="F617" s="142"/>
      <c r="G617" s="320"/>
      <c r="H617" s="142"/>
      <c r="I617" s="320"/>
      <c r="J617" s="142"/>
      <c r="K617" s="320"/>
      <c r="L617" s="142"/>
      <c r="M617" s="320"/>
      <c r="N617" s="142"/>
      <c r="O617" s="320"/>
      <c r="P617" s="142"/>
      <c r="Q617" s="195"/>
      <c r="R617" s="195"/>
      <c r="S617" s="320"/>
      <c r="T617" s="142"/>
      <c r="U617" s="30"/>
      <c r="V617" s="30"/>
      <c r="W617" s="30"/>
      <c r="X617" s="30"/>
      <c r="Y617" s="30"/>
      <c r="Z617" s="30"/>
    </row>
    <row r="618">
      <c r="A618" s="320"/>
      <c r="B618" s="142"/>
      <c r="C618" s="320"/>
      <c r="D618" s="142"/>
      <c r="E618" s="320"/>
      <c r="F618" s="142"/>
      <c r="G618" s="320"/>
      <c r="H618" s="142"/>
      <c r="I618" s="320"/>
      <c r="J618" s="142"/>
      <c r="K618" s="320"/>
      <c r="L618" s="142"/>
      <c r="M618" s="320"/>
      <c r="N618" s="142"/>
      <c r="O618" s="320"/>
      <c r="P618" s="142"/>
      <c r="Q618" s="195"/>
      <c r="R618" s="195"/>
      <c r="S618" s="320"/>
      <c r="T618" s="142"/>
      <c r="U618" s="30"/>
      <c r="V618" s="30"/>
      <c r="W618" s="30"/>
      <c r="X618" s="30"/>
      <c r="Y618" s="30"/>
      <c r="Z618" s="30"/>
    </row>
    <row r="619">
      <c r="A619" s="320"/>
      <c r="B619" s="142"/>
      <c r="C619" s="320"/>
      <c r="D619" s="142"/>
      <c r="E619" s="320"/>
      <c r="F619" s="142"/>
      <c r="G619" s="320"/>
      <c r="H619" s="142"/>
      <c r="I619" s="320"/>
      <c r="J619" s="142"/>
      <c r="K619" s="320"/>
      <c r="L619" s="142"/>
      <c r="M619" s="320"/>
      <c r="N619" s="142"/>
      <c r="O619" s="320"/>
      <c r="P619" s="142"/>
      <c r="Q619" s="195"/>
      <c r="R619" s="195"/>
      <c r="S619" s="320"/>
      <c r="T619" s="142"/>
      <c r="U619" s="30"/>
      <c r="V619" s="30"/>
      <c r="W619" s="30"/>
      <c r="X619" s="30"/>
      <c r="Y619" s="30"/>
      <c r="Z619" s="30"/>
    </row>
    <row r="620">
      <c r="A620" s="320"/>
      <c r="B620" s="142"/>
      <c r="C620" s="320"/>
      <c r="D620" s="142"/>
      <c r="E620" s="320"/>
      <c r="F620" s="142"/>
      <c r="G620" s="320"/>
      <c r="H620" s="142"/>
      <c r="I620" s="320"/>
      <c r="J620" s="142"/>
      <c r="K620" s="320"/>
      <c r="L620" s="142"/>
      <c r="M620" s="320"/>
      <c r="N620" s="142"/>
      <c r="O620" s="320"/>
      <c r="P620" s="142"/>
      <c r="Q620" s="195"/>
      <c r="R620" s="195"/>
      <c r="S620" s="320"/>
      <c r="T620" s="142"/>
      <c r="U620" s="30"/>
      <c r="V620" s="30"/>
      <c r="W620" s="30"/>
      <c r="X620" s="30"/>
      <c r="Y620" s="30"/>
      <c r="Z620" s="30"/>
    </row>
    <row r="621">
      <c r="A621" s="320"/>
      <c r="B621" s="142"/>
      <c r="C621" s="320"/>
      <c r="D621" s="142"/>
      <c r="E621" s="320"/>
      <c r="F621" s="142"/>
      <c r="G621" s="320"/>
      <c r="H621" s="142"/>
      <c r="I621" s="320"/>
      <c r="J621" s="142"/>
      <c r="K621" s="320"/>
      <c r="L621" s="142"/>
      <c r="M621" s="320"/>
      <c r="N621" s="142"/>
      <c r="O621" s="320"/>
      <c r="P621" s="142"/>
      <c r="Q621" s="195"/>
      <c r="R621" s="195"/>
      <c r="S621" s="320"/>
      <c r="T621" s="142"/>
      <c r="U621" s="30"/>
      <c r="V621" s="30"/>
      <c r="W621" s="30"/>
      <c r="X621" s="30"/>
      <c r="Y621" s="30"/>
      <c r="Z621" s="30"/>
    </row>
    <row r="622">
      <c r="A622" s="320"/>
      <c r="B622" s="142"/>
      <c r="C622" s="320"/>
      <c r="D622" s="142"/>
      <c r="E622" s="320"/>
      <c r="F622" s="142"/>
      <c r="G622" s="320"/>
      <c r="H622" s="142"/>
      <c r="I622" s="320"/>
      <c r="J622" s="142"/>
      <c r="K622" s="320"/>
      <c r="L622" s="142"/>
      <c r="M622" s="320"/>
      <c r="N622" s="142"/>
      <c r="O622" s="320"/>
      <c r="P622" s="142"/>
      <c r="Q622" s="195"/>
      <c r="R622" s="195"/>
      <c r="S622" s="320"/>
      <c r="T622" s="142"/>
      <c r="U622" s="30"/>
      <c r="V622" s="30"/>
      <c r="W622" s="30"/>
      <c r="X622" s="30"/>
      <c r="Y622" s="30"/>
      <c r="Z622" s="30"/>
    </row>
    <row r="623">
      <c r="A623" s="320"/>
      <c r="B623" s="142"/>
      <c r="C623" s="320"/>
      <c r="D623" s="142"/>
      <c r="E623" s="320"/>
      <c r="F623" s="142"/>
      <c r="G623" s="320"/>
      <c r="H623" s="142"/>
      <c r="I623" s="320"/>
      <c r="J623" s="142"/>
      <c r="K623" s="320"/>
      <c r="L623" s="142"/>
      <c r="M623" s="320"/>
      <c r="N623" s="142"/>
      <c r="O623" s="320"/>
      <c r="P623" s="142"/>
      <c r="Q623" s="195"/>
      <c r="R623" s="195"/>
      <c r="S623" s="320"/>
      <c r="T623" s="142"/>
      <c r="U623" s="30"/>
      <c r="V623" s="30"/>
      <c r="W623" s="30"/>
      <c r="X623" s="30"/>
      <c r="Y623" s="30"/>
      <c r="Z623" s="30"/>
    </row>
    <row r="624">
      <c r="A624" s="320"/>
      <c r="B624" s="142"/>
      <c r="C624" s="320"/>
      <c r="D624" s="142"/>
      <c r="E624" s="320"/>
      <c r="F624" s="142"/>
      <c r="G624" s="320"/>
      <c r="H624" s="142"/>
      <c r="I624" s="320"/>
      <c r="J624" s="142"/>
      <c r="K624" s="320"/>
      <c r="L624" s="142"/>
      <c r="M624" s="320"/>
      <c r="N624" s="142"/>
      <c r="O624" s="320"/>
      <c r="P624" s="142"/>
      <c r="Q624" s="195"/>
      <c r="R624" s="195"/>
      <c r="S624" s="320"/>
      <c r="T624" s="142"/>
      <c r="U624" s="30"/>
      <c r="V624" s="30"/>
      <c r="W624" s="30"/>
      <c r="X624" s="30"/>
      <c r="Y624" s="30"/>
      <c r="Z624" s="30"/>
    </row>
    <row r="625">
      <c r="A625" s="320"/>
      <c r="B625" s="142"/>
      <c r="C625" s="320"/>
      <c r="D625" s="142"/>
      <c r="E625" s="320"/>
      <c r="F625" s="142"/>
      <c r="G625" s="320"/>
      <c r="H625" s="142"/>
      <c r="I625" s="320"/>
      <c r="J625" s="142"/>
      <c r="K625" s="320"/>
      <c r="L625" s="142"/>
      <c r="M625" s="320"/>
      <c r="N625" s="142"/>
      <c r="O625" s="320"/>
      <c r="P625" s="142"/>
      <c r="Q625" s="195"/>
      <c r="R625" s="195"/>
      <c r="S625" s="320"/>
      <c r="T625" s="142"/>
      <c r="U625" s="30"/>
      <c r="V625" s="30"/>
      <c r="W625" s="30"/>
      <c r="X625" s="30"/>
      <c r="Y625" s="30"/>
      <c r="Z625" s="30"/>
    </row>
    <row r="626">
      <c r="A626" s="320"/>
      <c r="B626" s="142"/>
      <c r="C626" s="320"/>
      <c r="D626" s="142"/>
      <c r="E626" s="320"/>
      <c r="F626" s="142"/>
      <c r="G626" s="320"/>
      <c r="H626" s="142"/>
      <c r="I626" s="320"/>
      <c r="J626" s="142"/>
      <c r="K626" s="320"/>
      <c r="L626" s="142"/>
      <c r="M626" s="320"/>
      <c r="N626" s="142"/>
      <c r="O626" s="320"/>
      <c r="P626" s="142"/>
      <c r="Q626" s="195"/>
      <c r="R626" s="195"/>
      <c r="S626" s="320"/>
      <c r="T626" s="142"/>
      <c r="U626" s="30"/>
      <c r="V626" s="30"/>
      <c r="W626" s="30"/>
      <c r="X626" s="30"/>
      <c r="Y626" s="30"/>
      <c r="Z626" s="30"/>
    </row>
    <row r="627">
      <c r="A627" s="320"/>
      <c r="B627" s="142"/>
      <c r="C627" s="320"/>
      <c r="D627" s="142"/>
      <c r="E627" s="320"/>
      <c r="F627" s="142"/>
      <c r="G627" s="320"/>
      <c r="H627" s="142"/>
      <c r="I627" s="320"/>
      <c r="J627" s="142"/>
      <c r="K627" s="320"/>
      <c r="L627" s="142"/>
      <c r="M627" s="320"/>
      <c r="N627" s="142"/>
      <c r="O627" s="320"/>
      <c r="P627" s="142"/>
      <c r="Q627" s="195"/>
      <c r="R627" s="195"/>
      <c r="S627" s="320"/>
      <c r="T627" s="142"/>
      <c r="U627" s="30"/>
      <c r="V627" s="30"/>
      <c r="W627" s="30"/>
      <c r="X627" s="30"/>
      <c r="Y627" s="30"/>
      <c r="Z627" s="30"/>
    </row>
    <row r="628">
      <c r="A628" s="320"/>
      <c r="B628" s="142"/>
      <c r="C628" s="320"/>
      <c r="D628" s="142"/>
      <c r="E628" s="320"/>
      <c r="F628" s="142"/>
      <c r="G628" s="320"/>
      <c r="H628" s="142"/>
      <c r="I628" s="320"/>
      <c r="J628" s="142"/>
      <c r="K628" s="320"/>
      <c r="L628" s="142"/>
      <c r="M628" s="320"/>
      <c r="N628" s="142"/>
      <c r="O628" s="320"/>
      <c r="P628" s="142"/>
      <c r="Q628" s="195"/>
      <c r="R628" s="195"/>
      <c r="S628" s="320"/>
      <c r="T628" s="142"/>
      <c r="U628" s="30"/>
      <c r="V628" s="30"/>
      <c r="W628" s="30"/>
      <c r="X628" s="30"/>
      <c r="Y628" s="30"/>
      <c r="Z628" s="30"/>
    </row>
    <row r="629">
      <c r="A629" s="320"/>
      <c r="B629" s="142"/>
      <c r="C629" s="320"/>
      <c r="D629" s="142"/>
      <c r="E629" s="320"/>
      <c r="F629" s="142"/>
      <c r="G629" s="320"/>
      <c r="H629" s="142"/>
      <c r="I629" s="320"/>
      <c r="J629" s="142"/>
      <c r="K629" s="320"/>
      <c r="L629" s="142"/>
      <c r="M629" s="320"/>
      <c r="N629" s="142"/>
      <c r="O629" s="320"/>
      <c r="P629" s="142"/>
      <c r="Q629" s="195"/>
      <c r="R629" s="195"/>
      <c r="S629" s="320"/>
      <c r="T629" s="142"/>
      <c r="U629" s="30"/>
      <c r="V629" s="30"/>
      <c r="W629" s="30"/>
      <c r="X629" s="30"/>
      <c r="Y629" s="30"/>
      <c r="Z629" s="30"/>
    </row>
    <row r="630">
      <c r="A630" s="320"/>
      <c r="B630" s="142"/>
      <c r="C630" s="320"/>
      <c r="D630" s="142"/>
      <c r="E630" s="320"/>
      <c r="F630" s="142"/>
      <c r="G630" s="320"/>
      <c r="H630" s="142"/>
      <c r="I630" s="320"/>
      <c r="J630" s="142"/>
      <c r="K630" s="320"/>
      <c r="L630" s="142"/>
      <c r="M630" s="320"/>
      <c r="N630" s="142"/>
      <c r="O630" s="320"/>
      <c r="P630" s="142"/>
      <c r="Q630" s="195"/>
      <c r="R630" s="195"/>
      <c r="S630" s="320"/>
      <c r="T630" s="142"/>
      <c r="U630" s="30"/>
      <c r="V630" s="30"/>
      <c r="W630" s="30"/>
      <c r="X630" s="30"/>
      <c r="Y630" s="30"/>
      <c r="Z630" s="30"/>
    </row>
    <row r="631">
      <c r="A631" s="320"/>
      <c r="B631" s="142"/>
      <c r="C631" s="320"/>
      <c r="D631" s="142"/>
      <c r="E631" s="320"/>
      <c r="F631" s="142"/>
      <c r="G631" s="320"/>
      <c r="H631" s="142"/>
      <c r="I631" s="320"/>
      <c r="J631" s="142"/>
      <c r="K631" s="320"/>
      <c r="L631" s="142"/>
      <c r="M631" s="320"/>
      <c r="N631" s="142"/>
      <c r="O631" s="320"/>
      <c r="P631" s="142"/>
      <c r="Q631" s="195"/>
      <c r="R631" s="195"/>
      <c r="S631" s="320"/>
      <c r="T631" s="142"/>
      <c r="U631" s="30"/>
      <c r="V631" s="30"/>
      <c r="W631" s="30"/>
      <c r="X631" s="30"/>
      <c r="Y631" s="30"/>
      <c r="Z631" s="30"/>
    </row>
    <row r="632">
      <c r="A632" s="320"/>
      <c r="B632" s="142"/>
      <c r="C632" s="320"/>
      <c r="D632" s="142"/>
      <c r="E632" s="320"/>
      <c r="F632" s="142"/>
      <c r="G632" s="320"/>
      <c r="H632" s="142"/>
      <c r="I632" s="320"/>
      <c r="J632" s="142"/>
      <c r="K632" s="320"/>
      <c r="L632" s="142"/>
      <c r="M632" s="320"/>
      <c r="N632" s="142"/>
      <c r="O632" s="320"/>
      <c r="P632" s="142"/>
      <c r="Q632" s="195"/>
      <c r="R632" s="195"/>
      <c r="S632" s="320"/>
      <c r="T632" s="142"/>
      <c r="U632" s="30"/>
      <c r="V632" s="30"/>
      <c r="W632" s="30"/>
      <c r="X632" s="30"/>
      <c r="Y632" s="30"/>
      <c r="Z632" s="30"/>
    </row>
    <row r="633">
      <c r="A633" s="320"/>
      <c r="B633" s="142"/>
      <c r="C633" s="320"/>
      <c r="D633" s="142"/>
      <c r="E633" s="320"/>
      <c r="F633" s="142"/>
      <c r="G633" s="320"/>
      <c r="H633" s="142"/>
      <c r="I633" s="320"/>
      <c r="J633" s="142"/>
      <c r="K633" s="320"/>
      <c r="L633" s="142"/>
      <c r="M633" s="320"/>
      <c r="N633" s="142"/>
      <c r="O633" s="320"/>
      <c r="P633" s="142"/>
      <c r="Q633" s="195"/>
      <c r="R633" s="195"/>
      <c r="S633" s="320"/>
      <c r="T633" s="142"/>
      <c r="U633" s="30"/>
      <c r="V633" s="30"/>
      <c r="W633" s="30"/>
      <c r="X633" s="30"/>
      <c r="Y633" s="30"/>
      <c r="Z633" s="30"/>
    </row>
    <row r="634">
      <c r="A634" s="320"/>
      <c r="B634" s="142"/>
      <c r="C634" s="320"/>
      <c r="D634" s="142"/>
      <c r="E634" s="320"/>
      <c r="F634" s="142"/>
      <c r="G634" s="320"/>
      <c r="H634" s="142"/>
      <c r="I634" s="320"/>
      <c r="J634" s="142"/>
      <c r="K634" s="320"/>
      <c r="L634" s="142"/>
      <c r="M634" s="320"/>
      <c r="N634" s="142"/>
      <c r="O634" s="320"/>
      <c r="P634" s="142"/>
      <c r="Q634" s="195"/>
      <c r="R634" s="195"/>
      <c r="S634" s="320"/>
      <c r="T634" s="142"/>
      <c r="U634" s="30"/>
      <c r="V634" s="30"/>
      <c r="W634" s="30"/>
      <c r="X634" s="30"/>
      <c r="Y634" s="30"/>
      <c r="Z634" s="30"/>
    </row>
    <row r="635">
      <c r="A635" s="320"/>
      <c r="B635" s="142"/>
      <c r="C635" s="320"/>
      <c r="D635" s="142"/>
      <c r="E635" s="320"/>
      <c r="F635" s="142"/>
      <c r="G635" s="320"/>
      <c r="H635" s="142"/>
      <c r="I635" s="320"/>
      <c r="J635" s="142"/>
      <c r="K635" s="320"/>
      <c r="L635" s="142"/>
      <c r="M635" s="320"/>
      <c r="N635" s="142"/>
      <c r="O635" s="320"/>
      <c r="P635" s="142"/>
      <c r="Q635" s="195"/>
      <c r="R635" s="195"/>
      <c r="S635" s="320"/>
      <c r="T635" s="142"/>
      <c r="U635" s="30"/>
      <c r="V635" s="30"/>
      <c r="W635" s="30"/>
      <c r="X635" s="30"/>
      <c r="Y635" s="30"/>
      <c r="Z635" s="30"/>
    </row>
    <row r="636">
      <c r="A636" s="320"/>
      <c r="B636" s="142"/>
      <c r="C636" s="320"/>
      <c r="D636" s="142"/>
      <c r="E636" s="320"/>
      <c r="F636" s="142"/>
      <c r="G636" s="320"/>
      <c r="H636" s="142"/>
      <c r="I636" s="320"/>
      <c r="J636" s="142"/>
      <c r="K636" s="320"/>
      <c r="L636" s="142"/>
      <c r="M636" s="320"/>
      <c r="N636" s="142"/>
      <c r="O636" s="320"/>
      <c r="P636" s="142"/>
      <c r="Q636" s="195"/>
      <c r="R636" s="195"/>
      <c r="S636" s="320"/>
      <c r="T636" s="142"/>
      <c r="U636" s="30"/>
      <c r="V636" s="30"/>
      <c r="W636" s="30"/>
      <c r="X636" s="30"/>
      <c r="Y636" s="30"/>
      <c r="Z636" s="30"/>
    </row>
    <row r="637">
      <c r="A637" s="320"/>
      <c r="B637" s="142"/>
      <c r="C637" s="320"/>
      <c r="D637" s="142"/>
      <c r="E637" s="320"/>
      <c r="F637" s="142"/>
      <c r="G637" s="320"/>
      <c r="H637" s="142"/>
      <c r="I637" s="320"/>
      <c r="J637" s="142"/>
      <c r="K637" s="320"/>
      <c r="L637" s="142"/>
      <c r="M637" s="320"/>
      <c r="N637" s="142"/>
      <c r="O637" s="320"/>
      <c r="P637" s="142"/>
      <c r="Q637" s="195"/>
      <c r="R637" s="195"/>
      <c r="S637" s="320"/>
      <c r="T637" s="142"/>
      <c r="U637" s="30"/>
      <c r="V637" s="30"/>
      <c r="W637" s="30"/>
      <c r="X637" s="30"/>
      <c r="Y637" s="30"/>
      <c r="Z637" s="30"/>
    </row>
    <row r="638">
      <c r="A638" s="320"/>
      <c r="B638" s="142"/>
      <c r="C638" s="320"/>
      <c r="D638" s="142"/>
      <c r="E638" s="320"/>
      <c r="F638" s="142"/>
      <c r="G638" s="320"/>
      <c r="H638" s="142"/>
      <c r="I638" s="320"/>
      <c r="J638" s="142"/>
      <c r="K638" s="320"/>
      <c r="L638" s="142"/>
      <c r="M638" s="320"/>
      <c r="N638" s="142"/>
      <c r="O638" s="320"/>
      <c r="P638" s="142"/>
      <c r="Q638" s="195"/>
      <c r="R638" s="195"/>
      <c r="S638" s="320"/>
      <c r="T638" s="142"/>
      <c r="U638" s="30"/>
      <c r="V638" s="30"/>
      <c r="W638" s="30"/>
      <c r="X638" s="30"/>
      <c r="Y638" s="30"/>
      <c r="Z638" s="30"/>
    </row>
    <row r="639">
      <c r="A639" s="320"/>
      <c r="B639" s="142"/>
      <c r="C639" s="320"/>
      <c r="D639" s="142"/>
      <c r="E639" s="320"/>
      <c r="F639" s="142"/>
      <c r="G639" s="320"/>
      <c r="H639" s="142"/>
      <c r="I639" s="320"/>
      <c r="J639" s="142"/>
      <c r="K639" s="320"/>
      <c r="L639" s="142"/>
      <c r="M639" s="320"/>
      <c r="N639" s="142"/>
      <c r="O639" s="320"/>
      <c r="P639" s="142"/>
      <c r="Q639" s="195"/>
      <c r="R639" s="195"/>
      <c r="S639" s="320"/>
      <c r="T639" s="142"/>
      <c r="U639" s="30"/>
      <c r="V639" s="30"/>
      <c r="W639" s="30"/>
      <c r="X639" s="30"/>
      <c r="Y639" s="30"/>
      <c r="Z639" s="30"/>
    </row>
    <row r="640">
      <c r="A640" s="320"/>
      <c r="B640" s="142"/>
      <c r="C640" s="320"/>
      <c r="D640" s="142"/>
      <c r="E640" s="320"/>
      <c r="F640" s="142"/>
      <c r="G640" s="320"/>
      <c r="H640" s="142"/>
      <c r="I640" s="320"/>
      <c r="J640" s="142"/>
      <c r="K640" s="320"/>
      <c r="L640" s="142"/>
      <c r="M640" s="320"/>
      <c r="N640" s="142"/>
      <c r="O640" s="320"/>
      <c r="P640" s="142"/>
      <c r="Q640" s="195"/>
      <c r="R640" s="195"/>
      <c r="S640" s="320"/>
      <c r="T640" s="142"/>
      <c r="U640" s="30"/>
      <c r="V640" s="30"/>
      <c r="W640" s="30"/>
      <c r="X640" s="30"/>
      <c r="Y640" s="30"/>
      <c r="Z640" s="30"/>
    </row>
    <row r="641">
      <c r="A641" s="320"/>
      <c r="B641" s="142"/>
      <c r="C641" s="320"/>
      <c r="D641" s="142"/>
      <c r="E641" s="320"/>
      <c r="F641" s="142"/>
      <c r="G641" s="320"/>
      <c r="H641" s="142"/>
      <c r="I641" s="320"/>
      <c r="J641" s="142"/>
      <c r="K641" s="320"/>
      <c r="L641" s="142"/>
      <c r="M641" s="320"/>
      <c r="N641" s="142"/>
      <c r="O641" s="320"/>
      <c r="P641" s="142"/>
      <c r="Q641" s="195"/>
      <c r="R641" s="195"/>
      <c r="S641" s="320"/>
      <c r="T641" s="142"/>
      <c r="U641" s="30"/>
      <c r="V641" s="30"/>
      <c r="W641" s="30"/>
      <c r="X641" s="30"/>
      <c r="Y641" s="30"/>
      <c r="Z641" s="30"/>
    </row>
    <row r="642">
      <c r="A642" s="320"/>
      <c r="B642" s="142"/>
      <c r="C642" s="320"/>
      <c r="D642" s="142"/>
      <c r="E642" s="320"/>
      <c r="F642" s="142"/>
      <c r="G642" s="320"/>
      <c r="H642" s="142"/>
      <c r="I642" s="320"/>
      <c r="J642" s="142"/>
      <c r="K642" s="320"/>
      <c r="L642" s="142"/>
      <c r="M642" s="320"/>
      <c r="N642" s="142"/>
      <c r="O642" s="320"/>
      <c r="P642" s="142"/>
      <c r="Q642" s="195"/>
      <c r="R642" s="195"/>
      <c r="S642" s="320"/>
      <c r="T642" s="142"/>
      <c r="U642" s="30"/>
      <c r="V642" s="30"/>
      <c r="W642" s="30"/>
      <c r="X642" s="30"/>
      <c r="Y642" s="30"/>
      <c r="Z642" s="30"/>
    </row>
    <row r="643">
      <c r="A643" s="320"/>
      <c r="B643" s="142"/>
      <c r="C643" s="320"/>
      <c r="D643" s="142"/>
      <c r="E643" s="320"/>
      <c r="F643" s="142"/>
      <c r="G643" s="320"/>
      <c r="H643" s="142"/>
      <c r="I643" s="320"/>
      <c r="J643" s="142"/>
      <c r="K643" s="320"/>
      <c r="L643" s="142"/>
      <c r="M643" s="320"/>
      <c r="N643" s="142"/>
      <c r="O643" s="320"/>
      <c r="P643" s="142"/>
      <c r="Q643" s="195"/>
      <c r="R643" s="195"/>
      <c r="S643" s="320"/>
      <c r="T643" s="142"/>
      <c r="U643" s="30"/>
      <c r="V643" s="30"/>
      <c r="W643" s="30"/>
      <c r="X643" s="30"/>
      <c r="Y643" s="30"/>
      <c r="Z643" s="30"/>
    </row>
    <row r="644">
      <c r="A644" s="320"/>
      <c r="B644" s="142"/>
      <c r="C644" s="320"/>
      <c r="D644" s="142"/>
      <c r="E644" s="320"/>
      <c r="F644" s="142"/>
      <c r="G644" s="320"/>
      <c r="H644" s="142"/>
      <c r="I644" s="320"/>
      <c r="J644" s="142"/>
      <c r="K644" s="320"/>
      <c r="L644" s="142"/>
      <c r="M644" s="320"/>
      <c r="N644" s="142"/>
      <c r="O644" s="320"/>
      <c r="P644" s="142"/>
      <c r="Q644" s="195"/>
      <c r="R644" s="195"/>
      <c r="S644" s="320"/>
      <c r="T644" s="142"/>
      <c r="U644" s="30"/>
      <c r="V644" s="30"/>
      <c r="W644" s="30"/>
      <c r="X644" s="30"/>
      <c r="Y644" s="30"/>
      <c r="Z644" s="30"/>
    </row>
    <row r="645">
      <c r="A645" s="320"/>
      <c r="B645" s="142"/>
      <c r="C645" s="320"/>
      <c r="D645" s="142"/>
      <c r="E645" s="320"/>
      <c r="F645" s="142"/>
      <c r="G645" s="320"/>
      <c r="H645" s="142"/>
      <c r="I645" s="320"/>
      <c r="J645" s="142"/>
      <c r="K645" s="320"/>
      <c r="L645" s="142"/>
      <c r="M645" s="320"/>
      <c r="N645" s="142"/>
      <c r="O645" s="320"/>
      <c r="P645" s="142"/>
      <c r="Q645" s="195"/>
      <c r="R645" s="195"/>
      <c r="S645" s="320"/>
      <c r="T645" s="142"/>
      <c r="U645" s="30"/>
      <c r="V645" s="30"/>
      <c r="W645" s="30"/>
      <c r="X645" s="30"/>
      <c r="Y645" s="30"/>
      <c r="Z645" s="30"/>
    </row>
    <row r="646">
      <c r="A646" s="320"/>
      <c r="B646" s="142"/>
      <c r="C646" s="320"/>
      <c r="D646" s="142"/>
      <c r="E646" s="320"/>
      <c r="F646" s="142"/>
      <c r="G646" s="320"/>
      <c r="H646" s="142"/>
      <c r="I646" s="320"/>
      <c r="J646" s="142"/>
      <c r="K646" s="320"/>
      <c r="L646" s="142"/>
      <c r="M646" s="320"/>
      <c r="N646" s="142"/>
      <c r="O646" s="320"/>
      <c r="P646" s="142"/>
      <c r="Q646" s="195"/>
      <c r="R646" s="195"/>
      <c r="S646" s="320"/>
      <c r="T646" s="142"/>
      <c r="U646" s="30"/>
      <c r="V646" s="30"/>
      <c r="W646" s="30"/>
      <c r="X646" s="30"/>
      <c r="Y646" s="30"/>
      <c r="Z646" s="30"/>
    </row>
    <row r="647">
      <c r="A647" s="320"/>
      <c r="B647" s="142"/>
      <c r="C647" s="320"/>
      <c r="D647" s="142"/>
      <c r="E647" s="320"/>
      <c r="F647" s="142"/>
      <c r="G647" s="320"/>
      <c r="H647" s="142"/>
      <c r="I647" s="320"/>
      <c r="J647" s="142"/>
      <c r="K647" s="320"/>
      <c r="L647" s="142"/>
      <c r="M647" s="320"/>
      <c r="N647" s="142"/>
      <c r="O647" s="320"/>
      <c r="P647" s="142"/>
      <c r="Q647" s="195"/>
      <c r="R647" s="195"/>
      <c r="S647" s="320"/>
      <c r="T647" s="142"/>
      <c r="U647" s="30"/>
      <c r="V647" s="30"/>
      <c r="W647" s="30"/>
      <c r="X647" s="30"/>
      <c r="Y647" s="30"/>
      <c r="Z647" s="30"/>
    </row>
    <row r="648">
      <c r="A648" s="320"/>
      <c r="B648" s="142"/>
      <c r="C648" s="320"/>
      <c r="D648" s="142"/>
      <c r="E648" s="320"/>
      <c r="F648" s="142"/>
      <c r="G648" s="320"/>
      <c r="H648" s="142"/>
      <c r="I648" s="320"/>
      <c r="J648" s="142"/>
      <c r="K648" s="320"/>
      <c r="L648" s="142"/>
      <c r="M648" s="320"/>
      <c r="N648" s="142"/>
      <c r="O648" s="320"/>
      <c r="P648" s="142"/>
      <c r="Q648" s="195"/>
      <c r="R648" s="195"/>
      <c r="S648" s="320"/>
      <c r="T648" s="142"/>
      <c r="U648" s="30"/>
      <c r="V648" s="30"/>
      <c r="W648" s="30"/>
      <c r="X648" s="30"/>
      <c r="Y648" s="30"/>
      <c r="Z648" s="30"/>
    </row>
    <row r="649">
      <c r="A649" s="320"/>
      <c r="B649" s="142"/>
      <c r="C649" s="320"/>
      <c r="D649" s="142"/>
      <c r="E649" s="320"/>
      <c r="F649" s="142"/>
      <c r="G649" s="320"/>
      <c r="H649" s="142"/>
      <c r="I649" s="320"/>
      <c r="J649" s="142"/>
      <c r="K649" s="320"/>
      <c r="L649" s="142"/>
      <c r="M649" s="320"/>
      <c r="N649" s="142"/>
      <c r="O649" s="320"/>
      <c r="P649" s="142"/>
      <c r="Q649" s="195"/>
      <c r="R649" s="195"/>
      <c r="S649" s="320"/>
      <c r="T649" s="142"/>
      <c r="U649" s="30"/>
      <c r="V649" s="30"/>
      <c r="W649" s="30"/>
      <c r="X649" s="30"/>
      <c r="Y649" s="30"/>
      <c r="Z649" s="30"/>
    </row>
    <row r="650">
      <c r="A650" s="320"/>
      <c r="B650" s="142"/>
      <c r="C650" s="320"/>
      <c r="D650" s="142"/>
      <c r="E650" s="320"/>
      <c r="F650" s="142"/>
      <c r="G650" s="320"/>
      <c r="H650" s="142"/>
      <c r="I650" s="320"/>
      <c r="J650" s="142"/>
      <c r="K650" s="320"/>
      <c r="L650" s="142"/>
      <c r="M650" s="320"/>
      <c r="N650" s="142"/>
      <c r="O650" s="320"/>
      <c r="P650" s="142"/>
      <c r="Q650" s="195"/>
      <c r="R650" s="195"/>
      <c r="S650" s="320"/>
      <c r="T650" s="142"/>
      <c r="U650" s="30"/>
      <c r="V650" s="30"/>
      <c r="W650" s="30"/>
      <c r="X650" s="30"/>
      <c r="Y650" s="30"/>
      <c r="Z650" s="30"/>
    </row>
    <row r="651">
      <c r="A651" s="320"/>
      <c r="B651" s="142"/>
      <c r="C651" s="320"/>
      <c r="D651" s="142"/>
      <c r="E651" s="320"/>
      <c r="F651" s="142"/>
      <c r="G651" s="320"/>
      <c r="H651" s="142"/>
      <c r="I651" s="320"/>
      <c r="J651" s="142"/>
      <c r="K651" s="320"/>
      <c r="L651" s="142"/>
      <c r="M651" s="320"/>
      <c r="N651" s="142"/>
      <c r="O651" s="320"/>
      <c r="P651" s="142"/>
      <c r="Q651" s="195"/>
      <c r="R651" s="195"/>
      <c r="S651" s="320"/>
      <c r="T651" s="142"/>
      <c r="U651" s="30"/>
      <c r="V651" s="30"/>
      <c r="W651" s="30"/>
      <c r="X651" s="30"/>
      <c r="Y651" s="30"/>
      <c r="Z651" s="30"/>
    </row>
    <row r="652">
      <c r="A652" s="320"/>
      <c r="B652" s="142"/>
      <c r="C652" s="320"/>
      <c r="D652" s="142"/>
      <c r="E652" s="320"/>
      <c r="F652" s="142"/>
      <c r="G652" s="320"/>
      <c r="H652" s="142"/>
      <c r="I652" s="320"/>
      <c r="J652" s="142"/>
      <c r="K652" s="320"/>
      <c r="L652" s="142"/>
      <c r="M652" s="320"/>
      <c r="N652" s="142"/>
      <c r="O652" s="320"/>
      <c r="P652" s="142"/>
      <c r="Q652" s="195"/>
      <c r="R652" s="195"/>
      <c r="S652" s="320"/>
      <c r="T652" s="142"/>
      <c r="U652" s="30"/>
      <c r="V652" s="30"/>
      <c r="W652" s="30"/>
      <c r="X652" s="30"/>
      <c r="Y652" s="30"/>
      <c r="Z652" s="30"/>
    </row>
    <row r="653">
      <c r="A653" s="320"/>
      <c r="B653" s="142"/>
      <c r="C653" s="320"/>
      <c r="D653" s="142"/>
      <c r="E653" s="320"/>
      <c r="F653" s="142"/>
      <c r="G653" s="320"/>
      <c r="H653" s="142"/>
      <c r="I653" s="320"/>
      <c r="J653" s="142"/>
      <c r="K653" s="320"/>
      <c r="L653" s="142"/>
      <c r="M653" s="320"/>
      <c r="N653" s="142"/>
      <c r="O653" s="320"/>
      <c r="P653" s="142"/>
      <c r="Q653" s="195"/>
      <c r="R653" s="195"/>
      <c r="S653" s="320"/>
      <c r="T653" s="142"/>
      <c r="U653" s="30"/>
      <c r="V653" s="30"/>
      <c r="W653" s="30"/>
      <c r="X653" s="30"/>
      <c r="Y653" s="30"/>
      <c r="Z653" s="30"/>
    </row>
    <row r="654">
      <c r="A654" s="320"/>
      <c r="B654" s="142"/>
      <c r="C654" s="320"/>
      <c r="D654" s="142"/>
      <c r="E654" s="320"/>
      <c r="F654" s="142"/>
      <c r="G654" s="320"/>
      <c r="H654" s="142"/>
      <c r="I654" s="320"/>
      <c r="J654" s="142"/>
      <c r="K654" s="320"/>
      <c r="L654" s="142"/>
      <c r="M654" s="320"/>
      <c r="N654" s="142"/>
      <c r="O654" s="320"/>
      <c r="P654" s="142"/>
      <c r="Q654" s="195"/>
      <c r="R654" s="195"/>
      <c r="S654" s="320"/>
      <c r="T654" s="142"/>
      <c r="U654" s="30"/>
      <c r="V654" s="30"/>
      <c r="W654" s="30"/>
      <c r="X654" s="30"/>
      <c r="Y654" s="30"/>
      <c r="Z654" s="30"/>
    </row>
    <row r="655">
      <c r="A655" s="320"/>
      <c r="B655" s="142"/>
      <c r="C655" s="320"/>
      <c r="D655" s="142"/>
      <c r="E655" s="320"/>
      <c r="F655" s="142"/>
      <c r="G655" s="320"/>
      <c r="H655" s="142"/>
      <c r="I655" s="320"/>
      <c r="J655" s="142"/>
      <c r="K655" s="320"/>
      <c r="L655" s="142"/>
      <c r="M655" s="320"/>
      <c r="N655" s="142"/>
      <c r="O655" s="320"/>
      <c r="P655" s="142"/>
      <c r="Q655" s="195"/>
      <c r="R655" s="195"/>
      <c r="S655" s="320"/>
      <c r="T655" s="142"/>
      <c r="U655" s="30"/>
      <c r="V655" s="30"/>
      <c r="W655" s="30"/>
      <c r="X655" s="30"/>
      <c r="Y655" s="30"/>
      <c r="Z655" s="30"/>
    </row>
    <row r="656">
      <c r="A656" s="320"/>
      <c r="B656" s="142"/>
      <c r="C656" s="320"/>
      <c r="D656" s="142"/>
      <c r="E656" s="320"/>
      <c r="F656" s="142"/>
      <c r="G656" s="320"/>
      <c r="H656" s="142"/>
      <c r="I656" s="320"/>
      <c r="J656" s="142"/>
      <c r="K656" s="320"/>
      <c r="L656" s="142"/>
      <c r="M656" s="320"/>
      <c r="N656" s="142"/>
      <c r="O656" s="320"/>
      <c r="P656" s="142"/>
      <c r="Q656" s="195"/>
      <c r="R656" s="195"/>
      <c r="S656" s="320"/>
      <c r="T656" s="142"/>
      <c r="U656" s="30"/>
      <c r="V656" s="30"/>
      <c r="W656" s="30"/>
      <c r="X656" s="30"/>
      <c r="Y656" s="30"/>
      <c r="Z656" s="30"/>
    </row>
    <row r="657">
      <c r="A657" s="320"/>
      <c r="B657" s="142"/>
      <c r="C657" s="320"/>
      <c r="D657" s="142"/>
      <c r="E657" s="320"/>
      <c r="F657" s="142"/>
      <c r="G657" s="320"/>
      <c r="H657" s="142"/>
      <c r="I657" s="320"/>
      <c r="J657" s="142"/>
      <c r="K657" s="320"/>
      <c r="L657" s="142"/>
      <c r="M657" s="320"/>
      <c r="N657" s="142"/>
      <c r="O657" s="320"/>
      <c r="P657" s="142"/>
      <c r="Q657" s="195"/>
      <c r="R657" s="195"/>
      <c r="S657" s="320"/>
      <c r="T657" s="142"/>
      <c r="U657" s="30"/>
      <c r="V657" s="30"/>
      <c r="W657" s="30"/>
      <c r="X657" s="30"/>
      <c r="Y657" s="30"/>
      <c r="Z657" s="30"/>
    </row>
    <row r="658">
      <c r="A658" s="320"/>
      <c r="B658" s="142"/>
      <c r="C658" s="320"/>
      <c r="D658" s="142"/>
      <c r="E658" s="320"/>
      <c r="F658" s="142"/>
      <c r="G658" s="320"/>
      <c r="H658" s="142"/>
      <c r="I658" s="320"/>
      <c r="J658" s="142"/>
      <c r="K658" s="320"/>
      <c r="L658" s="142"/>
      <c r="M658" s="320"/>
      <c r="N658" s="142"/>
      <c r="O658" s="320"/>
      <c r="P658" s="142"/>
      <c r="Q658" s="195"/>
      <c r="R658" s="195"/>
      <c r="S658" s="320"/>
      <c r="T658" s="142"/>
      <c r="U658" s="30"/>
      <c r="V658" s="30"/>
      <c r="W658" s="30"/>
      <c r="X658" s="30"/>
      <c r="Y658" s="30"/>
      <c r="Z658" s="30"/>
    </row>
    <row r="659">
      <c r="A659" s="320"/>
      <c r="B659" s="142"/>
      <c r="C659" s="320"/>
      <c r="D659" s="142"/>
      <c r="E659" s="320"/>
      <c r="F659" s="142"/>
      <c r="G659" s="320"/>
      <c r="H659" s="142"/>
      <c r="I659" s="320"/>
      <c r="J659" s="142"/>
      <c r="K659" s="320"/>
      <c r="L659" s="142"/>
      <c r="M659" s="320"/>
      <c r="N659" s="142"/>
      <c r="O659" s="320"/>
      <c r="P659" s="142"/>
      <c r="Q659" s="195"/>
      <c r="R659" s="195"/>
      <c r="S659" s="320"/>
      <c r="T659" s="142"/>
      <c r="U659" s="30"/>
      <c r="V659" s="30"/>
      <c r="W659" s="30"/>
      <c r="X659" s="30"/>
      <c r="Y659" s="30"/>
      <c r="Z659" s="30"/>
    </row>
    <row r="660">
      <c r="A660" s="320"/>
      <c r="B660" s="142"/>
      <c r="C660" s="320"/>
      <c r="D660" s="142"/>
      <c r="E660" s="320"/>
      <c r="F660" s="142"/>
      <c r="G660" s="320"/>
      <c r="H660" s="142"/>
      <c r="I660" s="320"/>
      <c r="J660" s="142"/>
      <c r="K660" s="320"/>
      <c r="L660" s="142"/>
      <c r="M660" s="320"/>
      <c r="N660" s="142"/>
      <c r="O660" s="320"/>
      <c r="P660" s="142"/>
      <c r="Q660" s="195"/>
      <c r="R660" s="195"/>
      <c r="S660" s="320"/>
      <c r="T660" s="142"/>
      <c r="U660" s="30"/>
      <c r="V660" s="30"/>
      <c r="W660" s="30"/>
      <c r="X660" s="30"/>
      <c r="Y660" s="30"/>
      <c r="Z660" s="30"/>
    </row>
    <row r="661">
      <c r="A661" s="320"/>
      <c r="B661" s="142"/>
      <c r="C661" s="320"/>
      <c r="D661" s="142"/>
      <c r="E661" s="320"/>
      <c r="F661" s="142"/>
      <c r="G661" s="320"/>
      <c r="H661" s="142"/>
      <c r="I661" s="320"/>
      <c r="J661" s="142"/>
      <c r="K661" s="320"/>
      <c r="L661" s="142"/>
      <c r="M661" s="320"/>
      <c r="N661" s="142"/>
      <c r="O661" s="320"/>
      <c r="P661" s="142"/>
      <c r="Q661" s="195"/>
      <c r="R661" s="195"/>
      <c r="S661" s="320"/>
      <c r="T661" s="142"/>
      <c r="U661" s="30"/>
      <c r="V661" s="30"/>
      <c r="W661" s="30"/>
      <c r="X661" s="30"/>
      <c r="Y661" s="30"/>
      <c r="Z661" s="30"/>
    </row>
    <row r="662">
      <c r="A662" s="320"/>
      <c r="B662" s="142"/>
      <c r="C662" s="320"/>
      <c r="D662" s="142"/>
      <c r="E662" s="320"/>
      <c r="F662" s="142"/>
      <c r="G662" s="320"/>
      <c r="H662" s="142"/>
      <c r="I662" s="320"/>
      <c r="J662" s="142"/>
      <c r="K662" s="320"/>
      <c r="L662" s="142"/>
      <c r="M662" s="320"/>
      <c r="N662" s="142"/>
      <c r="O662" s="320"/>
      <c r="P662" s="142"/>
      <c r="Q662" s="195"/>
      <c r="R662" s="195"/>
      <c r="S662" s="320"/>
      <c r="T662" s="142"/>
      <c r="U662" s="30"/>
      <c r="V662" s="30"/>
      <c r="W662" s="30"/>
      <c r="X662" s="30"/>
      <c r="Y662" s="30"/>
      <c r="Z662" s="30"/>
    </row>
    <row r="663">
      <c r="A663" s="320"/>
      <c r="B663" s="142"/>
      <c r="C663" s="320"/>
      <c r="D663" s="142"/>
      <c r="E663" s="320"/>
      <c r="F663" s="142"/>
      <c r="G663" s="320"/>
      <c r="H663" s="142"/>
      <c r="I663" s="320"/>
      <c r="J663" s="142"/>
      <c r="K663" s="320"/>
      <c r="L663" s="142"/>
      <c r="M663" s="320"/>
      <c r="N663" s="142"/>
      <c r="O663" s="320"/>
      <c r="P663" s="142"/>
      <c r="Q663" s="195"/>
      <c r="R663" s="195"/>
      <c r="S663" s="320"/>
      <c r="T663" s="142"/>
      <c r="U663" s="30"/>
      <c r="V663" s="30"/>
      <c r="W663" s="30"/>
      <c r="X663" s="30"/>
      <c r="Y663" s="30"/>
      <c r="Z663" s="30"/>
    </row>
    <row r="664">
      <c r="A664" s="320"/>
      <c r="B664" s="142"/>
      <c r="C664" s="320"/>
      <c r="D664" s="142"/>
      <c r="E664" s="320"/>
      <c r="F664" s="142"/>
      <c r="G664" s="320"/>
      <c r="H664" s="142"/>
      <c r="I664" s="320"/>
      <c r="J664" s="142"/>
      <c r="K664" s="320"/>
      <c r="L664" s="142"/>
      <c r="M664" s="320"/>
      <c r="N664" s="142"/>
      <c r="O664" s="320"/>
      <c r="P664" s="142"/>
      <c r="Q664" s="195"/>
      <c r="R664" s="195"/>
      <c r="S664" s="320"/>
      <c r="T664" s="142"/>
      <c r="U664" s="30"/>
      <c r="V664" s="30"/>
      <c r="W664" s="30"/>
      <c r="X664" s="30"/>
      <c r="Y664" s="30"/>
      <c r="Z664" s="30"/>
    </row>
    <row r="665">
      <c r="A665" s="320"/>
      <c r="B665" s="142"/>
      <c r="C665" s="320"/>
      <c r="D665" s="142"/>
      <c r="E665" s="320"/>
      <c r="F665" s="142"/>
      <c r="G665" s="320"/>
      <c r="H665" s="142"/>
      <c r="I665" s="320"/>
      <c r="J665" s="142"/>
      <c r="K665" s="320"/>
      <c r="L665" s="142"/>
      <c r="M665" s="320"/>
      <c r="N665" s="142"/>
      <c r="O665" s="320"/>
      <c r="P665" s="142"/>
      <c r="Q665" s="195"/>
      <c r="R665" s="195"/>
      <c r="S665" s="320"/>
      <c r="T665" s="142"/>
      <c r="U665" s="30"/>
      <c r="V665" s="30"/>
      <c r="W665" s="30"/>
      <c r="X665" s="30"/>
      <c r="Y665" s="30"/>
      <c r="Z665" s="30"/>
    </row>
    <row r="666">
      <c r="A666" s="320"/>
      <c r="B666" s="142"/>
      <c r="C666" s="320"/>
      <c r="D666" s="142"/>
      <c r="E666" s="320"/>
      <c r="F666" s="142"/>
      <c r="G666" s="320"/>
      <c r="H666" s="142"/>
      <c r="I666" s="320"/>
      <c r="J666" s="142"/>
      <c r="K666" s="320"/>
      <c r="L666" s="142"/>
      <c r="M666" s="320"/>
      <c r="N666" s="142"/>
      <c r="O666" s="320"/>
      <c r="P666" s="142"/>
      <c r="Q666" s="195"/>
      <c r="R666" s="195"/>
      <c r="S666" s="320"/>
      <c r="T666" s="142"/>
      <c r="U666" s="30"/>
      <c r="V666" s="30"/>
      <c r="W666" s="30"/>
      <c r="X666" s="30"/>
      <c r="Y666" s="30"/>
      <c r="Z666" s="30"/>
    </row>
    <row r="667">
      <c r="A667" s="320"/>
      <c r="B667" s="142"/>
      <c r="C667" s="320"/>
      <c r="D667" s="142"/>
      <c r="E667" s="320"/>
      <c r="F667" s="142"/>
      <c r="G667" s="320"/>
      <c r="H667" s="142"/>
      <c r="I667" s="320"/>
      <c r="J667" s="142"/>
      <c r="K667" s="320"/>
      <c r="L667" s="142"/>
      <c r="M667" s="320"/>
      <c r="N667" s="142"/>
      <c r="O667" s="320"/>
      <c r="P667" s="142"/>
      <c r="Q667" s="195"/>
      <c r="R667" s="195"/>
      <c r="S667" s="320"/>
      <c r="T667" s="142"/>
      <c r="U667" s="30"/>
      <c r="V667" s="30"/>
      <c r="W667" s="30"/>
      <c r="X667" s="30"/>
      <c r="Y667" s="30"/>
      <c r="Z667" s="30"/>
    </row>
    <row r="668">
      <c r="A668" s="320"/>
      <c r="B668" s="142"/>
      <c r="C668" s="320"/>
      <c r="D668" s="142"/>
      <c r="E668" s="320"/>
      <c r="F668" s="142"/>
      <c r="G668" s="320"/>
      <c r="H668" s="142"/>
      <c r="I668" s="320"/>
      <c r="J668" s="142"/>
      <c r="K668" s="320"/>
      <c r="L668" s="142"/>
      <c r="M668" s="320"/>
      <c r="N668" s="142"/>
      <c r="O668" s="320"/>
      <c r="P668" s="142"/>
      <c r="Q668" s="195"/>
      <c r="R668" s="195"/>
      <c r="S668" s="320"/>
      <c r="T668" s="142"/>
      <c r="U668" s="30"/>
      <c r="V668" s="30"/>
      <c r="W668" s="30"/>
      <c r="X668" s="30"/>
      <c r="Y668" s="30"/>
      <c r="Z668" s="30"/>
    </row>
    <row r="669">
      <c r="A669" s="320"/>
      <c r="B669" s="142"/>
      <c r="C669" s="320"/>
      <c r="D669" s="142"/>
      <c r="E669" s="320"/>
      <c r="F669" s="142"/>
      <c r="G669" s="320"/>
      <c r="H669" s="142"/>
      <c r="I669" s="320"/>
      <c r="J669" s="142"/>
      <c r="K669" s="320"/>
      <c r="L669" s="142"/>
      <c r="M669" s="320"/>
      <c r="N669" s="142"/>
      <c r="O669" s="320"/>
      <c r="P669" s="142"/>
      <c r="Q669" s="195"/>
      <c r="R669" s="195"/>
      <c r="S669" s="320"/>
      <c r="T669" s="142"/>
      <c r="U669" s="30"/>
      <c r="V669" s="30"/>
      <c r="W669" s="30"/>
      <c r="X669" s="30"/>
      <c r="Y669" s="30"/>
      <c r="Z669" s="30"/>
    </row>
    <row r="670">
      <c r="A670" s="320"/>
      <c r="B670" s="142"/>
      <c r="C670" s="320"/>
      <c r="D670" s="142"/>
      <c r="E670" s="320"/>
      <c r="F670" s="142"/>
      <c r="G670" s="320"/>
      <c r="H670" s="142"/>
      <c r="I670" s="320"/>
      <c r="J670" s="142"/>
      <c r="K670" s="320"/>
      <c r="L670" s="142"/>
      <c r="M670" s="320"/>
      <c r="N670" s="142"/>
      <c r="O670" s="320"/>
      <c r="P670" s="142"/>
      <c r="Q670" s="195"/>
      <c r="R670" s="195"/>
      <c r="S670" s="320"/>
      <c r="T670" s="142"/>
      <c r="U670" s="30"/>
      <c r="V670" s="30"/>
      <c r="W670" s="30"/>
      <c r="X670" s="30"/>
      <c r="Y670" s="30"/>
      <c r="Z670" s="30"/>
    </row>
    <row r="671">
      <c r="A671" s="320"/>
      <c r="B671" s="142"/>
      <c r="C671" s="320"/>
      <c r="D671" s="142"/>
      <c r="E671" s="320"/>
      <c r="F671" s="142"/>
      <c r="G671" s="320"/>
      <c r="H671" s="142"/>
      <c r="I671" s="320"/>
      <c r="J671" s="142"/>
      <c r="K671" s="320"/>
      <c r="L671" s="142"/>
      <c r="M671" s="320"/>
      <c r="N671" s="142"/>
      <c r="O671" s="320"/>
      <c r="P671" s="142"/>
      <c r="Q671" s="195"/>
      <c r="R671" s="195"/>
      <c r="S671" s="320"/>
      <c r="T671" s="142"/>
      <c r="U671" s="30"/>
      <c r="V671" s="30"/>
      <c r="W671" s="30"/>
      <c r="X671" s="30"/>
      <c r="Y671" s="30"/>
      <c r="Z671" s="30"/>
    </row>
    <row r="672">
      <c r="A672" s="320"/>
      <c r="B672" s="142"/>
      <c r="C672" s="320"/>
      <c r="D672" s="142"/>
      <c r="E672" s="320"/>
      <c r="F672" s="142"/>
      <c r="G672" s="320"/>
      <c r="H672" s="142"/>
      <c r="I672" s="320"/>
      <c r="J672" s="142"/>
      <c r="K672" s="320"/>
      <c r="L672" s="142"/>
      <c r="M672" s="320"/>
      <c r="N672" s="142"/>
      <c r="O672" s="320"/>
      <c r="P672" s="142"/>
      <c r="Q672" s="195"/>
      <c r="R672" s="195"/>
      <c r="S672" s="320"/>
      <c r="T672" s="142"/>
      <c r="U672" s="30"/>
      <c r="V672" s="30"/>
      <c r="W672" s="30"/>
      <c r="X672" s="30"/>
      <c r="Y672" s="30"/>
      <c r="Z672" s="30"/>
    </row>
    <row r="673">
      <c r="A673" s="320"/>
      <c r="B673" s="142"/>
      <c r="C673" s="320"/>
      <c r="D673" s="142"/>
      <c r="E673" s="320"/>
      <c r="F673" s="142"/>
      <c r="G673" s="320"/>
      <c r="H673" s="142"/>
      <c r="I673" s="320"/>
      <c r="J673" s="142"/>
      <c r="K673" s="320"/>
      <c r="L673" s="142"/>
      <c r="M673" s="320"/>
      <c r="N673" s="142"/>
      <c r="O673" s="320"/>
      <c r="P673" s="142"/>
      <c r="Q673" s="195"/>
      <c r="R673" s="195"/>
      <c r="S673" s="320"/>
      <c r="T673" s="142"/>
      <c r="U673" s="30"/>
      <c r="V673" s="30"/>
      <c r="W673" s="30"/>
      <c r="X673" s="30"/>
      <c r="Y673" s="30"/>
      <c r="Z673" s="30"/>
    </row>
    <row r="674">
      <c r="A674" s="320"/>
      <c r="B674" s="142"/>
      <c r="C674" s="320"/>
      <c r="D674" s="142"/>
      <c r="E674" s="320"/>
      <c r="F674" s="142"/>
      <c r="G674" s="320"/>
      <c r="H674" s="142"/>
      <c r="I674" s="320"/>
      <c r="J674" s="142"/>
      <c r="K674" s="320"/>
      <c r="L674" s="142"/>
      <c r="M674" s="320"/>
      <c r="N674" s="142"/>
      <c r="O674" s="320"/>
      <c r="P674" s="142"/>
      <c r="Q674" s="195"/>
      <c r="R674" s="195"/>
      <c r="S674" s="320"/>
      <c r="T674" s="142"/>
      <c r="U674" s="30"/>
      <c r="V674" s="30"/>
      <c r="W674" s="30"/>
      <c r="X674" s="30"/>
      <c r="Y674" s="30"/>
      <c r="Z674" s="30"/>
    </row>
    <row r="675">
      <c r="A675" s="320"/>
      <c r="B675" s="142"/>
      <c r="C675" s="320"/>
      <c r="D675" s="142"/>
      <c r="E675" s="320"/>
      <c r="F675" s="142"/>
      <c r="G675" s="320"/>
      <c r="H675" s="142"/>
      <c r="I675" s="320"/>
      <c r="J675" s="142"/>
      <c r="K675" s="320"/>
      <c r="L675" s="142"/>
      <c r="M675" s="320"/>
      <c r="N675" s="142"/>
      <c r="O675" s="320"/>
      <c r="P675" s="142"/>
      <c r="Q675" s="195"/>
      <c r="R675" s="195"/>
      <c r="S675" s="320"/>
      <c r="T675" s="142"/>
      <c r="U675" s="30"/>
      <c r="V675" s="30"/>
      <c r="W675" s="30"/>
      <c r="X675" s="30"/>
      <c r="Y675" s="30"/>
      <c r="Z675" s="30"/>
    </row>
    <row r="676">
      <c r="A676" s="320"/>
      <c r="B676" s="142"/>
      <c r="C676" s="320"/>
      <c r="D676" s="142"/>
      <c r="E676" s="320"/>
      <c r="F676" s="142"/>
      <c r="G676" s="320"/>
      <c r="H676" s="142"/>
      <c r="I676" s="320"/>
      <c r="J676" s="142"/>
      <c r="K676" s="320"/>
      <c r="L676" s="142"/>
      <c r="M676" s="320"/>
      <c r="N676" s="142"/>
      <c r="O676" s="320"/>
      <c r="P676" s="142"/>
      <c r="Q676" s="195"/>
      <c r="R676" s="195"/>
      <c r="S676" s="320"/>
      <c r="T676" s="142"/>
      <c r="U676" s="30"/>
      <c r="V676" s="30"/>
      <c r="W676" s="30"/>
      <c r="X676" s="30"/>
      <c r="Y676" s="30"/>
      <c r="Z676" s="30"/>
    </row>
    <row r="677">
      <c r="A677" s="320"/>
      <c r="B677" s="142"/>
      <c r="C677" s="320"/>
      <c r="D677" s="142"/>
      <c r="E677" s="320"/>
      <c r="F677" s="142"/>
      <c r="G677" s="320"/>
      <c r="H677" s="142"/>
      <c r="I677" s="320"/>
      <c r="J677" s="142"/>
      <c r="K677" s="320"/>
      <c r="L677" s="142"/>
      <c r="M677" s="320"/>
      <c r="N677" s="142"/>
      <c r="O677" s="320"/>
      <c r="P677" s="142"/>
      <c r="Q677" s="195"/>
      <c r="R677" s="195"/>
      <c r="S677" s="320"/>
      <c r="T677" s="142"/>
      <c r="U677" s="30"/>
      <c r="V677" s="30"/>
      <c r="W677" s="30"/>
      <c r="X677" s="30"/>
      <c r="Y677" s="30"/>
      <c r="Z677" s="30"/>
    </row>
    <row r="678">
      <c r="A678" s="320"/>
      <c r="B678" s="142"/>
      <c r="C678" s="320"/>
      <c r="D678" s="142"/>
      <c r="E678" s="320"/>
      <c r="F678" s="142"/>
      <c r="G678" s="320"/>
      <c r="H678" s="142"/>
      <c r="I678" s="320"/>
      <c r="J678" s="142"/>
      <c r="K678" s="320"/>
      <c r="L678" s="142"/>
      <c r="M678" s="320"/>
      <c r="N678" s="142"/>
      <c r="O678" s="320"/>
      <c r="P678" s="142"/>
      <c r="Q678" s="195"/>
      <c r="R678" s="195"/>
      <c r="S678" s="320"/>
      <c r="T678" s="142"/>
      <c r="U678" s="30"/>
      <c r="V678" s="30"/>
      <c r="W678" s="30"/>
      <c r="X678" s="30"/>
      <c r="Y678" s="30"/>
      <c r="Z678" s="30"/>
    </row>
    <row r="679">
      <c r="A679" s="320"/>
      <c r="B679" s="142"/>
      <c r="C679" s="320"/>
      <c r="D679" s="142"/>
      <c r="E679" s="320"/>
      <c r="F679" s="142"/>
      <c r="G679" s="320"/>
      <c r="H679" s="142"/>
      <c r="I679" s="320"/>
      <c r="J679" s="142"/>
      <c r="K679" s="320"/>
      <c r="L679" s="142"/>
      <c r="M679" s="320"/>
      <c r="N679" s="142"/>
      <c r="O679" s="320"/>
      <c r="P679" s="142"/>
      <c r="Q679" s="195"/>
      <c r="R679" s="195"/>
      <c r="S679" s="320"/>
      <c r="T679" s="142"/>
      <c r="U679" s="30"/>
      <c r="V679" s="30"/>
      <c r="W679" s="30"/>
      <c r="X679" s="30"/>
      <c r="Y679" s="30"/>
      <c r="Z679" s="30"/>
    </row>
    <row r="680">
      <c r="A680" s="320"/>
      <c r="B680" s="142"/>
      <c r="C680" s="320"/>
      <c r="D680" s="142"/>
      <c r="E680" s="320"/>
      <c r="F680" s="142"/>
      <c r="G680" s="320"/>
      <c r="H680" s="142"/>
      <c r="I680" s="320"/>
      <c r="J680" s="142"/>
      <c r="K680" s="320"/>
      <c r="L680" s="142"/>
      <c r="M680" s="320"/>
      <c r="N680" s="142"/>
      <c r="O680" s="320"/>
      <c r="P680" s="142"/>
      <c r="Q680" s="195"/>
      <c r="R680" s="195"/>
      <c r="S680" s="320"/>
      <c r="T680" s="142"/>
      <c r="U680" s="30"/>
      <c r="V680" s="30"/>
      <c r="W680" s="30"/>
      <c r="X680" s="30"/>
      <c r="Y680" s="30"/>
      <c r="Z680" s="30"/>
    </row>
    <row r="681">
      <c r="A681" s="320"/>
      <c r="B681" s="142"/>
      <c r="C681" s="320"/>
      <c r="D681" s="142"/>
      <c r="E681" s="320"/>
      <c r="F681" s="142"/>
      <c r="G681" s="320"/>
      <c r="H681" s="142"/>
      <c r="I681" s="320"/>
      <c r="J681" s="142"/>
      <c r="K681" s="320"/>
      <c r="L681" s="142"/>
      <c r="M681" s="320"/>
      <c r="N681" s="142"/>
      <c r="O681" s="320"/>
      <c r="P681" s="142"/>
      <c r="Q681" s="195"/>
      <c r="R681" s="195"/>
      <c r="S681" s="320"/>
      <c r="T681" s="142"/>
      <c r="U681" s="30"/>
      <c r="V681" s="30"/>
      <c r="W681" s="30"/>
      <c r="X681" s="30"/>
      <c r="Y681" s="30"/>
      <c r="Z681" s="30"/>
    </row>
    <row r="682">
      <c r="A682" s="320"/>
      <c r="B682" s="142"/>
      <c r="C682" s="320"/>
      <c r="D682" s="142"/>
      <c r="E682" s="320"/>
      <c r="F682" s="142"/>
      <c r="G682" s="320"/>
      <c r="H682" s="142"/>
      <c r="I682" s="320"/>
      <c r="J682" s="142"/>
      <c r="K682" s="320"/>
      <c r="L682" s="142"/>
      <c r="M682" s="320"/>
      <c r="N682" s="142"/>
      <c r="O682" s="320"/>
      <c r="P682" s="142"/>
      <c r="Q682" s="195"/>
      <c r="R682" s="195"/>
      <c r="S682" s="320"/>
      <c r="T682" s="142"/>
      <c r="U682" s="30"/>
      <c r="V682" s="30"/>
      <c r="W682" s="30"/>
      <c r="X682" s="30"/>
      <c r="Y682" s="30"/>
      <c r="Z682" s="30"/>
    </row>
    <row r="683">
      <c r="A683" s="320"/>
      <c r="B683" s="142"/>
      <c r="C683" s="320"/>
      <c r="D683" s="142"/>
      <c r="E683" s="320"/>
      <c r="F683" s="142"/>
      <c r="G683" s="320"/>
      <c r="H683" s="142"/>
      <c r="I683" s="320"/>
      <c r="J683" s="142"/>
      <c r="K683" s="320"/>
      <c r="L683" s="142"/>
      <c r="M683" s="320"/>
      <c r="N683" s="142"/>
      <c r="O683" s="320"/>
      <c r="P683" s="142"/>
      <c r="Q683" s="195"/>
      <c r="R683" s="195"/>
      <c r="S683" s="320"/>
      <c r="T683" s="142"/>
      <c r="U683" s="30"/>
      <c r="V683" s="30"/>
      <c r="W683" s="30"/>
      <c r="X683" s="30"/>
      <c r="Y683" s="30"/>
      <c r="Z683" s="30"/>
    </row>
    <row r="684">
      <c r="A684" s="320"/>
      <c r="B684" s="142"/>
      <c r="C684" s="320"/>
      <c r="D684" s="142"/>
      <c r="E684" s="320"/>
      <c r="F684" s="142"/>
      <c r="G684" s="320"/>
      <c r="H684" s="142"/>
      <c r="I684" s="320"/>
      <c r="J684" s="142"/>
      <c r="K684" s="320"/>
      <c r="L684" s="142"/>
      <c r="M684" s="320"/>
      <c r="N684" s="142"/>
      <c r="O684" s="320"/>
      <c r="P684" s="142"/>
      <c r="Q684" s="195"/>
      <c r="R684" s="195"/>
      <c r="S684" s="320"/>
      <c r="T684" s="142"/>
      <c r="U684" s="30"/>
      <c r="V684" s="30"/>
      <c r="W684" s="30"/>
      <c r="X684" s="30"/>
      <c r="Y684" s="30"/>
      <c r="Z684" s="30"/>
    </row>
    <row r="685">
      <c r="A685" s="320"/>
      <c r="B685" s="142"/>
      <c r="C685" s="320"/>
      <c r="D685" s="142"/>
      <c r="E685" s="320"/>
      <c r="F685" s="142"/>
      <c r="G685" s="320"/>
      <c r="H685" s="142"/>
      <c r="I685" s="320"/>
      <c r="J685" s="142"/>
      <c r="K685" s="320"/>
      <c r="L685" s="142"/>
      <c r="M685" s="320"/>
      <c r="N685" s="142"/>
      <c r="O685" s="320"/>
      <c r="P685" s="142"/>
      <c r="Q685" s="195"/>
      <c r="R685" s="195"/>
      <c r="S685" s="320"/>
      <c r="T685" s="142"/>
      <c r="U685" s="30"/>
      <c r="V685" s="30"/>
      <c r="W685" s="30"/>
      <c r="X685" s="30"/>
      <c r="Y685" s="30"/>
      <c r="Z685" s="30"/>
    </row>
    <row r="686">
      <c r="A686" s="320"/>
      <c r="B686" s="142"/>
      <c r="C686" s="320"/>
      <c r="D686" s="142"/>
      <c r="E686" s="320"/>
      <c r="F686" s="142"/>
      <c r="G686" s="320"/>
      <c r="H686" s="142"/>
      <c r="I686" s="320"/>
      <c r="J686" s="142"/>
      <c r="K686" s="320"/>
      <c r="L686" s="142"/>
      <c r="M686" s="320"/>
      <c r="N686" s="142"/>
      <c r="O686" s="320"/>
      <c r="P686" s="142"/>
      <c r="Q686" s="195"/>
      <c r="R686" s="195"/>
      <c r="S686" s="320"/>
      <c r="T686" s="142"/>
      <c r="U686" s="30"/>
      <c r="V686" s="30"/>
      <c r="W686" s="30"/>
      <c r="X686" s="30"/>
      <c r="Y686" s="30"/>
      <c r="Z686" s="30"/>
    </row>
    <row r="687">
      <c r="A687" s="320"/>
      <c r="B687" s="142"/>
      <c r="C687" s="320"/>
      <c r="D687" s="142"/>
      <c r="E687" s="320"/>
      <c r="F687" s="142"/>
      <c r="G687" s="320"/>
      <c r="H687" s="142"/>
      <c r="I687" s="320"/>
      <c r="J687" s="142"/>
      <c r="K687" s="320"/>
      <c r="L687" s="142"/>
      <c r="M687" s="320"/>
      <c r="N687" s="142"/>
      <c r="O687" s="320"/>
      <c r="P687" s="142"/>
      <c r="Q687" s="195"/>
      <c r="R687" s="195"/>
      <c r="S687" s="320"/>
      <c r="T687" s="142"/>
      <c r="U687" s="30"/>
      <c r="V687" s="30"/>
      <c r="W687" s="30"/>
      <c r="X687" s="30"/>
      <c r="Y687" s="30"/>
      <c r="Z687" s="30"/>
    </row>
    <row r="688">
      <c r="A688" s="320"/>
      <c r="B688" s="142"/>
      <c r="C688" s="320"/>
      <c r="D688" s="142"/>
      <c r="E688" s="320"/>
      <c r="F688" s="142"/>
      <c r="G688" s="320"/>
      <c r="H688" s="142"/>
      <c r="I688" s="320"/>
      <c r="J688" s="142"/>
      <c r="K688" s="320"/>
      <c r="L688" s="142"/>
      <c r="M688" s="320"/>
      <c r="N688" s="142"/>
      <c r="O688" s="320"/>
      <c r="P688" s="142"/>
      <c r="Q688" s="195"/>
      <c r="R688" s="195"/>
      <c r="S688" s="320"/>
      <c r="T688" s="142"/>
      <c r="U688" s="30"/>
      <c r="V688" s="30"/>
      <c r="W688" s="30"/>
      <c r="X688" s="30"/>
      <c r="Y688" s="30"/>
      <c r="Z688" s="30"/>
    </row>
    <row r="689">
      <c r="A689" s="320"/>
      <c r="B689" s="142"/>
      <c r="C689" s="320"/>
      <c r="D689" s="142"/>
      <c r="E689" s="320"/>
      <c r="F689" s="142"/>
      <c r="G689" s="320"/>
      <c r="H689" s="142"/>
      <c r="I689" s="320"/>
      <c r="J689" s="142"/>
      <c r="K689" s="320"/>
      <c r="L689" s="142"/>
      <c r="M689" s="320"/>
      <c r="N689" s="142"/>
      <c r="O689" s="320"/>
      <c r="P689" s="142"/>
      <c r="Q689" s="195"/>
      <c r="R689" s="195"/>
      <c r="S689" s="320"/>
      <c r="T689" s="142"/>
      <c r="U689" s="30"/>
      <c r="V689" s="30"/>
      <c r="W689" s="30"/>
      <c r="X689" s="30"/>
      <c r="Y689" s="30"/>
      <c r="Z689" s="30"/>
    </row>
    <row r="690">
      <c r="A690" s="320"/>
      <c r="B690" s="142"/>
      <c r="C690" s="320"/>
      <c r="D690" s="142"/>
      <c r="E690" s="320"/>
      <c r="F690" s="142"/>
      <c r="G690" s="320"/>
      <c r="H690" s="142"/>
      <c r="I690" s="320"/>
      <c r="J690" s="142"/>
      <c r="K690" s="320"/>
      <c r="L690" s="142"/>
      <c r="M690" s="320"/>
      <c r="N690" s="142"/>
      <c r="O690" s="320"/>
      <c r="P690" s="142"/>
      <c r="Q690" s="195"/>
      <c r="R690" s="195"/>
      <c r="S690" s="320"/>
      <c r="T690" s="142"/>
      <c r="U690" s="30"/>
      <c r="V690" s="30"/>
      <c r="W690" s="30"/>
      <c r="X690" s="30"/>
      <c r="Y690" s="30"/>
      <c r="Z690" s="30"/>
    </row>
    <row r="691">
      <c r="A691" s="320"/>
      <c r="B691" s="142"/>
      <c r="C691" s="320"/>
      <c r="D691" s="142"/>
      <c r="E691" s="320"/>
      <c r="F691" s="142"/>
      <c r="G691" s="320"/>
      <c r="H691" s="142"/>
      <c r="I691" s="320"/>
      <c r="J691" s="142"/>
      <c r="K691" s="320"/>
      <c r="L691" s="142"/>
      <c r="M691" s="320"/>
      <c r="N691" s="142"/>
      <c r="O691" s="320"/>
      <c r="P691" s="142"/>
      <c r="Q691" s="195"/>
      <c r="R691" s="195"/>
      <c r="S691" s="320"/>
      <c r="T691" s="142"/>
      <c r="U691" s="30"/>
      <c r="V691" s="30"/>
      <c r="W691" s="30"/>
      <c r="X691" s="30"/>
      <c r="Y691" s="30"/>
      <c r="Z691" s="30"/>
    </row>
    <row r="692">
      <c r="A692" s="320"/>
      <c r="B692" s="142"/>
      <c r="C692" s="320"/>
      <c r="D692" s="142"/>
      <c r="E692" s="320"/>
      <c r="F692" s="142"/>
      <c r="G692" s="320"/>
      <c r="H692" s="142"/>
      <c r="I692" s="320"/>
      <c r="J692" s="142"/>
      <c r="K692" s="320"/>
      <c r="L692" s="142"/>
      <c r="M692" s="320"/>
      <c r="N692" s="142"/>
      <c r="O692" s="320"/>
      <c r="P692" s="142"/>
      <c r="Q692" s="195"/>
      <c r="R692" s="195"/>
      <c r="S692" s="320"/>
      <c r="T692" s="142"/>
      <c r="U692" s="30"/>
      <c r="V692" s="30"/>
      <c r="W692" s="30"/>
      <c r="X692" s="30"/>
      <c r="Y692" s="30"/>
      <c r="Z692" s="30"/>
    </row>
    <row r="693">
      <c r="A693" s="320"/>
      <c r="B693" s="142"/>
      <c r="C693" s="320"/>
      <c r="D693" s="142"/>
      <c r="E693" s="320"/>
      <c r="F693" s="142"/>
      <c r="G693" s="320"/>
      <c r="H693" s="142"/>
      <c r="I693" s="320"/>
      <c r="J693" s="142"/>
      <c r="K693" s="320"/>
      <c r="L693" s="142"/>
      <c r="M693" s="320"/>
      <c r="N693" s="142"/>
      <c r="O693" s="320"/>
      <c r="P693" s="142"/>
      <c r="Q693" s="195"/>
      <c r="R693" s="195"/>
      <c r="S693" s="320"/>
      <c r="T693" s="142"/>
      <c r="U693" s="30"/>
      <c r="V693" s="30"/>
      <c r="W693" s="30"/>
      <c r="X693" s="30"/>
      <c r="Y693" s="30"/>
      <c r="Z693" s="30"/>
    </row>
    <row r="694">
      <c r="A694" s="320"/>
      <c r="B694" s="142"/>
      <c r="C694" s="320"/>
      <c r="D694" s="142"/>
      <c r="E694" s="320"/>
      <c r="F694" s="142"/>
      <c r="G694" s="320"/>
      <c r="H694" s="142"/>
      <c r="I694" s="320"/>
      <c r="J694" s="142"/>
      <c r="K694" s="320"/>
      <c r="L694" s="142"/>
      <c r="M694" s="320"/>
      <c r="N694" s="142"/>
      <c r="O694" s="320"/>
      <c r="P694" s="142"/>
      <c r="Q694" s="195"/>
      <c r="R694" s="195"/>
      <c r="S694" s="320"/>
      <c r="T694" s="142"/>
      <c r="U694" s="30"/>
      <c r="V694" s="30"/>
      <c r="W694" s="30"/>
      <c r="X694" s="30"/>
      <c r="Y694" s="30"/>
      <c r="Z694" s="30"/>
    </row>
    <row r="695">
      <c r="A695" s="320"/>
      <c r="B695" s="142"/>
      <c r="C695" s="320"/>
      <c r="D695" s="142"/>
      <c r="E695" s="320"/>
      <c r="F695" s="142"/>
      <c r="G695" s="320"/>
      <c r="H695" s="142"/>
      <c r="I695" s="320"/>
      <c r="J695" s="142"/>
      <c r="K695" s="320"/>
      <c r="L695" s="142"/>
      <c r="M695" s="320"/>
      <c r="N695" s="142"/>
      <c r="O695" s="320"/>
      <c r="P695" s="142"/>
      <c r="Q695" s="195"/>
      <c r="R695" s="195"/>
      <c r="S695" s="320"/>
      <c r="T695" s="142"/>
      <c r="U695" s="30"/>
      <c r="V695" s="30"/>
      <c r="W695" s="30"/>
      <c r="X695" s="30"/>
      <c r="Y695" s="30"/>
      <c r="Z695" s="30"/>
    </row>
    <row r="696">
      <c r="A696" s="320"/>
      <c r="B696" s="142"/>
      <c r="C696" s="320"/>
      <c r="D696" s="142"/>
      <c r="E696" s="320"/>
      <c r="F696" s="142"/>
      <c r="G696" s="320"/>
      <c r="H696" s="142"/>
      <c r="I696" s="320"/>
      <c r="J696" s="142"/>
      <c r="K696" s="320"/>
      <c r="L696" s="142"/>
      <c r="M696" s="320"/>
      <c r="N696" s="142"/>
      <c r="O696" s="320"/>
      <c r="P696" s="142"/>
      <c r="Q696" s="195"/>
      <c r="R696" s="195"/>
      <c r="S696" s="320"/>
      <c r="T696" s="142"/>
      <c r="U696" s="30"/>
      <c r="V696" s="30"/>
      <c r="W696" s="30"/>
      <c r="X696" s="30"/>
      <c r="Y696" s="30"/>
      <c r="Z696" s="30"/>
    </row>
    <row r="697">
      <c r="A697" s="320"/>
      <c r="B697" s="142"/>
      <c r="C697" s="320"/>
      <c r="D697" s="142"/>
      <c r="E697" s="320"/>
      <c r="F697" s="142"/>
      <c r="G697" s="320"/>
      <c r="H697" s="142"/>
      <c r="I697" s="320"/>
      <c r="J697" s="142"/>
      <c r="K697" s="320"/>
      <c r="L697" s="142"/>
      <c r="M697" s="320"/>
      <c r="N697" s="142"/>
      <c r="O697" s="320"/>
      <c r="P697" s="142"/>
      <c r="Q697" s="195"/>
      <c r="R697" s="195"/>
      <c r="S697" s="320"/>
      <c r="T697" s="142"/>
      <c r="U697" s="30"/>
      <c r="V697" s="30"/>
      <c r="W697" s="30"/>
      <c r="X697" s="30"/>
      <c r="Y697" s="30"/>
      <c r="Z697" s="30"/>
    </row>
    <row r="698">
      <c r="A698" s="320"/>
      <c r="B698" s="142"/>
      <c r="C698" s="320"/>
      <c r="D698" s="142"/>
      <c r="E698" s="320"/>
      <c r="F698" s="142"/>
      <c r="G698" s="320"/>
      <c r="H698" s="142"/>
      <c r="I698" s="320"/>
      <c r="J698" s="142"/>
      <c r="K698" s="320"/>
      <c r="L698" s="142"/>
      <c r="M698" s="320"/>
      <c r="N698" s="142"/>
      <c r="O698" s="320"/>
      <c r="P698" s="142"/>
      <c r="Q698" s="195"/>
      <c r="R698" s="195"/>
      <c r="S698" s="320"/>
      <c r="T698" s="142"/>
      <c r="U698" s="30"/>
      <c r="V698" s="30"/>
      <c r="W698" s="30"/>
      <c r="X698" s="30"/>
      <c r="Y698" s="30"/>
      <c r="Z698" s="30"/>
    </row>
    <row r="699">
      <c r="A699" s="320"/>
      <c r="B699" s="142"/>
      <c r="C699" s="320"/>
      <c r="D699" s="142"/>
      <c r="E699" s="320"/>
      <c r="F699" s="142"/>
      <c r="G699" s="320"/>
      <c r="H699" s="142"/>
      <c r="I699" s="320"/>
      <c r="J699" s="142"/>
      <c r="K699" s="320"/>
      <c r="L699" s="142"/>
      <c r="M699" s="320"/>
      <c r="N699" s="142"/>
      <c r="O699" s="320"/>
      <c r="P699" s="142"/>
      <c r="Q699" s="195"/>
      <c r="R699" s="195"/>
      <c r="S699" s="320"/>
      <c r="T699" s="142"/>
      <c r="U699" s="30"/>
      <c r="V699" s="30"/>
      <c r="W699" s="30"/>
      <c r="X699" s="30"/>
      <c r="Y699" s="30"/>
      <c r="Z699" s="30"/>
    </row>
    <row r="700">
      <c r="A700" s="320"/>
      <c r="B700" s="142"/>
      <c r="C700" s="320"/>
      <c r="D700" s="142"/>
      <c r="E700" s="320"/>
      <c r="F700" s="142"/>
      <c r="G700" s="320"/>
      <c r="H700" s="142"/>
      <c r="I700" s="320"/>
      <c r="J700" s="142"/>
      <c r="K700" s="320"/>
      <c r="L700" s="142"/>
      <c r="M700" s="320"/>
      <c r="N700" s="142"/>
      <c r="O700" s="320"/>
      <c r="P700" s="142"/>
      <c r="Q700" s="195"/>
      <c r="R700" s="195"/>
      <c r="S700" s="320"/>
      <c r="T700" s="142"/>
      <c r="U700" s="30"/>
      <c r="V700" s="30"/>
      <c r="W700" s="30"/>
      <c r="X700" s="30"/>
      <c r="Y700" s="30"/>
      <c r="Z700" s="30"/>
    </row>
    <row r="701">
      <c r="A701" s="320"/>
      <c r="B701" s="142"/>
      <c r="C701" s="320"/>
      <c r="D701" s="142"/>
      <c r="E701" s="320"/>
      <c r="F701" s="142"/>
      <c r="G701" s="320"/>
      <c r="H701" s="142"/>
      <c r="I701" s="320"/>
      <c r="J701" s="142"/>
      <c r="K701" s="320"/>
      <c r="L701" s="142"/>
      <c r="M701" s="320"/>
      <c r="N701" s="142"/>
      <c r="O701" s="320"/>
      <c r="P701" s="142"/>
      <c r="Q701" s="195"/>
      <c r="R701" s="195"/>
      <c r="S701" s="320"/>
      <c r="T701" s="142"/>
      <c r="U701" s="30"/>
      <c r="V701" s="30"/>
      <c r="W701" s="30"/>
      <c r="X701" s="30"/>
      <c r="Y701" s="30"/>
      <c r="Z701" s="30"/>
    </row>
    <row r="702">
      <c r="A702" s="320"/>
      <c r="B702" s="142"/>
      <c r="C702" s="320"/>
      <c r="D702" s="142"/>
      <c r="E702" s="320"/>
      <c r="F702" s="142"/>
      <c r="G702" s="320"/>
      <c r="H702" s="142"/>
      <c r="I702" s="320"/>
      <c r="J702" s="142"/>
      <c r="K702" s="320"/>
      <c r="L702" s="142"/>
      <c r="M702" s="320"/>
      <c r="N702" s="142"/>
      <c r="O702" s="320"/>
      <c r="P702" s="142"/>
      <c r="Q702" s="195"/>
      <c r="R702" s="195"/>
      <c r="S702" s="320"/>
      <c r="T702" s="142"/>
      <c r="U702" s="30"/>
      <c r="V702" s="30"/>
      <c r="W702" s="30"/>
      <c r="X702" s="30"/>
      <c r="Y702" s="30"/>
      <c r="Z702" s="30"/>
    </row>
    <row r="703">
      <c r="A703" s="320"/>
      <c r="B703" s="142"/>
      <c r="C703" s="320"/>
      <c r="D703" s="142"/>
      <c r="E703" s="320"/>
      <c r="F703" s="142"/>
      <c r="G703" s="320"/>
      <c r="H703" s="142"/>
      <c r="I703" s="320"/>
      <c r="J703" s="142"/>
      <c r="K703" s="320"/>
      <c r="L703" s="142"/>
      <c r="M703" s="320"/>
      <c r="N703" s="142"/>
      <c r="O703" s="320"/>
      <c r="P703" s="142"/>
      <c r="Q703" s="195"/>
      <c r="R703" s="195"/>
      <c r="S703" s="320"/>
      <c r="T703" s="142"/>
      <c r="U703" s="30"/>
      <c r="V703" s="30"/>
      <c r="W703" s="30"/>
      <c r="X703" s="30"/>
      <c r="Y703" s="30"/>
      <c r="Z703" s="30"/>
    </row>
    <row r="704">
      <c r="A704" s="320"/>
      <c r="B704" s="142"/>
      <c r="C704" s="320"/>
      <c r="D704" s="142"/>
      <c r="E704" s="320"/>
      <c r="F704" s="142"/>
      <c r="G704" s="320"/>
      <c r="H704" s="142"/>
      <c r="I704" s="320"/>
      <c r="J704" s="142"/>
      <c r="K704" s="320"/>
      <c r="L704" s="142"/>
      <c r="M704" s="320"/>
      <c r="N704" s="142"/>
      <c r="O704" s="320"/>
      <c r="P704" s="142"/>
      <c r="Q704" s="195"/>
      <c r="R704" s="195"/>
      <c r="S704" s="320"/>
      <c r="T704" s="142"/>
      <c r="U704" s="30"/>
      <c r="V704" s="30"/>
      <c r="W704" s="30"/>
      <c r="X704" s="30"/>
      <c r="Y704" s="30"/>
      <c r="Z704" s="30"/>
    </row>
    <row r="705">
      <c r="A705" s="320"/>
      <c r="B705" s="142"/>
      <c r="C705" s="320"/>
      <c r="D705" s="142"/>
      <c r="E705" s="320"/>
      <c r="F705" s="142"/>
      <c r="G705" s="320"/>
      <c r="H705" s="142"/>
      <c r="I705" s="320"/>
      <c r="J705" s="142"/>
      <c r="K705" s="320"/>
      <c r="L705" s="142"/>
      <c r="M705" s="320"/>
      <c r="N705" s="142"/>
      <c r="O705" s="320"/>
      <c r="P705" s="142"/>
      <c r="Q705" s="195"/>
      <c r="R705" s="195"/>
      <c r="S705" s="320"/>
      <c r="T705" s="142"/>
      <c r="U705" s="30"/>
      <c r="V705" s="30"/>
      <c r="W705" s="30"/>
      <c r="X705" s="30"/>
      <c r="Y705" s="30"/>
      <c r="Z705" s="30"/>
    </row>
    <row r="706">
      <c r="A706" s="320"/>
      <c r="B706" s="142"/>
      <c r="C706" s="320"/>
      <c r="D706" s="142"/>
      <c r="E706" s="320"/>
      <c r="F706" s="142"/>
      <c r="G706" s="320"/>
      <c r="H706" s="142"/>
      <c r="I706" s="320"/>
      <c r="J706" s="142"/>
      <c r="K706" s="320"/>
      <c r="L706" s="142"/>
      <c r="M706" s="320"/>
      <c r="N706" s="142"/>
      <c r="O706" s="320"/>
      <c r="P706" s="142"/>
      <c r="Q706" s="195"/>
      <c r="R706" s="195"/>
      <c r="S706" s="320"/>
      <c r="T706" s="142"/>
      <c r="U706" s="30"/>
      <c r="V706" s="30"/>
      <c r="W706" s="30"/>
      <c r="X706" s="30"/>
      <c r="Y706" s="30"/>
      <c r="Z706" s="30"/>
    </row>
    <row r="707">
      <c r="A707" s="320"/>
      <c r="B707" s="142"/>
      <c r="C707" s="320"/>
      <c r="D707" s="142"/>
      <c r="E707" s="320"/>
      <c r="F707" s="142"/>
      <c r="G707" s="320"/>
      <c r="H707" s="142"/>
      <c r="I707" s="320"/>
      <c r="J707" s="142"/>
      <c r="K707" s="320"/>
      <c r="L707" s="142"/>
      <c r="M707" s="320"/>
      <c r="N707" s="142"/>
      <c r="O707" s="320"/>
      <c r="P707" s="142"/>
      <c r="Q707" s="195"/>
      <c r="R707" s="195"/>
      <c r="S707" s="320"/>
      <c r="T707" s="142"/>
      <c r="U707" s="30"/>
      <c r="V707" s="30"/>
      <c r="W707" s="30"/>
      <c r="X707" s="30"/>
      <c r="Y707" s="30"/>
      <c r="Z707" s="30"/>
    </row>
    <row r="708">
      <c r="A708" s="320"/>
      <c r="B708" s="142"/>
      <c r="C708" s="320"/>
      <c r="D708" s="142"/>
      <c r="E708" s="320"/>
      <c r="F708" s="142"/>
      <c r="G708" s="320"/>
      <c r="H708" s="142"/>
      <c r="I708" s="320"/>
      <c r="J708" s="142"/>
      <c r="K708" s="320"/>
      <c r="L708" s="142"/>
      <c r="M708" s="320"/>
      <c r="N708" s="142"/>
      <c r="O708" s="320"/>
      <c r="P708" s="142"/>
      <c r="Q708" s="195"/>
      <c r="R708" s="195"/>
      <c r="S708" s="320"/>
      <c r="T708" s="142"/>
      <c r="U708" s="30"/>
      <c r="V708" s="30"/>
      <c r="W708" s="30"/>
      <c r="X708" s="30"/>
      <c r="Y708" s="30"/>
      <c r="Z708" s="30"/>
    </row>
    <row r="709">
      <c r="A709" s="320"/>
      <c r="B709" s="142"/>
      <c r="C709" s="320"/>
      <c r="D709" s="142"/>
      <c r="E709" s="320"/>
      <c r="F709" s="142"/>
      <c r="G709" s="320"/>
      <c r="H709" s="142"/>
      <c r="I709" s="320"/>
      <c r="J709" s="142"/>
      <c r="K709" s="320"/>
      <c r="L709" s="142"/>
      <c r="M709" s="320"/>
      <c r="N709" s="142"/>
      <c r="O709" s="320"/>
      <c r="P709" s="142"/>
      <c r="Q709" s="195"/>
      <c r="R709" s="195"/>
      <c r="S709" s="320"/>
      <c r="T709" s="142"/>
      <c r="U709" s="30"/>
      <c r="V709" s="30"/>
      <c r="W709" s="30"/>
      <c r="X709" s="30"/>
      <c r="Y709" s="30"/>
      <c r="Z709" s="30"/>
    </row>
    <row r="710">
      <c r="A710" s="320"/>
      <c r="B710" s="142"/>
      <c r="C710" s="320"/>
      <c r="D710" s="142"/>
      <c r="E710" s="320"/>
      <c r="F710" s="142"/>
      <c r="G710" s="320"/>
      <c r="H710" s="142"/>
      <c r="I710" s="320"/>
      <c r="J710" s="142"/>
      <c r="K710" s="320"/>
      <c r="L710" s="142"/>
      <c r="M710" s="320"/>
      <c r="N710" s="142"/>
      <c r="O710" s="320"/>
      <c r="P710" s="142"/>
      <c r="Q710" s="195"/>
      <c r="R710" s="195"/>
      <c r="S710" s="320"/>
      <c r="T710" s="142"/>
      <c r="U710" s="30"/>
      <c r="V710" s="30"/>
      <c r="W710" s="30"/>
      <c r="X710" s="30"/>
      <c r="Y710" s="30"/>
      <c r="Z710" s="30"/>
    </row>
    <row r="711">
      <c r="A711" s="320"/>
      <c r="B711" s="142"/>
      <c r="C711" s="320"/>
      <c r="D711" s="142"/>
      <c r="E711" s="320"/>
      <c r="F711" s="142"/>
      <c r="G711" s="320"/>
      <c r="H711" s="142"/>
      <c r="I711" s="320"/>
      <c r="J711" s="142"/>
      <c r="K711" s="320"/>
      <c r="L711" s="142"/>
      <c r="M711" s="320"/>
      <c r="N711" s="142"/>
      <c r="O711" s="320"/>
      <c r="P711" s="142"/>
      <c r="Q711" s="195"/>
      <c r="R711" s="195"/>
      <c r="S711" s="320"/>
      <c r="T711" s="142"/>
      <c r="U711" s="30"/>
      <c r="V711" s="30"/>
      <c r="W711" s="30"/>
      <c r="X711" s="30"/>
      <c r="Y711" s="30"/>
      <c r="Z711" s="30"/>
    </row>
    <row r="712">
      <c r="A712" s="320"/>
      <c r="B712" s="142"/>
      <c r="C712" s="320"/>
      <c r="D712" s="142"/>
      <c r="E712" s="320"/>
      <c r="F712" s="142"/>
      <c r="G712" s="320"/>
      <c r="H712" s="142"/>
      <c r="I712" s="320"/>
      <c r="J712" s="142"/>
      <c r="K712" s="320"/>
      <c r="L712" s="142"/>
      <c r="M712" s="320"/>
      <c r="N712" s="142"/>
      <c r="O712" s="320"/>
      <c r="P712" s="142"/>
      <c r="Q712" s="195"/>
      <c r="R712" s="195"/>
      <c r="S712" s="320"/>
      <c r="T712" s="142"/>
      <c r="U712" s="30"/>
      <c r="V712" s="30"/>
      <c r="W712" s="30"/>
      <c r="X712" s="30"/>
      <c r="Y712" s="30"/>
      <c r="Z712" s="30"/>
    </row>
    <row r="713">
      <c r="A713" s="320"/>
      <c r="B713" s="142"/>
      <c r="C713" s="320"/>
      <c r="D713" s="142"/>
      <c r="E713" s="320"/>
      <c r="F713" s="142"/>
      <c r="G713" s="320"/>
      <c r="H713" s="142"/>
      <c r="I713" s="320"/>
      <c r="J713" s="142"/>
      <c r="K713" s="320"/>
      <c r="L713" s="142"/>
      <c r="M713" s="320"/>
      <c r="N713" s="142"/>
      <c r="O713" s="320"/>
      <c r="P713" s="142"/>
      <c r="Q713" s="195"/>
      <c r="R713" s="195"/>
      <c r="S713" s="320"/>
      <c r="T713" s="142"/>
      <c r="U713" s="30"/>
      <c r="V713" s="30"/>
      <c r="W713" s="30"/>
      <c r="X713" s="30"/>
      <c r="Y713" s="30"/>
      <c r="Z713" s="30"/>
    </row>
    <row r="714">
      <c r="A714" s="320"/>
      <c r="B714" s="142"/>
      <c r="C714" s="320"/>
      <c r="D714" s="142"/>
      <c r="E714" s="320"/>
      <c r="F714" s="142"/>
      <c r="G714" s="320"/>
      <c r="H714" s="142"/>
      <c r="I714" s="320"/>
      <c r="J714" s="142"/>
      <c r="K714" s="320"/>
      <c r="L714" s="142"/>
      <c r="M714" s="320"/>
      <c r="N714" s="142"/>
      <c r="O714" s="320"/>
      <c r="P714" s="142"/>
      <c r="Q714" s="195"/>
      <c r="R714" s="195"/>
      <c r="S714" s="320"/>
      <c r="T714" s="142"/>
      <c r="U714" s="30"/>
      <c r="V714" s="30"/>
      <c r="W714" s="30"/>
      <c r="X714" s="30"/>
      <c r="Y714" s="30"/>
      <c r="Z714" s="30"/>
    </row>
    <row r="715">
      <c r="A715" s="320"/>
      <c r="B715" s="142"/>
      <c r="C715" s="320"/>
      <c r="D715" s="142"/>
      <c r="E715" s="320"/>
      <c r="F715" s="142"/>
      <c r="G715" s="320"/>
      <c r="H715" s="142"/>
      <c r="I715" s="320"/>
      <c r="J715" s="142"/>
      <c r="K715" s="320"/>
      <c r="L715" s="142"/>
      <c r="M715" s="320"/>
      <c r="N715" s="142"/>
      <c r="O715" s="320"/>
      <c r="P715" s="142"/>
      <c r="Q715" s="195"/>
      <c r="R715" s="195"/>
      <c r="S715" s="320"/>
      <c r="T715" s="142"/>
      <c r="U715" s="30"/>
      <c r="V715" s="30"/>
      <c r="W715" s="30"/>
      <c r="X715" s="30"/>
      <c r="Y715" s="30"/>
      <c r="Z715" s="30"/>
    </row>
    <row r="716">
      <c r="A716" s="320"/>
      <c r="B716" s="142"/>
      <c r="C716" s="320"/>
      <c r="D716" s="142"/>
      <c r="E716" s="320"/>
      <c r="F716" s="142"/>
      <c r="G716" s="320"/>
      <c r="H716" s="142"/>
      <c r="I716" s="320"/>
      <c r="J716" s="142"/>
      <c r="K716" s="320"/>
      <c r="L716" s="142"/>
      <c r="M716" s="320"/>
      <c r="N716" s="142"/>
      <c r="O716" s="320"/>
      <c r="P716" s="142"/>
      <c r="Q716" s="195"/>
      <c r="R716" s="195"/>
      <c r="S716" s="320"/>
      <c r="T716" s="142"/>
      <c r="U716" s="30"/>
      <c r="V716" s="30"/>
      <c r="W716" s="30"/>
      <c r="X716" s="30"/>
      <c r="Y716" s="30"/>
      <c r="Z716" s="30"/>
    </row>
    <row r="717">
      <c r="A717" s="320"/>
      <c r="B717" s="142"/>
      <c r="C717" s="320"/>
      <c r="D717" s="142"/>
      <c r="E717" s="320"/>
      <c r="F717" s="142"/>
      <c r="G717" s="320"/>
      <c r="H717" s="142"/>
      <c r="I717" s="320"/>
      <c r="J717" s="142"/>
      <c r="K717" s="320"/>
      <c r="L717" s="142"/>
      <c r="M717" s="320"/>
      <c r="N717" s="142"/>
      <c r="O717" s="320"/>
      <c r="P717" s="142"/>
      <c r="Q717" s="195"/>
      <c r="R717" s="195"/>
      <c r="S717" s="320"/>
      <c r="T717" s="142"/>
      <c r="U717" s="30"/>
      <c r="V717" s="30"/>
      <c r="W717" s="30"/>
      <c r="X717" s="30"/>
      <c r="Y717" s="30"/>
      <c r="Z717" s="30"/>
    </row>
    <row r="718">
      <c r="A718" s="320"/>
      <c r="B718" s="142"/>
      <c r="C718" s="320"/>
      <c r="D718" s="142"/>
      <c r="E718" s="320"/>
      <c r="F718" s="142"/>
      <c r="G718" s="320"/>
      <c r="H718" s="142"/>
      <c r="I718" s="320"/>
      <c r="J718" s="142"/>
      <c r="K718" s="320"/>
      <c r="L718" s="142"/>
      <c r="M718" s="320"/>
      <c r="N718" s="142"/>
      <c r="O718" s="320"/>
      <c r="P718" s="142"/>
      <c r="Q718" s="195"/>
      <c r="R718" s="195"/>
      <c r="S718" s="320"/>
      <c r="T718" s="142"/>
      <c r="U718" s="30"/>
      <c r="V718" s="30"/>
      <c r="W718" s="30"/>
      <c r="X718" s="30"/>
      <c r="Y718" s="30"/>
      <c r="Z718" s="30"/>
    </row>
    <row r="719">
      <c r="A719" s="320"/>
      <c r="B719" s="142"/>
      <c r="C719" s="320"/>
      <c r="D719" s="142"/>
      <c r="E719" s="320"/>
      <c r="F719" s="142"/>
      <c r="G719" s="320"/>
      <c r="H719" s="142"/>
      <c r="I719" s="320"/>
      <c r="J719" s="142"/>
      <c r="K719" s="320"/>
      <c r="L719" s="142"/>
      <c r="M719" s="320"/>
      <c r="N719" s="142"/>
      <c r="O719" s="320"/>
      <c r="P719" s="142"/>
      <c r="Q719" s="195"/>
      <c r="R719" s="195"/>
      <c r="S719" s="320"/>
      <c r="T719" s="142"/>
      <c r="U719" s="30"/>
      <c r="V719" s="30"/>
      <c r="W719" s="30"/>
      <c r="X719" s="30"/>
      <c r="Y719" s="30"/>
      <c r="Z719" s="30"/>
    </row>
    <row r="720">
      <c r="A720" s="320"/>
      <c r="B720" s="142"/>
      <c r="C720" s="320"/>
      <c r="D720" s="142"/>
      <c r="E720" s="320"/>
      <c r="F720" s="142"/>
      <c r="G720" s="320"/>
      <c r="H720" s="142"/>
      <c r="I720" s="320"/>
      <c r="J720" s="142"/>
      <c r="K720" s="320"/>
      <c r="L720" s="142"/>
      <c r="M720" s="320"/>
      <c r="N720" s="142"/>
      <c r="O720" s="320"/>
      <c r="P720" s="142"/>
      <c r="Q720" s="195"/>
      <c r="R720" s="195"/>
      <c r="S720" s="320"/>
      <c r="T720" s="142"/>
      <c r="U720" s="30"/>
      <c r="V720" s="30"/>
      <c r="W720" s="30"/>
      <c r="X720" s="30"/>
      <c r="Y720" s="30"/>
      <c r="Z720" s="30"/>
    </row>
    <row r="721">
      <c r="A721" s="320"/>
      <c r="B721" s="142"/>
      <c r="C721" s="320"/>
      <c r="D721" s="142"/>
      <c r="E721" s="320"/>
      <c r="F721" s="142"/>
      <c r="G721" s="320"/>
      <c r="H721" s="142"/>
      <c r="I721" s="320"/>
      <c r="J721" s="142"/>
      <c r="K721" s="320"/>
      <c r="L721" s="142"/>
      <c r="M721" s="320"/>
      <c r="N721" s="142"/>
      <c r="O721" s="320"/>
      <c r="P721" s="142"/>
      <c r="Q721" s="195"/>
      <c r="R721" s="195"/>
      <c r="S721" s="320"/>
      <c r="T721" s="142"/>
      <c r="U721" s="30"/>
      <c r="V721" s="30"/>
      <c r="W721" s="30"/>
      <c r="X721" s="30"/>
      <c r="Y721" s="30"/>
      <c r="Z721" s="30"/>
    </row>
    <row r="722">
      <c r="A722" s="320"/>
      <c r="B722" s="142"/>
      <c r="C722" s="320"/>
      <c r="D722" s="142"/>
      <c r="E722" s="320"/>
      <c r="F722" s="142"/>
      <c r="G722" s="320"/>
      <c r="H722" s="142"/>
      <c r="I722" s="320"/>
      <c r="J722" s="142"/>
      <c r="K722" s="320"/>
      <c r="L722" s="142"/>
      <c r="M722" s="320"/>
      <c r="N722" s="142"/>
      <c r="O722" s="320"/>
      <c r="P722" s="142"/>
      <c r="Q722" s="195"/>
      <c r="R722" s="195"/>
      <c r="S722" s="320"/>
      <c r="T722" s="142"/>
      <c r="U722" s="30"/>
      <c r="V722" s="30"/>
      <c r="W722" s="30"/>
      <c r="X722" s="30"/>
      <c r="Y722" s="30"/>
      <c r="Z722" s="30"/>
    </row>
    <row r="723">
      <c r="A723" s="320"/>
      <c r="B723" s="142"/>
      <c r="C723" s="320"/>
      <c r="D723" s="142"/>
      <c r="E723" s="320"/>
      <c r="F723" s="142"/>
      <c r="G723" s="320"/>
      <c r="H723" s="142"/>
      <c r="I723" s="320"/>
      <c r="J723" s="142"/>
      <c r="K723" s="320"/>
      <c r="L723" s="142"/>
      <c r="M723" s="320"/>
      <c r="N723" s="142"/>
      <c r="O723" s="320"/>
      <c r="P723" s="142"/>
      <c r="Q723" s="195"/>
      <c r="R723" s="195"/>
      <c r="S723" s="320"/>
      <c r="T723" s="142"/>
      <c r="U723" s="30"/>
      <c r="V723" s="30"/>
      <c r="W723" s="30"/>
      <c r="X723" s="30"/>
      <c r="Y723" s="30"/>
      <c r="Z723" s="30"/>
    </row>
    <row r="724">
      <c r="A724" s="320"/>
      <c r="B724" s="142"/>
      <c r="C724" s="320"/>
      <c r="D724" s="142"/>
      <c r="E724" s="320"/>
      <c r="F724" s="142"/>
      <c r="G724" s="320"/>
      <c r="H724" s="142"/>
      <c r="I724" s="320"/>
      <c r="J724" s="142"/>
      <c r="K724" s="320"/>
      <c r="L724" s="142"/>
      <c r="M724" s="320"/>
      <c r="N724" s="142"/>
      <c r="O724" s="320"/>
      <c r="P724" s="142"/>
      <c r="Q724" s="195"/>
      <c r="R724" s="195"/>
      <c r="S724" s="320"/>
      <c r="T724" s="142"/>
      <c r="U724" s="30"/>
      <c r="V724" s="30"/>
      <c r="W724" s="30"/>
      <c r="X724" s="30"/>
      <c r="Y724" s="30"/>
      <c r="Z724" s="30"/>
    </row>
    <row r="725">
      <c r="A725" s="320"/>
      <c r="B725" s="142"/>
      <c r="C725" s="320"/>
      <c r="D725" s="142"/>
      <c r="E725" s="320"/>
      <c r="F725" s="142"/>
      <c r="G725" s="320"/>
      <c r="H725" s="142"/>
      <c r="I725" s="320"/>
      <c r="J725" s="142"/>
      <c r="K725" s="320"/>
      <c r="L725" s="142"/>
      <c r="M725" s="320"/>
      <c r="N725" s="142"/>
      <c r="O725" s="320"/>
      <c r="P725" s="142"/>
      <c r="Q725" s="195"/>
      <c r="R725" s="195"/>
      <c r="S725" s="320"/>
      <c r="T725" s="142"/>
      <c r="U725" s="30"/>
      <c r="V725" s="30"/>
      <c r="W725" s="30"/>
      <c r="X725" s="30"/>
      <c r="Y725" s="30"/>
      <c r="Z725" s="30"/>
    </row>
    <row r="726">
      <c r="A726" s="320"/>
      <c r="B726" s="142"/>
      <c r="C726" s="320"/>
      <c r="D726" s="142"/>
      <c r="E726" s="320"/>
      <c r="F726" s="142"/>
      <c r="G726" s="320"/>
      <c r="H726" s="142"/>
      <c r="I726" s="320"/>
      <c r="J726" s="142"/>
      <c r="K726" s="320"/>
      <c r="L726" s="142"/>
      <c r="M726" s="320"/>
      <c r="N726" s="142"/>
      <c r="O726" s="320"/>
      <c r="P726" s="142"/>
      <c r="Q726" s="195"/>
      <c r="R726" s="195"/>
      <c r="S726" s="320"/>
      <c r="T726" s="142"/>
      <c r="U726" s="30"/>
      <c r="V726" s="30"/>
      <c r="W726" s="30"/>
      <c r="X726" s="30"/>
      <c r="Y726" s="30"/>
      <c r="Z726" s="30"/>
    </row>
    <row r="727">
      <c r="A727" s="320"/>
      <c r="B727" s="142"/>
      <c r="C727" s="320"/>
      <c r="D727" s="142"/>
      <c r="E727" s="320"/>
      <c r="F727" s="142"/>
      <c r="G727" s="320"/>
      <c r="H727" s="142"/>
      <c r="I727" s="320"/>
      <c r="J727" s="142"/>
      <c r="K727" s="320"/>
      <c r="L727" s="142"/>
      <c r="M727" s="320"/>
      <c r="N727" s="142"/>
      <c r="O727" s="320"/>
      <c r="P727" s="142"/>
      <c r="Q727" s="195"/>
      <c r="R727" s="195"/>
      <c r="S727" s="320"/>
      <c r="T727" s="142"/>
      <c r="U727" s="30"/>
      <c r="V727" s="30"/>
      <c r="W727" s="30"/>
      <c r="X727" s="30"/>
      <c r="Y727" s="30"/>
      <c r="Z727" s="30"/>
    </row>
    <row r="728">
      <c r="A728" s="320"/>
      <c r="B728" s="142"/>
      <c r="C728" s="320"/>
      <c r="D728" s="142"/>
      <c r="E728" s="320"/>
      <c r="F728" s="142"/>
      <c r="G728" s="320"/>
      <c r="H728" s="142"/>
      <c r="I728" s="320"/>
      <c r="J728" s="142"/>
      <c r="K728" s="320"/>
      <c r="L728" s="142"/>
      <c r="M728" s="320"/>
      <c r="N728" s="142"/>
      <c r="O728" s="320"/>
      <c r="P728" s="142"/>
      <c r="Q728" s="195"/>
      <c r="R728" s="195"/>
      <c r="S728" s="320"/>
      <c r="T728" s="142"/>
      <c r="U728" s="30"/>
      <c r="V728" s="30"/>
      <c r="W728" s="30"/>
      <c r="X728" s="30"/>
      <c r="Y728" s="30"/>
      <c r="Z728" s="30"/>
    </row>
    <row r="729">
      <c r="A729" s="320"/>
      <c r="B729" s="142"/>
      <c r="C729" s="320"/>
      <c r="D729" s="142"/>
      <c r="E729" s="320"/>
      <c r="F729" s="142"/>
      <c r="G729" s="320"/>
      <c r="H729" s="142"/>
      <c r="I729" s="320"/>
      <c r="J729" s="142"/>
      <c r="K729" s="320"/>
      <c r="L729" s="142"/>
      <c r="M729" s="320"/>
      <c r="N729" s="142"/>
      <c r="O729" s="320"/>
      <c r="P729" s="142"/>
      <c r="Q729" s="195"/>
      <c r="R729" s="195"/>
      <c r="S729" s="320"/>
      <c r="T729" s="142"/>
      <c r="U729" s="30"/>
      <c r="V729" s="30"/>
      <c r="W729" s="30"/>
      <c r="X729" s="30"/>
      <c r="Y729" s="30"/>
      <c r="Z729" s="30"/>
    </row>
    <row r="730">
      <c r="A730" s="320"/>
      <c r="B730" s="142"/>
      <c r="C730" s="320"/>
      <c r="D730" s="142"/>
      <c r="E730" s="320"/>
      <c r="F730" s="142"/>
      <c r="G730" s="320"/>
      <c r="H730" s="142"/>
      <c r="I730" s="320"/>
      <c r="J730" s="142"/>
      <c r="K730" s="320"/>
      <c r="L730" s="142"/>
      <c r="M730" s="320"/>
      <c r="N730" s="142"/>
      <c r="O730" s="320"/>
      <c r="P730" s="142"/>
      <c r="Q730" s="195"/>
      <c r="R730" s="195"/>
      <c r="S730" s="320"/>
      <c r="T730" s="142"/>
      <c r="U730" s="30"/>
      <c r="V730" s="30"/>
      <c r="W730" s="30"/>
      <c r="X730" s="30"/>
      <c r="Y730" s="30"/>
      <c r="Z730" s="30"/>
    </row>
    <row r="731">
      <c r="A731" s="320"/>
      <c r="B731" s="142"/>
      <c r="C731" s="320"/>
      <c r="D731" s="142"/>
      <c r="E731" s="320"/>
      <c r="F731" s="142"/>
      <c r="G731" s="320"/>
      <c r="H731" s="142"/>
      <c r="I731" s="320"/>
      <c r="J731" s="142"/>
      <c r="K731" s="320"/>
      <c r="L731" s="142"/>
      <c r="M731" s="320"/>
      <c r="N731" s="142"/>
      <c r="O731" s="320"/>
      <c r="P731" s="142"/>
      <c r="Q731" s="195"/>
      <c r="R731" s="195"/>
      <c r="S731" s="320"/>
      <c r="T731" s="142"/>
      <c r="U731" s="30"/>
      <c r="V731" s="30"/>
      <c r="W731" s="30"/>
      <c r="X731" s="30"/>
      <c r="Y731" s="30"/>
      <c r="Z731" s="30"/>
    </row>
    <row r="732">
      <c r="A732" s="320"/>
      <c r="B732" s="142"/>
      <c r="C732" s="320"/>
      <c r="D732" s="142"/>
      <c r="E732" s="320"/>
      <c r="F732" s="142"/>
      <c r="G732" s="320"/>
      <c r="H732" s="142"/>
      <c r="I732" s="320"/>
      <c r="J732" s="142"/>
      <c r="K732" s="320"/>
      <c r="L732" s="142"/>
      <c r="M732" s="320"/>
      <c r="N732" s="142"/>
      <c r="O732" s="320"/>
      <c r="P732" s="142"/>
      <c r="Q732" s="195"/>
      <c r="R732" s="195"/>
      <c r="S732" s="320"/>
      <c r="T732" s="142"/>
      <c r="U732" s="30"/>
      <c r="V732" s="30"/>
      <c r="W732" s="30"/>
      <c r="X732" s="30"/>
      <c r="Y732" s="30"/>
      <c r="Z732" s="30"/>
    </row>
    <row r="733">
      <c r="A733" s="320"/>
      <c r="B733" s="142"/>
      <c r="C733" s="320"/>
      <c r="D733" s="142"/>
      <c r="E733" s="320"/>
      <c r="F733" s="142"/>
      <c r="G733" s="320"/>
      <c r="H733" s="142"/>
      <c r="I733" s="320"/>
      <c r="J733" s="142"/>
      <c r="K733" s="320"/>
      <c r="L733" s="142"/>
      <c r="M733" s="320"/>
      <c r="N733" s="142"/>
      <c r="O733" s="320"/>
      <c r="P733" s="142"/>
      <c r="Q733" s="195"/>
      <c r="R733" s="195"/>
      <c r="S733" s="320"/>
      <c r="T733" s="142"/>
      <c r="U733" s="30"/>
      <c r="V733" s="30"/>
      <c r="W733" s="30"/>
      <c r="X733" s="30"/>
      <c r="Y733" s="30"/>
      <c r="Z733" s="30"/>
    </row>
    <row r="734">
      <c r="A734" s="320"/>
      <c r="B734" s="142"/>
      <c r="C734" s="320"/>
      <c r="D734" s="142"/>
      <c r="E734" s="320"/>
      <c r="F734" s="142"/>
      <c r="G734" s="320"/>
      <c r="H734" s="142"/>
      <c r="I734" s="320"/>
      <c r="J734" s="142"/>
      <c r="K734" s="320"/>
      <c r="L734" s="142"/>
      <c r="M734" s="320"/>
      <c r="N734" s="142"/>
      <c r="O734" s="320"/>
      <c r="P734" s="142"/>
      <c r="Q734" s="195"/>
      <c r="R734" s="195"/>
      <c r="S734" s="320"/>
      <c r="T734" s="142"/>
      <c r="U734" s="30"/>
      <c r="V734" s="30"/>
      <c r="W734" s="30"/>
      <c r="X734" s="30"/>
      <c r="Y734" s="30"/>
      <c r="Z734" s="30"/>
    </row>
    <row r="735">
      <c r="A735" s="320"/>
      <c r="B735" s="142"/>
      <c r="C735" s="320"/>
      <c r="D735" s="142"/>
      <c r="E735" s="320"/>
      <c r="F735" s="142"/>
      <c r="G735" s="320"/>
      <c r="H735" s="142"/>
      <c r="I735" s="320"/>
      <c r="J735" s="142"/>
      <c r="K735" s="320"/>
      <c r="L735" s="142"/>
      <c r="M735" s="320"/>
      <c r="N735" s="142"/>
      <c r="O735" s="320"/>
      <c r="P735" s="142"/>
      <c r="Q735" s="195"/>
      <c r="R735" s="195"/>
      <c r="S735" s="320"/>
      <c r="T735" s="142"/>
      <c r="U735" s="30"/>
      <c r="V735" s="30"/>
      <c r="W735" s="30"/>
      <c r="X735" s="30"/>
      <c r="Y735" s="30"/>
      <c r="Z735" s="30"/>
    </row>
    <row r="736">
      <c r="A736" s="320"/>
      <c r="B736" s="142"/>
      <c r="C736" s="320"/>
      <c r="D736" s="142"/>
      <c r="E736" s="320"/>
      <c r="F736" s="142"/>
      <c r="G736" s="320"/>
      <c r="H736" s="142"/>
      <c r="I736" s="320"/>
      <c r="J736" s="142"/>
      <c r="K736" s="320"/>
      <c r="L736" s="142"/>
      <c r="M736" s="320"/>
      <c r="N736" s="142"/>
      <c r="O736" s="320"/>
      <c r="P736" s="142"/>
      <c r="Q736" s="195"/>
      <c r="R736" s="195"/>
      <c r="S736" s="320"/>
      <c r="T736" s="142"/>
      <c r="U736" s="30"/>
      <c r="V736" s="30"/>
      <c r="W736" s="30"/>
      <c r="X736" s="30"/>
      <c r="Y736" s="30"/>
      <c r="Z736" s="30"/>
    </row>
    <row r="737">
      <c r="A737" s="320"/>
      <c r="B737" s="142"/>
      <c r="C737" s="320"/>
      <c r="D737" s="142"/>
      <c r="E737" s="320"/>
      <c r="F737" s="142"/>
      <c r="G737" s="320"/>
      <c r="H737" s="142"/>
      <c r="I737" s="320"/>
      <c r="J737" s="142"/>
      <c r="K737" s="320"/>
      <c r="L737" s="142"/>
      <c r="M737" s="320"/>
      <c r="N737" s="142"/>
      <c r="O737" s="320"/>
      <c r="P737" s="142"/>
      <c r="Q737" s="195"/>
      <c r="R737" s="195"/>
      <c r="S737" s="320"/>
      <c r="T737" s="142"/>
      <c r="U737" s="30"/>
      <c r="V737" s="30"/>
      <c r="W737" s="30"/>
      <c r="X737" s="30"/>
      <c r="Y737" s="30"/>
      <c r="Z737" s="30"/>
    </row>
    <row r="738">
      <c r="A738" s="320"/>
      <c r="B738" s="142"/>
      <c r="C738" s="320"/>
      <c r="D738" s="142"/>
      <c r="E738" s="320"/>
      <c r="F738" s="142"/>
      <c r="G738" s="320"/>
      <c r="H738" s="142"/>
      <c r="I738" s="320"/>
      <c r="J738" s="142"/>
      <c r="K738" s="320"/>
      <c r="L738" s="142"/>
      <c r="M738" s="320"/>
      <c r="N738" s="142"/>
      <c r="O738" s="320"/>
      <c r="P738" s="142"/>
      <c r="Q738" s="195"/>
      <c r="R738" s="195"/>
      <c r="S738" s="320"/>
      <c r="T738" s="142"/>
      <c r="U738" s="30"/>
      <c r="V738" s="30"/>
      <c r="W738" s="30"/>
      <c r="X738" s="30"/>
      <c r="Y738" s="30"/>
      <c r="Z738" s="30"/>
    </row>
    <row r="739">
      <c r="A739" s="320"/>
      <c r="B739" s="142"/>
      <c r="C739" s="320"/>
      <c r="D739" s="142"/>
      <c r="E739" s="320"/>
      <c r="F739" s="142"/>
      <c r="G739" s="320"/>
      <c r="H739" s="142"/>
      <c r="I739" s="320"/>
      <c r="J739" s="142"/>
      <c r="K739" s="320"/>
      <c r="L739" s="142"/>
      <c r="M739" s="320"/>
      <c r="N739" s="142"/>
      <c r="O739" s="320"/>
      <c r="P739" s="142"/>
      <c r="Q739" s="195"/>
      <c r="R739" s="195"/>
      <c r="S739" s="320"/>
      <c r="T739" s="142"/>
      <c r="U739" s="30"/>
      <c r="V739" s="30"/>
      <c r="W739" s="30"/>
      <c r="X739" s="30"/>
      <c r="Y739" s="30"/>
      <c r="Z739" s="30"/>
    </row>
    <row r="740">
      <c r="A740" s="320"/>
      <c r="B740" s="142"/>
      <c r="C740" s="320"/>
      <c r="D740" s="142"/>
      <c r="E740" s="320"/>
      <c r="F740" s="142"/>
      <c r="G740" s="320"/>
      <c r="H740" s="142"/>
      <c r="I740" s="320"/>
      <c r="J740" s="142"/>
      <c r="K740" s="320"/>
      <c r="L740" s="142"/>
      <c r="M740" s="320"/>
      <c r="N740" s="142"/>
      <c r="O740" s="320"/>
      <c r="P740" s="142"/>
      <c r="Q740" s="195"/>
      <c r="R740" s="195"/>
      <c r="S740" s="320"/>
      <c r="T740" s="142"/>
      <c r="U740" s="30"/>
      <c r="V740" s="30"/>
      <c r="W740" s="30"/>
      <c r="X740" s="30"/>
      <c r="Y740" s="30"/>
      <c r="Z740" s="30"/>
    </row>
    <row r="741">
      <c r="A741" s="320"/>
      <c r="B741" s="142"/>
      <c r="C741" s="320"/>
      <c r="D741" s="142"/>
      <c r="E741" s="320"/>
      <c r="F741" s="142"/>
      <c r="G741" s="320"/>
      <c r="H741" s="142"/>
      <c r="I741" s="320"/>
      <c r="J741" s="142"/>
      <c r="K741" s="320"/>
      <c r="L741" s="142"/>
      <c r="M741" s="320"/>
      <c r="N741" s="142"/>
      <c r="O741" s="320"/>
      <c r="P741" s="142"/>
      <c r="Q741" s="195"/>
      <c r="R741" s="195"/>
      <c r="S741" s="320"/>
      <c r="T741" s="142"/>
      <c r="U741" s="30"/>
      <c r="V741" s="30"/>
      <c r="W741" s="30"/>
      <c r="X741" s="30"/>
      <c r="Y741" s="30"/>
      <c r="Z741" s="30"/>
    </row>
    <row r="742">
      <c r="A742" s="320"/>
      <c r="B742" s="142"/>
      <c r="C742" s="320"/>
      <c r="D742" s="142"/>
      <c r="E742" s="320"/>
      <c r="F742" s="142"/>
      <c r="G742" s="320"/>
      <c r="H742" s="142"/>
      <c r="I742" s="320"/>
      <c r="J742" s="142"/>
      <c r="K742" s="320"/>
      <c r="L742" s="142"/>
      <c r="M742" s="320"/>
      <c r="N742" s="142"/>
      <c r="O742" s="320"/>
      <c r="P742" s="142"/>
      <c r="Q742" s="195"/>
      <c r="R742" s="195"/>
      <c r="S742" s="320"/>
      <c r="T742" s="142"/>
      <c r="U742" s="30"/>
      <c r="V742" s="30"/>
      <c r="W742" s="30"/>
      <c r="X742" s="30"/>
      <c r="Y742" s="30"/>
      <c r="Z742" s="30"/>
    </row>
    <row r="743">
      <c r="A743" s="320"/>
      <c r="B743" s="142"/>
      <c r="C743" s="320"/>
      <c r="D743" s="142"/>
      <c r="E743" s="320"/>
      <c r="F743" s="142"/>
      <c r="G743" s="320"/>
      <c r="H743" s="142"/>
      <c r="I743" s="320"/>
      <c r="J743" s="142"/>
      <c r="K743" s="320"/>
      <c r="L743" s="142"/>
      <c r="M743" s="320"/>
      <c r="N743" s="142"/>
      <c r="O743" s="320"/>
      <c r="P743" s="142"/>
      <c r="Q743" s="195"/>
      <c r="R743" s="195"/>
      <c r="S743" s="320"/>
      <c r="T743" s="142"/>
      <c r="U743" s="30"/>
      <c r="V743" s="30"/>
      <c r="W743" s="30"/>
      <c r="X743" s="30"/>
      <c r="Y743" s="30"/>
      <c r="Z743" s="30"/>
    </row>
    <row r="744">
      <c r="A744" s="320"/>
      <c r="B744" s="142"/>
      <c r="C744" s="320"/>
      <c r="D744" s="142"/>
      <c r="E744" s="320"/>
      <c r="F744" s="142"/>
      <c r="G744" s="320"/>
      <c r="H744" s="142"/>
      <c r="I744" s="320"/>
      <c r="J744" s="142"/>
      <c r="K744" s="320"/>
      <c r="L744" s="142"/>
      <c r="M744" s="320"/>
      <c r="N744" s="142"/>
      <c r="O744" s="320"/>
      <c r="P744" s="142"/>
      <c r="Q744" s="195"/>
      <c r="R744" s="195"/>
      <c r="S744" s="320"/>
      <c r="T744" s="142"/>
      <c r="U744" s="30"/>
      <c r="V744" s="30"/>
      <c r="W744" s="30"/>
      <c r="X744" s="30"/>
      <c r="Y744" s="30"/>
      <c r="Z744" s="30"/>
    </row>
    <row r="745">
      <c r="A745" s="320"/>
      <c r="B745" s="142"/>
      <c r="C745" s="320"/>
      <c r="D745" s="142"/>
      <c r="E745" s="320"/>
      <c r="F745" s="142"/>
      <c r="G745" s="320"/>
      <c r="H745" s="142"/>
      <c r="I745" s="320"/>
      <c r="J745" s="142"/>
      <c r="K745" s="320"/>
      <c r="L745" s="142"/>
      <c r="M745" s="320"/>
      <c r="N745" s="142"/>
      <c r="O745" s="320"/>
      <c r="P745" s="142"/>
      <c r="Q745" s="195"/>
      <c r="R745" s="195"/>
      <c r="S745" s="320"/>
      <c r="T745" s="142"/>
      <c r="U745" s="30"/>
      <c r="V745" s="30"/>
      <c r="W745" s="30"/>
      <c r="X745" s="30"/>
      <c r="Y745" s="30"/>
      <c r="Z745" s="30"/>
    </row>
    <row r="746">
      <c r="A746" s="320"/>
      <c r="B746" s="142"/>
      <c r="C746" s="320"/>
      <c r="D746" s="142"/>
      <c r="E746" s="320"/>
      <c r="F746" s="142"/>
      <c r="G746" s="320"/>
      <c r="H746" s="142"/>
      <c r="I746" s="320"/>
      <c r="J746" s="142"/>
      <c r="K746" s="320"/>
      <c r="L746" s="142"/>
      <c r="M746" s="320"/>
      <c r="N746" s="142"/>
      <c r="O746" s="320"/>
      <c r="P746" s="142"/>
      <c r="Q746" s="195"/>
      <c r="R746" s="195"/>
      <c r="S746" s="320"/>
      <c r="T746" s="142"/>
      <c r="U746" s="30"/>
      <c r="V746" s="30"/>
      <c r="W746" s="30"/>
      <c r="X746" s="30"/>
      <c r="Y746" s="30"/>
      <c r="Z746" s="30"/>
    </row>
    <row r="747">
      <c r="A747" s="320"/>
      <c r="B747" s="142"/>
      <c r="C747" s="320"/>
      <c r="D747" s="142"/>
      <c r="E747" s="320"/>
      <c r="F747" s="142"/>
      <c r="G747" s="320"/>
      <c r="H747" s="142"/>
      <c r="I747" s="320"/>
      <c r="J747" s="142"/>
      <c r="K747" s="320"/>
      <c r="L747" s="142"/>
      <c r="M747" s="320"/>
      <c r="N747" s="142"/>
      <c r="O747" s="320"/>
      <c r="P747" s="142"/>
      <c r="Q747" s="195"/>
      <c r="R747" s="195"/>
      <c r="S747" s="320"/>
      <c r="T747" s="142"/>
      <c r="U747" s="30"/>
      <c r="V747" s="30"/>
      <c r="W747" s="30"/>
      <c r="X747" s="30"/>
      <c r="Y747" s="30"/>
      <c r="Z747" s="30"/>
    </row>
    <row r="748">
      <c r="A748" s="320"/>
      <c r="B748" s="142"/>
      <c r="C748" s="320"/>
      <c r="D748" s="142"/>
      <c r="E748" s="320"/>
      <c r="F748" s="142"/>
      <c r="G748" s="320"/>
      <c r="H748" s="142"/>
      <c r="I748" s="320"/>
      <c r="J748" s="142"/>
      <c r="K748" s="320"/>
      <c r="L748" s="142"/>
      <c r="M748" s="320"/>
      <c r="N748" s="142"/>
      <c r="O748" s="320"/>
      <c r="P748" s="142"/>
      <c r="Q748" s="195"/>
      <c r="R748" s="195"/>
      <c r="S748" s="320"/>
      <c r="T748" s="142"/>
      <c r="U748" s="30"/>
      <c r="V748" s="30"/>
      <c r="W748" s="30"/>
      <c r="X748" s="30"/>
      <c r="Y748" s="30"/>
      <c r="Z748" s="30"/>
    </row>
    <row r="749">
      <c r="A749" s="320"/>
      <c r="B749" s="142"/>
      <c r="C749" s="320"/>
      <c r="D749" s="142"/>
      <c r="E749" s="320"/>
      <c r="F749" s="142"/>
      <c r="G749" s="320"/>
      <c r="H749" s="142"/>
      <c r="I749" s="320"/>
      <c r="J749" s="142"/>
      <c r="K749" s="320"/>
      <c r="L749" s="142"/>
      <c r="M749" s="320"/>
      <c r="N749" s="142"/>
      <c r="O749" s="320"/>
      <c r="P749" s="142"/>
      <c r="Q749" s="195"/>
      <c r="R749" s="195"/>
      <c r="S749" s="320"/>
      <c r="T749" s="142"/>
      <c r="U749" s="30"/>
      <c r="V749" s="30"/>
      <c r="W749" s="30"/>
      <c r="X749" s="30"/>
      <c r="Y749" s="30"/>
      <c r="Z749" s="30"/>
    </row>
    <row r="750">
      <c r="A750" s="320"/>
      <c r="B750" s="142"/>
      <c r="C750" s="320"/>
      <c r="D750" s="142"/>
      <c r="E750" s="320"/>
      <c r="F750" s="142"/>
      <c r="G750" s="320"/>
      <c r="H750" s="142"/>
      <c r="I750" s="320"/>
      <c r="J750" s="142"/>
      <c r="K750" s="320"/>
      <c r="L750" s="142"/>
      <c r="M750" s="320"/>
      <c r="N750" s="142"/>
      <c r="O750" s="320"/>
      <c r="P750" s="142"/>
      <c r="Q750" s="195"/>
      <c r="R750" s="195"/>
      <c r="S750" s="320"/>
      <c r="T750" s="142"/>
      <c r="U750" s="30"/>
      <c r="V750" s="30"/>
      <c r="W750" s="30"/>
      <c r="X750" s="30"/>
      <c r="Y750" s="30"/>
      <c r="Z750" s="30"/>
    </row>
    <row r="751">
      <c r="A751" s="320"/>
      <c r="B751" s="142"/>
      <c r="C751" s="320"/>
      <c r="D751" s="142"/>
      <c r="E751" s="320"/>
      <c r="F751" s="142"/>
      <c r="G751" s="320"/>
      <c r="H751" s="142"/>
      <c r="I751" s="320"/>
      <c r="J751" s="142"/>
      <c r="K751" s="320"/>
      <c r="L751" s="142"/>
      <c r="M751" s="320"/>
      <c r="N751" s="142"/>
      <c r="O751" s="320"/>
      <c r="P751" s="142"/>
      <c r="Q751" s="195"/>
      <c r="R751" s="195"/>
      <c r="S751" s="320"/>
      <c r="T751" s="142"/>
      <c r="U751" s="30"/>
      <c r="V751" s="30"/>
      <c r="W751" s="30"/>
      <c r="X751" s="30"/>
      <c r="Y751" s="30"/>
      <c r="Z751" s="30"/>
    </row>
    <row r="752">
      <c r="A752" s="320"/>
      <c r="B752" s="142"/>
      <c r="C752" s="320"/>
      <c r="D752" s="142"/>
      <c r="E752" s="320"/>
      <c r="F752" s="142"/>
      <c r="G752" s="320"/>
      <c r="H752" s="142"/>
      <c r="I752" s="320"/>
      <c r="J752" s="142"/>
      <c r="K752" s="320"/>
      <c r="L752" s="142"/>
      <c r="M752" s="320"/>
      <c r="N752" s="142"/>
      <c r="O752" s="320"/>
      <c r="P752" s="142"/>
      <c r="Q752" s="195"/>
      <c r="R752" s="195"/>
      <c r="S752" s="320"/>
      <c r="T752" s="142"/>
      <c r="U752" s="30"/>
      <c r="V752" s="30"/>
      <c r="W752" s="30"/>
      <c r="X752" s="30"/>
      <c r="Y752" s="30"/>
      <c r="Z752" s="30"/>
    </row>
    <row r="753">
      <c r="A753" s="320"/>
      <c r="B753" s="142"/>
      <c r="C753" s="320"/>
      <c r="D753" s="142"/>
      <c r="E753" s="320"/>
      <c r="F753" s="142"/>
      <c r="G753" s="320"/>
      <c r="H753" s="142"/>
      <c r="I753" s="320"/>
      <c r="J753" s="142"/>
      <c r="K753" s="320"/>
      <c r="L753" s="142"/>
      <c r="M753" s="320"/>
      <c r="N753" s="142"/>
      <c r="O753" s="320"/>
      <c r="P753" s="142"/>
      <c r="Q753" s="195"/>
      <c r="R753" s="195"/>
      <c r="S753" s="320"/>
      <c r="T753" s="142"/>
      <c r="U753" s="30"/>
      <c r="V753" s="30"/>
      <c r="W753" s="30"/>
      <c r="X753" s="30"/>
      <c r="Y753" s="30"/>
      <c r="Z753" s="30"/>
    </row>
    <row r="754">
      <c r="A754" s="320"/>
      <c r="B754" s="142"/>
      <c r="C754" s="320"/>
      <c r="D754" s="142"/>
      <c r="E754" s="320"/>
      <c r="F754" s="142"/>
      <c r="G754" s="320"/>
      <c r="H754" s="142"/>
      <c r="I754" s="320"/>
      <c r="J754" s="142"/>
      <c r="K754" s="320"/>
      <c r="L754" s="142"/>
      <c r="M754" s="320"/>
      <c r="N754" s="142"/>
      <c r="O754" s="320"/>
      <c r="P754" s="142"/>
      <c r="Q754" s="195"/>
      <c r="R754" s="195"/>
      <c r="S754" s="320"/>
      <c r="T754" s="142"/>
      <c r="U754" s="30"/>
      <c r="V754" s="30"/>
      <c r="W754" s="30"/>
      <c r="X754" s="30"/>
      <c r="Y754" s="30"/>
      <c r="Z754" s="30"/>
    </row>
    <row r="755">
      <c r="A755" s="320"/>
      <c r="B755" s="142"/>
      <c r="C755" s="320"/>
      <c r="D755" s="142"/>
      <c r="E755" s="320"/>
      <c r="F755" s="142"/>
      <c r="G755" s="320"/>
      <c r="H755" s="142"/>
      <c r="I755" s="320"/>
      <c r="J755" s="142"/>
      <c r="K755" s="320"/>
      <c r="L755" s="142"/>
      <c r="M755" s="320"/>
      <c r="N755" s="142"/>
      <c r="O755" s="320"/>
      <c r="P755" s="142"/>
      <c r="Q755" s="195"/>
      <c r="R755" s="195"/>
      <c r="S755" s="320"/>
      <c r="T755" s="142"/>
      <c r="U755" s="30"/>
      <c r="V755" s="30"/>
      <c r="W755" s="30"/>
      <c r="X755" s="30"/>
      <c r="Y755" s="30"/>
      <c r="Z755" s="30"/>
    </row>
    <row r="756">
      <c r="A756" s="320"/>
      <c r="B756" s="142"/>
      <c r="C756" s="320"/>
      <c r="D756" s="142"/>
      <c r="E756" s="320"/>
      <c r="F756" s="142"/>
      <c r="G756" s="320"/>
      <c r="H756" s="142"/>
      <c r="I756" s="320"/>
      <c r="J756" s="142"/>
      <c r="K756" s="320"/>
      <c r="L756" s="142"/>
      <c r="M756" s="320"/>
      <c r="N756" s="142"/>
      <c r="O756" s="320"/>
      <c r="P756" s="142"/>
      <c r="Q756" s="195"/>
      <c r="R756" s="195"/>
      <c r="S756" s="320"/>
      <c r="T756" s="142"/>
      <c r="U756" s="30"/>
      <c r="V756" s="30"/>
      <c r="W756" s="30"/>
      <c r="X756" s="30"/>
      <c r="Y756" s="30"/>
      <c r="Z756" s="30"/>
    </row>
    <row r="757">
      <c r="A757" s="320"/>
      <c r="B757" s="142"/>
      <c r="C757" s="320"/>
      <c r="D757" s="142"/>
      <c r="E757" s="320"/>
      <c r="F757" s="142"/>
      <c r="G757" s="320"/>
      <c r="H757" s="142"/>
      <c r="I757" s="320"/>
      <c r="J757" s="142"/>
      <c r="K757" s="320"/>
      <c r="L757" s="142"/>
      <c r="M757" s="320"/>
      <c r="N757" s="142"/>
      <c r="O757" s="320"/>
      <c r="P757" s="142"/>
      <c r="Q757" s="195"/>
      <c r="R757" s="195"/>
      <c r="S757" s="320"/>
      <c r="T757" s="142"/>
      <c r="U757" s="30"/>
      <c r="V757" s="30"/>
      <c r="W757" s="30"/>
      <c r="X757" s="30"/>
      <c r="Y757" s="30"/>
      <c r="Z757" s="30"/>
    </row>
    <row r="758">
      <c r="A758" s="320"/>
      <c r="B758" s="142"/>
      <c r="C758" s="320"/>
      <c r="D758" s="142"/>
      <c r="E758" s="320"/>
      <c r="F758" s="142"/>
      <c r="G758" s="320"/>
      <c r="H758" s="142"/>
      <c r="I758" s="320"/>
      <c r="J758" s="142"/>
      <c r="K758" s="320"/>
      <c r="L758" s="142"/>
      <c r="M758" s="320"/>
      <c r="N758" s="142"/>
      <c r="O758" s="320"/>
      <c r="P758" s="142"/>
      <c r="Q758" s="195"/>
      <c r="R758" s="195"/>
      <c r="S758" s="320"/>
      <c r="T758" s="142"/>
      <c r="U758" s="30"/>
      <c r="V758" s="30"/>
      <c r="W758" s="30"/>
      <c r="X758" s="30"/>
      <c r="Y758" s="30"/>
      <c r="Z758" s="30"/>
    </row>
    <row r="759">
      <c r="A759" s="320"/>
      <c r="B759" s="142"/>
      <c r="C759" s="320"/>
      <c r="D759" s="142"/>
      <c r="E759" s="320"/>
      <c r="F759" s="142"/>
      <c r="G759" s="320"/>
      <c r="H759" s="142"/>
      <c r="I759" s="320"/>
      <c r="J759" s="142"/>
      <c r="K759" s="320"/>
      <c r="L759" s="142"/>
      <c r="M759" s="320"/>
      <c r="N759" s="142"/>
      <c r="O759" s="320"/>
      <c r="P759" s="142"/>
      <c r="Q759" s="195"/>
      <c r="R759" s="195"/>
      <c r="S759" s="320"/>
      <c r="T759" s="142"/>
      <c r="U759" s="30"/>
      <c r="V759" s="30"/>
      <c r="W759" s="30"/>
      <c r="X759" s="30"/>
      <c r="Y759" s="30"/>
      <c r="Z759" s="30"/>
    </row>
    <row r="760">
      <c r="A760" s="320"/>
      <c r="B760" s="142"/>
      <c r="C760" s="320"/>
      <c r="D760" s="142"/>
      <c r="E760" s="320"/>
      <c r="F760" s="142"/>
      <c r="G760" s="320"/>
      <c r="H760" s="142"/>
      <c r="I760" s="320"/>
      <c r="J760" s="142"/>
      <c r="K760" s="320"/>
      <c r="L760" s="142"/>
      <c r="M760" s="320"/>
      <c r="N760" s="142"/>
      <c r="O760" s="320"/>
      <c r="P760" s="142"/>
      <c r="Q760" s="195"/>
      <c r="R760" s="195"/>
      <c r="S760" s="320"/>
      <c r="T760" s="142"/>
      <c r="U760" s="30"/>
      <c r="V760" s="30"/>
      <c r="W760" s="30"/>
      <c r="X760" s="30"/>
      <c r="Y760" s="30"/>
      <c r="Z760" s="30"/>
    </row>
    <row r="761">
      <c r="A761" s="320"/>
      <c r="B761" s="142"/>
      <c r="C761" s="320"/>
      <c r="D761" s="142"/>
      <c r="E761" s="320"/>
      <c r="F761" s="142"/>
      <c r="G761" s="320"/>
      <c r="H761" s="142"/>
      <c r="I761" s="320"/>
      <c r="J761" s="142"/>
      <c r="K761" s="320"/>
      <c r="L761" s="142"/>
      <c r="M761" s="320"/>
      <c r="N761" s="142"/>
      <c r="O761" s="320"/>
      <c r="P761" s="142"/>
      <c r="Q761" s="195"/>
      <c r="R761" s="195"/>
      <c r="S761" s="320"/>
      <c r="T761" s="142"/>
      <c r="U761" s="30"/>
      <c r="V761" s="30"/>
      <c r="W761" s="30"/>
      <c r="X761" s="30"/>
      <c r="Y761" s="30"/>
      <c r="Z761" s="30"/>
    </row>
    <row r="762">
      <c r="A762" s="320"/>
      <c r="B762" s="142"/>
      <c r="C762" s="320"/>
      <c r="D762" s="142"/>
      <c r="E762" s="320"/>
      <c r="F762" s="142"/>
      <c r="G762" s="320"/>
      <c r="H762" s="142"/>
      <c r="I762" s="320"/>
      <c r="J762" s="142"/>
      <c r="K762" s="320"/>
      <c r="L762" s="142"/>
      <c r="M762" s="320"/>
      <c r="N762" s="142"/>
      <c r="O762" s="320"/>
      <c r="P762" s="142"/>
      <c r="Q762" s="195"/>
      <c r="R762" s="195"/>
      <c r="S762" s="320"/>
      <c r="T762" s="142"/>
      <c r="U762" s="30"/>
      <c r="V762" s="30"/>
      <c r="W762" s="30"/>
      <c r="X762" s="30"/>
      <c r="Y762" s="30"/>
      <c r="Z762" s="30"/>
    </row>
    <row r="763">
      <c r="A763" s="320"/>
      <c r="B763" s="142"/>
      <c r="C763" s="320"/>
      <c r="D763" s="142"/>
      <c r="E763" s="320"/>
      <c r="F763" s="142"/>
      <c r="G763" s="320"/>
      <c r="H763" s="142"/>
      <c r="I763" s="320"/>
      <c r="J763" s="142"/>
      <c r="K763" s="320"/>
      <c r="L763" s="142"/>
      <c r="M763" s="320"/>
      <c r="N763" s="142"/>
      <c r="O763" s="320"/>
      <c r="P763" s="142"/>
      <c r="Q763" s="195"/>
      <c r="R763" s="195"/>
      <c r="S763" s="320"/>
      <c r="T763" s="142"/>
      <c r="U763" s="30"/>
      <c r="V763" s="30"/>
      <c r="W763" s="30"/>
      <c r="X763" s="30"/>
      <c r="Y763" s="30"/>
      <c r="Z763" s="30"/>
    </row>
    <row r="764">
      <c r="A764" s="320"/>
      <c r="B764" s="142"/>
      <c r="C764" s="320"/>
      <c r="D764" s="142"/>
      <c r="E764" s="320"/>
      <c r="F764" s="142"/>
      <c r="G764" s="320"/>
      <c r="H764" s="142"/>
      <c r="I764" s="320"/>
      <c r="J764" s="142"/>
      <c r="K764" s="320"/>
      <c r="L764" s="142"/>
      <c r="M764" s="320"/>
      <c r="N764" s="142"/>
      <c r="O764" s="320"/>
      <c r="P764" s="142"/>
      <c r="Q764" s="195"/>
      <c r="R764" s="195"/>
      <c r="S764" s="320"/>
      <c r="T764" s="142"/>
      <c r="U764" s="30"/>
      <c r="V764" s="30"/>
      <c r="W764" s="30"/>
      <c r="X764" s="30"/>
      <c r="Y764" s="30"/>
      <c r="Z764" s="30"/>
    </row>
    <row r="765">
      <c r="A765" s="320"/>
      <c r="B765" s="142"/>
      <c r="C765" s="320"/>
      <c r="D765" s="142"/>
      <c r="E765" s="320"/>
      <c r="F765" s="142"/>
      <c r="G765" s="320"/>
      <c r="H765" s="142"/>
      <c r="I765" s="320"/>
      <c r="J765" s="142"/>
      <c r="K765" s="320"/>
      <c r="L765" s="142"/>
      <c r="M765" s="320"/>
      <c r="N765" s="142"/>
      <c r="O765" s="320"/>
      <c r="P765" s="142"/>
      <c r="Q765" s="195"/>
      <c r="R765" s="195"/>
      <c r="S765" s="320"/>
      <c r="T765" s="142"/>
      <c r="U765" s="30"/>
      <c r="V765" s="30"/>
      <c r="W765" s="30"/>
      <c r="X765" s="30"/>
      <c r="Y765" s="30"/>
      <c r="Z765" s="30"/>
    </row>
    <row r="766">
      <c r="A766" s="320"/>
      <c r="B766" s="142"/>
      <c r="C766" s="320"/>
      <c r="D766" s="142"/>
      <c r="E766" s="320"/>
      <c r="F766" s="142"/>
      <c r="G766" s="320"/>
      <c r="H766" s="142"/>
      <c r="I766" s="320"/>
      <c r="J766" s="142"/>
      <c r="K766" s="320"/>
      <c r="L766" s="142"/>
      <c r="M766" s="320"/>
      <c r="N766" s="142"/>
      <c r="O766" s="320"/>
      <c r="P766" s="142"/>
      <c r="Q766" s="195"/>
      <c r="R766" s="195"/>
      <c r="S766" s="320"/>
      <c r="T766" s="142"/>
      <c r="U766" s="30"/>
      <c r="V766" s="30"/>
      <c r="W766" s="30"/>
      <c r="X766" s="30"/>
      <c r="Y766" s="30"/>
      <c r="Z766" s="30"/>
    </row>
    <row r="767">
      <c r="A767" s="320"/>
      <c r="B767" s="142"/>
      <c r="C767" s="320"/>
      <c r="D767" s="142"/>
      <c r="E767" s="320"/>
      <c r="F767" s="142"/>
      <c r="G767" s="320"/>
      <c r="H767" s="142"/>
      <c r="I767" s="320"/>
      <c r="J767" s="142"/>
      <c r="K767" s="320"/>
      <c r="L767" s="142"/>
      <c r="M767" s="320"/>
      <c r="N767" s="142"/>
      <c r="O767" s="320"/>
      <c r="P767" s="142"/>
      <c r="Q767" s="195"/>
      <c r="R767" s="195"/>
      <c r="S767" s="320"/>
      <c r="T767" s="142"/>
      <c r="U767" s="30"/>
      <c r="V767" s="30"/>
      <c r="W767" s="30"/>
      <c r="X767" s="30"/>
      <c r="Y767" s="30"/>
      <c r="Z767" s="30"/>
    </row>
    <row r="768">
      <c r="A768" s="320"/>
      <c r="B768" s="142"/>
      <c r="C768" s="320"/>
      <c r="D768" s="142"/>
      <c r="E768" s="320"/>
      <c r="F768" s="142"/>
      <c r="G768" s="320"/>
      <c r="H768" s="142"/>
      <c r="I768" s="320"/>
      <c r="J768" s="142"/>
      <c r="K768" s="320"/>
      <c r="L768" s="142"/>
      <c r="M768" s="320"/>
      <c r="N768" s="142"/>
      <c r="O768" s="320"/>
      <c r="P768" s="142"/>
      <c r="Q768" s="195"/>
      <c r="R768" s="195"/>
      <c r="S768" s="320"/>
      <c r="T768" s="142"/>
      <c r="U768" s="30"/>
      <c r="V768" s="30"/>
      <c r="W768" s="30"/>
      <c r="X768" s="30"/>
      <c r="Y768" s="30"/>
      <c r="Z768" s="30"/>
    </row>
    <row r="769">
      <c r="A769" s="320"/>
      <c r="B769" s="142"/>
      <c r="C769" s="320"/>
      <c r="D769" s="142"/>
      <c r="E769" s="320"/>
      <c r="F769" s="142"/>
      <c r="G769" s="320"/>
      <c r="H769" s="142"/>
      <c r="I769" s="320"/>
      <c r="J769" s="142"/>
      <c r="K769" s="320"/>
      <c r="L769" s="142"/>
      <c r="M769" s="320"/>
      <c r="N769" s="142"/>
      <c r="O769" s="320"/>
      <c r="P769" s="142"/>
      <c r="Q769" s="195"/>
      <c r="R769" s="195"/>
      <c r="S769" s="320"/>
      <c r="T769" s="142"/>
      <c r="U769" s="30"/>
      <c r="V769" s="30"/>
      <c r="W769" s="30"/>
      <c r="X769" s="30"/>
      <c r="Y769" s="30"/>
      <c r="Z769" s="30"/>
    </row>
    <row r="770">
      <c r="A770" s="320"/>
      <c r="B770" s="142"/>
      <c r="C770" s="320"/>
      <c r="D770" s="142"/>
      <c r="E770" s="320"/>
      <c r="F770" s="142"/>
      <c r="G770" s="320"/>
      <c r="H770" s="142"/>
      <c r="I770" s="320"/>
      <c r="J770" s="142"/>
      <c r="K770" s="320"/>
      <c r="L770" s="142"/>
      <c r="M770" s="320"/>
      <c r="N770" s="142"/>
      <c r="O770" s="320"/>
      <c r="P770" s="142"/>
      <c r="Q770" s="195"/>
      <c r="R770" s="195"/>
      <c r="S770" s="320"/>
      <c r="T770" s="142"/>
      <c r="U770" s="30"/>
      <c r="V770" s="30"/>
      <c r="W770" s="30"/>
      <c r="X770" s="30"/>
      <c r="Y770" s="30"/>
      <c r="Z770" s="30"/>
    </row>
    <row r="771">
      <c r="A771" s="320"/>
      <c r="B771" s="142"/>
      <c r="C771" s="320"/>
      <c r="D771" s="142"/>
      <c r="E771" s="320"/>
      <c r="F771" s="142"/>
      <c r="G771" s="320"/>
      <c r="H771" s="142"/>
      <c r="I771" s="320"/>
      <c r="J771" s="142"/>
      <c r="K771" s="320"/>
      <c r="L771" s="142"/>
      <c r="M771" s="320"/>
      <c r="N771" s="142"/>
      <c r="O771" s="320"/>
      <c r="P771" s="142"/>
      <c r="Q771" s="195"/>
      <c r="R771" s="195"/>
      <c r="S771" s="320"/>
      <c r="T771" s="142"/>
      <c r="U771" s="30"/>
      <c r="V771" s="30"/>
      <c r="W771" s="30"/>
      <c r="X771" s="30"/>
      <c r="Y771" s="30"/>
      <c r="Z771" s="30"/>
    </row>
    <row r="772">
      <c r="A772" s="320"/>
      <c r="B772" s="142"/>
      <c r="C772" s="320"/>
      <c r="D772" s="142"/>
      <c r="E772" s="320"/>
      <c r="F772" s="142"/>
      <c r="G772" s="320"/>
      <c r="H772" s="142"/>
      <c r="I772" s="320"/>
      <c r="J772" s="142"/>
      <c r="K772" s="320"/>
      <c r="L772" s="142"/>
      <c r="M772" s="320"/>
      <c r="N772" s="142"/>
      <c r="O772" s="320"/>
      <c r="P772" s="142"/>
      <c r="Q772" s="195"/>
      <c r="R772" s="195"/>
      <c r="S772" s="320"/>
      <c r="T772" s="142"/>
      <c r="U772" s="30"/>
      <c r="V772" s="30"/>
      <c r="W772" s="30"/>
      <c r="X772" s="30"/>
      <c r="Y772" s="30"/>
      <c r="Z772" s="30"/>
    </row>
    <row r="773">
      <c r="A773" s="320"/>
      <c r="B773" s="142"/>
      <c r="C773" s="320"/>
      <c r="D773" s="142"/>
      <c r="E773" s="320"/>
      <c r="F773" s="142"/>
      <c r="G773" s="320"/>
      <c r="H773" s="142"/>
      <c r="I773" s="320"/>
      <c r="J773" s="142"/>
      <c r="K773" s="320"/>
      <c r="L773" s="142"/>
      <c r="M773" s="320"/>
      <c r="N773" s="142"/>
      <c r="O773" s="320"/>
      <c r="P773" s="142"/>
      <c r="Q773" s="195"/>
      <c r="R773" s="195"/>
      <c r="S773" s="320"/>
      <c r="T773" s="142"/>
      <c r="U773" s="30"/>
      <c r="V773" s="30"/>
      <c r="W773" s="30"/>
      <c r="X773" s="30"/>
      <c r="Y773" s="30"/>
      <c r="Z773" s="30"/>
    </row>
    <row r="774">
      <c r="A774" s="320"/>
      <c r="B774" s="142"/>
      <c r="C774" s="320"/>
      <c r="D774" s="142"/>
      <c r="E774" s="320"/>
      <c r="F774" s="142"/>
      <c r="G774" s="320"/>
      <c r="H774" s="142"/>
      <c r="I774" s="320"/>
      <c r="J774" s="142"/>
      <c r="K774" s="320"/>
      <c r="L774" s="142"/>
      <c r="M774" s="320"/>
      <c r="N774" s="142"/>
      <c r="O774" s="320"/>
      <c r="P774" s="142"/>
      <c r="Q774" s="195"/>
      <c r="R774" s="195"/>
      <c r="S774" s="320"/>
      <c r="T774" s="142"/>
      <c r="U774" s="30"/>
      <c r="V774" s="30"/>
      <c r="W774" s="30"/>
      <c r="X774" s="30"/>
      <c r="Y774" s="30"/>
      <c r="Z774" s="30"/>
    </row>
    <row r="775">
      <c r="A775" s="320"/>
      <c r="B775" s="142"/>
      <c r="C775" s="320"/>
      <c r="D775" s="142"/>
      <c r="E775" s="320"/>
      <c r="F775" s="142"/>
      <c r="G775" s="320"/>
      <c r="H775" s="142"/>
      <c r="I775" s="320"/>
      <c r="J775" s="142"/>
      <c r="K775" s="320"/>
      <c r="L775" s="142"/>
      <c r="M775" s="320"/>
      <c r="N775" s="142"/>
      <c r="O775" s="320"/>
      <c r="P775" s="142"/>
      <c r="Q775" s="195"/>
      <c r="R775" s="195"/>
      <c r="S775" s="320"/>
      <c r="T775" s="142"/>
      <c r="U775" s="30"/>
      <c r="V775" s="30"/>
      <c r="W775" s="30"/>
      <c r="X775" s="30"/>
      <c r="Y775" s="30"/>
      <c r="Z775" s="30"/>
    </row>
    <row r="776">
      <c r="A776" s="320"/>
      <c r="B776" s="142"/>
      <c r="C776" s="320"/>
      <c r="D776" s="142"/>
      <c r="E776" s="320"/>
      <c r="F776" s="142"/>
      <c r="G776" s="320"/>
      <c r="H776" s="142"/>
      <c r="I776" s="320"/>
      <c r="J776" s="142"/>
      <c r="K776" s="320"/>
      <c r="L776" s="142"/>
      <c r="M776" s="320"/>
      <c r="N776" s="142"/>
      <c r="O776" s="320"/>
      <c r="P776" s="142"/>
      <c r="Q776" s="195"/>
      <c r="R776" s="195"/>
      <c r="S776" s="320"/>
      <c r="T776" s="142"/>
      <c r="U776" s="30"/>
      <c r="V776" s="30"/>
      <c r="W776" s="30"/>
      <c r="X776" s="30"/>
      <c r="Y776" s="30"/>
      <c r="Z776" s="30"/>
    </row>
    <row r="777">
      <c r="A777" s="320"/>
      <c r="B777" s="142"/>
      <c r="C777" s="320"/>
      <c r="D777" s="142"/>
      <c r="E777" s="320"/>
      <c r="F777" s="142"/>
      <c r="G777" s="320"/>
      <c r="H777" s="142"/>
      <c r="I777" s="320"/>
      <c r="J777" s="142"/>
      <c r="K777" s="320"/>
      <c r="L777" s="142"/>
      <c r="M777" s="320"/>
      <c r="N777" s="142"/>
      <c r="O777" s="320"/>
      <c r="P777" s="142"/>
      <c r="Q777" s="195"/>
      <c r="R777" s="195"/>
      <c r="S777" s="320"/>
      <c r="T777" s="142"/>
      <c r="U777" s="30"/>
      <c r="V777" s="30"/>
      <c r="W777" s="30"/>
      <c r="X777" s="30"/>
      <c r="Y777" s="30"/>
      <c r="Z777" s="30"/>
    </row>
    <row r="778">
      <c r="A778" s="320"/>
      <c r="B778" s="142"/>
      <c r="C778" s="320"/>
      <c r="D778" s="142"/>
      <c r="E778" s="320"/>
      <c r="F778" s="142"/>
      <c r="G778" s="320"/>
      <c r="H778" s="142"/>
      <c r="I778" s="320"/>
      <c r="J778" s="142"/>
      <c r="K778" s="320"/>
      <c r="L778" s="142"/>
      <c r="M778" s="320"/>
      <c r="N778" s="142"/>
      <c r="O778" s="320"/>
      <c r="P778" s="142"/>
      <c r="Q778" s="195"/>
      <c r="R778" s="195"/>
      <c r="S778" s="320"/>
      <c r="T778" s="142"/>
      <c r="U778" s="30"/>
      <c r="V778" s="30"/>
      <c r="W778" s="30"/>
      <c r="X778" s="30"/>
      <c r="Y778" s="30"/>
      <c r="Z778" s="30"/>
    </row>
    <row r="779">
      <c r="A779" s="320"/>
      <c r="B779" s="142"/>
      <c r="C779" s="320"/>
      <c r="D779" s="142"/>
      <c r="E779" s="320"/>
      <c r="F779" s="142"/>
      <c r="G779" s="320"/>
      <c r="H779" s="142"/>
      <c r="I779" s="320"/>
      <c r="J779" s="142"/>
      <c r="K779" s="320"/>
      <c r="L779" s="142"/>
      <c r="M779" s="320"/>
      <c r="N779" s="142"/>
      <c r="O779" s="320"/>
      <c r="P779" s="142"/>
      <c r="Q779" s="195"/>
      <c r="R779" s="195"/>
      <c r="S779" s="320"/>
      <c r="T779" s="142"/>
      <c r="U779" s="30"/>
      <c r="V779" s="30"/>
      <c r="W779" s="30"/>
      <c r="X779" s="30"/>
      <c r="Y779" s="30"/>
      <c r="Z779" s="30"/>
    </row>
    <row r="780">
      <c r="A780" s="320"/>
      <c r="B780" s="142"/>
      <c r="C780" s="320"/>
      <c r="D780" s="142"/>
      <c r="E780" s="320"/>
      <c r="F780" s="142"/>
      <c r="G780" s="320"/>
      <c r="H780" s="142"/>
      <c r="I780" s="320"/>
      <c r="J780" s="142"/>
      <c r="K780" s="320"/>
      <c r="L780" s="142"/>
      <c r="M780" s="320"/>
      <c r="N780" s="142"/>
      <c r="O780" s="320"/>
      <c r="P780" s="142"/>
      <c r="Q780" s="195"/>
      <c r="R780" s="195"/>
      <c r="S780" s="320"/>
      <c r="T780" s="142"/>
      <c r="U780" s="30"/>
      <c r="V780" s="30"/>
      <c r="W780" s="30"/>
      <c r="X780" s="30"/>
      <c r="Y780" s="30"/>
      <c r="Z780" s="30"/>
    </row>
    <row r="781">
      <c r="A781" s="320"/>
      <c r="B781" s="142"/>
      <c r="C781" s="320"/>
      <c r="D781" s="142"/>
      <c r="E781" s="320"/>
      <c r="F781" s="142"/>
      <c r="G781" s="320"/>
      <c r="H781" s="142"/>
      <c r="I781" s="320"/>
      <c r="J781" s="142"/>
      <c r="K781" s="320"/>
      <c r="L781" s="142"/>
      <c r="M781" s="320"/>
      <c r="N781" s="142"/>
      <c r="O781" s="320"/>
      <c r="P781" s="142"/>
      <c r="Q781" s="195"/>
      <c r="R781" s="195"/>
      <c r="S781" s="320"/>
      <c r="T781" s="142"/>
      <c r="U781" s="30"/>
      <c r="V781" s="30"/>
      <c r="W781" s="30"/>
      <c r="X781" s="30"/>
      <c r="Y781" s="30"/>
      <c r="Z781" s="30"/>
    </row>
    <row r="782">
      <c r="A782" s="320"/>
      <c r="B782" s="142"/>
      <c r="C782" s="320"/>
      <c r="D782" s="142"/>
      <c r="E782" s="320"/>
      <c r="F782" s="142"/>
      <c r="G782" s="320"/>
      <c r="H782" s="142"/>
      <c r="I782" s="320"/>
      <c r="J782" s="142"/>
      <c r="K782" s="320"/>
      <c r="L782" s="142"/>
      <c r="M782" s="320"/>
      <c r="N782" s="142"/>
      <c r="O782" s="320"/>
      <c r="P782" s="142"/>
      <c r="Q782" s="195"/>
      <c r="R782" s="195"/>
      <c r="S782" s="320"/>
      <c r="T782" s="142"/>
      <c r="U782" s="30"/>
      <c r="V782" s="30"/>
      <c r="W782" s="30"/>
      <c r="X782" s="30"/>
      <c r="Y782" s="30"/>
      <c r="Z782" s="30"/>
    </row>
    <row r="783">
      <c r="A783" s="320"/>
      <c r="B783" s="142"/>
      <c r="C783" s="320"/>
      <c r="D783" s="142"/>
      <c r="E783" s="320"/>
      <c r="F783" s="142"/>
      <c r="G783" s="320"/>
      <c r="H783" s="142"/>
      <c r="I783" s="320"/>
      <c r="J783" s="142"/>
      <c r="K783" s="320"/>
      <c r="L783" s="142"/>
      <c r="M783" s="320"/>
      <c r="N783" s="142"/>
      <c r="O783" s="320"/>
      <c r="P783" s="142"/>
      <c r="Q783" s="195"/>
      <c r="R783" s="195"/>
      <c r="S783" s="320"/>
      <c r="T783" s="142"/>
      <c r="U783" s="30"/>
      <c r="V783" s="30"/>
      <c r="W783" s="30"/>
      <c r="X783" s="30"/>
      <c r="Y783" s="30"/>
      <c r="Z783" s="30"/>
    </row>
    <row r="784">
      <c r="A784" s="320"/>
      <c r="B784" s="142"/>
      <c r="C784" s="320"/>
      <c r="D784" s="142"/>
      <c r="E784" s="320"/>
      <c r="F784" s="142"/>
      <c r="G784" s="320"/>
      <c r="H784" s="142"/>
      <c r="I784" s="320"/>
      <c r="J784" s="142"/>
      <c r="K784" s="320"/>
      <c r="L784" s="142"/>
      <c r="M784" s="320"/>
      <c r="N784" s="142"/>
      <c r="O784" s="320"/>
      <c r="P784" s="142"/>
      <c r="Q784" s="195"/>
      <c r="R784" s="195"/>
      <c r="S784" s="320"/>
      <c r="T784" s="142"/>
      <c r="U784" s="30"/>
      <c r="V784" s="30"/>
      <c r="W784" s="30"/>
      <c r="X784" s="30"/>
      <c r="Y784" s="30"/>
      <c r="Z784" s="30"/>
    </row>
    <row r="785">
      <c r="A785" s="320"/>
      <c r="B785" s="142"/>
      <c r="C785" s="320"/>
      <c r="D785" s="142"/>
      <c r="E785" s="320"/>
      <c r="F785" s="142"/>
      <c r="G785" s="320"/>
      <c r="H785" s="142"/>
      <c r="I785" s="320"/>
      <c r="J785" s="142"/>
      <c r="K785" s="320"/>
      <c r="L785" s="142"/>
      <c r="M785" s="320"/>
      <c r="N785" s="142"/>
      <c r="O785" s="320"/>
      <c r="P785" s="142"/>
      <c r="Q785" s="195"/>
      <c r="R785" s="195"/>
      <c r="S785" s="320"/>
      <c r="T785" s="142"/>
      <c r="U785" s="30"/>
      <c r="V785" s="30"/>
      <c r="W785" s="30"/>
      <c r="X785" s="30"/>
      <c r="Y785" s="30"/>
      <c r="Z785" s="30"/>
    </row>
    <row r="786">
      <c r="A786" s="320"/>
      <c r="B786" s="142"/>
      <c r="C786" s="320"/>
      <c r="D786" s="142"/>
      <c r="E786" s="320"/>
      <c r="F786" s="142"/>
      <c r="G786" s="320"/>
      <c r="H786" s="142"/>
      <c r="I786" s="320"/>
      <c r="J786" s="142"/>
      <c r="K786" s="320"/>
      <c r="L786" s="142"/>
      <c r="M786" s="320"/>
      <c r="N786" s="142"/>
      <c r="O786" s="320"/>
      <c r="P786" s="142"/>
      <c r="Q786" s="195"/>
      <c r="R786" s="195"/>
      <c r="S786" s="320"/>
      <c r="T786" s="142"/>
      <c r="U786" s="30"/>
      <c r="V786" s="30"/>
      <c r="W786" s="30"/>
      <c r="X786" s="30"/>
      <c r="Y786" s="30"/>
      <c r="Z786" s="30"/>
    </row>
    <row r="787">
      <c r="A787" s="320"/>
      <c r="B787" s="142"/>
      <c r="C787" s="320"/>
      <c r="D787" s="142"/>
      <c r="E787" s="320"/>
      <c r="F787" s="142"/>
      <c r="G787" s="320"/>
      <c r="H787" s="142"/>
      <c r="I787" s="320"/>
      <c r="J787" s="142"/>
      <c r="K787" s="320"/>
      <c r="L787" s="142"/>
      <c r="M787" s="320"/>
      <c r="N787" s="142"/>
      <c r="O787" s="320"/>
      <c r="P787" s="142"/>
      <c r="Q787" s="195"/>
      <c r="R787" s="195"/>
      <c r="S787" s="320"/>
      <c r="T787" s="142"/>
      <c r="U787" s="30"/>
      <c r="V787" s="30"/>
      <c r="W787" s="30"/>
      <c r="X787" s="30"/>
      <c r="Y787" s="30"/>
      <c r="Z787" s="30"/>
    </row>
    <row r="788">
      <c r="A788" s="320"/>
      <c r="B788" s="142"/>
      <c r="C788" s="320"/>
      <c r="D788" s="142"/>
      <c r="E788" s="320"/>
      <c r="F788" s="142"/>
      <c r="G788" s="320"/>
      <c r="H788" s="142"/>
      <c r="I788" s="320"/>
      <c r="J788" s="142"/>
      <c r="K788" s="320"/>
      <c r="L788" s="142"/>
      <c r="M788" s="320"/>
      <c r="N788" s="142"/>
      <c r="O788" s="320"/>
      <c r="P788" s="142"/>
      <c r="Q788" s="195"/>
      <c r="R788" s="195"/>
      <c r="S788" s="320"/>
      <c r="T788" s="142"/>
      <c r="U788" s="30"/>
      <c r="V788" s="30"/>
      <c r="W788" s="30"/>
      <c r="X788" s="30"/>
      <c r="Y788" s="30"/>
      <c r="Z788" s="30"/>
    </row>
    <row r="789">
      <c r="A789" s="320"/>
      <c r="B789" s="142"/>
      <c r="C789" s="320"/>
      <c r="D789" s="142"/>
      <c r="E789" s="320"/>
      <c r="F789" s="142"/>
      <c r="G789" s="320"/>
      <c r="H789" s="142"/>
      <c r="I789" s="320"/>
      <c r="J789" s="142"/>
      <c r="K789" s="320"/>
      <c r="L789" s="142"/>
      <c r="M789" s="320"/>
      <c r="N789" s="142"/>
      <c r="O789" s="320"/>
      <c r="P789" s="142"/>
      <c r="Q789" s="195"/>
      <c r="R789" s="195"/>
      <c r="S789" s="320"/>
      <c r="T789" s="142"/>
      <c r="U789" s="30"/>
      <c r="V789" s="30"/>
      <c r="W789" s="30"/>
      <c r="X789" s="30"/>
      <c r="Y789" s="30"/>
      <c r="Z789" s="30"/>
    </row>
    <row r="790">
      <c r="A790" s="320"/>
      <c r="B790" s="142"/>
      <c r="C790" s="320"/>
      <c r="D790" s="142"/>
      <c r="E790" s="320"/>
      <c r="F790" s="142"/>
      <c r="G790" s="320"/>
      <c r="H790" s="142"/>
      <c r="I790" s="320"/>
      <c r="J790" s="142"/>
      <c r="K790" s="320"/>
      <c r="L790" s="142"/>
      <c r="M790" s="320"/>
      <c r="N790" s="142"/>
      <c r="O790" s="320"/>
      <c r="P790" s="142"/>
      <c r="Q790" s="195"/>
      <c r="R790" s="195"/>
      <c r="S790" s="320"/>
      <c r="T790" s="142"/>
      <c r="U790" s="30"/>
      <c r="V790" s="30"/>
      <c r="W790" s="30"/>
      <c r="X790" s="30"/>
      <c r="Y790" s="30"/>
      <c r="Z790" s="30"/>
    </row>
    <row r="791">
      <c r="A791" s="320"/>
      <c r="B791" s="142"/>
      <c r="C791" s="320"/>
      <c r="D791" s="142"/>
      <c r="E791" s="320"/>
      <c r="F791" s="142"/>
      <c r="G791" s="320"/>
      <c r="H791" s="142"/>
      <c r="I791" s="320"/>
      <c r="J791" s="142"/>
      <c r="K791" s="320"/>
      <c r="L791" s="142"/>
      <c r="M791" s="320"/>
      <c r="N791" s="142"/>
      <c r="O791" s="320"/>
      <c r="P791" s="142"/>
      <c r="Q791" s="195"/>
      <c r="R791" s="195"/>
      <c r="S791" s="320"/>
      <c r="T791" s="142"/>
      <c r="U791" s="30"/>
      <c r="V791" s="30"/>
      <c r="W791" s="30"/>
      <c r="X791" s="30"/>
      <c r="Y791" s="30"/>
      <c r="Z791" s="30"/>
    </row>
    <row r="792">
      <c r="A792" s="320"/>
      <c r="B792" s="142"/>
      <c r="C792" s="320"/>
      <c r="D792" s="142"/>
      <c r="E792" s="320"/>
      <c r="F792" s="142"/>
      <c r="G792" s="320"/>
      <c r="H792" s="142"/>
      <c r="I792" s="320"/>
      <c r="J792" s="142"/>
      <c r="K792" s="320"/>
      <c r="L792" s="142"/>
      <c r="M792" s="320"/>
      <c r="N792" s="142"/>
      <c r="O792" s="320"/>
      <c r="P792" s="142"/>
      <c r="Q792" s="195"/>
      <c r="R792" s="195"/>
      <c r="S792" s="320"/>
      <c r="T792" s="142"/>
      <c r="U792" s="30"/>
      <c r="V792" s="30"/>
      <c r="W792" s="30"/>
      <c r="X792" s="30"/>
      <c r="Y792" s="30"/>
      <c r="Z792" s="30"/>
    </row>
    <row r="793">
      <c r="A793" s="320"/>
      <c r="B793" s="142"/>
      <c r="C793" s="320"/>
      <c r="D793" s="142"/>
      <c r="E793" s="320"/>
      <c r="F793" s="142"/>
      <c r="G793" s="320"/>
      <c r="H793" s="142"/>
      <c r="I793" s="320"/>
      <c r="J793" s="142"/>
      <c r="K793" s="320"/>
      <c r="L793" s="142"/>
      <c r="M793" s="320"/>
      <c r="N793" s="142"/>
      <c r="O793" s="320"/>
      <c r="P793" s="142"/>
      <c r="Q793" s="195"/>
      <c r="R793" s="195"/>
      <c r="S793" s="320"/>
      <c r="T793" s="142"/>
      <c r="U793" s="30"/>
      <c r="V793" s="30"/>
      <c r="W793" s="30"/>
      <c r="X793" s="30"/>
      <c r="Y793" s="30"/>
      <c r="Z793" s="30"/>
    </row>
    <row r="794">
      <c r="A794" s="320"/>
      <c r="B794" s="142"/>
      <c r="C794" s="320"/>
      <c r="D794" s="142"/>
      <c r="E794" s="320"/>
      <c r="F794" s="142"/>
      <c r="G794" s="320"/>
      <c r="H794" s="142"/>
      <c r="I794" s="320"/>
      <c r="J794" s="142"/>
      <c r="K794" s="320"/>
      <c r="L794" s="142"/>
      <c r="M794" s="320"/>
      <c r="N794" s="142"/>
      <c r="O794" s="320"/>
      <c r="P794" s="142"/>
      <c r="Q794" s="195"/>
      <c r="R794" s="195"/>
      <c r="S794" s="320"/>
      <c r="T794" s="142"/>
      <c r="U794" s="30"/>
      <c r="V794" s="30"/>
      <c r="W794" s="30"/>
      <c r="X794" s="30"/>
      <c r="Y794" s="30"/>
      <c r="Z794" s="30"/>
    </row>
    <row r="795">
      <c r="A795" s="320"/>
      <c r="B795" s="142"/>
      <c r="C795" s="320"/>
      <c r="D795" s="142"/>
      <c r="E795" s="320"/>
      <c r="F795" s="142"/>
      <c r="G795" s="320"/>
      <c r="H795" s="142"/>
      <c r="I795" s="320"/>
      <c r="J795" s="142"/>
      <c r="K795" s="320"/>
      <c r="L795" s="142"/>
      <c r="M795" s="320"/>
      <c r="N795" s="142"/>
      <c r="O795" s="320"/>
      <c r="P795" s="142"/>
      <c r="Q795" s="195"/>
      <c r="R795" s="195"/>
      <c r="S795" s="320"/>
      <c r="T795" s="142"/>
      <c r="U795" s="30"/>
      <c r="V795" s="30"/>
      <c r="W795" s="30"/>
      <c r="X795" s="30"/>
      <c r="Y795" s="30"/>
      <c r="Z795" s="30"/>
    </row>
    <row r="796">
      <c r="A796" s="320"/>
      <c r="B796" s="142"/>
      <c r="C796" s="320"/>
      <c r="D796" s="142"/>
      <c r="E796" s="320"/>
      <c r="F796" s="142"/>
      <c r="G796" s="320"/>
      <c r="H796" s="142"/>
      <c r="I796" s="320"/>
      <c r="J796" s="142"/>
      <c r="K796" s="320"/>
      <c r="L796" s="142"/>
      <c r="M796" s="320"/>
      <c r="N796" s="142"/>
      <c r="O796" s="320"/>
      <c r="P796" s="142"/>
      <c r="Q796" s="195"/>
      <c r="R796" s="195"/>
      <c r="S796" s="320"/>
      <c r="T796" s="142"/>
      <c r="U796" s="30"/>
      <c r="V796" s="30"/>
      <c r="W796" s="30"/>
      <c r="X796" s="30"/>
      <c r="Y796" s="30"/>
      <c r="Z796" s="30"/>
    </row>
    <row r="797">
      <c r="A797" s="320"/>
      <c r="B797" s="142"/>
      <c r="C797" s="320"/>
      <c r="D797" s="142"/>
      <c r="E797" s="320"/>
      <c r="F797" s="142"/>
      <c r="G797" s="320"/>
      <c r="H797" s="142"/>
      <c r="I797" s="320"/>
      <c r="J797" s="142"/>
      <c r="K797" s="320"/>
      <c r="L797" s="142"/>
      <c r="M797" s="320"/>
      <c r="N797" s="142"/>
      <c r="O797" s="320"/>
      <c r="P797" s="142"/>
      <c r="Q797" s="195"/>
      <c r="R797" s="195"/>
      <c r="S797" s="320"/>
      <c r="T797" s="142"/>
      <c r="U797" s="30"/>
      <c r="V797" s="30"/>
      <c r="W797" s="30"/>
      <c r="X797" s="30"/>
      <c r="Y797" s="30"/>
      <c r="Z797" s="30"/>
    </row>
    <row r="798">
      <c r="A798" s="320"/>
      <c r="B798" s="142"/>
      <c r="C798" s="320"/>
      <c r="D798" s="142"/>
      <c r="E798" s="320"/>
      <c r="F798" s="142"/>
      <c r="G798" s="320"/>
      <c r="H798" s="142"/>
      <c r="I798" s="320"/>
      <c r="J798" s="142"/>
      <c r="K798" s="320"/>
      <c r="L798" s="142"/>
      <c r="M798" s="320"/>
      <c r="N798" s="142"/>
      <c r="O798" s="320"/>
      <c r="P798" s="142"/>
      <c r="Q798" s="195"/>
      <c r="R798" s="195"/>
      <c r="S798" s="320"/>
      <c r="T798" s="142"/>
      <c r="U798" s="30"/>
      <c r="V798" s="30"/>
      <c r="W798" s="30"/>
      <c r="X798" s="30"/>
      <c r="Y798" s="30"/>
      <c r="Z798" s="30"/>
    </row>
    <row r="799">
      <c r="A799" s="320"/>
      <c r="B799" s="142"/>
      <c r="C799" s="320"/>
      <c r="D799" s="142"/>
      <c r="E799" s="320"/>
      <c r="F799" s="142"/>
      <c r="G799" s="320"/>
      <c r="H799" s="142"/>
      <c r="I799" s="320"/>
      <c r="J799" s="142"/>
      <c r="K799" s="320"/>
      <c r="L799" s="142"/>
      <c r="M799" s="320"/>
      <c r="N799" s="142"/>
      <c r="O799" s="320"/>
      <c r="P799" s="142"/>
      <c r="Q799" s="195"/>
      <c r="R799" s="195"/>
      <c r="S799" s="320"/>
      <c r="T799" s="142"/>
      <c r="U799" s="30"/>
      <c r="V799" s="30"/>
      <c r="W799" s="30"/>
      <c r="X799" s="30"/>
      <c r="Y799" s="30"/>
      <c r="Z799" s="30"/>
    </row>
    <row r="800">
      <c r="A800" s="320"/>
      <c r="B800" s="142"/>
      <c r="C800" s="320"/>
      <c r="D800" s="142"/>
      <c r="E800" s="320"/>
      <c r="F800" s="142"/>
      <c r="G800" s="320"/>
      <c r="H800" s="142"/>
      <c r="I800" s="320"/>
      <c r="J800" s="142"/>
      <c r="K800" s="320"/>
      <c r="L800" s="142"/>
      <c r="M800" s="320"/>
      <c r="N800" s="142"/>
      <c r="O800" s="320"/>
      <c r="P800" s="142"/>
      <c r="Q800" s="195"/>
      <c r="R800" s="195"/>
      <c r="S800" s="320"/>
      <c r="T800" s="142"/>
      <c r="U800" s="30"/>
      <c r="V800" s="30"/>
      <c r="W800" s="30"/>
      <c r="X800" s="30"/>
      <c r="Y800" s="30"/>
      <c r="Z800" s="30"/>
    </row>
    <row r="801">
      <c r="A801" s="320"/>
      <c r="B801" s="142"/>
      <c r="C801" s="320"/>
      <c r="D801" s="142"/>
      <c r="E801" s="320"/>
      <c r="F801" s="142"/>
      <c r="G801" s="320"/>
      <c r="H801" s="142"/>
      <c r="I801" s="320"/>
      <c r="J801" s="142"/>
      <c r="K801" s="320"/>
      <c r="L801" s="142"/>
      <c r="M801" s="320"/>
      <c r="N801" s="142"/>
      <c r="O801" s="320"/>
      <c r="P801" s="142"/>
      <c r="Q801" s="195"/>
      <c r="R801" s="195"/>
      <c r="S801" s="320"/>
      <c r="T801" s="142"/>
      <c r="U801" s="30"/>
      <c r="V801" s="30"/>
      <c r="W801" s="30"/>
      <c r="X801" s="30"/>
      <c r="Y801" s="30"/>
      <c r="Z801" s="30"/>
    </row>
    <row r="802">
      <c r="A802" s="320"/>
      <c r="B802" s="142"/>
      <c r="C802" s="320"/>
      <c r="D802" s="142"/>
      <c r="E802" s="320"/>
      <c r="F802" s="142"/>
      <c r="G802" s="320"/>
      <c r="H802" s="142"/>
      <c r="I802" s="320"/>
      <c r="J802" s="142"/>
      <c r="K802" s="320"/>
      <c r="L802" s="142"/>
      <c r="M802" s="320"/>
      <c r="N802" s="142"/>
      <c r="O802" s="320"/>
      <c r="P802" s="142"/>
      <c r="Q802" s="195"/>
      <c r="R802" s="195"/>
      <c r="S802" s="320"/>
      <c r="T802" s="142"/>
      <c r="U802" s="30"/>
      <c r="V802" s="30"/>
      <c r="W802" s="30"/>
      <c r="X802" s="30"/>
      <c r="Y802" s="30"/>
      <c r="Z802" s="30"/>
    </row>
    <row r="803">
      <c r="A803" s="320"/>
      <c r="B803" s="142"/>
      <c r="C803" s="320"/>
      <c r="D803" s="142"/>
      <c r="E803" s="320"/>
      <c r="F803" s="142"/>
      <c r="G803" s="320"/>
      <c r="H803" s="142"/>
      <c r="I803" s="320"/>
      <c r="J803" s="142"/>
      <c r="K803" s="320"/>
      <c r="L803" s="142"/>
      <c r="M803" s="320"/>
      <c r="N803" s="142"/>
      <c r="O803" s="320"/>
      <c r="P803" s="142"/>
      <c r="Q803" s="195"/>
      <c r="R803" s="195"/>
      <c r="S803" s="320"/>
      <c r="T803" s="142"/>
      <c r="U803" s="30"/>
      <c r="V803" s="30"/>
      <c r="W803" s="30"/>
      <c r="X803" s="30"/>
      <c r="Y803" s="30"/>
      <c r="Z803" s="30"/>
    </row>
    <row r="804">
      <c r="A804" s="320"/>
      <c r="B804" s="142"/>
      <c r="C804" s="320"/>
      <c r="D804" s="142"/>
      <c r="E804" s="320"/>
      <c r="F804" s="142"/>
      <c r="G804" s="320"/>
      <c r="H804" s="142"/>
      <c r="I804" s="320"/>
      <c r="J804" s="142"/>
      <c r="K804" s="320"/>
      <c r="L804" s="142"/>
      <c r="M804" s="320"/>
      <c r="N804" s="142"/>
      <c r="O804" s="320"/>
      <c r="P804" s="142"/>
      <c r="Q804" s="195"/>
      <c r="R804" s="195"/>
      <c r="S804" s="320"/>
      <c r="T804" s="142"/>
      <c r="U804" s="30"/>
      <c r="V804" s="30"/>
      <c r="W804" s="30"/>
      <c r="X804" s="30"/>
      <c r="Y804" s="30"/>
      <c r="Z804" s="30"/>
    </row>
    <row r="805">
      <c r="A805" s="320"/>
      <c r="B805" s="142"/>
      <c r="C805" s="320"/>
      <c r="D805" s="142"/>
      <c r="E805" s="320"/>
      <c r="F805" s="142"/>
      <c r="G805" s="320"/>
      <c r="H805" s="142"/>
      <c r="I805" s="320"/>
      <c r="J805" s="142"/>
      <c r="K805" s="320"/>
      <c r="L805" s="142"/>
      <c r="M805" s="320"/>
      <c r="N805" s="142"/>
      <c r="O805" s="320"/>
      <c r="P805" s="142"/>
      <c r="Q805" s="195"/>
      <c r="R805" s="195"/>
      <c r="S805" s="320"/>
      <c r="T805" s="142"/>
      <c r="U805" s="30"/>
      <c r="V805" s="30"/>
      <c r="W805" s="30"/>
      <c r="X805" s="30"/>
      <c r="Y805" s="30"/>
      <c r="Z805" s="30"/>
    </row>
    <row r="806">
      <c r="A806" s="320"/>
      <c r="B806" s="142"/>
      <c r="C806" s="320"/>
      <c r="D806" s="142"/>
      <c r="E806" s="320"/>
      <c r="F806" s="142"/>
      <c r="G806" s="320"/>
      <c r="H806" s="142"/>
      <c r="I806" s="320"/>
      <c r="J806" s="142"/>
      <c r="K806" s="320"/>
      <c r="L806" s="142"/>
      <c r="M806" s="320"/>
      <c r="N806" s="142"/>
      <c r="O806" s="320"/>
      <c r="P806" s="142"/>
      <c r="Q806" s="195"/>
      <c r="R806" s="195"/>
      <c r="S806" s="320"/>
      <c r="T806" s="142"/>
      <c r="U806" s="30"/>
      <c r="V806" s="30"/>
      <c r="W806" s="30"/>
      <c r="X806" s="30"/>
      <c r="Y806" s="30"/>
      <c r="Z806" s="30"/>
    </row>
    <row r="807">
      <c r="A807" s="320"/>
      <c r="B807" s="142"/>
      <c r="C807" s="320"/>
      <c r="D807" s="142"/>
      <c r="E807" s="320"/>
      <c r="F807" s="142"/>
      <c r="G807" s="320"/>
      <c r="H807" s="142"/>
      <c r="I807" s="320"/>
      <c r="J807" s="142"/>
      <c r="K807" s="320"/>
      <c r="L807" s="142"/>
      <c r="M807" s="320"/>
      <c r="N807" s="142"/>
      <c r="O807" s="320"/>
      <c r="P807" s="142"/>
      <c r="Q807" s="195"/>
      <c r="R807" s="195"/>
      <c r="S807" s="320"/>
      <c r="T807" s="142"/>
      <c r="U807" s="30"/>
      <c r="V807" s="30"/>
      <c r="W807" s="30"/>
      <c r="X807" s="30"/>
      <c r="Y807" s="30"/>
      <c r="Z807" s="30"/>
    </row>
    <row r="808">
      <c r="A808" s="320"/>
      <c r="B808" s="142"/>
      <c r="C808" s="320"/>
      <c r="D808" s="142"/>
      <c r="E808" s="320"/>
      <c r="F808" s="142"/>
      <c r="G808" s="320"/>
      <c r="H808" s="142"/>
      <c r="I808" s="320"/>
      <c r="J808" s="142"/>
      <c r="K808" s="320"/>
      <c r="L808" s="142"/>
      <c r="M808" s="320"/>
      <c r="N808" s="142"/>
      <c r="O808" s="320"/>
      <c r="P808" s="142"/>
      <c r="Q808" s="195"/>
      <c r="R808" s="195"/>
      <c r="S808" s="320"/>
      <c r="T808" s="142"/>
      <c r="U808" s="30"/>
      <c r="V808" s="30"/>
      <c r="W808" s="30"/>
      <c r="X808" s="30"/>
      <c r="Y808" s="30"/>
      <c r="Z808" s="30"/>
    </row>
    <row r="809">
      <c r="A809" s="320"/>
      <c r="B809" s="142"/>
      <c r="C809" s="320"/>
      <c r="D809" s="142"/>
      <c r="E809" s="320"/>
      <c r="F809" s="142"/>
      <c r="G809" s="320"/>
      <c r="H809" s="142"/>
      <c r="I809" s="320"/>
      <c r="J809" s="142"/>
      <c r="K809" s="320"/>
      <c r="L809" s="142"/>
      <c r="M809" s="320"/>
      <c r="N809" s="142"/>
      <c r="O809" s="320"/>
      <c r="P809" s="142"/>
      <c r="Q809" s="195"/>
      <c r="R809" s="195"/>
      <c r="S809" s="320"/>
      <c r="T809" s="142"/>
      <c r="U809" s="30"/>
      <c r="V809" s="30"/>
      <c r="W809" s="30"/>
      <c r="X809" s="30"/>
      <c r="Y809" s="30"/>
      <c r="Z809" s="30"/>
    </row>
    <row r="810">
      <c r="A810" s="320"/>
      <c r="B810" s="142"/>
      <c r="C810" s="320"/>
      <c r="D810" s="142"/>
      <c r="E810" s="320"/>
      <c r="F810" s="142"/>
      <c r="G810" s="320"/>
      <c r="H810" s="142"/>
      <c r="I810" s="320"/>
      <c r="J810" s="142"/>
      <c r="K810" s="320"/>
      <c r="L810" s="142"/>
      <c r="M810" s="320"/>
      <c r="N810" s="142"/>
      <c r="O810" s="320"/>
      <c r="P810" s="142"/>
      <c r="Q810" s="195"/>
      <c r="R810" s="195"/>
      <c r="S810" s="320"/>
      <c r="T810" s="142"/>
      <c r="U810" s="30"/>
      <c r="V810" s="30"/>
      <c r="W810" s="30"/>
      <c r="X810" s="30"/>
      <c r="Y810" s="30"/>
      <c r="Z810" s="30"/>
    </row>
    <row r="811">
      <c r="A811" s="320"/>
      <c r="B811" s="142"/>
      <c r="C811" s="320"/>
      <c r="D811" s="142"/>
      <c r="E811" s="320"/>
      <c r="F811" s="142"/>
      <c r="G811" s="320"/>
      <c r="H811" s="142"/>
      <c r="I811" s="320"/>
      <c r="J811" s="142"/>
      <c r="K811" s="320"/>
      <c r="L811" s="142"/>
      <c r="M811" s="320"/>
      <c r="N811" s="142"/>
      <c r="O811" s="320"/>
      <c r="P811" s="142"/>
      <c r="Q811" s="195"/>
      <c r="R811" s="195"/>
      <c r="S811" s="320"/>
      <c r="T811" s="142"/>
      <c r="U811" s="30"/>
      <c r="V811" s="30"/>
      <c r="W811" s="30"/>
      <c r="X811" s="30"/>
      <c r="Y811" s="30"/>
      <c r="Z811" s="30"/>
    </row>
    <row r="812">
      <c r="A812" s="320"/>
      <c r="B812" s="142"/>
      <c r="C812" s="320"/>
      <c r="D812" s="142"/>
      <c r="E812" s="320"/>
      <c r="F812" s="142"/>
      <c r="G812" s="320"/>
      <c r="H812" s="142"/>
      <c r="I812" s="320"/>
      <c r="J812" s="142"/>
      <c r="K812" s="320"/>
      <c r="L812" s="142"/>
      <c r="M812" s="320"/>
      <c r="N812" s="142"/>
      <c r="O812" s="320"/>
      <c r="P812" s="142"/>
      <c r="Q812" s="195"/>
      <c r="R812" s="195"/>
      <c r="S812" s="320"/>
      <c r="T812" s="142"/>
      <c r="U812" s="30"/>
      <c r="V812" s="30"/>
      <c r="W812" s="30"/>
      <c r="X812" s="30"/>
      <c r="Y812" s="30"/>
      <c r="Z812" s="30"/>
    </row>
    <row r="813">
      <c r="A813" s="320"/>
      <c r="B813" s="142"/>
      <c r="C813" s="320"/>
      <c r="D813" s="142"/>
      <c r="E813" s="320"/>
      <c r="F813" s="142"/>
      <c r="G813" s="320"/>
      <c r="H813" s="142"/>
      <c r="I813" s="320"/>
      <c r="J813" s="142"/>
      <c r="K813" s="320"/>
      <c r="L813" s="142"/>
      <c r="M813" s="320"/>
      <c r="N813" s="142"/>
      <c r="O813" s="320"/>
      <c r="P813" s="142"/>
      <c r="Q813" s="195"/>
      <c r="R813" s="195"/>
      <c r="S813" s="320"/>
      <c r="T813" s="142"/>
      <c r="U813" s="30"/>
      <c r="V813" s="30"/>
      <c r="W813" s="30"/>
      <c r="X813" s="30"/>
      <c r="Y813" s="30"/>
      <c r="Z813" s="30"/>
    </row>
    <row r="814">
      <c r="A814" s="320"/>
      <c r="B814" s="142"/>
      <c r="C814" s="320"/>
      <c r="D814" s="142"/>
      <c r="E814" s="320"/>
      <c r="F814" s="142"/>
      <c r="G814" s="320"/>
      <c r="H814" s="142"/>
      <c r="I814" s="320"/>
      <c r="J814" s="142"/>
      <c r="K814" s="320"/>
      <c r="L814" s="142"/>
      <c r="M814" s="320"/>
      <c r="N814" s="142"/>
      <c r="O814" s="320"/>
      <c r="P814" s="142"/>
      <c r="Q814" s="195"/>
      <c r="R814" s="195"/>
      <c r="S814" s="320"/>
      <c r="T814" s="142"/>
      <c r="U814" s="30"/>
      <c r="V814" s="30"/>
      <c r="W814" s="30"/>
      <c r="X814" s="30"/>
      <c r="Y814" s="30"/>
      <c r="Z814" s="30"/>
    </row>
    <row r="815">
      <c r="A815" s="320"/>
      <c r="B815" s="142"/>
      <c r="C815" s="320"/>
      <c r="D815" s="142"/>
      <c r="E815" s="320"/>
      <c r="F815" s="142"/>
      <c r="G815" s="320"/>
      <c r="H815" s="142"/>
      <c r="I815" s="320"/>
      <c r="J815" s="142"/>
      <c r="K815" s="320"/>
      <c r="L815" s="142"/>
      <c r="M815" s="320"/>
      <c r="N815" s="142"/>
      <c r="O815" s="320"/>
      <c r="P815" s="142"/>
      <c r="Q815" s="195"/>
      <c r="R815" s="195"/>
      <c r="S815" s="320"/>
      <c r="T815" s="142"/>
      <c r="U815" s="30"/>
      <c r="V815" s="30"/>
      <c r="W815" s="30"/>
      <c r="X815" s="30"/>
      <c r="Y815" s="30"/>
      <c r="Z815" s="30"/>
    </row>
    <row r="816">
      <c r="A816" s="320"/>
      <c r="B816" s="142"/>
      <c r="C816" s="320"/>
      <c r="D816" s="142"/>
      <c r="E816" s="320"/>
      <c r="F816" s="142"/>
      <c r="G816" s="320"/>
      <c r="H816" s="142"/>
      <c r="I816" s="320"/>
      <c r="J816" s="142"/>
      <c r="K816" s="320"/>
      <c r="L816" s="142"/>
      <c r="M816" s="320"/>
      <c r="N816" s="142"/>
      <c r="O816" s="320"/>
      <c r="P816" s="142"/>
      <c r="Q816" s="195"/>
      <c r="R816" s="195"/>
      <c r="S816" s="320"/>
      <c r="T816" s="142"/>
      <c r="U816" s="30"/>
      <c r="V816" s="30"/>
      <c r="W816" s="30"/>
      <c r="X816" s="30"/>
      <c r="Y816" s="30"/>
      <c r="Z816" s="30"/>
    </row>
    <row r="817">
      <c r="A817" s="320"/>
      <c r="B817" s="142"/>
      <c r="C817" s="320"/>
      <c r="D817" s="142"/>
      <c r="E817" s="320"/>
      <c r="F817" s="142"/>
      <c r="G817" s="320"/>
      <c r="H817" s="142"/>
      <c r="I817" s="320"/>
      <c r="J817" s="142"/>
      <c r="K817" s="320"/>
      <c r="L817" s="142"/>
      <c r="M817" s="320"/>
      <c r="N817" s="142"/>
      <c r="O817" s="320"/>
      <c r="P817" s="142"/>
      <c r="Q817" s="195"/>
      <c r="R817" s="195"/>
      <c r="S817" s="320"/>
      <c r="T817" s="142"/>
      <c r="U817" s="30"/>
      <c r="V817" s="30"/>
      <c r="W817" s="30"/>
      <c r="X817" s="30"/>
      <c r="Y817" s="30"/>
      <c r="Z817" s="30"/>
    </row>
    <row r="818">
      <c r="A818" s="320"/>
      <c r="B818" s="142"/>
      <c r="C818" s="320"/>
      <c r="D818" s="142"/>
      <c r="E818" s="320"/>
      <c r="F818" s="142"/>
      <c r="G818" s="320"/>
      <c r="H818" s="142"/>
      <c r="I818" s="320"/>
      <c r="J818" s="142"/>
      <c r="K818" s="320"/>
      <c r="L818" s="142"/>
      <c r="M818" s="320"/>
      <c r="N818" s="142"/>
      <c r="O818" s="320"/>
      <c r="P818" s="142"/>
      <c r="Q818" s="195"/>
      <c r="R818" s="195"/>
      <c r="S818" s="320"/>
      <c r="T818" s="142"/>
      <c r="U818" s="30"/>
      <c r="V818" s="30"/>
      <c r="W818" s="30"/>
      <c r="X818" s="30"/>
      <c r="Y818" s="30"/>
      <c r="Z818" s="30"/>
    </row>
    <row r="819">
      <c r="A819" s="320"/>
      <c r="B819" s="142"/>
      <c r="C819" s="320"/>
      <c r="D819" s="142"/>
      <c r="E819" s="320"/>
      <c r="F819" s="142"/>
      <c r="G819" s="320"/>
      <c r="H819" s="142"/>
      <c r="I819" s="320"/>
      <c r="J819" s="142"/>
      <c r="K819" s="320"/>
      <c r="L819" s="142"/>
      <c r="M819" s="320"/>
      <c r="N819" s="142"/>
      <c r="O819" s="320"/>
      <c r="P819" s="142"/>
      <c r="Q819" s="195"/>
      <c r="R819" s="195"/>
      <c r="S819" s="320"/>
      <c r="T819" s="142"/>
      <c r="U819" s="30"/>
      <c r="V819" s="30"/>
      <c r="W819" s="30"/>
      <c r="X819" s="30"/>
      <c r="Y819" s="30"/>
      <c r="Z819" s="30"/>
    </row>
    <row r="820">
      <c r="A820" s="320"/>
      <c r="B820" s="142"/>
      <c r="C820" s="320"/>
      <c r="D820" s="142"/>
      <c r="E820" s="320"/>
      <c r="F820" s="142"/>
      <c r="G820" s="320"/>
      <c r="H820" s="142"/>
      <c r="I820" s="320"/>
      <c r="J820" s="142"/>
      <c r="K820" s="320"/>
      <c r="L820" s="142"/>
      <c r="M820" s="320"/>
      <c r="N820" s="142"/>
      <c r="O820" s="320"/>
      <c r="P820" s="142"/>
      <c r="Q820" s="195"/>
      <c r="R820" s="195"/>
      <c r="S820" s="320"/>
      <c r="T820" s="142"/>
      <c r="U820" s="30"/>
      <c r="V820" s="30"/>
      <c r="W820" s="30"/>
      <c r="X820" s="30"/>
      <c r="Y820" s="30"/>
      <c r="Z820" s="30"/>
    </row>
    <row r="821">
      <c r="A821" s="320"/>
      <c r="B821" s="142"/>
      <c r="C821" s="320"/>
      <c r="D821" s="142"/>
      <c r="E821" s="320"/>
      <c r="F821" s="142"/>
      <c r="G821" s="320"/>
      <c r="H821" s="142"/>
      <c r="I821" s="320"/>
      <c r="J821" s="142"/>
      <c r="K821" s="320"/>
      <c r="L821" s="142"/>
      <c r="M821" s="320"/>
      <c r="N821" s="142"/>
      <c r="O821" s="320"/>
      <c r="P821" s="142"/>
      <c r="Q821" s="195"/>
      <c r="R821" s="195"/>
      <c r="S821" s="320"/>
      <c r="T821" s="142"/>
      <c r="U821" s="30"/>
      <c r="V821" s="30"/>
      <c r="W821" s="30"/>
      <c r="X821" s="30"/>
      <c r="Y821" s="30"/>
      <c r="Z821" s="30"/>
    </row>
    <row r="822">
      <c r="A822" s="320"/>
      <c r="B822" s="142"/>
      <c r="C822" s="320"/>
      <c r="D822" s="142"/>
      <c r="E822" s="320"/>
      <c r="F822" s="142"/>
      <c r="G822" s="320"/>
      <c r="H822" s="142"/>
      <c r="I822" s="320"/>
      <c r="J822" s="142"/>
      <c r="K822" s="320"/>
      <c r="L822" s="142"/>
      <c r="M822" s="320"/>
      <c r="N822" s="142"/>
      <c r="O822" s="320"/>
      <c r="P822" s="142"/>
      <c r="Q822" s="195"/>
      <c r="R822" s="195"/>
      <c r="S822" s="320"/>
      <c r="T822" s="142"/>
      <c r="U822" s="30"/>
      <c r="V822" s="30"/>
      <c r="W822" s="30"/>
      <c r="X822" s="30"/>
      <c r="Y822" s="30"/>
      <c r="Z822" s="30"/>
    </row>
    <row r="823">
      <c r="A823" s="320"/>
      <c r="B823" s="142"/>
      <c r="C823" s="320"/>
      <c r="D823" s="142"/>
      <c r="E823" s="320"/>
      <c r="F823" s="142"/>
      <c r="G823" s="320"/>
      <c r="H823" s="142"/>
      <c r="I823" s="320"/>
      <c r="J823" s="142"/>
      <c r="K823" s="320"/>
      <c r="L823" s="142"/>
      <c r="M823" s="320"/>
      <c r="N823" s="142"/>
      <c r="O823" s="320"/>
      <c r="P823" s="142"/>
      <c r="Q823" s="195"/>
      <c r="R823" s="195"/>
      <c r="S823" s="320"/>
      <c r="T823" s="142"/>
      <c r="U823" s="30"/>
      <c r="V823" s="30"/>
      <c r="W823" s="30"/>
      <c r="X823" s="30"/>
      <c r="Y823" s="30"/>
      <c r="Z823" s="30"/>
    </row>
    <row r="824">
      <c r="A824" s="320"/>
      <c r="B824" s="142"/>
      <c r="C824" s="320"/>
      <c r="D824" s="142"/>
      <c r="E824" s="320"/>
      <c r="F824" s="142"/>
      <c r="G824" s="320"/>
      <c r="H824" s="142"/>
      <c r="I824" s="320"/>
      <c r="J824" s="142"/>
      <c r="K824" s="320"/>
      <c r="L824" s="142"/>
      <c r="M824" s="320"/>
      <c r="N824" s="142"/>
      <c r="O824" s="320"/>
      <c r="P824" s="142"/>
      <c r="Q824" s="195"/>
      <c r="R824" s="195"/>
      <c r="S824" s="320"/>
      <c r="T824" s="142"/>
      <c r="U824" s="30"/>
      <c r="V824" s="30"/>
      <c r="W824" s="30"/>
      <c r="X824" s="30"/>
      <c r="Y824" s="30"/>
      <c r="Z824" s="30"/>
    </row>
    <row r="825">
      <c r="A825" s="320"/>
      <c r="B825" s="142"/>
      <c r="C825" s="320"/>
      <c r="D825" s="142"/>
      <c r="E825" s="320"/>
      <c r="F825" s="142"/>
      <c r="G825" s="320"/>
      <c r="H825" s="142"/>
      <c r="I825" s="320"/>
      <c r="J825" s="142"/>
      <c r="K825" s="320"/>
      <c r="L825" s="142"/>
      <c r="M825" s="320"/>
      <c r="N825" s="142"/>
      <c r="O825" s="320"/>
      <c r="P825" s="142"/>
      <c r="Q825" s="195"/>
      <c r="R825" s="195"/>
      <c r="S825" s="320"/>
      <c r="T825" s="142"/>
      <c r="U825" s="30"/>
      <c r="V825" s="30"/>
      <c r="W825" s="30"/>
      <c r="X825" s="30"/>
      <c r="Y825" s="30"/>
      <c r="Z825" s="30"/>
    </row>
    <row r="826">
      <c r="A826" s="320"/>
      <c r="B826" s="142"/>
      <c r="C826" s="320"/>
      <c r="D826" s="142"/>
      <c r="E826" s="320"/>
      <c r="F826" s="142"/>
      <c r="G826" s="320"/>
      <c r="H826" s="142"/>
      <c r="I826" s="320"/>
      <c r="J826" s="142"/>
      <c r="K826" s="320"/>
      <c r="L826" s="142"/>
      <c r="M826" s="320"/>
      <c r="N826" s="142"/>
      <c r="O826" s="320"/>
      <c r="P826" s="142"/>
      <c r="Q826" s="195"/>
      <c r="R826" s="195"/>
      <c r="S826" s="320"/>
      <c r="T826" s="142"/>
      <c r="U826" s="30"/>
      <c r="V826" s="30"/>
      <c r="W826" s="30"/>
      <c r="X826" s="30"/>
      <c r="Y826" s="30"/>
      <c r="Z826" s="30"/>
    </row>
    <row r="827">
      <c r="A827" s="320"/>
      <c r="B827" s="142"/>
      <c r="C827" s="320"/>
      <c r="D827" s="142"/>
      <c r="E827" s="320"/>
      <c r="F827" s="142"/>
      <c r="G827" s="320"/>
      <c r="H827" s="142"/>
      <c r="I827" s="320"/>
      <c r="J827" s="142"/>
      <c r="K827" s="320"/>
      <c r="L827" s="142"/>
      <c r="M827" s="320"/>
      <c r="N827" s="142"/>
      <c r="O827" s="320"/>
      <c r="P827" s="142"/>
      <c r="Q827" s="195"/>
      <c r="R827" s="195"/>
      <c r="S827" s="320"/>
      <c r="T827" s="142"/>
      <c r="U827" s="30"/>
      <c r="V827" s="30"/>
      <c r="W827" s="30"/>
      <c r="X827" s="30"/>
      <c r="Y827" s="30"/>
      <c r="Z827" s="30"/>
    </row>
    <row r="828">
      <c r="A828" s="320"/>
      <c r="B828" s="142"/>
      <c r="C828" s="320"/>
      <c r="D828" s="142"/>
      <c r="E828" s="320"/>
      <c r="F828" s="142"/>
      <c r="G828" s="320"/>
      <c r="H828" s="142"/>
      <c r="I828" s="320"/>
      <c r="J828" s="142"/>
      <c r="K828" s="320"/>
      <c r="L828" s="142"/>
      <c r="M828" s="320"/>
      <c r="N828" s="142"/>
      <c r="O828" s="320"/>
      <c r="P828" s="142"/>
      <c r="Q828" s="195"/>
      <c r="R828" s="195"/>
      <c r="S828" s="320"/>
      <c r="T828" s="142"/>
      <c r="U828" s="30"/>
      <c r="V828" s="30"/>
      <c r="W828" s="30"/>
      <c r="X828" s="30"/>
      <c r="Y828" s="30"/>
      <c r="Z828" s="30"/>
    </row>
    <row r="829">
      <c r="A829" s="320"/>
      <c r="B829" s="142"/>
      <c r="C829" s="320"/>
      <c r="D829" s="142"/>
      <c r="E829" s="320"/>
      <c r="F829" s="142"/>
      <c r="G829" s="320"/>
      <c r="H829" s="142"/>
      <c r="I829" s="320"/>
      <c r="J829" s="142"/>
      <c r="K829" s="320"/>
      <c r="L829" s="142"/>
      <c r="M829" s="320"/>
      <c r="N829" s="142"/>
      <c r="O829" s="320"/>
      <c r="P829" s="142"/>
      <c r="Q829" s="195"/>
      <c r="R829" s="195"/>
      <c r="S829" s="320"/>
      <c r="T829" s="142"/>
      <c r="U829" s="30"/>
      <c r="V829" s="30"/>
      <c r="W829" s="30"/>
      <c r="X829" s="30"/>
      <c r="Y829" s="30"/>
      <c r="Z829" s="30"/>
    </row>
    <row r="830">
      <c r="A830" s="320"/>
      <c r="B830" s="142"/>
      <c r="C830" s="320"/>
      <c r="D830" s="142"/>
      <c r="E830" s="320"/>
      <c r="F830" s="142"/>
      <c r="G830" s="320"/>
      <c r="H830" s="142"/>
      <c r="I830" s="320"/>
      <c r="J830" s="142"/>
      <c r="K830" s="320"/>
      <c r="L830" s="142"/>
      <c r="M830" s="320"/>
      <c r="N830" s="142"/>
      <c r="O830" s="320"/>
      <c r="P830" s="142"/>
      <c r="Q830" s="195"/>
      <c r="R830" s="195"/>
      <c r="S830" s="320"/>
      <c r="T830" s="142"/>
      <c r="U830" s="30"/>
      <c r="V830" s="30"/>
      <c r="W830" s="30"/>
      <c r="X830" s="30"/>
      <c r="Y830" s="30"/>
      <c r="Z830" s="30"/>
    </row>
    <row r="831">
      <c r="A831" s="320"/>
      <c r="B831" s="142"/>
      <c r="C831" s="320"/>
      <c r="D831" s="142"/>
      <c r="E831" s="320"/>
      <c r="F831" s="142"/>
      <c r="G831" s="320"/>
      <c r="H831" s="142"/>
      <c r="I831" s="320"/>
      <c r="J831" s="142"/>
      <c r="K831" s="320"/>
      <c r="L831" s="142"/>
      <c r="M831" s="320"/>
      <c r="N831" s="142"/>
      <c r="O831" s="320"/>
      <c r="P831" s="142"/>
      <c r="Q831" s="195"/>
      <c r="R831" s="195"/>
      <c r="S831" s="320"/>
      <c r="T831" s="142"/>
      <c r="U831" s="30"/>
      <c r="V831" s="30"/>
      <c r="W831" s="30"/>
      <c r="X831" s="30"/>
      <c r="Y831" s="30"/>
      <c r="Z831" s="30"/>
    </row>
    <row r="832">
      <c r="A832" s="320"/>
      <c r="B832" s="142"/>
      <c r="C832" s="320"/>
      <c r="D832" s="142"/>
      <c r="E832" s="320"/>
      <c r="F832" s="142"/>
      <c r="G832" s="320"/>
      <c r="H832" s="142"/>
      <c r="I832" s="320"/>
      <c r="J832" s="142"/>
      <c r="K832" s="320"/>
      <c r="L832" s="142"/>
      <c r="M832" s="320"/>
      <c r="N832" s="142"/>
      <c r="O832" s="320"/>
      <c r="P832" s="142"/>
      <c r="Q832" s="195"/>
      <c r="R832" s="195"/>
      <c r="S832" s="320"/>
      <c r="T832" s="142"/>
      <c r="U832" s="30"/>
      <c r="V832" s="30"/>
      <c r="W832" s="30"/>
      <c r="X832" s="30"/>
      <c r="Y832" s="30"/>
      <c r="Z832" s="30"/>
    </row>
    <row r="833">
      <c r="A833" s="320"/>
      <c r="B833" s="142"/>
      <c r="C833" s="320"/>
      <c r="D833" s="142"/>
      <c r="E833" s="320"/>
      <c r="F833" s="142"/>
      <c r="G833" s="320"/>
      <c r="H833" s="142"/>
      <c r="I833" s="320"/>
      <c r="J833" s="142"/>
      <c r="K833" s="320"/>
      <c r="L833" s="142"/>
      <c r="M833" s="320"/>
      <c r="N833" s="142"/>
      <c r="O833" s="320"/>
      <c r="P833" s="142"/>
      <c r="Q833" s="195"/>
      <c r="R833" s="195"/>
      <c r="S833" s="320"/>
      <c r="T833" s="142"/>
      <c r="U833" s="30"/>
      <c r="V833" s="30"/>
      <c r="W833" s="30"/>
      <c r="X833" s="30"/>
      <c r="Y833" s="30"/>
      <c r="Z833" s="30"/>
    </row>
    <row r="834">
      <c r="A834" s="320"/>
      <c r="B834" s="142"/>
      <c r="C834" s="320"/>
      <c r="D834" s="142"/>
      <c r="E834" s="320"/>
      <c r="F834" s="142"/>
      <c r="G834" s="320"/>
      <c r="H834" s="142"/>
      <c r="I834" s="320"/>
      <c r="J834" s="142"/>
      <c r="K834" s="320"/>
      <c r="L834" s="142"/>
      <c r="M834" s="320"/>
      <c r="N834" s="142"/>
      <c r="O834" s="320"/>
      <c r="P834" s="142"/>
      <c r="Q834" s="195"/>
      <c r="R834" s="195"/>
      <c r="S834" s="320"/>
      <c r="T834" s="142"/>
      <c r="U834" s="30"/>
      <c r="V834" s="30"/>
      <c r="W834" s="30"/>
      <c r="X834" s="30"/>
      <c r="Y834" s="30"/>
      <c r="Z834" s="30"/>
    </row>
    <row r="835">
      <c r="A835" s="320"/>
      <c r="B835" s="142"/>
      <c r="C835" s="320"/>
      <c r="D835" s="142"/>
      <c r="E835" s="320"/>
      <c r="F835" s="142"/>
      <c r="G835" s="320"/>
      <c r="H835" s="142"/>
      <c r="I835" s="320"/>
      <c r="J835" s="142"/>
      <c r="K835" s="320"/>
      <c r="L835" s="142"/>
      <c r="M835" s="320"/>
      <c r="N835" s="142"/>
      <c r="O835" s="320"/>
      <c r="P835" s="142"/>
      <c r="Q835" s="195"/>
      <c r="R835" s="195"/>
      <c r="S835" s="320"/>
      <c r="T835" s="142"/>
      <c r="U835" s="30"/>
      <c r="V835" s="30"/>
      <c r="W835" s="30"/>
      <c r="X835" s="30"/>
      <c r="Y835" s="30"/>
      <c r="Z835" s="30"/>
    </row>
    <row r="836">
      <c r="A836" s="320"/>
      <c r="B836" s="142"/>
      <c r="C836" s="320"/>
      <c r="D836" s="142"/>
      <c r="E836" s="320"/>
      <c r="F836" s="142"/>
      <c r="G836" s="320"/>
      <c r="H836" s="142"/>
      <c r="I836" s="320"/>
      <c r="J836" s="142"/>
      <c r="K836" s="320"/>
      <c r="L836" s="142"/>
      <c r="M836" s="320"/>
      <c r="N836" s="142"/>
      <c r="O836" s="320"/>
      <c r="P836" s="142"/>
      <c r="Q836" s="195"/>
      <c r="R836" s="195"/>
      <c r="S836" s="320"/>
      <c r="T836" s="142"/>
      <c r="U836" s="30"/>
      <c r="V836" s="30"/>
      <c r="W836" s="30"/>
      <c r="X836" s="30"/>
      <c r="Y836" s="30"/>
      <c r="Z836" s="30"/>
    </row>
    <row r="837">
      <c r="A837" s="320"/>
      <c r="B837" s="142"/>
      <c r="C837" s="320"/>
      <c r="D837" s="142"/>
      <c r="E837" s="320"/>
      <c r="F837" s="142"/>
      <c r="G837" s="320"/>
      <c r="H837" s="142"/>
      <c r="I837" s="320"/>
      <c r="J837" s="142"/>
      <c r="K837" s="320"/>
      <c r="L837" s="142"/>
      <c r="M837" s="320"/>
      <c r="N837" s="142"/>
      <c r="O837" s="320"/>
      <c r="P837" s="142"/>
      <c r="Q837" s="195"/>
      <c r="R837" s="195"/>
      <c r="S837" s="320"/>
      <c r="T837" s="142"/>
      <c r="U837" s="30"/>
      <c r="V837" s="30"/>
      <c r="W837" s="30"/>
      <c r="X837" s="30"/>
      <c r="Y837" s="30"/>
      <c r="Z837" s="30"/>
    </row>
    <row r="838">
      <c r="A838" s="320"/>
      <c r="B838" s="142"/>
      <c r="C838" s="320"/>
      <c r="D838" s="142"/>
      <c r="E838" s="320"/>
      <c r="F838" s="142"/>
      <c r="G838" s="320"/>
      <c r="H838" s="142"/>
      <c r="I838" s="320"/>
      <c r="J838" s="142"/>
      <c r="K838" s="320"/>
      <c r="L838" s="142"/>
      <c r="M838" s="320"/>
      <c r="N838" s="142"/>
      <c r="O838" s="320"/>
      <c r="P838" s="142"/>
      <c r="Q838" s="195"/>
      <c r="R838" s="195"/>
      <c r="S838" s="320"/>
      <c r="T838" s="142"/>
      <c r="U838" s="30"/>
      <c r="V838" s="30"/>
      <c r="W838" s="30"/>
      <c r="X838" s="30"/>
      <c r="Y838" s="30"/>
      <c r="Z838" s="30"/>
    </row>
    <row r="839">
      <c r="A839" s="320"/>
      <c r="B839" s="142"/>
      <c r="C839" s="320"/>
      <c r="D839" s="142"/>
      <c r="E839" s="320"/>
      <c r="F839" s="142"/>
      <c r="G839" s="320"/>
      <c r="H839" s="142"/>
      <c r="I839" s="320"/>
      <c r="J839" s="142"/>
      <c r="K839" s="320"/>
      <c r="L839" s="142"/>
      <c r="M839" s="320"/>
      <c r="N839" s="142"/>
      <c r="O839" s="320"/>
      <c r="P839" s="142"/>
      <c r="Q839" s="195"/>
      <c r="R839" s="195"/>
      <c r="S839" s="320"/>
      <c r="T839" s="142"/>
      <c r="U839" s="30"/>
      <c r="V839" s="30"/>
      <c r="W839" s="30"/>
      <c r="X839" s="30"/>
      <c r="Y839" s="30"/>
      <c r="Z839" s="30"/>
    </row>
    <row r="840">
      <c r="A840" s="320"/>
      <c r="B840" s="142"/>
      <c r="C840" s="320"/>
      <c r="D840" s="142"/>
      <c r="E840" s="320"/>
      <c r="F840" s="142"/>
      <c r="G840" s="320"/>
      <c r="H840" s="142"/>
      <c r="I840" s="320"/>
      <c r="J840" s="142"/>
      <c r="K840" s="320"/>
      <c r="L840" s="142"/>
      <c r="M840" s="320"/>
      <c r="N840" s="142"/>
      <c r="O840" s="320"/>
      <c r="P840" s="142"/>
      <c r="Q840" s="195"/>
      <c r="R840" s="195"/>
      <c r="S840" s="320"/>
      <c r="T840" s="142"/>
      <c r="U840" s="30"/>
      <c r="V840" s="30"/>
      <c r="W840" s="30"/>
      <c r="X840" s="30"/>
      <c r="Y840" s="30"/>
      <c r="Z840" s="30"/>
    </row>
    <row r="841">
      <c r="A841" s="320"/>
      <c r="B841" s="142"/>
      <c r="C841" s="320"/>
      <c r="D841" s="142"/>
      <c r="E841" s="320"/>
      <c r="F841" s="142"/>
      <c r="G841" s="320"/>
      <c r="H841" s="142"/>
      <c r="I841" s="320"/>
      <c r="J841" s="142"/>
      <c r="K841" s="320"/>
      <c r="L841" s="142"/>
      <c r="M841" s="320"/>
      <c r="N841" s="142"/>
      <c r="O841" s="320"/>
      <c r="P841" s="142"/>
      <c r="Q841" s="195"/>
      <c r="R841" s="195"/>
      <c r="S841" s="320"/>
      <c r="T841" s="142"/>
      <c r="U841" s="30"/>
      <c r="V841" s="30"/>
      <c r="W841" s="30"/>
      <c r="X841" s="30"/>
      <c r="Y841" s="30"/>
      <c r="Z841" s="30"/>
    </row>
    <row r="842">
      <c r="A842" s="320"/>
      <c r="B842" s="142"/>
      <c r="C842" s="320"/>
      <c r="D842" s="142"/>
      <c r="E842" s="320"/>
      <c r="F842" s="142"/>
      <c r="G842" s="320"/>
      <c r="H842" s="142"/>
      <c r="I842" s="320"/>
      <c r="J842" s="142"/>
      <c r="K842" s="320"/>
      <c r="L842" s="142"/>
      <c r="M842" s="320"/>
      <c r="N842" s="142"/>
      <c r="O842" s="320"/>
      <c r="P842" s="142"/>
      <c r="Q842" s="195"/>
      <c r="R842" s="195"/>
      <c r="S842" s="320"/>
      <c r="T842" s="142"/>
      <c r="U842" s="30"/>
      <c r="V842" s="30"/>
      <c r="W842" s="30"/>
      <c r="X842" s="30"/>
      <c r="Y842" s="30"/>
      <c r="Z842" s="30"/>
    </row>
    <row r="843">
      <c r="A843" s="320"/>
      <c r="B843" s="142"/>
      <c r="C843" s="320"/>
      <c r="D843" s="142"/>
      <c r="E843" s="320"/>
      <c r="F843" s="142"/>
      <c r="G843" s="320"/>
      <c r="H843" s="142"/>
      <c r="I843" s="320"/>
      <c r="J843" s="142"/>
      <c r="K843" s="320"/>
      <c r="L843" s="142"/>
      <c r="M843" s="320"/>
      <c r="N843" s="142"/>
      <c r="O843" s="320"/>
      <c r="P843" s="142"/>
      <c r="Q843" s="195"/>
      <c r="R843" s="195"/>
      <c r="S843" s="320"/>
      <c r="T843" s="142"/>
      <c r="U843" s="30"/>
      <c r="V843" s="30"/>
      <c r="W843" s="30"/>
      <c r="X843" s="30"/>
      <c r="Y843" s="30"/>
      <c r="Z843" s="30"/>
    </row>
    <row r="844">
      <c r="A844" s="320"/>
      <c r="B844" s="142"/>
      <c r="C844" s="320"/>
      <c r="D844" s="142"/>
      <c r="E844" s="320"/>
      <c r="F844" s="142"/>
      <c r="G844" s="320"/>
      <c r="H844" s="142"/>
      <c r="I844" s="320"/>
      <c r="J844" s="142"/>
      <c r="K844" s="320"/>
      <c r="L844" s="142"/>
      <c r="M844" s="320"/>
      <c r="N844" s="142"/>
      <c r="O844" s="320"/>
      <c r="P844" s="142"/>
      <c r="Q844" s="195"/>
      <c r="R844" s="195"/>
      <c r="S844" s="320"/>
      <c r="T844" s="142"/>
      <c r="U844" s="30"/>
      <c r="V844" s="30"/>
      <c r="W844" s="30"/>
      <c r="X844" s="30"/>
      <c r="Y844" s="30"/>
      <c r="Z844" s="30"/>
    </row>
    <row r="845">
      <c r="A845" s="320"/>
      <c r="B845" s="142"/>
      <c r="C845" s="320"/>
      <c r="D845" s="142"/>
      <c r="E845" s="320"/>
      <c r="F845" s="142"/>
      <c r="G845" s="320"/>
      <c r="H845" s="142"/>
      <c r="I845" s="320"/>
      <c r="J845" s="142"/>
      <c r="K845" s="320"/>
      <c r="L845" s="142"/>
      <c r="M845" s="320"/>
      <c r="N845" s="142"/>
      <c r="O845" s="320"/>
      <c r="P845" s="142"/>
      <c r="Q845" s="195"/>
      <c r="R845" s="195"/>
      <c r="S845" s="320"/>
      <c r="T845" s="142"/>
      <c r="U845" s="30"/>
      <c r="V845" s="30"/>
      <c r="W845" s="30"/>
      <c r="X845" s="30"/>
      <c r="Y845" s="30"/>
      <c r="Z845" s="30"/>
    </row>
    <row r="846">
      <c r="A846" s="320"/>
      <c r="B846" s="142"/>
      <c r="C846" s="320"/>
      <c r="D846" s="142"/>
      <c r="E846" s="320"/>
      <c r="F846" s="142"/>
      <c r="G846" s="320"/>
      <c r="H846" s="142"/>
      <c r="I846" s="320"/>
      <c r="J846" s="142"/>
      <c r="K846" s="320"/>
      <c r="L846" s="142"/>
      <c r="M846" s="320"/>
      <c r="N846" s="142"/>
      <c r="O846" s="320"/>
      <c r="P846" s="142"/>
      <c r="Q846" s="195"/>
      <c r="R846" s="195"/>
      <c r="S846" s="320"/>
      <c r="T846" s="142"/>
      <c r="U846" s="30"/>
      <c r="V846" s="30"/>
      <c r="W846" s="30"/>
      <c r="X846" s="30"/>
      <c r="Y846" s="30"/>
      <c r="Z846" s="30"/>
    </row>
    <row r="847">
      <c r="A847" s="320"/>
      <c r="B847" s="142"/>
      <c r="C847" s="320"/>
      <c r="D847" s="142"/>
      <c r="E847" s="320"/>
      <c r="F847" s="142"/>
      <c r="G847" s="320"/>
      <c r="H847" s="142"/>
      <c r="I847" s="320"/>
      <c r="J847" s="142"/>
      <c r="K847" s="320"/>
      <c r="L847" s="142"/>
      <c r="M847" s="320"/>
      <c r="N847" s="142"/>
      <c r="O847" s="320"/>
      <c r="P847" s="142"/>
      <c r="Q847" s="195"/>
      <c r="R847" s="195"/>
      <c r="S847" s="320"/>
      <c r="T847" s="142"/>
      <c r="U847" s="30"/>
      <c r="V847" s="30"/>
      <c r="W847" s="30"/>
      <c r="X847" s="30"/>
      <c r="Y847" s="30"/>
      <c r="Z847" s="30"/>
    </row>
    <row r="848">
      <c r="A848" s="320"/>
      <c r="B848" s="142"/>
      <c r="C848" s="320"/>
      <c r="D848" s="142"/>
      <c r="E848" s="320"/>
      <c r="F848" s="142"/>
      <c r="G848" s="320"/>
      <c r="H848" s="142"/>
      <c r="I848" s="320"/>
      <c r="J848" s="142"/>
      <c r="K848" s="320"/>
      <c r="L848" s="142"/>
      <c r="M848" s="320"/>
      <c r="N848" s="142"/>
      <c r="O848" s="320"/>
      <c r="P848" s="142"/>
      <c r="Q848" s="195"/>
      <c r="R848" s="195"/>
      <c r="S848" s="320"/>
      <c r="T848" s="142"/>
      <c r="U848" s="30"/>
      <c r="V848" s="30"/>
      <c r="W848" s="30"/>
      <c r="X848" s="30"/>
      <c r="Y848" s="30"/>
      <c r="Z848" s="30"/>
    </row>
    <row r="849">
      <c r="A849" s="320"/>
      <c r="B849" s="142"/>
      <c r="C849" s="320"/>
      <c r="D849" s="142"/>
      <c r="E849" s="320"/>
      <c r="F849" s="142"/>
      <c r="G849" s="320"/>
      <c r="H849" s="142"/>
      <c r="I849" s="320"/>
      <c r="J849" s="142"/>
      <c r="K849" s="320"/>
      <c r="L849" s="142"/>
      <c r="M849" s="320"/>
      <c r="N849" s="142"/>
      <c r="O849" s="320"/>
      <c r="P849" s="142"/>
      <c r="Q849" s="195"/>
      <c r="R849" s="195"/>
      <c r="S849" s="320"/>
      <c r="T849" s="142"/>
      <c r="U849" s="30"/>
      <c r="V849" s="30"/>
      <c r="W849" s="30"/>
      <c r="X849" s="30"/>
      <c r="Y849" s="30"/>
      <c r="Z849" s="30"/>
    </row>
    <row r="850">
      <c r="A850" s="320"/>
      <c r="B850" s="142"/>
      <c r="C850" s="320"/>
      <c r="D850" s="142"/>
      <c r="E850" s="320"/>
      <c r="F850" s="142"/>
      <c r="G850" s="320"/>
      <c r="H850" s="142"/>
      <c r="I850" s="320"/>
      <c r="J850" s="142"/>
      <c r="K850" s="320"/>
      <c r="L850" s="142"/>
      <c r="M850" s="320"/>
      <c r="N850" s="142"/>
      <c r="O850" s="320"/>
      <c r="P850" s="142"/>
      <c r="Q850" s="195"/>
      <c r="R850" s="195"/>
      <c r="S850" s="320"/>
      <c r="T850" s="142"/>
      <c r="U850" s="30"/>
      <c r="V850" s="30"/>
      <c r="W850" s="30"/>
      <c r="X850" s="30"/>
      <c r="Y850" s="30"/>
      <c r="Z850" s="30"/>
    </row>
    <row r="851">
      <c r="A851" s="320"/>
      <c r="B851" s="142"/>
      <c r="C851" s="320"/>
      <c r="D851" s="142"/>
      <c r="E851" s="320"/>
      <c r="F851" s="142"/>
      <c r="G851" s="320"/>
      <c r="H851" s="142"/>
      <c r="I851" s="320"/>
      <c r="J851" s="142"/>
      <c r="K851" s="320"/>
      <c r="L851" s="142"/>
      <c r="M851" s="320"/>
      <c r="N851" s="142"/>
      <c r="O851" s="320"/>
      <c r="P851" s="142"/>
      <c r="Q851" s="195"/>
      <c r="R851" s="195"/>
      <c r="S851" s="320"/>
      <c r="T851" s="142"/>
      <c r="U851" s="30"/>
      <c r="V851" s="30"/>
      <c r="W851" s="30"/>
      <c r="X851" s="30"/>
      <c r="Y851" s="30"/>
      <c r="Z851" s="30"/>
    </row>
    <row r="852">
      <c r="A852" s="320"/>
      <c r="B852" s="142"/>
      <c r="C852" s="320"/>
      <c r="D852" s="142"/>
      <c r="E852" s="320"/>
      <c r="F852" s="142"/>
      <c r="G852" s="320"/>
      <c r="H852" s="142"/>
      <c r="I852" s="320"/>
      <c r="J852" s="142"/>
      <c r="K852" s="320"/>
      <c r="L852" s="142"/>
      <c r="M852" s="320"/>
      <c r="N852" s="142"/>
      <c r="O852" s="320"/>
      <c r="P852" s="142"/>
      <c r="Q852" s="195"/>
      <c r="R852" s="195"/>
      <c r="S852" s="320"/>
      <c r="T852" s="142"/>
      <c r="U852" s="30"/>
      <c r="V852" s="30"/>
      <c r="W852" s="30"/>
      <c r="X852" s="30"/>
      <c r="Y852" s="30"/>
      <c r="Z852" s="30"/>
    </row>
    <row r="853">
      <c r="A853" s="320"/>
      <c r="B853" s="142"/>
      <c r="C853" s="320"/>
      <c r="D853" s="142"/>
      <c r="E853" s="320"/>
      <c r="F853" s="142"/>
      <c r="G853" s="320"/>
      <c r="H853" s="142"/>
      <c r="I853" s="320"/>
      <c r="J853" s="142"/>
      <c r="K853" s="320"/>
      <c r="L853" s="142"/>
      <c r="M853" s="320"/>
      <c r="N853" s="142"/>
      <c r="O853" s="320"/>
      <c r="P853" s="142"/>
      <c r="Q853" s="195"/>
      <c r="R853" s="195"/>
      <c r="S853" s="320"/>
      <c r="T853" s="142"/>
      <c r="U853" s="30"/>
      <c r="V853" s="30"/>
      <c r="W853" s="30"/>
      <c r="X853" s="30"/>
      <c r="Y853" s="30"/>
      <c r="Z853" s="30"/>
    </row>
    <row r="854">
      <c r="A854" s="320"/>
      <c r="B854" s="142"/>
      <c r="C854" s="320"/>
      <c r="D854" s="142"/>
      <c r="E854" s="320"/>
      <c r="F854" s="142"/>
      <c r="G854" s="320"/>
      <c r="H854" s="142"/>
      <c r="I854" s="320"/>
      <c r="J854" s="142"/>
      <c r="K854" s="320"/>
      <c r="L854" s="142"/>
      <c r="M854" s="320"/>
      <c r="N854" s="142"/>
      <c r="O854" s="320"/>
      <c r="P854" s="142"/>
      <c r="Q854" s="195"/>
      <c r="R854" s="195"/>
      <c r="S854" s="320"/>
      <c r="T854" s="142"/>
      <c r="U854" s="30"/>
      <c r="V854" s="30"/>
      <c r="W854" s="30"/>
      <c r="X854" s="30"/>
      <c r="Y854" s="30"/>
      <c r="Z854" s="30"/>
    </row>
    <row r="855">
      <c r="A855" s="320"/>
      <c r="B855" s="142"/>
      <c r="C855" s="320"/>
      <c r="D855" s="142"/>
      <c r="E855" s="320"/>
      <c r="F855" s="142"/>
      <c r="G855" s="320"/>
      <c r="H855" s="142"/>
      <c r="I855" s="320"/>
      <c r="J855" s="142"/>
      <c r="K855" s="320"/>
      <c r="L855" s="142"/>
      <c r="M855" s="320"/>
      <c r="N855" s="142"/>
      <c r="O855" s="320"/>
      <c r="P855" s="142"/>
      <c r="Q855" s="195"/>
      <c r="R855" s="195"/>
      <c r="S855" s="320"/>
      <c r="T855" s="142"/>
      <c r="U855" s="30"/>
      <c r="V855" s="30"/>
      <c r="W855" s="30"/>
      <c r="X855" s="30"/>
      <c r="Y855" s="30"/>
      <c r="Z855" s="30"/>
    </row>
    <row r="856">
      <c r="A856" s="320"/>
      <c r="B856" s="142"/>
      <c r="C856" s="320"/>
      <c r="D856" s="142"/>
      <c r="E856" s="320"/>
      <c r="F856" s="142"/>
      <c r="G856" s="320"/>
      <c r="H856" s="142"/>
      <c r="I856" s="320"/>
      <c r="J856" s="142"/>
      <c r="K856" s="320"/>
      <c r="L856" s="142"/>
      <c r="M856" s="320"/>
      <c r="N856" s="142"/>
      <c r="O856" s="320"/>
      <c r="P856" s="142"/>
      <c r="Q856" s="195"/>
      <c r="R856" s="195"/>
      <c r="S856" s="320"/>
      <c r="T856" s="142"/>
      <c r="U856" s="30"/>
      <c r="V856" s="30"/>
      <c r="W856" s="30"/>
      <c r="X856" s="30"/>
      <c r="Y856" s="30"/>
      <c r="Z856" s="30"/>
    </row>
    <row r="857">
      <c r="A857" s="320"/>
      <c r="B857" s="142"/>
      <c r="C857" s="320"/>
      <c r="D857" s="142"/>
      <c r="E857" s="320"/>
      <c r="F857" s="142"/>
      <c r="G857" s="320"/>
      <c r="H857" s="142"/>
      <c r="I857" s="320"/>
      <c r="J857" s="142"/>
      <c r="K857" s="320"/>
      <c r="L857" s="142"/>
      <c r="M857" s="320"/>
      <c r="N857" s="142"/>
      <c r="O857" s="320"/>
      <c r="P857" s="142"/>
      <c r="Q857" s="195"/>
      <c r="R857" s="195"/>
      <c r="S857" s="320"/>
      <c r="T857" s="142"/>
      <c r="U857" s="30"/>
      <c r="V857" s="30"/>
      <c r="W857" s="30"/>
      <c r="X857" s="30"/>
      <c r="Y857" s="30"/>
      <c r="Z857" s="30"/>
    </row>
    <row r="858">
      <c r="A858" s="320"/>
      <c r="B858" s="142"/>
      <c r="C858" s="320"/>
      <c r="D858" s="142"/>
      <c r="E858" s="320"/>
      <c r="F858" s="142"/>
      <c r="G858" s="320"/>
      <c r="H858" s="142"/>
      <c r="I858" s="320"/>
      <c r="J858" s="142"/>
      <c r="K858" s="320"/>
      <c r="L858" s="142"/>
      <c r="M858" s="320"/>
      <c r="N858" s="142"/>
      <c r="O858" s="320"/>
      <c r="P858" s="142"/>
      <c r="Q858" s="195"/>
      <c r="R858" s="195"/>
      <c r="S858" s="320"/>
      <c r="T858" s="142"/>
      <c r="U858" s="30"/>
      <c r="V858" s="30"/>
      <c r="W858" s="30"/>
      <c r="X858" s="30"/>
      <c r="Y858" s="30"/>
      <c r="Z858" s="30"/>
    </row>
    <row r="859">
      <c r="A859" s="320"/>
      <c r="B859" s="142"/>
      <c r="C859" s="320"/>
      <c r="D859" s="142"/>
      <c r="E859" s="320"/>
      <c r="F859" s="142"/>
      <c r="G859" s="320"/>
      <c r="H859" s="142"/>
      <c r="I859" s="320"/>
      <c r="J859" s="142"/>
      <c r="K859" s="320"/>
      <c r="L859" s="142"/>
      <c r="M859" s="320"/>
      <c r="N859" s="142"/>
      <c r="O859" s="320"/>
      <c r="P859" s="142"/>
      <c r="Q859" s="195"/>
      <c r="R859" s="195"/>
      <c r="S859" s="320"/>
      <c r="T859" s="142"/>
      <c r="U859" s="30"/>
      <c r="V859" s="30"/>
      <c r="W859" s="30"/>
      <c r="X859" s="30"/>
      <c r="Y859" s="30"/>
      <c r="Z859" s="30"/>
    </row>
    <row r="860">
      <c r="A860" s="320"/>
      <c r="B860" s="142"/>
      <c r="C860" s="320"/>
      <c r="D860" s="142"/>
      <c r="E860" s="320"/>
      <c r="F860" s="142"/>
      <c r="G860" s="320"/>
      <c r="H860" s="142"/>
      <c r="I860" s="320"/>
      <c r="J860" s="142"/>
      <c r="K860" s="320"/>
      <c r="L860" s="142"/>
      <c r="M860" s="320"/>
      <c r="N860" s="142"/>
      <c r="O860" s="320"/>
      <c r="P860" s="142"/>
      <c r="Q860" s="195"/>
      <c r="R860" s="195"/>
      <c r="S860" s="320"/>
      <c r="T860" s="142"/>
      <c r="U860" s="30"/>
      <c r="V860" s="30"/>
      <c r="W860" s="30"/>
      <c r="X860" s="30"/>
      <c r="Y860" s="30"/>
      <c r="Z860" s="30"/>
    </row>
    <row r="861">
      <c r="A861" s="320"/>
      <c r="B861" s="142"/>
      <c r="C861" s="320"/>
      <c r="D861" s="142"/>
      <c r="E861" s="320"/>
      <c r="F861" s="142"/>
      <c r="G861" s="320"/>
      <c r="H861" s="142"/>
      <c r="I861" s="320"/>
      <c r="J861" s="142"/>
      <c r="K861" s="320"/>
      <c r="L861" s="142"/>
      <c r="M861" s="320"/>
      <c r="N861" s="142"/>
      <c r="O861" s="320"/>
      <c r="P861" s="142"/>
      <c r="Q861" s="195"/>
      <c r="R861" s="195"/>
      <c r="S861" s="320"/>
      <c r="T861" s="142"/>
      <c r="U861" s="30"/>
      <c r="V861" s="30"/>
      <c r="W861" s="30"/>
      <c r="X861" s="30"/>
      <c r="Y861" s="30"/>
      <c r="Z861" s="30"/>
    </row>
    <row r="862">
      <c r="A862" s="320"/>
      <c r="B862" s="142"/>
      <c r="C862" s="320"/>
      <c r="D862" s="142"/>
      <c r="E862" s="320"/>
      <c r="F862" s="142"/>
      <c r="G862" s="320"/>
      <c r="H862" s="142"/>
      <c r="I862" s="320"/>
      <c r="J862" s="142"/>
      <c r="K862" s="320"/>
      <c r="L862" s="142"/>
      <c r="M862" s="320"/>
      <c r="N862" s="142"/>
      <c r="O862" s="320"/>
      <c r="P862" s="142"/>
      <c r="Q862" s="195"/>
      <c r="R862" s="195"/>
      <c r="S862" s="320"/>
      <c r="T862" s="142"/>
      <c r="U862" s="30"/>
      <c r="V862" s="30"/>
      <c r="W862" s="30"/>
      <c r="X862" s="30"/>
      <c r="Y862" s="30"/>
      <c r="Z862" s="30"/>
    </row>
    <row r="863">
      <c r="A863" s="320"/>
      <c r="B863" s="142"/>
      <c r="C863" s="320"/>
      <c r="D863" s="142"/>
      <c r="E863" s="320"/>
      <c r="F863" s="142"/>
      <c r="G863" s="320"/>
      <c r="H863" s="142"/>
      <c r="I863" s="320"/>
      <c r="J863" s="142"/>
      <c r="K863" s="320"/>
      <c r="L863" s="142"/>
      <c r="M863" s="320"/>
      <c r="N863" s="142"/>
      <c r="O863" s="320"/>
      <c r="P863" s="142"/>
      <c r="Q863" s="195"/>
      <c r="R863" s="195"/>
      <c r="S863" s="320"/>
      <c r="T863" s="142"/>
      <c r="U863" s="30"/>
      <c r="V863" s="30"/>
      <c r="W863" s="30"/>
      <c r="X863" s="30"/>
      <c r="Y863" s="30"/>
      <c r="Z863" s="30"/>
    </row>
    <row r="864">
      <c r="A864" s="320"/>
      <c r="B864" s="142"/>
      <c r="C864" s="320"/>
      <c r="D864" s="142"/>
      <c r="E864" s="320"/>
      <c r="F864" s="142"/>
      <c r="G864" s="320"/>
      <c r="H864" s="142"/>
      <c r="I864" s="320"/>
      <c r="J864" s="142"/>
      <c r="K864" s="320"/>
      <c r="L864" s="142"/>
      <c r="M864" s="320"/>
      <c r="N864" s="142"/>
      <c r="O864" s="320"/>
      <c r="P864" s="142"/>
      <c r="Q864" s="195"/>
      <c r="R864" s="195"/>
      <c r="S864" s="320"/>
      <c r="T864" s="142"/>
      <c r="U864" s="30"/>
      <c r="V864" s="30"/>
      <c r="W864" s="30"/>
      <c r="X864" s="30"/>
      <c r="Y864" s="30"/>
      <c r="Z864" s="30"/>
    </row>
    <row r="865">
      <c r="A865" s="320"/>
      <c r="B865" s="142"/>
      <c r="C865" s="320"/>
      <c r="D865" s="142"/>
      <c r="E865" s="320"/>
      <c r="F865" s="142"/>
      <c r="G865" s="320"/>
      <c r="H865" s="142"/>
      <c r="I865" s="320"/>
      <c r="J865" s="142"/>
      <c r="K865" s="320"/>
      <c r="L865" s="142"/>
      <c r="M865" s="320"/>
      <c r="N865" s="142"/>
      <c r="O865" s="320"/>
      <c r="P865" s="142"/>
      <c r="Q865" s="195"/>
      <c r="R865" s="195"/>
      <c r="S865" s="320"/>
      <c r="T865" s="142"/>
      <c r="U865" s="30"/>
      <c r="V865" s="30"/>
      <c r="W865" s="30"/>
      <c r="X865" s="30"/>
      <c r="Y865" s="30"/>
      <c r="Z865" s="30"/>
    </row>
    <row r="866">
      <c r="A866" s="320"/>
      <c r="B866" s="142"/>
      <c r="C866" s="320"/>
      <c r="D866" s="142"/>
      <c r="E866" s="320"/>
      <c r="F866" s="142"/>
      <c r="G866" s="320"/>
      <c r="H866" s="142"/>
      <c r="I866" s="320"/>
      <c r="J866" s="142"/>
      <c r="K866" s="320"/>
      <c r="L866" s="142"/>
      <c r="M866" s="320"/>
      <c r="N866" s="142"/>
      <c r="O866" s="320"/>
      <c r="P866" s="142"/>
      <c r="Q866" s="195"/>
      <c r="R866" s="195"/>
      <c r="S866" s="320"/>
      <c r="T866" s="142"/>
      <c r="U866" s="30"/>
      <c r="V866" s="30"/>
      <c r="W866" s="30"/>
      <c r="X866" s="30"/>
      <c r="Y866" s="30"/>
      <c r="Z866" s="30"/>
    </row>
    <row r="867">
      <c r="A867" s="320"/>
      <c r="B867" s="142"/>
      <c r="C867" s="320"/>
      <c r="D867" s="142"/>
      <c r="E867" s="320"/>
      <c r="F867" s="142"/>
      <c r="G867" s="320"/>
      <c r="H867" s="142"/>
      <c r="I867" s="320"/>
      <c r="J867" s="142"/>
      <c r="K867" s="320"/>
      <c r="L867" s="142"/>
      <c r="M867" s="320"/>
      <c r="N867" s="142"/>
      <c r="O867" s="320"/>
      <c r="P867" s="142"/>
      <c r="Q867" s="195"/>
      <c r="R867" s="195"/>
      <c r="S867" s="320"/>
      <c r="T867" s="142"/>
      <c r="U867" s="30"/>
      <c r="V867" s="30"/>
      <c r="W867" s="30"/>
      <c r="X867" s="30"/>
      <c r="Y867" s="30"/>
      <c r="Z867" s="30"/>
    </row>
    <row r="868">
      <c r="A868" s="320"/>
      <c r="B868" s="142"/>
      <c r="C868" s="320"/>
      <c r="D868" s="142"/>
      <c r="E868" s="320"/>
      <c r="F868" s="142"/>
      <c r="G868" s="320"/>
      <c r="H868" s="142"/>
      <c r="I868" s="320"/>
      <c r="J868" s="142"/>
      <c r="K868" s="320"/>
      <c r="L868" s="142"/>
      <c r="M868" s="320"/>
      <c r="N868" s="142"/>
      <c r="O868" s="320"/>
      <c r="P868" s="142"/>
      <c r="Q868" s="195"/>
      <c r="R868" s="195"/>
      <c r="S868" s="320"/>
      <c r="T868" s="142"/>
      <c r="U868" s="30"/>
      <c r="V868" s="30"/>
      <c r="W868" s="30"/>
      <c r="X868" s="30"/>
      <c r="Y868" s="30"/>
      <c r="Z868" s="30"/>
    </row>
    <row r="869">
      <c r="A869" s="320"/>
      <c r="B869" s="142"/>
      <c r="C869" s="320"/>
      <c r="D869" s="142"/>
      <c r="E869" s="320"/>
      <c r="F869" s="142"/>
      <c r="G869" s="320"/>
      <c r="H869" s="142"/>
      <c r="I869" s="320"/>
      <c r="J869" s="142"/>
      <c r="K869" s="320"/>
      <c r="L869" s="142"/>
      <c r="M869" s="320"/>
      <c r="N869" s="142"/>
      <c r="O869" s="320"/>
      <c r="P869" s="142"/>
      <c r="Q869" s="195"/>
      <c r="R869" s="195"/>
      <c r="S869" s="320"/>
      <c r="T869" s="142"/>
      <c r="U869" s="30"/>
      <c r="V869" s="30"/>
      <c r="W869" s="30"/>
      <c r="X869" s="30"/>
      <c r="Y869" s="30"/>
      <c r="Z869" s="30"/>
    </row>
    <row r="870">
      <c r="A870" s="320"/>
      <c r="B870" s="142"/>
      <c r="C870" s="320"/>
      <c r="D870" s="142"/>
      <c r="E870" s="320"/>
      <c r="F870" s="142"/>
      <c r="G870" s="320"/>
      <c r="H870" s="142"/>
      <c r="I870" s="320"/>
      <c r="J870" s="142"/>
      <c r="K870" s="320"/>
      <c r="L870" s="142"/>
      <c r="M870" s="320"/>
      <c r="N870" s="142"/>
      <c r="O870" s="320"/>
      <c r="P870" s="142"/>
      <c r="Q870" s="195"/>
      <c r="R870" s="195"/>
      <c r="S870" s="320"/>
      <c r="T870" s="142"/>
      <c r="U870" s="30"/>
      <c r="V870" s="30"/>
      <c r="W870" s="30"/>
      <c r="X870" s="30"/>
      <c r="Y870" s="30"/>
      <c r="Z870" s="30"/>
    </row>
    <row r="871">
      <c r="A871" s="320"/>
      <c r="B871" s="142"/>
      <c r="C871" s="320"/>
      <c r="D871" s="142"/>
      <c r="E871" s="320"/>
      <c r="F871" s="142"/>
      <c r="G871" s="320"/>
      <c r="H871" s="142"/>
      <c r="I871" s="320"/>
      <c r="J871" s="142"/>
      <c r="K871" s="320"/>
      <c r="L871" s="142"/>
      <c r="M871" s="320"/>
      <c r="N871" s="142"/>
      <c r="O871" s="320"/>
      <c r="P871" s="142"/>
      <c r="Q871" s="195"/>
      <c r="R871" s="195"/>
      <c r="S871" s="320"/>
      <c r="T871" s="142"/>
      <c r="U871" s="30"/>
      <c r="V871" s="30"/>
      <c r="W871" s="30"/>
      <c r="X871" s="30"/>
      <c r="Y871" s="30"/>
      <c r="Z871" s="30"/>
    </row>
    <row r="872">
      <c r="A872" s="320"/>
      <c r="B872" s="142"/>
      <c r="C872" s="320"/>
      <c r="D872" s="142"/>
      <c r="E872" s="320"/>
      <c r="F872" s="142"/>
      <c r="G872" s="320"/>
      <c r="H872" s="142"/>
      <c r="I872" s="320"/>
      <c r="J872" s="142"/>
      <c r="K872" s="320"/>
      <c r="L872" s="142"/>
      <c r="M872" s="320"/>
      <c r="N872" s="142"/>
      <c r="O872" s="320"/>
      <c r="P872" s="142"/>
      <c r="Q872" s="195"/>
      <c r="R872" s="195"/>
      <c r="S872" s="320"/>
      <c r="T872" s="142"/>
      <c r="U872" s="30"/>
      <c r="V872" s="30"/>
      <c r="W872" s="30"/>
      <c r="X872" s="30"/>
      <c r="Y872" s="30"/>
      <c r="Z872" s="30"/>
    </row>
    <row r="873">
      <c r="A873" s="320"/>
      <c r="B873" s="142"/>
      <c r="C873" s="320"/>
      <c r="D873" s="142"/>
      <c r="E873" s="320"/>
      <c r="F873" s="142"/>
      <c r="G873" s="320"/>
      <c r="H873" s="142"/>
      <c r="I873" s="320"/>
      <c r="J873" s="142"/>
      <c r="K873" s="320"/>
      <c r="L873" s="142"/>
      <c r="M873" s="320"/>
      <c r="N873" s="142"/>
      <c r="O873" s="320"/>
      <c r="P873" s="142"/>
      <c r="Q873" s="195"/>
      <c r="R873" s="195"/>
      <c r="S873" s="320"/>
      <c r="T873" s="142"/>
      <c r="U873" s="30"/>
      <c r="V873" s="30"/>
      <c r="W873" s="30"/>
      <c r="X873" s="30"/>
      <c r="Y873" s="30"/>
      <c r="Z873" s="30"/>
    </row>
    <row r="874">
      <c r="A874" s="320"/>
      <c r="B874" s="142"/>
      <c r="C874" s="320"/>
      <c r="D874" s="142"/>
      <c r="E874" s="320"/>
      <c r="F874" s="142"/>
      <c r="G874" s="320"/>
      <c r="H874" s="142"/>
      <c r="I874" s="320"/>
      <c r="J874" s="142"/>
      <c r="K874" s="320"/>
      <c r="L874" s="142"/>
      <c r="M874" s="320"/>
      <c r="N874" s="142"/>
      <c r="O874" s="320"/>
      <c r="P874" s="142"/>
      <c r="Q874" s="195"/>
      <c r="R874" s="195"/>
      <c r="S874" s="320"/>
      <c r="T874" s="142"/>
      <c r="U874" s="30"/>
      <c r="V874" s="30"/>
      <c r="W874" s="30"/>
      <c r="X874" s="30"/>
      <c r="Y874" s="30"/>
      <c r="Z874" s="30"/>
    </row>
    <row r="875">
      <c r="A875" s="320"/>
      <c r="B875" s="142"/>
      <c r="C875" s="320"/>
      <c r="D875" s="142"/>
      <c r="E875" s="320"/>
      <c r="F875" s="142"/>
      <c r="G875" s="320"/>
      <c r="H875" s="142"/>
      <c r="I875" s="320"/>
      <c r="J875" s="142"/>
      <c r="K875" s="320"/>
      <c r="L875" s="142"/>
      <c r="M875" s="320"/>
      <c r="N875" s="142"/>
      <c r="O875" s="320"/>
      <c r="P875" s="142"/>
      <c r="Q875" s="195"/>
      <c r="R875" s="195"/>
      <c r="S875" s="320"/>
      <c r="T875" s="142"/>
      <c r="U875" s="30"/>
      <c r="V875" s="30"/>
      <c r="W875" s="30"/>
      <c r="X875" s="30"/>
      <c r="Y875" s="30"/>
      <c r="Z875" s="30"/>
    </row>
    <row r="876">
      <c r="A876" s="320"/>
      <c r="B876" s="142"/>
      <c r="C876" s="320"/>
      <c r="D876" s="142"/>
      <c r="E876" s="320"/>
      <c r="F876" s="142"/>
      <c r="G876" s="320"/>
      <c r="H876" s="142"/>
      <c r="I876" s="320"/>
      <c r="J876" s="142"/>
      <c r="K876" s="320"/>
      <c r="L876" s="142"/>
      <c r="M876" s="320"/>
      <c r="N876" s="142"/>
      <c r="O876" s="320"/>
      <c r="P876" s="142"/>
      <c r="Q876" s="195"/>
      <c r="R876" s="195"/>
      <c r="S876" s="320"/>
      <c r="T876" s="142"/>
      <c r="U876" s="30"/>
      <c r="V876" s="30"/>
      <c r="W876" s="30"/>
      <c r="X876" s="30"/>
      <c r="Y876" s="30"/>
      <c r="Z876" s="30"/>
    </row>
    <row r="877">
      <c r="A877" s="320"/>
      <c r="B877" s="142"/>
      <c r="C877" s="320"/>
      <c r="D877" s="142"/>
      <c r="E877" s="320"/>
      <c r="F877" s="142"/>
      <c r="G877" s="320"/>
      <c r="H877" s="142"/>
      <c r="I877" s="320"/>
      <c r="J877" s="142"/>
      <c r="K877" s="320"/>
      <c r="L877" s="142"/>
      <c r="M877" s="320"/>
      <c r="N877" s="142"/>
      <c r="O877" s="320"/>
      <c r="P877" s="142"/>
      <c r="Q877" s="195"/>
      <c r="R877" s="195"/>
      <c r="S877" s="320"/>
      <c r="T877" s="142"/>
      <c r="U877" s="30"/>
      <c r="V877" s="30"/>
      <c r="W877" s="30"/>
      <c r="X877" s="30"/>
      <c r="Y877" s="30"/>
      <c r="Z877" s="30"/>
    </row>
    <row r="878">
      <c r="A878" s="320"/>
      <c r="B878" s="142"/>
      <c r="C878" s="320"/>
      <c r="D878" s="142"/>
      <c r="E878" s="320"/>
      <c r="F878" s="142"/>
      <c r="G878" s="320"/>
      <c r="H878" s="142"/>
      <c r="I878" s="320"/>
      <c r="J878" s="142"/>
      <c r="K878" s="320"/>
      <c r="L878" s="142"/>
      <c r="M878" s="320"/>
      <c r="N878" s="142"/>
      <c r="O878" s="320"/>
      <c r="P878" s="142"/>
      <c r="Q878" s="195"/>
      <c r="R878" s="195"/>
      <c r="S878" s="320"/>
      <c r="T878" s="142"/>
      <c r="U878" s="30"/>
      <c r="V878" s="30"/>
      <c r="W878" s="30"/>
      <c r="X878" s="30"/>
      <c r="Y878" s="30"/>
      <c r="Z878" s="30"/>
    </row>
    <row r="879">
      <c r="A879" s="320"/>
      <c r="B879" s="142"/>
      <c r="C879" s="320"/>
      <c r="D879" s="142"/>
      <c r="E879" s="320"/>
      <c r="F879" s="142"/>
      <c r="G879" s="320"/>
      <c r="H879" s="142"/>
      <c r="I879" s="320"/>
      <c r="J879" s="142"/>
      <c r="K879" s="320"/>
      <c r="L879" s="142"/>
      <c r="M879" s="320"/>
      <c r="N879" s="142"/>
      <c r="O879" s="320"/>
      <c r="P879" s="142"/>
      <c r="Q879" s="195"/>
      <c r="R879" s="195"/>
      <c r="S879" s="320"/>
      <c r="T879" s="142"/>
      <c r="U879" s="30"/>
      <c r="V879" s="30"/>
      <c r="W879" s="30"/>
      <c r="X879" s="30"/>
      <c r="Y879" s="30"/>
      <c r="Z879" s="30"/>
    </row>
    <row r="880">
      <c r="A880" s="320"/>
      <c r="B880" s="142"/>
      <c r="C880" s="320"/>
      <c r="D880" s="142"/>
      <c r="E880" s="320"/>
      <c r="F880" s="142"/>
      <c r="G880" s="320"/>
      <c r="H880" s="142"/>
      <c r="I880" s="320"/>
      <c r="J880" s="142"/>
      <c r="K880" s="320"/>
      <c r="L880" s="142"/>
      <c r="M880" s="320"/>
      <c r="N880" s="142"/>
      <c r="O880" s="320"/>
      <c r="P880" s="142"/>
      <c r="Q880" s="195"/>
      <c r="R880" s="195"/>
      <c r="S880" s="320"/>
      <c r="T880" s="142"/>
      <c r="U880" s="30"/>
      <c r="V880" s="30"/>
      <c r="W880" s="30"/>
      <c r="X880" s="30"/>
      <c r="Y880" s="30"/>
      <c r="Z880" s="30"/>
    </row>
    <row r="881">
      <c r="A881" s="320"/>
      <c r="B881" s="142"/>
      <c r="C881" s="320"/>
      <c r="D881" s="142"/>
      <c r="E881" s="320"/>
      <c r="F881" s="142"/>
      <c r="G881" s="320"/>
      <c r="H881" s="142"/>
      <c r="I881" s="320"/>
      <c r="J881" s="142"/>
      <c r="K881" s="320"/>
      <c r="L881" s="142"/>
      <c r="M881" s="320"/>
      <c r="N881" s="142"/>
      <c r="O881" s="320"/>
      <c r="P881" s="142"/>
      <c r="Q881" s="195"/>
      <c r="R881" s="195"/>
      <c r="S881" s="320"/>
      <c r="T881" s="142"/>
      <c r="U881" s="30"/>
      <c r="V881" s="30"/>
      <c r="W881" s="30"/>
      <c r="X881" s="30"/>
      <c r="Y881" s="30"/>
      <c r="Z881" s="30"/>
    </row>
    <row r="882">
      <c r="A882" s="320"/>
      <c r="B882" s="142"/>
      <c r="C882" s="320"/>
      <c r="D882" s="142"/>
      <c r="E882" s="320"/>
      <c r="F882" s="142"/>
      <c r="G882" s="320"/>
      <c r="H882" s="142"/>
      <c r="I882" s="320"/>
      <c r="J882" s="142"/>
      <c r="K882" s="320"/>
      <c r="L882" s="142"/>
      <c r="M882" s="320"/>
      <c r="N882" s="142"/>
      <c r="O882" s="320"/>
      <c r="P882" s="142"/>
      <c r="Q882" s="195"/>
      <c r="R882" s="195"/>
      <c r="S882" s="320"/>
      <c r="T882" s="142"/>
      <c r="U882" s="30"/>
      <c r="V882" s="30"/>
      <c r="W882" s="30"/>
      <c r="X882" s="30"/>
      <c r="Y882" s="30"/>
      <c r="Z882" s="30"/>
    </row>
    <row r="883">
      <c r="A883" s="320"/>
      <c r="B883" s="142"/>
      <c r="C883" s="320"/>
      <c r="D883" s="142"/>
      <c r="E883" s="320"/>
      <c r="F883" s="142"/>
      <c r="G883" s="320"/>
      <c r="H883" s="142"/>
      <c r="I883" s="320"/>
      <c r="J883" s="142"/>
      <c r="K883" s="320"/>
      <c r="L883" s="142"/>
      <c r="M883" s="320"/>
      <c r="N883" s="142"/>
      <c r="O883" s="320"/>
      <c r="P883" s="142"/>
      <c r="Q883" s="195"/>
      <c r="R883" s="195"/>
      <c r="S883" s="320"/>
      <c r="T883" s="142"/>
      <c r="U883" s="30"/>
      <c r="V883" s="30"/>
      <c r="W883" s="30"/>
      <c r="X883" s="30"/>
      <c r="Y883" s="30"/>
      <c r="Z883" s="30"/>
    </row>
    <row r="884">
      <c r="A884" s="320"/>
      <c r="B884" s="142"/>
      <c r="C884" s="320"/>
      <c r="D884" s="142"/>
      <c r="E884" s="320"/>
      <c r="F884" s="142"/>
      <c r="G884" s="320"/>
      <c r="H884" s="142"/>
      <c r="I884" s="320"/>
      <c r="J884" s="142"/>
      <c r="K884" s="320"/>
      <c r="L884" s="142"/>
      <c r="M884" s="320"/>
      <c r="N884" s="142"/>
      <c r="O884" s="320"/>
      <c r="P884" s="142"/>
      <c r="Q884" s="195"/>
      <c r="R884" s="195"/>
      <c r="S884" s="320"/>
      <c r="T884" s="142"/>
      <c r="U884" s="30"/>
      <c r="V884" s="30"/>
      <c r="W884" s="30"/>
      <c r="X884" s="30"/>
      <c r="Y884" s="30"/>
      <c r="Z884" s="30"/>
    </row>
    <row r="885">
      <c r="A885" s="320"/>
      <c r="B885" s="142"/>
      <c r="C885" s="320"/>
      <c r="D885" s="142"/>
      <c r="E885" s="320"/>
      <c r="F885" s="142"/>
      <c r="G885" s="320"/>
      <c r="H885" s="142"/>
      <c r="I885" s="320"/>
      <c r="J885" s="142"/>
      <c r="K885" s="320"/>
      <c r="L885" s="142"/>
      <c r="M885" s="320"/>
      <c r="N885" s="142"/>
      <c r="O885" s="320"/>
      <c r="P885" s="142"/>
      <c r="Q885" s="195"/>
      <c r="R885" s="195"/>
      <c r="S885" s="320"/>
      <c r="T885" s="142"/>
      <c r="U885" s="30"/>
      <c r="V885" s="30"/>
      <c r="W885" s="30"/>
      <c r="X885" s="30"/>
      <c r="Y885" s="30"/>
      <c r="Z885" s="30"/>
    </row>
    <row r="886">
      <c r="A886" s="320"/>
      <c r="B886" s="142"/>
      <c r="C886" s="320"/>
      <c r="D886" s="142"/>
      <c r="E886" s="320"/>
      <c r="F886" s="142"/>
      <c r="G886" s="320"/>
      <c r="H886" s="142"/>
      <c r="I886" s="320"/>
      <c r="J886" s="142"/>
      <c r="K886" s="320"/>
      <c r="L886" s="142"/>
      <c r="M886" s="320"/>
      <c r="N886" s="142"/>
      <c r="O886" s="320"/>
      <c r="P886" s="142"/>
      <c r="Q886" s="195"/>
      <c r="R886" s="195"/>
      <c r="S886" s="320"/>
      <c r="T886" s="142"/>
      <c r="U886" s="30"/>
      <c r="V886" s="30"/>
      <c r="W886" s="30"/>
      <c r="X886" s="30"/>
      <c r="Y886" s="30"/>
      <c r="Z886" s="30"/>
    </row>
    <row r="887">
      <c r="A887" s="320"/>
      <c r="B887" s="142"/>
      <c r="C887" s="320"/>
      <c r="D887" s="142"/>
      <c r="E887" s="320"/>
      <c r="F887" s="142"/>
      <c r="G887" s="320"/>
      <c r="H887" s="142"/>
      <c r="I887" s="320"/>
      <c r="J887" s="142"/>
      <c r="K887" s="320"/>
      <c r="L887" s="142"/>
      <c r="M887" s="320"/>
      <c r="N887" s="142"/>
      <c r="O887" s="320"/>
      <c r="P887" s="142"/>
      <c r="Q887" s="195"/>
      <c r="R887" s="195"/>
      <c r="S887" s="320"/>
      <c r="T887" s="142"/>
      <c r="U887" s="30"/>
      <c r="V887" s="30"/>
      <c r="W887" s="30"/>
      <c r="X887" s="30"/>
      <c r="Y887" s="30"/>
      <c r="Z887" s="30"/>
    </row>
    <row r="888">
      <c r="A888" s="320"/>
      <c r="B888" s="142"/>
      <c r="C888" s="320"/>
      <c r="D888" s="142"/>
      <c r="E888" s="320"/>
      <c r="F888" s="142"/>
      <c r="G888" s="320"/>
      <c r="H888" s="142"/>
      <c r="I888" s="320"/>
      <c r="J888" s="142"/>
      <c r="K888" s="320"/>
      <c r="L888" s="142"/>
      <c r="M888" s="320"/>
      <c r="N888" s="142"/>
      <c r="O888" s="320"/>
      <c r="P888" s="142"/>
      <c r="Q888" s="195"/>
      <c r="R888" s="195"/>
      <c r="S888" s="320"/>
      <c r="T888" s="142"/>
      <c r="U888" s="30"/>
      <c r="V888" s="30"/>
      <c r="W888" s="30"/>
      <c r="X888" s="30"/>
      <c r="Y888" s="30"/>
      <c r="Z888" s="30"/>
    </row>
    <row r="889">
      <c r="A889" s="320"/>
      <c r="B889" s="142"/>
      <c r="C889" s="320"/>
      <c r="D889" s="142"/>
      <c r="E889" s="320"/>
      <c r="F889" s="142"/>
      <c r="G889" s="320"/>
      <c r="H889" s="142"/>
      <c r="I889" s="320"/>
      <c r="J889" s="142"/>
      <c r="K889" s="320"/>
      <c r="L889" s="142"/>
      <c r="M889" s="320"/>
      <c r="N889" s="142"/>
      <c r="O889" s="320"/>
      <c r="P889" s="142"/>
      <c r="Q889" s="195"/>
      <c r="R889" s="195"/>
      <c r="S889" s="320"/>
      <c r="T889" s="142"/>
      <c r="U889" s="30"/>
      <c r="V889" s="30"/>
      <c r="W889" s="30"/>
      <c r="X889" s="30"/>
      <c r="Y889" s="30"/>
      <c r="Z889" s="30"/>
    </row>
    <row r="890">
      <c r="A890" s="320"/>
      <c r="B890" s="142"/>
      <c r="C890" s="320"/>
      <c r="D890" s="142"/>
      <c r="E890" s="320"/>
      <c r="F890" s="142"/>
      <c r="G890" s="320"/>
      <c r="H890" s="142"/>
      <c r="I890" s="320"/>
      <c r="J890" s="142"/>
      <c r="K890" s="320"/>
      <c r="L890" s="142"/>
      <c r="M890" s="320"/>
      <c r="N890" s="142"/>
      <c r="O890" s="320"/>
      <c r="P890" s="142"/>
      <c r="Q890" s="195"/>
      <c r="R890" s="195"/>
      <c r="S890" s="320"/>
      <c r="T890" s="142"/>
      <c r="U890" s="30"/>
      <c r="V890" s="30"/>
      <c r="W890" s="30"/>
      <c r="X890" s="30"/>
      <c r="Y890" s="30"/>
      <c r="Z890" s="30"/>
    </row>
    <row r="891">
      <c r="A891" s="320"/>
      <c r="B891" s="142"/>
      <c r="C891" s="320"/>
      <c r="D891" s="142"/>
      <c r="E891" s="320"/>
      <c r="F891" s="142"/>
      <c r="G891" s="320"/>
      <c r="H891" s="142"/>
      <c r="I891" s="320"/>
      <c r="J891" s="142"/>
      <c r="K891" s="320"/>
      <c r="L891" s="142"/>
      <c r="M891" s="320"/>
      <c r="N891" s="142"/>
      <c r="O891" s="320"/>
      <c r="P891" s="142"/>
      <c r="Q891" s="195"/>
      <c r="R891" s="195"/>
      <c r="S891" s="320"/>
      <c r="T891" s="142"/>
      <c r="U891" s="30"/>
      <c r="V891" s="30"/>
      <c r="W891" s="30"/>
      <c r="X891" s="30"/>
      <c r="Y891" s="30"/>
      <c r="Z891" s="30"/>
    </row>
    <row r="892">
      <c r="A892" s="320"/>
      <c r="B892" s="142"/>
      <c r="C892" s="320"/>
      <c r="D892" s="142"/>
      <c r="E892" s="320"/>
      <c r="F892" s="142"/>
      <c r="G892" s="320"/>
      <c r="H892" s="142"/>
      <c r="I892" s="320"/>
      <c r="J892" s="142"/>
      <c r="K892" s="320"/>
      <c r="L892" s="142"/>
      <c r="M892" s="320"/>
      <c r="N892" s="142"/>
      <c r="O892" s="320"/>
      <c r="P892" s="142"/>
      <c r="Q892" s="195"/>
      <c r="R892" s="195"/>
      <c r="S892" s="320"/>
      <c r="T892" s="142"/>
      <c r="U892" s="30"/>
      <c r="V892" s="30"/>
      <c r="W892" s="30"/>
      <c r="X892" s="30"/>
      <c r="Y892" s="30"/>
      <c r="Z892" s="30"/>
    </row>
    <row r="893">
      <c r="A893" s="320"/>
      <c r="B893" s="142"/>
      <c r="C893" s="320"/>
      <c r="D893" s="142"/>
      <c r="E893" s="320"/>
      <c r="F893" s="142"/>
      <c r="G893" s="320"/>
      <c r="H893" s="142"/>
      <c r="I893" s="320"/>
      <c r="J893" s="142"/>
      <c r="K893" s="320"/>
      <c r="L893" s="142"/>
      <c r="M893" s="320"/>
      <c r="N893" s="142"/>
      <c r="O893" s="320"/>
      <c r="P893" s="142"/>
      <c r="Q893" s="195"/>
      <c r="R893" s="195"/>
      <c r="S893" s="320"/>
      <c r="T893" s="142"/>
      <c r="U893" s="30"/>
      <c r="V893" s="30"/>
      <c r="W893" s="30"/>
      <c r="X893" s="30"/>
      <c r="Y893" s="30"/>
      <c r="Z893" s="30"/>
    </row>
    <row r="894">
      <c r="A894" s="320"/>
      <c r="B894" s="142"/>
      <c r="C894" s="320"/>
      <c r="D894" s="142"/>
      <c r="E894" s="320"/>
      <c r="F894" s="142"/>
      <c r="G894" s="320"/>
      <c r="H894" s="142"/>
      <c r="I894" s="320"/>
      <c r="J894" s="142"/>
      <c r="K894" s="320"/>
      <c r="L894" s="142"/>
      <c r="M894" s="320"/>
      <c r="N894" s="142"/>
      <c r="O894" s="320"/>
      <c r="P894" s="142"/>
      <c r="Q894" s="195"/>
      <c r="R894" s="195"/>
      <c r="S894" s="320"/>
      <c r="T894" s="142"/>
      <c r="U894" s="30"/>
      <c r="V894" s="30"/>
      <c r="W894" s="30"/>
      <c r="X894" s="30"/>
      <c r="Y894" s="30"/>
      <c r="Z894" s="30"/>
    </row>
    <row r="895">
      <c r="A895" s="320"/>
      <c r="B895" s="142"/>
      <c r="C895" s="320"/>
      <c r="D895" s="142"/>
      <c r="E895" s="320"/>
      <c r="F895" s="142"/>
      <c r="G895" s="320"/>
      <c r="H895" s="142"/>
      <c r="I895" s="320"/>
      <c r="J895" s="142"/>
      <c r="K895" s="320"/>
      <c r="L895" s="142"/>
      <c r="M895" s="320"/>
      <c r="N895" s="142"/>
      <c r="O895" s="320"/>
      <c r="P895" s="142"/>
      <c r="Q895" s="195"/>
      <c r="R895" s="195"/>
      <c r="S895" s="320"/>
      <c r="T895" s="142"/>
      <c r="U895" s="30"/>
      <c r="V895" s="30"/>
      <c r="W895" s="30"/>
      <c r="X895" s="30"/>
      <c r="Y895" s="30"/>
      <c r="Z895" s="30"/>
    </row>
    <row r="896">
      <c r="A896" s="320"/>
      <c r="B896" s="142"/>
      <c r="C896" s="320"/>
      <c r="D896" s="142"/>
      <c r="E896" s="320"/>
      <c r="F896" s="142"/>
      <c r="G896" s="320"/>
      <c r="H896" s="142"/>
      <c r="I896" s="320"/>
      <c r="J896" s="142"/>
      <c r="K896" s="320"/>
      <c r="L896" s="142"/>
      <c r="M896" s="320"/>
      <c r="N896" s="142"/>
      <c r="O896" s="320"/>
      <c r="P896" s="142"/>
      <c r="Q896" s="195"/>
      <c r="R896" s="195"/>
      <c r="S896" s="320"/>
      <c r="T896" s="142"/>
      <c r="U896" s="30"/>
      <c r="V896" s="30"/>
      <c r="W896" s="30"/>
      <c r="X896" s="30"/>
      <c r="Y896" s="30"/>
      <c r="Z896" s="30"/>
    </row>
    <row r="897">
      <c r="A897" s="320"/>
      <c r="B897" s="142"/>
      <c r="C897" s="320"/>
      <c r="D897" s="142"/>
      <c r="E897" s="320"/>
      <c r="F897" s="142"/>
      <c r="G897" s="320"/>
      <c r="H897" s="142"/>
      <c r="I897" s="320"/>
      <c r="J897" s="142"/>
      <c r="K897" s="320"/>
      <c r="L897" s="142"/>
      <c r="M897" s="320"/>
      <c r="N897" s="142"/>
      <c r="O897" s="320"/>
      <c r="P897" s="142"/>
      <c r="Q897" s="195"/>
      <c r="R897" s="195"/>
      <c r="S897" s="320"/>
      <c r="T897" s="142"/>
      <c r="U897" s="30"/>
      <c r="V897" s="30"/>
      <c r="W897" s="30"/>
      <c r="X897" s="30"/>
      <c r="Y897" s="30"/>
      <c r="Z897" s="30"/>
    </row>
    <row r="898">
      <c r="A898" s="320"/>
      <c r="B898" s="142"/>
      <c r="C898" s="320"/>
      <c r="D898" s="142"/>
      <c r="E898" s="320"/>
      <c r="F898" s="142"/>
      <c r="G898" s="320"/>
      <c r="H898" s="142"/>
      <c r="I898" s="320"/>
      <c r="J898" s="142"/>
      <c r="K898" s="320"/>
      <c r="L898" s="142"/>
      <c r="M898" s="320"/>
      <c r="N898" s="142"/>
      <c r="O898" s="320"/>
      <c r="P898" s="142"/>
      <c r="Q898" s="195"/>
      <c r="R898" s="195"/>
      <c r="S898" s="320"/>
      <c r="T898" s="142"/>
      <c r="U898" s="30"/>
      <c r="V898" s="30"/>
      <c r="W898" s="30"/>
      <c r="X898" s="30"/>
      <c r="Y898" s="30"/>
      <c r="Z898" s="30"/>
    </row>
    <row r="899">
      <c r="A899" s="320"/>
      <c r="B899" s="142"/>
      <c r="C899" s="320"/>
      <c r="D899" s="142"/>
      <c r="E899" s="320"/>
      <c r="F899" s="142"/>
      <c r="G899" s="320"/>
      <c r="H899" s="142"/>
      <c r="I899" s="320"/>
      <c r="J899" s="142"/>
      <c r="K899" s="320"/>
      <c r="L899" s="142"/>
      <c r="M899" s="320"/>
      <c r="N899" s="142"/>
      <c r="O899" s="320"/>
      <c r="P899" s="142"/>
      <c r="Q899" s="195"/>
      <c r="R899" s="195"/>
      <c r="S899" s="320"/>
      <c r="T899" s="142"/>
      <c r="U899" s="30"/>
      <c r="V899" s="30"/>
      <c r="W899" s="30"/>
      <c r="X899" s="30"/>
      <c r="Y899" s="30"/>
      <c r="Z899" s="30"/>
    </row>
    <row r="900">
      <c r="A900" s="320"/>
      <c r="B900" s="142"/>
      <c r="C900" s="320"/>
      <c r="D900" s="142"/>
      <c r="E900" s="320"/>
      <c r="F900" s="142"/>
      <c r="G900" s="320"/>
      <c r="H900" s="142"/>
      <c r="I900" s="320"/>
      <c r="J900" s="142"/>
      <c r="K900" s="320"/>
      <c r="L900" s="142"/>
      <c r="M900" s="320"/>
      <c r="N900" s="142"/>
      <c r="O900" s="320"/>
      <c r="P900" s="142"/>
      <c r="Q900" s="195"/>
      <c r="R900" s="195"/>
      <c r="S900" s="320"/>
      <c r="T900" s="142"/>
      <c r="U900" s="30"/>
      <c r="V900" s="30"/>
      <c r="W900" s="30"/>
      <c r="X900" s="30"/>
      <c r="Y900" s="30"/>
      <c r="Z900" s="30"/>
    </row>
    <row r="901">
      <c r="A901" s="320"/>
      <c r="B901" s="142"/>
      <c r="C901" s="320"/>
      <c r="D901" s="142"/>
      <c r="E901" s="320"/>
      <c r="F901" s="142"/>
      <c r="G901" s="320"/>
      <c r="H901" s="142"/>
      <c r="I901" s="320"/>
      <c r="J901" s="142"/>
      <c r="K901" s="320"/>
      <c r="L901" s="142"/>
      <c r="M901" s="320"/>
      <c r="N901" s="142"/>
      <c r="O901" s="320"/>
      <c r="P901" s="142"/>
      <c r="Q901" s="195"/>
      <c r="R901" s="195"/>
      <c r="S901" s="320"/>
      <c r="T901" s="142"/>
      <c r="U901" s="30"/>
      <c r="V901" s="30"/>
      <c r="W901" s="30"/>
      <c r="X901" s="30"/>
      <c r="Y901" s="30"/>
      <c r="Z901" s="30"/>
    </row>
    <row r="902">
      <c r="A902" s="320"/>
      <c r="B902" s="142"/>
      <c r="C902" s="320"/>
      <c r="D902" s="142"/>
      <c r="E902" s="320"/>
      <c r="F902" s="142"/>
      <c r="G902" s="320"/>
      <c r="H902" s="142"/>
      <c r="I902" s="320"/>
      <c r="J902" s="142"/>
      <c r="K902" s="320"/>
      <c r="L902" s="142"/>
      <c r="M902" s="320"/>
      <c r="N902" s="142"/>
      <c r="O902" s="320"/>
      <c r="P902" s="142"/>
      <c r="Q902" s="195"/>
      <c r="R902" s="195"/>
      <c r="S902" s="320"/>
      <c r="T902" s="142"/>
      <c r="U902" s="30"/>
      <c r="V902" s="30"/>
      <c r="W902" s="30"/>
      <c r="X902" s="30"/>
      <c r="Y902" s="30"/>
      <c r="Z902" s="30"/>
    </row>
    <row r="903">
      <c r="A903" s="320"/>
      <c r="B903" s="142"/>
      <c r="C903" s="320"/>
      <c r="D903" s="142"/>
      <c r="E903" s="320"/>
      <c r="F903" s="142"/>
      <c r="G903" s="320"/>
      <c r="H903" s="142"/>
      <c r="I903" s="320"/>
      <c r="J903" s="142"/>
      <c r="K903" s="320"/>
      <c r="L903" s="142"/>
      <c r="M903" s="320"/>
      <c r="N903" s="142"/>
      <c r="O903" s="320"/>
      <c r="P903" s="142"/>
      <c r="Q903" s="195"/>
      <c r="R903" s="195"/>
      <c r="S903" s="320"/>
      <c r="T903" s="142"/>
      <c r="U903" s="30"/>
      <c r="V903" s="30"/>
      <c r="W903" s="30"/>
      <c r="X903" s="30"/>
      <c r="Y903" s="30"/>
      <c r="Z903" s="30"/>
    </row>
    <row r="904">
      <c r="A904" s="320"/>
      <c r="B904" s="142"/>
      <c r="C904" s="320"/>
      <c r="D904" s="142"/>
      <c r="E904" s="320"/>
      <c r="F904" s="142"/>
      <c r="G904" s="320"/>
      <c r="H904" s="142"/>
      <c r="I904" s="320"/>
      <c r="J904" s="142"/>
      <c r="K904" s="320"/>
      <c r="L904" s="142"/>
      <c r="M904" s="320"/>
      <c r="N904" s="142"/>
      <c r="O904" s="320"/>
      <c r="P904" s="142"/>
      <c r="Q904" s="195"/>
      <c r="R904" s="195"/>
      <c r="S904" s="320"/>
      <c r="T904" s="142"/>
      <c r="U904" s="30"/>
      <c r="V904" s="30"/>
      <c r="W904" s="30"/>
      <c r="X904" s="30"/>
      <c r="Y904" s="30"/>
      <c r="Z904" s="30"/>
    </row>
    <row r="905">
      <c r="A905" s="320"/>
      <c r="B905" s="142"/>
      <c r="C905" s="320"/>
      <c r="D905" s="142"/>
      <c r="E905" s="320"/>
      <c r="F905" s="142"/>
      <c r="G905" s="320"/>
      <c r="H905" s="142"/>
      <c r="I905" s="320"/>
      <c r="J905" s="142"/>
      <c r="K905" s="320"/>
      <c r="L905" s="142"/>
      <c r="M905" s="320"/>
      <c r="N905" s="142"/>
      <c r="O905" s="320"/>
      <c r="P905" s="142"/>
      <c r="Q905" s="195"/>
      <c r="R905" s="195"/>
      <c r="S905" s="320"/>
      <c r="T905" s="142"/>
      <c r="U905" s="30"/>
      <c r="V905" s="30"/>
      <c r="W905" s="30"/>
      <c r="X905" s="30"/>
      <c r="Y905" s="30"/>
      <c r="Z905" s="30"/>
    </row>
    <row r="906">
      <c r="A906" s="320"/>
      <c r="B906" s="142"/>
      <c r="C906" s="320"/>
      <c r="D906" s="142"/>
      <c r="E906" s="320"/>
      <c r="F906" s="142"/>
      <c r="G906" s="320"/>
      <c r="H906" s="142"/>
      <c r="I906" s="320"/>
      <c r="J906" s="142"/>
      <c r="K906" s="320"/>
      <c r="L906" s="142"/>
      <c r="M906" s="320"/>
      <c r="N906" s="142"/>
      <c r="O906" s="320"/>
      <c r="P906" s="142"/>
      <c r="Q906" s="195"/>
      <c r="R906" s="195"/>
      <c r="S906" s="320"/>
      <c r="T906" s="142"/>
      <c r="U906" s="30"/>
      <c r="V906" s="30"/>
      <c r="W906" s="30"/>
      <c r="X906" s="30"/>
      <c r="Y906" s="30"/>
      <c r="Z906" s="30"/>
    </row>
    <row r="907">
      <c r="A907" s="320"/>
      <c r="B907" s="142"/>
      <c r="C907" s="320"/>
      <c r="D907" s="142"/>
      <c r="E907" s="320"/>
      <c r="F907" s="142"/>
      <c r="G907" s="320"/>
      <c r="H907" s="142"/>
      <c r="I907" s="320"/>
      <c r="J907" s="142"/>
      <c r="K907" s="320"/>
      <c r="L907" s="142"/>
      <c r="M907" s="320"/>
      <c r="N907" s="142"/>
      <c r="O907" s="320"/>
      <c r="P907" s="142"/>
      <c r="Q907" s="195"/>
      <c r="R907" s="195"/>
      <c r="S907" s="320"/>
      <c r="T907" s="142"/>
      <c r="U907" s="30"/>
      <c r="V907" s="30"/>
      <c r="W907" s="30"/>
      <c r="X907" s="30"/>
      <c r="Y907" s="30"/>
      <c r="Z907" s="30"/>
    </row>
    <row r="908">
      <c r="A908" s="320"/>
      <c r="B908" s="142"/>
      <c r="C908" s="320"/>
      <c r="D908" s="142"/>
      <c r="E908" s="320"/>
      <c r="F908" s="142"/>
      <c r="G908" s="320"/>
      <c r="H908" s="142"/>
      <c r="I908" s="320"/>
      <c r="J908" s="142"/>
      <c r="K908" s="320"/>
      <c r="L908" s="142"/>
      <c r="M908" s="320"/>
      <c r="N908" s="142"/>
      <c r="O908" s="320"/>
      <c r="P908" s="142"/>
      <c r="Q908" s="195"/>
      <c r="R908" s="195"/>
      <c r="S908" s="320"/>
      <c r="T908" s="142"/>
      <c r="U908" s="30"/>
      <c r="V908" s="30"/>
      <c r="W908" s="30"/>
      <c r="X908" s="30"/>
      <c r="Y908" s="30"/>
      <c r="Z908" s="30"/>
    </row>
    <row r="909">
      <c r="A909" s="320"/>
      <c r="B909" s="142"/>
      <c r="C909" s="320"/>
      <c r="D909" s="142"/>
      <c r="E909" s="320"/>
      <c r="F909" s="142"/>
      <c r="G909" s="320"/>
      <c r="H909" s="142"/>
      <c r="I909" s="320"/>
      <c r="J909" s="142"/>
      <c r="K909" s="320"/>
      <c r="L909" s="142"/>
      <c r="M909" s="320"/>
      <c r="N909" s="142"/>
      <c r="O909" s="320"/>
      <c r="P909" s="142"/>
      <c r="Q909" s="195"/>
      <c r="R909" s="195"/>
      <c r="S909" s="320"/>
      <c r="T909" s="142"/>
      <c r="U909" s="30"/>
      <c r="V909" s="30"/>
      <c r="W909" s="30"/>
      <c r="X909" s="30"/>
      <c r="Y909" s="30"/>
      <c r="Z909" s="30"/>
    </row>
    <row r="910">
      <c r="A910" s="320"/>
      <c r="B910" s="142"/>
      <c r="C910" s="320"/>
      <c r="D910" s="142"/>
      <c r="E910" s="320"/>
      <c r="F910" s="142"/>
      <c r="G910" s="320"/>
      <c r="H910" s="142"/>
      <c r="I910" s="320"/>
      <c r="J910" s="142"/>
      <c r="K910" s="320"/>
      <c r="L910" s="142"/>
      <c r="M910" s="320"/>
      <c r="N910" s="142"/>
      <c r="O910" s="320"/>
      <c r="P910" s="142"/>
      <c r="Q910" s="195"/>
      <c r="R910" s="195"/>
      <c r="S910" s="320"/>
      <c r="T910" s="142"/>
      <c r="U910" s="30"/>
      <c r="V910" s="30"/>
      <c r="W910" s="30"/>
      <c r="X910" s="30"/>
      <c r="Y910" s="30"/>
      <c r="Z910" s="30"/>
    </row>
    <row r="911">
      <c r="A911" s="320"/>
      <c r="B911" s="142"/>
      <c r="C911" s="320"/>
      <c r="D911" s="142"/>
      <c r="E911" s="320"/>
      <c r="F911" s="142"/>
      <c r="G911" s="320"/>
      <c r="H911" s="142"/>
      <c r="I911" s="320"/>
      <c r="J911" s="142"/>
      <c r="K911" s="320"/>
      <c r="L911" s="142"/>
      <c r="M911" s="320"/>
      <c r="N911" s="142"/>
      <c r="O911" s="320"/>
      <c r="P911" s="142"/>
      <c r="Q911" s="195"/>
      <c r="R911" s="195"/>
      <c r="S911" s="320"/>
      <c r="T911" s="142"/>
      <c r="U911" s="30"/>
      <c r="V911" s="30"/>
      <c r="W911" s="30"/>
      <c r="X911" s="30"/>
      <c r="Y911" s="30"/>
      <c r="Z911" s="30"/>
    </row>
    <row r="912">
      <c r="A912" s="320"/>
      <c r="B912" s="142"/>
      <c r="C912" s="320"/>
      <c r="D912" s="142"/>
      <c r="E912" s="320"/>
      <c r="F912" s="142"/>
      <c r="G912" s="320"/>
      <c r="H912" s="142"/>
      <c r="I912" s="320"/>
      <c r="J912" s="142"/>
      <c r="K912" s="320"/>
      <c r="L912" s="142"/>
      <c r="M912" s="320"/>
      <c r="N912" s="142"/>
      <c r="O912" s="320"/>
      <c r="P912" s="142"/>
      <c r="Q912" s="195"/>
      <c r="R912" s="195"/>
      <c r="S912" s="320"/>
      <c r="T912" s="142"/>
      <c r="U912" s="30"/>
      <c r="V912" s="30"/>
      <c r="W912" s="30"/>
      <c r="X912" s="30"/>
      <c r="Y912" s="30"/>
      <c r="Z912" s="30"/>
    </row>
    <row r="913">
      <c r="A913" s="320"/>
      <c r="B913" s="142"/>
      <c r="C913" s="320"/>
      <c r="D913" s="142"/>
      <c r="E913" s="320"/>
      <c r="F913" s="142"/>
      <c r="G913" s="320"/>
      <c r="H913" s="142"/>
      <c r="I913" s="320"/>
      <c r="J913" s="142"/>
      <c r="K913" s="320"/>
      <c r="L913" s="142"/>
      <c r="M913" s="320"/>
      <c r="N913" s="142"/>
      <c r="O913" s="320"/>
      <c r="P913" s="142"/>
      <c r="Q913" s="195"/>
      <c r="R913" s="195"/>
      <c r="S913" s="320"/>
      <c r="T913" s="142"/>
      <c r="U913" s="30"/>
      <c r="V913" s="30"/>
      <c r="W913" s="30"/>
      <c r="X913" s="30"/>
      <c r="Y913" s="30"/>
      <c r="Z913" s="30"/>
    </row>
    <row r="914">
      <c r="A914" s="320"/>
      <c r="B914" s="142"/>
      <c r="C914" s="320"/>
      <c r="D914" s="142"/>
      <c r="E914" s="320"/>
      <c r="F914" s="142"/>
      <c r="G914" s="320"/>
      <c r="H914" s="142"/>
      <c r="I914" s="320"/>
      <c r="J914" s="142"/>
      <c r="K914" s="320"/>
      <c r="L914" s="142"/>
      <c r="M914" s="320"/>
      <c r="N914" s="142"/>
      <c r="O914" s="320"/>
      <c r="P914" s="142"/>
      <c r="Q914" s="195"/>
      <c r="R914" s="195"/>
      <c r="S914" s="320"/>
      <c r="T914" s="142"/>
      <c r="U914" s="30"/>
      <c r="V914" s="30"/>
      <c r="W914" s="30"/>
      <c r="X914" s="30"/>
      <c r="Y914" s="30"/>
      <c r="Z914" s="30"/>
    </row>
    <row r="915">
      <c r="A915" s="320"/>
      <c r="B915" s="142"/>
      <c r="C915" s="320"/>
      <c r="D915" s="142"/>
      <c r="E915" s="320"/>
      <c r="F915" s="142"/>
      <c r="G915" s="320"/>
      <c r="H915" s="142"/>
      <c r="I915" s="320"/>
      <c r="J915" s="142"/>
      <c r="K915" s="320"/>
      <c r="L915" s="142"/>
      <c r="M915" s="320"/>
      <c r="N915" s="142"/>
      <c r="O915" s="320"/>
      <c r="P915" s="142"/>
      <c r="Q915" s="195"/>
      <c r="R915" s="195"/>
      <c r="S915" s="320"/>
      <c r="T915" s="142"/>
      <c r="U915" s="30"/>
      <c r="V915" s="30"/>
      <c r="W915" s="30"/>
      <c r="X915" s="30"/>
      <c r="Y915" s="30"/>
      <c r="Z915" s="30"/>
    </row>
    <row r="916">
      <c r="A916" s="320"/>
      <c r="B916" s="142"/>
      <c r="C916" s="320"/>
      <c r="D916" s="142"/>
      <c r="E916" s="320"/>
      <c r="F916" s="142"/>
      <c r="G916" s="320"/>
      <c r="H916" s="142"/>
      <c r="I916" s="320"/>
      <c r="J916" s="142"/>
      <c r="K916" s="320"/>
      <c r="L916" s="142"/>
      <c r="M916" s="320"/>
      <c r="N916" s="142"/>
      <c r="O916" s="320"/>
      <c r="P916" s="142"/>
      <c r="Q916" s="195"/>
      <c r="R916" s="195"/>
      <c r="S916" s="320"/>
      <c r="T916" s="142"/>
      <c r="U916" s="30"/>
      <c r="V916" s="30"/>
      <c r="W916" s="30"/>
      <c r="X916" s="30"/>
      <c r="Y916" s="30"/>
      <c r="Z916" s="30"/>
    </row>
    <row r="917">
      <c r="A917" s="320"/>
      <c r="B917" s="142"/>
      <c r="C917" s="320"/>
      <c r="D917" s="142"/>
      <c r="E917" s="320"/>
      <c r="F917" s="142"/>
      <c r="G917" s="320"/>
      <c r="H917" s="142"/>
      <c r="I917" s="320"/>
      <c r="J917" s="142"/>
      <c r="K917" s="320"/>
      <c r="L917" s="142"/>
      <c r="M917" s="320"/>
      <c r="N917" s="142"/>
      <c r="O917" s="320"/>
      <c r="P917" s="142"/>
      <c r="Q917" s="195"/>
      <c r="R917" s="195"/>
      <c r="S917" s="320"/>
      <c r="T917" s="142"/>
      <c r="U917" s="30"/>
      <c r="V917" s="30"/>
      <c r="W917" s="30"/>
      <c r="X917" s="30"/>
      <c r="Y917" s="30"/>
      <c r="Z917" s="30"/>
    </row>
    <row r="918">
      <c r="A918" s="320"/>
      <c r="B918" s="142"/>
      <c r="C918" s="320"/>
      <c r="D918" s="142"/>
      <c r="E918" s="320"/>
      <c r="F918" s="142"/>
      <c r="G918" s="320"/>
      <c r="H918" s="142"/>
      <c r="I918" s="320"/>
      <c r="J918" s="142"/>
      <c r="K918" s="320"/>
      <c r="L918" s="142"/>
      <c r="M918" s="320"/>
      <c r="N918" s="142"/>
      <c r="O918" s="320"/>
      <c r="P918" s="142"/>
      <c r="Q918" s="195"/>
      <c r="R918" s="195"/>
      <c r="S918" s="320"/>
      <c r="T918" s="142"/>
      <c r="U918" s="30"/>
      <c r="V918" s="30"/>
      <c r="W918" s="30"/>
      <c r="X918" s="30"/>
      <c r="Y918" s="30"/>
      <c r="Z918" s="30"/>
    </row>
    <row r="919">
      <c r="A919" s="320"/>
      <c r="B919" s="142"/>
      <c r="C919" s="320"/>
      <c r="D919" s="142"/>
      <c r="E919" s="320"/>
      <c r="F919" s="142"/>
      <c r="G919" s="320"/>
      <c r="H919" s="142"/>
      <c r="I919" s="320"/>
      <c r="J919" s="142"/>
      <c r="K919" s="320"/>
      <c r="L919" s="142"/>
      <c r="M919" s="320"/>
      <c r="N919" s="142"/>
      <c r="O919" s="320"/>
      <c r="P919" s="142"/>
      <c r="Q919" s="195"/>
      <c r="R919" s="195"/>
      <c r="S919" s="320"/>
      <c r="T919" s="142"/>
      <c r="U919" s="30"/>
      <c r="V919" s="30"/>
      <c r="W919" s="30"/>
      <c r="X919" s="30"/>
      <c r="Y919" s="30"/>
      <c r="Z919" s="30"/>
    </row>
    <row r="920">
      <c r="A920" s="320"/>
      <c r="B920" s="142"/>
      <c r="C920" s="320"/>
      <c r="D920" s="142"/>
      <c r="E920" s="320"/>
      <c r="F920" s="142"/>
      <c r="G920" s="320"/>
      <c r="H920" s="142"/>
      <c r="I920" s="320"/>
      <c r="J920" s="142"/>
      <c r="K920" s="320"/>
      <c r="L920" s="142"/>
      <c r="M920" s="320"/>
      <c r="N920" s="142"/>
      <c r="O920" s="320"/>
      <c r="P920" s="142"/>
      <c r="Q920" s="195"/>
      <c r="R920" s="195"/>
      <c r="S920" s="320"/>
      <c r="T920" s="142"/>
      <c r="U920" s="30"/>
      <c r="V920" s="30"/>
      <c r="W920" s="30"/>
      <c r="X920" s="30"/>
      <c r="Y920" s="30"/>
      <c r="Z920" s="30"/>
    </row>
    <row r="921">
      <c r="A921" s="320"/>
      <c r="B921" s="142"/>
      <c r="C921" s="320"/>
      <c r="D921" s="142"/>
      <c r="E921" s="320"/>
      <c r="F921" s="142"/>
      <c r="G921" s="320"/>
      <c r="H921" s="142"/>
      <c r="I921" s="320"/>
      <c r="J921" s="142"/>
      <c r="K921" s="320"/>
      <c r="L921" s="142"/>
      <c r="M921" s="320"/>
      <c r="N921" s="142"/>
      <c r="O921" s="320"/>
      <c r="P921" s="142"/>
      <c r="Q921" s="195"/>
      <c r="R921" s="195"/>
      <c r="S921" s="320"/>
      <c r="T921" s="142"/>
      <c r="U921" s="30"/>
      <c r="V921" s="30"/>
      <c r="W921" s="30"/>
      <c r="X921" s="30"/>
      <c r="Y921" s="30"/>
      <c r="Z921" s="30"/>
    </row>
    <row r="922">
      <c r="A922" s="320"/>
      <c r="B922" s="142"/>
      <c r="C922" s="320"/>
      <c r="D922" s="142"/>
      <c r="E922" s="320"/>
      <c r="F922" s="142"/>
      <c r="G922" s="320"/>
      <c r="H922" s="142"/>
      <c r="I922" s="320"/>
      <c r="J922" s="142"/>
      <c r="K922" s="320"/>
      <c r="L922" s="142"/>
      <c r="M922" s="320"/>
      <c r="N922" s="142"/>
      <c r="O922" s="320"/>
      <c r="P922" s="142"/>
      <c r="Q922" s="195"/>
      <c r="R922" s="195"/>
      <c r="S922" s="320"/>
      <c r="T922" s="142"/>
      <c r="U922" s="30"/>
      <c r="V922" s="30"/>
      <c r="W922" s="30"/>
      <c r="X922" s="30"/>
      <c r="Y922" s="30"/>
      <c r="Z922" s="30"/>
    </row>
    <row r="923">
      <c r="A923" s="320"/>
      <c r="B923" s="142"/>
      <c r="C923" s="320"/>
      <c r="D923" s="142"/>
      <c r="E923" s="320"/>
      <c r="F923" s="142"/>
      <c r="G923" s="320"/>
      <c r="H923" s="142"/>
      <c r="I923" s="320"/>
      <c r="J923" s="142"/>
      <c r="K923" s="320"/>
      <c r="L923" s="142"/>
      <c r="M923" s="320"/>
      <c r="N923" s="142"/>
      <c r="O923" s="320"/>
      <c r="P923" s="142"/>
      <c r="Q923" s="195"/>
      <c r="R923" s="195"/>
      <c r="S923" s="320"/>
      <c r="T923" s="142"/>
      <c r="U923" s="30"/>
      <c r="V923" s="30"/>
      <c r="W923" s="30"/>
      <c r="X923" s="30"/>
      <c r="Y923" s="30"/>
      <c r="Z923" s="30"/>
    </row>
    <row r="924">
      <c r="A924" s="320"/>
      <c r="B924" s="142"/>
      <c r="C924" s="320"/>
      <c r="D924" s="142"/>
      <c r="E924" s="320"/>
      <c r="F924" s="142"/>
      <c r="G924" s="320"/>
      <c r="H924" s="142"/>
      <c r="I924" s="320"/>
      <c r="J924" s="142"/>
      <c r="K924" s="320"/>
      <c r="L924" s="142"/>
      <c r="M924" s="320"/>
      <c r="N924" s="142"/>
      <c r="O924" s="320"/>
      <c r="P924" s="142"/>
      <c r="Q924" s="195"/>
      <c r="R924" s="195"/>
      <c r="S924" s="320"/>
      <c r="T924" s="142"/>
      <c r="U924" s="30"/>
      <c r="V924" s="30"/>
      <c r="W924" s="30"/>
      <c r="X924" s="30"/>
      <c r="Y924" s="30"/>
      <c r="Z924" s="30"/>
    </row>
    <row r="925">
      <c r="A925" s="320"/>
      <c r="B925" s="142"/>
      <c r="C925" s="320"/>
      <c r="D925" s="142"/>
      <c r="E925" s="320"/>
      <c r="F925" s="142"/>
      <c r="G925" s="320"/>
      <c r="H925" s="142"/>
      <c r="I925" s="320"/>
      <c r="J925" s="142"/>
      <c r="K925" s="320"/>
      <c r="L925" s="142"/>
      <c r="M925" s="320"/>
      <c r="N925" s="142"/>
      <c r="O925" s="320"/>
      <c r="P925" s="142"/>
      <c r="Q925" s="195"/>
      <c r="R925" s="195"/>
      <c r="S925" s="320"/>
      <c r="T925" s="142"/>
      <c r="U925" s="30"/>
      <c r="V925" s="30"/>
      <c r="W925" s="30"/>
      <c r="X925" s="30"/>
      <c r="Y925" s="30"/>
      <c r="Z925" s="30"/>
    </row>
    <row r="926">
      <c r="A926" s="320"/>
      <c r="B926" s="142"/>
      <c r="C926" s="320"/>
      <c r="D926" s="142"/>
      <c r="E926" s="320"/>
      <c r="F926" s="142"/>
      <c r="G926" s="320"/>
      <c r="H926" s="142"/>
      <c r="I926" s="320"/>
      <c r="J926" s="142"/>
      <c r="K926" s="320"/>
      <c r="L926" s="142"/>
      <c r="M926" s="320"/>
      <c r="N926" s="142"/>
      <c r="O926" s="320"/>
      <c r="P926" s="142"/>
      <c r="Q926" s="195"/>
      <c r="R926" s="195"/>
      <c r="S926" s="320"/>
      <c r="T926" s="142"/>
      <c r="U926" s="30"/>
      <c r="V926" s="30"/>
      <c r="W926" s="30"/>
      <c r="X926" s="30"/>
      <c r="Y926" s="30"/>
      <c r="Z926" s="30"/>
    </row>
    <row r="927">
      <c r="A927" s="320"/>
      <c r="B927" s="142"/>
      <c r="C927" s="320"/>
      <c r="D927" s="142"/>
      <c r="E927" s="320"/>
      <c r="F927" s="142"/>
      <c r="G927" s="320"/>
      <c r="H927" s="142"/>
      <c r="I927" s="320"/>
      <c r="J927" s="142"/>
      <c r="K927" s="320"/>
      <c r="L927" s="142"/>
      <c r="M927" s="320"/>
      <c r="N927" s="142"/>
      <c r="O927" s="320"/>
      <c r="P927" s="142"/>
      <c r="Q927" s="195"/>
      <c r="R927" s="195"/>
      <c r="S927" s="320"/>
      <c r="T927" s="142"/>
      <c r="U927" s="30"/>
      <c r="V927" s="30"/>
      <c r="W927" s="30"/>
      <c r="X927" s="30"/>
      <c r="Y927" s="30"/>
      <c r="Z927" s="30"/>
    </row>
    <row r="928">
      <c r="A928" s="320"/>
      <c r="B928" s="142"/>
      <c r="C928" s="320"/>
      <c r="D928" s="142"/>
      <c r="E928" s="320"/>
      <c r="F928" s="142"/>
      <c r="G928" s="320"/>
      <c r="H928" s="142"/>
      <c r="I928" s="320"/>
      <c r="J928" s="142"/>
      <c r="K928" s="320"/>
      <c r="L928" s="142"/>
      <c r="M928" s="320"/>
      <c r="N928" s="142"/>
      <c r="O928" s="320"/>
      <c r="P928" s="142"/>
      <c r="Q928" s="195"/>
      <c r="R928" s="195"/>
      <c r="S928" s="320"/>
      <c r="T928" s="142"/>
      <c r="U928" s="30"/>
      <c r="V928" s="30"/>
      <c r="W928" s="30"/>
      <c r="X928" s="30"/>
      <c r="Y928" s="30"/>
      <c r="Z928" s="30"/>
    </row>
    <row r="929">
      <c r="A929" s="320"/>
      <c r="B929" s="142"/>
      <c r="C929" s="320"/>
      <c r="D929" s="142"/>
      <c r="E929" s="320"/>
      <c r="F929" s="142"/>
      <c r="G929" s="320"/>
      <c r="H929" s="142"/>
      <c r="I929" s="320"/>
      <c r="J929" s="142"/>
      <c r="K929" s="320"/>
      <c r="L929" s="142"/>
      <c r="M929" s="320"/>
      <c r="N929" s="142"/>
      <c r="O929" s="320"/>
      <c r="P929" s="142"/>
      <c r="Q929" s="195"/>
      <c r="R929" s="195"/>
      <c r="S929" s="320"/>
      <c r="T929" s="142"/>
      <c r="U929" s="30"/>
      <c r="V929" s="30"/>
      <c r="W929" s="30"/>
      <c r="X929" s="30"/>
      <c r="Y929" s="30"/>
      <c r="Z929" s="30"/>
    </row>
    <row r="930">
      <c r="A930" s="320"/>
      <c r="B930" s="142"/>
      <c r="C930" s="320"/>
      <c r="D930" s="142"/>
      <c r="E930" s="320"/>
      <c r="F930" s="142"/>
      <c r="G930" s="320"/>
      <c r="H930" s="142"/>
      <c r="I930" s="320"/>
      <c r="J930" s="142"/>
      <c r="K930" s="320"/>
      <c r="L930" s="142"/>
      <c r="M930" s="320"/>
      <c r="N930" s="142"/>
      <c r="O930" s="320"/>
      <c r="P930" s="142"/>
      <c r="Q930" s="195"/>
      <c r="R930" s="195"/>
      <c r="S930" s="320"/>
      <c r="T930" s="142"/>
      <c r="U930" s="30"/>
      <c r="V930" s="30"/>
      <c r="W930" s="30"/>
      <c r="X930" s="30"/>
      <c r="Y930" s="30"/>
      <c r="Z930" s="30"/>
    </row>
    <row r="931">
      <c r="A931" s="320"/>
      <c r="B931" s="142"/>
      <c r="C931" s="320"/>
      <c r="D931" s="142"/>
      <c r="E931" s="320"/>
      <c r="F931" s="142"/>
      <c r="G931" s="320"/>
      <c r="H931" s="142"/>
      <c r="I931" s="320"/>
      <c r="J931" s="142"/>
      <c r="K931" s="320"/>
      <c r="L931" s="142"/>
      <c r="M931" s="320"/>
      <c r="N931" s="142"/>
      <c r="O931" s="320"/>
      <c r="P931" s="142"/>
      <c r="Q931" s="195"/>
      <c r="R931" s="195"/>
      <c r="S931" s="320"/>
      <c r="T931" s="142"/>
      <c r="U931" s="30"/>
      <c r="V931" s="30"/>
      <c r="W931" s="30"/>
      <c r="X931" s="30"/>
      <c r="Y931" s="30"/>
      <c r="Z931" s="30"/>
    </row>
    <row r="932">
      <c r="A932" s="320"/>
      <c r="B932" s="142"/>
      <c r="C932" s="320"/>
      <c r="D932" s="142"/>
      <c r="E932" s="320"/>
      <c r="F932" s="142"/>
      <c r="G932" s="320"/>
      <c r="H932" s="142"/>
      <c r="I932" s="320"/>
      <c r="J932" s="142"/>
      <c r="K932" s="320"/>
      <c r="L932" s="142"/>
      <c r="M932" s="320"/>
      <c r="N932" s="142"/>
      <c r="O932" s="320"/>
      <c r="P932" s="142"/>
      <c r="Q932" s="195"/>
      <c r="R932" s="195"/>
      <c r="S932" s="320"/>
      <c r="T932" s="142"/>
      <c r="U932" s="30"/>
      <c r="V932" s="30"/>
      <c r="W932" s="30"/>
      <c r="X932" s="30"/>
      <c r="Y932" s="30"/>
      <c r="Z932" s="30"/>
    </row>
    <row r="933">
      <c r="A933" s="320"/>
      <c r="B933" s="142"/>
      <c r="C933" s="320"/>
      <c r="D933" s="142"/>
      <c r="E933" s="320"/>
      <c r="F933" s="142"/>
      <c r="G933" s="320"/>
      <c r="H933" s="142"/>
      <c r="I933" s="320"/>
      <c r="J933" s="142"/>
      <c r="K933" s="320"/>
      <c r="L933" s="142"/>
      <c r="M933" s="320"/>
      <c r="N933" s="142"/>
      <c r="O933" s="320"/>
      <c r="P933" s="142"/>
      <c r="Q933" s="195"/>
      <c r="R933" s="195"/>
      <c r="S933" s="320"/>
      <c r="T933" s="142"/>
      <c r="U933" s="30"/>
      <c r="V933" s="30"/>
      <c r="W933" s="30"/>
      <c r="X933" s="30"/>
      <c r="Y933" s="30"/>
      <c r="Z933" s="30"/>
    </row>
    <row r="934">
      <c r="A934" s="320"/>
      <c r="B934" s="142"/>
      <c r="C934" s="320"/>
      <c r="D934" s="142"/>
      <c r="E934" s="320"/>
      <c r="F934" s="142"/>
      <c r="G934" s="320"/>
      <c r="H934" s="142"/>
      <c r="I934" s="320"/>
      <c r="J934" s="142"/>
      <c r="K934" s="320"/>
      <c r="L934" s="142"/>
      <c r="M934" s="320"/>
      <c r="N934" s="142"/>
      <c r="O934" s="320"/>
      <c r="P934" s="142"/>
      <c r="Q934" s="195"/>
      <c r="R934" s="195"/>
      <c r="S934" s="320"/>
      <c r="T934" s="142"/>
      <c r="U934" s="30"/>
      <c r="V934" s="30"/>
      <c r="W934" s="30"/>
      <c r="X934" s="30"/>
      <c r="Y934" s="30"/>
      <c r="Z934" s="30"/>
    </row>
    <row r="935">
      <c r="A935" s="320"/>
      <c r="B935" s="142"/>
      <c r="C935" s="320"/>
      <c r="D935" s="142"/>
      <c r="E935" s="320"/>
      <c r="F935" s="142"/>
      <c r="G935" s="320"/>
      <c r="H935" s="142"/>
      <c r="I935" s="320"/>
      <c r="J935" s="142"/>
      <c r="K935" s="320"/>
      <c r="L935" s="142"/>
      <c r="M935" s="320"/>
      <c r="N935" s="142"/>
      <c r="O935" s="320"/>
      <c r="P935" s="142"/>
      <c r="Q935" s="195"/>
      <c r="R935" s="195"/>
      <c r="S935" s="320"/>
      <c r="T935" s="142"/>
      <c r="U935" s="30"/>
      <c r="V935" s="30"/>
      <c r="W935" s="30"/>
      <c r="X935" s="30"/>
      <c r="Y935" s="30"/>
      <c r="Z935" s="30"/>
    </row>
    <row r="936">
      <c r="A936" s="320"/>
      <c r="B936" s="142"/>
      <c r="C936" s="320"/>
      <c r="D936" s="142"/>
      <c r="E936" s="320"/>
      <c r="F936" s="142"/>
      <c r="G936" s="320"/>
      <c r="H936" s="142"/>
      <c r="I936" s="320"/>
      <c r="J936" s="142"/>
      <c r="K936" s="320"/>
      <c r="L936" s="142"/>
      <c r="M936" s="320"/>
      <c r="N936" s="142"/>
      <c r="O936" s="320"/>
      <c r="P936" s="142"/>
      <c r="Q936" s="195"/>
      <c r="R936" s="195"/>
      <c r="S936" s="320"/>
      <c r="T936" s="142"/>
      <c r="U936" s="30"/>
      <c r="V936" s="30"/>
      <c r="W936" s="30"/>
      <c r="X936" s="30"/>
      <c r="Y936" s="30"/>
      <c r="Z936" s="30"/>
    </row>
    <row r="937">
      <c r="A937" s="320"/>
      <c r="B937" s="142"/>
      <c r="C937" s="320"/>
      <c r="D937" s="142"/>
      <c r="E937" s="320"/>
      <c r="F937" s="142"/>
      <c r="G937" s="320"/>
      <c r="H937" s="142"/>
      <c r="I937" s="320"/>
      <c r="J937" s="142"/>
      <c r="K937" s="320"/>
      <c r="L937" s="142"/>
      <c r="M937" s="320"/>
      <c r="N937" s="142"/>
      <c r="O937" s="320"/>
      <c r="P937" s="142"/>
      <c r="Q937" s="195"/>
      <c r="R937" s="195"/>
      <c r="S937" s="320"/>
      <c r="T937" s="142"/>
      <c r="U937" s="30"/>
      <c r="V937" s="30"/>
      <c r="W937" s="30"/>
      <c r="X937" s="30"/>
      <c r="Y937" s="30"/>
      <c r="Z937" s="30"/>
    </row>
    <row r="938">
      <c r="A938" s="320"/>
      <c r="B938" s="142"/>
      <c r="C938" s="320"/>
      <c r="D938" s="142"/>
      <c r="E938" s="320"/>
      <c r="F938" s="142"/>
      <c r="G938" s="320"/>
      <c r="H938" s="142"/>
      <c r="I938" s="320"/>
      <c r="J938" s="142"/>
      <c r="K938" s="320"/>
      <c r="L938" s="142"/>
      <c r="M938" s="320"/>
      <c r="N938" s="142"/>
      <c r="O938" s="320"/>
      <c r="P938" s="142"/>
      <c r="Q938" s="195"/>
      <c r="R938" s="195"/>
      <c r="S938" s="320"/>
      <c r="T938" s="142"/>
      <c r="U938" s="30"/>
      <c r="V938" s="30"/>
      <c r="W938" s="30"/>
      <c r="X938" s="30"/>
      <c r="Y938" s="30"/>
      <c r="Z938" s="30"/>
    </row>
    <row r="939">
      <c r="A939" s="320"/>
      <c r="B939" s="142"/>
      <c r="C939" s="320"/>
      <c r="D939" s="142"/>
      <c r="E939" s="320"/>
      <c r="F939" s="142"/>
      <c r="G939" s="320"/>
      <c r="H939" s="142"/>
      <c r="I939" s="320"/>
      <c r="J939" s="142"/>
      <c r="K939" s="320"/>
      <c r="L939" s="142"/>
      <c r="M939" s="320"/>
      <c r="N939" s="142"/>
      <c r="O939" s="320"/>
      <c r="P939" s="142"/>
      <c r="Q939" s="195"/>
      <c r="R939" s="195"/>
      <c r="S939" s="320"/>
      <c r="T939" s="142"/>
      <c r="U939" s="30"/>
      <c r="V939" s="30"/>
      <c r="W939" s="30"/>
      <c r="X939" s="30"/>
      <c r="Y939" s="30"/>
      <c r="Z939" s="30"/>
    </row>
    <row r="940">
      <c r="A940" s="320"/>
      <c r="B940" s="142"/>
      <c r="C940" s="320"/>
      <c r="D940" s="142"/>
      <c r="E940" s="320"/>
      <c r="F940" s="142"/>
      <c r="G940" s="320"/>
      <c r="H940" s="142"/>
      <c r="I940" s="320"/>
      <c r="J940" s="142"/>
      <c r="K940" s="320"/>
      <c r="L940" s="142"/>
      <c r="M940" s="320"/>
      <c r="N940" s="142"/>
      <c r="O940" s="320"/>
      <c r="P940" s="142"/>
      <c r="Q940" s="195"/>
      <c r="R940" s="195"/>
      <c r="S940" s="320"/>
      <c r="T940" s="142"/>
      <c r="U940" s="30"/>
      <c r="V940" s="30"/>
      <c r="W940" s="30"/>
      <c r="X940" s="30"/>
      <c r="Y940" s="30"/>
      <c r="Z940" s="30"/>
    </row>
    <row r="941">
      <c r="A941" s="320"/>
      <c r="B941" s="142"/>
      <c r="C941" s="320"/>
      <c r="D941" s="142"/>
      <c r="E941" s="320"/>
      <c r="F941" s="142"/>
      <c r="G941" s="320"/>
      <c r="H941" s="142"/>
      <c r="I941" s="320"/>
      <c r="J941" s="142"/>
      <c r="K941" s="320"/>
      <c r="L941" s="142"/>
      <c r="M941" s="320"/>
      <c r="N941" s="142"/>
      <c r="O941" s="320"/>
      <c r="P941" s="142"/>
      <c r="Q941" s="195"/>
      <c r="R941" s="195"/>
      <c r="S941" s="320"/>
      <c r="T941" s="142"/>
      <c r="U941" s="30"/>
      <c r="V941" s="30"/>
      <c r="W941" s="30"/>
      <c r="X941" s="30"/>
      <c r="Y941" s="30"/>
      <c r="Z941" s="30"/>
    </row>
    <row r="942">
      <c r="A942" s="320"/>
      <c r="B942" s="142"/>
      <c r="C942" s="320"/>
      <c r="D942" s="142"/>
      <c r="E942" s="320"/>
      <c r="F942" s="142"/>
      <c r="G942" s="320"/>
      <c r="H942" s="142"/>
      <c r="I942" s="320"/>
      <c r="J942" s="142"/>
      <c r="K942" s="320"/>
      <c r="L942" s="142"/>
      <c r="M942" s="320"/>
      <c r="N942" s="142"/>
      <c r="O942" s="320"/>
      <c r="P942" s="142"/>
      <c r="Q942" s="195"/>
      <c r="R942" s="195"/>
      <c r="S942" s="320"/>
      <c r="T942" s="142"/>
      <c r="U942" s="30"/>
      <c r="V942" s="30"/>
      <c r="W942" s="30"/>
      <c r="X942" s="30"/>
      <c r="Y942" s="30"/>
      <c r="Z942" s="30"/>
    </row>
    <row r="943">
      <c r="A943" s="320"/>
      <c r="B943" s="142"/>
      <c r="C943" s="320"/>
      <c r="D943" s="142"/>
      <c r="E943" s="320"/>
      <c r="F943" s="142"/>
      <c r="G943" s="320"/>
      <c r="H943" s="142"/>
      <c r="I943" s="320"/>
      <c r="J943" s="142"/>
      <c r="K943" s="320"/>
      <c r="L943" s="142"/>
      <c r="M943" s="320"/>
      <c r="N943" s="142"/>
      <c r="O943" s="320"/>
      <c r="P943" s="142"/>
      <c r="Q943" s="195"/>
      <c r="R943" s="195"/>
      <c r="S943" s="320"/>
      <c r="T943" s="142"/>
      <c r="U943" s="30"/>
      <c r="V943" s="30"/>
      <c r="W943" s="30"/>
      <c r="X943" s="30"/>
      <c r="Y943" s="30"/>
      <c r="Z943" s="30"/>
    </row>
    <row r="944">
      <c r="A944" s="320"/>
      <c r="B944" s="142"/>
      <c r="C944" s="320"/>
      <c r="D944" s="142"/>
      <c r="E944" s="320"/>
      <c r="F944" s="142"/>
      <c r="G944" s="320"/>
      <c r="H944" s="142"/>
      <c r="I944" s="320"/>
      <c r="J944" s="142"/>
      <c r="K944" s="320"/>
      <c r="L944" s="142"/>
      <c r="M944" s="320"/>
      <c r="N944" s="142"/>
      <c r="O944" s="320"/>
      <c r="P944" s="142"/>
      <c r="Q944" s="195"/>
      <c r="R944" s="195"/>
      <c r="S944" s="320"/>
      <c r="T944" s="142"/>
      <c r="U944" s="30"/>
      <c r="V944" s="30"/>
      <c r="W944" s="30"/>
      <c r="X944" s="30"/>
      <c r="Y944" s="30"/>
      <c r="Z944" s="30"/>
    </row>
    <row r="945">
      <c r="A945" s="320"/>
      <c r="B945" s="142"/>
      <c r="C945" s="320"/>
      <c r="D945" s="142"/>
      <c r="E945" s="320"/>
      <c r="F945" s="142"/>
      <c r="G945" s="320"/>
      <c r="H945" s="142"/>
      <c r="I945" s="320"/>
      <c r="J945" s="142"/>
      <c r="K945" s="320"/>
      <c r="L945" s="142"/>
      <c r="M945" s="320"/>
      <c r="N945" s="142"/>
      <c r="O945" s="320"/>
      <c r="P945" s="142"/>
      <c r="Q945" s="195"/>
      <c r="R945" s="195"/>
      <c r="S945" s="320"/>
      <c r="T945" s="142"/>
      <c r="U945" s="30"/>
      <c r="V945" s="30"/>
      <c r="W945" s="30"/>
      <c r="X945" s="30"/>
      <c r="Y945" s="30"/>
      <c r="Z945" s="30"/>
    </row>
    <row r="946">
      <c r="A946" s="320"/>
      <c r="B946" s="142"/>
      <c r="C946" s="320"/>
      <c r="D946" s="142"/>
      <c r="E946" s="320"/>
      <c r="F946" s="142"/>
      <c r="G946" s="320"/>
      <c r="H946" s="142"/>
      <c r="I946" s="320"/>
      <c r="J946" s="142"/>
      <c r="K946" s="320"/>
      <c r="L946" s="142"/>
      <c r="M946" s="320"/>
      <c r="N946" s="142"/>
      <c r="O946" s="320"/>
      <c r="P946" s="142"/>
      <c r="Q946" s="195"/>
      <c r="R946" s="195"/>
      <c r="S946" s="320"/>
      <c r="T946" s="142"/>
      <c r="U946" s="30"/>
      <c r="V946" s="30"/>
      <c r="W946" s="30"/>
      <c r="X946" s="30"/>
      <c r="Y946" s="30"/>
      <c r="Z946" s="30"/>
    </row>
    <row r="947">
      <c r="A947" s="320"/>
      <c r="B947" s="142"/>
      <c r="C947" s="320"/>
      <c r="D947" s="142"/>
      <c r="E947" s="320"/>
      <c r="F947" s="142"/>
      <c r="G947" s="320"/>
      <c r="H947" s="142"/>
      <c r="I947" s="320"/>
      <c r="J947" s="142"/>
      <c r="K947" s="320"/>
      <c r="L947" s="142"/>
      <c r="M947" s="320"/>
      <c r="N947" s="142"/>
      <c r="O947" s="320"/>
      <c r="P947" s="142"/>
      <c r="Q947" s="195"/>
      <c r="R947" s="195"/>
      <c r="S947" s="320"/>
      <c r="T947" s="142"/>
      <c r="U947" s="30"/>
      <c r="V947" s="30"/>
      <c r="W947" s="30"/>
      <c r="X947" s="30"/>
      <c r="Y947" s="30"/>
      <c r="Z947" s="30"/>
    </row>
    <row r="948">
      <c r="A948" s="320"/>
      <c r="B948" s="142"/>
      <c r="C948" s="320"/>
      <c r="D948" s="142"/>
      <c r="E948" s="320"/>
      <c r="F948" s="142"/>
      <c r="G948" s="320"/>
      <c r="H948" s="142"/>
      <c r="I948" s="320"/>
      <c r="J948" s="142"/>
      <c r="K948" s="320"/>
      <c r="L948" s="142"/>
      <c r="M948" s="320"/>
      <c r="N948" s="142"/>
      <c r="O948" s="320"/>
      <c r="P948" s="142"/>
      <c r="Q948" s="195"/>
      <c r="R948" s="195"/>
      <c r="S948" s="320"/>
      <c r="T948" s="142"/>
      <c r="U948" s="30"/>
      <c r="V948" s="30"/>
      <c r="W948" s="30"/>
      <c r="X948" s="30"/>
      <c r="Y948" s="30"/>
      <c r="Z948" s="30"/>
    </row>
    <row r="949">
      <c r="A949" s="320"/>
      <c r="B949" s="142"/>
      <c r="C949" s="320"/>
      <c r="D949" s="142"/>
      <c r="E949" s="320"/>
      <c r="F949" s="142"/>
      <c r="G949" s="320"/>
      <c r="H949" s="142"/>
      <c r="I949" s="320"/>
      <c r="J949" s="142"/>
      <c r="K949" s="320"/>
      <c r="L949" s="142"/>
      <c r="M949" s="320"/>
      <c r="N949" s="142"/>
      <c r="O949" s="320"/>
      <c r="P949" s="142"/>
      <c r="Q949" s="195"/>
      <c r="R949" s="195"/>
      <c r="S949" s="320"/>
      <c r="T949" s="142"/>
      <c r="U949" s="30"/>
      <c r="V949" s="30"/>
      <c r="W949" s="30"/>
      <c r="X949" s="30"/>
      <c r="Y949" s="30"/>
      <c r="Z949" s="30"/>
    </row>
    <row r="950">
      <c r="A950" s="320"/>
      <c r="B950" s="142"/>
      <c r="C950" s="320"/>
      <c r="D950" s="142"/>
      <c r="E950" s="320"/>
      <c r="F950" s="142"/>
      <c r="G950" s="320"/>
      <c r="H950" s="142"/>
      <c r="I950" s="320"/>
      <c r="J950" s="142"/>
      <c r="K950" s="320"/>
      <c r="L950" s="142"/>
      <c r="M950" s="320"/>
      <c r="N950" s="142"/>
      <c r="O950" s="320"/>
      <c r="P950" s="142"/>
      <c r="Q950" s="195"/>
      <c r="R950" s="195"/>
      <c r="S950" s="320"/>
      <c r="T950" s="142"/>
      <c r="U950" s="30"/>
      <c r="V950" s="30"/>
      <c r="W950" s="30"/>
      <c r="X950" s="30"/>
      <c r="Y950" s="30"/>
      <c r="Z950" s="30"/>
    </row>
    <row r="951">
      <c r="A951" s="320"/>
      <c r="B951" s="142"/>
      <c r="C951" s="320"/>
      <c r="D951" s="142"/>
      <c r="E951" s="320"/>
      <c r="F951" s="142"/>
      <c r="G951" s="320"/>
      <c r="H951" s="142"/>
      <c r="I951" s="320"/>
      <c r="J951" s="142"/>
      <c r="K951" s="320"/>
      <c r="L951" s="142"/>
      <c r="M951" s="320"/>
      <c r="N951" s="142"/>
      <c r="O951" s="320"/>
      <c r="P951" s="142"/>
      <c r="Q951" s="195"/>
      <c r="R951" s="195"/>
      <c r="S951" s="320"/>
      <c r="T951" s="142"/>
      <c r="U951" s="30"/>
      <c r="V951" s="30"/>
      <c r="W951" s="30"/>
      <c r="X951" s="30"/>
      <c r="Y951" s="30"/>
      <c r="Z951" s="30"/>
    </row>
    <row r="952">
      <c r="A952" s="320"/>
      <c r="B952" s="142"/>
      <c r="C952" s="320"/>
      <c r="D952" s="142"/>
      <c r="E952" s="320"/>
      <c r="F952" s="142"/>
      <c r="G952" s="320"/>
      <c r="H952" s="142"/>
      <c r="I952" s="320"/>
      <c r="J952" s="142"/>
      <c r="K952" s="320"/>
      <c r="L952" s="142"/>
      <c r="M952" s="320"/>
      <c r="N952" s="142"/>
      <c r="O952" s="320"/>
      <c r="P952" s="142"/>
      <c r="Q952" s="195"/>
      <c r="R952" s="195"/>
      <c r="S952" s="320"/>
      <c r="T952" s="142"/>
      <c r="U952" s="30"/>
      <c r="V952" s="30"/>
      <c r="W952" s="30"/>
      <c r="X952" s="30"/>
      <c r="Y952" s="30"/>
      <c r="Z952" s="30"/>
    </row>
    <row r="953">
      <c r="A953" s="320"/>
      <c r="B953" s="142"/>
      <c r="C953" s="320"/>
      <c r="D953" s="142"/>
      <c r="E953" s="320"/>
      <c r="F953" s="142"/>
      <c r="G953" s="320"/>
      <c r="H953" s="142"/>
      <c r="I953" s="320"/>
      <c r="J953" s="142"/>
      <c r="K953" s="320"/>
      <c r="L953" s="142"/>
      <c r="M953" s="320"/>
      <c r="N953" s="142"/>
      <c r="O953" s="320"/>
      <c r="P953" s="142"/>
      <c r="Q953" s="195"/>
      <c r="R953" s="195"/>
      <c r="S953" s="320"/>
      <c r="T953" s="142"/>
      <c r="U953" s="30"/>
      <c r="V953" s="30"/>
      <c r="W953" s="30"/>
      <c r="X953" s="30"/>
      <c r="Y953" s="30"/>
      <c r="Z953" s="30"/>
    </row>
    <row r="954">
      <c r="A954" s="320"/>
      <c r="B954" s="142"/>
      <c r="C954" s="320"/>
      <c r="D954" s="142"/>
      <c r="E954" s="320"/>
      <c r="F954" s="142"/>
      <c r="G954" s="320"/>
      <c r="H954" s="142"/>
      <c r="I954" s="320"/>
      <c r="J954" s="142"/>
      <c r="K954" s="320"/>
      <c r="L954" s="142"/>
      <c r="M954" s="320"/>
      <c r="N954" s="142"/>
      <c r="O954" s="320"/>
      <c r="P954" s="142"/>
      <c r="Q954" s="195"/>
      <c r="R954" s="195"/>
      <c r="S954" s="320"/>
      <c r="T954" s="142"/>
      <c r="U954" s="30"/>
      <c r="V954" s="30"/>
      <c r="W954" s="30"/>
      <c r="X954" s="30"/>
      <c r="Y954" s="30"/>
      <c r="Z954" s="30"/>
    </row>
    <row r="955">
      <c r="A955" s="320"/>
      <c r="B955" s="142"/>
      <c r="C955" s="320"/>
      <c r="D955" s="142"/>
      <c r="E955" s="320"/>
      <c r="F955" s="142"/>
      <c r="G955" s="320"/>
      <c r="H955" s="142"/>
      <c r="I955" s="320"/>
      <c r="J955" s="142"/>
      <c r="K955" s="320"/>
      <c r="L955" s="142"/>
      <c r="M955" s="320"/>
      <c r="N955" s="142"/>
      <c r="O955" s="320"/>
      <c r="P955" s="142"/>
      <c r="Q955" s="195"/>
      <c r="R955" s="195"/>
      <c r="S955" s="320"/>
      <c r="T955" s="142"/>
      <c r="U955" s="30"/>
      <c r="V955" s="30"/>
      <c r="W955" s="30"/>
      <c r="X955" s="30"/>
      <c r="Y955" s="30"/>
      <c r="Z955" s="30"/>
    </row>
    <row r="956">
      <c r="A956" s="320"/>
      <c r="B956" s="142"/>
      <c r="C956" s="320"/>
      <c r="D956" s="142"/>
      <c r="E956" s="320"/>
      <c r="F956" s="142"/>
      <c r="G956" s="320"/>
      <c r="H956" s="142"/>
      <c r="I956" s="320"/>
      <c r="J956" s="142"/>
      <c r="K956" s="320"/>
      <c r="L956" s="142"/>
      <c r="M956" s="320"/>
      <c r="N956" s="142"/>
      <c r="O956" s="320"/>
      <c r="P956" s="142"/>
      <c r="Q956" s="195"/>
      <c r="R956" s="195"/>
      <c r="S956" s="320"/>
      <c r="T956" s="142"/>
      <c r="U956" s="30"/>
      <c r="V956" s="30"/>
      <c r="W956" s="30"/>
      <c r="X956" s="30"/>
      <c r="Y956" s="30"/>
      <c r="Z956" s="30"/>
    </row>
    <row r="957">
      <c r="A957" s="320"/>
      <c r="B957" s="142"/>
      <c r="C957" s="320"/>
      <c r="D957" s="142"/>
      <c r="E957" s="320"/>
      <c r="F957" s="142"/>
      <c r="G957" s="320"/>
      <c r="H957" s="142"/>
      <c r="I957" s="320"/>
      <c r="J957" s="142"/>
      <c r="K957" s="320"/>
      <c r="L957" s="142"/>
      <c r="M957" s="320"/>
      <c r="N957" s="142"/>
      <c r="O957" s="320"/>
      <c r="P957" s="142"/>
      <c r="Q957" s="195"/>
      <c r="R957" s="195"/>
      <c r="S957" s="320"/>
      <c r="T957" s="142"/>
      <c r="U957" s="30"/>
      <c r="V957" s="30"/>
      <c r="W957" s="30"/>
      <c r="X957" s="30"/>
      <c r="Y957" s="30"/>
      <c r="Z957" s="30"/>
    </row>
    <row r="958">
      <c r="A958" s="320"/>
      <c r="B958" s="142"/>
      <c r="C958" s="320"/>
      <c r="D958" s="142"/>
      <c r="E958" s="320"/>
      <c r="F958" s="142"/>
      <c r="G958" s="320"/>
      <c r="H958" s="142"/>
      <c r="I958" s="320"/>
      <c r="J958" s="142"/>
      <c r="K958" s="320"/>
      <c r="L958" s="142"/>
      <c r="M958" s="320"/>
      <c r="N958" s="142"/>
      <c r="O958" s="320"/>
      <c r="P958" s="142"/>
      <c r="Q958" s="195"/>
      <c r="R958" s="195"/>
      <c r="S958" s="320"/>
      <c r="T958" s="142"/>
      <c r="U958" s="30"/>
      <c r="V958" s="30"/>
      <c r="W958" s="30"/>
      <c r="X958" s="30"/>
      <c r="Y958" s="30"/>
      <c r="Z958" s="30"/>
    </row>
    <row r="959">
      <c r="A959" s="320"/>
      <c r="B959" s="142"/>
      <c r="C959" s="320"/>
      <c r="D959" s="142"/>
      <c r="E959" s="320"/>
      <c r="F959" s="142"/>
      <c r="G959" s="320"/>
      <c r="H959" s="142"/>
      <c r="I959" s="320"/>
      <c r="J959" s="142"/>
      <c r="K959" s="320"/>
      <c r="L959" s="142"/>
      <c r="M959" s="320"/>
      <c r="N959" s="142"/>
      <c r="O959" s="320"/>
      <c r="P959" s="142"/>
      <c r="Q959" s="195"/>
      <c r="R959" s="195"/>
      <c r="S959" s="320"/>
      <c r="T959" s="142"/>
      <c r="U959" s="30"/>
      <c r="V959" s="30"/>
      <c r="W959" s="30"/>
      <c r="X959" s="30"/>
      <c r="Y959" s="30"/>
      <c r="Z959" s="30"/>
    </row>
    <row r="960">
      <c r="A960" s="320"/>
      <c r="B960" s="142"/>
      <c r="C960" s="320"/>
      <c r="D960" s="142"/>
      <c r="E960" s="320"/>
      <c r="F960" s="142"/>
      <c r="G960" s="320"/>
      <c r="H960" s="142"/>
      <c r="I960" s="320"/>
      <c r="J960" s="142"/>
      <c r="K960" s="320"/>
      <c r="L960" s="142"/>
      <c r="M960" s="320"/>
      <c r="N960" s="142"/>
      <c r="O960" s="320"/>
      <c r="P960" s="142"/>
      <c r="Q960" s="195"/>
      <c r="R960" s="195"/>
      <c r="S960" s="320"/>
      <c r="T960" s="142"/>
      <c r="U960" s="30"/>
      <c r="V960" s="30"/>
      <c r="W960" s="30"/>
      <c r="X960" s="30"/>
      <c r="Y960" s="30"/>
      <c r="Z960" s="30"/>
    </row>
    <row r="961">
      <c r="A961" s="320"/>
      <c r="B961" s="142"/>
      <c r="C961" s="320"/>
      <c r="D961" s="142"/>
      <c r="E961" s="320"/>
      <c r="F961" s="142"/>
      <c r="G961" s="320"/>
      <c r="H961" s="142"/>
      <c r="I961" s="320"/>
      <c r="J961" s="142"/>
      <c r="K961" s="320"/>
      <c r="L961" s="142"/>
      <c r="M961" s="320"/>
      <c r="N961" s="142"/>
      <c r="O961" s="320"/>
      <c r="P961" s="142"/>
      <c r="Q961" s="195"/>
      <c r="R961" s="195"/>
      <c r="S961" s="320"/>
      <c r="T961" s="142"/>
      <c r="U961" s="30"/>
      <c r="V961" s="30"/>
      <c r="W961" s="30"/>
      <c r="X961" s="30"/>
      <c r="Y961" s="30"/>
      <c r="Z961" s="30"/>
    </row>
    <row r="962">
      <c r="A962" s="320"/>
      <c r="B962" s="142"/>
      <c r="C962" s="320"/>
      <c r="D962" s="142"/>
      <c r="E962" s="320"/>
      <c r="F962" s="142"/>
      <c r="G962" s="320"/>
      <c r="H962" s="142"/>
      <c r="I962" s="320"/>
      <c r="J962" s="142"/>
      <c r="K962" s="320"/>
      <c r="L962" s="142"/>
      <c r="M962" s="320"/>
      <c r="N962" s="142"/>
      <c r="O962" s="320"/>
      <c r="P962" s="142"/>
      <c r="Q962" s="195"/>
      <c r="R962" s="195"/>
      <c r="S962" s="320"/>
      <c r="T962" s="142"/>
      <c r="U962" s="30"/>
      <c r="V962" s="30"/>
      <c r="W962" s="30"/>
      <c r="X962" s="30"/>
      <c r="Y962" s="30"/>
      <c r="Z962" s="30"/>
    </row>
    <row r="963">
      <c r="A963" s="320"/>
      <c r="B963" s="142"/>
      <c r="C963" s="320"/>
      <c r="D963" s="142"/>
      <c r="E963" s="320"/>
      <c r="F963" s="142"/>
      <c r="G963" s="320"/>
      <c r="H963" s="142"/>
      <c r="I963" s="320"/>
      <c r="J963" s="142"/>
      <c r="K963" s="320"/>
      <c r="L963" s="142"/>
      <c r="M963" s="320"/>
      <c r="N963" s="142"/>
      <c r="O963" s="320"/>
      <c r="P963" s="142"/>
      <c r="Q963" s="195"/>
      <c r="R963" s="195"/>
      <c r="S963" s="320"/>
      <c r="T963" s="142"/>
      <c r="U963" s="30"/>
      <c r="V963" s="30"/>
      <c r="W963" s="30"/>
      <c r="X963" s="30"/>
      <c r="Y963" s="30"/>
      <c r="Z963" s="30"/>
    </row>
    <row r="964">
      <c r="A964" s="320"/>
      <c r="B964" s="142"/>
      <c r="C964" s="320"/>
      <c r="D964" s="142"/>
      <c r="E964" s="320"/>
      <c r="F964" s="142"/>
      <c r="G964" s="320"/>
      <c r="H964" s="142"/>
      <c r="I964" s="320"/>
      <c r="J964" s="142"/>
      <c r="K964" s="320"/>
      <c r="L964" s="142"/>
      <c r="M964" s="320"/>
      <c r="N964" s="142"/>
      <c r="O964" s="320"/>
      <c r="P964" s="142"/>
      <c r="Q964" s="195"/>
      <c r="R964" s="195"/>
      <c r="S964" s="320"/>
      <c r="T964" s="142"/>
      <c r="U964" s="30"/>
      <c r="V964" s="30"/>
      <c r="W964" s="30"/>
      <c r="X964" s="30"/>
      <c r="Y964" s="30"/>
      <c r="Z964" s="30"/>
    </row>
    <row r="965">
      <c r="A965" s="320"/>
      <c r="B965" s="142"/>
      <c r="C965" s="320"/>
      <c r="D965" s="142"/>
      <c r="E965" s="320"/>
      <c r="F965" s="142"/>
      <c r="G965" s="320"/>
      <c r="H965" s="142"/>
      <c r="I965" s="320"/>
      <c r="J965" s="142"/>
      <c r="K965" s="320"/>
      <c r="L965" s="142"/>
      <c r="M965" s="320"/>
      <c r="N965" s="142"/>
      <c r="O965" s="320"/>
      <c r="P965" s="142"/>
      <c r="Q965" s="195"/>
      <c r="R965" s="195"/>
      <c r="S965" s="320"/>
      <c r="T965" s="142"/>
      <c r="U965" s="30"/>
      <c r="V965" s="30"/>
      <c r="W965" s="30"/>
      <c r="X965" s="30"/>
      <c r="Y965" s="30"/>
      <c r="Z965" s="30"/>
    </row>
    <row r="966">
      <c r="A966" s="320"/>
      <c r="B966" s="142"/>
      <c r="C966" s="320"/>
      <c r="D966" s="142"/>
      <c r="E966" s="320"/>
      <c r="F966" s="142"/>
      <c r="G966" s="320"/>
      <c r="H966" s="142"/>
      <c r="I966" s="320"/>
      <c r="J966" s="142"/>
      <c r="K966" s="320"/>
      <c r="L966" s="142"/>
      <c r="M966" s="320"/>
      <c r="N966" s="142"/>
      <c r="O966" s="320"/>
      <c r="P966" s="142"/>
      <c r="Q966" s="195"/>
      <c r="R966" s="195"/>
      <c r="S966" s="320"/>
      <c r="T966" s="142"/>
      <c r="U966" s="30"/>
      <c r="V966" s="30"/>
      <c r="W966" s="30"/>
      <c r="X966" s="30"/>
      <c r="Y966" s="30"/>
      <c r="Z966" s="30"/>
    </row>
    <row r="967">
      <c r="A967" s="320"/>
      <c r="B967" s="142"/>
      <c r="C967" s="320"/>
      <c r="D967" s="142"/>
      <c r="E967" s="320"/>
      <c r="F967" s="142"/>
      <c r="G967" s="320"/>
      <c r="H967" s="142"/>
      <c r="I967" s="320"/>
      <c r="J967" s="142"/>
      <c r="K967" s="320"/>
      <c r="L967" s="142"/>
      <c r="M967" s="320"/>
      <c r="N967" s="142"/>
      <c r="O967" s="320"/>
      <c r="P967" s="142"/>
      <c r="Q967" s="195"/>
      <c r="R967" s="195"/>
      <c r="S967" s="320"/>
      <c r="T967" s="142"/>
      <c r="U967" s="30"/>
      <c r="V967" s="30"/>
      <c r="W967" s="30"/>
      <c r="X967" s="30"/>
      <c r="Y967" s="30"/>
      <c r="Z967" s="30"/>
    </row>
    <row r="968">
      <c r="A968" s="320"/>
      <c r="B968" s="142"/>
      <c r="C968" s="320"/>
      <c r="D968" s="142"/>
      <c r="E968" s="320"/>
      <c r="F968" s="142"/>
      <c r="G968" s="320"/>
      <c r="H968" s="142"/>
      <c r="I968" s="320"/>
      <c r="J968" s="142"/>
      <c r="K968" s="320"/>
      <c r="L968" s="142"/>
      <c r="M968" s="320"/>
      <c r="N968" s="142"/>
      <c r="O968" s="320"/>
      <c r="P968" s="142"/>
      <c r="Q968" s="195"/>
      <c r="R968" s="195"/>
      <c r="S968" s="320"/>
      <c r="T968" s="142"/>
      <c r="U968" s="30"/>
      <c r="V968" s="30"/>
      <c r="W968" s="30"/>
      <c r="X968" s="30"/>
      <c r="Y968" s="30"/>
      <c r="Z968" s="30"/>
    </row>
    <row r="969">
      <c r="A969" s="320"/>
      <c r="B969" s="142"/>
      <c r="C969" s="320"/>
      <c r="D969" s="142"/>
      <c r="E969" s="320"/>
      <c r="F969" s="142"/>
      <c r="G969" s="320"/>
      <c r="H969" s="142"/>
      <c r="I969" s="320"/>
      <c r="J969" s="142"/>
      <c r="K969" s="320"/>
      <c r="L969" s="142"/>
      <c r="M969" s="320"/>
      <c r="N969" s="142"/>
      <c r="O969" s="320"/>
      <c r="P969" s="142"/>
      <c r="Q969" s="195"/>
      <c r="R969" s="195"/>
      <c r="S969" s="320"/>
      <c r="T969" s="142"/>
      <c r="U969" s="30"/>
      <c r="V969" s="30"/>
      <c r="W969" s="30"/>
      <c r="X969" s="30"/>
      <c r="Y969" s="30"/>
      <c r="Z969" s="30"/>
    </row>
    <row r="970">
      <c r="A970" s="320"/>
      <c r="B970" s="142"/>
      <c r="C970" s="320"/>
      <c r="D970" s="142"/>
      <c r="E970" s="320"/>
      <c r="F970" s="142"/>
      <c r="G970" s="320"/>
      <c r="H970" s="142"/>
      <c r="I970" s="320"/>
      <c r="J970" s="142"/>
      <c r="K970" s="320"/>
      <c r="L970" s="142"/>
      <c r="M970" s="320"/>
      <c r="N970" s="142"/>
      <c r="O970" s="320"/>
      <c r="P970" s="142"/>
      <c r="Q970" s="195"/>
      <c r="R970" s="195"/>
      <c r="S970" s="320"/>
      <c r="T970" s="142"/>
      <c r="U970" s="30"/>
      <c r="V970" s="30"/>
      <c r="W970" s="30"/>
      <c r="X970" s="30"/>
      <c r="Y970" s="30"/>
      <c r="Z970" s="30"/>
    </row>
    <row r="971">
      <c r="A971" s="320"/>
      <c r="B971" s="142"/>
      <c r="C971" s="320"/>
      <c r="D971" s="142"/>
      <c r="E971" s="320"/>
      <c r="F971" s="142"/>
      <c r="G971" s="320"/>
      <c r="H971" s="142"/>
      <c r="I971" s="320"/>
      <c r="J971" s="142"/>
      <c r="K971" s="320"/>
      <c r="L971" s="142"/>
      <c r="M971" s="320"/>
      <c r="N971" s="142"/>
      <c r="O971" s="320"/>
      <c r="P971" s="142"/>
      <c r="Q971" s="195"/>
      <c r="R971" s="195"/>
      <c r="S971" s="320"/>
      <c r="T971" s="142"/>
      <c r="U971" s="30"/>
      <c r="V971" s="30"/>
      <c r="W971" s="30"/>
      <c r="X971" s="30"/>
      <c r="Y971" s="30"/>
      <c r="Z971" s="30"/>
    </row>
    <row r="972">
      <c r="A972" s="320"/>
      <c r="B972" s="142"/>
      <c r="C972" s="320"/>
      <c r="D972" s="142"/>
      <c r="E972" s="320"/>
      <c r="F972" s="142"/>
      <c r="G972" s="320"/>
      <c r="H972" s="142"/>
      <c r="I972" s="320"/>
      <c r="J972" s="142"/>
      <c r="K972" s="320"/>
      <c r="L972" s="142"/>
      <c r="M972" s="320"/>
      <c r="N972" s="142"/>
      <c r="O972" s="320"/>
      <c r="P972" s="142"/>
      <c r="Q972" s="195"/>
      <c r="R972" s="195"/>
      <c r="S972" s="320"/>
      <c r="T972" s="142"/>
      <c r="U972" s="30"/>
      <c r="V972" s="30"/>
      <c r="W972" s="30"/>
      <c r="X972" s="30"/>
      <c r="Y972" s="30"/>
      <c r="Z972" s="30"/>
    </row>
    <row r="973">
      <c r="A973" s="320"/>
      <c r="B973" s="142"/>
      <c r="C973" s="320"/>
      <c r="D973" s="142"/>
      <c r="E973" s="320"/>
      <c r="F973" s="142"/>
      <c r="G973" s="320"/>
      <c r="H973" s="142"/>
      <c r="I973" s="320"/>
      <c r="J973" s="142"/>
      <c r="K973" s="320"/>
      <c r="L973" s="142"/>
      <c r="M973" s="320"/>
      <c r="N973" s="142"/>
      <c r="O973" s="320"/>
      <c r="P973" s="142"/>
      <c r="Q973" s="195"/>
      <c r="R973" s="195"/>
      <c r="S973" s="320"/>
      <c r="T973" s="142"/>
      <c r="U973" s="30"/>
      <c r="V973" s="30"/>
      <c r="W973" s="30"/>
      <c r="X973" s="30"/>
      <c r="Y973" s="30"/>
      <c r="Z973" s="30"/>
    </row>
    <row r="974">
      <c r="A974" s="320"/>
      <c r="B974" s="142"/>
      <c r="C974" s="320"/>
      <c r="D974" s="142"/>
      <c r="E974" s="320"/>
      <c r="F974" s="142"/>
      <c r="G974" s="320"/>
      <c r="H974" s="142"/>
      <c r="I974" s="320"/>
      <c r="J974" s="142"/>
      <c r="K974" s="320"/>
      <c r="L974" s="142"/>
      <c r="M974" s="320"/>
      <c r="N974" s="142"/>
      <c r="O974" s="320"/>
      <c r="P974" s="142"/>
      <c r="Q974" s="195"/>
      <c r="R974" s="195"/>
      <c r="S974" s="320"/>
      <c r="T974" s="142"/>
      <c r="U974" s="30"/>
      <c r="V974" s="30"/>
      <c r="W974" s="30"/>
      <c r="X974" s="30"/>
      <c r="Y974" s="30"/>
      <c r="Z974" s="30"/>
    </row>
    <row r="975">
      <c r="A975" s="320"/>
      <c r="B975" s="142"/>
      <c r="C975" s="320"/>
      <c r="D975" s="142"/>
      <c r="E975" s="320"/>
      <c r="F975" s="142"/>
      <c r="G975" s="320"/>
      <c r="H975" s="142"/>
      <c r="I975" s="320"/>
      <c r="J975" s="142"/>
      <c r="K975" s="320"/>
      <c r="L975" s="142"/>
      <c r="M975" s="320"/>
      <c r="N975" s="142"/>
      <c r="O975" s="320"/>
      <c r="P975" s="142"/>
      <c r="Q975" s="195"/>
      <c r="R975" s="195"/>
      <c r="S975" s="320"/>
      <c r="T975" s="142"/>
      <c r="U975" s="30"/>
      <c r="V975" s="30"/>
      <c r="W975" s="30"/>
      <c r="X975" s="30"/>
      <c r="Y975" s="30"/>
      <c r="Z975" s="30"/>
    </row>
    <row r="976">
      <c r="A976" s="320"/>
      <c r="B976" s="142"/>
      <c r="C976" s="320"/>
      <c r="D976" s="142"/>
      <c r="E976" s="320"/>
      <c r="F976" s="142"/>
      <c r="G976" s="320"/>
      <c r="H976" s="142"/>
      <c r="I976" s="320"/>
      <c r="J976" s="142"/>
      <c r="K976" s="320"/>
      <c r="L976" s="142"/>
      <c r="M976" s="320"/>
      <c r="N976" s="142"/>
      <c r="O976" s="320"/>
      <c r="P976" s="142"/>
      <c r="Q976" s="195"/>
      <c r="R976" s="195"/>
      <c r="S976" s="320"/>
      <c r="T976" s="142"/>
      <c r="U976" s="30"/>
      <c r="V976" s="30"/>
      <c r="W976" s="30"/>
      <c r="X976" s="30"/>
      <c r="Y976" s="30"/>
      <c r="Z976" s="30"/>
    </row>
    <row r="977">
      <c r="A977" s="320"/>
      <c r="B977" s="142"/>
      <c r="C977" s="320"/>
      <c r="D977" s="142"/>
      <c r="E977" s="320"/>
      <c r="F977" s="142"/>
      <c r="G977" s="320"/>
      <c r="H977" s="142"/>
      <c r="I977" s="320"/>
      <c r="J977" s="142"/>
      <c r="K977" s="320"/>
      <c r="L977" s="142"/>
      <c r="M977" s="320"/>
      <c r="N977" s="142"/>
      <c r="O977" s="320"/>
      <c r="P977" s="142"/>
      <c r="Q977" s="195"/>
      <c r="R977" s="195"/>
      <c r="S977" s="320"/>
      <c r="T977" s="142"/>
      <c r="U977" s="30"/>
      <c r="V977" s="30"/>
      <c r="W977" s="30"/>
      <c r="X977" s="30"/>
      <c r="Y977" s="30"/>
      <c r="Z977" s="30"/>
    </row>
    <row r="978">
      <c r="A978" s="320"/>
      <c r="B978" s="142"/>
      <c r="C978" s="320"/>
      <c r="D978" s="142"/>
      <c r="E978" s="320"/>
      <c r="F978" s="142"/>
      <c r="G978" s="320"/>
      <c r="H978" s="142"/>
      <c r="I978" s="320"/>
      <c r="J978" s="142"/>
      <c r="K978" s="320"/>
      <c r="L978" s="142"/>
      <c r="M978" s="320"/>
      <c r="N978" s="142"/>
      <c r="O978" s="320"/>
      <c r="P978" s="142"/>
      <c r="Q978" s="195"/>
      <c r="R978" s="195"/>
      <c r="S978" s="320"/>
      <c r="T978" s="142"/>
      <c r="U978" s="30"/>
      <c r="V978" s="30"/>
      <c r="W978" s="30"/>
      <c r="X978" s="30"/>
      <c r="Y978" s="30"/>
      <c r="Z978" s="30"/>
    </row>
    <row r="979">
      <c r="A979" s="320"/>
      <c r="B979" s="142"/>
      <c r="C979" s="320"/>
      <c r="D979" s="142"/>
      <c r="E979" s="320"/>
      <c r="F979" s="142"/>
      <c r="G979" s="320"/>
      <c r="H979" s="142"/>
      <c r="I979" s="320"/>
      <c r="J979" s="142"/>
      <c r="K979" s="320"/>
      <c r="L979" s="142"/>
      <c r="M979" s="320"/>
      <c r="N979" s="142"/>
      <c r="O979" s="320"/>
      <c r="P979" s="142"/>
      <c r="Q979" s="195"/>
      <c r="R979" s="195"/>
      <c r="S979" s="320"/>
      <c r="T979" s="142"/>
      <c r="U979" s="30"/>
      <c r="V979" s="30"/>
      <c r="W979" s="30"/>
      <c r="X979" s="30"/>
      <c r="Y979" s="30"/>
      <c r="Z979" s="30"/>
    </row>
    <row r="980">
      <c r="A980" s="320"/>
      <c r="B980" s="142"/>
      <c r="C980" s="320"/>
      <c r="D980" s="142"/>
      <c r="E980" s="320"/>
      <c r="F980" s="142"/>
      <c r="G980" s="320"/>
      <c r="H980" s="142"/>
      <c r="I980" s="320"/>
      <c r="J980" s="142"/>
      <c r="K980" s="320"/>
      <c r="L980" s="142"/>
      <c r="M980" s="320"/>
      <c r="N980" s="142"/>
      <c r="O980" s="320"/>
      <c r="P980" s="142"/>
      <c r="Q980" s="195"/>
      <c r="R980" s="195"/>
      <c r="S980" s="320"/>
      <c r="T980" s="142"/>
      <c r="U980" s="30"/>
      <c r="V980" s="30"/>
      <c r="W980" s="30"/>
      <c r="X980" s="30"/>
      <c r="Y980" s="30"/>
      <c r="Z980" s="30"/>
    </row>
    <row r="981">
      <c r="A981" s="320"/>
      <c r="B981" s="142"/>
      <c r="C981" s="320"/>
      <c r="D981" s="142"/>
      <c r="E981" s="320"/>
      <c r="F981" s="142"/>
      <c r="G981" s="320"/>
      <c r="H981" s="142"/>
      <c r="I981" s="320"/>
      <c r="J981" s="142"/>
      <c r="K981" s="320"/>
      <c r="L981" s="142"/>
      <c r="M981" s="320"/>
      <c r="N981" s="142"/>
      <c r="O981" s="320"/>
      <c r="P981" s="142"/>
      <c r="Q981" s="195"/>
      <c r="R981" s="195"/>
      <c r="S981" s="320"/>
      <c r="T981" s="142"/>
      <c r="U981" s="30"/>
      <c r="V981" s="30"/>
      <c r="W981" s="30"/>
      <c r="X981" s="30"/>
      <c r="Y981" s="30"/>
      <c r="Z981" s="30"/>
    </row>
    <row r="982">
      <c r="A982" s="320"/>
      <c r="B982" s="142"/>
      <c r="C982" s="320"/>
      <c r="D982" s="142"/>
      <c r="E982" s="320"/>
      <c r="F982" s="142"/>
      <c r="G982" s="320"/>
      <c r="H982" s="142"/>
      <c r="I982" s="320"/>
      <c r="J982" s="142"/>
      <c r="K982" s="320"/>
      <c r="L982" s="142"/>
      <c r="M982" s="320"/>
      <c r="N982" s="142"/>
      <c r="O982" s="320"/>
      <c r="P982" s="142"/>
      <c r="Q982" s="195"/>
      <c r="R982" s="195"/>
      <c r="S982" s="320"/>
      <c r="T982" s="142"/>
      <c r="U982" s="30"/>
      <c r="V982" s="30"/>
      <c r="W982" s="30"/>
      <c r="X982" s="30"/>
      <c r="Y982" s="30"/>
      <c r="Z982" s="30"/>
    </row>
    <row r="983">
      <c r="A983" s="320"/>
      <c r="B983" s="142"/>
      <c r="C983" s="320"/>
      <c r="D983" s="142"/>
      <c r="E983" s="320"/>
      <c r="F983" s="142"/>
      <c r="G983" s="320"/>
      <c r="H983" s="142"/>
      <c r="I983" s="320"/>
      <c r="J983" s="142"/>
      <c r="K983" s="320"/>
      <c r="L983" s="142"/>
      <c r="M983" s="320"/>
      <c r="N983" s="142"/>
      <c r="O983" s="320"/>
      <c r="P983" s="142"/>
      <c r="Q983" s="195"/>
      <c r="R983" s="195"/>
      <c r="S983" s="320"/>
      <c r="T983" s="142"/>
      <c r="U983" s="30"/>
      <c r="V983" s="30"/>
      <c r="W983" s="30"/>
      <c r="X983" s="30"/>
      <c r="Y983" s="30"/>
      <c r="Z983" s="30"/>
    </row>
    <row r="984">
      <c r="A984" s="320"/>
      <c r="B984" s="142"/>
      <c r="C984" s="320"/>
      <c r="D984" s="142"/>
      <c r="E984" s="320"/>
      <c r="F984" s="142"/>
      <c r="G984" s="320"/>
      <c r="H984" s="142"/>
      <c r="I984" s="320"/>
      <c r="J984" s="142"/>
      <c r="K984" s="320"/>
      <c r="L984" s="142"/>
      <c r="M984" s="320"/>
      <c r="N984" s="142"/>
      <c r="O984" s="320"/>
      <c r="P984" s="142"/>
      <c r="Q984" s="195"/>
      <c r="R984" s="195"/>
      <c r="S984" s="320"/>
      <c r="T984" s="142"/>
      <c r="U984" s="30"/>
      <c r="V984" s="30"/>
      <c r="W984" s="30"/>
      <c r="X984" s="30"/>
      <c r="Y984" s="30"/>
      <c r="Z984" s="30"/>
    </row>
    <row r="985">
      <c r="A985" s="320"/>
      <c r="B985" s="142"/>
      <c r="C985" s="320"/>
      <c r="D985" s="142"/>
      <c r="E985" s="320"/>
      <c r="F985" s="142"/>
      <c r="G985" s="320"/>
      <c r="H985" s="142"/>
      <c r="I985" s="320"/>
      <c r="J985" s="142"/>
      <c r="K985" s="320"/>
      <c r="L985" s="142"/>
      <c r="M985" s="320"/>
      <c r="N985" s="142"/>
      <c r="O985" s="320"/>
      <c r="P985" s="142"/>
      <c r="Q985" s="195"/>
      <c r="R985" s="195"/>
      <c r="S985" s="320"/>
      <c r="T985" s="142"/>
      <c r="U985" s="30"/>
      <c r="V985" s="30"/>
      <c r="W985" s="30"/>
      <c r="X985" s="30"/>
      <c r="Y985" s="30"/>
      <c r="Z985" s="30"/>
    </row>
    <row r="986">
      <c r="A986" s="320"/>
      <c r="B986" s="142"/>
      <c r="C986" s="320"/>
      <c r="D986" s="142"/>
      <c r="E986" s="320"/>
      <c r="F986" s="142"/>
      <c r="G986" s="320"/>
      <c r="H986" s="142"/>
      <c r="I986" s="320"/>
      <c r="J986" s="142"/>
      <c r="K986" s="320"/>
      <c r="L986" s="142"/>
      <c r="M986" s="320"/>
      <c r="N986" s="142"/>
      <c r="O986" s="320"/>
      <c r="P986" s="142"/>
      <c r="Q986" s="195"/>
      <c r="R986" s="195"/>
      <c r="S986" s="320"/>
      <c r="T986" s="142"/>
      <c r="U986" s="30"/>
      <c r="V986" s="30"/>
      <c r="W986" s="30"/>
      <c r="X986" s="30"/>
      <c r="Y986" s="30"/>
      <c r="Z986" s="30"/>
    </row>
    <row r="987">
      <c r="A987" s="320"/>
      <c r="B987" s="142"/>
      <c r="C987" s="320"/>
      <c r="D987" s="142"/>
      <c r="E987" s="320"/>
      <c r="F987" s="142"/>
      <c r="G987" s="320"/>
      <c r="H987" s="142"/>
      <c r="I987" s="320"/>
      <c r="J987" s="142"/>
      <c r="K987" s="320"/>
      <c r="L987" s="142"/>
      <c r="M987" s="320"/>
      <c r="N987" s="142"/>
      <c r="O987" s="320"/>
      <c r="P987" s="142"/>
      <c r="Q987" s="195"/>
      <c r="R987" s="195"/>
      <c r="S987" s="320"/>
      <c r="T987" s="142"/>
      <c r="U987" s="30"/>
      <c r="V987" s="30"/>
      <c r="W987" s="30"/>
      <c r="X987" s="30"/>
      <c r="Y987" s="30"/>
      <c r="Z987" s="30"/>
    </row>
    <row r="988">
      <c r="A988" s="320"/>
      <c r="B988" s="142"/>
      <c r="C988" s="320"/>
      <c r="D988" s="142"/>
      <c r="E988" s="320"/>
      <c r="F988" s="142"/>
      <c r="G988" s="320"/>
      <c r="H988" s="142"/>
      <c r="I988" s="320"/>
      <c r="J988" s="142"/>
      <c r="K988" s="320"/>
      <c r="L988" s="142"/>
      <c r="M988" s="320"/>
      <c r="N988" s="142"/>
      <c r="O988" s="320"/>
      <c r="P988" s="142"/>
      <c r="Q988" s="195"/>
      <c r="R988" s="195"/>
      <c r="S988" s="320"/>
      <c r="T988" s="142"/>
      <c r="U988" s="30"/>
      <c r="V988" s="30"/>
      <c r="W988" s="30"/>
      <c r="X988" s="30"/>
      <c r="Y988" s="30"/>
      <c r="Z988" s="30"/>
    </row>
    <row r="989">
      <c r="A989" s="320"/>
      <c r="B989" s="142"/>
      <c r="C989" s="320"/>
      <c r="D989" s="142"/>
      <c r="E989" s="320"/>
      <c r="F989" s="142"/>
      <c r="G989" s="320"/>
      <c r="H989" s="142"/>
      <c r="I989" s="320"/>
      <c r="J989" s="142"/>
      <c r="K989" s="320"/>
      <c r="L989" s="142"/>
      <c r="M989" s="320"/>
      <c r="N989" s="142"/>
      <c r="O989" s="320"/>
      <c r="P989" s="142"/>
      <c r="Q989" s="195"/>
      <c r="R989" s="195"/>
      <c r="S989" s="320"/>
      <c r="T989" s="142"/>
      <c r="U989" s="30"/>
      <c r="V989" s="30"/>
      <c r="W989" s="30"/>
      <c r="X989" s="30"/>
      <c r="Y989" s="30"/>
      <c r="Z989" s="30"/>
    </row>
    <row r="990">
      <c r="A990" s="320"/>
      <c r="B990" s="142"/>
      <c r="C990" s="320"/>
      <c r="D990" s="142"/>
      <c r="E990" s="320"/>
      <c r="F990" s="142"/>
      <c r="G990" s="320"/>
      <c r="H990" s="142"/>
      <c r="I990" s="320"/>
      <c r="J990" s="142"/>
      <c r="K990" s="320"/>
      <c r="L990" s="142"/>
      <c r="M990" s="320"/>
      <c r="N990" s="142"/>
      <c r="O990" s="320"/>
      <c r="P990" s="142"/>
      <c r="Q990" s="195"/>
      <c r="R990" s="195"/>
      <c r="S990" s="320"/>
      <c r="T990" s="142"/>
      <c r="U990" s="30"/>
      <c r="V990" s="30"/>
      <c r="W990" s="30"/>
      <c r="X990" s="30"/>
      <c r="Y990" s="30"/>
      <c r="Z990" s="30"/>
    </row>
    <row r="991">
      <c r="A991" s="320"/>
      <c r="B991" s="142"/>
      <c r="C991" s="320"/>
      <c r="D991" s="142"/>
      <c r="E991" s="320"/>
      <c r="F991" s="142"/>
      <c r="G991" s="320"/>
      <c r="H991" s="142"/>
      <c r="I991" s="320"/>
      <c r="J991" s="142"/>
      <c r="K991" s="320"/>
      <c r="L991" s="142"/>
      <c r="M991" s="320"/>
      <c r="N991" s="142"/>
      <c r="O991" s="320"/>
      <c r="P991" s="142"/>
      <c r="Q991" s="195"/>
      <c r="R991" s="195"/>
      <c r="S991" s="320"/>
      <c r="T991" s="142"/>
      <c r="U991" s="30"/>
      <c r="V991" s="30"/>
      <c r="W991" s="30"/>
      <c r="X991" s="30"/>
      <c r="Y991" s="30"/>
      <c r="Z991" s="30"/>
    </row>
    <row r="992">
      <c r="A992" s="320"/>
      <c r="B992" s="142"/>
      <c r="C992" s="320"/>
      <c r="D992" s="142"/>
      <c r="E992" s="320"/>
      <c r="F992" s="142"/>
      <c r="G992" s="320"/>
      <c r="H992" s="142"/>
      <c r="I992" s="320"/>
      <c r="J992" s="142"/>
      <c r="K992" s="320"/>
      <c r="L992" s="142"/>
      <c r="M992" s="320"/>
      <c r="N992" s="142"/>
      <c r="O992" s="320"/>
      <c r="P992" s="142"/>
      <c r="Q992" s="195"/>
      <c r="R992" s="195"/>
      <c r="S992" s="320"/>
      <c r="T992" s="142"/>
      <c r="U992" s="30"/>
      <c r="V992" s="30"/>
      <c r="W992" s="30"/>
      <c r="X992" s="30"/>
      <c r="Y992" s="30"/>
      <c r="Z992" s="30"/>
    </row>
    <row r="993">
      <c r="A993" s="320"/>
      <c r="B993" s="142"/>
      <c r="C993" s="320"/>
      <c r="D993" s="142"/>
      <c r="E993" s="320"/>
      <c r="F993" s="142"/>
      <c r="G993" s="320"/>
      <c r="H993" s="142"/>
      <c r="I993" s="320"/>
      <c r="J993" s="142"/>
      <c r="K993" s="320"/>
      <c r="L993" s="142"/>
      <c r="M993" s="320"/>
      <c r="N993" s="142"/>
      <c r="O993" s="320"/>
      <c r="P993" s="142"/>
      <c r="Q993" s="195"/>
      <c r="R993" s="195"/>
      <c r="S993" s="320"/>
      <c r="T993" s="142"/>
      <c r="U993" s="30"/>
      <c r="V993" s="30"/>
      <c r="W993" s="30"/>
      <c r="X993" s="30"/>
      <c r="Y993" s="30"/>
      <c r="Z993" s="30"/>
    </row>
    <row r="994">
      <c r="A994" s="320"/>
      <c r="B994" s="142"/>
      <c r="C994" s="320"/>
      <c r="D994" s="142"/>
      <c r="E994" s="320"/>
      <c r="F994" s="142"/>
      <c r="G994" s="320"/>
      <c r="H994" s="142"/>
      <c r="I994" s="320"/>
      <c r="J994" s="142"/>
      <c r="K994" s="320"/>
      <c r="L994" s="142"/>
      <c r="M994" s="320"/>
      <c r="N994" s="142"/>
      <c r="O994" s="320"/>
      <c r="P994" s="142"/>
      <c r="Q994" s="195"/>
      <c r="R994" s="195"/>
      <c r="S994" s="320"/>
      <c r="T994" s="142"/>
      <c r="U994" s="30"/>
      <c r="V994" s="30"/>
      <c r="W994" s="30"/>
      <c r="X994" s="30"/>
      <c r="Y994" s="30"/>
      <c r="Z994" s="30"/>
    </row>
    <row r="995">
      <c r="A995" s="320"/>
      <c r="B995" s="142"/>
      <c r="C995" s="320"/>
      <c r="D995" s="142"/>
      <c r="E995" s="320"/>
      <c r="F995" s="142"/>
      <c r="G995" s="320"/>
      <c r="H995" s="142"/>
      <c r="I995" s="320"/>
      <c r="J995" s="142"/>
      <c r="K995" s="320"/>
      <c r="L995" s="142"/>
      <c r="M995" s="320"/>
      <c r="N995" s="142"/>
      <c r="O995" s="320"/>
      <c r="P995" s="142"/>
      <c r="Q995" s="195"/>
      <c r="R995" s="195"/>
      <c r="S995" s="320"/>
      <c r="T995" s="142"/>
      <c r="U995" s="30"/>
      <c r="V995" s="30"/>
      <c r="W995" s="30"/>
      <c r="X995" s="30"/>
      <c r="Y995" s="30"/>
      <c r="Z995" s="30"/>
    </row>
    <row r="996">
      <c r="A996" s="320"/>
      <c r="B996" s="142"/>
      <c r="C996" s="320"/>
      <c r="D996" s="142"/>
      <c r="E996" s="320"/>
      <c r="F996" s="142"/>
      <c r="G996" s="320"/>
      <c r="H996" s="142"/>
      <c r="I996" s="320"/>
      <c r="J996" s="142"/>
      <c r="K996" s="320"/>
      <c r="L996" s="142"/>
      <c r="M996" s="320"/>
      <c r="N996" s="142"/>
      <c r="O996" s="320"/>
      <c r="P996" s="142"/>
      <c r="Q996" s="195"/>
      <c r="R996" s="195"/>
      <c r="S996" s="320"/>
      <c r="T996" s="142"/>
      <c r="U996" s="30"/>
      <c r="V996" s="30"/>
      <c r="W996" s="30"/>
      <c r="X996" s="30"/>
      <c r="Y996" s="30"/>
      <c r="Z996" s="30"/>
    </row>
    <row r="997">
      <c r="A997" s="320"/>
      <c r="B997" s="142"/>
      <c r="C997" s="320"/>
      <c r="D997" s="142"/>
      <c r="E997" s="320"/>
      <c r="F997" s="142"/>
      <c r="G997" s="320"/>
      <c r="H997" s="142"/>
      <c r="I997" s="320"/>
      <c r="J997" s="142"/>
      <c r="K997" s="320"/>
      <c r="L997" s="142"/>
      <c r="M997" s="320"/>
      <c r="N997" s="142"/>
      <c r="O997" s="320"/>
      <c r="P997" s="142"/>
      <c r="Q997" s="195"/>
      <c r="R997" s="195"/>
      <c r="S997" s="320"/>
      <c r="T997" s="142"/>
      <c r="U997" s="30"/>
      <c r="V997" s="30"/>
      <c r="W997" s="30"/>
      <c r="X997" s="30"/>
      <c r="Y997" s="30"/>
      <c r="Z997" s="30"/>
    </row>
    <row r="998">
      <c r="A998" s="320"/>
      <c r="B998" s="142"/>
      <c r="C998" s="320"/>
      <c r="D998" s="142"/>
      <c r="E998" s="320"/>
      <c r="F998" s="142"/>
      <c r="G998" s="320"/>
      <c r="H998" s="142"/>
      <c r="I998" s="320"/>
      <c r="J998" s="142"/>
      <c r="K998" s="320"/>
      <c r="L998" s="142"/>
      <c r="M998" s="320"/>
      <c r="N998" s="142"/>
      <c r="O998" s="320"/>
      <c r="P998" s="142"/>
      <c r="Q998" s="195"/>
      <c r="R998" s="195"/>
      <c r="S998" s="320"/>
      <c r="T998" s="142"/>
      <c r="U998" s="30"/>
      <c r="V998" s="30"/>
      <c r="W998" s="30"/>
      <c r="X998" s="30"/>
      <c r="Y998" s="30"/>
      <c r="Z998" s="30"/>
    </row>
    <row r="999">
      <c r="A999" s="320"/>
      <c r="B999" s="142"/>
      <c r="C999" s="320"/>
      <c r="D999" s="142"/>
      <c r="E999" s="320"/>
      <c r="F999" s="142"/>
      <c r="G999" s="320"/>
      <c r="H999" s="142"/>
      <c r="I999" s="320"/>
      <c r="J999" s="142"/>
      <c r="K999" s="320"/>
      <c r="L999" s="142"/>
      <c r="M999" s="320"/>
      <c r="N999" s="142"/>
      <c r="O999" s="320"/>
      <c r="P999" s="142"/>
      <c r="Q999" s="195"/>
      <c r="R999" s="195"/>
      <c r="S999" s="320"/>
      <c r="T999" s="142"/>
      <c r="U999" s="30"/>
      <c r="V999" s="30"/>
      <c r="W999" s="30"/>
      <c r="X999" s="30"/>
      <c r="Y999" s="30"/>
      <c r="Z999" s="30"/>
    </row>
    <row r="1000">
      <c r="A1000" s="320"/>
      <c r="B1000" s="142"/>
      <c r="C1000" s="320"/>
      <c r="D1000" s="142"/>
      <c r="E1000" s="320"/>
      <c r="F1000" s="142"/>
      <c r="G1000" s="320"/>
      <c r="H1000" s="142"/>
      <c r="I1000" s="320"/>
      <c r="J1000" s="142"/>
      <c r="K1000" s="320"/>
      <c r="L1000" s="142"/>
      <c r="M1000" s="320"/>
      <c r="N1000" s="142"/>
      <c r="O1000" s="320"/>
      <c r="P1000" s="142"/>
      <c r="Q1000" s="195"/>
      <c r="R1000" s="195"/>
      <c r="S1000" s="320"/>
      <c r="T1000" s="142"/>
      <c r="U1000" s="30"/>
      <c r="V1000" s="30"/>
      <c r="W1000" s="30"/>
      <c r="X1000" s="30"/>
      <c r="Y1000" s="30"/>
      <c r="Z1000" s="30"/>
    </row>
    <row r="1001">
      <c r="A1001" s="320"/>
      <c r="B1001" s="142"/>
      <c r="C1001" s="320"/>
      <c r="D1001" s="142"/>
      <c r="E1001" s="320"/>
      <c r="F1001" s="142"/>
      <c r="G1001" s="320"/>
      <c r="H1001" s="142"/>
      <c r="I1001" s="320"/>
      <c r="J1001" s="142"/>
      <c r="K1001" s="320"/>
      <c r="L1001" s="142"/>
      <c r="M1001" s="320"/>
      <c r="N1001" s="142"/>
      <c r="O1001" s="320"/>
      <c r="P1001" s="142"/>
      <c r="Q1001" s="320"/>
      <c r="R1001" s="142"/>
      <c r="S1001" s="320"/>
      <c r="T1001" s="142"/>
      <c r="U1001" s="30"/>
      <c r="V1001" s="30"/>
      <c r="W1001" s="30"/>
      <c r="X1001" s="30"/>
      <c r="Y1001" s="30"/>
      <c r="Z1001" s="30"/>
    </row>
    <row r="1002">
      <c r="A1002" s="320"/>
      <c r="B1002" s="142"/>
      <c r="C1002" s="320"/>
      <c r="D1002" s="142"/>
      <c r="E1002" s="320"/>
      <c r="F1002" s="142"/>
      <c r="G1002" s="320"/>
      <c r="H1002" s="142"/>
      <c r="I1002" s="320"/>
      <c r="J1002" s="142"/>
      <c r="K1002" s="320"/>
      <c r="L1002" s="142"/>
      <c r="M1002" s="320"/>
      <c r="N1002" s="142"/>
      <c r="O1002" s="320"/>
      <c r="P1002" s="142"/>
      <c r="Q1002" s="320"/>
      <c r="R1002" s="142"/>
      <c r="S1002" s="320"/>
      <c r="T1002" s="142"/>
      <c r="U1002" s="30"/>
      <c r="V1002" s="30"/>
      <c r="W1002" s="30"/>
      <c r="X1002" s="30"/>
      <c r="Y1002" s="30"/>
      <c r="Z1002" s="30"/>
    </row>
    <row r="1003">
      <c r="A1003" s="320"/>
      <c r="B1003" s="142"/>
      <c r="C1003" s="320"/>
      <c r="D1003" s="142"/>
      <c r="E1003" s="320"/>
      <c r="F1003" s="142"/>
      <c r="G1003" s="320"/>
      <c r="H1003" s="142"/>
      <c r="I1003" s="320"/>
      <c r="J1003" s="142"/>
      <c r="K1003" s="320"/>
      <c r="L1003" s="142"/>
      <c r="M1003" s="320"/>
      <c r="N1003" s="142"/>
      <c r="O1003" s="320"/>
      <c r="P1003" s="142"/>
      <c r="Q1003" s="320"/>
      <c r="R1003" s="142"/>
      <c r="S1003" s="320"/>
      <c r="T1003" s="142"/>
      <c r="U1003" s="30"/>
      <c r="V1003" s="30"/>
      <c r="W1003" s="30"/>
      <c r="X1003" s="30"/>
      <c r="Y1003" s="30"/>
      <c r="Z1003" s="30"/>
    </row>
    <row r="1004">
      <c r="A1004" s="320"/>
      <c r="B1004" s="142"/>
      <c r="C1004" s="320"/>
      <c r="D1004" s="142"/>
      <c r="E1004" s="320"/>
      <c r="F1004" s="142"/>
      <c r="G1004" s="320"/>
      <c r="H1004" s="142"/>
      <c r="I1004" s="320"/>
      <c r="J1004" s="142"/>
      <c r="K1004" s="320"/>
      <c r="L1004" s="142"/>
      <c r="M1004" s="320"/>
      <c r="N1004" s="142"/>
      <c r="O1004" s="320"/>
      <c r="P1004" s="142"/>
      <c r="Q1004" s="320"/>
      <c r="R1004" s="142"/>
      <c r="S1004" s="320"/>
      <c r="T1004" s="142"/>
      <c r="U1004" s="30"/>
      <c r="V1004" s="30"/>
      <c r="W1004" s="30"/>
      <c r="X1004" s="30"/>
      <c r="Y1004" s="30"/>
      <c r="Z1004" s="30"/>
    </row>
    <row r="1005">
      <c r="A1005" s="320"/>
      <c r="B1005" s="142"/>
      <c r="C1005" s="320"/>
      <c r="D1005" s="142"/>
      <c r="E1005" s="320"/>
      <c r="F1005" s="142"/>
      <c r="G1005" s="320"/>
      <c r="H1005" s="142"/>
      <c r="I1005" s="320"/>
      <c r="J1005" s="142"/>
      <c r="K1005" s="320"/>
      <c r="L1005" s="142"/>
      <c r="M1005" s="320"/>
      <c r="N1005" s="142"/>
      <c r="O1005" s="320"/>
      <c r="P1005" s="142"/>
      <c r="Q1005" s="320"/>
      <c r="R1005" s="142"/>
      <c r="S1005" s="320"/>
      <c r="T1005" s="142"/>
      <c r="U1005" s="30"/>
      <c r="V1005" s="30"/>
      <c r="W1005" s="30"/>
      <c r="X1005" s="30"/>
      <c r="Y1005" s="30"/>
      <c r="Z1005" s="30"/>
    </row>
    <row r="1006">
      <c r="A1006" s="320"/>
      <c r="B1006" s="142"/>
      <c r="C1006" s="320"/>
      <c r="D1006" s="142"/>
      <c r="E1006" s="320"/>
      <c r="F1006" s="142"/>
      <c r="G1006" s="320"/>
      <c r="H1006" s="142"/>
      <c r="I1006" s="320"/>
      <c r="J1006" s="142"/>
      <c r="K1006" s="320"/>
      <c r="L1006" s="142"/>
      <c r="M1006" s="320"/>
      <c r="N1006" s="142"/>
      <c r="O1006" s="320"/>
      <c r="P1006" s="142"/>
      <c r="Q1006" s="320"/>
      <c r="R1006" s="142"/>
      <c r="S1006" s="320"/>
      <c r="T1006" s="142"/>
      <c r="U1006" s="30"/>
      <c r="V1006" s="30"/>
      <c r="W1006" s="30"/>
      <c r="X1006" s="30"/>
      <c r="Y1006" s="30"/>
      <c r="Z1006" s="30"/>
    </row>
    <row r="1007">
      <c r="A1007" s="320"/>
      <c r="B1007" s="142"/>
      <c r="C1007" s="320"/>
      <c r="D1007" s="142"/>
      <c r="E1007" s="320"/>
      <c r="F1007" s="142"/>
      <c r="G1007" s="320"/>
      <c r="H1007" s="142"/>
      <c r="I1007" s="320"/>
      <c r="J1007" s="142"/>
      <c r="K1007" s="320"/>
      <c r="L1007" s="142"/>
      <c r="M1007" s="320"/>
      <c r="N1007" s="142"/>
      <c r="O1007" s="320"/>
      <c r="P1007" s="142"/>
      <c r="Q1007" s="320"/>
      <c r="R1007" s="142"/>
      <c r="S1007" s="320"/>
      <c r="T1007" s="142"/>
      <c r="U1007" s="30"/>
      <c r="V1007" s="30"/>
      <c r="W1007" s="30"/>
      <c r="X1007" s="30"/>
      <c r="Y1007" s="30"/>
      <c r="Z1007" s="30"/>
    </row>
    <row r="1008">
      <c r="A1008" s="320"/>
      <c r="B1008" s="142"/>
      <c r="C1008" s="320"/>
      <c r="D1008" s="142"/>
      <c r="E1008" s="320"/>
      <c r="F1008" s="142"/>
      <c r="G1008" s="320"/>
      <c r="H1008" s="142"/>
      <c r="I1008" s="320"/>
      <c r="J1008" s="142"/>
      <c r="K1008" s="320"/>
      <c r="L1008" s="142"/>
      <c r="M1008" s="320"/>
      <c r="N1008" s="142"/>
      <c r="O1008" s="320"/>
      <c r="P1008" s="142"/>
      <c r="Q1008" s="320"/>
      <c r="R1008" s="142"/>
      <c r="S1008" s="320"/>
      <c r="T1008" s="142"/>
      <c r="U1008" s="30"/>
      <c r="V1008" s="30"/>
      <c r="W1008" s="30"/>
      <c r="X1008" s="30"/>
      <c r="Y1008" s="30"/>
      <c r="Z1008" s="30"/>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5.0"/>
    <col customWidth="1" min="20" max="20" width="30.88"/>
  </cols>
  <sheetData>
    <row r="1">
      <c r="A1" s="72" t="s">
        <v>233</v>
      </c>
      <c r="C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72" t="s">
        <v>7043</v>
      </c>
      <c r="G1" s="72"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349"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50" t="s">
        <v>2355</v>
      </c>
      <c r="S1" s="306" t="s">
        <v>237</v>
      </c>
      <c r="U1" s="331"/>
      <c r="V1" s="331"/>
    </row>
    <row r="2">
      <c r="A2" s="308" t="s">
        <v>7044</v>
      </c>
      <c r="B2" s="87" t="s">
        <v>7045</v>
      </c>
      <c r="C2" s="308" t="str">
        <f>IFERROR(__xludf.DUMMYFUNCTION("GOOGLETRANSLATE(A2,""zh-tw"",""ja"")"),"小道具名")</f>
        <v>小道具名</v>
      </c>
      <c r="D2" s="87" t="str">
        <f>IFERROR(__xludf.DUMMYFUNCTION("GOOGLETRANSLATE(B2,""zh-tw"",""ja"")"),"効果")</f>
        <v>効果</v>
      </c>
      <c r="E2" s="310" t="str">
        <f>IFERROR(__xludf.DUMMYFUNCTION("GOOGLETRANSLATE(A2,""zh-tw"",""en"")"),"Prop name")</f>
        <v>Prop name</v>
      </c>
      <c r="F2" s="84" t="str">
        <f>IFERROR(__xludf.DUMMYFUNCTION("GOOGLETRANSLATE(B2,""zh-tw"",""en"")"),"Effect")</f>
        <v>Effect</v>
      </c>
      <c r="G2" s="308" t="str">
        <f>IFERROR(__xludf.DUMMYFUNCTION("GOOGLETRANSLATE(A2,""zh-tw"",""zh"")"),"道具名称")</f>
        <v>道具名称</v>
      </c>
      <c r="H2" s="87" t="str">
        <f>IFERROR(__xludf.DUMMYFUNCTION("GOOGLETRANSLATE(B2,""zh-tw"",""zh"")"),"效果")</f>
        <v>效果</v>
      </c>
      <c r="I2" s="309" t="str">
        <f>IFERROR(__xludf.DUMMYFUNCTION("GOOGLETRANSLATE(A2,""zh-tw"",""es-MX"")"),"Nombre del objeto")</f>
        <v>Nombre del objeto</v>
      </c>
      <c r="J2" s="53" t="str">
        <f>IFERROR(__xludf.DUMMYFUNCTION("GOOGLETRANSLATE(B2,""zh-tw"",""es-MX"")"),"Efecto")</f>
        <v>Efecto</v>
      </c>
      <c r="K2" s="309" t="str">
        <f>IFERROR(__xludf.DUMMYFUNCTION("GOOGLETRANSLATE(A2,""zh-tw"",""KO"")"),"소품 이름")</f>
        <v>소품 이름</v>
      </c>
      <c r="L2" s="53" t="str">
        <f>IFERROR(__xludf.DUMMYFUNCTION("GOOGLETRANSLATE(B2,""zh-tw"",""KO"")"),"효과")</f>
        <v>효과</v>
      </c>
      <c r="M2" s="309" t="str">
        <f>IFERROR(__xludf.DUMMYFUNCTION("GOOGLETRANSLATE(A2,""zh-tw"",""ru"")"),"Имя реквизита")</f>
        <v>Имя реквизита</v>
      </c>
      <c r="N2" s="53" t="str">
        <f>IFERROR(__xludf.DUMMYFUNCTION("GOOGLETRANSLATE(B2,""zh-tw"",""ru"")"),"Эффект")</f>
        <v>Эффект</v>
      </c>
      <c r="O2" s="308" t="s">
        <v>7046</v>
      </c>
      <c r="P2" s="87" t="s">
        <v>7047</v>
      </c>
      <c r="Q2" s="351" t="s">
        <v>7048</v>
      </c>
      <c r="R2" s="80" t="s">
        <v>7049</v>
      </c>
      <c r="S2" s="310" t="s">
        <v>7050</v>
      </c>
      <c r="T2" s="84" t="s">
        <v>7051</v>
      </c>
      <c r="U2" s="352"/>
      <c r="V2" s="352"/>
    </row>
    <row r="3">
      <c r="A3" s="313" t="s">
        <v>7052</v>
      </c>
      <c r="B3" s="136" t="s">
        <v>7053</v>
      </c>
      <c r="C3" s="313" t="s">
        <v>7054</v>
      </c>
      <c r="D3" s="136" t="s">
        <v>7055</v>
      </c>
      <c r="E3" s="313" t="s">
        <v>7056</v>
      </c>
      <c r="F3" s="136" t="s">
        <v>7057</v>
      </c>
      <c r="G3" s="313" t="str">
        <f>IFERROR(__xludf.DUMMYFUNCTION("GOOGLETRANSLATE(A3,""zh-tw"",""zh"")"),"好喝的牛奶")</f>
        <v>好喝的牛奶</v>
      </c>
      <c r="H3" s="136" t="str">
        <f>IFERROR(__xludf.DUMMYFUNCTION("GOOGLETRANSLATE(B3,""zh-tw"",""zh"")"),"回复体力120，自动回复效果")</f>
        <v>回复体力120，自动回复效果</v>
      </c>
      <c r="I3" s="320" t="str">
        <f>IFERROR(__xludf.DUMMYFUNCTION("GOOGLETRANSLATE(A3,""zh-tw"",""es-MX"")"),"Leche deliciosa")</f>
        <v>Leche deliciosa</v>
      </c>
      <c r="J3" s="136" t="s">
        <v>7058</v>
      </c>
      <c r="K3" s="320" t="str">
        <f>IFERROR(__xludf.DUMMYFUNCTION("GOOGLETRANSLATE(A3,""zh-tw"",""KO"")"),"맛있는 우유")</f>
        <v>맛있는 우유</v>
      </c>
      <c r="L3" s="136" t="s">
        <v>7059</v>
      </c>
      <c r="M3" s="320" t="str">
        <f>IFERROR(__xludf.DUMMYFUNCTION("GOOGLETRANSLATE(A3,""zh-tw"",""ru"")"),"Вкусное молоко")</f>
        <v>Вкусное молоко</v>
      </c>
      <c r="N3" s="142"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13" t="s">
        <v>7060</v>
      </c>
      <c r="P3" s="136" t="s">
        <v>7061</v>
      </c>
      <c r="Q3" s="321" t="s">
        <v>7062</v>
      </c>
      <c r="R3" s="51" t="s">
        <v>7063</v>
      </c>
      <c r="S3" s="320" t="s">
        <v>7064</v>
      </c>
      <c r="T3" s="136" t="s">
        <v>7065</v>
      </c>
      <c r="U3" s="30"/>
      <c r="V3" s="30"/>
    </row>
    <row r="4">
      <c r="A4" s="313" t="s">
        <v>7066</v>
      </c>
      <c r="B4" s="136" t="s">
        <v>7067</v>
      </c>
      <c r="C4" s="313" t="s">
        <v>7068</v>
      </c>
      <c r="D4" s="136" t="s">
        <v>7069</v>
      </c>
      <c r="E4" s="313" t="s">
        <v>7070</v>
      </c>
      <c r="F4" s="136" t="s">
        <v>7071</v>
      </c>
      <c r="G4" s="313" t="str">
        <f>IFERROR(__xludf.DUMMYFUNCTION("GOOGLETRANSLATE(A4,""zh-tw"",""zh"")"),"胡萝卜牛奶")</f>
        <v>胡萝卜牛奶</v>
      </c>
      <c r="H4" s="136" t="str">
        <f>IFERROR(__xludf.DUMMYFUNCTION("GOOGLETRANSLATE(B4,""zh-tw"",""zh"")"),"回复体力75，消除异常")</f>
        <v>回复体力75，消除异常</v>
      </c>
      <c r="I4" s="320" t="str">
        <f>IFERROR(__xludf.DUMMYFUNCTION("GOOGLETRANSLATE(A4,""zh-tw"",""es-MX"")"),"Leche de zanahoria")</f>
        <v>Leche de zanahoria</v>
      </c>
      <c r="J4" s="136" t="s">
        <v>7072</v>
      </c>
      <c r="K4" s="320" t="str">
        <f>IFERROR(__xludf.DUMMYFUNCTION("GOOGLETRANSLATE(A4,""zh-tw"",""KO"")"),"당근 우유")</f>
        <v>당근 우유</v>
      </c>
      <c r="L4" s="136" t="s">
        <v>7073</v>
      </c>
      <c r="M4" s="320" t="str">
        <f>IFERROR(__xludf.DUMMYFUNCTION("GOOGLETRANSLATE(A4,""zh-tw"",""ru"")"),"Морковное молоко")</f>
        <v>Морковное молоко</v>
      </c>
      <c r="N4" s="142"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13" t="s">
        <v>7074</v>
      </c>
      <c r="P4" s="136" t="s">
        <v>7075</v>
      </c>
      <c r="Q4" s="321" t="s">
        <v>7076</v>
      </c>
      <c r="R4" s="51" t="s">
        <v>7077</v>
      </c>
      <c r="S4" s="320" t="s">
        <v>7078</v>
      </c>
      <c r="T4" s="142" t="s">
        <v>7079</v>
      </c>
      <c r="U4" s="30"/>
      <c r="V4" s="30"/>
    </row>
    <row r="5">
      <c r="A5" s="313" t="s">
        <v>7080</v>
      </c>
      <c r="B5" s="136" t="s">
        <v>7081</v>
      </c>
      <c r="C5" s="313" t="s">
        <v>7082</v>
      </c>
      <c r="D5" s="136" t="s">
        <v>7083</v>
      </c>
      <c r="E5" s="313" t="s">
        <v>7084</v>
      </c>
      <c r="F5" s="136" t="s">
        <v>7085</v>
      </c>
      <c r="G5" s="313" t="str">
        <f>IFERROR(__xludf.DUMMYFUNCTION("GOOGLETRANSLATE(A5,""zh-tw"",""zh"")"),"草莓味牛奶")</f>
        <v>草莓味牛奶</v>
      </c>
      <c r="H5" s="136" t="str">
        <f>IFERROR(__xludf.DUMMYFUNCTION("GOOGLETRANSLATE(B5,""zh-tw"",""zh"")"),"回复体力75，提高50%攻击")</f>
        <v>回复体力75，提高50%攻击</v>
      </c>
      <c r="I5" s="320" t="str">
        <f>IFERROR(__xludf.DUMMYFUNCTION("GOOGLETRANSLATE(A5,""zh-tw"",""es-MX"")"),"Leche de fresa")</f>
        <v>Leche de fresa</v>
      </c>
      <c r="J5" s="136" t="s">
        <v>7086</v>
      </c>
      <c r="K5" s="313" t="s">
        <v>7087</v>
      </c>
      <c r="L5" s="142" t="str">
        <f>IFERROR(__xludf.DUMMYFUNCTION("GOOGLETRANSLATE(B5,""zh-tw"",""KO"")"),"체력을 75 회복하고 공격력을 50% 증가시킵니다.")</f>
        <v>체력을 75 회복하고 공격력을 50% 증가시킵니다.</v>
      </c>
      <c r="M5" s="320" t="str">
        <f>IFERROR(__xludf.DUMMYFUNCTION("GOOGLETRANSLATE(A5,""zh-tw"",""ru"")"),"Клубничное молоко")</f>
        <v>Клубничное молоко</v>
      </c>
      <c r="N5" s="142"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13" t="s">
        <v>7088</v>
      </c>
      <c r="P5" s="136" t="s">
        <v>7089</v>
      </c>
      <c r="Q5" s="321" t="s">
        <v>7090</v>
      </c>
      <c r="R5" s="51" t="s">
        <v>7091</v>
      </c>
      <c r="S5" s="320" t="s">
        <v>7092</v>
      </c>
      <c r="T5" s="142" t="s">
        <v>7093</v>
      </c>
      <c r="U5" s="30"/>
      <c r="V5" s="30"/>
    </row>
    <row r="6">
      <c r="A6" s="313" t="s">
        <v>7094</v>
      </c>
      <c r="B6" s="136" t="s">
        <v>7095</v>
      </c>
      <c r="C6" s="313" t="s">
        <v>7096</v>
      </c>
      <c r="D6" s="136" t="s">
        <v>7097</v>
      </c>
      <c r="E6" s="313" t="s">
        <v>7098</v>
      </c>
      <c r="F6" s="136" t="s">
        <v>7099</v>
      </c>
      <c r="G6" s="313" t="str">
        <f>IFERROR(__xludf.DUMMYFUNCTION("GOOGLETRANSLATE(A6,""zh-tw"",""zh"")"),"蜜瓜味牛奶")</f>
        <v>蜜瓜味牛奶</v>
      </c>
      <c r="H6" s="136" t="str">
        <f>IFERROR(__xludf.DUMMYFUNCTION("GOOGLETRANSLATE(B6,""zh-tw"",""zh"")"),"回复体力75，提高50%魔力")</f>
        <v>回复体力75，提高50%魔力</v>
      </c>
      <c r="I6" s="313" t="s">
        <v>7100</v>
      </c>
      <c r="J6" s="136" t="s">
        <v>7101</v>
      </c>
      <c r="K6" s="313" t="s">
        <v>7102</v>
      </c>
      <c r="L6" s="142" t="str">
        <f>IFERROR(__xludf.DUMMYFUNCTION("GOOGLETRANSLATE(B6,""zh-tw"",""KO"")"),"체력을 75 회복하고 마법력을 50% 증가시킵니다.")</f>
        <v>체력을 75 회복하고 마법력을 50% 증가시킵니다.</v>
      </c>
      <c r="M6" s="320" t="str">
        <f>IFERROR(__xludf.DUMMYFUNCTION("GOOGLETRANSLATE(A6,""zh-tw"",""ru"")"),"Молоко со вкусом дыни Honeydew")</f>
        <v>Молоко со вкусом дыни Honeydew</v>
      </c>
      <c r="N6" s="142" t="str">
        <f>IFERROR(__xludf.DUMMYFUNCTION("GOOGLETRANSLATE(B6,""zh-tw"",""ru"")"),"Восстанавливает 75 единиц выносливости и увеличивает магическую силу на 50%.")</f>
        <v>Восстанавливает 75 единиц выносливости и увеличивает магическую силу на 50%.</v>
      </c>
      <c r="O6" s="313" t="s">
        <v>7103</v>
      </c>
      <c r="P6" s="136" t="s">
        <v>7104</v>
      </c>
      <c r="Q6" s="321" t="s">
        <v>7105</v>
      </c>
      <c r="R6" s="51" t="s">
        <v>7106</v>
      </c>
      <c r="S6" s="320" t="s">
        <v>7107</v>
      </c>
      <c r="T6" s="142" t="s">
        <v>7108</v>
      </c>
      <c r="U6" s="30"/>
      <c r="V6" s="30"/>
    </row>
    <row r="7">
      <c r="A7" s="313" t="s">
        <v>7109</v>
      </c>
      <c r="B7" s="136" t="s">
        <v>7110</v>
      </c>
      <c r="C7" s="313" t="s">
        <v>7111</v>
      </c>
      <c r="D7" s="136" t="s">
        <v>7112</v>
      </c>
      <c r="E7" s="313" t="s">
        <v>7113</v>
      </c>
      <c r="F7" s="136" t="s">
        <v>7114</v>
      </c>
      <c r="G7" s="313" t="str">
        <f>IFERROR(__xludf.DUMMYFUNCTION("GOOGLETRANSLATE(A7,""zh-tw"",""zh"")"),"香蕉味牛奶")</f>
        <v>香蕉味牛奶</v>
      </c>
      <c r="H7" s="136" t="str">
        <f>IFERROR(__xludf.DUMMYFUNCTION("GOOGLETRANSLATE(B7,""zh-tw"",""zh"")"),"回复体力75，移速增强")</f>
        <v>回复体力75，移速增强</v>
      </c>
      <c r="I7" s="320" t="str">
        <f>IFERROR(__xludf.DUMMYFUNCTION("GOOGLETRANSLATE(A7,""zh-tw"",""es-MX"")"),"Leche con sabor a plátano")</f>
        <v>Leche con sabor a plátano</v>
      </c>
      <c r="J7" s="136" t="s">
        <v>7115</v>
      </c>
      <c r="K7" s="320" t="str">
        <f>IFERROR(__xludf.DUMMYFUNCTION("GOOGLETRANSLATE(A7,""zh-tw"",""KO"")"),"바나나맛 우유")</f>
        <v>바나나맛 우유</v>
      </c>
      <c r="L7" s="136" t="s">
        <v>7116</v>
      </c>
      <c r="M7" s="320" t="str">
        <f>IFERROR(__xludf.DUMMYFUNCTION("GOOGLETRANSLATE(A7,""zh-tw"",""ru"")"),"Банановое молоко")</f>
        <v>Банановое молоко</v>
      </c>
      <c r="N7" s="142" t="str">
        <f>IFERROR(__xludf.DUMMYFUNCTION("GOOGLETRANSLATE(B7,""zh-tw"",""ru"")"),"Восстанавливает 75 единиц выносливости и увеличивает скорость передвижения.")</f>
        <v>Восстанавливает 75 единиц выносливости и увеличивает скорость передвижения.</v>
      </c>
      <c r="O7" s="313" t="s">
        <v>7117</v>
      </c>
      <c r="P7" s="136" t="s">
        <v>7118</v>
      </c>
      <c r="Q7" s="321" t="s">
        <v>7119</v>
      </c>
      <c r="R7" s="51" t="s">
        <v>7120</v>
      </c>
      <c r="S7" s="320" t="s">
        <v>7121</v>
      </c>
      <c r="T7" s="142" t="s">
        <v>7122</v>
      </c>
      <c r="U7" s="30"/>
      <c r="V7" s="30"/>
    </row>
    <row r="8">
      <c r="A8" s="313" t="s">
        <v>7123</v>
      </c>
      <c r="B8" s="136" t="s">
        <v>7124</v>
      </c>
      <c r="C8" s="313" t="s">
        <v>7125</v>
      </c>
      <c r="D8" s="136" t="s">
        <v>7126</v>
      </c>
      <c r="E8" s="313" t="s">
        <v>7127</v>
      </c>
      <c r="F8" s="136" t="s">
        <v>7128</v>
      </c>
      <c r="G8" s="313" t="str">
        <f>IFERROR(__xludf.DUMMYFUNCTION("GOOGLETRANSLATE(A8,""zh-tw"",""zh"")"),"巧克力牛奶")</f>
        <v>巧克力牛奶</v>
      </c>
      <c r="H8" s="136" t="str">
        <f>IFERROR(__xludf.DUMMYFUNCTION("GOOGLETRANSLATE(B8,""zh-tw"",""zh"")"),"回复体力78，霸体效果
(未实装)")</f>
        <v>回复体力78，霸体效果
(未实装)</v>
      </c>
      <c r="I8" s="320" t="str">
        <f>IFERROR(__xludf.DUMMYFUNCTION("GOOGLETRANSLATE(A8,""zh-tw"",""es-MX"")"),"Leche con chocolate")</f>
        <v>Leche con chocolate</v>
      </c>
      <c r="J8" s="136" t="s">
        <v>7129</v>
      </c>
      <c r="K8" s="313" t="s">
        <v>7130</v>
      </c>
      <c r="L8" s="142" t="str">
        <f>IFERROR(__xludf.DUMMYFUNCTION("GOOGLETRANSLATE(B8,""zh-tw"",""KO"")"),"78의 체력을 회복하고 무적 효과를 부여합니다.
(아직 구현되지 않음)")</f>
        <v>78의 체력을 회복하고 무적 효과를 부여합니다.
(아직 구현되지 않음)</v>
      </c>
      <c r="M8" s="320" t="str">
        <f>IFERROR(__xludf.DUMMYFUNCTION("GOOGLETRANSLATE(A8,""zh-tw"",""ru"")"),"Шоколадное молоко")</f>
        <v>Шоколадное молоко</v>
      </c>
      <c r="N8" s="142"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13" t="s">
        <v>7131</v>
      </c>
      <c r="P8" s="136" t="s">
        <v>7132</v>
      </c>
      <c r="Q8" s="321" t="s">
        <v>7133</v>
      </c>
      <c r="R8" s="51" t="s">
        <v>7134</v>
      </c>
      <c r="S8" s="336" t="s">
        <v>7127</v>
      </c>
      <c r="T8" s="142" t="s">
        <v>7135</v>
      </c>
      <c r="U8" s="30"/>
      <c r="V8" s="30"/>
    </row>
    <row r="9">
      <c r="A9" s="313" t="s">
        <v>7136</v>
      </c>
      <c r="B9" s="136" t="s">
        <v>7137</v>
      </c>
      <c r="C9" s="313" t="s">
        <v>7138</v>
      </c>
      <c r="D9" s="136" t="s">
        <v>7139</v>
      </c>
      <c r="E9" s="313" t="s">
        <v>7140</v>
      </c>
      <c r="F9" s="136" t="s">
        <v>7141</v>
      </c>
      <c r="G9" s="313" t="str">
        <f>IFERROR(__xludf.DUMMYFUNCTION("GOOGLETRANSLATE(A9,""zh-tw"",""zh"")"),"逆流可乐")</f>
        <v>逆流可乐</v>
      </c>
      <c r="H9" s="136" t="str">
        <f>IFERROR(__xludf.DUMMYFUNCTION("GOOGLETRANSLATE(B9,""zh-tw"",""zh"")"),"(战斗效果未实装)")</f>
        <v>(战斗效果未实装)</v>
      </c>
      <c r="I9" s="313" t="s">
        <v>7140</v>
      </c>
      <c r="J9" s="136" t="s">
        <v>7142</v>
      </c>
      <c r="K9" s="313" t="s">
        <v>7143</v>
      </c>
      <c r="L9" s="142" t="str">
        <f>IFERROR(__xludf.DUMMYFUNCTION("GOOGLETRANSLATE(B9,""zh-tw"",""KO"")"),"(전투 효과는 아직 구현되지 않았습니다)")</f>
        <v>(전투 효과는 아직 구현되지 않았습니다)</v>
      </c>
      <c r="M9" s="320" t="str">
        <f>IFERROR(__xludf.DUMMYFUNCTION("GOOGLETRANSLATE(A9,""zh-tw"",""ru"")"),"Обратная кола")</f>
        <v>Обратная кола</v>
      </c>
      <c r="N9" s="142" t="str">
        <f>IFERROR(__xludf.DUMMYFUNCTION("GOOGLETRANSLATE(B9,""zh-tw"",""ru"")"),"(Боевые эффекты пока не реализованы)")</f>
        <v>(Боевые эффекты пока не реализованы)</v>
      </c>
      <c r="O9" s="313" t="s">
        <v>7140</v>
      </c>
      <c r="P9" s="136" t="s">
        <v>7144</v>
      </c>
      <c r="Q9" s="321" t="s">
        <v>7140</v>
      </c>
      <c r="R9" s="51" t="s">
        <v>7145</v>
      </c>
      <c r="S9" s="320" t="s">
        <v>7146</v>
      </c>
      <c r="T9" s="142" t="s">
        <v>7147</v>
      </c>
      <c r="U9" s="30"/>
      <c r="V9" s="30"/>
    </row>
    <row r="10">
      <c r="A10" s="313" t="s">
        <v>7148</v>
      </c>
      <c r="B10" s="136" t="s">
        <v>7149</v>
      </c>
      <c r="C10" s="313" t="s">
        <v>7150</v>
      </c>
      <c r="D10" s="136" t="s">
        <v>7151</v>
      </c>
      <c r="E10" s="313" t="s">
        <v>7152</v>
      </c>
      <c r="F10" s="136" t="s">
        <v>7153</v>
      </c>
      <c r="G10" s="313" t="str">
        <f>IFERROR(__xludf.DUMMYFUNCTION("GOOGLETRANSLATE(A10,""zh-tw"",""zh"")"),"粉色金平糖")</f>
        <v>粉色金平糖</v>
      </c>
      <c r="H10" s="136" t="str">
        <f>IFERROR(__xludf.DUMMYFUNCTION("GOOGLETRANSLATE(B10,""zh-tw"",""zh"")"),"使妹妹处于发情状态
哥哥会处于兴奋状态
(哥哥未实装)")</f>
        <v>使妹妹处于发情状态
哥哥会处于兴奋状态
(哥哥未实装)</v>
      </c>
      <c r="I10" s="320" t="str">
        <f>IFERROR(__xludf.DUMMYFUNCTION("GOOGLETRANSLATE(A10,""zh-tw"",""es-MX"")"),"Konpeito rosa")</f>
        <v>Konpeito rosa</v>
      </c>
      <c r="J10" s="136" t="s">
        <v>7154</v>
      </c>
      <c r="K10" s="313" t="s">
        <v>7155</v>
      </c>
      <c r="L10" s="136" t="s">
        <v>7156</v>
      </c>
      <c r="M10" s="320" t="str">
        <f>IFERROR(__xludf.DUMMYFUNCTION("GOOGLETRANSLATE(A10,""zh-tw"",""ru"")"),"Розовый Конпейто")</f>
        <v>Розовый Конпейто</v>
      </c>
      <c r="N10" s="142" t="str">
        <f>IFERROR(__xludf.DUMMYFUNCTION("GOOGLETRANSLATE(B10,""zh-tw"",""ru"")"),"Если младшая сестра войдет в состояние течки, старший брат войдет в состояние возбуждения.
(Старший брат пока не реализован.)")</f>
        <v>Если младшая сестра войдет в состояние течки, старший брат войдет в состояние возбуждения.
(Старший брат пока не реализован.)</v>
      </c>
      <c r="O10" s="313" t="s">
        <v>7157</v>
      </c>
      <c r="P10" s="136" t="s">
        <v>7158</v>
      </c>
      <c r="Q10" s="321" t="s">
        <v>7159</v>
      </c>
      <c r="R10" s="51" t="s">
        <v>7160</v>
      </c>
      <c r="S10" s="313" t="s">
        <v>7161</v>
      </c>
      <c r="T10" s="142" t="s">
        <v>7162</v>
      </c>
      <c r="U10" s="30"/>
      <c r="V10" s="30"/>
    </row>
    <row r="11">
      <c r="A11" s="313" t="s">
        <v>7163</v>
      </c>
      <c r="B11" s="136" t="s">
        <v>7164</v>
      </c>
      <c r="C11" s="313" t="s">
        <v>7165</v>
      </c>
      <c r="D11" s="136" t="s">
        <v>7166</v>
      </c>
      <c r="E11" s="313" t="s">
        <v>7167</v>
      </c>
      <c r="F11" s="136" t="s">
        <v>7168</v>
      </c>
      <c r="G11" s="313" t="str">
        <f>IFERROR(__xludf.DUMMYFUNCTION("GOOGLETRANSLATE(A11,""zh-tw"",""zh"")"),"蓝色金平糖")</f>
        <v>蓝色金平糖</v>
      </c>
      <c r="H11" s="136"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20" t="str">
        <f>IFERROR(__xludf.DUMMYFUNCTION("GOOGLETRANSLATE(A11,""zh-tw"",""es-MX"")"),"Konpeito azul")</f>
        <v>Konpeito azul</v>
      </c>
      <c r="J11" s="136" t="s">
        <v>7169</v>
      </c>
      <c r="K11" s="313" t="s">
        <v>7170</v>
      </c>
      <c r="L11" s="136" t="s">
        <v>7171</v>
      </c>
      <c r="M11" s="320" t="str">
        <f>IFERROR(__xludf.DUMMYFUNCTION("GOOGLETRANSLATE(A11,""zh-tw"",""ru"")"),"Синий Конпейто")</f>
        <v>Синий Конпейто</v>
      </c>
      <c r="N11" s="142"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13" t="s">
        <v>7172</v>
      </c>
      <c r="P11" s="136" t="s">
        <v>7173</v>
      </c>
      <c r="Q11" s="321" t="s">
        <v>7174</v>
      </c>
      <c r="R11" s="51" t="s">
        <v>7175</v>
      </c>
      <c r="S11" s="313" t="s">
        <v>7176</v>
      </c>
      <c r="T11" s="142" t="s">
        <v>7177</v>
      </c>
      <c r="U11" s="30"/>
      <c r="V11" s="30"/>
    </row>
    <row r="12">
      <c r="A12" s="313" t="s">
        <v>7178</v>
      </c>
      <c r="B12" s="136" t="s">
        <v>7179</v>
      </c>
      <c r="C12" s="313" t="s">
        <v>7180</v>
      </c>
      <c r="D12" s="136" t="s">
        <v>665</v>
      </c>
      <c r="E12" s="313" t="s">
        <v>7181</v>
      </c>
      <c r="F12" s="136" t="s">
        <v>7182</v>
      </c>
      <c r="G12" s="313" t="str">
        <f>IFERROR(__xludf.DUMMYFUNCTION("GOOGLETRANSLATE(A12,""zh-tw"",""zh"")"),"绿色金平糖")</f>
        <v>绿色金平糖</v>
      </c>
      <c r="H12" s="136" t="str">
        <f>IFERROR(__xludf.DUMMYFUNCTION("GOOGLETRANSLATE(B12,""zh-tw"",""zh"")"),"效果未实装")</f>
        <v>效果未实装</v>
      </c>
      <c r="I12" s="320" t="str">
        <f>IFERROR(__xludf.DUMMYFUNCTION("GOOGLETRANSLATE(A12,""zh-tw"",""es-MX"")"),"Kinpeito verde")</f>
        <v>Kinpeito verde</v>
      </c>
      <c r="J12" s="136" t="s">
        <v>7183</v>
      </c>
      <c r="K12" s="313" t="s">
        <v>7184</v>
      </c>
      <c r="L12" s="142" t="str">
        <f>IFERROR(__xludf.DUMMYFUNCTION("GOOGLETRANSLATE(B12,""zh-tw"",""KO"")"),"해당 효과가 구현되지 않았습니다.")</f>
        <v>해당 효과가 구현되지 않았습니다.</v>
      </c>
      <c r="M12" s="320" t="str">
        <f>IFERROR(__xludf.DUMMYFUNCTION("GOOGLETRANSLATE(A12,""zh-tw"",""ru"")"),"Зеленый Кинпэйто")</f>
        <v>Зеленый Кинпэйто</v>
      </c>
      <c r="N12" s="142" t="str">
        <f>IFERROR(__xludf.DUMMYFUNCTION("GOOGLETRANSLATE(B12,""zh-tw"",""ru"")"),"Эффект не был реализован.")</f>
        <v>Эффект не был реализован.</v>
      </c>
      <c r="O12" s="313" t="s">
        <v>7185</v>
      </c>
      <c r="P12" s="136" t="s">
        <v>3092</v>
      </c>
      <c r="Q12" s="321" t="s">
        <v>7186</v>
      </c>
      <c r="R12" s="51" t="s">
        <v>7187</v>
      </c>
      <c r="S12" s="320" t="s">
        <v>7188</v>
      </c>
      <c r="T12" s="142" t="s">
        <v>7189</v>
      </c>
      <c r="U12" s="30"/>
      <c r="V12" s="30"/>
    </row>
    <row r="13">
      <c r="A13" s="313" t="s">
        <v>7190</v>
      </c>
      <c r="B13" s="136" t="s">
        <v>7191</v>
      </c>
      <c r="C13" s="313" t="s">
        <v>7192</v>
      </c>
      <c r="D13" s="136" t="s">
        <v>7193</v>
      </c>
      <c r="E13" s="313" t="s">
        <v>7194</v>
      </c>
      <c r="F13" s="136" t="s">
        <v>7195</v>
      </c>
      <c r="G13" s="313" t="str">
        <f>IFERROR(__xludf.DUMMYFUNCTION("GOOGLETRANSLATE(A13,""zh-tw"",""zh"")"),"天上之石碎片")</f>
        <v>天上之石碎片</v>
      </c>
      <c r="H13" s="136" t="str">
        <f>IFERROR(__xludf.DUMMYFUNCTION("GOOGLETRANSLATE(B13,""zh-tw"",""zh"")"),"增加哥哥的状态或者转化为""红髓液""")</f>
        <v>增加哥哥的状态或者转化为"红髓液"</v>
      </c>
      <c r="I13" s="313" t="s">
        <v>7196</v>
      </c>
      <c r="J13" s="136" t="s">
        <v>7197</v>
      </c>
      <c r="K13" s="320" t="str">
        <f>IFERROR(__xludf.DUMMYFUNCTION("GOOGLETRANSLATE(A13,""zh-tw"",""KO"")"),"천상의 돌 조각들")</f>
        <v>천상의 돌 조각들</v>
      </c>
      <c r="L13" s="136" t="s">
        <v>7198</v>
      </c>
      <c r="M13" s="320" t="str">
        <f>IFERROR(__xludf.DUMMYFUNCTION("GOOGLETRANSLATE(A13,""zh-tw"",""ru"")"),"Фрагменты Небесного Камня")</f>
        <v>Фрагменты Небесного Камня</v>
      </c>
      <c r="N13" s="142" t="str">
        <f>IFERROR(__xludf.DUMMYFUNCTION("GOOGLETRANSLATE(B13,""zh-tw"",""ru"")"),"Улучшить состояние брата или превратить его в «Красную костномозговую жидкость».")</f>
        <v>Улучшить состояние брата или превратить его в «Красную костномозговую жидкость».</v>
      </c>
      <c r="O13" s="313" t="s">
        <v>7199</v>
      </c>
      <c r="P13" s="136" t="s">
        <v>7200</v>
      </c>
      <c r="Q13" s="321" t="s">
        <v>7201</v>
      </c>
      <c r="R13" s="136" t="s">
        <v>7202</v>
      </c>
      <c r="S13" s="313" t="s">
        <v>7203</v>
      </c>
      <c r="T13" s="136" t="s">
        <v>7204</v>
      </c>
      <c r="U13" s="30"/>
      <c r="V13" s="30"/>
    </row>
    <row r="14">
      <c r="A14" s="313" t="s">
        <v>7205</v>
      </c>
      <c r="B14" s="136" t="s">
        <v>7206</v>
      </c>
      <c r="C14" s="313" t="s">
        <v>7207</v>
      </c>
      <c r="D14" s="136" t="s">
        <v>7208</v>
      </c>
      <c r="E14" s="313" t="s">
        <v>7209</v>
      </c>
      <c r="F14" s="136" t="s">
        <v>7210</v>
      </c>
      <c r="G14" s="313" t="str">
        <f>IFERROR(__xludf.DUMMYFUNCTION("GOOGLETRANSLATE(A14,""zh-tw"",""zh"")"),"卢恩符文A")</f>
        <v>卢恩符文A</v>
      </c>
      <c r="H14" s="136" t="s">
        <v>7211</v>
      </c>
      <c r="I14" s="320" t="str">
        <f>IFERROR(__xludf.DUMMYFUNCTION("GOOGLETRANSLATE(A14,""zh-tw"",""es-MX"")"),"Runa A")</f>
        <v>Runa A</v>
      </c>
      <c r="J14" s="136" t="s">
        <v>7212</v>
      </c>
      <c r="K14" s="313" t="s">
        <v>7213</v>
      </c>
      <c r="L14" s="136" t="s">
        <v>7214</v>
      </c>
      <c r="M14" s="320" t="str">
        <f>IFERROR(__xludf.DUMMYFUNCTION("GOOGLETRANSLATE(A14,""zh-tw"",""ru"")"),"Руна А")</f>
        <v>Руна А</v>
      </c>
      <c r="N14" s="142" t="str">
        <f>IFERROR(__xludf.DUMMYFUNCTION("GOOGLETRANSLATE(B14,""zh-tw"",""ru"")"),"Оставьте письменный отчет")</f>
        <v>Оставьте письменный отчет</v>
      </c>
      <c r="O14" s="313" t="s">
        <v>7215</v>
      </c>
      <c r="P14" s="136" t="s">
        <v>7216</v>
      </c>
      <c r="Q14" s="313" t="s">
        <v>7217</v>
      </c>
      <c r="R14" s="51" t="s">
        <v>7218</v>
      </c>
      <c r="S14" s="313" t="s">
        <v>7219</v>
      </c>
      <c r="T14" s="142" t="s">
        <v>7220</v>
      </c>
      <c r="U14" s="30"/>
      <c r="V14" s="30"/>
    </row>
    <row r="15">
      <c r="A15" s="313" t="s">
        <v>7221</v>
      </c>
      <c r="B15" s="136" t="s">
        <v>7222</v>
      </c>
      <c r="C15" s="313" t="s">
        <v>7223</v>
      </c>
      <c r="D15" s="136" t="s">
        <v>7224</v>
      </c>
      <c r="E15" s="313" t="s">
        <v>7225</v>
      </c>
      <c r="F15" s="136" t="s">
        <v>7226</v>
      </c>
      <c r="G15" s="313" t="str">
        <f>IFERROR(__xludf.DUMMYFUNCTION("GOOGLETRANSLATE(A15,""zh-tw"",""zh"")"),"卢恩符文R")</f>
        <v>卢恩符文R</v>
      </c>
      <c r="H15" s="136" t="str">
        <f>IFERROR(__xludf.DUMMYFUNCTION("GOOGLETRANSLATE(B15,""zh-tw"",""zh"")"),"投掷后，滑鼠点选R的位置进行交换")</f>
        <v>投掷后，滑鼠点选R的位置进行交换</v>
      </c>
      <c r="I15" s="320" t="str">
        <f>IFERROR(__xludf.DUMMYFUNCTION("GOOGLETRANSLATE(A15,""zh-tw"",""es-MX"")"),"Runa R")</f>
        <v>Runa R</v>
      </c>
      <c r="J15" s="136" t="s">
        <v>7227</v>
      </c>
      <c r="K15" s="313" t="s">
        <v>7228</v>
      </c>
      <c r="L15" s="136" t="s">
        <v>7229</v>
      </c>
      <c r="M15" s="320" t="str">
        <f>IFERROR(__xludf.DUMMYFUNCTION("GOOGLETRANSLATE(A15,""zh-tw"",""ru"")"),"Руна R")</f>
        <v>Руна R</v>
      </c>
      <c r="N15" s="142"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13" t="s">
        <v>7230</v>
      </c>
      <c r="P15" s="136" t="s">
        <v>7231</v>
      </c>
      <c r="Q15" s="313" t="s">
        <v>7232</v>
      </c>
      <c r="R15" s="51" t="s">
        <v>7233</v>
      </c>
      <c r="S15" s="313" t="s">
        <v>7234</v>
      </c>
      <c r="T15" s="142" t="s">
        <v>7235</v>
      </c>
      <c r="U15" s="30"/>
      <c r="V15" s="30"/>
    </row>
    <row r="16">
      <c r="A16" s="313" t="s">
        <v>7236</v>
      </c>
      <c r="B16" s="136" t="s">
        <v>7237</v>
      </c>
      <c r="C16" s="313" t="s">
        <v>7238</v>
      </c>
      <c r="D16" s="136" t="s">
        <v>7239</v>
      </c>
      <c r="E16" s="313" t="s">
        <v>7240</v>
      </c>
      <c r="F16" s="136" t="s">
        <v>7241</v>
      </c>
      <c r="G16" s="313" t="str">
        <f>IFERROR(__xludf.DUMMYFUNCTION("GOOGLETRANSLATE(A16,""zh-tw"",""zh"")"),"卢恩符文E")</f>
        <v>卢恩符文E</v>
      </c>
      <c r="H16" s="136" t="str">
        <f>IFERROR(__xludf.DUMMYFUNCTION("GOOGLETRANSLATE(B16,""zh-tw"",""zh"")"),"投掷后与目标进行位置交换")</f>
        <v>投掷后与目标进行位置交换</v>
      </c>
      <c r="I16" s="320" t="str">
        <f>IFERROR(__xludf.DUMMYFUNCTION("GOOGLETRANSLATE(A16,""zh-tw"",""es-MX"")"),"Runa E")</f>
        <v>Runa E</v>
      </c>
      <c r="J16" s="136" t="s">
        <v>7242</v>
      </c>
      <c r="K16" s="313" t="s">
        <v>7243</v>
      </c>
      <c r="L16" s="136" t="s">
        <v>7244</v>
      </c>
      <c r="M16" s="320" t="str">
        <f>IFERROR(__xludf.DUMMYFUNCTION("GOOGLETRANSLATE(A16,""zh-tw"",""ru"")"),"Руна E")</f>
        <v>Руна E</v>
      </c>
      <c r="N16" s="142" t="str">
        <f>IFERROR(__xludf.DUMMYFUNCTION("GOOGLETRANSLATE(B16,""zh-tw"",""ru"")"),"После броска поменяйтесь местами с целью.")</f>
        <v>После броска поменяйтесь местами с целью.</v>
      </c>
      <c r="O16" s="313" t="s">
        <v>7245</v>
      </c>
      <c r="P16" s="136" t="s">
        <v>7246</v>
      </c>
      <c r="Q16" s="313" t="s">
        <v>7247</v>
      </c>
      <c r="R16" s="51" t="s">
        <v>7248</v>
      </c>
      <c r="S16" s="313" t="s">
        <v>7249</v>
      </c>
      <c r="T16" s="142" t="s">
        <v>7250</v>
      </c>
      <c r="U16" s="30"/>
      <c r="V16" s="30"/>
    </row>
    <row r="17">
      <c r="A17" s="321" t="s">
        <v>7251</v>
      </c>
      <c r="B17" s="142" t="s">
        <v>7252</v>
      </c>
      <c r="C17" s="320" t="s">
        <v>7253</v>
      </c>
      <c r="D17" s="142" t="s">
        <v>7254</v>
      </c>
      <c r="E17" s="320" t="s">
        <v>7255</v>
      </c>
      <c r="F17" s="142" t="s">
        <v>7256</v>
      </c>
      <c r="G17" s="313" t="str">
        <f>IFERROR(__xludf.DUMMYFUNCTION("GOOGLETRANSLATE(A17,""zh-tw"",""zh"")"),"卢恩符文Kenaz")</f>
        <v>卢恩符文Kenaz</v>
      </c>
      <c r="H17" s="136" t="str">
        <f>IFERROR(__xludf.DUMMYFUNCTION("GOOGLETRANSLATE(B17,""zh-tw"",""zh"")"),"将目标变为炸弹
依照对方体型，影响爆炸范围")</f>
        <v>将目标变为炸弹
依照对方体型，影响爆炸范围</v>
      </c>
      <c r="I17" s="320" t="str">
        <f>IFERROR(__xludf.DUMMYFUNCTION("GOOGLETRANSLATE(A17,""zh-tw"",""es-MX"")"),"Runa Kenaz")</f>
        <v>Runa Kenaz</v>
      </c>
      <c r="J17" s="142" t="str">
        <f>IFERROR(__xludf.DUMMYFUNCTION("GOOGLETRANSLATE(B17,""zh-tw"",""es-MX"")"),"Convierte el objetivo en una bomba. Ajusta el radio de explosión según el tamaño del objetivo.")</f>
        <v>Convierte el objetivo en una bomba. Ajusta el radio de explosión según el tamaño del objetivo.</v>
      </c>
      <c r="K17" s="320" t="str">
        <f>IFERROR(__xludf.DUMMYFUNCTION("GOOGLETRANSLATE(A17,""zh-tw"",""KO"")"),"룬 케나즈")</f>
        <v>룬 케나즈</v>
      </c>
      <c r="L17" s="142" t="str">
        <f>IFERROR(__xludf.DUMMYFUNCTION("GOOGLETRANSLATE(B17,""zh-tw"",""KO"")"),"목표물을 폭탄으로 만듭니다. 목표물의 크기에 따라 폭발 반경을 조정하세요.")</f>
        <v>목표물을 폭탄으로 만듭니다. 목표물의 크기에 따라 폭발 반경을 조정하세요.</v>
      </c>
      <c r="M17" s="320" t="str">
        <f>IFERROR(__xludf.DUMMYFUNCTION("GOOGLETRANSLATE(A17,""zh-tw"",""ru"")"),"Руна Кеназ")</f>
        <v>Руна Кеназ</v>
      </c>
      <c r="N17" s="142" t="str">
        <f>IFERROR(__xludf.DUMMYFUNCTION("GOOGLETRANSLATE(B17,""zh-tw"",""ru"")"),"Превратите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7" s="320" t="s">
        <v>7255</v>
      </c>
      <c r="P17" s="142" t="s">
        <v>7256</v>
      </c>
      <c r="Q17" s="313" t="s">
        <v>7257</v>
      </c>
      <c r="R17" s="142" t="s">
        <v>7258</v>
      </c>
      <c r="S17" s="313" t="s">
        <v>7259</v>
      </c>
      <c r="T17" s="136" t="s">
        <v>7260</v>
      </c>
      <c r="U17" s="30"/>
      <c r="V17" s="30"/>
    </row>
    <row r="18">
      <c r="A18" s="313" t="s">
        <v>7261</v>
      </c>
      <c r="B18" s="136" t="s">
        <v>7262</v>
      </c>
      <c r="C18" s="313" t="s">
        <v>7263</v>
      </c>
      <c r="D18" s="136" t="s">
        <v>7264</v>
      </c>
      <c r="E18" s="313" t="s">
        <v>7265</v>
      </c>
      <c r="F18" s="136" t="s">
        <v>7266</v>
      </c>
      <c r="G18" s="313" t="str">
        <f>IFERROR(__xludf.DUMMYFUNCTION("GOOGLETRANSLATE(A18,""zh-tw"",""zh"")"),"塔罗牌-节制")</f>
        <v>塔罗牌-节制</v>
      </c>
      <c r="H18" s="136" t="str">
        <f>IFERROR(__xludf.DUMMYFUNCTION("GOOGLETRANSLATE(B18,""zh-tw"",""zh"")"),"召唤扭蛋机")</f>
        <v>召唤扭蛋机</v>
      </c>
      <c r="I18" s="320" t="str">
        <f>IFERROR(__xludf.DUMMYFUNCTION("GOOGLETRANSLATE(A18,""zh-tw"",""es-MX"")"),"Tarot - Templanza")</f>
        <v>Tarot - Templanza</v>
      </c>
      <c r="J18" s="136" t="s">
        <v>7267</v>
      </c>
      <c r="K18" s="313" t="s">
        <v>7268</v>
      </c>
      <c r="L18" s="142" t="str">
        <f>IFERROR(__xludf.DUMMYFUNCTION("GOOGLETRANSLATE(B18,""zh-tw"",""KO"")"),"소환 가샤폰 머신")</f>
        <v>소환 가샤폰 머신</v>
      </c>
      <c r="M18" s="320" t="str">
        <f>IFERROR(__xludf.DUMMYFUNCTION("GOOGLETRANSLATE(A18,""zh-tw"",""ru"")"),"Таро - Умеренность")</f>
        <v>Таро - Умеренность</v>
      </c>
      <c r="N18" s="142" t="str">
        <f>IFERROR(__xludf.DUMMYFUNCTION("GOOGLETRANSLATE(B18,""zh-tw"",""ru"")"),"Вызов Гасяпон-машины")</f>
        <v>Вызов Гасяпон-машины</v>
      </c>
      <c r="O18" s="313" t="s">
        <v>7269</v>
      </c>
      <c r="P18" s="136" t="s">
        <v>7270</v>
      </c>
      <c r="Q18" s="321" t="s">
        <v>7265</v>
      </c>
      <c r="R18" s="51" t="s">
        <v>7271</v>
      </c>
      <c r="S18" s="320" t="s">
        <v>7272</v>
      </c>
      <c r="T18" s="142" t="s">
        <v>7273</v>
      </c>
      <c r="U18" s="30"/>
      <c r="V18" s="30"/>
    </row>
    <row r="19">
      <c r="A19" s="313" t="s">
        <v>7274</v>
      </c>
      <c r="B19" s="136" t="s">
        <v>7275</v>
      </c>
      <c r="C19" s="313" t="s">
        <v>7276</v>
      </c>
      <c r="D19" s="136" t="s">
        <v>7277</v>
      </c>
      <c r="E19" s="313" t="s">
        <v>7278</v>
      </c>
      <c r="F19" s="136" t="s">
        <v>7279</v>
      </c>
      <c r="G19" s="313" t="str">
        <f>IFERROR(__xludf.DUMMYFUNCTION("GOOGLETRANSLATE(A19,""zh-tw"",""zh"")"),"塔罗牌-正义")</f>
        <v>塔罗牌-正义</v>
      </c>
      <c r="H19" s="136" t="str">
        <f>IFERROR(__xludf.DUMMYFUNCTION("GOOGLETRANSLATE(B19,""zh-tw"",""zh"")"),"消除状态")</f>
        <v>消除状态</v>
      </c>
      <c r="I19" s="320" t="str">
        <f>IFERROR(__xludf.DUMMYFUNCTION("GOOGLETRANSLATE(A19,""zh-tw"",""es-MX"")"),"Tarot - Justicia")</f>
        <v>Tarot - Justicia</v>
      </c>
      <c r="J19" s="136" t="s">
        <v>7280</v>
      </c>
      <c r="K19" s="313" t="s">
        <v>7281</v>
      </c>
      <c r="L19" s="315" t="s">
        <v>7282</v>
      </c>
      <c r="M19" s="320" t="str">
        <f>IFERROR(__xludf.DUMMYFUNCTION("GOOGLETRANSLATE(A19,""zh-tw"",""ru"")"),"Таро - Правосудие")</f>
        <v>Таро - Правосудие</v>
      </c>
      <c r="N19" s="142" t="str">
        <f>IFERROR(__xludf.DUMMYFUNCTION("GOOGLETRANSLATE(B19,""zh-tw"",""ru"")"),"Устранить состояние")</f>
        <v>Устранить состояние</v>
      </c>
      <c r="O19" s="313" t="s">
        <v>7283</v>
      </c>
      <c r="P19" s="136" t="s">
        <v>7284</v>
      </c>
      <c r="Q19" s="321" t="s">
        <v>7278</v>
      </c>
      <c r="R19" s="136" t="s">
        <v>7285</v>
      </c>
      <c r="S19" s="320" t="s">
        <v>7286</v>
      </c>
      <c r="T19" s="142" t="s">
        <v>7287</v>
      </c>
      <c r="U19" s="30"/>
      <c r="V19" s="30"/>
    </row>
    <row r="20">
      <c r="A20" s="313" t="s">
        <v>7288</v>
      </c>
      <c r="B20" s="136" t="s">
        <v>7289</v>
      </c>
      <c r="C20" s="313" t="s">
        <v>7290</v>
      </c>
      <c r="D20" s="136" t="s">
        <v>7291</v>
      </c>
      <c r="E20" s="313" t="s">
        <v>7292</v>
      </c>
      <c r="F20" s="136" t="s">
        <v>7293</v>
      </c>
      <c r="G20" s="313" t="str">
        <f>IFERROR(__xludf.DUMMYFUNCTION("GOOGLETRANSLATE(A20,""zh-tw"",""zh"")"),"塔罗牌-力")</f>
        <v>塔罗牌-力</v>
      </c>
      <c r="H20" s="136" t="str">
        <f>IFERROR(__xludf.DUMMYFUNCTION("GOOGLETRANSLATE(B20,""zh-tw"",""zh"")"),"武器巨大化增强")</f>
        <v>武器巨大化增强</v>
      </c>
      <c r="I20" s="320" t="str">
        <f>IFERROR(__xludf.DUMMYFUNCTION("GOOGLETRANSLATE(A20,""zh-tw"",""es-MX"")"),"Carta del Tarot - Fuerza")</f>
        <v>Carta del Tarot - Fuerza</v>
      </c>
      <c r="J20" s="136" t="s">
        <v>7294</v>
      </c>
      <c r="K20" s="320" t="str">
        <f>IFERROR(__xludf.DUMMYFUNCTION("GOOGLETRANSLATE(A20,""zh-tw"",""KO"")"),"타로 카드 - 힘")</f>
        <v>타로 카드 - 힘</v>
      </c>
      <c r="L20" s="136" t="s">
        <v>7295</v>
      </c>
      <c r="M20" s="320" t="str">
        <f>IFERROR(__xludf.DUMMYFUNCTION("GOOGLETRANSLATE(A20,""zh-tw"",""ru"")"),"Карта Таро — Сила")</f>
        <v>Карта Таро — Сила</v>
      </c>
      <c r="N20" s="142" t="str">
        <f>IFERROR(__xludf.DUMMYFUNCTION("GOOGLETRANSLATE(B20,""zh-tw"",""ru"")"),"Улучшение увеличения оружия")</f>
        <v>Улучшение увеличения оружия</v>
      </c>
      <c r="O20" s="313" t="s">
        <v>7296</v>
      </c>
      <c r="P20" s="136" t="s">
        <v>7297</v>
      </c>
      <c r="Q20" s="321" t="s">
        <v>7292</v>
      </c>
      <c r="R20" s="51" t="s">
        <v>7298</v>
      </c>
      <c r="S20" s="320" t="s">
        <v>7299</v>
      </c>
      <c r="T20" s="142" t="s">
        <v>7300</v>
      </c>
      <c r="U20" s="30"/>
      <c r="V20" s="30"/>
    </row>
    <row r="21">
      <c r="A21" s="313" t="s">
        <v>7301</v>
      </c>
      <c r="B21" s="136" t="s">
        <v>7302</v>
      </c>
      <c r="C21" s="313" t="s">
        <v>7303</v>
      </c>
      <c r="D21" s="136" t="s">
        <v>7304</v>
      </c>
      <c r="E21" s="313" t="s">
        <v>7305</v>
      </c>
      <c r="F21" s="136" t="s">
        <v>7306</v>
      </c>
      <c r="G21" s="313" t="str">
        <f>IFERROR(__xludf.DUMMYFUNCTION("GOOGLETRANSLATE(A21,""zh-tw"",""zh"")"),"塔罗牌-皇帝")</f>
        <v>塔罗牌-皇帝</v>
      </c>
      <c r="H21" s="136" t="str">
        <f>IFERROR(__xludf.DUMMYFUNCTION("GOOGLETRANSLATE(B21,""zh-tw"",""zh"")"),"巨龙咆啸")</f>
        <v>巨龙咆啸</v>
      </c>
      <c r="I21" s="320" t="str">
        <f>IFERROR(__xludf.DUMMYFUNCTION("GOOGLETRANSLATE(A21,""zh-tw"",""es-MX"")"),"Tarot - El Emperador")</f>
        <v>Tarot - El Emperador</v>
      </c>
      <c r="J21" s="136" t="s">
        <v>7307</v>
      </c>
      <c r="K21" s="320" t="str">
        <f>IFERROR(__xludf.DUMMYFUNCTION("GOOGLETRANSLATE(A21,""zh-tw"",""KO"")"),"타로 - 황제")</f>
        <v>타로 - 황제</v>
      </c>
      <c r="L21" s="136" t="s">
        <v>7308</v>
      </c>
      <c r="M21" s="320" t="str">
        <f>IFERROR(__xludf.DUMMYFUNCTION("GOOGLETRANSLATE(A21,""zh-tw"",""ru"")"),"Таро - Император")</f>
        <v>Таро - Император</v>
      </c>
      <c r="N21" s="142" t="str">
        <f>IFERROR(__xludf.DUMMYFUNCTION("GOOGLETRANSLATE(B21,""zh-tw"",""ru"")"),"Рев Дракона")</f>
        <v>Рев Дракона</v>
      </c>
      <c r="O21" s="313" t="s">
        <v>7309</v>
      </c>
      <c r="P21" s="136" t="s">
        <v>7310</v>
      </c>
      <c r="Q21" s="321" t="s">
        <v>7305</v>
      </c>
      <c r="R21" s="51" t="s">
        <v>7311</v>
      </c>
      <c r="S21" s="320" t="s">
        <v>7312</v>
      </c>
      <c r="T21" s="142" t="s">
        <v>7313</v>
      </c>
      <c r="U21" s="30"/>
      <c r="V21" s="30"/>
    </row>
    <row r="22">
      <c r="A22" s="313" t="s">
        <v>7314</v>
      </c>
      <c r="B22" s="136" t="s">
        <v>7315</v>
      </c>
      <c r="C22" s="313" t="str">
        <f>IFERROR(__xludf.DUMMYFUNCTION("GOOGLETRANSLATE(A22,""zh-tw"",""ja"")"),"タロット - 星")</f>
        <v>タロット - 星</v>
      </c>
      <c r="D22" s="136" t="s">
        <v>7316</v>
      </c>
      <c r="E22" s="313" t="s">
        <v>7317</v>
      </c>
      <c r="F22" s="136" t="s">
        <v>7318</v>
      </c>
      <c r="G22" s="313" t="str">
        <f>IFERROR(__xludf.DUMMYFUNCTION("GOOGLETRANSLATE(A22,""zh-tw"",""zh"")"),"塔罗牌-星")</f>
        <v>塔罗牌-星</v>
      </c>
      <c r="H22" s="136" t="str">
        <f>IFERROR(__xludf.DUMMYFUNCTION("GOOGLETRANSLATE(B22,""zh-tw"",""zh"")"),"星之门")</f>
        <v>星之门</v>
      </c>
      <c r="I22" s="320" t="str">
        <f>IFERROR(__xludf.DUMMYFUNCTION("GOOGLETRANSLATE(A22,""zh-tw"",""es-MX"")"),"Tarot - La Estrella")</f>
        <v>Tarot - La Estrella</v>
      </c>
      <c r="J22" s="136" t="s">
        <v>7319</v>
      </c>
      <c r="K22" s="320" t="str">
        <f>IFERROR(__xludf.DUMMYFUNCTION("GOOGLETRANSLATE(A22,""zh-tw"",""KO"")"),"타로 - 별")</f>
        <v>타로 - 별</v>
      </c>
      <c r="L22" s="136" t="s">
        <v>7320</v>
      </c>
      <c r="M22" s="320" t="str">
        <f>IFERROR(__xludf.DUMMYFUNCTION("GOOGLETRANSLATE(A22,""zh-tw"",""ru"")"),"Таро - Звезда")</f>
        <v>Таро - Звезда</v>
      </c>
      <c r="N22" s="142" t="str">
        <f>IFERROR(__xludf.DUMMYFUNCTION("GOOGLETRANSLATE(B22,""zh-tw"",""ru"")"),"Звездные Врата")</f>
        <v>Звездные Врата</v>
      </c>
      <c r="O22" s="313" t="s">
        <v>7321</v>
      </c>
      <c r="P22" s="136" t="s">
        <v>7322</v>
      </c>
      <c r="Q22" s="321" t="s">
        <v>7317</v>
      </c>
      <c r="R22" s="51" t="s">
        <v>7323</v>
      </c>
      <c r="S22" s="320" t="s">
        <v>7324</v>
      </c>
      <c r="T22" s="136" t="s">
        <v>7325</v>
      </c>
      <c r="U22" s="30"/>
      <c r="V22" s="30"/>
    </row>
    <row r="23">
      <c r="A23" s="313" t="s">
        <v>7326</v>
      </c>
      <c r="B23" s="136" t="s">
        <v>7327</v>
      </c>
      <c r="C23" s="313" t="s">
        <v>7328</v>
      </c>
      <c r="D23" s="136" t="s">
        <v>7329</v>
      </c>
      <c r="E23" s="313" t="s">
        <v>7330</v>
      </c>
      <c r="F23" s="136" t="s">
        <v>7331</v>
      </c>
      <c r="G23" s="313" t="str">
        <f>IFERROR(__xludf.DUMMYFUNCTION("GOOGLETRANSLATE(A23,""zh-tw"",""zh"")"),"塔罗牌-战车")</f>
        <v>塔罗牌-战车</v>
      </c>
      <c r="H23" s="136" t="str">
        <f>IFERROR(__xludf.DUMMYFUNCTION("GOOGLETRANSLATE(B23,""zh-tw"",""zh"")"),"召唤猫娘商店车")</f>
        <v>召唤猫娘商店车</v>
      </c>
      <c r="I23" s="320" t="str">
        <f>IFERROR(__xludf.DUMMYFUNCTION("GOOGLETRANSLATE(A23,""zh-tw"",""es-MX"")"),"Carta del Tarot - El Carro")</f>
        <v>Carta del Tarot - El Carro</v>
      </c>
      <c r="J23" s="136" t="s">
        <v>7332</v>
      </c>
      <c r="K23" s="313" t="s">
        <v>7333</v>
      </c>
      <c r="L23" s="142" t="str">
        <f>IFERROR(__xludf.DUMMYFUNCTION("GOOGLETRANSLATE(B23,""zh-tw"",""KO"")"),"고양이 소녀 상점 카트 소환")</f>
        <v>고양이 소녀 상점 카트 소환</v>
      </c>
      <c r="M23" s="320" t="str">
        <f>IFERROR(__xludf.DUMMYFUNCTION("GOOGLETRANSLATE(A23,""zh-tw"",""ru"")"),"Карта Таро - Колесница")</f>
        <v>Карта Таро - Колесница</v>
      </c>
      <c r="N23" s="142" t="str">
        <f>IFERROR(__xludf.DUMMYFUNCTION("GOOGLETRANSLATE(B23,""zh-tw"",""ru"")"),"Корзина магазина «Призыв девушки-кошки»")</f>
        <v>Корзина магазина «Призыв девушки-кошки»</v>
      </c>
      <c r="O23" s="313" t="s">
        <v>7334</v>
      </c>
      <c r="P23" s="136" t="s">
        <v>7335</v>
      </c>
      <c r="Q23" s="321" t="s">
        <v>7330</v>
      </c>
      <c r="R23" s="51" t="s">
        <v>7336</v>
      </c>
      <c r="S23" s="320" t="s">
        <v>7337</v>
      </c>
      <c r="T23" s="142" t="s">
        <v>7338</v>
      </c>
      <c r="U23" s="30"/>
      <c r="V23" s="30"/>
    </row>
    <row r="24">
      <c r="A24" s="313" t="s">
        <v>7339</v>
      </c>
      <c r="B24" s="136" t="s">
        <v>7340</v>
      </c>
      <c r="C24" s="313" t="s">
        <v>7341</v>
      </c>
      <c r="D24" s="136" t="s">
        <v>7342</v>
      </c>
      <c r="E24" s="313" t="s">
        <v>7343</v>
      </c>
      <c r="F24" s="136" t="s">
        <v>7344</v>
      </c>
      <c r="G24" s="313" t="str">
        <f>IFERROR(__xludf.DUMMYFUNCTION("GOOGLETRANSLATE(A24,""zh-tw"",""zh"")"),"塔罗牌-女祭司")</f>
        <v>塔罗牌-女祭司</v>
      </c>
      <c r="H24" s="136" t="str">
        <f>IFERROR(__xludf.DUMMYFUNCTION("GOOGLETRANSLATE(B24,""zh-tw"",""zh"")"),"召唤教堂")</f>
        <v>召唤教堂</v>
      </c>
      <c r="I24" s="320" t="str">
        <f>IFERROR(__xludf.DUMMYFUNCTION("GOOGLETRANSLATE(A24,""zh-tw"",""es-MX"")"),"Tarot - La Suma Sacerdotisa")</f>
        <v>Tarot - La Suma Sacerdotisa</v>
      </c>
      <c r="J24" s="136" t="s">
        <v>7345</v>
      </c>
      <c r="K24" s="313" t="s">
        <v>7346</v>
      </c>
      <c r="L24" s="136" t="s">
        <v>7347</v>
      </c>
      <c r="M24" s="320" t="str">
        <f>IFERROR(__xludf.DUMMYFUNCTION("GOOGLETRANSLATE(A24,""zh-tw"",""ru"")"),"Таро - Верховная Жрица")</f>
        <v>Таро - Верховная Жрица</v>
      </c>
      <c r="N24" s="142" t="str">
        <f>IFERROR(__xludf.DUMMYFUNCTION("GOOGLETRANSLATE(B24,""zh-tw"",""ru"")"),"Церковь призыва")</f>
        <v>Церковь призыва</v>
      </c>
      <c r="O24" s="313" t="s">
        <v>7348</v>
      </c>
      <c r="P24" s="136" t="s">
        <v>7349</v>
      </c>
      <c r="Q24" s="321" t="s">
        <v>7343</v>
      </c>
      <c r="R24" s="51" t="s">
        <v>7350</v>
      </c>
      <c r="S24" s="320" t="s">
        <v>7351</v>
      </c>
      <c r="T24" s="142" t="s">
        <v>7352</v>
      </c>
      <c r="U24" s="30"/>
      <c r="V24" s="30"/>
    </row>
    <row r="25">
      <c r="A25" s="313" t="s">
        <v>7353</v>
      </c>
      <c r="B25" s="136" t="s">
        <v>7354</v>
      </c>
      <c r="C25" s="313" t="s">
        <v>7355</v>
      </c>
      <c r="D25" s="136" t="s">
        <v>7356</v>
      </c>
      <c r="E25" s="313" t="s">
        <v>7357</v>
      </c>
      <c r="F25" s="136" t="s">
        <v>7358</v>
      </c>
      <c r="G25" s="313" t="str">
        <f>IFERROR(__xludf.DUMMYFUNCTION("GOOGLETRANSLATE(A25,""zh-tw"",""zh"")"),"塔罗牌-命运之轮")</f>
        <v>塔罗牌-命运之轮</v>
      </c>
      <c r="H25" s="136" t="str">
        <f>IFERROR(__xludf.DUMMYFUNCTION("GOOGLETRANSLATE(B25,""zh-tw"",""zh"")"),"随机BUFF效果")</f>
        <v>随机BUFF效果</v>
      </c>
      <c r="I25" s="320" t="str">
        <f>IFERROR(__xludf.DUMMYFUNCTION("GOOGLETRANSLATE(A25,""zh-tw"",""es-MX"")"),"Tarot - Rueda de la fortuna")</f>
        <v>Tarot - Rueda de la fortuna</v>
      </c>
      <c r="J25" s="136" t="s">
        <v>7359</v>
      </c>
      <c r="K25" s="313" t="s">
        <v>7360</v>
      </c>
      <c r="L25" s="136" t="s">
        <v>7361</v>
      </c>
      <c r="M25" s="320" t="str">
        <f>IFERROR(__xludf.DUMMYFUNCTION("GOOGLETRANSLATE(A25,""zh-tw"",""ru"")"),"Таро - Колесо Фортуны")</f>
        <v>Таро - Колесо Фортуны</v>
      </c>
      <c r="N25" s="142" t="str">
        <f>IFERROR(__xludf.DUMMYFUNCTION("GOOGLETRANSLATE(B25,""zh-tw"",""ru"")"),"Случайные положительные эффекты")</f>
        <v>Случайные положительные эффекты</v>
      </c>
      <c r="O25" s="313" t="s">
        <v>7362</v>
      </c>
      <c r="P25" s="136" t="s">
        <v>7363</v>
      </c>
      <c r="Q25" s="321" t="s">
        <v>7357</v>
      </c>
      <c r="R25" s="51" t="s">
        <v>7364</v>
      </c>
      <c r="S25" s="320" t="s">
        <v>7365</v>
      </c>
      <c r="T25" s="142" t="s">
        <v>7366</v>
      </c>
      <c r="U25" s="30"/>
      <c r="V25" s="30"/>
    </row>
    <row r="26">
      <c r="A26" s="313" t="s">
        <v>7367</v>
      </c>
      <c r="B26" s="136" t="s">
        <v>7368</v>
      </c>
      <c r="C26" s="313" t="s">
        <v>7369</v>
      </c>
      <c r="D26" s="136" t="s">
        <v>7370</v>
      </c>
      <c r="E26" s="313" t="s">
        <v>7371</v>
      </c>
      <c r="F26" s="136" t="s">
        <v>7372</v>
      </c>
      <c r="G26" s="313" t="str">
        <f>IFERROR(__xludf.DUMMYFUNCTION("GOOGLETRANSLATE(A26,""zh-tw"",""zh"")"),"塔罗牌-世界")</f>
        <v>塔罗牌-世界</v>
      </c>
      <c r="H26" s="136" t="str">
        <f>IFERROR(__xludf.DUMMYFUNCTION("GOOGLETRANSLATE(B26,""zh-tw"",""zh"")"),"重制场地")</f>
        <v>重制场地</v>
      </c>
      <c r="I26" s="320" t="str">
        <f>IFERROR(__xludf.DUMMYFUNCTION("GOOGLETRANSLATE(A26,""zh-tw"",""es-MX"")"),"Tarot - El Mundo")</f>
        <v>Tarot - El Mundo</v>
      </c>
      <c r="J26" s="136" t="s">
        <v>7373</v>
      </c>
      <c r="K26" s="320" t="str">
        <f>IFERROR(__xludf.DUMMYFUNCTION("GOOGLETRANSLATE(A26,""zh-tw"",""KO"")"),"타로 - 세계")</f>
        <v>타로 - 세계</v>
      </c>
      <c r="L26" s="136" t="s">
        <v>7374</v>
      </c>
      <c r="M26" s="320" t="str">
        <f>IFERROR(__xludf.DUMMYFUNCTION("GOOGLETRANSLATE(A26,""zh-tw"",""ru"")"),"Таро - Мир")</f>
        <v>Таро - Мир</v>
      </c>
      <c r="N26" s="142" t="str">
        <f>IFERROR(__xludf.DUMMYFUNCTION("GOOGLETRANSLATE(B26,""zh-tw"",""ru"")"),"Место реконструкции")</f>
        <v>Место реконструкции</v>
      </c>
      <c r="O26" s="313" t="s">
        <v>7375</v>
      </c>
      <c r="P26" s="136" t="s">
        <v>7376</v>
      </c>
      <c r="Q26" s="321" t="s">
        <v>7371</v>
      </c>
      <c r="R26" s="51" t="s">
        <v>7377</v>
      </c>
      <c r="S26" s="320" t="s">
        <v>7378</v>
      </c>
      <c r="T26" s="142" t="s">
        <v>7379</v>
      </c>
      <c r="U26" s="30"/>
      <c r="V26" s="30"/>
    </row>
    <row r="27">
      <c r="A27" s="313" t="s">
        <v>7380</v>
      </c>
      <c r="B27" s="136" t="s">
        <v>7381</v>
      </c>
      <c r="C27" s="313" t="s">
        <v>7382</v>
      </c>
      <c r="D27" s="142" t="str">
        <f>IFERROR(__xludf.DUMMYFUNCTION("GOOGLETRANSLATE(B27,""zh-tw"",""ja"")"),"一定時間内に1回復活することができます。")</f>
        <v>一定時間内に1回復活することができます。</v>
      </c>
      <c r="E27" s="313" t="s">
        <v>7383</v>
      </c>
      <c r="F27" s="136" t="s">
        <v>7384</v>
      </c>
      <c r="G27" s="313" t="str">
        <f>IFERROR(__xludf.DUMMYFUNCTION("GOOGLETRANSLATE(A27,""zh-tw"",""zh"")"),"塔罗牌-日")</f>
        <v>塔罗牌-日</v>
      </c>
      <c r="H27" s="136" t="str">
        <f>IFERROR(__xludf.DUMMYFUNCTION("GOOGLETRANSLATE(B27,""zh-tw"",""zh"")"),"一定时间内，可复活一次")</f>
        <v>一定时间内，可复活一次</v>
      </c>
      <c r="I27" s="320" t="str">
        <f>IFERROR(__xludf.DUMMYFUNCTION("GOOGLETRANSLATE(A27,""zh-tw"",""es-MX"")"),"Tarot - Sol")</f>
        <v>Tarot - Sol</v>
      </c>
      <c r="J27" s="136" t="s">
        <v>7385</v>
      </c>
      <c r="K27" s="353" t="s">
        <v>7386</v>
      </c>
      <c r="L27" s="136" t="s">
        <v>7387</v>
      </c>
      <c r="M27" s="320" t="str">
        <f>IFERROR(__xludf.DUMMYFUNCTION("GOOGLETRANSLATE(A27,""zh-tw"",""ru"")"),"Таро - Солнце")</f>
        <v>Таро - Солнце</v>
      </c>
      <c r="N27" s="142" t="str">
        <f>IFERROR(__xludf.DUMMYFUNCTION("GOOGLETRANSLATE(B27,""zh-tw"",""ru"")"),"Возродиться можно один раз в течение определенного периода времени.")</f>
        <v>Возродиться можно один раз в течение определенного периода времени.</v>
      </c>
      <c r="O27" s="313" t="s">
        <v>7388</v>
      </c>
      <c r="P27" s="136" t="s">
        <v>7389</v>
      </c>
      <c r="Q27" s="321" t="s">
        <v>7383</v>
      </c>
      <c r="R27" s="51" t="s">
        <v>7390</v>
      </c>
      <c r="S27" s="320" t="s">
        <v>7391</v>
      </c>
      <c r="T27" s="142" t="s">
        <v>7392</v>
      </c>
      <c r="U27" s="30"/>
      <c r="V27" s="30"/>
    </row>
    <row r="28">
      <c r="A28" s="321" t="s">
        <v>7393</v>
      </c>
      <c r="B28" s="136" t="s">
        <v>7394</v>
      </c>
      <c r="C28" s="321" t="s">
        <v>7395</v>
      </c>
      <c r="D28" s="136" t="s">
        <v>7396</v>
      </c>
      <c r="E28" s="321" t="s">
        <v>7397</v>
      </c>
      <c r="F28" s="51" t="s">
        <v>7398</v>
      </c>
      <c r="G28" s="313" t="str">
        <f>IFERROR(__xludf.DUMMYFUNCTION("GOOGLETRANSLATE(A28,""zh-tw"",""zh"")"),"塔罗牌-死神")</f>
        <v>塔罗牌-死神</v>
      </c>
      <c r="H28" s="136" t="str">
        <f>IFERROR(__xludf.DUMMYFUNCTION("GOOGLETRANSLATE(B28,""zh-tw"",""zh"")"),"死之恶魔现身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8" s="320" t="str">
        <f>IFERROR(__xludf.DUMMYFUNCTION("GOOGLETRANSLATE(A28,""zh-tw"",""es-MX"")"),"Carta del Tarot - Muerte")</f>
        <v>Carta del Tarot - Muerte</v>
      </c>
      <c r="J28" s="136" t="s">
        <v>7399</v>
      </c>
      <c r="K28" s="320" t="str">
        <f>IFERROR(__xludf.DUMMYFUNCTION("GOOGLETRANSLATE(A28,""zh-tw"",""KO"")"),"타로 카드 - 죽음")</f>
        <v>타로 카드 - 죽음</v>
      </c>
      <c r="L28" s="142" t="str">
        <f>IFERROR(__xludf.DUMMYFUNCTION("GOOGLETRANSLATE(B28,""zh-tw"",""KO"")"),"죽음의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8" s="320" t="str">
        <f>IFERROR(__xludf.DUMMYFUNCTION("GOOGLETRANSLATE(A28,""zh-tw"",""ru"")"),"Карта Таро - Смерть")</f>
        <v>Карта Таро - Смерть</v>
      </c>
      <c r="N28" s="142" t="str">
        <f>IFERROR(__xludf.DUMMYFUNCTION("GOOGLETRANSLATE(B28,""zh-tw"",""ru"")"),"Демон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8" s="313" t="s">
        <v>7400</v>
      </c>
      <c r="P28" s="136" t="s">
        <v>7401</v>
      </c>
      <c r="Q28" s="321" t="s">
        <v>7397</v>
      </c>
      <c r="R28" s="51" t="s">
        <v>7402</v>
      </c>
      <c r="S28" s="320" t="s">
        <v>7403</v>
      </c>
      <c r="T28" s="142" t="s">
        <v>7404</v>
      </c>
      <c r="U28" s="30"/>
      <c r="V28" s="30"/>
    </row>
    <row r="29">
      <c r="A29" s="313" t="s">
        <v>7405</v>
      </c>
      <c r="B29" s="136" t="s">
        <v>7406</v>
      </c>
      <c r="C29" s="313" t="str">
        <f>IFERROR(__xludf.DUMMYFUNCTION("GOOGLETRANSLATE(A29,""zh-tw"",""ja"")"),"ジャック・ボム")</f>
        <v>ジャック・ボム</v>
      </c>
      <c r="D29" s="136" t="s">
        <v>7407</v>
      </c>
      <c r="E29" s="313" t="s">
        <v>7408</v>
      </c>
      <c r="F29" s="136" t="s">
        <v>7409</v>
      </c>
      <c r="G29" s="313" t="str">
        <f>IFERROR(__xludf.DUMMYFUNCTION("GOOGLETRANSLATE(A29,""zh-tw"",""zh"")"),"杰克爆弹")</f>
        <v>杰克爆弹</v>
      </c>
      <c r="H29" s="136" t="str">
        <f>IFERROR(__xludf.DUMMYFUNCTION("GOOGLETRANSLATE(B29,""zh-tw"",""zh"")"),"炸弹(无视防御)")</f>
        <v>炸弹(无视防御)</v>
      </c>
      <c r="I29" s="320" t="str">
        <f>IFERROR(__xludf.DUMMYFUNCTION("GOOGLETRANSLATE(A29,""zh-tw"",""es-MX"")"),"Jack Bomb")</f>
        <v>Jack Bomb</v>
      </c>
      <c r="J29" s="136" t="s">
        <v>7410</v>
      </c>
      <c r="K29" s="313" t="s">
        <v>7411</v>
      </c>
      <c r="L29" s="142" t="str">
        <f>IFERROR(__xludf.DUMMYFUNCTION("GOOGLETRANSLATE(B29,""zh-tw"",""KO"")"),"폭탄(방어 무시)")</f>
        <v>폭탄(방어 무시)</v>
      </c>
      <c r="M29" s="320" t="str">
        <f>IFERROR(__xludf.DUMMYFUNCTION("GOOGLETRANSLATE(A29,""zh-tw"",""ru"")"),"Джек Бомба")</f>
        <v>Джек Бомба</v>
      </c>
      <c r="N29" s="142" t="str">
        <f>IFERROR(__xludf.DUMMYFUNCTION("GOOGLETRANSLATE(B29,""zh-tw"",""ru"")"),"Бомба (игнорирует защиту)")</f>
        <v>Бомба (игнорирует защиту)</v>
      </c>
      <c r="O29" s="313" t="s">
        <v>7412</v>
      </c>
      <c r="P29" s="136" t="s">
        <v>7413</v>
      </c>
      <c r="Q29" s="321" t="s">
        <v>7408</v>
      </c>
      <c r="R29" s="51" t="s">
        <v>7414</v>
      </c>
      <c r="S29" s="320" t="s">
        <v>7415</v>
      </c>
      <c r="T29" s="142" t="s">
        <v>7416</v>
      </c>
      <c r="U29" s="30"/>
      <c r="V29" s="30"/>
    </row>
    <row r="30">
      <c r="A30" s="313" t="s">
        <v>7417</v>
      </c>
      <c r="B30" s="136" t="s">
        <v>7418</v>
      </c>
      <c r="C30" s="313" t="s">
        <v>7419</v>
      </c>
      <c r="D30" s="136" t="s">
        <v>7420</v>
      </c>
      <c r="E30" s="313" t="s">
        <v>7421</v>
      </c>
      <c r="F30" s="136" t="s">
        <v>7422</v>
      </c>
      <c r="G30" s="313" t="str">
        <f>IFERROR(__xludf.DUMMYFUNCTION("GOOGLETRANSLATE(A30,""zh-tw"",""zh"")"),"冰霜杰克爆弹")</f>
        <v>冰霜杰克爆弹</v>
      </c>
      <c r="H30" s="136" t="str">
        <f>IFERROR(__xludf.DUMMYFUNCTION("GOOGLETRANSLATE(B30,""zh-tw"",""zh"")"),"冰属性炸弹")</f>
        <v>冰属性炸弹</v>
      </c>
      <c r="I30" s="320" t="str">
        <f>IFERROR(__xludf.DUMMYFUNCTION("GOOGLETRANSLATE(A30,""zh-tw"",""es-MX"")"),"Bomba Frost Jack")</f>
        <v>Bomba Frost Jack</v>
      </c>
      <c r="J30" s="136" t="s">
        <v>7423</v>
      </c>
      <c r="K30" s="320" t="str">
        <f>IFERROR(__xludf.DUMMYFUNCTION("GOOGLETRANSLATE(A30,""zh-tw"",""KO"")"),"프로스트 잭 폭탄")</f>
        <v>프로스트 잭 폭탄</v>
      </c>
      <c r="L30" s="136" t="s">
        <v>7424</v>
      </c>
      <c r="M30" s="320" t="str">
        <f>IFERROR(__xludf.DUMMYFUNCTION("GOOGLETRANSLATE(A30,""zh-tw"",""ru"")"),"Фрост Джек Бомба")</f>
        <v>Фрост Джек Бомба</v>
      </c>
      <c r="N30" s="142" t="str">
        <f>IFERROR(__xludf.DUMMYFUNCTION("GOOGLETRANSLATE(B30,""zh-tw"",""ru"")"),"Ледяная бомба")</f>
        <v>Ледяная бомба</v>
      </c>
      <c r="O30" s="313" t="s">
        <v>7425</v>
      </c>
      <c r="P30" s="136" t="s">
        <v>7426</v>
      </c>
      <c r="Q30" s="321" t="s">
        <v>7421</v>
      </c>
      <c r="R30" s="51" t="s">
        <v>7427</v>
      </c>
      <c r="S30" s="320" t="s">
        <v>7428</v>
      </c>
      <c r="T30" s="142" t="s">
        <v>7429</v>
      </c>
      <c r="U30" s="30"/>
      <c r="V30" s="30"/>
    </row>
    <row r="31">
      <c r="A31" s="313" t="s">
        <v>7430</v>
      </c>
      <c r="B31" s="136" t="s">
        <v>7431</v>
      </c>
      <c r="C31" s="313" t="s">
        <v>7432</v>
      </c>
      <c r="D31" s="136" t="s">
        <v>7433</v>
      </c>
      <c r="E31" s="313" t="s">
        <v>7434</v>
      </c>
      <c r="F31" s="136" t="s">
        <v>7435</v>
      </c>
      <c r="G31" s="313" t="str">
        <f>IFERROR(__xludf.DUMMYFUNCTION("GOOGLETRANSLATE(A31,""zh-tw"",""zh"")"),"猛毒杰克爆弹")</f>
        <v>猛毒杰克爆弹</v>
      </c>
      <c r="H31" s="136" t="str">
        <f>IFERROR(__xludf.DUMMYFUNCTION("GOOGLETRANSLATE(B31,""zh-tw"",""zh"")"),"毒属性炸弹")</f>
        <v>毒属性炸弹</v>
      </c>
      <c r="I31" s="313" t="s">
        <v>7434</v>
      </c>
      <c r="J31" s="136" t="s">
        <v>7436</v>
      </c>
      <c r="K31" s="313" t="s">
        <v>7437</v>
      </c>
      <c r="L31" s="136" t="s">
        <v>7438</v>
      </c>
      <c r="M31" s="320" t="str">
        <f>IFERROR(__xludf.DUMMYFUNCTION("GOOGLETRANSLATE(A31,""zh-tw"",""ru"")"),"Веном Джек Бомба")</f>
        <v>Веном Джек Бомба</v>
      </c>
      <c r="N31" s="142" t="str">
        <f>IFERROR(__xludf.DUMMYFUNCTION("GOOGLETRANSLATE(B31,""zh-tw"",""ru"")"),"Ядовитая бомба")</f>
        <v>Ядовитая бомба</v>
      </c>
      <c r="O31" s="313" t="s">
        <v>7439</v>
      </c>
      <c r="P31" s="136" t="s">
        <v>7440</v>
      </c>
      <c r="Q31" s="321" t="s">
        <v>7434</v>
      </c>
      <c r="R31" s="51" t="s">
        <v>7441</v>
      </c>
      <c r="S31" s="320" t="s">
        <v>7442</v>
      </c>
      <c r="T31" s="142" t="s">
        <v>7443</v>
      </c>
      <c r="U31" s="30"/>
      <c r="V31" s="30"/>
    </row>
    <row r="32">
      <c r="A32" s="313" t="s">
        <v>7444</v>
      </c>
      <c r="B32" s="136" t="s">
        <v>7445</v>
      </c>
      <c r="C32" s="313" t="s">
        <v>7446</v>
      </c>
      <c r="D32" s="136" t="s">
        <v>7447</v>
      </c>
      <c r="E32" s="313" t="s">
        <v>7448</v>
      </c>
      <c r="F32" s="136" t="s">
        <v>7449</v>
      </c>
      <c r="G32" s="313" t="str">
        <f>IFERROR(__xludf.DUMMYFUNCTION("GOOGLETRANSLATE(A32,""zh-tw"",""zh"")"),"封存的时计")</f>
        <v>封存的时计</v>
      </c>
      <c r="H32" s="136" t="str">
        <f>IFERROR(__xludf.DUMMYFUNCTION("GOOGLETRANSLATE(B32,""zh-tw"",""zh"")"),"范围暂停")</f>
        <v>范围暂停</v>
      </c>
      <c r="I32" s="313" t="s">
        <v>7450</v>
      </c>
      <c r="J32" s="136" t="s">
        <v>7451</v>
      </c>
      <c r="K32" s="313" t="s">
        <v>7452</v>
      </c>
      <c r="L32" s="136" t="s">
        <v>7453</v>
      </c>
      <c r="M32" s="320" t="str">
        <f>IFERROR(__xludf.DUMMYFUNCTION("GOOGLETRANSLATE(A32,""zh-tw"",""ru"")"),"Герметичные часы")</f>
        <v>Герметичные часы</v>
      </c>
      <c r="N32" s="142" t="str">
        <f>IFERROR(__xludf.DUMMYFUNCTION("GOOGLETRANSLATE(B32,""zh-tw"",""ru"")"),"Пауза диапазона")</f>
        <v>Пауза диапазона</v>
      </c>
      <c r="O32" s="313" t="s">
        <v>7454</v>
      </c>
      <c r="P32" s="136" t="s">
        <v>7455</v>
      </c>
      <c r="Q32" s="321" t="s">
        <v>7456</v>
      </c>
      <c r="R32" s="51" t="s">
        <v>7457</v>
      </c>
      <c r="S32" s="320" t="s">
        <v>7458</v>
      </c>
      <c r="T32" s="142" t="s">
        <v>7459</v>
      </c>
      <c r="U32" s="30"/>
      <c r="V32" s="30"/>
    </row>
    <row r="33">
      <c r="A33" s="313" t="s">
        <v>7460</v>
      </c>
      <c r="B33" s="136" t="s">
        <v>7461</v>
      </c>
      <c r="C33" s="313" t="str">
        <f>IFERROR(__xludf.DUMMYFUNCTION("GOOGLETRANSLATE(A33,""zh-tw"",""ja"")"),"寿司プリン")</f>
        <v>寿司プリン</v>
      </c>
      <c r="D33" s="136" t="s">
        <v>7462</v>
      </c>
      <c r="E33" s="313" t="s">
        <v>7463</v>
      </c>
      <c r="F33" s="136" t="s">
        <v>7464</v>
      </c>
      <c r="G33" s="313" t="str">
        <f>IFERROR(__xludf.DUMMYFUNCTION("GOOGLETRANSLATE(A33,""zh-tw"",""zh"")"),"寿司布丁")</f>
        <v>寿司布丁</v>
      </c>
      <c r="H33" s="136" t="str">
        <f>IFERROR(__xludf.DUMMYFUNCTION("GOOGLETRANSLATE(B33,""zh-tw"",""zh"")"),"飞向恶魔商店的位置")</f>
        <v>飞向恶魔商店的位置</v>
      </c>
      <c r="I33" s="320" t="str">
        <f>IFERROR(__xludf.DUMMYFUNCTION("GOOGLETRANSLATE(A33,""zh-tw"",""es-MX"")"),"Pudín de sushi")</f>
        <v>Pudín de sushi</v>
      </c>
      <c r="J33" s="136" t="s">
        <v>7465</v>
      </c>
      <c r="K33" s="320" t="str">
        <f>IFERROR(__xludf.DUMMYFUNCTION("GOOGLETRANSLATE(A33,""zh-tw"",""KO"")"),"스시 푸딩")</f>
        <v>스시 푸딩</v>
      </c>
      <c r="L33" s="142" t="str">
        <f>IFERROR(__xludf.DUMMYFUNCTION("GOOGLETRANSLATE(B33,""zh-tw"",""KO"")"),"악마상점 위치로 날아가세요")</f>
        <v>악마상점 위치로 날아가세요</v>
      </c>
      <c r="M33" s="320" t="str">
        <f>IFERROR(__xludf.DUMMYFUNCTION("GOOGLETRANSLATE(A33,""zh-tw"",""ru"")"),"Суши-пудинг")</f>
        <v>Суши-пудинг</v>
      </c>
      <c r="N33" s="142" t="str">
        <f>IFERROR(__xludf.DUMMYFUNCTION("GOOGLETRANSLATE(B33,""zh-tw"",""ru"")"),"Летите к месту расположения Демонического Магазина.")</f>
        <v>Летите к месту расположения Демонического Магазина.</v>
      </c>
      <c r="O33" s="313" t="s">
        <v>7463</v>
      </c>
      <c r="P33" s="136" t="s">
        <v>7466</v>
      </c>
      <c r="Q33" s="321" t="s">
        <v>7463</v>
      </c>
      <c r="R33" s="51" t="s">
        <v>7467</v>
      </c>
      <c r="S33" s="320" t="s">
        <v>7468</v>
      </c>
      <c r="T33" s="142" t="s">
        <v>7469</v>
      </c>
      <c r="U33" s="30"/>
      <c r="V33" s="30"/>
    </row>
    <row r="34">
      <c r="A34" s="313" t="s">
        <v>7470</v>
      </c>
      <c r="B34" s="136" t="s">
        <v>7471</v>
      </c>
      <c r="C34" s="313" t="str">
        <f>IFERROR(__xludf.DUMMYFUNCTION("GOOGLETRANSLATE(A34,""zh-tw"",""ja"")"),"ポラロイド 1～35")</f>
        <v>ポラロイド 1～35</v>
      </c>
      <c r="D34" s="136" t="s">
        <v>7472</v>
      </c>
      <c r="E34" s="313" t="s">
        <v>7473</v>
      </c>
      <c r="F34" s="136" t="s">
        <v>7474</v>
      </c>
      <c r="G34" s="313" t="str">
        <f>IFERROR(__xludf.DUMMYFUNCTION("GOOGLETRANSLATE(A34,""zh-tw"",""zh"")"),"拍立得1~35")</f>
        <v>拍立得1~35</v>
      </c>
      <c r="H34" s="136" t="str">
        <f>IFERROR(__xludf.DUMMYFUNCTION("GOOGLETRANSLATE(B34,""zh-tw"",""zh"")"),"查看优质照片")</f>
        <v>查看优质照片</v>
      </c>
      <c r="I34" s="320" t="str">
        <f>IFERROR(__xludf.DUMMYFUNCTION("GOOGLETRANSLATE(A34,""zh-tw"",""es-MX"")"),"Polaroid 1~35")</f>
        <v>Polaroid 1~35</v>
      </c>
      <c r="J34" s="136" t="s">
        <v>7475</v>
      </c>
      <c r="K34" s="320" t="str">
        <f>IFERROR(__xludf.DUMMYFUNCTION("GOOGLETRANSLATE(A34,""zh-tw"",""KO"")"),"폴라로이드 1~35")</f>
        <v>폴라로이드 1~35</v>
      </c>
      <c r="L34" s="142" t="str">
        <f>IFERROR(__xludf.DUMMYFUNCTION("GOOGLETRANSLATE(B34,""zh-tw"",""KO"")"),"고품질 사진 보기")</f>
        <v>고품질 사진 보기</v>
      </c>
      <c r="M34" s="320" t="str">
        <f>IFERROR(__xludf.DUMMYFUNCTION("GOOGLETRANSLATE(A34,""zh-tw"",""ru"")"),"Полароид 1~35")</f>
        <v>Полароид 1~35</v>
      </c>
      <c r="N34" s="142" t="str">
        <f>IFERROR(__xludf.DUMMYFUNCTION("GOOGLETRANSLATE(B34,""zh-tw"",""ru"")"),"Посмотреть качественные фотографии")</f>
        <v>Посмотреть качественные фотографии</v>
      </c>
      <c r="O34" s="313" t="s">
        <v>7476</v>
      </c>
      <c r="P34" s="136" t="s">
        <v>7477</v>
      </c>
      <c r="Q34" s="321" t="s">
        <v>7473</v>
      </c>
      <c r="R34" s="51" t="s">
        <v>7478</v>
      </c>
      <c r="S34" s="320" t="s">
        <v>7473</v>
      </c>
      <c r="T34" s="142" t="s">
        <v>7479</v>
      </c>
      <c r="U34" s="30"/>
      <c r="V34" s="30"/>
    </row>
    <row r="35">
      <c r="A35" s="321" t="s">
        <v>7480</v>
      </c>
      <c r="B35" s="142" t="s">
        <v>7481</v>
      </c>
      <c r="C35" s="313" t="s">
        <v>7482</v>
      </c>
      <c r="D35" s="136" t="s">
        <v>7483</v>
      </c>
      <c r="E35" s="313" t="s">
        <v>7484</v>
      </c>
      <c r="F35" s="136" t="s">
        <v>7485</v>
      </c>
      <c r="G35" s="313" t="str">
        <f>IFERROR(__xludf.DUMMYFUNCTION("GOOGLETRANSLATE(A35,""zh-tw"",""zh"")"),"茶会拍立得收藏集")</f>
        <v>茶会拍立得收藏集</v>
      </c>
      <c r="H35" s="136" t="str">
        <f>IFERROR(__xludf.DUMMYFUNCTION("GOOGLETRANSLATE(B35,""zh-tw"",""zh"")"),"完成后提升幸运值")</f>
        <v>完成后提升幸运值</v>
      </c>
      <c r="I35" s="313" t="s">
        <v>7484</v>
      </c>
      <c r="J35" s="136" t="s">
        <v>7486</v>
      </c>
      <c r="K35" s="320" t="str">
        <f>IFERROR(__xludf.DUMMYFUNCTION("GOOGLETRANSLATE(A35,""zh-tw"",""KO"")"),"티파티 폴라로이드 컬렉션")</f>
        <v>티파티 폴라로이드 컬렉션</v>
      </c>
      <c r="L35" s="142" t="str">
        <f>IFERROR(__xludf.DUMMYFUNCTION("GOOGLETRANSLATE(B35,""zh-tw"",""KO"")"),"완료 시 행운 수치 증가")</f>
        <v>완료 시 행운 수치 증가</v>
      </c>
      <c r="M35" s="320" t="str">
        <f>IFERROR(__xludf.DUMMYFUNCTION("GOOGLETRANSLATE(A35,""zh-tw"",""ru"")"),"Коллекция Polaroid «Чаепитие»")</f>
        <v>Коллекция Polaroid «Чаепитие»</v>
      </c>
      <c r="N35" s="142" t="str">
        <f>IFERROR(__xludf.DUMMYFUNCTION("GOOGLETRANSLATE(B35,""zh-tw"",""ru"")"),"Увеличьте значение удачи после завершения")</f>
        <v>Увеличьте значение удачи после завершения</v>
      </c>
      <c r="O35" s="313" t="s">
        <v>7487</v>
      </c>
      <c r="P35" s="136" t="s">
        <v>7488</v>
      </c>
      <c r="Q35" s="313" t="s">
        <v>7489</v>
      </c>
      <c r="R35" s="136" t="s">
        <v>7490</v>
      </c>
      <c r="S35" s="336" t="s">
        <v>7491</v>
      </c>
      <c r="T35" s="142" t="s">
        <v>7492</v>
      </c>
      <c r="U35" s="30"/>
      <c r="V35" s="30"/>
    </row>
    <row r="36">
      <c r="A36" s="313" t="s">
        <v>7493</v>
      </c>
      <c r="B36" s="136" t="s">
        <v>7494</v>
      </c>
      <c r="C36" s="313" t="s">
        <v>7495</v>
      </c>
      <c r="D36" s="136" t="s">
        <v>7496</v>
      </c>
      <c r="E36" s="313" t="s">
        <v>7491</v>
      </c>
      <c r="F36" s="136" t="s">
        <v>7497</v>
      </c>
      <c r="G36" s="313" t="str">
        <f>IFERROR(__xludf.DUMMYFUNCTION("GOOGLETRANSLATE(A36,""zh-tw"",""zh"")"),"魔力小凝胶")</f>
        <v>魔力小凝胶</v>
      </c>
      <c r="H36" s="136" t="str">
        <f>IFERROR(__xludf.DUMMYFUNCTION("GOOGLETRANSLATE(B36,""zh-tw"",""zh"")"),"扩充格子")</f>
        <v>扩充格子</v>
      </c>
      <c r="I36" s="313" t="s">
        <v>7498</v>
      </c>
      <c r="J36" s="136" t="s">
        <v>7499</v>
      </c>
      <c r="K36" s="314" t="s">
        <v>7500</v>
      </c>
      <c r="L36" s="142" t="str">
        <f>IFERROR(__xludf.DUMMYFUNCTION("GOOGLETRANSLATE(B36,""zh-tw"",""KO"")"),"그리드 확장")</f>
        <v>그리드 확장</v>
      </c>
      <c r="M36" s="320" t="str">
        <f>IFERROR(__xludf.DUMMYFUNCTION("GOOGLETRANSLATE(A36,""zh-tw"",""ru"")"),"Волшебный гель")</f>
        <v>Волшебный гель</v>
      </c>
      <c r="N36" s="142" t="str">
        <f>IFERROR(__xludf.DUMMYFUNCTION("GOOGLETRANSLATE(B36,""zh-tw"",""ru"")"),"Развернуть сетку")</f>
        <v>Развернуть сетку</v>
      </c>
      <c r="O36" s="313" t="s">
        <v>7501</v>
      </c>
      <c r="P36" s="136" t="s">
        <v>7502</v>
      </c>
      <c r="Q36" s="321" t="s">
        <v>7503</v>
      </c>
      <c r="R36" s="51" t="s">
        <v>7504</v>
      </c>
      <c r="S36" s="320" t="s">
        <v>7505</v>
      </c>
      <c r="T36" s="142" t="s">
        <v>7506</v>
      </c>
      <c r="U36" s="30"/>
      <c r="V36" s="30"/>
    </row>
    <row r="37">
      <c r="A37" s="313" t="s">
        <v>7507</v>
      </c>
      <c r="B37" s="136" t="s">
        <v>7508</v>
      </c>
      <c r="C37" s="313" t="s">
        <v>7509</v>
      </c>
      <c r="D37" s="136" t="s">
        <v>7510</v>
      </c>
      <c r="E37" s="313" t="s">
        <v>7511</v>
      </c>
      <c r="F37" s="136" t="s">
        <v>7512</v>
      </c>
      <c r="G37" s="313" t="str">
        <f>IFERROR(__xludf.DUMMYFUNCTION("GOOGLETRANSLATE(A37,""zh-tw"",""zh"")"),"百合同人本")</f>
        <v>百合同人本</v>
      </c>
      <c r="H37" s="136" t="str">
        <f>IFERROR(__xludf.DUMMYFUNCTION("GOOGLETRANSLATE(B37,""zh-tw"",""zh"")"),"提升性欲
(战车商店贩售)")</f>
        <v>提升性欲
(战车商店贩售)</v>
      </c>
      <c r="I37" s="313" t="s">
        <v>7513</v>
      </c>
      <c r="J37" s="136" t="s">
        <v>7514</v>
      </c>
      <c r="K37" s="320" t="str">
        <f>IFERROR(__xludf.DUMMYFUNCTION("GOOGLETRANSLATE(A37,""zh-tw"",""KO"")"),"바이헤헤헤헤헤")</f>
        <v>바이헤헤헤헤헤</v>
      </c>
      <c r="L37" s="136" t="s">
        <v>7515</v>
      </c>
      <c r="M37" s="320" t="str">
        <f>IFERROR(__xludf.DUMMYFUNCTION("GOOGLETRANSLATE(A37,""zh-tw"",""ru"")"),"Байхехехехе")</f>
        <v>Байхехехехе</v>
      </c>
      <c r="N37" s="142" t="str">
        <f>IFERROR(__xludf.DUMMYFUNCTION("GOOGLETRANSLATE(B37,""zh-tw"",""ru"")"),"Повышает либидо
(Продаётся в магазине Tank Shop)")</f>
        <v>Повышает либидо
(Продаётся в магазине Tank Shop)</v>
      </c>
      <c r="O37" s="313" t="s">
        <v>7516</v>
      </c>
      <c r="P37" s="136" t="s">
        <v>7517</v>
      </c>
      <c r="Q37" s="321" t="s">
        <v>7518</v>
      </c>
      <c r="R37" s="51" t="s">
        <v>7519</v>
      </c>
      <c r="S37" s="320" t="s">
        <v>7518</v>
      </c>
      <c r="T37" s="142" t="s">
        <v>7520</v>
      </c>
      <c r="U37" s="30"/>
      <c r="V37" s="30"/>
    </row>
    <row r="38">
      <c r="A38" s="313" t="s">
        <v>7521</v>
      </c>
      <c r="B38" s="136" t="s">
        <v>7508</v>
      </c>
      <c r="C38" s="313" t="s">
        <v>7522</v>
      </c>
      <c r="D38" s="136" t="s">
        <v>7523</v>
      </c>
      <c r="E38" s="313" t="s">
        <v>7524</v>
      </c>
      <c r="F38" s="136" t="s">
        <v>7512</v>
      </c>
      <c r="G38" s="313" t="str">
        <f>IFERROR(__xludf.DUMMYFUNCTION("GOOGLETRANSLATE(A38,""zh-tw"",""zh"")"),"萌萌同人本")</f>
        <v>萌萌同人本</v>
      </c>
      <c r="H38" s="136" t="str">
        <f>IFERROR(__xludf.DUMMYFUNCTION("GOOGLETRANSLATE(B38,""zh-tw"",""zh"")"),"提升性欲
(战车商店贩售)")</f>
        <v>提升性欲
(战车商店贩售)</v>
      </c>
      <c r="I38" s="313" t="s">
        <v>7525</v>
      </c>
      <c r="J38" s="136" t="s">
        <v>7514</v>
      </c>
      <c r="K38" s="314" t="s">
        <v>7500</v>
      </c>
      <c r="L38" s="142" t="str">
        <f>IFERROR(__xludf.DUMMYFUNCTION("GOOGLETRANSLATE(B38,""zh-tw"",""KO"")"),"성욕 증진
(탱크샵에서 구매 가능)")</f>
        <v>성욕 증진
(탱크샵에서 구매 가능)</v>
      </c>
      <c r="M38" s="320" t="str">
        <f>IFERROR(__xludf.DUMMYFUNCTION("GOOGLETRANSLATE(A38,""zh-tw"",""ru"")"),"Милый додзинси")</f>
        <v>Милый додзинси</v>
      </c>
      <c r="N38" s="142" t="str">
        <f>IFERROR(__xludf.DUMMYFUNCTION("GOOGLETRANSLATE(B38,""zh-tw"",""ru"")"),"Повышает либидо
(Продаётся в магазине Tank Shop)")</f>
        <v>Повышает либидо
(Продаётся в магазине Tank Shop)</v>
      </c>
      <c r="O38" s="313" t="s">
        <v>7501</v>
      </c>
      <c r="P38" s="136" t="s">
        <v>7502</v>
      </c>
      <c r="Q38" s="321" t="s">
        <v>7526</v>
      </c>
      <c r="R38" s="51" t="s">
        <v>7519</v>
      </c>
      <c r="S38" s="320" t="s">
        <v>7526</v>
      </c>
      <c r="T38" s="142" t="s">
        <v>7520</v>
      </c>
      <c r="U38" s="30"/>
      <c r="V38" s="30"/>
    </row>
    <row r="39">
      <c r="A39" s="313" t="s">
        <v>7527</v>
      </c>
      <c r="B39" s="136" t="s">
        <v>7528</v>
      </c>
      <c r="C39" s="313" t="s">
        <v>7529</v>
      </c>
      <c r="D39" s="136" t="s">
        <v>7530</v>
      </c>
      <c r="E39" s="313" t="s">
        <v>7531</v>
      </c>
      <c r="F39" s="136" t="s">
        <v>7532</v>
      </c>
      <c r="G39" s="313" t="str">
        <f>IFERROR(__xludf.DUMMYFUNCTION("GOOGLETRANSLATE(A39,""zh-tw"",""zh"")"),"电风扇")</f>
        <v>电风扇</v>
      </c>
      <c r="H39" s="136" t="str">
        <f>IFERROR(__xludf.DUMMYFUNCTION("GOOGLETRANSLATE(B39,""zh-tw"",""zh"")"),"炎热剧情道具
(战车商店贩售)")</f>
        <v>炎热剧情道具
(战车商店贩售)</v>
      </c>
      <c r="I39" s="313" t="s">
        <v>7533</v>
      </c>
      <c r="J39" s="136" t="s">
        <v>7534</v>
      </c>
      <c r="K39" s="320" t="str">
        <f>IFERROR(__xludf.DUMMYFUNCTION("GOOGLETRANSLATE(A39,""zh-tw"",""KO"")"),"선풍기")</f>
        <v>선풍기</v>
      </c>
      <c r="L39" s="136" t="s">
        <v>7515</v>
      </c>
      <c r="M39" s="320" t="str">
        <f>IFERROR(__xludf.DUMMYFUNCTION("GOOGLETRANSLATE(A39,""zh-tw"",""ru"")"),"электрический вентилятор")</f>
        <v>электрический вентилятор</v>
      </c>
      <c r="N39" s="142" t="str">
        <f>IFERROR(__xludf.DUMMYFUNCTION("GOOGLETRANSLATE(B39,""zh-tw"",""ru"")"),"Предметы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9" s="313" t="s">
        <v>7516</v>
      </c>
      <c r="P39" s="136" t="s">
        <v>7517</v>
      </c>
      <c r="Q39" s="321" t="s">
        <v>7535</v>
      </c>
      <c r="R39" s="51" t="s">
        <v>7536</v>
      </c>
      <c r="S39" s="320" t="s">
        <v>7537</v>
      </c>
      <c r="T39" s="142" t="s">
        <v>7538</v>
      </c>
      <c r="U39" s="30"/>
      <c r="V39" s="30"/>
    </row>
    <row r="40">
      <c r="A40" s="321" t="s">
        <v>7539</v>
      </c>
      <c r="B40" s="142" t="s">
        <v>7540</v>
      </c>
      <c r="C40" s="313" t="s">
        <v>7541</v>
      </c>
      <c r="D40" s="136" t="s">
        <v>7542</v>
      </c>
      <c r="E40" s="320" t="s">
        <v>7543</v>
      </c>
      <c r="F40" s="142" t="s">
        <v>7544</v>
      </c>
      <c r="G40" s="313" t="str">
        <f>IFERROR(__xludf.DUMMYFUNCTION("GOOGLETRANSLATE(A40,""zh-tw"",""zh"")"),"茶点心券")</f>
        <v>茶点心券</v>
      </c>
      <c r="H40" s="136" t="str">
        <f>IFERROR(__xludf.DUMMYFUNCTION("GOOGLETRANSLATE(B40,""zh-tw"",""zh"")"),"于扭蛋机取得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40" s="313" t="s">
        <v>7545</v>
      </c>
      <c r="J40" s="136" t="s">
        <v>7546</v>
      </c>
      <c r="K40" s="320" t="str">
        <f>IFERROR(__xludf.DUMMYFUNCTION("GOOGLETRANSLATE(A40,""zh-tw"",""KO"")"),"차와 간식 쿠폰")</f>
        <v>차와 간식 쿠폰</v>
      </c>
      <c r="L40" s="142" t="str">
        <f>IFERROR(__xludf.DUMMYFUNCTION("GOOGLETRANSLATE(B40,""zh-tw"",""KO"")"),"가샤폰 기계에서 획득합니다.
다음 사용 시 골드 가샤폰을 획득할 수 있습니다.
(가샤폰 기계가 폭발할 때 얻는 보너스 포인트가 많을수록 ""차와 간식 티켓""을 획득하기가 더 쉬워집니다.)")</f>
        <v>가샤폰 기계에서 획득합니다.
다음 사용 시 골드 가샤폰을 획득할 수 있습니다.
(가샤폰 기계가 폭발할 때 얻는 보너스 포인트가 많을수록 "차와 간식 티켓"을 획득하기가 더 쉬워집니다.)</v>
      </c>
      <c r="M40" s="320" t="str">
        <f>IFERROR(__xludf.DUMMYFUNCTION("GOOGLETRANSLATE(A40,""zh-tw"",""ru"")"),"Купоны на чай и закуски")</f>
        <v>Купоны на чай и закуски</v>
      </c>
      <c r="N40" s="142" t="str">
        <f>IFERROR(__xludf.DUMMYFUNCTION("GOOGLETRANSLATE(B40,""zh-tw"",""ru"")"),"Получается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40" s="313" t="s">
        <v>7547</v>
      </c>
      <c r="P40" s="136" t="s">
        <v>7548</v>
      </c>
      <c r="Q40" s="321" t="s">
        <v>7549</v>
      </c>
      <c r="R40" s="136" t="s">
        <v>7550</v>
      </c>
      <c r="S40" s="320" t="s">
        <v>7551</v>
      </c>
      <c r="T40" s="142" t="s">
        <v>7552</v>
      </c>
      <c r="U40" s="30"/>
      <c r="V40" s="30"/>
    </row>
    <row r="41">
      <c r="A41" s="313" t="s">
        <v>7553</v>
      </c>
      <c r="B41" s="136" t="s">
        <v>7554</v>
      </c>
      <c r="C41" s="313" t="s">
        <v>7555</v>
      </c>
      <c r="D41" s="136" t="s">
        <v>7556</v>
      </c>
      <c r="E41" s="313" t="s">
        <v>7557</v>
      </c>
      <c r="F41" s="136" t="s">
        <v>7558</v>
      </c>
      <c r="G41" s="313" t="str">
        <f>IFERROR(__xludf.DUMMYFUNCTION("GOOGLETRANSLATE(A41,""zh-tw"",""zh"")"),"超敏软Q水馒头")</f>
        <v>超敏软Q水馒头</v>
      </c>
      <c r="H41" s="136" t="str">
        <f>IFERROR(__xludf.DUMMYFUNCTION("GOOGLETRANSLATE(B41,""zh-tw"",""zh"")"),"于AKI商店购买
提升敏感度")</f>
        <v>于AKI商店购买
提升敏感度</v>
      </c>
      <c r="I41" s="313" t="s">
        <v>7559</v>
      </c>
      <c r="J41" s="136" t="s">
        <v>7560</v>
      </c>
      <c r="K41" s="320" t="str">
        <f>IFERROR(__xludf.DUMMYFUNCTION("GOOGLETRANSLATE(A41,""zh-tw"",""KO"")"),"초민감성 부드럽고 쫄깃한 찐빵")</f>
        <v>초민감성 부드럽고 쫄깃한 찐빵</v>
      </c>
      <c r="L41" s="142" t="str">
        <f>IFERROR(__xludf.DUMMYFUNCTION("GOOGLETRANSLATE(B41,""zh-tw"",""KO"")"),"AKI 스토어에서 구매
민감도 증가")</f>
        <v>AKI 스토어에서 구매
민감도 증가</v>
      </c>
      <c r="M41" s="320" t="str">
        <f>IFERROR(__xludf.DUMMYFUNCTION("GOOGLETRANSLATE(A41,""zh-tw"",""ru"")"),"Суперчувствительные, мягкие и жевательные паровые булочки")</f>
        <v>Суперчувствительные, мягкие и жевательные паровые булочки</v>
      </c>
      <c r="N41" s="142" t="str">
        <f>IFERROR(__xludf.DUMMYFUNCTION("GOOGLETRANSLATE(B41,""zh-tw"",""ru"")"),"Куплено в магазине AKI
Повышает чувствительность")</f>
        <v>Куплено в магазине AKI
Повышает чувствительность</v>
      </c>
      <c r="O41" s="313" t="s">
        <v>7561</v>
      </c>
      <c r="P41" s="136" t="s">
        <v>7562</v>
      </c>
      <c r="Q41" s="321" t="s">
        <v>7563</v>
      </c>
      <c r="R41" s="51" t="s">
        <v>7564</v>
      </c>
      <c r="S41" s="320" t="s">
        <v>7565</v>
      </c>
      <c r="T41" s="142" t="s">
        <v>7566</v>
      </c>
      <c r="U41" s="30"/>
      <c r="V41" s="30"/>
    </row>
    <row r="42">
      <c r="A42" s="313" t="s">
        <v>7567</v>
      </c>
      <c r="B42" s="136" t="s">
        <v>7568</v>
      </c>
      <c r="C42" s="313" t="s">
        <v>7569</v>
      </c>
      <c r="D42" s="142" t="str">
        <f>IFERROR(__xludf.DUMMYFUNCTION("GOOGLETRANSLATE(B42,""zh-tw"",""ja"")"),"現時点では（宝石を）引き換える方法はありません。")</f>
        <v>現時点では（宝石を）引き換える方法はありません。</v>
      </c>
      <c r="E42" s="313" t="s">
        <v>7570</v>
      </c>
      <c r="F42" s="136" t="s">
        <v>7571</v>
      </c>
      <c r="G42" s="313" t="str">
        <f>IFERROR(__xludf.DUMMYFUNCTION("GOOGLETRANSLATE(A42,""zh-tw"",""zh"")"),"蓝辉石")</f>
        <v>蓝辉石</v>
      </c>
      <c r="H42" s="136" t="str">
        <f>IFERROR(__xludf.DUMMYFUNCTION("GOOGLETRANSLATE(B42,""zh-tw"",""zh"")"),"目前没有兑换方式
(宝石)")</f>
        <v>目前没有兑换方式
(宝石)</v>
      </c>
      <c r="I42" s="313" t="s">
        <v>7572</v>
      </c>
      <c r="J42" s="136" t="s">
        <v>7573</v>
      </c>
      <c r="K42" s="320" t="str">
        <f>IFERROR(__xludf.DUMMYFUNCTION("GOOGLETRANSLATE(A42,""zh-tw"",""KO"")"),"블루 사파이어")</f>
        <v>블루 사파이어</v>
      </c>
      <c r="L42" s="142" t="str">
        <f>IFERROR(__xludf.DUMMYFUNCTION("GOOGLETRANSLATE(B42,""zh-tw"",""KO"")"),"현재로선 (보석)을 교환할 방법이 없습니다.")</f>
        <v>현재로선 (보석)을 교환할 방법이 없습니다.</v>
      </c>
      <c r="M42" s="320" t="str">
        <f>IFERROR(__xludf.DUMMYFUNCTION("GOOGLETRANSLATE(A42,""zh-tw"",""ru"")"),"Синий сапфир")</f>
        <v>Синий сапфир</v>
      </c>
      <c r="N42" s="142"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14" t="s">
        <v>7574</v>
      </c>
      <c r="P42" s="315" t="s">
        <v>7575</v>
      </c>
      <c r="Q42" s="313" t="s">
        <v>7576</v>
      </c>
      <c r="R42" s="51" t="s">
        <v>7577</v>
      </c>
      <c r="S42" s="336" t="s">
        <v>7570</v>
      </c>
      <c r="T42" s="142" t="s">
        <v>7578</v>
      </c>
      <c r="U42" s="30"/>
      <c r="V42" s="30"/>
    </row>
    <row r="43">
      <c r="A43" s="313" t="s">
        <v>7579</v>
      </c>
      <c r="B43" s="136" t="s">
        <v>7568</v>
      </c>
      <c r="C43" s="313" t="s">
        <v>7580</v>
      </c>
      <c r="D43" s="136" t="s">
        <v>7581</v>
      </c>
      <c r="E43" s="313" t="s">
        <v>7582</v>
      </c>
      <c r="F43" s="136" t="s">
        <v>2225</v>
      </c>
      <c r="G43" s="313" t="str">
        <f>IFERROR(__xludf.DUMMYFUNCTION("GOOGLETRANSLATE(A43,""zh-tw"",""zh"")"),"火菱石")</f>
        <v>火菱石</v>
      </c>
      <c r="H43" s="136" t="str">
        <f>IFERROR(__xludf.DUMMYFUNCTION("GOOGLETRANSLATE(B43,""zh-tw"",""zh"")"),"目前没有兑换方式
(宝石)")</f>
        <v>目前没有兑换方式
(宝石)</v>
      </c>
      <c r="I43" s="313" t="s">
        <v>7583</v>
      </c>
      <c r="J43" s="136" t="s">
        <v>7584</v>
      </c>
      <c r="K43" s="320" t="str">
        <f>IFERROR(__xludf.DUMMYFUNCTION("GOOGLETRANSLATE(A43,""zh-tw"",""KO"")"),"파이어스톤")</f>
        <v>파이어스톤</v>
      </c>
      <c r="L43" s="142" t="str">
        <f>IFERROR(__xludf.DUMMYFUNCTION("GOOGLETRANSLATE(B43,""zh-tw"",""KO"")"),"현재로선 (보석)을 교환할 방법이 없습니다.")</f>
        <v>현재로선 (보석)을 교환할 방법이 없습니다.</v>
      </c>
      <c r="M43" s="320" t="str">
        <f>IFERROR(__xludf.DUMMYFUNCTION("GOOGLETRANSLATE(A43,""zh-tw"",""ru"")"),"Файрстоун")</f>
        <v>Файрстоун</v>
      </c>
      <c r="N43" s="142" t="str">
        <f>IFERROR(__xludf.DUMMYFUNCTION("GOOGLETRANSLATE(B43,""zh-tw"",""ru"")"),"В настоящее время нет возможности выкупа (драгоценных камней).")</f>
        <v>В настоящее время нет возможности выкупа (драгоценных камней).</v>
      </c>
      <c r="O43" s="313" t="s">
        <v>7585</v>
      </c>
      <c r="P43" s="136" t="s">
        <v>7586</v>
      </c>
      <c r="Q43" s="313" t="s">
        <v>7587</v>
      </c>
      <c r="R43" s="51" t="s">
        <v>2232</v>
      </c>
      <c r="S43" s="336" t="s">
        <v>7582</v>
      </c>
      <c r="T43" s="142" t="s">
        <v>7588</v>
      </c>
      <c r="U43" s="30"/>
      <c r="V43" s="30"/>
    </row>
    <row r="44">
      <c r="A44" s="313" t="s">
        <v>7589</v>
      </c>
      <c r="B44" s="136" t="s">
        <v>7590</v>
      </c>
      <c r="C44" s="313" t="s">
        <v>7591</v>
      </c>
      <c r="D44" s="136" t="s">
        <v>7592</v>
      </c>
      <c r="E44" s="313" t="s">
        <v>7593</v>
      </c>
      <c r="F44" s="136" t="s">
        <v>7594</v>
      </c>
      <c r="G44" s="313" t="str">
        <f>IFERROR(__xludf.DUMMYFUNCTION("GOOGLETRANSLATE(A44,""zh-tw"",""zh"")"),"银坷拉")</f>
        <v>银坷拉</v>
      </c>
      <c r="H44" s="136" t="str">
        <f>IFERROR(__xludf.DUMMYFUNCTION("GOOGLETRANSLATE(B44,""zh-tw"",""zh"")"),"诱饵/粉尘爆炸")</f>
        <v>诱饵/粉尘爆炸</v>
      </c>
      <c r="I44" s="313" t="s">
        <v>7593</v>
      </c>
      <c r="J44" s="136" t="s">
        <v>7595</v>
      </c>
      <c r="K44" s="320" t="str">
        <f>IFERROR(__xludf.DUMMYFUNCTION("GOOGLETRANSLATE(A44,""zh-tw"",""KO"")"),"인 켈라")</f>
        <v>인 켈라</v>
      </c>
      <c r="L44" s="142" t="str">
        <f>IFERROR(__xludf.DUMMYFUNCTION("GOOGLETRANSLATE(B44,""zh-tw"",""KO"")"),"미끼/먼지 폭발")</f>
        <v>미끼/먼지 폭발</v>
      </c>
      <c r="M44" s="320" t="str">
        <f>IFERROR(__xludf.DUMMYFUNCTION("GOOGLETRANSLATE(A44,""zh-tw"",""ru"")"),"Инь Кела")</f>
        <v>Инь Кела</v>
      </c>
      <c r="N44" s="142" t="str">
        <f>IFERROR(__xludf.DUMMYFUNCTION("GOOGLETRANSLATE(B44,""zh-tw"",""ru"")"),"Ложный/пылевой взрыв")</f>
        <v>Ложный/пылевой взрыв</v>
      </c>
      <c r="O44" s="313" t="s">
        <v>7593</v>
      </c>
      <c r="P44" s="136" t="s">
        <v>7596</v>
      </c>
      <c r="Q44" s="313" t="s">
        <v>7593</v>
      </c>
      <c r="R44" s="136" t="s">
        <v>7597</v>
      </c>
      <c r="S44" s="320" t="s">
        <v>7593</v>
      </c>
      <c r="T44" s="142" t="s">
        <v>7598</v>
      </c>
      <c r="U44" s="30"/>
      <c r="V44" s="30"/>
    </row>
    <row r="45">
      <c r="A45" s="313" t="s">
        <v>7599</v>
      </c>
      <c r="B45" s="136" t="s">
        <v>7600</v>
      </c>
      <c r="C45" s="313" t="s">
        <v>7601</v>
      </c>
      <c r="D45" s="136" t="s">
        <v>7602</v>
      </c>
      <c r="E45" s="313" t="s">
        <v>7603</v>
      </c>
      <c r="F45" s="136" t="s">
        <v>7604</v>
      </c>
      <c r="G45" s="313" t="str">
        <f>IFERROR(__xludf.DUMMYFUNCTION("GOOGLETRANSLATE(A45,""zh-tw"",""zh"")"),"冒险者心得")</f>
        <v>冒险者心得</v>
      </c>
      <c r="H45" s="136" t="str">
        <f>IFERROR(__xludf.DUMMYFUNCTION("GOOGLETRANSLATE(B45,""zh-tw"",""zh"")"),"攻略心得(部分地区可能需要连国外网路)")</f>
        <v>攻略心得(部分地区可能需要连国外网路)</v>
      </c>
      <c r="I45" s="313" t="s">
        <v>7605</v>
      </c>
      <c r="J45" s="136" t="s">
        <v>7606</v>
      </c>
      <c r="K45" s="320" t="str">
        <f>IFERROR(__xludf.DUMMYFUNCTION("GOOGLETRANSLATE(A45,""zh-tw"",""KO"")"),"모험가의 팁")</f>
        <v>모험가의 팁</v>
      </c>
      <c r="L45" s="142" t="str">
        <f>IFERROR(__xludf.DUMMYFUNCTION("GOOGLETRANSLATE(B45,""zh-tw"",""KO"")"),"여행 팁(일부 지역에서는 국제 인터넷 연결이 필요할 수 있음)")</f>
        <v>여행 팁(일부 지역에서는 국제 인터넷 연결이 필요할 수 있음)</v>
      </c>
      <c r="M45" s="320" t="str">
        <f>IFERROR(__xludf.DUMMYFUNCTION("GOOGLETRANSLATE(A45,""zh-tw"",""ru"")"),"Советы искателя приключений")</f>
        <v>Советы искателя приключений</v>
      </c>
      <c r="N45" s="142"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13" t="s">
        <v>7607</v>
      </c>
      <c r="P45" s="136" t="s">
        <v>7608</v>
      </c>
      <c r="Q45" s="313" t="s">
        <v>7609</v>
      </c>
      <c r="R45" s="136" t="s">
        <v>7610</v>
      </c>
      <c r="S45" s="320" t="s">
        <v>7611</v>
      </c>
      <c r="T45" s="142" t="s">
        <v>7612</v>
      </c>
      <c r="U45" s="30"/>
      <c r="V45" s="30"/>
    </row>
    <row r="46">
      <c r="A46" s="313" t="s">
        <v>7613</v>
      </c>
      <c r="B46" s="136" t="s">
        <v>7614</v>
      </c>
      <c r="C46" s="313" t="s">
        <v>7615</v>
      </c>
      <c r="D46" s="136" t="s">
        <v>7616</v>
      </c>
      <c r="E46" s="313" t="s">
        <v>7617</v>
      </c>
      <c r="F46" s="136" t="s">
        <v>7618</v>
      </c>
      <c r="G46" s="313" t="str">
        <f>IFERROR(__xludf.DUMMYFUNCTION("GOOGLETRANSLATE(A46,""zh-tw"",""zh"")"),"兔子地图")</f>
        <v>兔子地图</v>
      </c>
      <c r="H46" s="136" t="str">
        <f>IFERROR(__xludf.DUMMYFUNCTION("GOOGLETRANSLATE(B46,""zh-tw"",""zh"")"),"游戏地图(部分地区可能需要连国外网路)")</f>
        <v>游戏地图(部分地区可能需要连国外网路)</v>
      </c>
      <c r="I46" s="320" t="str">
        <f>IFERROR(__xludf.DUMMYFUNCTION("GOOGLETRANSLATE(A46,""zh-tw"",""es-MX"")"),"Mapa del conejo")</f>
        <v>Mapa del conejo</v>
      </c>
      <c r="J46" s="136" t="s">
        <v>7619</v>
      </c>
      <c r="K46" s="320" t="str">
        <f>IFERROR(__xludf.DUMMYFUNCTION("GOOGLETRANSLATE(A46,""zh-tw"",""KO"")"),"토끼 지도")</f>
        <v>토끼 지도</v>
      </c>
      <c r="L46" s="142" t="str">
        <f>IFERROR(__xludf.DUMMYFUNCTION("GOOGLETRANSLATE(B46,""zh-tw"",""KO"")"),"게임 맵(일부 지역에서는 국제 인터넷 연결이 필요할 수 있음)")</f>
        <v>게임 맵(일부 지역에서는 국제 인터넷 연결이 필요할 수 있음)</v>
      </c>
      <c r="M46" s="320" t="str">
        <f>IFERROR(__xludf.DUMMYFUNCTION("GOOGLETRANSLATE(A46,""zh-tw"",""ru"")"),"Карта кроликов")</f>
        <v>Карта кроликов</v>
      </c>
      <c r="N46" s="142"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13" t="s">
        <v>7620</v>
      </c>
      <c r="P46" s="136" t="s">
        <v>7621</v>
      </c>
      <c r="Q46" s="313" t="s">
        <v>7622</v>
      </c>
      <c r="R46" s="136" t="s">
        <v>7623</v>
      </c>
      <c r="S46" s="320" t="s">
        <v>7624</v>
      </c>
      <c r="T46" s="142" t="s">
        <v>7625</v>
      </c>
      <c r="U46" s="30"/>
      <c r="V46" s="30"/>
    </row>
    <row r="47">
      <c r="A47" s="313" t="s">
        <v>7626</v>
      </c>
      <c r="B47" s="136" t="s">
        <v>7627</v>
      </c>
      <c r="C47" s="313" t="s">
        <v>7628</v>
      </c>
      <c r="D47" s="136" t="s">
        <v>7629</v>
      </c>
      <c r="E47" s="313" t="s">
        <v>7630</v>
      </c>
      <c r="F47" s="136" t="s">
        <v>7631</v>
      </c>
      <c r="G47" s="313" t="str">
        <f>IFERROR(__xludf.DUMMYFUNCTION("GOOGLETRANSLATE(A47,""zh-tw"",""zh"")"),"红髓液")</f>
        <v>红髓液</v>
      </c>
      <c r="H47" s="136" t="str">
        <f>IFERROR(__xludf.DUMMYFUNCTION("GOOGLETRANSLATE(B47,""zh-tw"",""zh"")"),"使用于治疗妹妹")</f>
        <v>使用于治疗妹妹</v>
      </c>
      <c r="I47" s="313" t="s">
        <v>7632</v>
      </c>
      <c r="J47" s="136" t="s">
        <v>7633</v>
      </c>
      <c r="K47" s="320" t="str">
        <f>IFERROR(__xludf.DUMMYFUNCTION("GOOGLETRANSLATE(A47,""zh-tw"",""KO"")"),"적골수액")</f>
        <v>적골수액</v>
      </c>
      <c r="L47" s="142" t="str">
        <f>IFERROR(__xludf.DUMMYFUNCTION("GOOGLETRANSLATE(B47,""zh-tw"",""KO"")"),"내 여동생을 치료하는 데 사용")</f>
        <v>내 여동생을 치료하는 데 사용</v>
      </c>
      <c r="M47" s="320" t="str">
        <f>IFERROR(__xludf.DUMMYFUNCTION("GOOGLETRANSLATE(A47,""zh-tw"",""ru"")"),"Красная костномозговая жидкость")</f>
        <v>Красная костномозговая жидкость</v>
      </c>
      <c r="N47" s="142" t="str">
        <f>IFERROR(__xludf.DUMMYFUNCTION("GOOGLETRANSLATE(B47,""zh-tw"",""ru"")"),"Использовался для лечения моей сестры.")</f>
        <v>Использовался для лечения моей сестры.</v>
      </c>
      <c r="O47" s="313" t="s">
        <v>7634</v>
      </c>
      <c r="P47" s="136" t="s">
        <v>7635</v>
      </c>
      <c r="Q47" s="313" t="s">
        <v>7636</v>
      </c>
      <c r="R47" s="136" t="s">
        <v>7637</v>
      </c>
      <c r="S47" s="320" t="s">
        <v>7638</v>
      </c>
      <c r="T47" s="142" t="s">
        <v>7639</v>
      </c>
      <c r="U47" s="30"/>
      <c r="V47" s="30"/>
    </row>
    <row r="48">
      <c r="A48" s="313" t="s">
        <v>7640</v>
      </c>
      <c r="B48" s="136" t="s">
        <v>7641</v>
      </c>
      <c r="C48" s="313" t="s">
        <v>7642</v>
      </c>
      <c r="D48" s="136" t="s">
        <v>7643</v>
      </c>
      <c r="E48" s="313" t="s">
        <v>7644</v>
      </c>
      <c r="F48" s="136" t="s">
        <v>7645</v>
      </c>
      <c r="G48" s="313" t="str">
        <f>IFERROR(__xludf.DUMMYFUNCTION("GOOGLETRANSLATE(A48,""zh-tw"",""zh"")"),"什么都行券")</f>
        <v>什么都行券</v>
      </c>
      <c r="H48" s="136" t="str">
        <f>IFERROR(__xludf.DUMMYFUNCTION("GOOGLETRANSLATE(B48,""zh-tw"",""zh"")"),"使用于SLG相关的事件")</f>
        <v>使用于SLG相关的事件</v>
      </c>
      <c r="I48" s="313" t="s">
        <v>7646</v>
      </c>
      <c r="J48" s="136" t="s">
        <v>7647</v>
      </c>
      <c r="K48" s="320" t="str">
        <f>IFERROR(__xludf.DUMMYFUNCTION("GOOGLETRANSLATE(A48,""zh-tw"",""KO"")"),"무엇이든 쿠폰")</f>
        <v>무엇이든 쿠폰</v>
      </c>
      <c r="L48" s="142" t="str">
        <f>IFERROR(__xludf.DUMMYFUNCTION("GOOGLETRANSLATE(B48,""zh-tw"",""KO"")"),"SLG 관련 이벤트")</f>
        <v>SLG 관련 이벤트</v>
      </c>
      <c r="M48" s="320" t="str">
        <f>IFERROR(__xludf.DUMMYFUNCTION("GOOGLETRANSLATE(A48,""zh-tw"",""ru"")"),"Купон на что угодно")</f>
        <v>Купон на что угодно</v>
      </c>
      <c r="N48" s="142" t="str">
        <f>IFERROR(__xludf.DUMMYFUNCTION("GOOGLETRANSLATE(B48,""zh-tw"",""ru"")"),"События, связанные с SLG")</f>
        <v>События, связанные с SLG</v>
      </c>
      <c r="O48" s="313" t="s">
        <v>7648</v>
      </c>
      <c r="P48" s="136" t="s">
        <v>7649</v>
      </c>
      <c r="Q48" s="313" t="s">
        <v>7650</v>
      </c>
      <c r="R48" s="136" t="s">
        <v>7651</v>
      </c>
      <c r="S48" s="320" t="s">
        <v>7652</v>
      </c>
      <c r="T48" s="142" t="s">
        <v>7653</v>
      </c>
      <c r="U48" s="30"/>
      <c r="V48" s="30"/>
    </row>
    <row r="49">
      <c r="A49" s="354" t="s">
        <v>7654</v>
      </c>
      <c r="B49" s="355" t="s">
        <v>7655</v>
      </c>
      <c r="C49" s="354" t="s">
        <v>7656</v>
      </c>
      <c r="D49" s="355" t="s">
        <v>7657</v>
      </c>
      <c r="E49" s="354" t="s">
        <v>7658</v>
      </c>
      <c r="F49" s="355" t="s">
        <v>7659</v>
      </c>
      <c r="G49" s="354" t="s">
        <v>7660</v>
      </c>
      <c r="H49" s="355" t="s">
        <v>7661</v>
      </c>
      <c r="I49" s="320" t="str">
        <f>IFERROR(__xludf.DUMMYFUNCTION("GOOGLETRANSLATE(A49,""zh-tw"",""es-MX"")"),"Cinta de vídeo de terror")</f>
        <v>Cinta de vídeo de terror</v>
      </c>
      <c r="J49" s="136" t="s">
        <v>7662</v>
      </c>
      <c r="K49" s="320" t="str">
        <f>IFERROR(__xludf.DUMMYFUNCTION("GOOGLETRANSLATE(A49,""zh-tw"",""KO"")"),"공포 비디오테이프")</f>
        <v>공포 비디오테이프</v>
      </c>
      <c r="L49" s="142" t="str">
        <f>IFERROR(__xludf.DUMMYFUNCTION("GOOGLETRANSLATE(B49,""zh-tw"",""KO"")"),"심야 텔레비전에 사용됨")</f>
        <v>심야 텔레비전에 사용됨</v>
      </c>
      <c r="M49" s="320" t="str">
        <f>IFERROR(__xludf.DUMMYFUNCTION("GOOGLETRANSLATE(A49,""zh-tw"",""ru"")"),"Видеокассета ужасов")</f>
        <v>Видеокассета ужасов</v>
      </c>
      <c r="N49" s="142" t="str">
        <f>IFERROR(__xludf.DUMMYFUNCTION("GOOGLETRANSLATE(B49,""zh-tw"",""ru"")"),"Используется для ночного телевидения")</f>
        <v>Используется для ночного телевидения</v>
      </c>
      <c r="O49" s="313" t="s">
        <v>7663</v>
      </c>
      <c r="P49" s="136" t="s">
        <v>7664</v>
      </c>
      <c r="Q49" s="356" t="s">
        <v>7665</v>
      </c>
      <c r="R49" s="357" t="s">
        <v>7666</v>
      </c>
      <c r="S49" s="358" t="s">
        <v>7667</v>
      </c>
      <c r="T49" s="359" t="s">
        <v>7668</v>
      </c>
      <c r="U49" s="30"/>
      <c r="V49" s="30"/>
    </row>
    <row r="50">
      <c r="A50" s="354" t="s">
        <v>7669</v>
      </c>
      <c r="B50" s="355" t="s">
        <v>7655</v>
      </c>
      <c r="C50" s="354" t="s">
        <v>7670</v>
      </c>
      <c r="D50" s="355" t="s">
        <v>7657</v>
      </c>
      <c r="E50" s="354" t="s">
        <v>7671</v>
      </c>
      <c r="F50" s="355" t="s">
        <v>7659</v>
      </c>
      <c r="G50" s="354" t="s">
        <v>7672</v>
      </c>
      <c r="H50" s="355" t="s">
        <v>7661</v>
      </c>
      <c r="I50" s="313" t="s">
        <v>7673</v>
      </c>
      <c r="J50" s="136" t="s">
        <v>7662</v>
      </c>
      <c r="K50" s="320" t="str">
        <f>IFERROR(__xludf.DUMMYFUNCTION("GOOGLETRANSLATE(A50,""zh-tw"",""KO"")"),"성인용 비디오테이프")</f>
        <v>성인용 비디오테이프</v>
      </c>
      <c r="L50" s="142" t="str">
        <f>IFERROR(__xludf.DUMMYFUNCTION("GOOGLETRANSLATE(B50,""zh-tw"",""KO"")"),"심야 텔레비전에 사용됨")</f>
        <v>심야 텔레비전에 사용됨</v>
      </c>
      <c r="M50" s="320" t="str">
        <f>IFERROR(__xludf.DUMMYFUNCTION("GOOGLETRANSLATE(A50,""zh-tw"",""ru"")"),"Видеокассеты для взрослых")</f>
        <v>Видеокассеты для взрослых</v>
      </c>
      <c r="N50" s="142" t="str">
        <f>IFERROR(__xludf.DUMMYFUNCTION("GOOGLETRANSLATE(B50,""zh-tw"",""ru"")"),"Используется для ночного телевидения")</f>
        <v>Используется для ночного телевидения</v>
      </c>
      <c r="O50" s="313" t="s">
        <v>7674</v>
      </c>
      <c r="P50" s="136" t="s">
        <v>7664</v>
      </c>
      <c r="Q50" s="356" t="s">
        <v>7675</v>
      </c>
      <c r="R50" s="357" t="s">
        <v>7666</v>
      </c>
      <c r="S50" s="358" t="s">
        <v>7676</v>
      </c>
      <c r="T50" s="359" t="s">
        <v>7668</v>
      </c>
      <c r="U50" s="30"/>
      <c r="V50" s="30"/>
    </row>
    <row r="51">
      <c r="A51" s="320"/>
      <c r="B51" s="142"/>
      <c r="C51" s="320"/>
      <c r="D51" s="142"/>
      <c r="E51" s="320"/>
      <c r="F51" s="142"/>
      <c r="G51" s="320"/>
      <c r="H51" s="142"/>
      <c r="I51" s="329"/>
      <c r="J51" s="124"/>
      <c r="K51" s="329"/>
      <c r="L51" s="124"/>
      <c r="M51" s="320"/>
      <c r="N51" s="142"/>
      <c r="O51" s="320"/>
      <c r="P51" s="142"/>
      <c r="Q51" s="321"/>
      <c r="R51" s="51"/>
      <c r="S51" s="320"/>
      <c r="T51" s="142"/>
      <c r="U51" s="30"/>
      <c r="V51" s="30"/>
    </row>
    <row r="52">
      <c r="A52" s="320"/>
      <c r="B52" s="142"/>
      <c r="C52" s="320"/>
      <c r="D52" s="142"/>
      <c r="E52" s="320"/>
      <c r="F52" s="142"/>
      <c r="G52" s="320"/>
      <c r="H52" s="142"/>
      <c r="I52" s="329"/>
      <c r="J52" s="124"/>
      <c r="K52" s="329"/>
      <c r="L52" s="124"/>
      <c r="M52" s="320"/>
      <c r="N52" s="142"/>
      <c r="O52" s="320"/>
      <c r="P52" s="142"/>
      <c r="Q52" s="321"/>
      <c r="R52" s="51"/>
      <c r="S52" s="320"/>
      <c r="T52" s="142"/>
      <c r="U52" s="30"/>
      <c r="V52" s="30"/>
    </row>
    <row r="53">
      <c r="A53" s="320"/>
      <c r="B53" s="142"/>
      <c r="C53" s="320"/>
      <c r="D53" s="142"/>
      <c r="E53" s="320"/>
      <c r="F53" s="142"/>
      <c r="G53" s="320"/>
      <c r="H53" s="142"/>
      <c r="I53" s="329"/>
      <c r="J53" s="124"/>
      <c r="K53" s="329"/>
      <c r="L53" s="124"/>
      <c r="M53" s="320"/>
      <c r="N53" s="142"/>
      <c r="O53" s="320"/>
      <c r="P53" s="142"/>
      <c r="Q53" s="321"/>
      <c r="R53" s="51"/>
      <c r="S53" s="320"/>
      <c r="T53" s="142"/>
      <c r="U53" s="30"/>
      <c r="V53" s="30"/>
    </row>
    <row r="54">
      <c r="A54" s="320"/>
      <c r="B54" s="142"/>
      <c r="C54" s="320"/>
      <c r="D54" s="142"/>
      <c r="E54" s="320"/>
      <c r="F54" s="142"/>
      <c r="G54" s="320"/>
      <c r="H54" s="142"/>
      <c r="I54" s="329"/>
      <c r="J54" s="124"/>
      <c r="K54" s="329"/>
      <c r="L54" s="124"/>
      <c r="M54" s="320"/>
      <c r="N54" s="142"/>
      <c r="O54" s="320"/>
      <c r="P54" s="142"/>
      <c r="Q54" s="321"/>
      <c r="R54" s="51"/>
      <c r="S54" s="320"/>
      <c r="T54" s="142"/>
      <c r="U54" s="30"/>
      <c r="V54" s="30"/>
    </row>
    <row r="55">
      <c r="A55" s="320"/>
      <c r="B55" s="142"/>
      <c r="C55" s="320"/>
      <c r="D55" s="142"/>
      <c r="E55" s="320"/>
      <c r="F55" s="142"/>
      <c r="G55" s="320"/>
      <c r="H55" s="142"/>
      <c r="I55" s="329"/>
      <c r="J55" s="124"/>
      <c r="K55" s="329"/>
      <c r="L55" s="124"/>
      <c r="M55" s="320"/>
      <c r="N55" s="142"/>
      <c r="O55" s="320"/>
      <c r="P55" s="142"/>
      <c r="Q55" s="321"/>
      <c r="R55" s="51"/>
      <c r="S55" s="320"/>
      <c r="T55" s="142"/>
      <c r="U55" s="30"/>
      <c r="V55" s="30"/>
    </row>
    <row r="56">
      <c r="A56" s="320"/>
      <c r="B56" s="142"/>
      <c r="C56" s="320"/>
      <c r="D56" s="142"/>
      <c r="E56" s="320"/>
      <c r="F56" s="142"/>
      <c r="G56" s="320"/>
      <c r="H56" s="142"/>
      <c r="I56" s="329"/>
      <c r="J56" s="124"/>
      <c r="K56" s="329"/>
      <c r="L56" s="124"/>
      <c r="M56" s="320"/>
      <c r="N56" s="142"/>
      <c r="O56" s="320"/>
      <c r="P56" s="142"/>
      <c r="Q56" s="321"/>
      <c r="R56" s="51"/>
      <c r="S56" s="320"/>
      <c r="T56" s="142"/>
      <c r="U56" s="30"/>
      <c r="V56" s="30"/>
    </row>
    <row r="57">
      <c r="A57" s="320"/>
      <c r="B57" s="142"/>
      <c r="C57" s="320"/>
      <c r="D57" s="142"/>
      <c r="E57" s="320"/>
      <c r="F57" s="142"/>
      <c r="G57" s="320"/>
      <c r="H57" s="142"/>
      <c r="I57" s="329"/>
      <c r="J57" s="124"/>
      <c r="K57" s="329"/>
      <c r="L57" s="124"/>
      <c r="M57" s="320"/>
      <c r="N57" s="142"/>
      <c r="O57" s="320"/>
      <c r="P57" s="142"/>
      <c r="Q57" s="321"/>
      <c r="R57" s="51"/>
      <c r="S57" s="320"/>
      <c r="T57" s="142"/>
      <c r="U57" s="30"/>
      <c r="V57" s="30"/>
    </row>
    <row r="58">
      <c r="A58" s="320"/>
      <c r="B58" s="142"/>
      <c r="C58" s="320"/>
      <c r="D58" s="142"/>
      <c r="E58" s="320"/>
      <c r="F58" s="142"/>
      <c r="G58" s="320"/>
      <c r="H58" s="142"/>
      <c r="I58" s="329"/>
      <c r="J58" s="124"/>
      <c r="K58" s="329"/>
      <c r="L58" s="124"/>
      <c r="M58" s="320"/>
      <c r="N58" s="142"/>
      <c r="O58" s="320"/>
      <c r="P58" s="142"/>
      <c r="Q58" s="321"/>
      <c r="R58" s="51"/>
      <c r="S58" s="320"/>
      <c r="T58" s="142"/>
      <c r="U58" s="30"/>
      <c r="V58" s="30"/>
    </row>
    <row r="59">
      <c r="A59" s="320"/>
      <c r="B59" s="142"/>
      <c r="C59" s="320"/>
      <c r="D59" s="142"/>
      <c r="E59" s="320"/>
      <c r="F59" s="142"/>
      <c r="G59" s="320"/>
      <c r="H59" s="142"/>
      <c r="I59" s="329"/>
      <c r="J59" s="124"/>
      <c r="K59" s="329"/>
      <c r="L59" s="124"/>
      <c r="M59" s="320"/>
      <c r="N59" s="142"/>
      <c r="O59" s="320"/>
      <c r="P59" s="142"/>
      <c r="Q59" s="321"/>
      <c r="R59" s="51"/>
      <c r="S59" s="320"/>
      <c r="T59" s="142"/>
      <c r="U59" s="30"/>
      <c r="V59" s="30"/>
    </row>
    <row r="60">
      <c r="A60" s="320"/>
      <c r="B60" s="142"/>
      <c r="C60" s="320"/>
      <c r="D60" s="142"/>
      <c r="E60" s="320"/>
      <c r="F60" s="142"/>
      <c r="G60" s="320"/>
      <c r="H60" s="142"/>
      <c r="I60" s="329"/>
      <c r="J60" s="124"/>
      <c r="K60" s="329"/>
      <c r="L60" s="124"/>
      <c r="M60" s="320"/>
      <c r="N60" s="142"/>
      <c r="O60" s="320"/>
      <c r="P60" s="142"/>
      <c r="Q60" s="321"/>
      <c r="R60" s="51"/>
      <c r="S60" s="320"/>
      <c r="T60" s="142"/>
      <c r="U60" s="30"/>
      <c r="V60" s="30"/>
    </row>
    <row r="61">
      <c r="A61" s="320"/>
      <c r="B61" s="142"/>
      <c r="C61" s="320"/>
      <c r="D61" s="142"/>
      <c r="E61" s="320"/>
      <c r="F61" s="142"/>
      <c r="G61" s="320"/>
      <c r="H61" s="142"/>
      <c r="I61" s="329"/>
      <c r="J61" s="124"/>
      <c r="K61" s="329"/>
      <c r="L61" s="124"/>
      <c r="M61" s="320"/>
      <c r="N61" s="142"/>
      <c r="O61" s="320"/>
      <c r="P61" s="142"/>
      <c r="Q61" s="321"/>
      <c r="R61" s="51"/>
      <c r="S61" s="320"/>
      <c r="T61" s="142"/>
      <c r="U61" s="30"/>
      <c r="V61" s="30"/>
    </row>
    <row r="62">
      <c r="A62" s="320"/>
      <c r="B62" s="142"/>
      <c r="C62" s="320"/>
      <c r="D62" s="142"/>
      <c r="E62" s="320"/>
      <c r="F62" s="142"/>
      <c r="G62" s="320"/>
      <c r="H62" s="142"/>
      <c r="I62" s="329"/>
      <c r="J62" s="124"/>
      <c r="K62" s="329"/>
      <c r="L62" s="124"/>
      <c r="M62" s="320"/>
      <c r="N62" s="142"/>
      <c r="O62" s="320"/>
      <c r="P62" s="142"/>
      <c r="Q62" s="321"/>
      <c r="R62" s="51"/>
      <c r="S62" s="320"/>
      <c r="T62" s="142"/>
      <c r="U62" s="30"/>
      <c r="V62" s="30"/>
    </row>
    <row r="63">
      <c r="A63" s="320"/>
      <c r="B63" s="142"/>
      <c r="C63" s="320"/>
      <c r="D63" s="142"/>
      <c r="E63" s="320"/>
      <c r="F63" s="142"/>
      <c r="G63" s="320"/>
      <c r="H63" s="142"/>
      <c r="I63" s="329"/>
      <c r="J63" s="124"/>
      <c r="K63" s="329"/>
      <c r="L63" s="124"/>
      <c r="M63" s="320"/>
      <c r="N63" s="142"/>
      <c r="O63" s="320"/>
      <c r="P63" s="142"/>
      <c r="Q63" s="321"/>
      <c r="R63" s="51"/>
      <c r="S63" s="320"/>
      <c r="T63" s="142"/>
      <c r="U63" s="30"/>
      <c r="V63" s="30"/>
    </row>
    <row r="64">
      <c r="A64" s="320"/>
      <c r="B64" s="142"/>
      <c r="C64" s="320"/>
      <c r="D64" s="142"/>
      <c r="E64" s="320"/>
      <c r="F64" s="142"/>
      <c r="G64" s="320"/>
      <c r="H64" s="142"/>
      <c r="I64" s="329"/>
      <c r="J64" s="124"/>
      <c r="K64" s="329"/>
      <c r="L64" s="124"/>
      <c r="M64" s="320"/>
      <c r="N64" s="142"/>
      <c r="O64" s="320"/>
      <c r="P64" s="142"/>
      <c r="Q64" s="321"/>
      <c r="R64" s="51"/>
      <c r="S64" s="320"/>
      <c r="T64" s="142"/>
      <c r="U64" s="30"/>
      <c r="V64" s="30"/>
    </row>
    <row r="65">
      <c r="A65" s="320"/>
      <c r="B65" s="142"/>
      <c r="C65" s="320"/>
      <c r="D65" s="142"/>
      <c r="E65" s="320"/>
      <c r="F65" s="142"/>
      <c r="G65" s="320"/>
      <c r="H65" s="142"/>
      <c r="I65" s="329"/>
      <c r="J65" s="124"/>
      <c r="K65" s="329"/>
      <c r="L65" s="124"/>
      <c r="M65" s="320"/>
      <c r="N65" s="142"/>
      <c r="O65" s="320"/>
      <c r="P65" s="142"/>
      <c r="Q65" s="321"/>
      <c r="R65" s="51"/>
      <c r="S65" s="320"/>
      <c r="T65" s="142"/>
      <c r="U65" s="30"/>
      <c r="V65" s="30"/>
    </row>
    <row r="66">
      <c r="A66" s="320"/>
      <c r="B66" s="142"/>
      <c r="C66" s="320"/>
      <c r="D66" s="142"/>
      <c r="E66" s="320"/>
      <c r="F66" s="142"/>
      <c r="G66" s="320"/>
      <c r="H66" s="142"/>
      <c r="I66" s="329"/>
      <c r="J66" s="124"/>
      <c r="K66" s="329"/>
      <c r="L66" s="124"/>
      <c r="M66" s="320"/>
      <c r="N66" s="142"/>
      <c r="O66" s="320"/>
      <c r="P66" s="142"/>
      <c r="Q66" s="321"/>
      <c r="R66" s="51"/>
      <c r="S66" s="320"/>
      <c r="T66" s="142"/>
      <c r="U66" s="30"/>
      <c r="V66" s="30"/>
    </row>
    <row r="67">
      <c r="A67" s="320"/>
      <c r="B67" s="142"/>
      <c r="C67" s="320"/>
      <c r="D67" s="142"/>
      <c r="E67" s="320"/>
      <c r="F67" s="142"/>
      <c r="G67" s="320"/>
      <c r="H67" s="142"/>
      <c r="I67" s="329"/>
      <c r="J67" s="124"/>
      <c r="K67" s="329"/>
      <c r="L67" s="124"/>
      <c r="M67" s="320"/>
      <c r="N67" s="142"/>
      <c r="O67" s="320"/>
      <c r="P67" s="142"/>
      <c r="Q67" s="321"/>
      <c r="R67" s="51"/>
      <c r="S67" s="320"/>
      <c r="T67" s="142"/>
      <c r="U67" s="30"/>
      <c r="V67" s="30"/>
    </row>
    <row r="68">
      <c r="A68" s="320"/>
      <c r="B68" s="142"/>
      <c r="C68" s="320"/>
      <c r="D68" s="142"/>
      <c r="E68" s="320"/>
      <c r="F68" s="142"/>
      <c r="G68" s="320"/>
      <c r="H68" s="142"/>
      <c r="I68" s="329"/>
      <c r="J68" s="124"/>
      <c r="K68" s="329"/>
      <c r="L68" s="124"/>
      <c r="M68" s="320"/>
      <c r="N68" s="142"/>
      <c r="O68" s="320"/>
      <c r="P68" s="142"/>
      <c r="Q68" s="321"/>
      <c r="R68" s="51"/>
      <c r="S68" s="320"/>
      <c r="T68" s="142"/>
      <c r="U68" s="30"/>
      <c r="V68" s="30"/>
    </row>
    <row r="69">
      <c r="A69" s="320"/>
      <c r="B69" s="142"/>
      <c r="C69" s="320"/>
      <c r="D69" s="142"/>
      <c r="E69" s="320"/>
      <c r="F69" s="142"/>
      <c r="G69" s="320"/>
      <c r="H69" s="142"/>
      <c r="I69" s="329"/>
      <c r="J69" s="124"/>
      <c r="K69" s="329"/>
      <c r="L69" s="124"/>
      <c r="M69" s="320"/>
      <c r="N69" s="142"/>
      <c r="O69" s="320"/>
      <c r="P69" s="142"/>
      <c r="Q69" s="321"/>
      <c r="R69" s="51"/>
      <c r="S69" s="320"/>
      <c r="T69" s="142"/>
      <c r="U69" s="30"/>
      <c r="V69" s="30"/>
    </row>
    <row r="70">
      <c r="A70" s="320"/>
      <c r="B70" s="142"/>
      <c r="C70" s="320"/>
      <c r="D70" s="142"/>
      <c r="E70" s="320"/>
      <c r="F70" s="142"/>
      <c r="G70" s="320"/>
      <c r="H70" s="142"/>
      <c r="I70" s="329"/>
      <c r="J70" s="124"/>
      <c r="K70" s="329"/>
      <c r="L70" s="124"/>
      <c r="M70" s="320"/>
      <c r="N70" s="142"/>
      <c r="O70" s="320"/>
      <c r="P70" s="142"/>
      <c r="Q70" s="321"/>
      <c r="R70" s="51"/>
      <c r="S70" s="320"/>
      <c r="T70" s="142"/>
      <c r="U70" s="30"/>
      <c r="V70" s="30"/>
    </row>
    <row r="71">
      <c r="A71" s="320"/>
      <c r="B71" s="142"/>
      <c r="C71" s="320"/>
      <c r="D71" s="142"/>
      <c r="E71" s="320"/>
      <c r="F71" s="142"/>
      <c r="G71" s="320"/>
      <c r="H71" s="142"/>
      <c r="I71" s="329"/>
      <c r="J71" s="124"/>
      <c r="K71" s="329"/>
      <c r="L71" s="124"/>
      <c r="M71" s="320"/>
      <c r="N71" s="142"/>
      <c r="O71" s="320"/>
      <c r="P71" s="142"/>
      <c r="Q71" s="321"/>
      <c r="R71" s="51"/>
      <c r="S71" s="320"/>
      <c r="T71" s="142"/>
      <c r="U71" s="30"/>
      <c r="V71" s="30"/>
    </row>
    <row r="72">
      <c r="A72" s="320"/>
      <c r="B72" s="142"/>
      <c r="C72" s="320"/>
      <c r="D72" s="142"/>
      <c r="E72" s="320"/>
      <c r="F72" s="142"/>
      <c r="G72" s="320"/>
      <c r="H72" s="142"/>
      <c r="I72" s="329"/>
      <c r="J72" s="124"/>
      <c r="K72" s="329"/>
      <c r="L72" s="124"/>
      <c r="M72" s="320"/>
      <c r="N72" s="142"/>
      <c r="O72" s="320"/>
      <c r="P72" s="142"/>
      <c r="Q72" s="321"/>
      <c r="R72" s="51"/>
      <c r="S72" s="320"/>
      <c r="T72" s="142"/>
      <c r="U72" s="30"/>
      <c r="V72" s="30"/>
    </row>
    <row r="73">
      <c r="A73" s="320"/>
      <c r="B73" s="142"/>
      <c r="C73" s="320"/>
      <c r="D73" s="142"/>
      <c r="E73" s="320"/>
      <c r="F73" s="142"/>
      <c r="G73" s="320"/>
      <c r="H73" s="142"/>
      <c r="I73" s="329"/>
      <c r="J73" s="124"/>
      <c r="K73" s="329"/>
      <c r="L73" s="124"/>
      <c r="M73" s="320"/>
      <c r="N73" s="142"/>
      <c r="O73" s="320"/>
      <c r="P73" s="142"/>
      <c r="Q73" s="321"/>
      <c r="R73" s="51"/>
      <c r="S73" s="320"/>
      <c r="T73" s="142"/>
      <c r="U73" s="30"/>
      <c r="V73" s="30"/>
    </row>
    <row r="74">
      <c r="A74" s="320"/>
      <c r="B74" s="142"/>
      <c r="C74" s="320"/>
      <c r="D74" s="142"/>
      <c r="E74" s="320"/>
      <c r="F74" s="142"/>
      <c r="G74" s="320"/>
      <c r="H74" s="142"/>
      <c r="I74" s="329"/>
      <c r="J74" s="124"/>
      <c r="K74" s="329"/>
      <c r="L74" s="124"/>
      <c r="M74" s="320"/>
      <c r="N74" s="142"/>
      <c r="O74" s="320"/>
      <c r="P74" s="142"/>
      <c r="Q74" s="321"/>
      <c r="R74" s="51"/>
      <c r="S74" s="320"/>
      <c r="T74" s="142"/>
      <c r="U74" s="30"/>
      <c r="V74" s="30"/>
    </row>
    <row r="75">
      <c r="A75" s="320"/>
      <c r="B75" s="142"/>
      <c r="C75" s="320"/>
      <c r="D75" s="142"/>
      <c r="E75" s="320"/>
      <c r="F75" s="142"/>
      <c r="G75" s="320"/>
      <c r="H75" s="142"/>
      <c r="I75" s="329"/>
      <c r="J75" s="124"/>
      <c r="K75" s="329"/>
      <c r="L75" s="124"/>
      <c r="M75" s="320"/>
      <c r="N75" s="142"/>
      <c r="O75" s="320"/>
      <c r="P75" s="142"/>
      <c r="Q75" s="321"/>
      <c r="R75" s="51"/>
      <c r="S75" s="320"/>
      <c r="T75" s="142"/>
      <c r="U75" s="30"/>
      <c r="V75" s="30"/>
    </row>
    <row r="76">
      <c r="A76" s="320"/>
      <c r="B76" s="142"/>
      <c r="C76" s="320"/>
      <c r="D76" s="142"/>
      <c r="E76" s="320"/>
      <c r="F76" s="142"/>
      <c r="G76" s="320"/>
      <c r="H76" s="142"/>
      <c r="I76" s="329"/>
      <c r="J76" s="124"/>
      <c r="K76" s="329"/>
      <c r="L76" s="124"/>
      <c r="M76" s="320"/>
      <c r="N76" s="142"/>
      <c r="O76" s="320"/>
      <c r="P76" s="142"/>
      <c r="Q76" s="321"/>
      <c r="R76" s="51"/>
      <c r="S76" s="320"/>
      <c r="T76" s="142"/>
      <c r="U76" s="30"/>
      <c r="V76" s="30"/>
    </row>
    <row r="77">
      <c r="A77" s="320"/>
      <c r="B77" s="142"/>
      <c r="C77" s="320"/>
      <c r="D77" s="142"/>
      <c r="E77" s="320"/>
      <c r="F77" s="142"/>
      <c r="G77" s="320"/>
      <c r="H77" s="142"/>
      <c r="I77" s="329"/>
      <c r="J77" s="124"/>
      <c r="K77" s="329"/>
      <c r="L77" s="124"/>
      <c r="M77" s="320"/>
      <c r="N77" s="142"/>
      <c r="O77" s="320"/>
      <c r="P77" s="142"/>
      <c r="Q77" s="321"/>
      <c r="R77" s="51"/>
      <c r="S77" s="320"/>
      <c r="T77" s="142"/>
      <c r="U77" s="30"/>
      <c r="V77" s="30"/>
    </row>
    <row r="78">
      <c r="A78" s="320"/>
      <c r="B78" s="142"/>
      <c r="C78" s="320"/>
      <c r="D78" s="142"/>
      <c r="E78" s="320"/>
      <c r="F78" s="142"/>
      <c r="G78" s="320"/>
      <c r="H78" s="142"/>
      <c r="I78" s="329"/>
      <c r="J78" s="124"/>
      <c r="K78" s="329"/>
      <c r="L78" s="124"/>
      <c r="M78" s="320"/>
      <c r="N78" s="142"/>
      <c r="O78" s="320"/>
      <c r="P78" s="142"/>
      <c r="Q78" s="321"/>
      <c r="R78" s="51"/>
      <c r="S78" s="320"/>
      <c r="T78" s="142"/>
      <c r="U78" s="30"/>
      <c r="V78" s="30"/>
    </row>
    <row r="79">
      <c r="A79" s="320"/>
      <c r="B79" s="142"/>
      <c r="C79" s="320"/>
      <c r="D79" s="142"/>
      <c r="E79" s="320"/>
      <c r="F79" s="142"/>
      <c r="G79" s="320"/>
      <c r="H79" s="142"/>
      <c r="I79" s="329"/>
      <c r="J79" s="124"/>
      <c r="K79" s="329"/>
      <c r="L79" s="124"/>
      <c r="M79" s="320"/>
      <c r="N79" s="142"/>
      <c r="O79" s="320"/>
      <c r="P79" s="142"/>
      <c r="Q79" s="321"/>
      <c r="R79" s="51"/>
      <c r="S79" s="320"/>
      <c r="T79" s="142"/>
      <c r="U79" s="30"/>
      <c r="V79" s="30"/>
    </row>
    <row r="80">
      <c r="A80" s="320"/>
      <c r="B80" s="142"/>
      <c r="C80" s="320"/>
      <c r="D80" s="142"/>
      <c r="E80" s="320"/>
      <c r="F80" s="142"/>
      <c r="G80" s="320"/>
      <c r="H80" s="142"/>
      <c r="I80" s="329"/>
      <c r="J80" s="124"/>
      <c r="K80" s="329"/>
      <c r="L80" s="124"/>
      <c r="M80" s="320"/>
      <c r="N80" s="142"/>
      <c r="O80" s="320"/>
      <c r="P80" s="142"/>
      <c r="Q80" s="321"/>
      <c r="R80" s="51"/>
      <c r="S80" s="320"/>
      <c r="T80" s="142"/>
      <c r="U80" s="30"/>
      <c r="V80" s="30"/>
    </row>
    <row r="81">
      <c r="A81" s="320"/>
      <c r="B81" s="142"/>
      <c r="C81" s="320"/>
      <c r="D81" s="142"/>
      <c r="E81" s="320"/>
      <c r="F81" s="142"/>
      <c r="G81" s="320"/>
      <c r="H81" s="142"/>
      <c r="I81" s="329"/>
      <c r="J81" s="124"/>
      <c r="K81" s="329"/>
      <c r="L81" s="124"/>
      <c r="M81" s="320"/>
      <c r="N81" s="142"/>
      <c r="O81" s="320"/>
      <c r="P81" s="142"/>
      <c r="Q81" s="321"/>
      <c r="R81" s="51"/>
      <c r="S81" s="320"/>
      <c r="T81" s="142"/>
      <c r="U81" s="30"/>
      <c r="V81" s="30"/>
    </row>
    <row r="82">
      <c r="A82" s="320"/>
      <c r="B82" s="142"/>
      <c r="C82" s="320"/>
      <c r="D82" s="142"/>
      <c r="E82" s="320"/>
      <c r="F82" s="142"/>
      <c r="G82" s="320"/>
      <c r="H82" s="142"/>
      <c r="I82" s="329"/>
      <c r="J82" s="124"/>
      <c r="K82" s="329"/>
      <c r="L82" s="124"/>
      <c r="M82" s="320"/>
      <c r="N82" s="142"/>
      <c r="O82" s="320"/>
      <c r="P82" s="142"/>
      <c r="Q82" s="321"/>
      <c r="R82" s="51"/>
      <c r="S82" s="320"/>
      <c r="T82" s="142"/>
      <c r="U82" s="30"/>
      <c r="V82" s="30"/>
    </row>
    <row r="83">
      <c r="A83" s="320"/>
      <c r="B83" s="142"/>
      <c r="C83" s="320"/>
      <c r="D83" s="142"/>
      <c r="E83" s="320"/>
      <c r="F83" s="142"/>
      <c r="G83" s="320"/>
      <c r="H83" s="142"/>
      <c r="I83" s="329"/>
      <c r="J83" s="124"/>
      <c r="K83" s="329"/>
      <c r="L83" s="124"/>
      <c r="M83" s="320"/>
      <c r="N83" s="142"/>
      <c r="O83" s="320"/>
      <c r="P83" s="142"/>
      <c r="Q83" s="321"/>
      <c r="R83" s="51"/>
      <c r="S83" s="320"/>
      <c r="T83" s="142"/>
      <c r="U83" s="30"/>
      <c r="V83" s="30"/>
    </row>
    <row r="84">
      <c r="A84" s="320"/>
      <c r="B84" s="142"/>
      <c r="C84" s="320"/>
      <c r="D84" s="142"/>
      <c r="E84" s="320"/>
      <c r="F84" s="142"/>
      <c r="G84" s="320"/>
      <c r="H84" s="142"/>
      <c r="I84" s="329"/>
      <c r="J84" s="124"/>
      <c r="K84" s="329"/>
      <c r="L84" s="124"/>
      <c r="M84" s="320"/>
      <c r="N84" s="142"/>
      <c r="O84" s="320"/>
      <c r="P84" s="142"/>
      <c r="Q84" s="321"/>
      <c r="R84" s="51"/>
      <c r="S84" s="320"/>
      <c r="T84" s="142"/>
      <c r="U84" s="30"/>
      <c r="V84" s="30"/>
    </row>
    <row r="85">
      <c r="A85" s="320"/>
      <c r="B85" s="142"/>
      <c r="C85" s="320"/>
      <c r="D85" s="142"/>
      <c r="E85" s="320"/>
      <c r="F85" s="142"/>
      <c r="G85" s="320"/>
      <c r="H85" s="142"/>
      <c r="I85" s="329"/>
      <c r="J85" s="124"/>
      <c r="K85" s="329"/>
      <c r="L85" s="124"/>
      <c r="M85" s="320"/>
      <c r="N85" s="142"/>
      <c r="O85" s="320"/>
      <c r="P85" s="142"/>
      <c r="Q85" s="321"/>
      <c r="R85" s="51"/>
      <c r="S85" s="320"/>
      <c r="T85" s="142"/>
      <c r="U85" s="30"/>
      <c r="V85" s="30"/>
    </row>
    <row r="86">
      <c r="A86" s="320"/>
      <c r="B86" s="142"/>
      <c r="C86" s="320"/>
      <c r="D86" s="142"/>
      <c r="E86" s="320"/>
      <c r="F86" s="142"/>
      <c r="G86" s="320"/>
      <c r="H86" s="142"/>
      <c r="I86" s="329"/>
      <c r="J86" s="124"/>
      <c r="K86" s="329"/>
      <c r="L86" s="124"/>
      <c r="M86" s="320"/>
      <c r="N86" s="142"/>
      <c r="O86" s="320"/>
      <c r="P86" s="142"/>
      <c r="Q86" s="321"/>
      <c r="R86" s="51"/>
      <c r="S86" s="320"/>
      <c r="T86" s="142"/>
      <c r="U86" s="30"/>
      <c r="V86" s="30"/>
    </row>
    <row r="87">
      <c r="A87" s="320"/>
      <c r="B87" s="142"/>
      <c r="C87" s="320"/>
      <c r="D87" s="142"/>
      <c r="E87" s="320"/>
      <c r="F87" s="142"/>
      <c r="G87" s="320"/>
      <c r="H87" s="142"/>
      <c r="I87" s="329"/>
      <c r="J87" s="124"/>
      <c r="K87" s="329"/>
      <c r="L87" s="124"/>
      <c r="M87" s="320"/>
      <c r="N87" s="142"/>
      <c r="O87" s="320"/>
      <c r="P87" s="142"/>
      <c r="Q87" s="321"/>
      <c r="R87" s="51"/>
      <c r="S87" s="320"/>
      <c r="T87" s="142"/>
      <c r="U87" s="30"/>
      <c r="V87" s="30"/>
    </row>
    <row r="88">
      <c r="A88" s="320"/>
      <c r="B88" s="142"/>
      <c r="C88" s="320"/>
      <c r="D88" s="142"/>
      <c r="E88" s="320"/>
      <c r="F88" s="142"/>
      <c r="G88" s="320"/>
      <c r="H88" s="142"/>
      <c r="I88" s="329"/>
      <c r="J88" s="124"/>
      <c r="K88" s="329"/>
      <c r="L88" s="124"/>
      <c r="M88" s="320"/>
      <c r="N88" s="142"/>
      <c r="O88" s="320"/>
      <c r="P88" s="142"/>
      <c r="Q88" s="320"/>
      <c r="R88" s="142"/>
      <c r="S88" s="320"/>
      <c r="T88" s="142"/>
      <c r="U88" s="30"/>
      <c r="V88" s="30"/>
    </row>
    <row r="89">
      <c r="A89" s="320"/>
      <c r="B89" s="142"/>
      <c r="C89" s="320"/>
      <c r="D89" s="142"/>
      <c r="E89" s="320"/>
      <c r="F89" s="142"/>
      <c r="G89" s="320"/>
      <c r="H89" s="142"/>
      <c r="I89" s="329"/>
      <c r="J89" s="124"/>
      <c r="K89" s="329"/>
      <c r="L89" s="124"/>
      <c r="M89" s="320"/>
      <c r="N89" s="142"/>
      <c r="O89" s="320"/>
      <c r="P89" s="142"/>
      <c r="Q89" s="320"/>
      <c r="R89" s="142"/>
      <c r="S89" s="320"/>
      <c r="T89" s="142"/>
      <c r="U89" s="30"/>
      <c r="V89" s="30"/>
    </row>
    <row r="90">
      <c r="A90" s="320"/>
      <c r="B90" s="142"/>
      <c r="C90" s="320"/>
      <c r="D90" s="142"/>
      <c r="E90" s="320"/>
      <c r="F90" s="142"/>
      <c r="G90" s="320"/>
      <c r="H90" s="142"/>
      <c r="I90" s="329"/>
      <c r="J90" s="124"/>
      <c r="K90" s="329"/>
      <c r="L90" s="124"/>
      <c r="M90" s="320"/>
      <c r="N90" s="142"/>
      <c r="O90" s="320"/>
      <c r="P90" s="142"/>
      <c r="Q90" s="320"/>
      <c r="R90" s="142"/>
      <c r="S90" s="320"/>
      <c r="T90" s="142"/>
      <c r="U90" s="30"/>
      <c r="V90" s="30"/>
    </row>
    <row r="91">
      <c r="A91" s="320"/>
      <c r="B91" s="142"/>
      <c r="C91" s="320"/>
      <c r="D91" s="142"/>
      <c r="E91" s="320"/>
      <c r="F91" s="142"/>
      <c r="G91" s="320"/>
      <c r="H91" s="142"/>
      <c r="I91" s="329"/>
      <c r="J91" s="124"/>
      <c r="K91" s="329"/>
      <c r="L91" s="124"/>
      <c r="M91" s="320"/>
      <c r="N91" s="142"/>
      <c r="O91" s="320"/>
      <c r="P91" s="142"/>
      <c r="Q91" s="320"/>
      <c r="R91" s="142"/>
      <c r="S91" s="320"/>
      <c r="T91" s="142"/>
      <c r="U91" s="30"/>
      <c r="V91" s="30"/>
    </row>
    <row r="92">
      <c r="A92" s="320"/>
      <c r="B92" s="142"/>
      <c r="C92" s="320"/>
      <c r="D92" s="142"/>
      <c r="E92" s="320"/>
      <c r="F92" s="142"/>
      <c r="G92" s="320"/>
      <c r="H92" s="142"/>
      <c r="I92" s="329"/>
      <c r="J92" s="124"/>
      <c r="K92" s="329"/>
      <c r="L92" s="124"/>
      <c r="M92" s="320"/>
      <c r="N92" s="142"/>
      <c r="O92" s="320"/>
      <c r="P92" s="142"/>
      <c r="Q92" s="320"/>
      <c r="R92" s="142"/>
      <c r="S92" s="320"/>
      <c r="T92" s="142"/>
      <c r="U92" s="30"/>
      <c r="V92" s="30"/>
    </row>
    <row r="93">
      <c r="A93" s="320"/>
      <c r="B93" s="142"/>
      <c r="C93" s="320"/>
      <c r="D93" s="142"/>
      <c r="E93" s="320"/>
      <c r="F93" s="142"/>
      <c r="G93" s="320"/>
      <c r="H93" s="142"/>
      <c r="I93" s="329"/>
      <c r="J93" s="124"/>
      <c r="K93" s="329"/>
      <c r="L93" s="124"/>
      <c r="M93" s="320"/>
      <c r="N93" s="142"/>
      <c r="O93" s="320"/>
      <c r="P93" s="142"/>
      <c r="Q93" s="320"/>
      <c r="R93" s="142"/>
      <c r="S93" s="320"/>
      <c r="T93" s="142"/>
      <c r="U93" s="30"/>
      <c r="V93" s="30"/>
    </row>
    <row r="94">
      <c r="A94" s="320"/>
      <c r="B94" s="142"/>
      <c r="C94" s="320"/>
      <c r="D94" s="142"/>
      <c r="E94" s="320"/>
      <c r="F94" s="142"/>
      <c r="G94" s="320"/>
      <c r="H94" s="142"/>
      <c r="I94" s="329"/>
      <c r="J94" s="124"/>
      <c r="K94" s="329"/>
      <c r="L94" s="124"/>
      <c r="M94" s="320"/>
      <c r="N94" s="142"/>
      <c r="O94" s="320"/>
      <c r="P94" s="142"/>
      <c r="Q94" s="320"/>
      <c r="R94" s="142"/>
      <c r="S94" s="320"/>
      <c r="T94" s="142"/>
      <c r="U94" s="30"/>
      <c r="V94" s="30"/>
    </row>
    <row r="95">
      <c r="A95" s="320"/>
      <c r="B95" s="142"/>
      <c r="C95" s="320"/>
      <c r="D95" s="142"/>
      <c r="E95" s="320"/>
      <c r="F95" s="142"/>
      <c r="G95" s="320"/>
      <c r="H95" s="142"/>
      <c r="I95" s="329"/>
      <c r="J95" s="124"/>
      <c r="K95" s="329"/>
      <c r="L95" s="124"/>
      <c r="M95" s="320"/>
      <c r="N95" s="142"/>
      <c r="O95" s="320"/>
      <c r="P95" s="142"/>
      <c r="Q95" s="320"/>
      <c r="R95" s="142"/>
      <c r="S95" s="320"/>
      <c r="T95" s="142"/>
      <c r="U95" s="30"/>
      <c r="V95" s="30"/>
    </row>
    <row r="96">
      <c r="A96" s="320"/>
      <c r="B96" s="142"/>
      <c r="C96" s="320"/>
      <c r="D96" s="142"/>
      <c r="E96" s="320"/>
      <c r="F96" s="142"/>
      <c r="G96" s="320"/>
      <c r="H96" s="142"/>
      <c r="I96" s="329"/>
      <c r="J96" s="124"/>
      <c r="K96" s="329"/>
      <c r="L96" s="124"/>
      <c r="M96" s="320"/>
      <c r="N96" s="142"/>
      <c r="O96" s="320"/>
      <c r="P96" s="142"/>
      <c r="Q96" s="320"/>
      <c r="R96" s="142"/>
      <c r="S96" s="320"/>
      <c r="T96" s="142"/>
      <c r="U96" s="30"/>
      <c r="V96" s="30"/>
    </row>
    <row r="97">
      <c r="A97" s="320"/>
      <c r="B97" s="142"/>
      <c r="C97" s="320"/>
      <c r="D97" s="142"/>
      <c r="E97" s="320"/>
      <c r="F97" s="142"/>
      <c r="G97" s="320"/>
      <c r="H97" s="142"/>
      <c r="I97" s="329"/>
      <c r="J97" s="124"/>
      <c r="K97" s="329"/>
      <c r="L97" s="124"/>
      <c r="M97" s="320"/>
      <c r="N97" s="142"/>
      <c r="O97" s="320"/>
      <c r="P97" s="142"/>
      <c r="Q97" s="320"/>
      <c r="R97" s="142"/>
      <c r="S97" s="320"/>
      <c r="T97" s="142"/>
      <c r="U97" s="30"/>
      <c r="V97" s="30"/>
    </row>
    <row r="98">
      <c r="A98" s="320"/>
      <c r="B98" s="142"/>
      <c r="C98" s="320"/>
      <c r="D98" s="142"/>
      <c r="E98" s="320"/>
      <c r="F98" s="142"/>
      <c r="G98" s="320"/>
      <c r="H98" s="142"/>
      <c r="I98" s="329"/>
      <c r="J98" s="124"/>
      <c r="K98" s="329"/>
      <c r="L98" s="124"/>
      <c r="M98" s="320"/>
      <c r="N98" s="142"/>
      <c r="O98" s="320"/>
      <c r="P98" s="142"/>
      <c r="Q98" s="320"/>
      <c r="R98" s="142"/>
      <c r="S98" s="320"/>
      <c r="T98" s="142"/>
      <c r="U98" s="30"/>
      <c r="V98" s="30"/>
    </row>
    <row r="99">
      <c r="A99" s="320"/>
      <c r="B99" s="142"/>
      <c r="C99" s="320"/>
      <c r="D99" s="142"/>
      <c r="E99" s="320"/>
      <c r="F99" s="142"/>
      <c r="G99" s="320"/>
      <c r="H99" s="142"/>
      <c r="I99" s="329"/>
      <c r="J99" s="124"/>
      <c r="K99" s="329"/>
      <c r="L99" s="124"/>
      <c r="M99" s="320"/>
      <c r="N99" s="142"/>
      <c r="O99" s="320"/>
      <c r="P99" s="142"/>
      <c r="Q99" s="320"/>
      <c r="R99" s="142"/>
      <c r="S99" s="320"/>
      <c r="T99" s="142"/>
      <c r="U99" s="30"/>
      <c r="V99" s="30"/>
    </row>
    <row r="100">
      <c r="A100" s="320"/>
      <c r="B100" s="142"/>
      <c r="C100" s="320"/>
      <c r="D100" s="142"/>
      <c r="E100" s="320"/>
      <c r="F100" s="142"/>
      <c r="G100" s="320"/>
      <c r="H100" s="142"/>
      <c r="I100" s="329"/>
      <c r="J100" s="124"/>
      <c r="K100" s="329"/>
      <c r="L100" s="124"/>
      <c r="M100" s="320"/>
      <c r="N100" s="142"/>
      <c r="O100" s="320"/>
      <c r="P100" s="142"/>
      <c r="Q100" s="320"/>
      <c r="R100" s="142"/>
      <c r="S100" s="320"/>
      <c r="T100" s="142"/>
      <c r="U100" s="30"/>
      <c r="V100" s="30"/>
    </row>
    <row r="101">
      <c r="A101" s="320"/>
      <c r="B101" s="142"/>
      <c r="C101" s="320"/>
      <c r="D101" s="142"/>
      <c r="E101" s="320"/>
      <c r="F101" s="142"/>
      <c r="G101" s="320"/>
      <c r="H101" s="142"/>
      <c r="I101" s="329"/>
      <c r="J101" s="124"/>
      <c r="K101" s="329"/>
      <c r="L101" s="124"/>
      <c r="M101" s="320"/>
      <c r="N101" s="142"/>
      <c r="O101" s="320"/>
      <c r="P101" s="142"/>
      <c r="Q101" s="320"/>
      <c r="R101" s="142"/>
      <c r="S101" s="320"/>
      <c r="T101" s="142"/>
      <c r="U101" s="30"/>
      <c r="V101" s="30"/>
    </row>
    <row r="102">
      <c r="A102" s="320"/>
      <c r="B102" s="142"/>
      <c r="C102" s="320"/>
      <c r="D102" s="142"/>
      <c r="E102" s="320"/>
      <c r="F102" s="142"/>
      <c r="G102" s="320"/>
      <c r="H102" s="142"/>
      <c r="I102" s="329"/>
      <c r="J102" s="124"/>
      <c r="K102" s="329"/>
      <c r="L102" s="124"/>
      <c r="M102" s="320"/>
      <c r="N102" s="142"/>
      <c r="O102" s="320"/>
      <c r="P102" s="142"/>
      <c r="Q102" s="320"/>
      <c r="R102" s="142"/>
      <c r="S102" s="320"/>
      <c r="T102" s="142"/>
      <c r="U102" s="30"/>
      <c r="V102" s="30"/>
    </row>
    <row r="103">
      <c r="A103" s="320"/>
      <c r="B103" s="142"/>
      <c r="C103" s="320"/>
      <c r="D103" s="142"/>
      <c r="E103" s="320"/>
      <c r="F103" s="142"/>
      <c r="G103" s="320"/>
      <c r="H103" s="142"/>
      <c r="I103" s="329"/>
      <c r="J103" s="124"/>
      <c r="K103" s="329"/>
      <c r="L103" s="124"/>
      <c r="M103" s="320"/>
      <c r="N103" s="142"/>
      <c r="O103" s="320"/>
      <c r="P103" s="142"/>
      <c r="Q103" s="320"/>
      <c r="R103" s="142"/>
      <c r="S103" s="320"/>
      <c r="T103" s="142"/>
      <c r="U103" s="30"/>
      <c r="V103" s="30"/>
    </row>
    <row r="104">
      <c r="A104" s="320"/>
      <c r="B104" s="142"/>
      <c r="C104" s="320"/>
      <c r="D104" s="142"/>
      <c r="E104" s="320"/>
      <c r="F104" s="142"/>
      <c r="G104" s="320"/>
      <c r="H104" s="142"/>
      <c r="I104" s="329"/>
      <c r="J104" s="124"/>
      <c r="K104" s="329"/>
      <c r="L104" s="124"/>
      <c r="M104" s="320"/>
      <c r="N104" s="142"/>
      <c r="O104" s="320"/>
      <c r="P104" s="142"/>
      <c r="Q104" s="320"/>
      <c r="R104" s="142"/>
      <c r="S104" s="320"/>
      <c r="T104" s="142"/>
      <c r="U104" s="30"/>
      <c r="V104" s="30"/>
    </row>
    <row r="105">
      <c r="A105" s="320"/>
      <c r="B105" s="142"/>
      <c r="C105" s="320"/>
      <c r="D105" s="142"/>
      <c r="E105" s="320"/>
      <c r="F105" s="142"/>
      <c r="G105" s="320"/>
      <c r="H105" s="142"/>
      <c r="I105" s="329"/>
      <c r="J105" s="124"/>
      <c r="K105" s="329"/>
      <c r="L105" s="124"/>
      <c r="M105" s="320"/>
      <c r="N105" s="142"/>
      <c r="O105" s="320"/>
      <c r="P105" s="142"/>
      <c r="Q105" s="320"/>
      <c r="R105" s="142"/>
      <c r="S105" s="320"/>
      <c r="T105" s="142"/>
      <c r="U105" s="30"/>
      <c r="V105" s="30"/>
    </row>
    <row r="106">
      <c r="A106" s="320"/>
      <c r="B106" s="142"/>
      <c r="C106" s="320"/>
      <c r="D106" s="142"/>
      <c r="E106" s="320"/>
      <c r="F106" s="142"/>
      <c r="G106" s="320"/>
      <c r="H106" s="142"/>
      <c r="I106" s="329"/>
      <c r="J106" s="124"/>
      <c r="K106" s="329"/>
      <c r="L106" s="124"/>
      <c r="M106" s="320"/>
      <c r="N106" s="142"/>
      <c r="O106" s="320"/>
      <c r="P106" s="142"/>
      <c r="Q106" s="320"/>
      <c r="R106" s="142"/>
      <c r="S106" s="320"/>
      <c r="T106" s="142"/>
      <c r="U106" s="30"/>
      <c r="V106" s="30"/>
    </row>
    <row r="107">
      <c r="A107" s="320"/>
      <c r="B107" s="142"/>
      <c r="C107" s="320"/>
      <c r="D107" s="142"/>
      <c r="E107" s="320"/>
      <c r="F107" s="142"/>
      <c r="G107" s="320"/>
      <c r="H107" s="142"/>
      <c r="I107" s="329"/>
      <c r="J107" s="124"/>
      <c r="K107" s="329"/>
      <c r="L107" s="124"/>
      <c r="M107" s="320"/>
      <c r="N107" s="142"/>
      <c r="O107" s="320"/>
      <c r="P107" s="142"/>
      <c r="Q107" s="320"/>
      <c r="R107" s="142"/>
      <c r="S107" s="320"/>
      <c r="T107" s="142"/>
      <c r="U107" s="30"/>
      <c r="V107" s="30"/>
    </row>
    <row r="108">
      <c r="A108" s="320"/>
      <c r="B108" s="142"/>
      <c r="C108" s="320"/>
      <c r="D108" s="142"/>
      <c r="E108" s="320"/>
      <c r="F108" s="142"/>
      <c r="G108" s="320"/>
      <c r="H108" s="142"/>
      <c r="I108" s="329"/>
      <c r="J108" s="124"/>
      <c r="K108" s="329"/>
      <c r="L108" s="124"/>
      <c r="M108" s="320"/>
      <c r="N108" s="142"/>
      <c r="O108" s="320"/>
      <c r="P108" s="142"/>
      <c r="Q108" s="320"/>
      <c r="R108" s="142"/>
      <c r="S108" s="320"/>
      <c r="T108" s="142"/>
      <c r="U108" s="30"/>
      <c r="V108" s="30"/>
    </row>
    <row r="109">
      <c r="A109" s="320"/>
      <c r="B109" s="142"/>
      <c r="C109" s="320"/>
      <c r="D109" s="142"/>
      <c r="E109" s="320"/>
      <c r="F109" s="142"/>
      <c r="G109" s="320"/>
      <c r="H109" s="142"/>
      <c r="I109" s="329"/>
      <c r="J109" s="124"/>
      <c r="K109" s="329"/>
      <c r="L109" s="124"/>
      <c r="M109" s="320"/>
      <c r="N109" s="142"/>
      <c r="O109" s="320"/>
      <c r="P109" s="142"/>
      <c r="Q109" s="320"/>
      <c r="R109" s="142"/>
      <c r="S109" s="320"/>
      <c r="T109" s="142"/>
      <c r="U109" s="30"/>
      <c r="V109" s="30"/>
    </row>
    <row r="110">
      <c r="A110" s="320"/>
      <c r="B110" s="142"/>
      <c r="C110" s="320"/>
      <c r="D110" s="142"/>
      <c r="E110" s="320"/>
      <c r="F110" s="142"/>
      <c r="G110" s="320"/>
      <c r="H110" s="142"/>
      <c r="I110" s="329"/>
      <c r="J110" s="124"/>
      <c r="K110" s="329"/>
      <c r="L110" s="124"/>
      <c r="M110" s="320"/>
      <c r="N110" s="142"/>
      <c r="O110" s="320"/>
      <c r="P110" s="142"/>
      <c r="Q110" s="320"/>
      <c r="R110" s="142"/>
      <c r="S110" s="320"/>
      <c r="T110" s="142"/>
      <c r="U110" s="30"/>
      <c r="V110" s="30"/>
    </row>
    <row r="111">
      <c r="A111" s="320"/>
      <c r="B111" s="142"/>
      <c r="C111" s="320"/>
      <c r="D111" s="142"/>
      <c r="E111" s="320"/>
      <c r="F111" s="142"/>
      <c r="G111" s="320"/>
      <c r="H111" s="142"/>
      <c r="I111" s="329"/>
      <c r="J111" s="124"/>
      <c r="K111" s="329"/>
      <c r="L111" s="124"/>
      <c r="M111" s="320"/>
      <c r="N111" s="142"/>
      <c r="O111" s="320"/>
      <c r="P111" s="142"/>
      <c r="Q111" s="320"/>
      <c r="R111" s="142"/>
      <c r="S111" s="320"/>
      <c r="T111" s="142"/>
      <c r="U111" s="30"/>
      <c r="V111" s="30"/>
    </row>
    <row r="112">
      <c r="A112" s="320"/>
      <c r="B112" s="142"/>
      <c r="C112" s="320"/>
      <c r="D112" s="142"/>
      <c r="E112" s="320"/>
      <c r="F112" s="142"/>
      <c r="G112" s="320"/>
      <c r="H112" s="142"/>
      <c r="I112" s="329"/>
      <c r="J112" s="124"/>
      <c r="K112" s="329"/>
      <c r="L112" s="124"/>
      <c r="M112" s="320"/>
      <c r="N112" s="142"/>
      <c r="O112" s="320"/>
      <c r="P112" s="142"/>
      <c r="Q112" s="320"/>
      <c r="R112" s="142"/>
      <c r="S112" s="320"/>
      <c r="T112" s="142"/>
      <c r="U112" s="30"/>
      <c r="V112" s="30"/>
    </row>
    <row r="113">
      <c r="A113" s="320"/>
      <c r="B113" s="142"/>
      <c r="C113" s="320"/>
      <c r="D113" s="142"/>
      <c r="E113" s="320"/>
      <c r="F113" s="142"/>
      <c r="G113" s="320"/>
      <c r="H113" s="142"/>
      <c r="I113" s="329"/>
      <c r="J113" s="124"/>
      <c r="K113" s="329"/>
      <c r="L113" s="124"/>
      <c r="M113" s="320"/>
      <c r="N113" s="142"/>
      <c r="O113" s="320"/>
      <c r="P113" s="142"/>
      <c r="Q113" s="320"/>
      <c r="R113" s="142"/>
      <c r="S113" s="320"/>
      <c r="T113" s="142"/>
      <c r="U113" s="30"/>
      <c r="V113" s="30"/>
    </row>
    <row r="114">
      <c r="A114" s="320"/>
      <c r="B114" s="142"/>
      <c r="C114" s="320"/>
      <c r="D114" s="142"/>
      <c r="E114" s="320"/>
      <c r="F114" s="142"/>
      <c r="G114" s="320"/>
      <c r="H114" s="142"/>
      <c r="I114" s="329"/>
      <c r="J114" s="124"/>
      <c r="K114" s="329"/>
      <c r="L114" s="124"/>
      <c r="M114" s="320"/>
      <c r="N114" s="142"/>
      <c r="O114" s="320"/>
      <c r="P114" s="142"/>
      <c r="Q114" s="320"/>
      <c r="R114" s="142"/>
      <c r="S114" s="320"/>
      <c r="T114" s="142"/>
      <c r="U114" s="30"/>
      <c r="V114" s="30"/>
    </row>
    <row r="115">
      <c r="A115" s="320"/>
      <c r="B115" s="142"/>
      <c r="C115" s="320"/>
      <c r="D115" s="142"/>
      <c r="E115" s="320"/>
      <c r="F115" s="142"/>
      <c r="G115" s="320"/>
      <c r="H115" s="142"/>
      <c r="I115" s="329"/>
      <c r="J115" s="124"/>
      <c r="K115" s="329"/>
      <c r="L115" s="124"/>
      <c r="M115" s="320"/>
      <c r="N115" s="142"/>
      <c r="O115" s="320"/>
      <c r="P115" s="142"/>
      <c r="Q115" s="320"/>
      <c r="R115" s="142"/>
      <c r="S115" s="320"/>
      <c r="T115" s="142"/>
      <c r="U115" s="30"/>
      <c r="V115" s="30"/>
    </row>
    <row r="116">
      <c r="A116" s="320"/>
      <c r="B116" s="142"/>
      <c r="C116" s="320"/>
      <c r="D116" s="142"/>
      <c r="E116" s="320"/>
      <c r="F116" s="142"/>
      <c r="G116" s="320"/>
      <c r="H116" s="142"/>
      <c r="I116" s="329"/>
      <c r="J116" s="124"/>
      <c r="K116" s="329"/>
      <c r="L116" s="124"/>
      <c r="M116" s="320"/>
      <c r="N116" s="142"/>
      <c r="O116" s="320"/>
      <c r="P116" s="142"/>
      <c r="Q116" s="320"/>
      <c r="R116" s="142"/>
      <c r="S116" s="320"/>
      <c r="T116" s="142"/>
      <c r="U116" s="30"/>
      <c r="V116" s="30"/>
    </row>
    <row r="117">
      <c r="A117" s="320"/>
      <c r="B117" s="142"/>
      <c r="C117" s="320"/>
      <c r="D117" s="142"/>
      <c r="E117" s="320"/>
      <c r="F117" s="142"/>
      <c r="G117" s="320"/>
      <c r="H117" s="142"/>
      <c r="I117" s="329"/>
      <c r="J117" s="124"/>
      <c r="K117" s="329"/>
      <c r="L117" s="124"/>
      <c r="M117" s="320"/>
      <c r="N117" s="142"/>
      <c r="O117" s="320"/>
      <c r="P117" s="142"/>
      <c r="Q117" s="320"/>
      <c r="R117" s="142"/>
      <c r="S117" s="320"/>
      <c r="T117" s="142"/>
      <c r="U117" s="30"/>
      <c r="V117" s="30"/>
    </row>
    <row r="118">
      <c r="A118" s="320"/>
      <c r="B118" s="142"/>
      <c r="C118" s="320"/>
      <c r="D118" s="142"/>
      <c r="E118" s="320"/>
      <c r="F118" s="142"/>
      <c r="G118" s="320"/>
      <c r="H118" s="142"/>
      <c r="I118" s="329"/>
      <c r="J118" s="124"/>
      <c r="K118" s="329"/>
      <c r="L118" s="124"/>
      <c r="M118" s="320"/>
      <c r="N118" s="142"/>
      <c r="O118" s="320"/>
      <c r="P118" s="142"/>
      <c r="Q118" s="320"/>
      <c r="R118" s="142"/>
      <c r="S118" s="320"/>
      <c r="T118" s="142"/>
      <c r="U118" s="30"/>
      <c r="V118" s="30"/>
    </row>
    <row r="119">
      <c r="A119" s="320"/>
      <c r="B119" s="142"/>
      <c r="C119" s="320"/>
      <c r="D119" s="142"/>
      <c r="E119" s="320"/>
      <c r="F119" s="142"/>
      <c r="G119" s="320"/>
      <c r="H119" s="142"/>
      <c r="I119" s="329"/>
      <c r="J119" s="124"/>
      <c r="K119" s="329"/>
      <c r="L119" s="124"/>
      <c r="M119" s="320"/>
      <c r="N119" s="142"/>
      <c r="O119" s="320"/>
      <c r="P119" s="142"/>
      <c r="Q119" s="320"/>
      <c r="R119" s="142"/>
      <c r="S119" s="320"/>
      <c r="T119" s="142"/>
      <c r="U119" s="30"/>
      <c r="V119" s="30"/>
    </row>
    <row r="120">
      <c r="A120" s="320"/>
      <c r="B120" s="142"/>
      <c r="C120" s="320"/>
      <c r="D120" s="142"/>
      <c r="E120" s="320"/>
      <c r="F120" s="142"/>
      <c r="G120" s="320"/>
      <c r="H120" s="142"/>
      <c r="I120" s="329"/>
      <c r="J120" s="124"/>
      <c r="K120" s="329"/>
      <c r="L120" s="124"/>
      <c r="M120" s="320"/>
      <c r="N120" s="142"/>
      <c r="O120" s="320"/>
      <c r="P120" s="142"/>
      <c r="Q120" s="320"/>
      <c r="R120" s="142"/>
      <c r="S120" s="320"/>
      <c r="T120" s="142"/>
      <c r="U120" s="30"/>
      <c r="V120" s="30"/>
    </row>
    <row r="121">
      <c r="A121" s="320"/>
      <c r="B121" s="142"/>
      <c r="C121" s="320"/>
      <c r="D121" s="142"/>
      <c r="E121" s="320"/>
      <c r="F121" s="142"/>
      <c r="G121" s="320"/>
      <c r="H121" s="142"/>
      <c r="I121" s="329"/>
      <c r="J121" s="124"/>
      <c r="K121" s="329"/>
      <c r="L121" s="124"/>
      <c r="M121" s="320"/>
      <c r="N121" s="142"/>
      <c r="O121" s="320"/>
      <c r="P121" s="142"/>
      <c r="Q121" s="320"/>
      <c r="R121" s="142"/>
      <c r="S121" s="320"/>
      <c r="T121" s="142"/>
      <c r="U121" s="30"/>
      <c r="V121" s="30"/>
    </row>
    <row r="122">
      <c r="A122" s="320"/>
      <c r="B122" s="142"/>
      <c r="C122" s="320"/>
      <c r="D122" s="142"/>
      <c r="E122" s="320"/>
      <c r="F122" s="142"/>
      <c r="G122" s="320"/>
      <c r="H122" s="142"/>
      <c r="I122" s="329"/>
      <c r="J122" s="124"/>
      <c r="K122" s="329"/>
      <c r="L122" s="124"/>
      <c r="M122" s="320"/>
      <c r="N122" s="142"/>
      <c r="O122" s="320"/>
      <c r="P122" s="142"/>
      <c r="Q122" s="320"/>
      <c r="R122" s="142"/>
      <c r="S122" s="320"/>
      <c r="T122" s="142"/>
      <c r="U122" s="30"/>
      <c r="V122" s="30"/>
    </row>
    <row r="123">
      <c r="A123" s="320"/>
      <c r="B123" s="142"/>
      <c r="C123" s="320"/>
      <c r="D123" s="142"/>
      <c r="E123" s="320"/>
      <c r="F123" s="142"/>
      <c r="G123" s="320"/>
      <c r="H123" s="142"/>
      <c r="I123" s="329"/>
      <c r="J123" s="124"/>
      <c r="K123" s="329"/>
      <c r="L123" s="124"/>
      <c r="M123" s="320"/>
      <c r="N123" s="142"/>
      <c r="O123" s="320"/>
      <c r="P123" s="142"/>
      <c r="Q123" s="320"/>
      <c r="R123" s="142"/>
      <c r="S123" s="320"/>
      <c r="T123" s="142"/>
      <c r="U123" s="30"/>
      <c r="V123" s="30"/>
    </row>
    <row r="124">
      <c r="A124" s="320"/>
      <c r="B124" s="142"/>
      <c r="C124" s="320"/>
      <c r="D124" s="142"/>
      <c r="E124" s="320"/>
      <c r="F124" s="142"/>
      <c r="G124" s="320"/>
      <c r="H124" s="142"/>
      <c r="I124" s="329"/>
      <c r="J124" s="124"/>
      <c r="K124" s="329"/>
      <c r="L124" s="124"/>
      <c r="M124" s="320"/>
      <c r="N124" s="142"/>
      <c r="O124" s="320"/>
      <c r="P124" s="142"/>
      <c r="Q124" s="320"/>
      <c r="R124" s="142"/>
      <c r="S124" s="320"/>
      <c r="T124" s="142"/>
      <c r="U124" s="30"/>
      <c r="V124" s="30"/>
    </row>
    <row r="125">
      <c r="A125" s="320"/>
      <c r="B125" s="142"/>
      <c r="C125" s="320"/>
      <c r="D125" s="142"/>
      <c r="E125" s="320"/>
      <c r="F125" s="142"/>
      <c r="G125" s="320"/>
      <c r="H125" s="142"/>
      <c r="I125" s="329"/>
      <c r="J125" s="124"/>
      <c r="K125" s="329"/>
      <c r="L125" s="124"/>
      <c r="M125" s="320"/>
      <c r="N125" s="142"/>
      <c r="O125" s="320"/>
      <c r="P125" s="142"/>
      <c r="Q125" s="320"/>
      <c r="R125" s="142"/>
      <c r="S125" s="320"/>
      <c r="T125" s="142"/>
      <c r="U125" s="30"/>
      <c r="V125" s="30"/>
    </row>
    <row r="126">
      <c r="A126" s="320"/>
      <c r="B126" s="142"/>
      <c r="C126" s="320"/>
      <c r="D126" s="142"/>
      <c r="E126" s="320"/>
      <c r="F126" s="142"/>
      <c r="G126" s="320"/>
      <c r="H126" s="142"/>
      <c r="I126" s="329"/>
      <c r="J126" s="124"/>
      <c r="K126" s="329"/>
      <c r="L126" s="124"/>
      <c r="M126" s="320"/>
      <c r="N126" s="142"/>
      <c r="O126" s="320"/>
      <c r="P126" s="142"/>
      <c r="Q126" s="320"/>
      <c r="R126" s="142"/>
      <c r="S126" s="320"/>
      <c r="T126" s="142"/>
      <c r="U126" s="30"/>
      <c r="V126" s="30"/>
    </row>
    <row r="127">
      <c r="A127" s="320"/>
      <c r="B127" s="142"/>
      <c r="C127" s="320"/>
      <c r="D127" s="142"/>
      <c r="E127" s="320"/>
      <c r="F127" s="142"/>
      <c r="G127" s="320"/>
      <c r="H127" s="142"/>
      <c r="I127" s="329"/>
      <c r="J127" s="124"/>
      <c r="K127" s="329"/>
      <c r="L127" s="124"/>
      <c r="M127" s="320"/>
      <c r="N127" s="142"/>
      <c r="O127" s="320"/>
      <c r="P127" s="142"/>
      <c r="Q127" s="320"/>
      <c r="R127" s="142"/>
      <c r="S127" s="320"/>
      <c r="T127" s="142"/>
      <c r="U127" s="30"/>
      <c r="V127" s="30"/>
    </row>
    <row r="128">
      <c r="A128" s="320"/>
      <c r="B128" s="142"/>
      <c r="C128" s="320"/>
      <c r="D128" s="142"/>
      <c r="E128" s="320"/>
      <c r="F128" s="142"/>
      <c r="G128" s="320"/>
      <c r="H128" s="142"/>
      <c r="I128" s="329"/>
      <c r="J128" s="124"/>
      <c r="K128" s="329"/>
      <c r="L128" s="124"/>
      <c r="M128" s="320"/>
      <c r="N128" s="142"/>
      <c r="O128" s="320"/>
      <c r="P128" s="142"/>
      <c r="Q128" s="320"/>
      <c r="R128" s="142"/>
      <c r="S128" s="320"/>
      <c r="T128" s="142"/>
      <c r="U128" s="30"/>
      <c r="V128" s="30"/>
    </row>
    <row r="129">
      <c r="A129" s="320"/>
      <c r="B129" s="142"/>
      <c r="C129" s="320"/>
      <c r="D129" s="142"/>
      <c r="E129" s="320"/>
      <c r="F129" s="142"/>
      <c r="G129" s="320"/>
      <c r="H129" s="142"/>
      <c r="I129" s="329"/>
      <c r="J129" s="124"/>
      <c r="K129" s="329"/>
      <c r="L129" s="124"/>
      <c r="M129" s="320"/>
      <c r="N129" s="142"/>
      <c r="O129" s="320"/>
      <c r="P129" s="142"/>
      <c r="Q129" s="320"/>
      <c r="R129" s="142"/>
      <c r="S129" s="320"/>
      <c r="T129" s="142"/>
      <c r="U129" s="30"/>
      <c r="V129" s="30"/>
    </row>
    <row r="130">
      <c r="A130" s="320"/>
      <c r="B130" s="142"/>
      <c r="C130" s="320"/>
      <c r="D130" s="142"/>
      <c r="E130" s="320"/>
      <c r="F130" s="142"/>
      <c r="G130" s="320"/>
      <c r="H130" s="142"/>
      <c r="I130" s="329"/>
      <c r="J130" s="124"/>
      <c r="K130" s="329"/>
      <c r="L130" s="124"/>
      <c r="M130" s="320"/>
      <c r="N130" s="142"/>
      <c r="O130" s="320"/>
      <c r="P130" s="142"/>
      <c r="Q130" s="320"/>
      <c r="R130" s="142"/>
      <c r="S130" s="320"/>
      <c r="T130" s="142"/>
      <c r="U130" s="30"/>
      <c r="V130" s="30"/>
    </row>
    <row r="131">
      <c r="A131" s="320"/>
      <c r="B131" s="142"/>
      <c r="C131" s="320"/>
      <c r="D131" s="142"/>
      <c r="E131" s="320"/>
      <c r="F131" s="142"/>
      <c r="G131" s="320"/>
      <c r="H131" s="142"/>
      <c r="I131" s="329"/>
      <c r="J131" s="124"/>
      <c r="K131" s="329"/>
      <c r="L131" s="124"/>
      <c r="M131" s="320"/>
      <c r="N131" s="142"/>
      <c r="O131" s="320"/>
      <c r="P131" s="142"/>
      <c r="Q131" s="320"/>
      <c r="R131" s="142"/>
      <c r="S131" s="320"/>
      <c r="T131" s="142"/>
      <c r="U131" s="30"/>
      <c r="V131" s="30"/>
    </row>
    <row r="132">
      <c r="A132" s="320"/>
      <c r="B132" s="142"/>
      <c r="C132" s="320"/>
      <c r="D132" s="142"/>
      <c r="E132" s="320"/>
      <c r="F132" s="142"/>
      <c r="G132" s="320"/>
      <c r="H132" s="142"/>
      <c r="I132" s="329"/>
      <c r="J132" s="124"/>
      <c r="K132" s="329"/>
      <c r="L132" s="124"/>
      <c r="M132" s="320"/>
      <c r="N132" s="142"/>
      <c r="O132" s="320"/>
      <c r="P132" s="142"/>
      <c r="Q132" s="320"/>
      <c r="R132" s="142"/>
      <c r="S132" s="320"/>
      <c r="T132" s="142"/>
      <c r="U132" s="30"/>
      <c r="V132" s="30"/>
    </row>
    <row r="133">
      <c r="A133" s="320"/>
      <c r="B133" s="142"/>
      <c r="C133" s="320"/>
      <c r="D133" s="142"/>
      <c r="E133" s="320"/>
      <c r="F133" s="142"/>
      <c r="G133" s="320"/>
      <c r="H133" s="142"/>
      <c r="I133" s="329"/>
      <c r="J133" s="124"/>
      <c r="K133" s="329"/>
      <c r="L133" s="124"/>
      <c r="M133" s="320"/>
      <c r="N133" s="142"/>
      <c r="O133" s="320"/>
      <c r="P133" s="142"/>
      <c r="Q133" s="320"/>
      <c r="R133" s="142"/>
      <c r="S133" s="320"/>
      <c r="T133" s="142"/>
      <c r="U133" s="30"/>
      <c r="V133" s="30"/>
    </row>
    <row r="134">
      <c r="A134" s="320"/>
      <c r="B134" s="142"/>
      <c r="C134" s="320"/>
      <c r="D134" s="142"/>
      <c r="E134" s="320"/>
      <c r="F134" s="142"/>
      <c r="G134" s="320"/>
      <c r="H134" s="142"/>
      <c r="I134" s="329"/>
      <c r="J134" s="124"/>
      <c r="K134" s="329"/>
      <c r="L134" s="124"/>
      <c r="M134" s="320"/>
      <c r="N134" s="142"/>
      <c r="O134" s="320"/>
      <c r="P134" s="142"/>
      <c r="Q134" s="320"/>
      <c r="R134" s="142"/>
      <c r="S134" s="320"/>
      <c r="T134" s="142"/>
      <c r="U134" s="30"/>
      <c r="V134" s="30"/>
    </row>
    <row r="135">
      <c r="A135" s="320"/>
      <c r="B135" s="142"/>
      <c r="C135" s="320"/>
      <c r="D135" s="142"/>
      <c r="E135" s="320"/>
      <c r="F135" s="142"/>
      <c r="G135" s="320"/>
      <c r="H135" s="142"/>
      <c r="I135" s="329"/>
      <c r="J135" s="124"/>
      <c r="K135" s="329"/>
      <c r="L135" s="124"/>
      <c r="M135" s="320"/>
      <c r="N135" s="142"/>
      <c r="O135" s="320"/>
      <c r="P135" s="142"/>
      <c r="Q135" s="320"/>
      <c r="R135" s="142"/>
      <c r="S135" s="320"/>
      <c r="T135" s="142"/>
      <c r="U135" s="30"/>
      <c r="V135" s="30"/>
    </row>
    <row r="136">
      <c r="A136" s="320"/>
      <c r="B136" s="142"/>
      <c r="C136" s="320"/>
      <c r="D136" s="142"/>
      <c r="E136" s="320"/>
      <c r="F136" s="142"/>
      <c r="G136" s="320"/>
      <c r="H136" s="142"/>
      <c r="I136" s="329"/>
      <c r="J136" s="124"/>
      <c r="K136" s="329"/>
      <c r="L136" s="124"/>
      <c r="M136" s="320"/>
      <c r="N136" s="142"/>
      <c r="O136" s="320"/>
      <c r="P136" s="142"/>
      <c r="Q136" s="320"/>
      <c r="R136" s="142"/>
      <c r="S136" s="320"/>
      <c r="T136" s="142"/>
      <c r="U136" s="30"/>
      <c r="V136" s="30"/>
    </row>
    <row r="137">
      <c r="A137" s="320"/>
      <c r="B137" s="142"/>
      <c r="C137" s="320"/>
      <c r="D137" s="142"/>
      <c r="E137" s="320"/>
      <c r="F137" s="142"/>
      <c r="G137" s="320"/>
      <c r="H137" s="142"/>
      <c r="I137" s="329"/>
      <c r="J137" s="124"/>
      <c r="K137" s="329"/>
      <c r="L137" s="124"/>
      <c r="M137" s="320"/>
      <c r="N137" s="142"/>
      <c r="O137" s="320"/>
      <c r="P137" s="142"/>
      <c r="Q137" s="320"/>
      <c r="R137" s="142"/>
      <c r="S137" s="320"/>
      <c r="T137" s="142"/>
      <c r="U137" s="30"/>
      <c r="V137" s="30"/>
    </row>
    <row r="138">
      <c r="A138" s="320"/>
      <c r="B138" s="142"/>
      <c r="C138" s="320"/>
      <c r="D138" s="142"/>
      <c r="E138" s="320"/>
      <c r="F138" s="142"/>
      <c r="G138" s="320"/>
      <c r="H138" s="142"/>
      <c r="I138" s="329"/>
      <c r="J138" s="124"/>
      <c r="K138" s="329"/>
      <c r="L138" s="124"/>
      <c r="M138" s="320"/>
      <c r="N138" s="142"/>
      <c r="O138" s="320"/>
      <c r="P138" s="142"/>
      <c r="Q138" s="320"/>
      <c r="R138" s="142"/>
      <c r="S138" s="320"/>
      <c r="T138" s="142"/>
      <c r="U138" s="30"/>
      <c r="V138" s="30"/>
    </row>
    <row r="139">
      <c r="A139" s="320"/>
      <c r="B139" s="142"/>
      <c r="C139" s="320"/>
      <c r="D139" s="142"/>
      <c r="E139" s="320"/>
      <c r="F139" s="142"/>
      <c r="G139" s="320"/>
      <c r="H139" s="142"/>
      <c r="I139" s="329"/>
      <c r="J139" s="124"/>
      <c r="K139" s="329"/>
      <c r="L139" s="124"/>
      <c r="M139" s="320"/>
      <c r="N139" s="142"/>
      <c r="O139" s="320"/>
      <c r="P139" s="142"/>
      <c r="Q139" s="320"/>
      <c r="R139" s="142"/>
      <c r="S139" s="320"/>
      <c r="T139" s="142"/>
      <c r="U139" s="30"/>
      <c r="V139" s="30"/>
    </row>
    <row r="140">
      <c r="A140" s="320"/>
      <c r="B140" s="142"/>
      <c r="C140" s="320"/>
      <c r="D140" s="142"/>
      <c r="E140" s="320"/>
      <c r="F140" s="142"/>
      <c r="G140" s="320"/>
      <c r="H140" s="142"/>
      <c r="I140" s="329"/>
      <c r="J140" s="124"/>
      <c r="K140" s="329"/>
      <c r="L140" s="124"/>
      <c r="M140" s="320"/>
      <c r="N140" s="142"/>
      <c r="O140" s="320"/>
      <c r="P140" s="142"/>
      <c r="Q140" s="320"/>
      <c r="R140" s="142"/>
      <c r="S140" s="320"/>
      <c r="T140" s="142"/>
      <c r="U140" s="30"/>
      <c r="V140" s="30"/>
    </row>
    <row r="141">
      <c r="A141" s="320"/>
      <c r="B141" s="142"/>
      <c r="C141" s="320"/>
      <c r="D141" s="142"/>
      <c r="E141" s="320"/>
      <c r="F141" s="142"/>
      <c r="G141" s="320"/>
      <c r="H141" s="142"/>
      <c r="I141" s="329"/>
      <c r="J141" s="124"/>
      <c r="K141" s="329"/>
      <c r="L141" s="124"/>
      <c r="M141" s="320"/>
      <c r="N141" s="142"/>
      <c r="O141" s="320"/>
      <c r="P141" s="142"/>
      <c r="Q141" s="320"/>
      <c r="R141" s="142"/>
      <c r="S141" s="320"/>
      <c r="T141" s="142"/>
      <c r="U141" s="30"/>
      <c r="V141" s="30"/>
    </row>
    <row r="142">
      <c r="A142" s="320"/>
      <c r="B142" s="142"/>
      <c r="C142" s="320"/>
      <c r="D142" s="142"/>
      <c r="E142" s="320"/>
      <c r="F142" s="142"/>
      <c r="G142" s="320"/>
      <c r="H142" s="142"/>
      <c r="I142" s="329"/>
      <c r="J142" s="124"/>
      <c r="K142" s="329"/>
      <c r="L142" s="124"/>
      <c r="M142" s="320"/>
      <c r="N142" s="142"/>
      <c r="O142" s="320"/>
      <c r="P142" s="142"/>
      <c r="Q142" s="320"/>
      <c r="R142" s="142"/>
      <c r="S142" s="320"/>
      <c r="T142" s="142"/>
      <c r="U142" s="30"/>
      <c r="V142" s="30"/>
    </row>
    <row r="143">
      <c r="A143" s="320"/>
      <c r="B143" s="142"/>
      <c r="C143" s="320"/>
      <c r="D143" s="142"/>
      <c r="E143" s="320"/>
      <c r="F143" s="142"/>
      <c r="G143" s="320"/>
      <c r="H143" s="142"/>
      <c r="I143" s="329"/>
      <c r="J143" s="124"/>
      <c r="K143" s="329"/>
      <c r="L143" s="124"/>
      <c r="M143" s="320"/>
      <c r="N143" s="142"/>
      <c r="O143" s="320"/>
      <c r="P143" s="142"/>
      <c r="Q143" s="320"/>
      <c r="R143" s="142"/>
      <c r="S143" s="320"/>
      <c r="T143" s="142"/>
      <c r="U143" s="30"/>
      <c r="V143" s="30"/>
    </row>
    <row r="144">
      <c r="A144" s="320"/>
      <c r="B144" s="142"/>
      <c r="C144" s="320"/>
      <c r="D144" s="142"/>
      <c r="E144" s="320"/>
      <c r="F144" s="142"/>
      <c r="G144" s="320"/>
      <c r="H144" s="142"/>
      <c r="I144" s="329"/>
      <c r="J144" s="124"/>
      <c r="K144" s="329"/>
      <c r="L144" s="124"/>
      <c r="M144" s="320"/>
      <c r="N144" s="142"/>
      <c r="O144" s="320"/>
      <c r="P144" s="142"/>
      <c r="Q144" s="320"/>
      <c r="R144" s="142"/>
      <c r="S144" s="320"/>
      <c r="T144" s="142"/>
      <c r="U144" s="30"/>
      <c r="V144" s="30"/>
    </row>
    <row r="145">
      <c r="A145" s="320"/>
      <c r="B145" s="142"/>
      <c r="C145" s="320"/>
      <c r="D145" s="142"/>
      <c r="E145" s="320"/>
      <c r="F145" s="142"/>
      <c r="G145" s="320"/>
      <c r="H145" s="142"/>
      <c r="I145" s="329"/>
      <c r="J145" s="124"/>
      <c r="K145" s="329"/>
      <c r="L145" s="124"/>
      <c r="M145" s="320"/>
      <c r="N145" s="142"/>
      <c r="O145" s="320"/>
      <c r="P145" s="142"/>
      <c r="Q145" s="320"/>
      <c r="R145" s="142"/>
      <c r="S145" s="320"/>
      <c r="T145" s="142"/>
      <c r="U145" s="30"/>
      <c r="V145" s="30"/>
    </row>
    <row r="146">
      <c r="A146" s="320"/>
      <c r="B146" s="142"/>
      <c r="C146" s="320"/>
      <c r="D146" s="142"/>
      <c r="E146" s="320"/>
      <c r="F146" s="142"/>
      <c r="G146" s="320"/>
      <c r="H146" s="142"/>
      <c r="I146" s="329"/>
      <c r="J146" s="124"/>
      <c r="K146" s="329"/>
      <c r="L146" s="124"/>
      <c r="M146" s="320"/>
      <c r="N146" s="142"/>
      <c r="O146" s="320"/>
      <c r="P146" s="142"/>
      <c r="Q146" s="320"/>
      <c r="R146" s="142"/>
      <c r="S146" s="320"/>
      <c r="T146" s="142"/>
      <c r="U146" s="30"/>
      <c r="V146" s="30"/>
    </row>
    <row r="147">
      <c r="A147" s="320"/>
      <c r="B147" s="142"/>
      <c r="C147" s="320"/>
      <c r="D147" s="142"/>
      <c r="E147" s="320"/>
      <c r="F147" s="142"/>
      <c r="G147" s="320"/>
      <c r="H147" s="142"/>
      <c r="I147" s="329"/>
      <c r="J147" s="124"/>
      <c r="K147" s="329"/>
      <c r="L147" s="124"/>
      <c r="M147" s="320"/>
      <c r="N147" s="142"/>
      <c r="O147" s="320"/>
      <c r="P147" s="142"/>
      <c r="Q147" s="320"/>
      <c r="R147" s="142"/>
      <c r="S147" s="320"/>
      <c r="T147" s="142"/>
      <c r="U147" s="30"/>
      <c r="V147" s="30"/>
    </row>
    <row r="148">
      <c r="A148" s="320"/>
      <c r="B148" s="142"/>
      <c r="C148" s="320"/>
      <c r="D148" s="142"/>
      <c r="E148" s="320"/>
      <c r="F148" s="142"/>
      <c r="G148" s="320"/>
      <c r="H148" s="142"/>
      <c r="I148" s="329"/>
      <c r="J148" s="124"/>
      <c r="K148" s="329"/>
      <c r="L148" s="124"/>
      <c r="M148" s="320"/>
      <c r="N148" s="142"/>
      <c r="O148" s="320"/>
      <c r="P148" s="142"/>
      <c r="Q148" s="320"/>
      <c r="R148" s="142"/>
      <c r="S148" s="320"/>
      <c r="T148" s="142"/>
      <c r="U148" s="30"/>
      <c r="V148" s="30"/>
    </row>
    <row r="149">
      <c r="A149" s="320"/>
      <c r="B149" s="142"/>
      <c r="C149" s="320"/>
      <c r="D149" s="142"/>
      <c r="E149" s="320"/>
      <c r="F149" s="142"/>
      <c r="G149" s="320"/>
      <c r="H149" s="142"/>
      <c r="I149" s="329"/>
      <c r="J149" s="124"/>
      <c r="K149" s="329"/>
      <c r="L149" s="124"/>
      <c r="M149" s="320"/>
      <c r="N149" s="142"/>
      <c r="O149" s="320"/>
      <c r="P149" s="142"/>
      <c r="Q149" s="320"/>
      <c r="R149" s="142"/>
      <c r="S149" s="320"/>
      <c r="T149" s="142"/>
      <c r="U149" s="30"/>
      <c r="V149" s="30"/>
    </row>
    <row r="150">
      <c r="A150" s="320"/>
      <c r="B150" s="142"/>
      <c r="C150" s="320"/>
      <c r="D150" s="142"/>
      <c r="E150" s="320"/>
      <c r="F150" s="142"/>
      <c r="G150" s="320"/>
      <c r="H150" s="142"/>
      <c r="I150" s="329"/>
      <c r="J150" s="124"/>
      <c r="K150" s="329"/>
      <c r="L150" s="124"/>
      <c r="M150" s="320"/>
      <c r="N150" s="142"/>
      <c r="O150" s="320"/>
      <c r="P150" s="142"/>
      <c r="Q150" s="320"/>
      <c r="R150" s="142"/>
      <c r="S150" s="320"/>
      <c r="T150" s="142"/>
      <c r="U150" s="30"/>
      <c r="V150" s="30"/>
    </row>
    <row r="151">
      <c r="A151" s="320"/>
      <c r="B151" s="142"/>
      <c r="C151" s="320"/>
      <c r="D151" s="142"/>
      <c r="E151" s="320"/>
      <c r="F151" s="142"/>
      <c r="G151" s="320"/>
      <c r="H151" s="142"/>
      <c r="I151" s="329"/>
      <c r="J151" s="124"/>
      <c r="K151" s="329"/>
      <c r="L151" s="124"/>
      <c r="M151" s="320"/>
      <c r="N151" s="142"/>
      <c r="O151" s="320"/>
      <c r="P151" s="142"/>
      <c r="Q151" s="320"/>
      <c r="R151" s="142"/>
      <c r="S151" s="320"/>
      <c r="T151" s="142"/>
      <c r="U151" s="30"/>
      <c r="V151" s="30"/>
    </row>
    <row r="152">
      <c r="A152" s="320"/>
      <c r="B152" s="142"/>
      <c r="C152" s="320"/>
      <c r="D152" s="142"/>
      <c r="E152" s="320"/>
      <c r="F152" s="142"/>
      <c r="G152" s="320"/>
      <c r="H152" s="142"/>
      <c r="I152" s="329"/>
      <c r="J152" s="124"/>
      <c r="K152" s="329"/>
      <c r="L152" s="124"/>
      <c r="M152" s="320"/>
      <c r="N152" s="142"/>
      <c r="O152" s="320"/>
      <c r="P152" s="142"/>
      <c r="Q152" s="320"/>
      <c r="R152" s="142"/>
      <c r="S152" s="320"/>
      <c r="T152" s="142"/>
      <c r="U152" s="30"/>
      <c r="V152" s="30"/>
    </row>
    <row r="153">
      <c r="A153" s="320"/>
      <c r="B153" s="142"/>
      <c r="C153" s="320"/>
      <c r="D153" s="142"/>
      <c r="E153" s="320"/>
      <c r="F153" s="142"/>
      <c r="G153" s="320"/>
      <c r="H153" s="142"/>
      <c r="I153" s="329"/>
      <c r="J153" s="124"/>
      <c r="K153" s="329"/>
      <c r="L153" s="124"/>
      <c r="M153" s="320"/>
      <c r="N153" s="142"/>
      <c r="O153" s="320"/>
      <c r="P153" s="142"/>
      <c r="Q153" s="320"/>
      <c r="R153" s="142"/>
      <c r="S153" s="320"/>
      <c r="T153" s="142"/>
      <c r="U153" s="30"/>
      <c r="V153" s="30"/>
    </row>
    <row r="154">
      <c r="A154" s="320"/>
      <c r="B154" s="142"/>
      <c r="C154" s="320"/>
      <c r="D154" s="142"/>
      <c r="E154" s="320"/>
      <c r="F154" s="142"/>
      <c r="G154" s="320"/>
      <c r="H154" s="142"/>
      <c r="I154" s="329"/>
      <c r="J154" s="124"/>
      <c r="K154" s="329"/>
      <c r="L154" s="124"/>
      <c r="M154" s="320"/>
      <c r="N154" s="142"/>
      <c r="O154" s="320"/>
      <c r="P154" s="142"/>
      <c r="Q154" s="320"/>
      <c r="R154" s="142"/>
      <c r="S154" s="320"/>
      <c r="T154" s="142"/>
      <c r="U154" s="30"/>
      <c r="V154" s="30"/>
    </row>
    <row r="155">
      <c r="A155" s="320"/>
      <c r="B155" s="142"/>
      <c r="C155" s="320"/>
      <c r="D155" s="142"/>
      <c r="E155" s="320"/>
      <c r="F155" s="142"/>
      <c r="G155" s="320"/>
      <c r="H155" s="142"/>
      <c r="I155" s="329"/>
      <c r="J155" s="124"/>
      <c r="K155" s="329"/>
      <c r="L155" s="124"/>
      <c r="M155" s="320"/>
      <c r="N155" s="142"/>
      <c r="O155" s="320"/>
      <c r="P155" s="142"/>
      <c r="Q155" s="320"/>
      <c r="R155" s="142"/>
      <c r="S155" s="320"/>
      <c r="T155" s="142"/>
      <c r="U155" s="30"/>
      <c r="V155" s="30"/>
    </row>
    <row r="156">
      <c r="A156" s="320"/>
      <c r="B156" s="142"/>
      <c r="C156" s="320"/>
      <c r="D156" s="142"/>
      <c r="E156" s="320"/>
      <c r="F156" s="142"/>
      <c r="G156" s="320"/>
      <c r="H156" s="142"/>
      <c r="I156" s="329"/>
      <c r="J156" s="124"/>
      <c r="K156" s="329"/>
      <c r="L156" s="124"/>
      <c r="M156" s="320"/>
      <c r="N156" s="142"/>
      <c r="O156" s="320"/>
      <c r="P156" s="142"/>
      <c r="Q156" s="320"/>
      <c r="R156" s="142"/>
      <c r="S156" s="320"/>
      <c r="T156" s="142"/>
      <c r="U156" s="30"/>
      <c r="V156" s="30"/>
    </row>
    <row r="157">
      <c r="A157" s="320"/>
      <c r="B157" s="142"/>
      <c r="C157" s="320"/>
      <c r="D157" s="142"/>
      <c r="E157" s="320"/>
      <c r="F157" s="142"/>
      <c r="G157" s="320"/>
      <c r="H157" s="142"/>
      <c r="I157" s="329"/>
      <c r="J157" s="124"/>
      <c r="K157" s="329"/>
      <c r="L157" s="124"/>
      <c r="M157" s="320"/>
      <c r="N157" s="142"/>
      <c r="O157" s="320"/>
      <c r="P157" s="142"/>
      <c r="Q157" s="320"/>
      <c r="R157" s="142"/>
      <c r="S157" s="320"/>
      <c r="T157" s="142"/>
      <c r="U157" s="30"/>
      <c r="V157" s="30"/>
    </row>
    <row r="158">
      <c r="A158" s="320"/>
      <c r="B158" s="142"/>
      <c r="C158" s="320"/>
      <c r="D158" s="142"/>
      <c r="E158" s="320"/>
      <c r="F158" s="142"/>
      <c r="G158" s="320"/>
      <c r="H158" s="142"/>
      <c r="I158" s="329"/>
      <c r="J158" s="124"/>
      <c r="K158" s="329"/>
      <c r="L158" s="124"/>
      <c r="M158" s="320"/>
      <c r="N158" s="142"/>
      <c r="O158" s="320"/>
      <c r="P158" s="142"/>
      <c r="Q158" s="320"/>
      <c r="R158" s="142"/>
      <c r="S158" s="320"/>
      <c r="T158" s="142"/>
      <c r="U158" s="30"/>
      <c r="V158" s="30"/>
    </row>
    <row r="159">
      <c r="A159" s="320"/>
      <c r="B159" s="142"/>
      <c r="C159" s="320"/>
      <c r="D159" s="142"/>
      <c r="E159" s="320"/>
      <c r="F159" s="142"/>
      <c r="G159" s="320"/>
      <c r="H159" s="142"/>
      <c r="I159" s="329"/>
      <c r="J159" s="124"/>
      <c r="K159" s="329"/>
      <c r="L159" s="124"/>
      <c r="M159" s="320"/>
      <c r="N159" s="142"/>
      <c r="O159" s="320"/>
      <c r="P159" s="142"/>
      <c r="Q159" s="320"/>
      <c r="R159" s="142"/>
      <c r="S159" s="320"/>
      <c r="T159" s="142"/>
      <c r="U159" s="30"/>
      <c r="V159" s="30"/>
    </row>
    <row r="160">
      <c r="A160" s="320"/>
      <c r="B160" s="142"/>
      <c r="C160" s="320"/>
      <c r="D160" s="142"/>
      <c r="E160" s="320"/>
      <c r="F160" s="142"/>
      <c r="G160" s="320"/>
      <c r="H160" s="142"/>
      <c r="I160" s="329"/>
      <c r="J160" s="124"/>
      <c r="K160" s="329"/>
      <c r="L160" s="124"/>
      <c r="M160" s="320"/>
      <c r="N160" s="142"/>
      <c r="O160" s="320"/>
      <c r="P160" s="142"/>
      <c r="Q160" s="320"/>
      <c r="R160" s="142"/>
      <c r="S160" s="320"/>
      <c r="T160" s="142"/>
      <c r="U160" s="30"/>
      <c r="V160" s="30"/>
    </row>
    <row r="161">
      <c r="A161" s="320"/>
      <c r="B161" s="142"/>
      <c r="C161" s="320"/>
      <c r="D161" s="142"/>
      <c r="E161" s="320"/>
      <c r="F161" s="142"/>
      <c r="G161" s="320"/>
      <c r="H161" s="142"/>
      <c r="I161" s="329"/>
      <c r="J161" s="124"/>
      <c r="K161" s="329"/>
      <c r="L161" s="124"/>
      <c r="M161" s="320"/>
      <c r="N161" s="142"/>
      <c r="O161" s="320"/>
      <c r="P161" s="142"/>
      <c r="Q161" s="320"/>
      <c r="R161" s="142"/>
      <c r="S161" s="320"/>
      <c r="T161" s="142"/>
      <c r="U161" s="30"/>
      <c r="V161" s="30"/>
    </row>
    <row r="162">
      <c r="A162" s="320"/>
      <c r="B162" s="142"/>
      <c r="C162" s="320"/>
      <c r="D162" s="142"/>
      <c r="E162" s="320"/>
      <c r="F162" s="142"/>
      <c r="G162" s="320"/>
      <c r="H162" s="142"/>
      <c r="I162" s="329"/>
      <c r="J162" s="124"/>
      <c r="K162" s="329"/>
      <c r="L162" s="124"/>
      <c r="M162" s="320"/>
      <c r="N162" s="142"/>
      <c r="O162" s="320"/>
      <c r="P162" s="142"/>
      <c r="Q162" s="320"/>
      <c r="R162" s="142"/>
      <c r="S162" s="320"/>
      <c r="T162" s="142"/>
      <c r="U162" s="30"/>
      <c r="V162" s="30"/>
    </row>
    <row r="163">
      <c r="A163" s="320"/>
      <c r="B163" s="142"/>
      <c r="C163" s="320"/>
      <c r="D163" s="142"/>
      <c r="E163" s="320"/>
      <c r="F163" s="142"/>
      <c r="G163" s="320"/>
      <c r="H163" s="142"/>
      <c r="I163" s="329"/>
      <c r="J163" s="124"/>
      <c r="K163" s="329"/>
      <c r="L163" s="124"/>
      <c r="M163" s="320"/>
      <c r="N163" s="142"/>
      <c r="O163" s="320"/>
      <c r="P163" s="142"/>
      <c r="Q163" s="320"/>
      <c r="R163" s="142"/>
      <c r="S163" s="320"/>
      <c r="T163" s="142"/>
      <c r="U163" s="30"/>
      <c r="V163" s="30"/>
    </row>
    <row r="164">
      <c r="A164" s="320"/>
      <c r="B164" s="142"/>
      <c r="C164" s="320"/>
      <c r="D164" s="142"/>
      <c r="E164" s="320"/>
      <c r="F164" s="142"/>
      <c r="G164" s="320"/>
      <c r="H164" s="142"/>
      <c r="I164" s="329"/>
      <c r="J164" s="124"/>
      <c r="K164" s="329"/>
      <c r="L164" s="124"/>
      <c r="M164" s="320"/>
      <c r="N164" s="142"/>
      <c r="O164" s="320"/>
      <c r="P164" s="142"/>
      <c r="Q164" s="320"/>
      <c r="R164" s="142"/>
      <c r="S164" s="320"/>
      <c r="T164" s="142"/>
      <c r="U164" s="30"/>
      <c r="V164" s="30"/>
    </row>
    <row r="165">
      <c r="A165" s="320"/>
      <c r="B165" s="142"/>
      <c r="C165" s="320"/>
      <c r="D165" s="142"/>
      <c r="E165" s="320"/>
      <c r="F165" s="142"/>
      <c r="G165" s="320"/>
      <c r="H165" s="142"/>
      <c r="I165" s="329"/>
      <c r="J165" s="124"/>
      <c r="K165" s="329"/>
      <c r="L165" s="124"/>
      <c r="M165" s="320"/>
      <c r="N165" s="142"/>
      <c r="O165" s="320"/>
      <c r="P165" s="142"/>
      <c r="Q165" s="320"/>
      <c r="R165" s="142"/>
      <c r="S165" s="320"/>
      <c r="T165" s="142"/>
      <c r="U165" s="30"/>
      <c r="V165" s="30"/>
    </row>
    <row r="166">
      <c r="A166" s="320"/>
      <c r="B166" s="142"/>
      <c r="C166" s="320"/>
      <c r="D166" s="142"/>
      <c r="E166" s="320"/>
      <c r="F166" s="142"/>
      <c r="G166" s="320"/>
      <c r="H166" s="142"/>
      <c r="I166" s="329"/>
      <c r="J166" s="124"/>
      <c r="K166" s="329"/>
      <c r="L166" s="124"/>
      <c r="M166" s="320"/>
      <c r="N166" s="142"/>
      <c r="O166" s="320"/>
      <c r="P166" s="142"/>
      <c r="Q166" s="320"/>
      <c r="R166" s="142"/>
      <c r="S166" s="320"/>
      <c r="T166" s="142"/>
      <c r="U166" s="30"/>
      <c r="V166" s="30"/>
    </row>
    <row r="167">
      <c r="A167" s="320"/>
      <c r="B167" s="142"/>
      <c r="C167" s="320"/>
      <c r="D167" s="142"/>
      <c r="E167" s="320"/>
      <c r="F167" s="142"/>
      <c r="G167" s="320"/>
      <c r="H167" s="142"/>
      <c r="I167" s="329"/>
      <c r="J167" s="124"/>
      <c r="K167" s="329"/>
      <c r="L167" s="124"/>
      <c r="M167" s="320"/>
      <c r="N167" s="142"/>
      <c r="O167" s="320"/>
      <c r="P167" s="142"/>
      <c r="Q167" s="320"/>
      <c r="R167" s="142"/>
      <c r="S167" s="320"/>
      <c r="T167" s="142"/>
      <c r="U167" s="30"/>
      <c r="V167" s="30"/>
    </row>
    <row r="168">
      <c r="A168" s="320"/>
      <c r="B168" s="142"/>
      <c r="C168" s="320"/>
      <c r="D168" s="142"/>
      <c r="E168" s="320"/>
      <c r="F168" s="142"/>
      <c r="G168" s="320"/>
      <c r="H168" s="142"/>
      <c r="I168" s="329"/>
      <c r="J168" s="124"/>
      <c r="K168" s="329"/>
      <c r="L168" s="124"/>
      <c r="M168" s="320"/>
      <c r="N168" s="142"/>
      <c r="O168" s="320"/>
      <c r="P168" s="142"/>
      <c r="Q168" s="320"/>
      <c r="R168" s="142"/>
      <c r="S168" s="320"/>
      <c r="T168" s="142"/>
      <c r="U168" s="30"/>
      <c r="V168" s="30"/>
    </row>
    <row r="169">
      <c r="A169" s="320"/>
      <c r="B169" s="142"/>
      <c r="C169" s="320"/>
      <c r="D169" s="142"/>
      <c r="E169" s="320"/>
      <c r="F169" s="142"/>
      <c r="G169" s="320"/>
      <c r="H169" s="142"/>
      <c r="I169" s="329"/>
      <c r="J169" s="124"/>
      <c r="K169" s="329"/>
      <c r="L169" s="124"/>
      <c r="M169" s="320"/>
      <c r="N169" s="142"/>
      <c r="O169" s="320"/>
      <c r="P169" s="142"/>
      <c r="Q169" s="320"/>
      <c r="R169" s="142"/>
      <c r="S169" s="320"/>
      <c r="T169" s="142"/>
      <c r="U169" s="30"/>
      <c r="V169" s="30"/>
    </row>
    <row r="170">
      <c r="A170" s="320"/>
      <c r="B170" s="142"/>
      <c r="C170" s="320"/>
      <c r="D170" s="142"/>
      <c r="E170" s="320"/>
      <c r="F170" s="142"/>
      <c r="G170" s="320"/>
      <c r="H170" s="142"/>
      <c r="I170" s="329"/>
      <c r="J170" s="124"/>
      <c r="K170" s="329"/>
      <c r="L170" s="124"/>
      <c r="M170" s="320"/>
      <c r="N170" s="142"/>
      <c r="O170" s="320"/>
      <c r="P170" s="142"/>
      <c r="Q170" s="320"/>
      <c r="R170" s="142"/>
      <c r="S170" s="320"/>
      <c r="T170" s="142"/>
      <c r="U170" s="30"/>
      <c r="V170" s="30"/>
    </row>
    <row r="171">
      <c r="A171" s="320"/>
      <c r="B171" s="142"/>
      <c r="C171" s="320"/>
      <c r="D171" s="142"/>
      <c r="E171" s="320"/>
      <c r="F171" s="142"/>
      <c r="G171" s="320"/>
      <c r="H171" s="142"/>
      <c r="I171" s="329"/>
      <c r="J171" s="124"/>
      <c r="K171" s="329"/>
      <c r="L171" s="124"/>
      <c r="M171" s="320"/>
      <c r="N171" s="142"/>
      <c r="O171" s="320"/>
      <c r="P171" s="142"/>
      <c r="Q171" s="320"/>
      <c r="R171" s="142"/>
      <c r="S171" s="320"/>
      <c r="T171" s="142"/>
      <c r="U171" s="30"/>
      <c r="V171" s="30"/>
    </row>
    <row r="172">
      <c r="A172" s="320"/>
      <c r="B172" s="142"/>
      <c r="C172" s="320"/>
      <c r="D172" s="142"/>
      <c r="E172" s="320"/>
      <c r="F172" s="142"/>
      <c r="G172" s="320"/>
      <c r="H172" s="142"/>
      <c r="I172" s="329"/>
      <c r="J172" s="124"/>
      <c r="K172" s="329"/>
      <c r="L172" s="124"/>
      <c r="M172" s="320"/>
      <c r="N172" s="142"/>
      <c r="O172" s="320"/>
      <c r="P172" s="142"/>
      <c r="Q172" s="320"/>
      <c r="R172" s="142"/>
      <c r="S172" s="320"/>
      <c r="T172" s="142"/>
      <c r="U172" s="30"/>
      <c r="V172" s="30"/>
    </row>
    <row r="173">
      <c r="A173" s="320"/>
      <c r="B173" s="142"/>
      <c r="C173" s="320"/>
      <c r="D173" s="142"/>
      <c r="E173" s="320"/>
      <c r="F173" s="142"/>
      <c r="G173" s="320"/>
      <c r="H173" s="142"/>
      <c r="I173" s="329"/>
      <c r="J173" s="124"/>
      <c r="K173" s="329"/>
      <c r="L173" s="124"/>
      <c r="M173" s="320"/>
      <c r="N173" s="142"/>
      <c r="O173" s="320"/>
      <c r="P173" s="142"/>
      <c r="Q173" s="320"/>
      <c r="R173" s="142"/>
      <c r="S173" s="320"/>
      <c r="T173" s="142"/>
      <c r="U173" s="30"/>
      <c r="V173" s="30"/>
    </row>
    <row r="174">
      <c r="A174" s="320"/>
      <c r="B174" s="142"/>
      <c r="C174" s="320"/>
      <c r="D174" s="142"/>
      <c r="E174" s="320"/>
      <c r="F174" s="142"/>
      <c r="G174" s="320"/>
      <c r="H174" s="142"/>
      <c r="I174" s="329"/>
      <c r="J174" s="124"/>
      <c r="K174" s="329"/>
      <c r="L174" s="124"/>
      <c r="M174" s="320"/>
      <c r="N174" s="142"/>
      <c r="O174" s="320"/>
      <c r="P174" s="142"/>
      <c r="Q174" s="320"/>
      <c r="R174" s="142"/>
      <c r="S174" s="320"/>
      <c r="T174" s="142"/>
      <c r="U174" s="30"/>
      <c r="V174" s="30"/>
    </row>
    <row r="175">
      <c r="A175" s="320"/>
      <c r="B175" s="142"/>
      <c r="C175" s="320"/>
      <c r="D175" s="142"/>
      <c r="E175" s="320"/>
      <c r="F175" s="142"/>
      <c r="G175" s="320"/>
      <c r="H175" s="142"/>
      <c r="I175" s="329"/>
      <c r="J175" s="124"/>
      <c r="K175" s="329"/>
      <c r="L175" s="124"/>
      <c r="M175" s="320"/>
      <c r="N175" s="142"/>
      <c r="O175" s="320"/>
      <c r="P175" s="142"/>
      <c r="Q175" s="320"/>
      <c r="R175" s="142"/>
      <c r="S175" s="320"/>
      <c r="T175" s="142"/>
      <c r="U175" s="30"/>
      <c r="V175" s="30"/>
    </row>
    <row r="176">
      <c r="A176" s="320"/>
      <c r="B176" s="142"/>
      <c r="C176" s="320"/>
      <c r="D176" s="142"/>
      <c r="E176" s="320"/>
      <c r="F176" s="142"/>
      <c r="G176" s="320"/>
      <c r="H176" s="142"/>
      <c r="I176" s="329"/>
      <c r="J176" s="124"/>
      <c r="K176" s="329"/>
      <c r="L176" s="124"/>
      <c r="M176" s="320"/>
      <c r="N176" s="142"/>
      <c r="O176" s="320"/>
      <c r="P176" s="142"/>
      <c r="Q176" s="320"/>
      <c r="R176" s="142"/>
      <c r="S176" s="320"/>
      <c r="T176" s="142"/>
      <c r="U176" s="30"/>
      <c r="V176" s="30"/>
    </row>
    <row r="177">
      <c r="A177" s="320"/>
      <c r="B177" s="142"/>
      <c r="C177" s="320"/>
      <c r="D177" s="142"/>
      <c r="E177" s="320"/>
      <c r="F177" s="142"/>
      <c r="G177" s="320"/>
      <c r="H177" s="142"/>
      <c r="I177" s="329"/>
      <c r="J177" s="124"/>
      <c r="K177" s="329"/>
      <c r="L177" s="124"/>
      <c r="M177" s="320"/>
      <c r="N177" s="142"/>
      <c r="O177" s="320"/>
      <c r="P177" s="142"/>
      <c r="Q177" s="320"/>
      <c r="R177" s="142"/>
      <c r="S177" s="320"/>
      <c r="T177" s="142"/>
      <c r="U177" s="30"/>
      <c r="V177" s="30"/>
    </row>
    <row r="178">
      <c r="A178" s="320"/>
      <c r="B178" s="142"/>
      <c r="C178" s="320"/>
      <c r="D178" s="142"/>
      <c r="E178" s="320"/>
      <c r="F178" s="142"/>
      <c r="G178" s="320"/>
      <c r="H178" s="142"/>
      <c r="I178" s="329"/>
      <c r="J178" s="124"/>
      <c r="K178" s="329"/>
      <c r="L178" s="124"/>
      <c r="M178" s="320"/>
      <c r="N178" s="142"/>
      <c r="O178" s="320"/>
      <c r="P178" s="142"/>
      <c r="Q178" s="320"/>
      <c r="R178" s="142"/>
      <c r="S178" s="320"/>
      <c r="T178" s="142"/>
      <c r="U178" s="30"/>
      <c r="V178" s="30"/>
    </row>
    <row r="179">
      <c r="A179" s="320"/>
      <c r="B179" s="142"/>
      <c r="C179" s="320"/>
      <c r="D179" s="142"/>
      <c r="E179" s="320"/>
      <c r="F179" s="142"/>
      <c r="G179" s="320"/>
      <c r="H179" s="142"/>
      <c r="I179" s="329"/>
      <c r="J179" s="124"/>
      <c r="K179" s="329"/>
      <c r="L179" s="124"/>
      <c r="M179" s="320"/>
      <c r="N179" s="142"/>
      <c r="O179" s="320"/>
      <c r="P179" s="142"/>
      <c r="Q179" s="320"/>
      <c r="R179" s="142"/>
      <c r="S179" s="320"/>
      <c r="T179" s="142"/>
      <c r="U179" s="30"/>
      <c r="V179" s="30"/>
    </row>
    <row r="180">
      <c r="A180" s="320"/>
      <c r="B180" s="142"/>
      <c r="C180" s="320"/>
      <c r="D180" s="142"/>
      <c r="E180" s="320"/>
      <c r="F180" s="142"/>
      <c r="G180" s="320"/>
      <c r="H180" s="142"/>
      <c r="I180" s="329"/>
      <c r="J180" s="124"/>
      <c r="K180" s="329"/>
      <c r="L180" s="124"/>
      <c r="M180" s="320"/>
      <c r="N180" s="142"/>
      <c r="O180" s="320"/>
      <c r="P180" s="142"/>
      <c r="Q180" s="320"/>
      <c r="R180" s="142"/>
      <c r="S180" s="320"/>
      <c r="T180" s="142"/>
      <c r="U180" s="30"/>
      <c r="V180" s="30"/>
    </row>
    <row r="181">
      <c r="A181" s="320"/>
      <c r="B181" s="142"/>
      <c r="C181" s="320"/>
      <c r="D181" s="142"/>
      <c r="E181" s="320"/>
      <c r="F181" s="142"/>
      <c r="G181" s="320"/>
      <c r="H181" s="142"/>
      <c r="I181" s="329"/>
      <c r="J181" s="124"/>
      <c r="K181" s="329"/>
      <c r="L181" s="124"/>
      <c r="M181" s="320"/>
      <c r="N181" s="142"/>
      <c r="O181" s="320"/>
      <c r="P181" s="142"/>
      <c r="Q181" s="320"/>
      <c r="R181" s="142"/>
      <c r="S181" s="320"/>
      <c r="T181" s="142"/>
      <c r="U181" s="30"/>
      <c r="V181" s="30"/>
    </row>
    <row r="182">
      <c r="A182" s="320"/>
      <c r="B182" s="142"/>
      <c r="C182" s="320"/>
      <c r="D182" s="142"/>
      <c r="E182" s="320"/>
      <c r="F182" s="142"/>
      <c r="G182" s="320"/>
      <c r="H182" s="142"/>
      <c r="I182" s="329"/>
      <c r="J182" s="124"/>
      <c r="K182" s="329"/>
      <c r="L182" s="124"/>
      <c r="M182" s="320"/>
      <c r="N182" s="142"/>
      <c r="O182" s="320"/>
      <c r="P182" s="142"/>
      <c r="Q182" s="320"/>
      <c r="R182" s="142"/>
      <c r="S182" s="320"/>
      <c r="T182" s="142"/>
      <c r="U182" s="30"/>
      <c r="V182" s="30"/>
    </row>
    <row r="183">
      <c r="A183" s="320"/>
      <c r="B183" s="142"/>
      <c r="C183" s="320"/>
      <c r="D183" s="142"/>
      <c r="E183" s="320"/>
      <c r="F183" s="142"/>
      <c r="G183" s="320"/>
      <c r="H183" s="142"/>
      <c r="I183" s="329"/>
      <c r="J183" s="124"/>
      <c r="K183" s="329"/>
      <c r="L183" s="124"/>
      <c r="M183" s="320"/>
      <c r="N183" s="142"/>
      <c r="O183" s="320"/>
      <c r="P183" s="142"/>
      <c r="Q183" s="320"/>
      <c r="R183" s="142"/>
      <c r="S183" s="320"/>
      <c r="T183" s="142"/>
      <c r="U183" s="30"/>
      <c r="V183" s="30"/>
    </row>
    <row r="184">
      <c r="A184" s="320"/>
      <c r="B184" s="142"/>
      <c r="C184" s="320"/>
      <c r="D184" s="142"/>
      <c r="E184" s="320"/>
      <c r="F184" s="142"/>
      <c r="G184" s="320"/>
      <c r="H184" s="142"/>
      <c r="I184" s="329"/>
      <c r="J184" s="124"/>
      <c r="K184" s="329"/>
      <c r="L184" s="124"/>
      <c r="M184" s="320"/>
      <c r="N184" s="142"/>
      <c r="O184" s="320"/>
      <c r="P184" s="142"/>
      <c r="Q184" s="320"/>
      <c r="R184" s="142"/>
      <c r="S184" s="320"/>
      <c r="T184" s="142"/>
      <c r="U184" s="30"/>
      <c r="V184" s="30"/>
    </row>
    <row r="185">
      <c r="A185" s="320"/>
      <c r="B185" s="142"/>
      <c r="C185" s="320"/>
      <c r="D185" s="142"/>
      <c r="E185" s="320"/>
      <c r="F185" s="142"/>
      <c r="G185" s="320"/>
      <c r="H185" s="142"/>
      <c r="I185" s="329"/>
      <c r="J185" s="124"/>
      <c r="K185" s="329"/>
      <c r="L185" s="124"/>
      <c r="M185" s="320"/>
      <c r="N185" s="142"/>
      <c r="O185" s="320"/>
      <c r="P185" s="142"/>
      <c r="Q185" s="320"/>
      <c r="R185" s="142"/>
      <c r="S185" s="320"/>
      <c r="T185" s="142"/>
      <c r="U185" s="30"/>
      <c r="V185" s="30"/>
    </row>
    <row r="186">
      <c r="A186" s="320"/>
      <c r="B186" s="142"/>
      <c r="C186" s="320"/>
      <c r="D186" s="142"/>
      <c r="E186" s="320"/>
      <c r="F186" s="142"/>
      <c r="G186" s="320"/>
      <c r="H186" s="142"/>
      <c r="I186" s="329"/>
      <c r="J186" s="124"/>
      <c r="K186" s="329"/>
      <c r="L186" s="124"/>
      <c r="M186" s="320"/>
      <c r="N186" s="142"/>
      <c r="O186" s="320"/>
      <c r="P186" s="142"/>
      <c r="Q186" s="320"/>
      <c r="R186" s="142"/>
      <c r="S186" s="320"/>
      <c r="T186" s="142"/>
      <c r="U186" s="30"/>
      <c r="V186" s="30"/>
    </row>
    <row r="187">
      <c r="A187" s="320"/>
      <c r="B187" s="142"/>
      <c r="C187" s="320"/>
      <c r="D187" s="142"/>
      <c r="E187" s="320"/>
      <c r="F187" s="142"/>
      <c r="G187" s="320"/>
      <c r="H187" s="142"/>
      <c r="I187" s="329"/>
      <c r="J187" s="124"/>
      <c r="K187" s="329"/>
      <c r="L187" s="124"/>
      <c r="M187" s="320"/>
      <c r="N187" s="142"/>
      <c r="O187" s="320"/>
      <c r="P187" s="142"/>
      <c r="Q187" s="320"/>
      <c r="R187" s="142"/>
      <c r="S187" s="320"/>
      <c r="T187" s="142"/>
      <c r="U187" s="30"/>
      <c r="V187" s="30"/>
    </row>
    <row r="188">
      <c r="A188" s="320"/>
      <c r="B188" s="142"/>
      <c r="C188" s="320"/>
      <c r="D188" s="142"/>
      <c r="E188" s="320"/>
      <c r="F188" s="142"/>
      <c r="G188" s="320"/>
      <c r="H188" s="142"/>
      <c r="I188" s="329"/>
      <c r="J188" s="124"/>
      <c r="K188" s="329"/>
      <c r="L188" s="124"/>
      <c r="M188" s="320"/>
      <c r="N188" s="142"/>
      <c r="O188" s="320"/>
      <c r="P188" s="142"/>
      <c r="Q188" s="320"/>
      <c r="R188" s="142"/>
      <c r="S188" s="320"/>
      <c r="T188" s="142"/>
      <c r="U188" s="30"/>
      <c r="V188" s="30"/>
    </row>
    <row r="189">
      <c r="A189" s="320"/>
      <c r="B189" s="142"/>
      <c r="C189" s="320"/>
      <c r="D189" s="142"/>
      <c r="E189" s="320"/>
      <c r="F189" s="142"/>
      <c r="G189" s="320"/>
      <c r="H189" s="142"/>
      <c r="I189" s="329"/>
      <c r="J189" s="124"/>
      <c r="K189" s="329"/>
      <c r="L189" s="124"/>
      <c r="M189" s="320"/>
      <c r="N189" s="142"/>
      <c r="O189" s="320"/>
      <c r="P189" s="142"/>
      <c r="Q189" s="320"/>
      <c r="R189" s="142"/>
      <c r="S189" s="320"/>
      <c r="T189" s="142"/>
      <c r="U189" s="30"/>
      <c r="V189" s="30"/>
    </row>
    <row r="190">
      <c r="A190" s="320"/>
      <c r="B190" s="142"/>
      <c r="C190" s="320"/>
      <c r="D190" s="142"/>
      <c r="E190" s="320"/>
      <c r="F190" s="142"/>
      <c r="G190" s="320"/>
      <c r="H190" s="142"/>
      <c r="I190" s="329"/>
      <c r="J190" s="124"/>
      <c r="K190" s="329"/>
      <c r="L190" s="124"/>
      <c r="M190" s="320"/>
      <c r="N190" s="142"/>
      <c r="O190" s="320"/>
      <c r="P190" s="142"/>
      <c r="Q190" s="320"/>
      <c r="R190" s="142"/>
      <c r="S190" s="320"/>
      <c r="T190" s="142"/>
      <c r="U190" s="30"/>
      <c r="V190" s="30"/>
    </row>
    <row r="191">
      <c r="A191" s="320"/>
      <c r="B191" s="142"/>
      <c r="C191" s="320"/>
      <c r="D191" s="142"/>
      <c r="E191" s="320"/>
      <c r="F191" s="142"/>
      <c r="G191" s="320"/>
      <c r="H191" s="142"/>
      <c r="I191" s="329"/>
      <c r="J191" s="124"/>
      <c r="K191" s="329"/>
      <c r="L191" s="124"/>
      <c r="M191" s="320"/>
      <c r="N191" s="142"/>
      <c r="O191" s="320"/>
      <c r="P191" s="142"/>
      <c r="Q191" s="320"/>
      <c r="R191" s="142"/>
      <c r="S191" s="320"/>
      <c r="T191" s="142"/>
      <c r="U191" s="30"/>
      <c r="V191" s="30"/>
    </row>
    <row r="192">
      <c r="A192" s="320"/>
      <c r="B192" s="142"/>
      <c r="C192" s="320"/>
      <c r="D192" s="142"/>
      <c r="E192" s="320"/>
      <c r="F192" s="142"/>
      <c r="G192" s="320"/>
      <c r="H192" s="142"/>
      <c r="I192" s="329"/>
      <c r="J192" s="124"/>
      <c r="K192" s="329"/>
      <c r="L192" s="124"/>
      <c r="M192" s="320"/>
      <c r="N192" s="142"/>
      <c r="O192" s="320"/>
      <c r="P192" s="142"/>
      <c r="Q192" s="320"/>
      <c r="R192" s="142"/>
      <c r="S192" s="320"/>
      <c r="T192" s="142"/>
      <c r="U192" s="30"/>
      <c r="V192" s="30"/>
    </row>
    <row r="193">
      <c r="A193" s="320"/>
      <c r="B193" s="142"/>
      <c r="C193" s="320"/>
      <c r="D193" s="142"/>
      <c r="E193" s="320"/>
      <c r="F193" s="142"/>
      <c r="G193" s="320"/>
      <c r="H193" s="142"/>
      <c r="I193" s="329"/>
      <c r="J193" s="124"/>
      <c r="K193" s="329"/>
      <c r="L193" s="124"/>
      <c r="M193" s="320"/>
      <c r="N193" s="142"/>
      <c r="O193" s="320"/>
      <c r="P193" s="142"/>
      <c r="Q193" s="320"/>
      <c r="R193" s="142"/>
      <c r="S193" s="320"/>
      <c r="T193" s="142"/>
      <c r="U193" s="30"/>
      <c r="V193" s="30"/>
    </row>
    <row r="194">
      <c r="A194" s="320"/>
      <c r="B194" s="142"/>
      <c r="C194" s="320"/>
      <c r="D194" s="142"/>
      <c r="E194" s="320"/>
      <c r="F194" s="142"/>
      <c r="G194" s="320"/>
      <c r="H194" s="142"/>
      <c r="I194" s="329"/>
      <c r="J194" s="124"/>
      <c r="K194" s="329"/>
      <c r="L194" s="124"/>
      <c r="M194" s="320"/>
      <c r="N194" s="142"/>
      <c r="O194" s="320"/>
      <c r="P194" s="142"/>
      <c r="Q194" s="320"/>
      <c r="R194" s="142"/>
      <c r="S194" s="320"/>
      <c r="T194" s="142"/>
      <c r="U194" s="30"/>
      <c r="V194" s="30"/>
    </row>
    <row r="195">
      <c r="A195" s="320"/>
      <c r="B195" s="142"/>
      <c r="C195" s="320"/>
      <c r="D195" s="142"/>
      <c r="E195" s="320"/>
      <c r="F195" s="142"/>
      <c r="G195" s="320"/>
      <c r="H195" s="142"/>
      <c r="I195" s="329"/>
      <c r="J195" s="124"/>
      <c r="K195" s="329"/>
      <c r="L195" s="124"/>
      <c r="M195" s="320"/>
      <c r="N195" s="142"/>
      <c r="O195" s="320"/>
      <c r="P195" s="142"/>
      <c r="Q195" s="320"/>
      <c r="R195" s="142"/>
      <c r="S195" s="320"/>
      <c r="T195" s="142"/>
      <c r="U195" s="30"/>
      <c r="V195" s="30"/>
    </row>
    <row r="196">
      <c r="A196" s="320"/>
      <c r="B196" s="142"/>
      <c r="C196" s="320"/>
      <c r="D196" s="142"/>
      <c r="E196" s="320"/>
      <c r="F196" s="142"/>
      <c r="G196" s="320"/>
      <c r="H196" s="142"/>
      <c r="I196" s="329"/>
      <c r="J196" s="124"/>
      <c r="K196" s="329"/>
      <c r="L196" s="124"/>
      <c r="M196" s="320"/>
      <c r="N196" s="142"/>
      <c r="O196" s="320"/>
      <c r="P196" s="142"/>
      <c r="Q196" s="320"/>
      <c r="R196" s="142"/>
      <c r="S196" s="320"/>
      <c r="T196" s="142"/>
      <c r="U196" s="30"/>
      <c r="V196" s="30"/>
    </row>
    <row r="197">
      <c r="A197" s="320"/>
      <c r="B197" s="142"/>
      <c r="C197" s="320"/>
      <c r="D197" s="142"/>
      <c r="E197" s="320"/>
      <c r="F197" s="142"/>
      <c r="G197" s="320"/>
      <c r="H197" s="142"/>
      <c r="I197" s="329"/>
      <c r="J197" s="124"/>
      <c r="K197" s="329"/>
      <c r="L197" s="124"/>
      <c r="M197" s="320"/>
      <c r="N197" s="142"/>
      <c r="O197" s="320"/>
      <c r="P197" s="142"/>
      <c r="Q197" s="320"/>
      <c r="R197" s="142"/>
      <c r="S197" s="320"/>
      <c r="T197" s="142"/>
      <c r="U197" s="30"/>
      <c r="V197" s="30"/>
    </row>
    <row r="198">
      <c r="A198" s="320"/>
      <c r="B198" s="142"/>
      <c r="C198" s="320"/>
      <c r="D198" s="142"/>
      <c r="E198" s="320"/>
      <c r="F198" s="142"/>
      <c r="G198" s="320"/>
      <c r="H198" s="142"/>
      <c r="I198" s="329"/>
      <c r="J198" s="124"/>
      <c r="K198" s="329"/>
      <c r="L198" s="124"/>
      <c r="M198" s="320"/>
      <c r="N198" s="142"/>
      <c r="O198" s="320"/>
      <c r="P198" s="142"/>
      <c r="Q198" s="320"/>
      <c r="R198" s="142"/>
      <c r="S198" s="320"/>
      <c r="T198" s="142"/>
      <c r="U198" s="30"/>
      <c r="V198" s="30"/>
    </row>
    <row r="199">
      <c r="A199" s="320"/>
      <c r="B199" s="142"/>
      <c r="C199" s="320"/>
      <c r="D199" s="142"/>
      <c r="E199" s="320"/>
      <c r="F199" s="142"/>
      <c r="G199" s="320"/>
      <c r="H199" s="142"/>
      <c r="I199" s="329"/>
      <c r="J199" s="124"/>
      <c r="K199" s="329"/>
      <c r="L199" s="124"/>
      <c r="M199" s="320"/>
      <c r="N199" s="142"/>
      <c r="O199" s="320"/>
      <c r="P199" s="142"/>
      <c r="Q199" s="320"/>
      <c r="R199" s="142"/>
      <c r="S199" s="320"/>
      <c r="T199" s="142"/>
      <c r="U199" s="30"/>
      <c r="V199" s="30"/>
    </row>
    <row r="200">
      <c r="A200" s="320"/>
      <c r="B200" s="142"/>
      <c r="C200" s="320"/>
      <c r="D200" s="142"/>
      <c r="E200" s="320"/>
      <c r="F200" s="142"/>
      <c r="G200" s="320"/>
      <c r="H200" s="142"/>
      <c r="I200" s="329"/>
      <c r="J200" s="124"/>
      <c r="K200" s="329"/>
      <c r="L200" s="124"/>
      <c r="M200" s="320"/>
      <c r="N200" s="142"/>
      <c r="O200" s="320"/>
      <c r="P200" s="142"/>
      <c r="Q200" s="320"/>
      <c r="R200" s="142"/>
      <c r="S200" s="320"/>
      <c r="T200" s="142"/>
      <c r="U200" s="30"/>
      <c r="V200" s="30"/>
    </row>
    <row r="201">
      <c r="A201" s="320"/>
      <c r="B201" s="142"/>
      <c r="C201" s="320"/>
      <c r="D201" s="142"/>
      <c r="E201" s="320"/>
      <c r="F201" s="142"/>
      <c r="G201" s="320"/>
      <c r="H201" s="142"/>
      <c r="I201" s="329"/>
      <c r="J201" s="124"/>
      <c r="K201" s="329"/>
      <c r="L201" s="124"/>
      <c r="M201" s="320"/>
      <c r="N201" s="142"/>
      <c r="O201" s="320"/>
      <c r="P201" s="142"/>
      <c r="Q201" s="320"/>
      <c r="R201" s="142"/>
      <c r="S201" s="320"/>
      <c r="T201" s="142"/>
      <c r="U201" s="30"/>
      <c r="V201" s="30"/>
    </row>
    <row r="202">
      <c r="A202" s="320"/>
      <c r="B202" s="142"/>
      <c r="C202" s="320"/>
      <c r="D202" s="142"/>
      <c r="E202" s="320"/>
      <c r="F202" s="142"/>
      <c r="G202" s="320"/>
      <c r="H202" s="142"/>
      <c r="I202" s="329"/>
      <c r="J202" s="124"/>
      <c r="K202" s="329"/>
      <c r="L202" s="124"/>
      <c r="M202" s="320"/>
      <c r="N202" s="142"/>
      <c r="O202" s="320"/>
      <c r="P202" s="142"/>
      <c r="Q202" s="320"/>
      <c r="R202" s="142"/>
      <c r="S202" s="320"/>
      <c r="T202" s="142"/>
      <c r="U202" s="30"/>
      <c r="V202" s="30"/>
    </row>
    <row r="203">
      <c r="A203" s="320"/>
      <c r="B203" s="142"/>
      <c r="C203" s="320"/>
      <c r="D203" s="142"/>
      <c r="E203" s="320"/>
      <c r="F203" s="142"/>
      <c r="G203" s="320"/>
      <c r="H203" s="142"/>
      <c r="I203" s="329"/>
      <c r="J203" s="124"/>
      <c r="K203" s="329"/>
      <c r="L203" s="124"/>
      <c r="M203" s="320"/>
      <c r="N203" s="142"/>
      <c r="O203" s="320"/>
      <c r="P203" s="142"/>
      <c r="Q203" s="320"/>
      <c r="R203" s="142"/>
      <c r="S203" s="320"/>
      <c r="T203" s="142"/>
      <c r="U203" s="30"/>
      <c r="V203" s="30"/>
    </row>
    <row r="204">
      <c r="A204" s="320"/>
      <c r="B204" s="142"/>
      <c r="C204" s="320"/>
      <c r="D204" s="142"/>
      <c r="E204" s="320"/>
      <c r="F204" s="142"/>
      <c r="G204" s="320"/>
      <c r="H204" s="142"/>
      <c r="I204" s="329"/>
      <c r="J204" s="124"/>
      <c r="K204" s="329"/>
      <c r="L204" s="124"/>
      <c r="M204" s="320"/>
      <c r="N204" s="142"/>
      <c r="O204" s="320"/>
      <c r="P204" s="142"/>
      <c r="Q204" s="320"/>
      <c r="R204" s="142"/>
      <c r="S204" s="320"/>
      <c r="T204" s="142"/>
      <c r="U204" s="30"/>
      <c r="V204" s="30"/>
    </row>
    <row r="205">
      <c r="A205" s="320"/>
      <c r="B205" s="142"/>
      <c r="C205" s="320"/>
      <c r="D205" s="142"/>
      <c r="E205" s="320"/>
      <c r="F205" s="142"/>
      <c r="G205" s="320"/>
      <c r="H205" s="142"/>
      <c r="I205" s="329"/>
      <c r="J205" s="124"/>
      <c r="K205" s="329"/>
      <c r="L205" s="124"/>
      <c r="M205" s="320"/>
      <c r="N205" s="142"/>
      <c r="O205" s="320"/>
      <c r="P205" s="142"/>
      <c r="Q205" s="320"/>
      <c r="R205" s="142"/>
      <c r="S205" s="320"/>
      <c r="T205" s="142"/>
      <c r="U205" s="30"/>
      <c r="V205" s="30"/>
    </row>
    <row r="206">
      <c r="A206" s="320"/>
      <c r="B206" s="142"/>
      <c r="C206" s="320"/>
      <c r="D206" s="142"/>
      <c r="E206" s="320"/>
      <c r="F206" s="142"/>
      <c r="G206" s="320"/>
      <c r="H206" s="142"/>
      <c r="I206" s="329"/>
      <c r="J206" s="124"/>
      <c r="K206" s="329"/>
      <c r="L206" s="124"/>
      <c r="M206" s="320"/>
      <c r="N206" s="142"/>
      <c r="O206" s="320"/>
      <c r="P206" s="142"/>
      <c r="Q206" s="320"/>
      <c r="R206" s="142"/>
      <c r="S206" s="320"/>
      <c r="T206" s="142"/>
      <c r="U206" s="30"/>
      <c r="V206" s="30"/>
    </row>
    <row r="207">
      <c r="A207" s="320"/>
      <c r="B207" s="142"/>
      <c r="C207" s="320"/>
      <c r="D207" s="142"/>
      <c r="E207" s="320"/>
      <c r="F207" s="142"/>
      <c r="G207" s="320"/>
      <c r="H207" s="142"/>
      <c r="I207" s="329"/>
      <c r="J207" s="124"/>
      <c r="K207" s="329"/>
      <c r="L207" s="124"/>
      <c r="M207" s="320"/>
      <c r="N207" s="142"/>
      <c r="O207" s="320"/>
      <c r="P207" s="142"/>
      <c r="Q207" s="320"/>
      <c r="R207" s="142"/>
      <c r="S207" s="320"/>
      <c r="T207" s="142"/>
      <c r="U207" s="30"/>
      <c r="V207" s="30"/>
    </row>
    <row r="208">
      <c r="A208" s="320"/>
      <c r="B208" s="142"/>
      <c r="C208" s="320"/>
      <c r="D208" s="142"/>
      <c r="E208" s="320"/>
      <c r="F208" s="142"/>
      <c r="G208" s="320"/>
      <c r="H208" s="142"/>
      <c r="I208" s="329"/>
      <c r="J208" s="124"/>
      <c r="K208" s="329"/>
      <c r="L208" s="124"/>
      <c r="M208" s="320"/>
      <c r="N208" s="142"/>
      <c r="O208" s="320"/>
      <c r="P208" s="142"/>
      <c r="Q208" s="320"/>
      <c r="R208" s="142"/>
      <c r="S208" s="320"/>
      <c r="T208" s="142"/>
      <c r="U208" s="30"/>
      <c r="V208" s="30"/>
    </row>
    <row r="209">
      <c r="A209" s="320"/>
      <c r="B209" s="142"/>
      <c r="C209" s="320"/>
      <c r="D209" s="142"/>
      <c r="E209" s="320"/>
      <c r="F209" s="142"/>
      <c r="G209" s="320"/>
      <c r="H209" s="142"/>
      <c r="I209" s="329"/>
      <c r="J209" s="124"/>
      <c r="K209" s="329"/>
      <c r="L209" s="124"/>
      <c r="M209" s="320"/>
      <c r="N209" s="142"/>
      <c r="O209" s="320"/>
      <c r="P209" s="142"/>
      <c r="Q209" s="320"/>
      <c r="R209" s="142"/>
      <c r="S209" s="320"/>
      <c r="T209" s="142"/>
      <c r="U209" s="30"/>
      <c r="V209" s="30"/>
    </row>
    <row r="210">
      <c r="A210" s="320"/>
      <c r="B210" s="142"/>
      <c r="C210" s="320"/>
      <c r="D210" s="142"/>
      <c r="E210" s="320"/>
      <c r="F210" s="142"/>
      <c r="G210" s="320"/>
      <c r="H210" s="142"/>
      <c r="I210" s="329"/>
      <c r="J210" s="124"/>
      <c r="K210" s="329"/>
      <c r="L210" s="124"/>
      <c r="M210" s="320"/>
      <c r="N210" s="142"/>
      <c r="O210" s="320"/>
      <c r="P210" s="142"/>
      <c r="Q210" s="320"/>
      <c r="R210" s="142"/>
      <c r="S210" s="320"/>
      <c r="T210" s="142"/>
      <c r="U210" s="30"/>
      <c r="V210" s="30"/>
    </row>
    <row r="211">
      <c r="A211" s="320"/>
      <c r="B211" s="142"/>
      <c r="C211" s="320"/>
      <c r="D211" s="142"/>
      <c r="E211" s="320"/>
      <c r="F211" s="142"/>
      <c r="G211" s="320"/>
      <c r="H211" s="142"/>
      <c r="I211" s="329"/>
      <c r="J211" s="124"/>
      <c r="K211" s="329"/>
      <c r="L211" s="124"/>
      <c r="M211" s="320"/>
      <c r="N211" s="142"/>
      <c r="O211" s="320"/>
      <c r="P211" s="142"/>
      <c r="Q211" s="320"/>
      <c r="R211" s="142"/>
      <c r="S211" s="320"/>
      <c r="T211" s="142"/>
      <c r="U211" s="30"/>
      <c r="V211" s="30"/>
    </row>
    <row r="212">
      <c r="A212" s="320"/>
      <c r="B212" s="142"/>
      <c r="C212" s="320"/>
      <c r="D212" s="142"/>
      <c r="E212" s="320"/>
      <c r="F212" s="142"/>
      <c r="G212" s="320"/>
      <c r="H212" s="142"/>
      <c r="I212" s="329"/>
      <c r="J212" s="124"/>
      <c r="K212" s="329"/>
      <c r="L212" s="124"/>
      <c r="M212" s="320"/>
      <c r="N212" s="142"/>
      <c r="O212" s="320"/>
      <c r="P212" s="142"/>
      <c r="Q212" s="320"/>
      <c r="R212" s="142"/>
      <c r="S212" s="320"/>
      <c r="T212" s="142"/>
      <c r="U212" s="30"/>
      <c r="V212" s="30"/>
    </row>
    <row r="213">
      <c r="A213" s="320"/>
      <c r="B213" s="142"/>
      <c r="C213" s="320"/>
      <c r="D213" s="142"/>
      <c r="E213" s="320"/>
      <c r="F213" s="142"/>
      <c r="G213" s="320"/>
      <c r="H213" s="142"/>
      <c r="I213" s="329"/>
      <c r="J213" s="124"/>
      <c r="K213" s="329"/>
      <c r="L213" s="124"/>
      <c r="M213" s="320"/>
      <c r="N213" s="142"/>
      <c r="O213" s="320"/>
      <c r="P213" s="142"/>
      <c r="Q213" s="320"/>
      <c r="R213" s="142"/>
      <c r="S213" s="320"/>
      <c r="T213" s="142"/>
      <c r="U213" s="30"/>
      <c r="V213" s="30"/>
    </row>
    <row r="214">
      <c r="A214" s="320"/>
      <c r="B214" s="142"/>
      <c r="C214" s="320"/>
      <c r="D214" s="142"/>
      <c r="E214" s="320"/>
      <c r="F214" s="142"/>
      <c r="G214" s="320"/>
      <c r="H214" s="142"/>
      <c r="I214" s="329"/>
      <c r="J214" s="124"/>
      <c r="K214" s="329"/>
      <c r="L214" s="124"/>
      <c r="M214" s="320"/>
      <c r="N214" s="142"/>
      <c r="O214" s="320"/>
      <c r="P214" s="142"/>
      <c r="Q214" s="320"/>
      <c r="R214" s="142"/>
      <c r="S214" s="320"/>
      <c r="T214" s="142"/>
      <c r="U214" s="30"/>
      <c r="V214" s="30"/>
    </row>
    <row r="215">
      <c r="A215" s="320"/>
      <c r="B215" s="142"/>
      <c r="C215" s="320"/>
      <c r="D215" s="142"/>
      <c r="E215" s="320"/>
      <c r="F215" s="142"/>
      <c r="G215" s="320"/>
      <c r="H215" s="142"/>
      <c r="I215" s="329"/>
      <c r="J215" s="124"/>
      <c r="K215" s="329"/>
      <c r="L215" s="124"/>
      <c r="M215" s="320"/>
      <c r="N215" s="142"/>
      <c r="O215" s="320"/>
      <c r="P215" s="142"/>
      <c r="Q215" s="320"/>
      <c r="R215" s="142"/>
      <c r="S215" s="320"/>
      <c r="T215" s="142"/>
      <c r="U215" s="30"/>
      <c r="V215" s="30"/>
    </row>
    <row r="216">
      <c r="A216" s="320"/>
      <c r="B216" s="142"/>
      <c r="C216" s="320"/>
      <c r="D216" s="142"/>
      <c r="E216" s="320"/>
      <c r="F216" s="142"/>
      <c r="G216" s="320"/>
      <c r="H216" s="142"/>
      <c r="I216" s="329"/>
      <c r="J216" s="124"/>
      <c r="K216" s="329"/>
      <c r="L216" s="124"/>
      <c r="M216" s="320"/>
      <c r="N216" s="142"/>
      <c r="O216" s="320"/>
      <c r="P216" s="142"/>
      <c r="Q216" s="320"/>
      <c r="R216" s="142"/>
      <c r="S216" s="320"/>
      <c r="T216" s="142"/>
      <c r="U216" s="30"/>
      <c r="V216" s="30"/>
    </row>
    <row r="217">
      <c r="A217" s="320"/>
      <c r="B217" s="142"/>
      <c r="C217" s="320"/>
      <c r="D217" s="142"/>
      <c r="E217" s="320"/>
      <c r="F217" s="142"/>
      <c r="G217" s="320"/>
      <c r="H217" s="142"/>
      <c r="I217" s="329"/>
      <c r="J217" s="124"/>
      <c r="K217" s="329"/>
      <c r="L217" s="124"/>
      <c r="M217" s="320"/>
      <c r="N217" s="142"/>
      <c r="O217" s="320"/>
      <c r="P217" s="142"/>
      <c r="Q217" s="320"/>
      <c r="R217" s="142"/>
      <c r="S217" s="320"/>
      <c r="T217" s="142"/>
      <c r="U217" s="30"/>
      <c r="V217" s="30"/>
    </row>
    <row r="218">
      <c r="A218" s="320"/>
      <c r="B218" s="142"/>
      <c r="C218" s="320"/>
      <c r="D218" s="142"/>
      <c r="E218" s="320"/>
      <c r="F218" s="142"/>
      <c r="G218" s="320"/>
      <c r="H218" s="142"/>
      <c r="I218" s="329"/>
      <c r="J218" s="124"/>
      <c r="K218" s="329"/>
      <c r="L218" s="124"/>
      <c r="M218" s="320"/>
      <c r="N218" s="142"/>
      <c r="O218" s="320"/>
      <c r="P218" s="142"/>
      <c r="Q218" s="320"/>
      <c r="R218" s="142"/>
      <c r="S218" s="320"/>
      <c r="T218" s="142"/>
      <c r="U218" s="30"/>
      <c r="V218" s="30"/>
    </row>
    <row r="219">
      <c r="A219" s="320"/>
      <c r="B219" s="142"/>
      <c r="C219" s="320"/>
      <c r="D219" s="142"/>
      <c r="E219" s="320"/>
      <c r="F219" s="142"/>
      <c r="G219" s="320"/>
      <c r="H219" s="142"/>
      <c r="I219" s="329"/>
      <c r="J219" s="124"/>
      <c r="K219" s="329"/>
      <c r="L219" s="124"/>
      <c r="M219" s="320"/>
      <c r="N219" s="142"/>
      <c r="O219" s="320"/>
      <c r="P219" s="142"/>
      <c r="Q219" s="320"/>
      <c r="R219" s="142"/>
      <c r="S219" s="320"/>
      <c r="T219" s="142"/>
      <c r="U219" s="30"/>
      <c r="V219" s="30"/>
    </row>
    <row r="220">
      <c r="A220" s="320"/>
      <c r="B220" s="142"/>
      <c r="C220" s="320"/>
      <c r="D220" s="142"/>
      <c r="E220" s="320"/>
      <c r="F220" s="142"/>
      <c r="G220" s="320"/>
      <c r="H220" s="142"/>
      <c r="I220" s="329"/>
      <c r="J220" s="124"/>
      <c r="K220" s="329"/>
      <c r="L220" s="124"/>
      <c r="M220" s="320"/>
      <c r="N220" s="142"/>
      <c r="O220" s="320"/>
      <c r="P220" s="142"/>
      <c r="Q220" s="320"/>
      <c r="R220" s="142"/>
      <c r="S220" s="320"/>
      <c r="T220" s="142"/>
      <c r="U220" s="30"/>
      <c r="V220" s="30"/>
    </row>
    <row r="221">
      <c r="A221" s="320"/>
      <c r="B221" s="142"/>
      <c r="C221" s="320"/>
      <c r="D221" s="142"/>
      <c r="E221" s="320"/>
      <c r="F221" s="142"/>
      <c r="G221" s="320"/>
      <c r="H221" s="142"/>
      <c r="I221" s="329"/>
      <c r="J221" s="124"/>
      <c r="K221" s="329"/>
      <c r="L221" s="124"/>
      <c r="M221" s="320"/>
      <c r="N221" s="142"/>
      <c r="O221" s="320"/>
      <c r="P221" s="142"/>
      <c r="Q221" s="320"/>
      <c r="R221" s="142"/>
      <c r="S221" s="320"/>
      <c r="T221" s="142"/>
      <c r="U221" s="30"/>
      <c r="V221" s="30"/>
    </row>
    <row r="222">
      <c r="A222" s="320"/>
      <c r="B222" s="142"/>
      <c r="C222" s="320"/>
      <c r="D222" s="142"/>
      <c r="E222" s="320"/>
      <c r="F222" s="142"/>
      <c r="G222" s="320"/>
      <c r="H222" s="142"/>
      <c r="I222" s="329"/>
      <c r="J222" s="124"/>
      <c r="K222" s="329"/>
      <c r="L222" s="124"/>
      <c r="M222" s="320"/>
      <c r="N222" s="142"/>
      <c r="O222" s="320"/>
      <c r="P222" s="142"/>
      <c r="Q222" s="320"/>
      <c r="R222" s="142"/>
      <c r="S222" s="320"/>
      <c r="T222" s="142"/>
      <c r="U222" s="30"/>
      <c r="V222" s="30"/>
    </row>
    <row r="223">
      <c r="A223" s="320"/>
      <c r="B223" s="142"/>
      <c r="C223" s="320"/>
      <c r="D223" s="142"/>
      <c r="E223" s="320"/>
      <c r="F223" s="142"/>
      <c r="G223" s="320"/>
      <c r="H223" s="142"/>
      <c r="I223" s="329"/>
      <c r="J223" s="124"/>
      <c r="K223" s="329"/>
      <c r="L223" s="124"/>
      <c r="M223" s="320"/>
      <c r="N223" s="142"/>
      <c r="O223" s="320"/>
      <c r="P223" s="142"/>
      <c r="Q223" s="320"/>
      <c r="R223" s="142"/>
      <c r="S223" s="320"/>
      <c r="T223" s="142"/>
      <c r="U223" s="30"/>
      <c r="V223" s="30"/>
    </row>
    <row r="224">
      <c r="A224" s="320"/>
      <c r="B224" s="142"/>
      <c r="C224" s="320"/>
      <c r="D224" s="142"/>
      <c r="E224" s="320"/>
      <c r="F224" s="142"/>
      <c r="G224" s="320"/>
      <c r="H224" s="142"/>
      <c r="I224" s="329"/>
      <c r="J224" s="124"/>
      <c r="K224" s="329"/>
      <c r="L224" s="124"/>
      <c r="M224" s="320"/>
      <c r="N224" s="142"/>
      <c r="O224" s="320"/>
      <c r="P224" s="142"/>
      <c r="Q224" s="320"/>
      <c r="R224" s="142"/>
      <c r="S224" s="320"/>
      <c r="T224" s="142"/>
      <c r="U224" s="30"/>
      <c r="V224" s="30"/>
    </row>
    <row r="225">
      <c r="A225" s="320"/>
      <c r="B225" s="142"/>
      <c r="C225" s="320"/>
      <c r="D225" s="142"/>
      <c r="E225" s="320"/>
      <c r="F225" s="142"/>
      <c r="G225" s="320"/>
      <c r="H225" s="142"/>
      <c r="I225" s="329"/>
      <c r="J225" s="124"/>
      <c r="K225" s="329"/>
      <c r="L225" s="124"/>
      <c r="M225" s="320"/>
      <c r="N225" s="142"/>
      <c r="O225" s="320"/>
      <c r="P225" s="142"/>
      <c r="Q225" s="320"/>
      <c r="R225" s="142"/>
      <c r="S225" s="320"/>
      <c r="T225" s="142"/>
      <c r="U225" s="30"/>
      <c r="V225" s="30"/>
    </row>
    <row r="226">
      <c r="A226" s="320"/>
      <c r="B226" s="142"/>
      <c r="C226" s="320"/>
      <c r="D226" s="142"/>
      <c r="E226" s="320"/>
      <c r="F226" s="142"/>
      <c r="G226" s="320"/>
      <c r="H226" s="142"/>
      <c r="I226" s="329"/>
      <c r="J226" s="124"/>
      <c r="K226" s="329"/>
      <c r="L226" s="124"/>
      <c r="M226" s="320"/>
      <c r="N226" s="142"/>
      <c r="O226" s="320"/>
      <c r="P226" s="142"/>
      <c r="Q226" s="320"/>
      <c r="R226" s="142"/>
      <c r="S226" s="320"/>
      <c r="T226" s="142"/>
      <c r="U226" s="30"/>
      <c r="V226" s="30"/>
    </row>
    <row r="227">
      <c r="A227" s="320"/>
      <c r="B227" s="142"/>
      <c r="C227" s="320"/>
      <c r="D227" s="142"/>
      <c r="E227" s="320"/>
      <c r="F227" s="142"/>
      <c r="G227" s="320"/>
      <c r="H227" s="142"/>
      <c r="I227" s="329"/>
      <c r="J227" s="124"/>
      <c r="K227" s="329"/>
      <c r="L227" s="124"/>
      <c r="M227" s="320"/>
      <c r="N227" s="142"/>
      <c r="O227" s="320"/>
      <c r="P227" s="142"/>
      <c r="Q227" s="320"/>
      <c r="R227" s="142"/>
      <c r="S227" s="320"/>
      <c r="T227" s="142"/>
      <c r="U227" s="30"/>
      <c r="V227" s="30"/>
    </row>
    <row r="228">
      <c r="A228" s="320"/>
      <c r="B228" s="142"/>
      <c r="C228" s="320"/>
      <c r="D228" s="142"/>
      <c r="E228" s="320"/>
      <c r="F228" s="142"/>
      <c r="G228" s="320"/>
      <c r="H228" s="142"/>
      <c r="I228" s="329"/>
      <c r="J228" s="124"/>
      <c r="K228" s="329"/>
      <c r="L228" s="124"/>
      <c r="M228" s="320"/>
      <c r="N228" s="142"/>
      <c r="O228" s="320"/>
      <c r="P228" s="142"/>
      <c r="Q228" s="320"/>
      <c r="R228" s="142"/>
      <c r="S228" s="320"/>
      <c r="T228" s="142"/>
      <c r="U228" s="30"/>
      <c r="V228" s="30"/>
    </row>
    <row r="229">
      <c r="A229" s="320"/>
      <c r="B229" s="142"/>
      <c r="C229" s="320"/>
      <c r="D229" s="142"/>
      <c r="E229" s="320"/>
      <c r="F229" s="142"/>
      <c r="G229" s="320"/>
      <c r="H229" s="142"/>
      <c r="I229" s="329"/>
      <c r="J229" s="124"/>
      <c r="K229" s="329"/>
      <c r="L229" s="124"/>
      <c r="M229" s="320"/>
      <c r="N229" s="142"/>
      <c r="O229" s="320"/>
      <c r="P229" s="142"/>
      <c r="Q229" s="320"/>
      <c r="R229" s="142"/>
      <c r="S229" s="320"/>
      <c r="T229" s="142"/>
      <c r="U229" s="30"/>
      <c r="V229" s="30"/>
    </row>
    <row r="230">
      <c r="A230" s="320"/>
      <c r="B230" s="142"/>
      <c r="C230" s="320"/>
      <c r="D230" s="142"/>
      <c r="E230" s="320"/>
      <c r="F230" s="142"/>
      <c r="G230" s="320"/>
      <c r="H230" s="142"/>
      <c r="I230" s="329"/>
      <c r="J230" s="124"/>
      <c r="K230" s="329"/>
      <c r="L230" s="124"/>
      <c r="M230" s="320"/>
      <c r="N230" s="142"/>
      <c r="O230" s="320"/>
      <c r="P230" s="142"/>
      <c r="Q230" s="320"/>
      <c r="R230" s="142"/>
      <c r="S230" s="320"/>
      <c r="T230" s="142"/>
      <c r="U230" s="30"/>
      <c r="V230" s="30"/>
    </row>
    <row r="231">
      <c r="A231" s="320"/>
      <c r="B231" s="142"/>
      <c r="C231" s="320"/>
      <c r="D231" s="142"/>
      <c r="E231" s="320"/>
      <c r="F231" s="142"/>
      <c r="G231" s="320"/>
      <c r="H231" s="142"/>
      <c r="I231" s="329"/>
      <c r="J231" s="124"/>
      <c r="K231" s="329"/>
      <c r="L231" s="124"/>
      <c r="M231" s="320"/>
      <c r="N231" s="142"/>
      <c r="O231" s="320"/>
      <c r="P231" s="142"/>
      <c r="Q231" s="320"/>
      <c r="R231" s="142"/>
      <c r="S231" s="320"/>
      <c r="T231" s="142"/>
      <c r="U231" s="30"/>
      <c r="V231" s="30"/>
    </row>
    <row r="232">
      <c r="A232" s="320"/>
      <c r="B232" s="142"/>
      <c r="C232" s="320"/>
      <c r="D232" s="142"/>
      <c r="E232" s="320"/>
      <c r="F232" s="142"/>
      <c r="G232" s="320"/>
      <c r="H232" s="142"/>
      <c r="I232" s="329"/>
      <c r="J232" s="124"/>
      <c r="K232" s="329"/>
      <c r="L232" s="124"/>
      <c r="M232" s="320"/>
      <c r="N232" s="142"/>
      <c r="O232" s="320"/>
      <c r="P232" s="142"/>
      <c r="Q232" s="320"/>
      <c r="R232" s="142"/>
      <c r="S232" s="320"/>
      <c r="T232" s="142"/>
      <c r="U232" s="30"/>
      <c r="V232" s="30"/>
    </row>
    <row r="233">
      <c r="A233" s="320"/>
      <c r="B233" s="142"/>
      <c r="C233" s="320"/>
      <c r="D233" s="142"/>
      <c r="E233" s="320"/>
      <c r="F233" s="142"/>
      <c r="G233" s="320"/>
      <c r="H233" s="142"/>
      <c r="I233" s="329"/>
      <c r="J233" s="124"/>
      <c r="K233" s="329"/>
      <c r="L233" s="124"/>
      <c r="M233" s="320"/>
      <c r="N233" s="142"/>
      <c r="O233" s="320"/>
      <c r="P233" s="142"/>
      <c r="Q233" s="320"/>
      <c r="R233" s="142"/>
      <c r="S233" s="320"/>
      <c r="T233" s="142"/>
      <c r="U233" s="30"/>
      <c r="V233" s="30"/>
    </row>
    <row r="234">
      <c r="A234" s="320"/>
      <c r="B234" s="142"/>
      <c r="C234" s="320"/>
      <c r="D234" s="142"/>
      <c r="E234" s="320"/>
      <c r="F234" s="142"/>
      <c r="G234" s="320"/>
      <c r="H234" s="142"/>
      <c r="I234" s="329"/>
      <c r="J234" s="124"/>
      <c r="K234" s="329"/>
      <c r="L234" s="124"/>
      <c r="M234" s="320"/>
      <c r="N234" s="142"/>
      <c r="O234" s="320"/>
      <c r="P234" s="142"/>
      <c r="Q234" s="320"/>
      <c r="R234" s="142"/>
      <c r="S234" s="320"/>
      <c r="T234" s="142"/>
      <c r="U234" s="30"/>
      <c r="V234" s="30"/>
    </row>
    <row r="235">
      <c r="A235" s="320"/>
      <c r="B235" s="142"/>
      <c r="C235" s="320"/>
      <c r="D235" s="142"/>
      <c r="E235" s="320"/>
      <c r="F235" s="142"/>
      <c r="G235" s="320"/>
      <c r="H235" s="142"/>
      <c r="I235" s="329"/>
      <c r="J235" s="124"/>
      <c r="K235" s="329"/>
      <c r="L235" s="124"/>
      <c r="M235" s="320"/>
      <c r="N235" s="142"/>
      <c r="O235" s="320"/>
      <c r="P235" s="142"/>
      <c r="Q235" s="320"/>
      <c r="R235" s="142"/>
      <c r="S235" s="320"/>
      <c r="T235" s="142"/>
      <c r="U235" s="30"/>
      <c r="V235" s="30"/>
    </row>
    <row r="236">
      <c r="A236" s="320"/>
      <c r="B236" s="142"/>
      <c r="C236" s="320"/>
      <c r="D236" s="142"/>
      <c r="E236" s="320"/>
      <c r="F236" s="142"/>
      <c r="G236" s="320"/>
      <c r="H236" s="142"/>
      <c r="I236" s="329"/>
      <c r="J236" s="124"/>
      <c r="K236" s="329"/>
      <c r="L236" s="124"/>
      <c r="M236" s="320"/>
      <c r="N236" s="142"/>
      <c r="O236" s="320"/>
      <c r="P236" s="142"/>
      <c r="Q236" s="320"/>
      <c r="R236" s="142"/>
      <c r="S236" s="320"/>
      <c r="T236" s="142"/>
      <c r="U236" s="30"/>
      <c r="V236" s="30"/>
    </row>
    <row r="237">
      <c r="A237" s="320"/>
      <c r="B237" s="142"/>
      <c r="C237" s="320"/>
      <c r="D237" s="142"/>
      <c r="E237" s="320"/>
      <c r="F237" s="142"/>
      <c r="G237" s="320"/>
      <c r="H237" s="142"/>
      <c r="I237" s="329"/>
      <c r="J237" s="124"/>
      <c r="K237" s="329"/>
      <c r="L237" s="124"/>
      <c r="M237" s="320"/>
      <c r="N237" s="142"/>
      <c r="O237" s="320"/>
      <c r="P237" s="142"/>
      <c r="Q237" s="320"/>
      <c r="R237" s="142"/>
      <c r="S237" s="320"/>
      <c r="T237" s="142"/>
      <c r="U237" s="30"/>
      <c r="V237" s="30"/>
    </row>
    <row r="238">
      <c r="A238" s="320"/>
      <c r="B238" s="142"/>
      <c r="C238" s="320"/>
      <c r="D238" s="142"/>
      <c r="E238" s="320"/>
      <c r="F238" s="142"/>
      <c r="G238" s="320"/>
      <c r="H238" s="142"/>
      <c r="I238" s="329"/>
      <c r="J238" s="124"/>
      <c r="K238" s="329"/>
      <c r="L238" s="124"/>
      <c r="M238" s="320"/>
      <c r="N238" s="142"/>
      <c r="O238" s="320"/>
      <c r="P238" s="142"/>
      <c r="Q238" s="320"/>
      <c r="R238" s="142"/>
      <c r="S238" s="320"/>
      <c r="T238" s="142"/>
      <c r="U238" s="30"/>
      <c r="V238" s="30"/>
    </row>
    <row r="239">
      <c r="A239" s="320"/>
      <c r="B239" s="142"/>
      <c r="C239" s="320"/>
      <c r="D239" s="142"/>
      <c r="E239" s="320"/>
      <c r="F239" s="142"/>
      <c r="G239" s="320"/>
      <c r="H239" s="142"/>
      <c r="I239" s="329"/>
      <c r="J239" s="124"/>
      <c r="K239" s="329"/>
      <c r="L239" s="124"/>
      <c r="M239" s="320"/>
      <c r="N239" s="142"/>
      <c r="O239" s="320"/>
      <c r="P239" s="142"/>
      <c r="Q239" s="320"/>
      <c r="R239" s="142"/>
      <c r="S239" s="320"/>
      <c r="T239" s="142"/>
      <c r="U239" s="30"/>
      <c r="V239" s="30"/>
    </row>
    <row r="240">
      <c r="A240" s="320"/>
      <c r="B240" s="142"/>
      <c r="C240" s="320"/>
      <c r="D240" s="142"/>
      <c r="E240" s="320"/>
      <c r="F240" s="142"/>
      <c r="G240" s="320"/>
      <c r="H240" s="142"/>
      <c r="I240" s="329"/>
      <c r="J240" s="124"/>
      <c r="K240" s="329"/>
      <c r="L240" s="124"/>
      <c r="M240" s="320"/>
      <c r="N240" s="142"/>
      <c r="O240" s="320"/>
      <c r="P240" s="142"/>
      <c r="Q240" s="320"/>
      <c r="R240" s="142"/>
      <c r="S240" s="320"/>
      <c r="T240" s="142"/>
      <c r="U240" s="30"/>
      <c r="V240" s="30"/>
    </row>
    <row r="241">
      <c r="A241" s="320"/>
      <c r="B241" s="142"/>
      <c r="C241" s="320"/>
      <c r="D241" s="142"/>
      <c r="E241" s="320"/>
      <c r="F241" s="142"/>
      <c r="G241" s="320"/>
      <c r="H241" s="142"/>
      <c r="I241" s="329"/>
      <c r="J241" s="124"/>
      <c r="K241" s="329"/>
      <c r="L241" s="124"/>
      <c r="M241" s="320"/>
      <c r="N241" s="142"/>
      <c r="O241" s="320"/>
      <c r="P241" s="142"/>
      <c r="Q241" s="320"/>
      <c r="R241" s="142"/>
      <c r="S241" s="320"/>
      <c r="T241" s="142"/>
      <c r="U241" s="30"/>
      <c r="V241" s="30"/>
    </row>
    <row r="242">
      <c r="A242" s="320"/>
      <c r="B242" s="142"/>
      <c r="C242" s="320"/>
      <c r="D242" s="142"/>
      <c r="E242" s="320"/>
      <c r="F242" s="142"/>
      <c r="G242" s="320"/>
      <c r="H242" s="142"/>
      <c r="I242" s="329"/>
      <c r="J242" s="124"/>
      <c r="K242" s="329"/>
      <c r="L242" s="124"/>
      <c r="M242" s="320"/>
      <c r="N242" s="142"/>
      <c r="O242" s="320"/>
      <c r="P242" s="142"/>
      <c r="Q242" s="320"/>
      <c r="R242" s="142"/>
      <c r="S242" s="320"/>
      <c r="T242" s="142"/>
      <c r="U242" s="30"/>
      <c r="V242" s="30"/>
    </row>
    <row r="243">
      <c r="A243" s="320"/>
      <c r="B243" s="142"/>
      <c r="C243" s="320"/>
      <c r="D243" s="142"/>
      <c r="E243" s="320"/>
      <c r="F243" s="142"/>
      <c r="G243" s="320"/>
      <c r="H243" s="142"/>
      <c r="I243" s="329"/>
      <c r="J243" s="124"/>
      <c r="K243" s="329"/>
      <c r="L243" s="124"/>
      <c r="M243" s="320"/>
      <c r="N243" s="142"/>
      <c r="O243" s="320"/>
      <c r="P243" s="142"/>
      <c r="Q243" s="320"/>
      <c r="R243" s="142"/>
      <c r="S243" s="320"/>
      <c r="T243" s="142"/>
      <c r="U243" s="30"/>
      <c r="V243" s="30"/>
    </row>
    <row r="244">
      <c r="A244" s="320"/>
      <c r="B244" s="142"/>
      <c r="C244" s="320"/>
      <c r="D244" s="142"/>
      <c r="E244" s="320"/>
      <c r="F244" s="142"/>
      <c r="G244" s="320"/>
      <c r="H244" s="142"/>
      <c r="I244" s="329"/>
      <c r="J244" s="124"/>
      <c r="K244" s="329"/>
      <c r="L244" s="124"/>
      <c r="M244" s="320"/>
      <c r="N244" s="142"/>
      <c r="O244" s="320"/>
      <c r="P244" s="142"/>
      <c r="Q244" s="320"/>
      <c r="R244" s="142"/>
      <c r="S244" s="320"/>
      <c r="T244" s="142"/>
      <c r="U244" s="30"/>
      <c r="V244" s="30"/>
    </row>
    <row r="245">
      <c r="A245" s="320"/>
      <c r="B245" s="142"/>
      <c r="C245" s="320"/>
      <c r="D245" s="142"/>
      <c r="E245" s="320"/>
      <c r="F245" s="142"/>
      <c r="G245" s="320"/>
      <c r="H245" s="142"/>
      <c r="I245" s="329"/>
      <c r="J245" s="124"/>
      <c r="K245" s="329"/>
      <c r="L245" s="124"/>
      <c r="M245" s="320"/>
      <c r="N245" s="142"/>
      <c r="O245" s="320"/>
      <c r="P245" s="142"/>
      <c r="Q245" s="320"/>
      <c r="R245" s="142"/>
      <c r="S245" s="320"/>
      <c r="T245" s="142"/>
      <c r="U245" s="30"/>
      <c r="V245" s="30"/>
    </row>
    <row r="246">
      <c r="A246" s="320"/>
      <c r="B246" s="142"/>
      <c r="C246" s="320"/>
      <c r="D246" s="142"/>
      <c r="E246" s="320"/>
      <c r="F246" s="142"/>
      <c r="G246" s="320"/>
      <c r="H246" s="142"/>
      <c r="I246" s="329"/>
      <c r="J246" s="124"/>
      <c r="K246" s="329"/>
      <c r="L246" s="124"/>
      <c r="M246" s="320"/>
      <c r="N246" s="142"/>
      <c r="O246" s="320"/>
      <c r="P246" s="142"/>
      <c r="Q246" s="320"/>
      <c r="R246" s="142"/>
      <c r="S246" s="320"/>
      <c r="T246" s="142"/>
      <c r="U246" s="30"/>
      <c r="V246" s="30"/>
    </row>
    <row r="247">
      <c r="A247" s="320"/>
      <c r="B247" s="142"/>
      <c r="C247" s="320"/>
      <c r="D247" s="142"/>
      <c r="E247" s="320"/>
      <c r="F247" s="142"/>
      <c r="G247" s="320"/>
      <c r="H247" s="142"/>
      <c r="I247" s="329"/>
      <c r="J247" s="124"/>
      <c r="K247" s="329"/>
      <c r="L247" s="124"/>
      <c r="M247" s="320"/>
      <c r="N247" s="142"/>
      <c r="O247" s="320"/>
      <c r="P247" s="142"/>
      <c r="Q247" s="320"/>
      <c r="R247" s="142"/>
      <c r="S247" s="320"/>
      <c r="T247" s="142"/>
      <c r="U247" s="30"/>
      <c r="V247" s="30"/>
    </row>
    <row r="248">
      <c r="A248" s="320"/>
      <c r="B248" s="142"/>
      <c r="C248" s="320"/>
      <c r="D248" s="142"/>
      <c r="E248" s="320"/>
      <c r="F248" s="142"/>
      <c r="G248" s="320"/>
      <c r="H248" s="142"/>
      <c r="I248" s="329"/>
      <c r="J248" s="124"/>
      <c r="K248" s="329"/>
      <c r="L248" s="124"/>
      <c r="M248" s="320"/>
      <c r="N248" s="142"/>
      <c r="O248" s="320"/>
      <c r="P248" s="142"/>
      <c r="Q248" s="320"/>
      <c r="R248" s="142"/>
      <c r="S248" s="320"/>
      <c r="T248" s="142"/>
      <c r="U248" s="30"/>
      <c r="V248" s="30"/>
    </row>
    <row r="249">
      <c r="A249" s="320"/>
      <c r="B249" s="142"/>
      <c r="C249" s="320"/>
      <c r="D249" s="142"/>
      <c r="E249" s="320"/>
      <c r="F249" s="142"/>
      <c r="G249" s="320"/>
      <c r="H249" s="142"/>
      <c r="I249" s="329"/>
      <c r="J249" s="124"/>
      <c r="K249" s="329"/>
      <c r="L249" s="124"/>
      <c r="M249" s="320"/>
      <c r="N249" s="142"/>
      <c r="O249" s="320"/>
      <c r="P249" s="142"/>
      <c r="Q249" s="320"/>
      <c r="R249" s="142"/>
      <c r="S249" s="320"/>
      <c r="T249" s="142"/>
      <c r="U249" s="30"/>
      <c r="V249" s="30"/>
    </row>
    <row r="250">
      <c r="A250" s="320"/>
      <c r="B250" s="142"/>
      <c r="C250" s="320"/>
      <c r="D250" s="142"/>
      <c r="E250" s="320"/>
      <c r="F250" s="142"/>
      <c r="G250" s="320"/>
      <c r="H250" s="142"/>
      <c r="I250" s="329"/>
      <c r="J250" s="124"/>
      <c r="K250" s="329"/>
      <c r="L250" s="124"/>
      <c r="M250" s="320"/>
      <c r="N250" s="142"/>
      <c r="O250" s="320"/>
      <c r="P250" s="142"/>
      <c r="Q250" s="320"/>
      <c r="R250" s="142"/>
      <c r="S250" s="320"/>
      <c r="T250" s="142"/>
      <c r="U250" s="30"/>
      <c r="V250" s="30"/>
    </row>
    <row r="251">
      <c r="A251" s="320"/>
      <c r="B251" s="142"/>
      <c r="C251" s="320"/>
      <c r="D251" s="142"/>
      <c r="E251" s="320"/>
      <c r="F251" s="142"/>
      <c r="G251" s="320"/>
      <c r="H251" s="142"/>
      <c r="I251" s="329"/>
      <c r="J251" s="124"/>
      <c r="K251" s="329"/>
      <c r="L251" s="124"/>
      <c r="M251" s="320"/>
      <c r="N251" s="142"/>
      <c r="O251" s="320"/>
      <c r="P251" s="142"/>
      <c r="Q251" s="320"/>
      <c r="R251" s="142"/>
      <c r="S251" s="320"/>
      <c r="T251" s="142"/>
      <c r="U251" s="30"/>
      <c r="V251" s="30"/>
    </row>
    <row r="252">
      <c r="A252" s="320"/>
      <c r="B252" s="142"/>
      <c r="C252" s="320"/>
      <c r="D252" s="142"/>
      <c r="E252" s="320"/>
      <c r="F252" s="142"/>
      <c r="G252" s="320"/>
      <c r="H252" s="142"/>
      <c r="I252" s="329"/>
      <c r="J252" s="124"/>
      <c r="K252" s="329"/>
      <c r="L252" s="124"/>
      <c r="M252" s="320"/>
      <c r="N252" s="142"/>
      <c r="O252" s="320"/>
      <c r="P252" s="142"/>
      <c r="Q252" s="320"/>
      <c r="R252" s="142"/>
      <c r="S252" s="320"/>
      <c r="T252" s="142"/>
      <c r="U252" s="30"/>
      <c r="V252" s="30"/>
    </row>
    <row r="253">
      <c r="A253" s="320"/>
      <c r="B253" s="142"/>
      <c r="C253" s="320"/>
      <c r="D253" s="142"/>
      <c r="E253" s="320"/>
      <c r="F253" s="142"/>
      <c r="G253" s="320"/>
      <c r="H253" s="142"/>
      <c r="I253" s="329"/>
      <c r="J253" s="124"/>
      <c r="K253" s="329"/>
      <c r="L253" s="124"/>
      <c r="M253" s="320"/>
      <c r="N253" s="142"/>
      <c r="O253" s="320"/>
      <c r="P253" s="142"/>
      <c r="Q253" s="320"/>
      <c r="R253" s="142"/>
      <c r="S253" s="320"/>
      <c r="T253" s="142"/>
      <c r="U253" s="30"/>
      <c r="V253" s="30"/>
    </row>
    <row r="254">
      <c r="A254" s="320"/>
      <c r="B254" s="142"/>
      <c r="C254" s="320"/>
      <c r="D254" s="142"/>
      <c r="E254" s="320"/>
      <c r="F254" s="142"/>
      <c r="G254" s="320"/>
      <c r="H254" s="142"/>
      <c r="I254" s="329"/>
      <c r="J254" s="124"/>
      <c r="K254" s="329"/>
      <c r="L254" s="124"/>
      <c r="M254" s="320"/>
      <c r="N254" s="142"/>
      <c r="O254" s="320"/>
      <c r="P254" s="142"/>
      <c r="Q254" s="320"/>
      <c r="R254" s="142"/>
      <c r="S254" s="320"/>
      <c r="T254" s="142"/>
      <c r="U254" s="30"/>
      <c r="V254" s="30"/>
    </row>
    <row r="255">
      <c r="A255" s="320"/>
      <c r="B255" s="142"/>
      <c r="C255" s="320"/>
      <c r="D255" s="142"/>
      <c r="E255" s="320"/>
      <c r="F255" s="142"/>
      <c r="G255" s="320"/>
      <c r="H255" s="142"/>
      <c r="I255" s="329"/>
      <c r="J255" s="124"/>
      <c r="K255" s="329"/>
      <c r="L255" s="124"/>
      <c r="M255" s="320"/>
      <c r="N255" s="142"/>
      <c r="O255" s="320"/>
      <c r="P255" s="142"/>
      <c r="Q255" s="320"/>
      <c r="R255" s="142"/>
      <c r="S255" s="320"/>
      <c r="T255" s="142"/>
      <c r="U255" s="30"/>
      <c r="V255" s="30"/>
    </row>
    <row r="256">
      <c r="A256" s="320"/>
      <c r="B256" s="142"/>
      <c r="C256" s="320"/>
      <c r="D256" s="142"/>
      <c r="E256" s="320"/>
      <c r="F256" s="142"/>
      <c r="G256" s="320"/>
      <c r="H256" s="142"/>
      <c r="I256" s="329"/>
      <c r="J256" s="124"/>
      <c r="K256" s="329"/>
      <c r="L256" s="124"/>
      <c r="M256" s="320"/>
      <c r="N256" s="142"/>
      <c r="O256" s="320"/>
      <c r="P256" s="142"/>
      <c r="Q256" s="320"/>
      <c r="R256" s="142"/>
      <c r="S256" s="320"/>
      <c r="T256" s="142"/>
      <c r="U256" s="30"/>
      <c r="V256" s="30"/>
    </row>
    <row r="257">
      <c r="A257" s="320"/>
      <c r="B257" s="142"/>
      <c r="C257" s="320"/>
      <c r="D257" s="142"/>
      <c r="E257" s="320"/>
      <c r="F257" s="142"/>
      <c r="G257" s="320"/>
      <c r="H257" s="142"/>
      <c r="I257" s="329"/>
      <c r="J257" s="124"/>
      <c r="K257" s="329"/>
      <c r="L257" s="124"/>
      <c r="M257" s="320"/>
      <c r="N257" s="142"/>
      <c r="O257" s="320"/>
      <c r="P257" s="142"/>
      <c r="Q257" s="320"/>
      <c r="R257" s="142"/>
      <c r="S257" s="320"/>
      <c r="T257" s="142"/>
      <c r="U257" s="30"/>
      <c r="V257" s="30"/>
    </row>
    <row r="258">
      <c r="A258" s="320"/>
      <c r="B258" s="142"/>
      <c r="C258" s="320"/>
      <c r="D258" s="142"/>
      <c r="E258" s="320"/>
      <c r="F258" s="142"/>
      <c r="G258" s="320"/>
      <c r="H258" s="142"/>
      <c r="I258" s="329"/>
      <c r="J258" s="124"/>
      <c r="K258" s="329"/>
      <c r="L258" s="124"/>
      <c r="M258" s="320"/>
      <c r="N258" s="142"/>
      <c r="O258" s="320"/>
      <c r="P258" s="142"/>
      <c r="Q258" s="320"/>
      <c r="R258" s="142"/>
      <c r="S258" s="320"/>
      <c r="T258" s="142"/>
      <c r="U258" s="30"/>
      <c r="V258" s="30"/>
    </row>
    <row r="259">
      <c r="A259" s="320"/>
      <c r="B259" s="142"/>
      <c r="C259" s="320"/>
      <c r="D259" s="142"/>
      <c r="E259" s="320"/>
      <c r="F259" s="142"/>
      <c r="G259" s="320"/>
      <c r="H259" s="142"/>
      <c r="I259" s="329"/>
      <c r="J259" s="124"/>
      <c r="K259" s="329"/>
      <c r="L259" s="124"/>
      <c r="M259" s="320"/>
      <c r="N259" s="142"/>
      <c r="O259" s="320"/>
      <c r="P259" s="142"/>
      <c r="Q259" s="320"/>
      <c r="R259" s="142"/>
      <c r="S259" s="320"/>
      <c r="T259" s="142"/>
      <c r="U259" s="30"/>
      <c r="V259" s="30"/>
    </row>
    <row r="260">
      <c r="A260" s="320"/>
      <c r="B260" s="142"/>
      <c r="C260" s="320"/>
      <c r="D260" s="142"/>
      <c r="E260" s="320"/>
      <c r="F260" s="142"/>
      <c r="G260" s="320"/>
      <c r="H260" s="142"/>
      <c r="I260" s="329"/>
      <c r="J260" s="124"/>
      <c r="K260" s="329"/>
      <c r="L260" s="124"/>
      <c r="M260" s="320"/>
      <c r="N260" s="142"/>
      <c r="O260" s="320"/>
      <c r="P260" s="142"/>
      <c r="Q260" s="320"/>
      <c r="R260" s="142"/>
      <c r="S260" s="320"/>
      <c r="T260" s="142"/>
      <c r="U260" s="30"/>
      <c r="V260" s="30"/>
    </row>
    <row r="261">
      <c r="A261" s="320"/>
      <c r="B261" s="142"/>
      <c r="C261" s="320"/>
      <c r="D261" s="142"/>
      <c r="E261" s="320"/>
      <c r="F261" s="142"/>
      <c r="G261" s="320"/>
      <c r="H261" s="142"/>
      <c r="I261" s="329"/>
      <c r="J261" s="124"/>
      <c r="K261" s="329"/>
      <c r="L261" s="124"/>
      <c r="M261" s="320"/>
      <c r="N261" s="142"/>
      <c r="O261" s="320"/>
      <c r="P261" s="142"/>
      <c r="Q261" s="320"/>
      <c r="R261" s="142"/>
      <c r="S261" s="320"/>
      <c r="T261" s="142"/>
      <c r="U261" s="30"/>
      <c r="V261" s="30"/>
    </row>
    <row r="262">
      <c r="A262" s="320"/>
      <c r="B262" s="142"/>
      <c r="C262" s="320"/>
      <c r="D262" s="142"/>
      <c r="E262" s="320"/>
      <c r="F262" s="142"/>
      <c r="G262" s="320"/>
      <c r="H262" s="142"/>
      <c r="I262" s="329"/>
      <c r="J262" s="124"/>
      <c r="K262" s="329"/>
      <c r="L262" s="124"/>
      <c r="M262" s="320"/>
      <c r="N262" s="142"/>
      <c r="O262" s="320"/>
      <c r="P262" s="142"/>
      <c r="Q262" s="320"/>
      <c r="R262" s="142"/>
      <c r="S262" s="320"/>
      <c r="T262" s="142"/>
      <c r="U262" s="30"/>
      <c r="V262" s="30"/>
    </row>
    <row r="263">
      <c r="A263" s="320"/>
      <c r="B263" s="142"/>
      <c r="C263" s="320"/>
      <c r="D263" s="142"/>
      <c r="E263" s="320"/>
      <c r="F263" s="142"/>
      <c r="G263" s="320"/>
      <c r="H263" s="142"/>
      <c r="I263" s="329"/>
      <c r="J263" s="124"/>
      <c r="K263" s="329"/>
      <c r="L263" s="124"/>
      <c r="M263" s="320"/>
      <c r="N263" s="142"/>
      <c r="O263" s="320"/>
      <c r="P263" s="142"/>
      <c r="Q263" s="320"/>
      <c r="R263" s="142"/>
      <c r="S263" s="320"/>
      <c r="T263" s="142"/>
      <c r="U263" s="30"/>
      <c r="V263" s="30"/>
    </row>
    <row r="264">
      <c r="A264" s="320"/>
      <c r="B264" s="142"/>
      <c r="C264" s="320"/>
      <c r="D264" s="142"/>
      <c r="E264" s="320"/>
      <c r="F264" s="142"/>
      <c r="G264" s="320"/>
      <c r="H264" s="142"/>
      <c r="I264" s="329"/>
      <c r="J264" s="124"/>
      <c r="K264" s="329"/>
      <c r="L264" s="124"/>
      <c r="M264" s="320"/>
      <c r="N264" s="142"/>
      <c r="O264" s="320"/>
      <c r="P264" s="142"/>
      <c r="Q264" s="320"/>
      <c r="R264" s="142"/>
      <c r="S264" s="320"/>
      <c r="T264" s="142"/>
      <c r="U264" s="30"/>
      <c r="V264" s="30"/>
    </row>
    <row r="265">
      <c r="A265" s="320"/>
      <c r="B265" s="142"/>
      <c r="C265" s="320"/>
      <c r="D265" s="142"/>
      <c r="E265" s="320"/>
      <c r="F265" s="142"/>
      <c r="G265" s="320"/>
      <c r="H265" s="142"/>
      <c r="I265" s="329"/>
      <c r="J265" s="124"/>
      <c r="K265" s="329"/>
      <c r="L265" s="124"/>
      <c r="M265" s="320"/>
      <c r="N265" s="142"/>
      <c r="O265" s="320"/>
      <c r="P265" s="142"/>
      <c r="Q265" s="320"/>
      <c r="R265" s="142"/>
      <c r="S265" s="320"/>
      <c r="T265" s="142"/>
      <c r="U265" s="30"/>
      <c r="V265" s="30"/>
    </row>
    <row r="266">
      <c r="A266" s="320"/>
      <c r="B266" s="142"/>
      <c r="C266" s="320"/>
      <c r="D266" s="142"/>
      <c r="E266" s="320"/>
      <c r="F266" s="142"/>
      <c r="G266" s="320"/>
      <c r="H266" s="142"/>
      <c r="I266" s="329"/>
      <c r="J266" s="124"/>
      <c r="K266" s="329"/>
      <c r="L266" s="124"/>
      <c r="M266" s="320"/>
      <c r="N266" s="142"/>
      <c r="O266" s="320"/>
      <c r="P266" s="142"/>
      <c r="Q266" s="320"/>
      <c r="R266" s="142"/>
      <c r="S266" s="320"/>
      <c r="T266" s="142"/>
      <c r="U266" s="30"/>
      <c r="V266" s="30"/>
    </row>
    <row r="267">
      <c r="A267" s="320"/>
      <c r="B267" s="142"/>
      <c r="C267" s="320"/>
      <c r="D267" s="142"/>
      <c r="E267" s="320"/>
      <c r="F267" s="142"/>
      <c r="G267" s="320"/>
      <c r="H267" s="142"/>
      <c r="I267" s="329"/>
      <c r="J267" s="124"/>
      <c r="K267" s="329"/>
      <c r="L267" s="124"/>
      <c r="M267" s="320"/>
      <c r="N267" s="142"/>
      <c r="O267" s="320"/>
      <c r="P267" s="142"/>
      <c r="Q267" s="320"/>
      <c r="R267" s="142"/>
      <c r="S267" s="320"/>
      <c r="T267" s="142"/>
      <c r="U267" s="30"/>
      <c r="V267" s="30"/>
    </row>
    <row r="268">
      <c r="A268" s="320"/>
      <c r="B268" s="142"/>
      <c r="C268" s="320"/>
      <c r="D268" s="142"/>
      <c r="E268" s="320"/>
      <c r="F268" s="142"/>
      <c r="G268" s="320"/>
      <c r="H268" s="142"/>
      <c r="I268" s="329"/>
      <c r="J268" s="124"/>
      <c r="K268" s="329"/>
      <c r="L268" s="124"/>
      <c r="M268" s="320"/>
      <c r="N268" s="142"/>
      <c r="O268" s="320"/>
      <c r="P268" s="142"/>
      <c r="Q268" s="320"/>
      <c r="R268" s="142"/>
      <c r="S268" s="320"/>
      <c r="T268" s="142"/>
      <c r="U268" s="30"/>
      <c r="V268" s="30"/>
    </row>
    <row r="269">
      <c r="A269" s="320"/>
      <c r="B269" s="142"/>
      <c r="C269" s="320"/>
      <c r="D269" s="142"/>
      <c r="E269" s="320"/>
      <c r="F269" s="142"/>
      <c r="G269" s="320"/>
      <c r="H269" s="142"/>
      <c r="I269" s="329"/>
      <c r="J269" s="124"/>
      <c r="K269" s="329"/>
      <c r="L269" s="124"/>
      <c r="M269" s="320"/>
      <c r="N269" s="142"/>
      <c r="O269" s="320"/>
      <c r="P269" s="142"/>
      <c r="Q269" s="320"/>
      <c r="R269" s="142"/>
      <c r="S269" s="320"/>
      <c r="T269" s="142"/>
      <c r="U269" s="30"/>
      <c r="V269" s="30"/>
    </row>
    <row r="270">
      <c r="A270" s="320"/>
      <c r="B270" s="142"/>
      <c r="C270" s="320"/>
      <c r="D270" s="142"/>
      <c r="E270" s="320"/>
      <c r="F270" s="142"/>
      <c r="G270" s="320"/>
      <c r="H270" s="142"/>
      <c r="I270" s="329"/>
      <c r="J270" s="124"/>
      <c r="K270" s="329"/>
      <c r="L270" s="124"/>
      <c r="M270" s="320"/>
      <c r="N270" s="142"/>
      <c r="O270" s="320"/>
      <c r="P270" s="142"/>
      <c r="Q270" s="320"/>
      <c r="R270" s="142"/>
      <c r="S270" s="320"/>
      <c r="T270" s="142"/>
      <c r="U270" s="30"/>
      <c r="V270" s="30"/>
    </row>
    <row r="271">
      <c r="A271" s="320"/>
      <c r="B271" s="142"/>
      <c r="C271" s="320"/>
      <c r="D271" s="142"/>
      <c r="E271" s="320"/>
      <c r="F271" s="142"/>
      <c r="G271" s="320"/>
      <c r="H271" s="142"/>
      <c r="I271" s="329"/>
      <c r="J271" s="124"/>
      <c r="K271" s="329"/>
      <c r="L271" s="124"/>
      <c r="M271" s="320"/>
      <c r="N271" s="142"/>
      <c r="O271" s="320"/>
      <c r="P271" s="142"/>
      <c r="Q271" s="320"/>
      <c r="R271" s="142"/>
      <c r="S271" s="320"/>
      <c r="T271" s="142"/>
      <c r="U271" s="30"/>
      <c r="V271" s="30"/>
    </row>
    <row r="272">
      <c r="A272" s="320"/>
      <c r="B272" s="142"/>
      <c r="C272" s="320"/>
      <c r="D272" s="142"/>
      <c r="E272" s="320"/>
      <c r="F272" s="142"/>
      <c r="G272" s="320"/>
      <c r="H272" s="142"/>
      <c r="I272" s="329"/>
      <c r="J272" s="124"/>
      <c r="K272" s="329"/>
      <c r="L272" s="124"/>
      <c r="M272" s="320"/>
      <c r="N272" s="142"/>
      <c r="O272" s="320"/>
      <c r="P272" s="142"/>
      <c r="Q272" s="320"/>
      <c r="R272" s="142"/>
      <c r="S272" s="320"/>
      <c r="T272" s="142"/>
      <c r="U272" s="30"/>
      <c r="V272" s="30"/>
    </row>
    <row r="273">
      <c r="A273" s="320"/>
      <c r="B273" s="142"/>
      <c r="C273" s="320"/>
      <c r="D273" s="142"/>
      <c r="E273" s="320"/>
      <c r="F273" s="142"/>
      <c r="G273" s="320"/>
      <c r="H273" s="142"/>
      <c r="I273" s="329"/>
      <c r="J273" s="124"/>
      <c r="K273" s="329"/>
      <c r="L273" s="124"/>
      <c r="M273" s="320"/>
      <c r="N273" s="142"/>
      <c r="O273" s="320"/>
      <c r="P273" s="142"/>
      <c r="Q273" s="320"/>
      <c r="R273" s="142"/>
      <c r="S273" s="320"/>
      <c r="T273" s="142"/>
      <c r="U273" s="30"/>
      <c r="V273" s="30"/>
    </row>
    <row r="274">
      <c r="A274" s="320"/>
      <c r="B274" s="142"/>
      <c r="C274" s="320"/>
      <c r="D274" s="142"/>
      <c r="E274" s="320"/>
      <c r="F274" s="142"/>
      <c r="G274" s="320"/>
      <c r="H274" s="142"/>
      <c r="I274" s="329"/>
      <c r="J274" s="124"/>
      <c r="K274" s="329"/>
      <c r="L274" s="124"/>
      <c r="M274" s="320"/>
      <c r="N274" s="142"/>
      <c r="O274" s="320"/>
      <c r="P274" s="142"/>
      <c r="Q274" s="320"/>
      <c r="R274" s="142"/>
      <c r="S274" s="320"/>
      <c r="T274" s="142"/>
      <c r="U274" s="30"/>
      <c r="V274" s="30"/>
    </row>
    <row r="275">
      <c r="A275" s="320"/>
      <c r="B275" s="142"/>
      <c r="C275" s="320"/>
      <c r="D275" s="142"/>
      <c r="E275" s="320"/>
      <c r="F275" s="142"/>
      <c r="G275" s="320"/>
      <c r="H275" s="142"/>
      <c r="I275" s="329"/>
      <c r="J275" s="124"/>
      <c r="K275" s="329"/>
      <c r="L275" s="124"/>
      <c r="M275" s="320"/>
      <c r="N275" s="142"/>
      <c r="O275" s="320"/>
      <c r="P275" s="142"/>
      <c r="Q275" s="320"/>
      <c r="R275" s="142"/>
      <c r="S275" s="320"/>
      <c r="T275" s="142"/>
      <c r="U275" s="30"/>
      <c r="V275" s="30"/>
    </row>
    <row r="276">
      <c r="A276" s="320"/>
      <c r="B276" s="142"/>
      <c r="C276" s="320"/>
      <c r="D276" s="142"/>
      <c r="E276" s="320"/>
      <c r="F276" s="142"/>
      <c r="G276" s="320"/>
      <c r="H276" s="142"/>
      <c r="I276" s="329"/>
      <c r="J276" s="124"/>
      <c r="K276" s="329"/>
      <c r="L276" s="124"/>
      <c r="M276" s="320"/>
      <c r="N276" s="142"/>
      <c r="O276" s="320"/>
      <c r="P276" s="142"/>
      <c r="Q276" s="320"/>
      <c r="R276" s="142"/>
      <c r="S276" s="320"/>
      <c r="T276" s="142"/>
      <c r="U276" s="30"/>
      <c r="V276" s="30"/>
    </row>
    <row r="277">
      <c r="A277" s="320"/>
      <c r="B277" s="142"/>
      <c r="C277" s="320"/>
      <c r="D277" s="142"/>
      <c r="E277" s="320"/>
      <c r="F277" s="142"/>
      <c r="G277" s="320"/>
      <c r="H277" s="142"/>
      <c r="I277" s="329"/>
      <c r="J277" s="124"/>
      <c r="K277" s="329"/>
      <c r="L277" s="124"/>
      <c r="M277" s="320"/>
      <c r="N277" s="142"/>
      <c r="O277" s="320"/>
      <c r="P277" s="142"/>
      <c r="Q277" s="320"/>
      <c r="R277" s="142"/>
      <c r="S277" s="320"/>
      <c r="T277" s="142"/>
      <c r="U277" s="30"/>
      <c r="V277" s="30"/>
    </row>
    <row r="278">
      <c r="A278" s="320"/>
      <c r="B278" s="142"/>
      <c r="C278" s="320"/>
      <c r="D278" s="142"/>
      <c r="E278" s="320"/>
      <c r="F278" s="142"/>
      <c r="G278" s="320"/>
      <c r="H278" s="142"/>
      <c r="I278" s="329"/>
      <c r="J278" s="124"/>
      <c r="K278" s="329"/>
      <c r="L278" s="124"/>
      <c r="M278" s="320"/>
      <c r="N278" s="142"/>
      <c r="O278" s="320"/>
      <c r="P278" s="142"/>
      <c r="Q278" s="320"/>
      <c r="R278" s="142"/>
      <c r="S278" s="320"/>
      <c r="T278" s="142"/>
      <c r="U278" s="30"/>
      <c r="V278" s="30"/>
    </row>
    <row r="279">
      <c r="A279" s="320"/>
      <c r="B279" s="142"/>
      <c r="C279" s="320"/>
      <c r="D279" s="142"/>
      <c r="E279" s="320"/>
      <c r="F279" s="142"/>
      <c r="G279" s="320"/>
      <c r="H279" s="142"/>
      <c r="I279" s="329"/>
      <c r="J279" s="124"/>
      <c r="K279" s="329"/>
      <c r="L279" s="124"/>
      <c r="M279" s="320"/>
      <c r="N279" s="142"/>
      <c r="O279" s="320"/>
      <c r="P279" s="142"/>
      <c r="Q279" s="320"/>
      <c r="R279" s="142"/>
      <c r="S279" s="320"/>
      <c r="T279" s="142"/>
      <c r="U279" s="30"/>
      <c r="V279" s="30"/>
    </row>
    <row r="280">
      <c r="A280" s="320"/>
      <c r="B280" s="142"/>
      <c r="C280" s="320"/>
      <c r="D280" s="142"/>
      <c r="E280" s="320"/>
      <c r="F280" s="142"/>
      <c r="G280" s="320"/>
      <c r="H280" s="142"/>
      <c r="I280" s="329"/>
      <c r="J280" s="124"/>
      <c r="K280" s="329"/>
      <c r="L280" s="124"/>
      <c r="M280" s="320"/>
      <c r="N280" s="142"/>
      <c r="O280" s="320"/>
      <c r="P280" s="142"/>
      <c r="Q280" s="320"/>
      <c r="R280" s="142"/>
      <c r="S280" s="320"/>
      <c r="T280" s="142"/>
      <c r="U280" s="30"/>
      <c r="V280" s="30"/>
    </row>
    <row r="281">
      <c r="A281" s="320"/>
      <c r="B281" s="142"/>
      <c r="C281" s="320"/>
      <c r="D281" s="142"/>
      <c r="E281" s="320"/>
      <c r="F281" s="142"/>
      <c r="G281" s="320"/>
      <c r="H281" s="142"/>
      <c r="I281" s="329"/>
      <c r="J281" s="124"/>
      <c r="K281" s="329"/>
      <c r="L281" s="124"/>
      <c r="M281" s="320"/>
      <c r="N281" s="142"/>
      <c r="O281" s="320"/>
      <c r="P281" s="142"/>
      <c r="Q281" s="320"/>
      <c r="R281" s="142"/>
      <c r="S281" s="320"/>
      <c r="T281" s="142"/>
      <c r="U281" s="30"/>
      <c r="V281" s="30"/>
    </row>
    <row r="282">
      <c r="A282" s="320"/>
      <c r="B282" s="142"/>
      <c r="C282" s="320"/>
      <c r="D282" s="142"/>
      <c r="E282" s="320"/>
      <c r="F282" s="142"/>
      <c r="G282" s="320"/>
      <c r="H282" s="142"/>
      <c r="I282" s="329"/>
      <c r="J282" s="124"/>
      <c r="K282" s="329"/>
      <c r="L282" s="124"/>
      <c r="M282" s="320"/>
      <c r="N282" s="142"/>
      <c r="O282" s="320"/>
      <c r="P282" s="142"/>
      <c r="Q282" s="320"/>
      <c r="R282" s="142"/>
      <c r="S282" s="320"/>
      <c r="T282" s="142"/>
      <c r="U282" s="30"/>
      <c r="V282" s="30"/>
    </row>
    <row r="283">
      <c r="A283" s="320"/>
      <c r="B283" s="142"/>
      <c r="C283" s="320"/>
      <c r="D283" s="142"/>
      <c r="E283" s="320"/>
      <c r="F283" s="142"/>
      <c r="G283" s="320"/>
      <c r="H283" s="142"/>
      <c r="I283" s="329"/>
      <c r="J283" s="124"/>
      <c r="K283" s="329"/>
      <c r="L283" s="124"/>
      <c r="M283" s="320"/>
      <c r="N283" s="142"/>
      <c r="O283" s="320"/>
      <c r="P283" s="142"/>
      <c r="Q283" s="320"/>
      <c r="R283" s="142"/>
      <c r="S283" s="320"/>
      <c r="T283" s="142"/>
      <c r="U283" s="30"/>
      <c r="V283" s="30"/>
    </row>
    <row r="284">
      <c r="A284" s="320"/>
      <c r="B284" s="142"/>
      <c r="C284" s="320"/>
      <c r="D284" s="142"/>
      <c r="E284" s="320"/>
      <c r="F284" s="142"/>
      <c r="G284" s="320"/>
      <c r="H284" s="142"/>
      <c r="I284" s="329"/>
      <c r="J284" s="124"/>
      <c r="K284" s="329"/>
      <c r="L284" s="124"/>
      <c r="M284" s="320"/>
      <c r="N284" s="142"/>
      <c r="O284" s="320"/>
      <c r="P284" s="142"/>
      <c r="Q284" s="320"/>
      <c r="R284" s="142"/>
      <c r="S284" s="320"/>
      <c r="T284" s="142"/>
      <c r="U284" s="30"/>
      <c r="V284" s="30"/>
    </row>
    <row r="285">
      <c r="A285" s="320"/>
      <c r="B285" s="142"/>
      <c r="C285" s="320"/>
      <c r="D285" s="142"/>
      <c r="E285" s="320"/>
      <c r="F285" s="142"/>
      <c r="G285" s="320"/>
      <c r="H285" s="142"/>
      <c r="I285" s="329"/>
      <c r="J285" s="124"/>
      <c r="K285" s="329"/>
      <c r="L285" s="124"/>
      <c r="M285" s="320"/>
      <c r="N285" s="142"/>
      <c r="O285" s="320"/>
      <c r="P285" s="142"/>
      <c r="Q285" s="329"/>
      <c r="R285" s="124"/>
      <c r="S285" s="320"/>
      <c r="T285" s="142"/>
      <c r="U285" s="30"/>
      <c r="V285" s="30"/>
    </row>
    <row r="286">
      <c r="A286" s="320"/>
      <c r="B286" s="142"/>
      <c r="C286" s="320"/>
      <c r="D286" s="142"/>
      <c r="E286" s="320"/>
      <c r="F286" s="142"/>
      <c r="G286" s="320"/>
      <c r="H286" s="142"/>
      <c r="I286" s="329"/>
      <c r="J286" s="124"/>
      <c r="K286" s="329"/>
      <c r="L286" s="124"/>
      <c r="M286" s="320"/>
      <c r="N286" s="142"/>
      <c r="O286" s="320"/>
      <c r="P286" s="142"/>
      <c r="Q286" s="329"/>
      <c r="R286" s="124"/>
      <c r="S286" s="320"/>
      <c r="T286" s="142"/>
      <c r="U286" s="30"/>
      <c r="V286" s="30"/>
    </row>
    <row r="287">
      <c r="A287" s="320"/>
      <c r="B287" s="142"/>
      <c r="C287" s="320"/>
      <c r="D287" s="142"/>
      <c r="E287" s="320"/>
      <c r="F287" s="142"/>
      <c r="G287" s="320"/>
      <c r="H287" s="142"/>
      <c r="I287" s="329"/>
      <c r="J287" s="124"/>
      <c r="K287" s="329"/>
      <c r="L287" s="124"/>
      <c r="M287" s="320"/>
      <c r="N287" s="142"/>
      <c r="O287" s="320"/>
      <c r="P287" s="142"/>
      <c r="Q287" s="329"/>
      <c r="R287" s="124"/>
      <c r="S287" s="320"/>
      <c r="T287" s="142"/>
      <c r="U287" s="30"/>
      <c r="V287" s="30"/>
    </row>
    <row r="288">
      <c r="A288" s="320"/>
      <c r="B288" s="142"/>
      <c r="C288" s="320"/>
      <c r="D288" s="142"/>
      <c r="E288" s="320"/>
      <c r="F288" s="142"/>
      <c r="G288" s="320"/>
      <c r="H288" s="142"/>
      <c r="I288" s="329"/>
      <c r="J288" s="124"/>
      <c r="K288" s="329"/>
      <c r="L288" s="124"/>
      <c r="M288" s="320"/>
      <c r="N288" s="142"/>
      <c r="O288" s="320"/>
      <c r="P288" s="142"/>
      <c r="Q288" s="329"/>
      <c r="R288" s="124"/>
      <c r="S288" s="320"/>
      <c r="T288" s="142"/>
      <c r="U288" s="30"/>
      <c r="V288" s="30"/>
    </row>
    <row r="289">
      <c r="A289" s="320"/>
      <c r="B289" s="142"/>
      <c r="C289" s="320"/>
      <c r="D289" s="142"/>
      <c r="E289" s="320"/>
      <c r="F289" s="142"/>
      <c r="G289" s="320"/>
      <c r="H289" s="142"/>
      <c r="I289" s="329"/>
      <c r="J289" s="124"/>
      <c r="K289" s="329"/>
      <c r="L289" s="124"/>
      <c r="M289" s="320"/>
      <c r="N289" s="142"/>
      <c r="O289" s="320"/>
      <c r="P289" s="142"/>
      <c r="Q289" s="329"/>
      <c r="R289" s="124"/>
      <c r="S289" s="320"/>
      <c r="T289" s="142"/>
      <c r="U289" s="30"/>
      <c r="V289" s="30"/>
    </row>
    <row r="290">
      <c r="A290" s="320"/>
      <c r="B290" s="142"/>
      <c r="C290" s="320"/>
      <c r="D290" s="142"/>
      <c r="E290" s="320"/>
      <c r="F290" s="142"/>
      <c r="G290" s="320"/>
      <c r="H290" s="142"/>
      <c r="I290" s="329"/>
      <c r="J290" s="124"/>
      <c r="K290" s="329"/>
      <c r="L290" s="124"/>
      <c r="M290" s="320"/>
      <c r="N290" s="142"/>
      <c r="O290" s="320"/>
      <c r="P290" s="142"/>
      <c r="Q290" s="329"/>
      <c r="R290" s="124"/>
      <c r="S290" s="320"/>
      <c r="T290" s="142"/>
      <c r="U290" s="30"/>
      <c r="V290" s="30"/>
    </row>
    <row r="291">
      <c r="A291" s="320"/>
      <c r="B291" s="142"/>
      <c r="C291" s="320"/>
      <c r="D291" s="142"/>
      <c r="E291" s="320"/>
      <c r="F291" s="142"/>
      <c r="G291" s="320"/>
      <c r="H291" s="142"/>
      <c r="I291" s="329"/>
      <c r="J291" s="124"/>
      <c r="K291" s="329"/>
      <c r="L291" s="124"/>
      <c r="M291" s="320"/>
      <c r="N291" s="142"/>
      <c r="O291" s="320"/>
      <c r="P291" s="142"/>
      <c r="Q291" s="329"/>
      <c r="R291" s="124"/>
      <c r="S291" s="320"/>
      <c r="T291" s="142"/>
      <c r="U291" s="30"/>
      <c r="V291" s="30"/>
    </row>
    <row r="292">
      <c r="A292" s="320"/>
      <c r="B292" s="142"/>
      <c r="C292" s="320"/>
      <c r="D292" s="142"/>
      <c r="E292" s="320"/>
      <c r="F292" s="142"/>
      <c r="G292" s="320"/>
      <c r="H292" s="142"/>
      <c r="I292" s="329"/>
      <c r="J292" s="124"/>
      <c r="K292" s="329"/>
      <c r="L292" s="124"/>
      <c r="M292" s="320"/>
      <c r="N292" s="142"/>
      <c r="O292" s="320"/>
      <c r="P292" s="142"/>
      <c r="Q292" s="329"/>
      <c r="R292" s="124"/>
      <c r="S292" s="320"/>
      <c r="T292" s="142"/>
      <c r="U292" s="30"/>
      <c r="V292" s="30"/>
    </row>
    <row r="293">
      <c r="A293" s="320"/>
      <c r="B293" s="142"/>
      <c r="C293" s="320"/>
      <c r="D293" s="142"/>
      <c r="E293" s="320"/>
      <c r="F293" s="142"/>
      <c r="G293" s="320"/>
      <c r="H293" s="142"/>
      <c r="I293" s="329"/>
      <c r="J293" s="124"/>
      <c r="K293" s="329"/>
      <c r="L293" s="124"/>
      <c r="M293" s="320"/>
      <c r="N293" s="142"/>
      <c r="O293" s="320"/>
      <c r="P293" s="142"/>
      <c r="Q293" s="329"/>
      <c r="R293" s="124"/>
      <c r="S293" s="320"/>
      <c r="T293" s="142"/>
      <c r="U293" s="30"/>
      <c r="V293" s="30"/>
    </row>
    <row r="294">
      <c r="A294" s="320"/>
      <c r="B294" s="142"/>
      <c r="C294" s="320"/>
      <c r="D294" s="142"/>
      <c r="E294" s="320"/>
      <c r="F294" s="142"/>
      <c r="G294" s="320"/>
      <c r="H294" s="142"/>
      <c r="I294" s="329"/>
      <c r="J294" s="124"/>
      <c r="K294" s="329"/>
      <c r="L294" s="124"/>
      <c r="M294" s="320"/>
      <c r="N294" s="142"/>
      <c r="O294" s="320"/>
      <c r="P294" s="142"/>
      <c r="Q294" s="329"/>
      <c r="R294" s="124"/>
      <c r="S294" s="320"/>
      <c r="T294" s="142"/>
      <c r="U294" s="30"/>
      <c r="V294" s="30"/>
    </row>
    <row r="295">
      <c r="A295" s="320"/>
      <c r="B295" s="142"/>
      <c r="C295" s="320"/>
      <c r="D295" s="142"/>
      <c r="E295" s="320"/>
      <c r="F295" s="142"/>
      <c r="G295" s="320"/>
      <c r="H295" s="142"/>
      <c r="I295" s="329"/>
      <c r="J295" s="124"/>
      <c r="K295" s="329"/>
      <c r="L295" s="124"/>
      <c r="M295" s="320"/>
      <c r="N295" s="142"/>
      <c r="O295" s="320"/>
      <c r="P295" s="142"/>
      <c r="Q295" s="329"/>
      <c r="R295" s="124"/>
      <c r="S295" s="320"/>
      <c r="T295" s="142"/>
      <c r="U295" s="30"/>
      <c r="V295" s="30"/>
    </row>
    <row r="296">
      <c r="A296" s="320"/>
      <c r="B296" s="142"/>
      <c r="C296" s="320"/>
      <c r="D296" s="142"/>
      <c r="E296" s="320"/>
      <c r="F296" s="142"/>
      <c r="G296" s="320"/>
      <c r="H296" s="142"/>
      <c r="I296" s="329"/>
      <c r="J296" s="124"/>
      <c r="K296" s="329"/>
      <c r="L296" s="124"/>
      <c r="M296" s="320"/>
      <c r="N296" s="142"/>
      <c r="O296" s="320"/>
      <c r="P296" s="142"/>
      <c r="Q296" s="329"/>
      <c r="R296" s="124"/>
      <c r="S296" s="320"/>
      <c r="T296" s="142"/>
      <c r="U296" s="30"/>
      <c r="V296" s="30"/>
    </row>
    <row r="297">
      <c r="A297" s="320"/>
      <c r="B297" s="142"/>
      <c r="C297" s="320"/>
      <c r="D297" s="142"/>
      <c r="E297" s="320"/>
      <c r="F297" s="142"/>
      <c r="G297" s="320"/>
      <c r="H297" s="142"/>
      <c r="I297" s="329"/>
      <c r="J297" s="124"/>
      <c r="K297" s="329"/>
      <c r="L297" s="124"/>
      <c r="M297" s="320"/>
      <c r="N297" s="142"/>
      <c r="O297" s="320"/>
      <c r="P297" s="142"/>
      <c r="Q297" s="329"/>
      <c r="R297" s="124"/>
      <c r="S297" s="320"/>
      <c r="T297" s="142"/>
      <c r="U297" s="30"/>
      <c r="V297" s="30"/>
    </row>
    <row r="298">
      <c r="A298" s="320"/>
      <c r="B298" s="142"/>
      <c r="C298" s="320"/>
      <c r="D298" s="142"/>
      <c r="E298" s="320"/>
      <c r="F298" s="142"/>
      <c r="G298" s="320"/>
      <c r="H298" s="142"/>
      <c r="I298" s="329"/>
      <c r="J298" s="124"/>
      <c r="K298" s="329"/>
      <c r="L298" s="124"/>
      <c r="M298" s="320"/>
      <c r="N298" s="142"/>
      <c r="O298" s="320"/>
      <c r="P298" s="142"/>
      <c r="Q298" s="329"/>
      <c r="R298" s="124"/>
      <c r="S298" s="320"/>
      <c r="T298" s="142"/>
      <c r="U298" s="30"/>
      <c r="V298" s="30"/>
    </row>
    <row r="299">
      <c r="A299" s="320"/>
      <c r="B299" s="142"/>
      <c r="C299" s="320"/>
      <c r="D299" s="142"/>
      <c r="E299" s="320"/>
      <c r="F299" s="142"/>
      <c r="G299" s="320"/>
      <c r="H299" s="142"/>
      <c r="I299" s="329"/>
      <c r="J299" s="124"/>
      <c r="K299" s="329"/>
      <c r="L299" s="124"/>
      <c r="M299" s="320"/>
      <c r="N299" s="142"/>
      <c r="O299" s="320"/>
      <c r="P299" s="142"/>
      <c r="Q299" s="329"/>
      <c r="R299" s="124"/>
      <c r="S299" s="320"/>
      <c r="T299" s="142"/>
      <c r="U299" s="30"/>
      <c r="V299" s="30"/>
    </row>
    <row r="300">
      <c r="A300" s="320"/>
      <c r="B300" s="142"/>
      <c r="C300" s="320"/>
      <c r="D300" s="142"/>
      <c r="E300" s="320"/>
      <c r="F300" s="142"/>
      <c r="G300" s="320"/>
      <c r="H300" s="142"/>
      <c r="I300" s="329"/>
      <c r="J300" s="124"/>
      <c r="K300" s="329"/>
      <c r="L300" s="124"/>
      <c r="M300" s="320"/>
      <c r="N300" s="142"/>
      <c r="O300" s="320"/>
      <c r="P300" s="142"/>
      <c r="Q300" s="329"/>
      <c r="R300" s="124"/>
      <c r="S300" s="320"/>
      <c r="T300" s="142"/>
      <c r="U300" s="30"/>
      <c r="V300" s="30"/>
    </row>
    <row r="301">
      <c r="A301" s="320"/>
      <c r="B301" s="142"/>
      <c r="C301" s="320"/>
      <c r="D301" s="142"/>
      <c r="E301" s="320"/>
      <c r="F301" s="142"/>
      <c r="G301" s="320"/>
      <c r="H301" s="142"/>
      <c r="I301" s="329"/>
      <c r="J301" s="124"/>
      <c r="K301" s="329"/>
      <c r="L301" s="124"/>
      <c r="M301" s="320"/>
      <c r="N301" s="142"/>
      <c r="O301" s="320"/>
      <c r="P301" s="142"/>
      <c r="Q301" s="329"/>
      <c r="R301" s="124"/>
      <c r="S301" s="320"/>
      <c r="T301" s="142"/>
      <c r="U301" s="30"/>
      <c r="V301" s="30"/>
    </row>
    <row r="302">
      <c r="A302" s="320"/>
      <c r="B302" s="142"/>
      <c r="C302" s="320"/>
      <c r="D302" s="142"/>
      <c r="E302" s="320"/>
      <c r="F302" s="142"/>
      <c r="G302" s="320"/>
      <c r="H302" s="142"/>
      <c r="I302" s="329"/>
      <c r="J302" s="124"/>
      <c r="K302" s="329"/>
      <c r="L302" s="124"/>
      <c r="M302" s="320"/>
      <c r="N302" s="142"/>
      <c r="O302" s="320"/>
      <c r="P302" s="142"/>
      <c r="Q302" s="329"/>
      <c r="R302" s="124"/>
      <c r="S302" s="320"/>
      <c r="T302" s="142"/>
      <c r="U302" s="30"/>
      <c r="V302" s="30"/>
    </row>
    <row r="303">
      <c r="A303" s="320"/>
      <c r="B303" s="142"/>
      <c r="C303" s="320"/>
      <c r="D303" s="142"/>
      <c r="E303" s="320"/>
      <c r="F303" s="142"/>
      <c r="G303" s="320"/>
      <c r="H303" s="142"/>
      <c r="I303" s="329"/>
      <c r="J303" s="124"/>
      <c r="K303" s="329"/>
      <c r="L303" s="124"/>
      <c r="M303" s="320"/>
      <c r="N303" s="142"/>
      <c r="O303" s="320"/>
      <c r="P303" s="142"/>
      <c r="Q303" s="329"/>
      <c r="R303" s="124"/>
      <c r="S303" s="320"/>
      <c r="T303" s="142"/>
      <c r="U303" s="30"/>
      <c r="V303" s="30"/>
    </row>
    <row r="304">
      <c r="A304" s="320"/>
      <c r="B304" s="142"/>
      <c r="C304" s="320"/>
      <c r="D304" s="142"/>
      <c r="E304" s="320"/>
      <c r="F304" s="142"/>
      <c r="G304" s="320"/>
      <c r="H304" s="142"/>
      <c r="I304" s="329"/>
      <c r="J304" s="124"/>
      <c r="K304" s="329"/>
      <c r="L304" s="124"/>
      <c r="M304" s="320"/>
      <c r="N304" s="142"/>
      <c r="O304" s="320"/>
      <c r="P304" s="142"/>
      <c r="Q304" s="329"/>
      <c r="R304" s="124"/>
      <c r="S304" s="320"/>
      <c r="T304" s="142"/>
      <c r="U304" s="30"/>
      <c r="V304" s="30"/>
    </row>
    <row r="305">
      <c r="A305" s="320"/>
      <c r="B305" s="142"/>
      <c r="C305" s="320"/>
      <c r="D305" s="142"/>
      <c r="E305" s="320"/>
      <c r="F305" s="142"/>
      <c r="G305" s="320"/>
      <c r="H305" s="142"/>
      <c r="I305" s="329"/>
      <c r="J305" s="124"/>
      <c r="K305" s="329"/>
      <c r="L305" s="124"/>
      <c r="M305" s="320"/>
      <c r="N305" s="142"/>
      <c r="O305" s="320"/>
      <c r="P305" s="142"/>
      <c r="Q305" s="329"/>
      <c r="R305" s="124"/>
      <c r="S305" s="320"/>
      <c r="T305" s="142"/>
      <c r="U305" s="30"/>
      <c r="V305" s="30"/>
    </row>
    <row r="306">
      <c r="A306" s="320"/>
      <c r="B306" s="142"/>
      <c r="C306" s="320"/>
      <c r="D306" s="142"/>
      <c r="E306" s="320"/>
      <c r="F306" s="142"/>
      <c r="G306" s="320"/>
      <c r="H306" s="142"/>
      <c r="I306" s="329"/>
      <c r="J306" s="124"/>
      <c r="K306" s="329"/>
      <c r="L306" s="124"/>
      <c r="M306" s="320"/>
      <c r="N306" s="142"/>
      <c r="O306" s="320"/>
      <c r="P306" s="142"/>
      <c r="Q306" s="329"/>
      <c r="R306" s="124"/>
      <c r="S306" s="320"/>
      <c r="T306" s="142"/>
      <c r="U306" s="30"/>
      <c r="V306" s="30"/>
    </row>
    <row r="307">
      <c r="A307" s="320"/>
      <c r="B307" s="142"/>
      <c r="C307" s="320"/>
      <c r="D307" s="142"/>
      <c r="E307" s="320"/>
      <c r="F307" s="142"/>
      <c r="G307" s="320"/>
      <c r="H307" s="142"/>
      <c r="I307" s="329"/>
      <c r="J307" s="124"/>
      <c r="K307" s="329"/>
      <c r="L307" s="124"/>
      <c r="M307" s="320"/>
      <c r="N307" s="142"/>
      <c r="O307" s="320"/>
      <c r="P307" s="142"/>
      <c r="Q307" s="329"/>
      <c r="R307" s="124"/>
      <c r="S307" s="320"/>
      <c r="T307" s="142"/>
      <c r="U307" s="30"/>
      <c r="V307" s="30"/>
    </row>
    <row r="308">
      <c r="A308" s="320"/>
      <c r="B308" s="142"/>
      <c r="C308" s="320"/>
      <c r="D308" s="142"/>
      <c r="E308" s="320"/>
      <c r="F308" s="142"/>
      <c r="G308" s="320"/>
      <c r="H308" s="142"/>
      <c r="I308" s="329"/>
      <c r="J308" s="124"/>
      <c r="K308" s="329"/>
      <c r="L308" s="124"/>
      <c r="M308" s="320"/>
      <c r="N308" s="142"/>
      <c r="O308" s="320"/>
      <c r="P308" s="142"/>
      <c r="Q308" s="329"/>
      <c r="R308" s="124"/>
      <c r="S308" s="320"/>
      <c r="T308" s="142"/>
      <c r="U308" s="30"/>
      <c r="V308" s="30"/>
    </row>
    <row r="309">
      <c r="A309" s="320"/>
      <c r="B309" s="142"/>
      <c r="C309" s="320"/>
      <c r="D309" s="142"/>
      <c r="E309" s="320"/>
      <c r="F309" s="142"/>
      <c r="G309" s="320"/>
      <c r="H309" s="142"/>
      <c r="I309" s="329"/>
      <c r="J309" s="124"/>
      <c r="K309" s="329"/>
      <c r="L309" s="124"/>
      <c r="M309" s="320"/>
      <c r="N309" s="142"/>
      <c r="O309" s="320"/>
      <c r="P309" s="142"/>
      <c r="Q309" s="329"/>
      <c r="R309" s="124"/>
      <c r="S309" s="320"/>
      <c r="T309" s="142"/>
      <c r="U309" s="30"/>
      <c r="V309" s="30"/>
    </row>
    <row r="310">
      <c r="A310" s="320"/>
      <c r="B310" s="142"/>
      <c r="C310" s="320"/>
      <c r="D310" s="142"/>
      <c r="E310" s="320"/>
      <c r="F310" s="142"/>
      <c r="G310" s="320"/>
      <c r="H310" s="142"/>
      <c r="I310" s="329"/>
      <c r="J310" s="124"/>
      <c r="K310" s="329"/>
      <c r="L310" s="124"/>
      <c r="M310" s="320"/>
      <c r="N310" s="142"/>
      <c r="O310" s="320"/>
      <c r="P310" s="142"/>
      <c r="Q310" s="329"/>
      <c r="R310" s="124"/>
      <c r="S310" s="320"/>
      <c r="T310" s="142"/>
      <c r="U310" s="30"/>
      <c r="V310" s="30"/>
    </row>
    <row r="311">
      <c r="A311" s="320"/>
      <c r="B311" s="142"/>
      <c r="C311" s="320"/>
      <c r="D311" s="142"/>
      <c r="E311" s="320"/>
      <c r="F311" s="142"/>
      <c r="G311" s="320"/>
      <c r="H311" s="142"/>
      <c r="I311" s="329"/>
      <c r="J311" s="124"/>
      <c r="K311" s="329"/>
      <c r="L311" s="124"/>
      <c r="M311" s="320"/>
      <c r="N311" s="142"/>
      <c r="O311" s="320"/>
      <c r="P311" s="142"/>
      <c r="Q311" s="329"/>
      <c r="R311" s="124"/>
      <c r="S311" s="320"/>
      <c r="T311" s="142"/>
      <c r="U311" s="30"/>
      <c r="V311" s="30"/>
    </row>
    <row r="312">
      <c r="A312" s="320"/>
      <c r="B312" s="142"/>
      <c r="C312" s="320"/>
      <c r="D312" s="142"/>
      <c r="E312" s="320"/>
      <c r="F312" s="142"/>
      <c r="G312" s="320"/>
      <c r="H312" s="142"/>
      <c r="I312" s="329"/>
      <c r="J312" s="124"/>
      <c r="K312" s="329"/>
      <c r="L312" s="124"/>
      <c r="M312" s="320"/>
      <c r="N312" s="142"/>
      <c r="O312" s="320"/>
      <c r="P312" s="142"/>
      <c r="Q312" s="329"/>
      <c r="R312" s="124"/>
      <c r="S312" s="320"/>
      <c r="T312" s="142"/>
      <c r="U312" s="30"/>
      <c r="V312" s="30"/>
    </row>
    <row r="313">
      <c r="A313" s="320"/>
      <c r="B313" s="142"/>
      <c r="C313" s="320"/>
      <c r="D313" s="142"/>
      <c r="E313" s="320"/>
      <c r="F313" s="142"/>
      <c r="G313" s="320"/>
      <c r="H313" s="142"/>
      <c r="I313" s="329"/>
      <c r="J313" s="124"/>
      <c r="K313" s="329"/>
      <c r="L313" s="124"/>
      <c r="M313" s="320"/>
      <c r="N313" s="142"/>
      <c r="O313" s="320"/>
      <c r="P313" s="142"/>
      <c r="Q313" s="329"/>
      <c r="R313" s="124"/>
      <c r="S313" s="320"/>
      <c r="T313" s="142"/>
      <c r="U313" s="30"/>
      <c r="V313" s="30"/>
    </row>
    <row r="314">
      <c r="A314" s="320"/>
      <c r="B314" s="142"/>
      <c r="C314" s="320"/>
      <c r="D314" s="142"/>
      <c r="E314" s="320"/>
      <c r="F314" s="142"/>
      <c r="G314" s="320"/>
      <c r="H314" s="142"/>
      <c r="I314" s="329"/>
      <c r="J314" s="124"/>
      <c r="K314" s="329"/>
      <c r="L314" s="124"/>
      <c r="M314" s="320"/>
      <c r="N314" s="142"/>
      <c r="O314" s="320"/>
      <c r="P314" s="142"/>
      <c r="Q314" s="329"/>
      <c r="R314" s="124"/>
      <c r="S314" s="320"/>
      <c r="T314" s="142"/>
      <c r="U314" s="30"/>
      <c r="V314" s="30"/>
    </row>
    <row r="315">
      <c r="A315" s="320"/>
      <c r="B315" s="142"/>
      <c r="C315" s="320"/>
      <c r="D315" s="142"/>
      <c r="E315" s="320"/>
      <c r="F315" s="142"/>
      <c r="G315" s="320"/>
      <c r="H315" s="142"/>
      <c r="I315" s="329"/>
      <c r="J315" s="124"/>
      <c r="K315" s="329"/>
      <c r="L315" s="124"/>
      <c r="M315" s="320"/>
      <c r="N315" s="142"/>
      <c r="O315" s="320"/>
      <c r="P315" s="142"/>
      <c r="Q315" s="329"/>
      <c r="R315" s="124"/>
      <c r="S315" s="320"/>
      <c r="T315" s="142"/>
      <c r="U315" s="30"/>
      <c r="V315" s="30"/>
    </row>
    <row r="316">
      <c r="A316" s="320"/>
      <c r="B316" s="142"/>
      <c r="C316" s="320"/>
      <c r="D316" s="142"/>
      <c r="E316" s="320"/>
      <c r="F316" s="142"/>
      <c r="G316" s="320"/>
      <c r="H316" s="142"/>
      <c r="I316" s="329"/>
      <c r="J316" s="124"/>
      <c r="K316" s="329"/>
      <c r="L316" s="124"/>
      <c r="M316" s="320"/>
      <c r="N316" s="142"/>
      <c r="O316" s="320"/>
      <c r="P316" s="142"/>
      <c r="Q316" s="329"/>
      <c r="R316" s="124"/>
      <c r="S316" s="320"/>
      <c r="T316" s="142"/>
      <c r="U316" s="30"/>
      <c r="V316" s="30"/>
    </row>
    <row r="317">
      <c r="A317" s="320"/>
      <c r="B317" s="142"/>
      <c r="C317" s="320"/>
      <c r="D317" s="142"/>
      <c r="E317" s="320"/>
      <c r="F317" s="142"/>
      <c r="G317" s="320"/>
      <c r="H317" s="142"/>
      <c r="I317" s="329"/>
      <c r="J317" s="124"/>
      <c r="K317" s="329"/>
      <c r="L317" s="124"/>
      <c r="M317" s="320"/>
      <c r="N317" s="142"/>
      <c r="O317" s="320"/>
      <c r="P317" s="142"/>
      <c r="Q317" s="329"/>
      <c r="R317" s="124"/>
      <c r="S317" s="320"/>
      <c r="T317" s="142"/>
      <c r="U317" s="30"/>
      <c r="V317" s="30"/>
    </row>
    <row r="318">
      <c r="A318" s="320"/>
      <c r="B318" s="142"/>
      <c r="C318" s="320"/>
      <c r="D318" s="142"/>
      <c r="E318" s="320"/>
      <c r="F318" s="142"/>
      <c r="G318" s="320"/>
      <c r="H318" s="142"/>
      <c r="I318" s="329"/>
      <c r="J318" s="124"/>
      <c r="K318" s="329"/>
      <c r="L318" s="124"/>
      <c r="M318" s="320"/>
      <c r="N318" s="142"/>
      <c r="O318" s="320"/>
      <c r="P318" s="142"/>
      <c r="Q318" s="329"/>
      <c r="R318" s="124"/>
      <c r="S318" s="320"/>
      <c r="T318" s="142"/>
      <c r="U318" s="30"/>
      <c r="V318" s="30"/>
    </row>
    <row r="319">
      <c r="A319" s="320"/>
      <c r="B319" s="142"/>
      <c r="C319" s="320"/>
      <c r="D319" s="142"/>
      <c r="E319" s="320"/>
      <c r="F319" s="142"/>
      <c r="G319" s="320"/>
      <c r="H319" s="142"/>
      <c r="I319" s="329"/>
      <c r="J319" s="124"/>
      <c r="K319" s="329"/>
      <c r="L319" s="124"/>
      <c r="M319" s="320"/>
      <c r="N319" s="142"/>
      <c r="O319" s="320"/>
      <c r="P319" s="142"/>
      <c r="Q319" s="329"/>
      <c r="R319" s="124"/>
      <c r="S319" s="320"/>
      <c r="T319" s="142"/>
      <c r="U319" s="30"/>
      <c r="V319" s="30"/>
    </row>
    <row r="320">
      <c r="A320" s="320"/>
      <c r="B320" s="142"/>
      <c r="C320" s="320"/>
      <c r="D320" s="142"/>
      <c r="E320" s="320"/>
      <c r="F320" s="142"/>
      <c r="G320" s="320"/>
      <c r="H320" s="142"/>
      <c r="I320" s="329"/>
      <c r="J320" s="124"/>
      <c r="K320" s="329"/>
      <c r="L320" s="124"/>
      <c r="M320" s="320"/>
      <c r="N320" s="142"/>
      <c r="O320" s="320"/>
      <c r="P320" s="142"/>
      <c r="Q320" s="329"/>
      <c r="R320" s="124"/>
      <c r="S320" s="320"/>
      <c r="T320" s="142"/>
      <c r="U320" s="30"/>
      <c r="V320" s="30"/>
    </row>
    <row r="321">
      <c r="A321" s="320"/>
      <c r="B321" s="142"/>
      <c r="C321" s="320"/>
      <c r="D321" s="142"/>
      <c r="E321" s="320"/>
      <c r="F321" s="142"/>
      <c r="G321" s="320"/>
      <c r="H321" s="142"/>
      <c r="I321" s="329"/>
      <c r="J321" s="124"/>
      <c r="K321" s="329"/>
      <c r="L321" s="124"/>
      <c r="M321" s="320"/>
      <c r="N321" s="142"/>
      <c r="O321" s="320"/>
      <c r="P321" s="142"/>
      <c r="Q321" s="329"/>
      <c r="R321" s="124"/>
      <c r="S321" s="320"/>
      <c r="T321" s="142"/>
      <c r="U321" s="30"/>
      <c r="V321" s="30"/>
    </row>
    <row r="322">
      <c r="A322" s="320"/>
      <c r="B322" s="142"/>
      <c r="C322" s="320"/>
      <c r="D322" s="142"/>
      <c r="E322" s="320"/>
      <c r="F322" s="142"/>
      <c r="G322" s="320"/>
      <c r="H322" s="142"/>
      <c r="I322" s="329"/>
      <c r="J322" s="124"/>
      <c r="K322" s="329"/>
      <c r="L322" s="124"/>
      <c r="M322" s="320"/>
      <c r="N322" s="142"/>
      <c r="O322" s="320"/>
      <c r="P322" s="142"/>
      <c r="Q322" s="329"/>
      <c r="R322" s="124"/>
      <c r="S322" s="320"/>
      <c r="T322" s="142"/>
      <c r="U322" s="30"/>
      <c r="V322" s="30"/>
    </row>
    <row r="323">
      <c r="A323" s="320"/>
      <c r="B323" s="142"/>
      <c r="C323" s="320"/>
      <c r="D323" s="142"/>
      <c r="E323" s="320"/>
      <c r="F323" s="142"/>
      <c r="G323" s="320"/>
      <c r="H323" s="142"/>
      <c r="I323" s="329"/>
      <c r="J323" s="124"/>
      <c r="K323" s="329"/>
      <c r="L323" s="124"/>
      <c r="M323" s="320"/>
      <c r="N323" s="142"/>
      <c r="O323" s="320"/>
      <c r="P323" s="142"/>
      <c r="Q323" s="329"/>
      <c r="R323" s="124"/>
      <c r="S323" s="320"/>
      <c r="T323" s="142"/>
      <c r="U323" s="30"/>
      <c r="V323" s="30"/>
    </row>
    <row r="324">
      <c r="A324" s="320"/>
      <c r="B324" s="142"/>
      <c r="C324" s="320"/>
      <c r="D324" s="142"/>
      <c r="E324" s="320"/>
      <c r="F324" s="142"/>
      <c r="G324" s="320"/>
      <c r="H324" s="142"/>
      <c r="I324" s="329"/>
      <c r="J324" s="124"/>
      <c r="K324" s="329"/>
      <c r="L324" s="124"/>
      <c r="M324" s="320"/>
      <c r="N324" s="142"/>
      <c r="O324" s="320"/>
      <c r="P324" s="142"/>
      <c r="Q324" s="329"/>
      <c r="R324" s="124"/>
      <c r="S324" s="320"/>
      <c r="T324" s="142"/>
      <c r="U324" s="30"/>
      <c r="V324" s="30"/>
    </row>
    <row r="325">
      <c r="A325" s="320"/>
      <c r="B325" s="142"/>
      <c r="C325" s="320"/>
      <c r="D325" s="142"/>
      <c r="E325" s="320"/>
      <c r="F325" s="142"/>
      <c r="G325" s="320"/>
      <c r="H325" s="142"/>
      <c r="I325" s="329"/>
      <c r="J325" s="124"/>
      <c r="K325" s="329"/>
      <c r="L325" s="124"/>
      <c r="M325" s="320"/>
      <c r="N325" s="142"/>
      <c r="O325" s="320"/>
      <c r="P325" s="142"/>
      <c r="Q325" s="329"/>
      <c r="R325" s="124"/>
      <c r="S325" s="320"/>
      <c r="T325" s="142"/>
      <c r="U325" s="30"/>
      <c r="V325" s="30"/>
    </row>
    <row r="326">
      <c r="A326" s="320"/>
      <c r="B326" s="142"/>
      <c r="C326" s="320"/>
      <c r="D326" s="142"/>
      <c r="E326" s="320"/>
      <c r="F326" s="142"/>
      <c r="G326" s="320"/>
      <c r="H326" s="142"/>
      <c r="I326" s="329"/>
      <c r="J326" s="124"/>
      <c r="K326" s="329"/>
      <c r="L326" s="124"/>
      <c r="M326" s="320"/>
      <c r="N326" s="142"/>
      <c r="O326" s="320"/>
      <c r="P326" s="142"/>
      <c r="Q326" s="329"/>
      <c r="R326" s="124"/>
      <c r="S326" s="320"/>
      <c r="T326" s="142"/>
      <c r="U326" s="30"/>
      <c r="V326" s="30"/>
    </row>
    <row r="327">
      <c r="A327" s="320"/>
      <c r="B327" s="142"/>
      <c r="C327" s="320"/>
      <c r="D327" s="142"/>
      <c r="E327" s="320"/>
      <c r="F327" s="142"/>
      <c r="G327" s="320"/>
      <c r="H327" s="142"/>
      <c r="I327" s="329"/>
      <c r="J327" s="124"/>
      <c r="K327" s="329"/>
      <c r="L327" s="124"/>
      <c r="M327" s="320"/>
      <c r="N327" s="142"/>
      <c r="O327" s="320"/>
      <c r="P327" s="142"/>
      <c r="Q327" s="329"/>
      <c r="R327" s="124"/>
      <c r="S327" s="320"/>
      <c r="T327" s="142"/>
      <c r="U327" s="30"/>
      <c r="V327" s="30"/>
    </row>
    <row r="328">
      <c r="A328" s="320"/>
      <c r="B328" s="142"/>
      <c r="C328" s="320"/>
      <c r="D328" s="142"/>
      <c r="E328" s="320"/>
      <c r="F328" s="142"/>
      <c r="G328" s="320"/>
      <c r="H328" s="142"/>
      <c r="I328" s="329"/>
      <c r="J328" s="124"/>
      <c r="K328" s="329"/>
      <c r="L328" s="124"/>
      <c r="M328" s="320"/>
      <c r="N328" s="142"/>
      <c r="O328" s="320"/>
      <c r="P328" s="142"/>
      <c r="Q328" s="329"/>
      <c r="R328" s="124"/>
      <c r="S328" s="320"/>
      <c r="T328" s="142"/>
      <c r="U328" s="30"/>
      <c r="V328" s="30"/>
    </row>
    <row r="329">
      <c r="A329" s="320"/>
      <c r="B329" s="142"/>
      <c r="C329" s="320"/>
      <c r="D329" s="142"/>
      <c r="E329" s="320"/>
      <c r="F329" s="142"/>
      <c r="G329" s="320"/>
      <c r="H329" s="142"/>
      <c r="I329" s="329"/>
      <c r="J329" s="124"/>
      <c r="K329" s="329"/>
      <c r="L329" s="124"/>
      <c r="M329" s="320"/>
      <c r="N329" s="142"/>
      <c r="O329" s="320"/>
      <c r="P329" s="142"/>
      <c r="Q329" s="329"/>
      <c r="R329" s="124"/>
      <c r="S329" s="320"/>
      <c r="T329" s="142"/>
      <c r="U329" s="30"/>
      <c r="V329" s="30"/>
    </row>
    <row r="330">
      <c r="A330" s="320"/>
      <c r="B330" s="142"/>
      <c r="C330" s="320"/>
      <c r="D330" s="142"/>
      <c r="E330" s="320"/>
      <c r="F330" s="142"/>
      <c r="G330" s="320"/>
      <c r="H330" s="142"/>
      <c r="I330" s="329"/>
      <c r="J330" s="124"/>
      <c r="K330" s="329"/>
      <c r="L330" s="124"/>
      <c r="M330" s="320"/>
      <c r="N330" s="142"/>
      <c r="O330" s="320"/>
      <c r="P330" s="142"/>
      <c r="Q330" s="329"/>
      <c r="R330" s="124"/>
      <c r="S330" s="320"/>
      <c r="T330" s="142"/>
      <c r="U330" s="30"/>
      <c r="V330" s="30"/>
    </row>
    <row r="331">
      <c r="A331" s="320"/>
      <c r="B331" s="142"/>
      <c r="C331" s="320"/>
      <c r="D331" s="142"/>
      <c r="E331" s="320"/>
      <c r="F331" s="142"/>
      <c r="G331" s="320"/>
      <c r="H331" s="142"/>
      <c r="I331" s="329"/>
      <c r="J331" s="124"/>
      <c r="K331" s="329"/>
      <c r="L331" s="124"/>
      <c r="M331" s="320"/>
      <c r="N331" s="142"/>
      <c r="O331" s="320"/>
      <c r="P331" s="142"/>
      <c r="Q331" s="329"/>
      <c r="R331" s="124"/>
      <c r="S331" s="320"/>
      <c r="T331" s="142"/>
      <c r="U331" s="30"/>
      <c r="V331" s="30"/>
    </row>
    <row r="332">
      <c r="A332" s="320"/>
      <c r="B332" s="142"/>
      <c r="C332" s="320"/>
      <c r="D332" s="142"/>
      <c r="E332" s="320"/>
      <c r="F332" s="142"/>
      <c r="G332" s="320"/>
      <c r="H332" s="142"/>
      <c r="I332" s="329"/>
      <c r="J332" s="124"/>
      <c r="K332" s="329"/>
      <c r="L332" s="124"/>
      <c r="M332" s="320"/>
      <c r="N332" s="142"/>
      <c r="O332" s="320"/>
      <c r="P332" s="142"/>
      <c r="Q332" s="329"/>
      <c r="R332" s="124"/>
      <c r="S332" s="320"/>
      <c r="T332" s="142"/>
      <c r="U332" s="30"/>
      <c r="V332" s="30"/>
    </row>
    <row r="333">
      <c r="A333" s="320"/>
      <c r="B333" s="142"/>
      <c r="C333" s="320"/>
      <c r="D333" s="142"/>
      <c r="E333" s="320"/>
      <c r="F333" s="142"/>
      <c r="G333" s="320"/>
      <c r="H333" s="142"/>
      <c r="I333" s="329"/>
      <c r="J333" s="124"/>
      <c r="K333" s="329"/>
      <c r="L333" s="124"/>
      <c r="M333" s="320"/>
      <c r="N333" s="142"/>
      <c r="O333" s="320"/>
      <c r="P333" s="142"/>
      <c r="Q333" s="329"/>
      <c r="R333" s="124"/>
      <c r="S333" s="320"/>
      <c r="T333" s="142"/>
      <c r="U333" s="30"/>
      <c r="V333" s="30"/>
    </row>
    <row r="334">
      <c r="A334" s="320"/>
      <c r="B334" s="142"/>
      <c r="C334" s="320"/>
      <c r="D334" s="142"/>
      <c r="E334" s="320"/>
      <c r="F334" s="142"/>
      <c r="G334" s="320"/>
      <c r="H334" s="142"/>
      <c r="I334" s="329"/>
      <c r="J334" s="124"/>
      <c r="K334" s="329"/>
      <c r="L334" s="124"/>
      <c r="M334" s="320"/>
      <c r="N334" s="142"/>
      <c r="O334" s="320"/>
      <c r="P334" s="142"/>
      <c r="Q334" s="329"/>
      <c r="R334" s="124"/>
      <c r="S334" s="320"/>
      <c r="T334" s="142"/>
      <c r="U334" s="30"/>
      <c r="V334" s="30"/>
    </row>
    <row r="335">
      <c r="A335" s="320"/>
      <c r="B335" s="142"/>
      <c r="C335" s="320"/>
      <c r="D335" s="142"/>
      <c r="E335" s="320"/>
      <c r="F335" s="142"/>
      <c r="G335" s="320"/>
      <c r="H335" s="142"/>
      <c r="I335" s="329"/>
      <c r="J335" s="124"/>
      <c r="K335" s="329"/>
      <c r="L335" s="124"/>
      <c r="M335" s="320"/>
      <c r="N335" s="142"/>
      <c r="O335" s="320"/>
      <c r="P335" s="142"/>
      <c r="Q335" s="329"/>
      <c r="R335" s="124"/>
      <c r="S335" s="320"/>
      <c r="T335" s="142"/>
      <c r="U335" s="30"/>
      <c r="V335" s="30"/>
    </row>
    <row r="336">
      <c r="A336" s="320"/>
      <c r="B336" s="142"/>
      <c r="C336" s="320"/>
      <c r="D336" s="142"/>
      <c r="E336" s="320"/>
      <c r="F336" s="142"/>
      <c r="G336" s="320"/>
      <c r="H336" s="142"/>
      <c r="I336" s="329"/>
      <c r="J336" s="124"/>
      <c r="K336" s="329"/>
      <c r="L336" s="124"/>
      <c r="M336" s="320"/>
      <c r="N336" s="142"/>
      <c r="O336" s="320"/>
      <c r="P336" s="142"/>
      <c r="Q336" s="329"/>
      <c r="R336" s="124"/>
      <c r="S336" s="320"/>
      <c r="T336" s="142"/>
      <c r="U336" s="30"/>
      <c r="V336" s="30"/>
    </row>
    <row r="337">
      <c r="A337" s="320"/>
      <c r="B337" s="142"/>
      <c r="C337" s="320"/>
      <c r="D337" s="142"/>
      <c r="E337" s="320"/>
      <c r="F337" s="142"/>
      <c r="G337" s="320"/>
      <c r="H337" s="142"/>
      <c r="I337" s="329"/>
      <c r="J337" s="124"/>
      <c r="K337" s="329"/>
      <c r="L337" s="124"/>
      <c r="M337" s="320"/>
      <c r="N337" s="142"/>
      <c r="O337" s="320"/>
      <c r="P337" s="142"/>
      <c r="Q337" s="329"/>
      <c r="R337" s="124"/>
      <c r="S337" s="320"/>
      <c r="T337" s="142"/>
      <c r="U337" s="30"/>
      <c r="V337" s="30"/>
    </row>
    <row r="338">
      <c r="A338" s="320"/>
      <c r="B338" s="142"/>
      <c r="C338" s="320"/>
      <c r="D338" s="142"/>
      <c r="E338" s="320"/>
      <c r="F338" s="142"/>
      <c r="G338" s="320"/>
      <c r="H338" s="142"/>
      <c r="I338" s="329"/>
      <c r="J338" s="124"/>
      <c r="K338" s="329"/>
      <c r="L338" s="124"/>
      <c r="M338" s="320"/>
      <c r="N338" s="142"/>
      <c r="O338" s="320"/>
      <c r="P338" s="142"/>
      <c r="Q338" s="329"/>
      <c r="R338" s="124"/>
      <c r="S338" s="320"/>
      <c r="T338" s="142"/>
      <c r="U338" s="30"/>
      <c r="V338" s="30"/>
    </row>
    <row r="339">
      <c r="A339" s="320"/>
      <c r="B339" s="142"/>
      <c r="C339" s="320"/>
      <c r="D339" s="142"/>
      <c r="E339" s="320"/>
      <c r="F339" s="142"/>
      <c r="G339" s="320"/>
      <c r="H339" s="142"/>
      <c r="I339" s="329"/>
      <c r="J339" s="124"/>
      <c r="K339" s="329"/>
      <c r="L339" s="124"/>
      <c r="M339" s="320"/>
      <c r="N339" s="142"/>
      <c r="O339" s="320"/>
      <c r="P339" s="142"/>
      <c r="Q339" s="329"/>
      <c r="R339" s="124"/>
      <c r="S339" s="320"/>
      <c r="T339" s="142"/>
      <c r="U339" s="30"/>
      <c r="V339" s="30"/>
    </row>
    <row r="340">
      <c r="A340" s="320"/>
      <c r="B340" s="142"/>
      <c r="C340" s="320"/>
      <c r="D340" s="142"/>
      <c r="E340" s="320"/>
      <c r="F340" s="142"/>
      <c r="G340" s="320"/>
      <c r="H340" s="142"/>
      <c r="I340" s="329"/>
      <c r="J340" s="124"/>
      <c r="K340" s="329"/>
      <c r="L340" s="124"/>
      <c r="M340" s="320"/>
      <c r="N340" s="142"/>
      <c r="O340" s="320"/>
      <c r="P340" s="142"/>
      <c r="Q340" s="329"/>
      <c r="R340" s="124"/>
      <c r="S340" s="320"/>
      <c r="T340" s="142"/>
      <c r="U340" s="30"/>
      <c r="V340" s="30"/>
    </row>
    <row r="341">
      <c r="A341" s="320"/>
      <c r="B341" s="142"/>
      <c r="C341" s="320"/>
      <c r="D341" s="142"/>
      <c r="E341" s="320"/>
      <c r="F341" s="142"/>
      <c r="G341" s="320"/>
      <c r="H341" s="142"/>
      <c r="I341" s="329"/>
      <c r="J341" s="124"/>
      <c r="K341" s="329"/>
      <c r="L341" s="124"/>
      <c r="M341" s="320"/>
      <c r="N341" s="142"/>
      <c r="O341" s="320"/>
      <c r="P341" s="142"/>
      <c r="Q341" s="329"/>
      <c r="R341" s="124"/>
      <c r="S341" s="320"/>
      <c r="T341" s="142"/>
      <c r="U341" s="30"/>
      <c r="V341" s="30"/>
    </row>
    <row r="342">
      <c r="A342" s="320"/>
      <c r="B342" s="142"/>
      <c r="C342" s="320"/>
      <c r="D342" s="142"/>
      <c r="E342" s="320"/>
      <c r="F342" s="142"/>
      <c r="G342" s="320"/>
      <c r="H342" s="142"/>
      <c r="I342" s="329"/>
      <c r="J342" s="124"/>
      <c r="K342" s="329"/>
      <c r="L342" s="124"/>
      <c r="M342" s="320"/>
      <c r="N342" s="142"/>
      <c r="O342" s="320"/>
      <c r="P342" s="142"/>
      <c r="Q342" s="329"/>
      <c r="R342" s="124"/>
      <c r="S342" s="320"/>
      <c r="T342" s="142"/>
      <c r="U342" s="30"/>
      <c r="V342" s="30"/>
    </row>
    <row r="343">
      <c r="A343" s="320"/>
      <c r="B343" s="142"/>
      <c r="C343" s="320"/>
      <c r="D343" s="142"/>
      <c r="E343" s="320"/>
      <c r="F343" s="142"/>
      <c r="G343" s="320"/>
      <c r="H343" s="142"/>
      <c r="I343" s="329"/>
      <c r="J343" s="124"/>
      <c r="K343" s="329"/>
      <c r="L343" s="124"/>
      <c r="M343" s="320"/>
      <c r="N343" s="142"/>
      <c r="O343" s="320"/>
      <c r="P343" s="142"/>
      <c r="Q343" s="329"/>
      <c r="R343" s="124"/>
      <c r="S343" s="320"/>
      <c r="T343" s="142"/>
      <c r="U343" s="30"/>
      <c r="V343" s="30"/>
    </row>
    <row r="344">
      <c r="A344" s="320"/>
      <c r="B344" s="142"/>
      <c r="C344" s="320"/>
      <c r="D344" s="142"/>
      <c r="E344" s="320"/>
      <c r="F344" s="142"/>
      <c r="G344" s="320"/>
      <c r="H344" s="142"/>
      <c r="I344" s="329"/>
      <c r="J344" s="124"/>
      <c r="K344" s="329"/>
      <c r="L344" s="124"/>
      <c r="M344" s="320"/>
      <c r="N344" s="142"/>
      <c r="O344" s="320"/>
      <c r="P344" s="142"/>
      <c r="Q344" s="329"/>
      <c r="R344" s="124"/>
      <c r="S344" s="320"/>
      <c r="T344" s="142"/>
      <c r="U344" s="30"/>
      <c r="V344" s="30"/>
    </row>
    <row r="345">
      <c r="A345" s="320"/>
      <c r="B345" s="142"/>
      <c r="C345" s="320"/>
      <c r="D345" s="142"/>
      <c r="E345" s="320"/>
      <c r="F345" s="142"/>
      <c r="G345" s="320"/>
      <c r="H345" s="142"/>
      <c r="I345" s="329"/>
      <c r="J345" s="124"/>
      <c r="K345" s="329"/>
      <c r="L345" s="124"/>
      <c r="M345" s="320"/>
      <c r="N345" s="142"/>
      <c r="O345" s="320"/>
      <c r="P345" s="142"/>
      <c r="Q345" s="329"/>
      <c r="R345" s="124"/>
      <c r="S345" s="320"/>
      <c r="T345" s="142"/>
      <c r="U345" s="30"/>
      <c r="V345" s="30"/>
    </row>
    <row r="346">
      <c r="A346" s="320"/>
      <c r="B346" s="142"/>
      <c r="C346" s="320"/>
      <c r="D346" s="142"/>
      <c r="E346" s="320"/>
      <c r="F346" s="142"/>
      <c r="G346" s="320"/>
      <c r="H346" s="142"/>
      <c r="I346" s="329"/>
      <c r="J346" s="124"/>
      <c r="K346" s="329"/>
      <c r="L346" s="124"/>
      <c r="M346" s="320"/>
      <c r="N346" s="142"/>
      <c r="O346" s="320"/>
      <c r="P346" s="142"/>
      <c r="Q346" s="329"/>
      <c r="R346" s="124"/>
      <c r="S346" s="320"/>
      <c r="T346" s="142"/>
      <c r="U346" s="30"/>
      <c r="V346" s="30"/>
    </row>
    <row r="347">
      <c r="A347" s="320"/>
      <c r="B347" s="142"/>
      <c r="C347" s="320"/>
      <c r="D347" s="142"/>
      <c r="E347" s="320"/>
      <c r="F347" s="142"/>
      <c r="G347" s="320"/>
      <c r="H347" s="142"/>
      <c r="I347" s="329"/>
      <c r="J347" s="124"/>
      <c r="K347" s="329"/>
      <c r="L347" s="124"/>
      <c r="M347" s="320"/>
      <c r="N347" s="142"/>
      <c r="O347" s="320"/>
      <c r="P347" s="142"/>
      <c r="Q347" s="329"/>
      <c r="R347" s="124"/>
      <c r="S347" s="320"/>
      <c r="T347" s="142"/>
      <c r="U347" s="30"/>
      <c r="V347" s="30"/>
    </row>
    <row r="348">
      <c r="A348" s="320"/>
      <c r="B348" s="142"/>
      <c r="C348" s="320"/>
      <c r="D348" s="142"/>
      <c r="E348" s="320"/>
      <c r="F348" s="142"/>
      <c r="G348" s="320"/>
      <c r="H348" s="142"/>
      <c r="I348" s="329"/>
      <c r="J348" s="124"/>
      <c r="K348" s="329"/>
      <c r="L348" s="124"/>
      <c r="M348" s="320"/>
      <c r="N348" s="142"/>
      <c r="O348" s="320"/>
      <c r="P348" s="142"/>
      <c r="Q348" s="329"/>
      <c r="R348" s="124"/>
      <c r="S348" s="320"/>
      <c r="T348" s="142"/>
      <c r="U348" s="30"/>
      <c r="V348" s="30"/>
    </row>
    <row r="349">
      <c r="A349" s="320"/>
      <c r="B349" s="142"/>
      <c r="C349" s="320"/>
      <c r="D349" s="142"/>
      <c r="E349" s="320"/>
      <c r="F349" s="142"/>
      <c r="G349" s="320"/>
      <c r="H349" s="142"/>
      <c r="I349" s="329"/>
      <c r="J349" s="124"/>
      <c r="K349" s="329"/>
      <c r="L349" s="124"/>
      <c r="M349" s="320"/>
      <c r="N349" s="142"/>
      <c r="O349" s="320"/>
      <c r="P349" s="142"/>
      <c r="Q349" s="329"/>
      <c r="R349" s="124"/>
      <c r="S349" s="320"/>
      <c r="T349" s="142"/>
      <c r="U349" s="30"/>
      <c r="V349" s="30"/>
    </row>
    <row r="350">
      <c r="A350" s="320"/>
      <c r="B350" s="142"/>
      <c r="C350" s="320"/>
      <c r="D350" s="142"/>
      <c r="E350" s="320"/>
      <c r="F350" s="142"/>
      <c r="G350" s="320"/>
      <c r="H350" s="142"/>
      <c r="I350" s="329"/>
      <c r="J350" s="124"/>
      <c r="K350" s="329"/>
      <c r="L350" s="124"/>
      <c r="M350" s="320"/>
      <c r="N350" s="142"/>
      <c r="O350" s="320"/>
      <c r="P350" s="142"/>
      <c r="Q350" s="329"/>
      <c r="R350" s="124"/>
      <c r="S350" s="320"/>
      <c r="T350" s="142"/>
      <c r="U350" s="30"/>
      <c r="V350" s="30"/>
    </row>
    <row r="351">
      <c r="A351" s="320"/>
      <c r="B351" s="142"/>
      <c r="C351" s="320"/>
      <c r="D351" s="142"/>
      <c r="E351" s="320"/>
      <c r="F351" s="142"/>
      <c r="G351" s="320"/>
      <c r="H351" s="142"/>
      <c r="I351" s="329"/>
      <c r="J351" s="124"/>
      <c r="K351" s="329"/>
      <c r="L351" s="124"/>
      <c r="M351" s="320"/>
      <c r="N351" s="142"/>
      <c r="O351" s="320"/>
      <c r="P351" s="142"/>
      <c r="Q351" s="329"/>
      <c r="R351" s="124"/>
      <c r="S351" s="320"/>
      <c r="T351" s="142"/>
      <c r="U351" s="30"/>
      <c r="V351" s="30"/>
    </row>
    <row r="352">
      <c r="A352" s="320"/>
      <c r="B352" s="142"/>
      <c r="C352" s="320"/>
      <c r="D352" s="142"/>
      <c r="E352" s="320"/>
      <c r="F352" s="142"/>
      <c r="G352" s="320"/>
      <c r="H352" s="142"/>
      <c r="I352" s="329"/>
      <c r="J352" s="124"/>
      <c r="K352" s="329"/>
      <c r="L352" s="124"/>
      <c r="M352" s="320"/>
      <c r="N352" s="142"/>
      <c r="O352" s="320"/>
      <c r="P352" s="142"/>
      <c r="Q352" s="329"/>
      <c r="R352" s="124"/>
      <c r="S352" s="320"/>
      <c r="T352" s="142"/>
      <c r="U352" s="30"/>
      <c r="V352" s="30"/>
    </row>
    <row r="353">
      <c r="A353" s="320"/>
      <c r="B353" s="142"/>
      <c r="C353" s="320"/>
      <c r="D353" s="142"/>
      <c r="E353" s="320"/>
      <c r="F353" s="142"/>
      <c r="G353" s="320"/>
      <c r="H353" s="142"/>
      <c r="I353" s="329"/>
      <c r="J353" s="124"/>
      <c r="K353" s="329"/>
      <c r="L353" s="124"/>
      <c r="M353" s="320"/>
      <c r="N353" s="142"/>
      <c r="O353" s="320"/>
      <c r="P353" s="142"/>
      <c r="Q353" s="329"/>
      <c r="R353" s="124"/>
      <c r="S353" s="320"/>
      <c r="T353" s="142"/>
      <c r="U353" s="30"/>
      <c r="V353" s="30"/>
    </row>
    <row r="354">
      <c r="A354" s="320"/>
      <c r="B354" s="142"/>
      <c r="C354" s="320"/>
      <c r="D354" s="142"/>
      <c r="E354" s="320"/>
      <c r="F354" s="142"/>
      <c r="G354" s="320"/>
      <c r="H354" s="142"/>
      <c r="I354" s="329"/>
      <c r="J354" s="124"/>
      <c r="K354" s="329"/>
      <c r="L354" s="124"/>
      <c r="M354" s="320"/>
      <c r="N354" s="142"/>
      <c r="O354" s="320"/>
      <c r="P354" s="142"/>
      <c r="Q354" s="329"/>
      <c r="R354" s="124"/>
      <c r="S354" s="320"/>
      <c r="T354" s="142"/>
      <c r="U354" s="30"/>
      <c r="V354" s="30"/>
    </row>
    <row r="355">
      <c r="A355" s="320"/>
      <c r="B355" s="142"/>
      <c r="C355" s="320"/>
      <c r="D355" s="142"/>
      <c r="E355" s="320"/>
      <c r="F355" s="142"/>
      <c r="G355" s="320"/>
      <c r="H355" s="142"/>
      <c r="I355" s="329"/>
      <c r="J355" s="124"/>
      <c r="K355" s="329"/>
      <c r="L355" s="124"/>
      <c r="M355" s="320"/>
      <c r="N355" s="142"/>
      <c r="O355" s="320"/>
      <c r="P355" s="142"/>
      <c r="Q355" s="329"/>
      <c r="R355" s="124"/>
      <c r="S355" s="320"/>
      <c r="T355" s="142"/>
      <c r="U355" s="30"/>
      <c r="V355" s="30"/>
    </row>
    <row r="356">
      <c r="A356" s="320"/>
      <c r="B356" s="142"/>
      <c r="C356" s="320"/>
      <c r="D356" s="142"/>
      <c r="E356" s="320"/>
      <c r="F356" s="142"/>
      <c r="G356" s="320"/>
      <c r="H356" s="142"/>
      <c r="I356" s="329"/>
      <c r="J356" s="124"/>
      <c r="K356" s="329"/>
      <c r="L356" s="124"/>
      <c r="M356" s="320"/>
      <c r="N356" s="142"/>
      <c r="O356" s="320"/>
      <c r="P356" s="142"/>
      <c r="Q356" s="329"/>
      <c r="R356" s="124"/>
      <c r="S356" s="320"/>
      <c r="T356" s="142"/>
      <c r="U356" s="30"/>
      <c r="V356" s="30"/>
    </row>
    <row r="357">
      <c r="A357" s="320"/>
      <c r="B357" s="142"/>
      <c r="C357" s="320"/>
      <c r="D357" s="142"/>
      <c r="E357" s="320"/>
      <c r="F357" s="142"/>
      <c r="G357" s="320"/>
      <c r="H357" s="142"/>
      <c r="I357" s="329"/>
      <c r="J357" s="124"/>
      <c r="K357" s="329"/>
      <c r="L357" s="124"/>
      <c r="M357" s="320"/>
      <c r="N357" s="142"/>
      <c r="O357" s="320"/>
      <c r="P357" s="142"/>
      <c r="Q357" s="329"/>
      <c r="R357" s="124"/>
      <c r="S357" s="320"/>
      <c r="T357" s="142"/>
      <c r="U357" s="30"/>
      <c r="V357" s="30"/>
    </row>
    <row r="358">
      <c r="A358" s="320"/>
      <c r="B358" s="142"/>
      <c r="C358" s="320"/>
      <c r="D358" s="142"/>
      <c r="E358" s="320"/>
      <c r="F358" s="142"/>
      <c r="G358" s="320"/>
      <c r="H358" s="142"/>
      <c r="I358" s="329"/>
      <c r="J358" s="124"/>
      <c r="K358" s="329"/>
      <c r="L358" s="124"/>
      <c r="M358" s="320"/>
      <c r="N358" s="142"/>
      <c r="O358" s="320"/>
      <c r="P358" s="142"/>
      <c r="Q358" s="329"/>
      <c r="R358" s="124"/>
      <c r="S358" s="320"/>
      <c r="T358" s="142"/>
      <c r="U358" s="30"/>
      <c r="V358" s="30"/>
    </row>
    <row r="359">
      <c r="A359" s="320"/>
      <c r="B359" s="142"/>
      <c r="C359" s="320"/>
      <c r="D359" s="142"/>
      <c r="E359" s="320"/>
      <c r="F359" s="142"/>
      <c r="G359" s="320"/>
      <c r="H359" s="142"/>
      <c r="I359" s="329"/>
      <c r="J359" s="124"/>
      <c r="K359" s="329"/>
      <c r="L359" s="124"/>
      <c r="M359" s="320"/>
      <c r="N359" s="142"/>
      <c r="O359" s="320"/>
      <c r="P359" s="142"/>
      <c r="Q359" s="329"/>
      <c r="R359" s="124"/>
      <c r="S359" s="320"/>
      <c r="T359" s="142"/>
      <c r="U359" s="30"/>
      <c r="V359" s="30"/>
    </row>
    <row r="360">
      <c r="A360" s="320"/>
      <c r="B360" s="142"/>
      <c r="C360" s="320"/>
      <c r="D360" s="142"/>
      <c r="E360" s="320"/>
      <c r="F360" s="142"/>
      <c r="G360" s="320"/>
      <c r="H360" s="142"/>
      <c r="I360" s="329"/>
      <c r="J360" s="124"/>
      <c r="K360" s="329"/>
      <c r="L360" s="124"/>
      <c r="M360" s="320"/>
      <c r="N360" s="142"/>
      <c r="O360" s="320"/>
      <c r="P360" s="142"/>
      <c r="Q360" s="329"/>
      <c r="R360" s="124"/>
      <c r="S360" s="320"/>
      <c r="T360" s="142"/>
      <c r="U360" s="30"/>
      <c r="V360" s="30"/>
    </row>
    <row r="361">
      <c r="A361" s="320"/>
      <c r="B361" s="142"/>
      <c r="C361" s="320"/>
      <c r="D361" s="142"/>
      <c r="E361" s="320"/>
      <c r="F361" s="142"/>
      <c r="G361" s="320"/>
      <c r="H361" s="142"/>
      <c r="I361" s="329"/>
      <c r="J361" s="124"/>
      <c r="K361" s="329"/>
      <c r="L361" s="124"/>
      <c r="M361" s="320"/>
      <c r="N361" s="142"/>
      <c r="O361" s="320"/>
      <c r="P361" s="142"/>
      <c r="Q361" s="329"/>
      <c r="R361" s="124"/>
      <c r="S361" s="320"/>
      <c r="T361" s="142"/>
      <c r="U361" s="30"/>
      <c r="V361" s="30"/>
    </row>
    <row r="362">
      <c r="A362" s="320"/>
      <c r="B362" s="142"/>
      <c r="C362" s="320"/>
      <c r="D362" s="142"/>
      <c r="E362" s="320"/>
      <c r="F362" s="142"/>
      <c r="G362" s="320"/>
      <c r="H362" s="142"/>
      <c r="I362" s="329"/>
      <c r="J362" s="124"/>
      <c r="K362" s="329"/>
      <c r="L362" s="124"/>
      <c r="M362" s="320"/>
      <c r="N362" s="142"/>
      <c r="O362" s="320"/>
      <c r="P362" s="142"/>
      <c r="Q362" s="329"/>
      <c r="R362" s="124"/>
      <c r="S362" s="320"/>
      <c r="T362" s="142"/>
      <c r="U362" s="30"/>
      <c r="V362" s="30"/>
    </row>
    <row r="363">
      <c r="A363" s="320"/>
      <c r="B363" s="142"/>
      <c r="C363" s="320"/>
      <c r="D363" s="142"/>
      <c r="E363" s="320"/>
      <c r="F363" s="142"/>
      <c r="G363" s="320"/>
      <c r="H363" s="142"/>
      <c r="I363" s="329"/>
      <c r="J363" s="124"/>
      <c r="K363" s="329"/>
      <c r="L363" s="124"/>
      <c r="M363" s="320"/>
      <c r="N363" s="142"/>
      <c r="O363" s="320"/>
      <c r="P363" s="142"/>
      <c r="Q363" s="329"/>
      <c r="R363" s="124"/>
      <c r="S363" s="320"/>
      <c r="T363" s="142"/>
      <c r="U363" s="30"/>
      <c r="V363" s="30"/>
    </row>
    <row r="364">
      <c r="A364" s="320"/>
      <c r="B364" s="142"/>
      <c r="C364" s="320"/>
      <c r="D364" s="142"/>
      <c r="E364" s="320"/>
      <c r="F364" s="142"/>
      <c r="G364" s="320"/>
      <c r="H364" s="142"/>
      <c r="I364" s="329"/>
      <c r="J364" s="124"/>
      <c r="K364" s="329"/>
      <c r="L364" s="124"/>
      <c r="M364" s="320"/>
      <c r="N364" s="142"/>
      <c r="O364" s="320"/>
      <c r="P364" s="142"/>
      <c r="Q364" s="329"/>
      <c r="R364" s="124"/>
      <c r="S364" s="320"/>
      <c r="T364" s="142"/>
      <c r="U364" s="30"/>
      <c r="V364" s="30"/>
    </row>
    <row r="365">
      <c r="A365" s="320"/>
      <c r="B365" s="142"/>
      <c r="C365" s="320"/>
      <c r="D365" s="142"/>
      <c r="E365" s="320"/>
      <c r="F365" s="142"/>
      <c r="G365" s="320"/>
      <c r="H365" s="142"/>
      <c r="I365" s="329"/>
      <c r="J365" s="124"/>
      <c r="K365" s="329"/>
      <c r="L365" s="124"/>
      <c r="M365" s="320"/>
      <c r="N365" s="142"/>
      <c r="O365" s="320"/>
      <c r="P365" s="142"/>
      <c r="Q365" s="329"/>
      <c r="R365" s="124"/>
      <c r="S365" s="320"/>
      <c r="T365" s="142"/>
      <c r="U365" s="30"/>
      <c r="V365" s="30"/>
    </row>
    <row r="366">
      <c r="A366" s="320"/>
      <c r="B366" s="142"/>
      <c r="C366" s="320"/>
      <c r="D366" s="142"/>
      <c r="E366" s="320"/>
      <c r="F366" s="142"/>
      <c r="G366" s="320"/>
      <c r="H366" s="142"/>
      <c r="I366" s="329"/>
      <c r="J366" s="124"/>
      <c r="K366" s="329"/>
      <c r="L366" s="124"/>
      <c r="M366" s="320"/>
      <c r="N366" s="142"/>
      <c r="O366" s="320"/>
      <c r="P366" s="142"/>
      <c r="Q366" s="329"/>
      <c r="R366" s="124"/>
      <c r="S366" s="320"/>
      <c r="T366" s="142"/>
      <c r="U366" s="30"/>
      <c r="V366" s="30"/>
    </row>
    <row r="367">
      <c r="A367" s="320"/>
      <c r="B367" s="142"/>
      <c r="C367" s="320"/>
      <c r="D367" s="142"/>
      <c r="E367" s="320"/>
      <c r="F367" s="142"/>
      <c r="G367" s="320"/>
      <c r="H367" s="142"/>
      <c r="I367" s="329"/>
      <c r="J367" s="124"/>
      <c r="K367" s="329"/>
      <c r="L367" s="124"/>
      <c r="M367" s="320"/>
      <c r="N367" s="142"/>
      <c r="O367" s="320"/>
      <c r="P367" s="142"/>
      <c r="Q367" s="329"/>
      <c r="R367" s="124"/>
      <c r="S367" s="320"/>
      <c r="T367" s="142"/>
      <c r="U367" s="30"/>
      <c r="V367" s="30"/>
    </row>
    <row r="368">
      <c r="A368" s="320"/>
      <c r="B368" s="142"/>
      <c r="C368" s="320"/>
      <c r="D368" s="142"/>
      <c r="E368" s="320"/>
      <c r="F368" s="142"/>
      <c r="G368" s="320"/>
      <c r="H368" s="142"/>
      <c r="I368" s="329"/>
      <c r="J368" s="124"/>
      <c r="K368" s="329"/>
      <c r="L368" s="124"/>
      <c r="M368" s="320"/>
      <c r="N368" s="142"/>
      <c r="O368" s="320"/>
      <c r="P368" s="142"/>
      <c r="Q368" s="329"/>
      <c r="R368" s="124"/>
      <c r="S368" s="320"/>
      <c r="T368" s="142"/>
      <c r="U368" s="30"/>
      <c r="V368" s="30"/>
    </row>
    <row r="369">
      <c r="A369" s="320"/>
      <c r="B369" s="142"/>
      <c r="C369" s="320"/>
      <c r="D369" s="142"/>
      <c r="E369" s="320"/>
      <c r="F369" s="142"/>
      <c r="G369" s="320"/>
      <c r="H369" s="142"/>
      <c r="I369" s="329"/>
      <c r="J369" s="124"/>
      <c r="K369" s="329"/>
      <c r="L369" s="124"/>
      <c r="M369" s="320"/>
      <c r="N369" s="142"/>
      <c r="O369" s="320"/>
      <c r="P369" s="142"/>
      <c r="Q369" s="329"/>
      <c r="R369" s="124"/>
      <c r="S369" s="320"/>
      <c r="T369" s="142"/>
      <c r="U369" s="30"/>
      <c r="V369" s="30"/>
    </row>
    <row r="370">
      <c r="A370" s="320"/>
      <c r="B370" s="142"/>
      <c r="C370" s="320"/>
      <c r="D370" s="142"/>
      <c r="E370" s="320"/>
      <c r="F370" s="142"/>
      <c r="G370" s="320"/>
      <c r="H370" s="142"/>
      <c r="I370" s="329"/>
      <c r="J370" s="124"/>
      <c r="K370" s="329"/>
      <c r="L370" s="124"/>
      <c r="M370" s="320"/>
      <c r="N370" s="142"/>
      <c r="O370" s="320"/>
      <c r="P370" s="142"/>
      <c r="Q370" s="329"/>
      <c r="R370" s="124"/>
      <c r="S370" s="320"/>
      <c r="T370" s="142"/>
      <c r="U370" s="30"/>
      <c r="V370" s="30"/>
    </row>
    <row r="371">
      <c r="A371" s="320"/>
      <c r="B371" s="142"/>
      <c r="C371" s="320"/>
      <c r="D371" s="142"/>
      <c r="E371" s="320"/>
      <c r="F371" s="142"/>
      <c r="G371" s="320"/>
      <c r="H371" s="142"/>
      <c r="I371" s="329"/>
      <c r="J371" s="124"/>
      <c r="K371" s="329"/>
      <c r="L371" s="124"/>
      <c r="M371" s="320"/>
      <c r="N371" s="142"/>
      <c r="O371" s="320"/>
      <c r="P371" s="142"/>
      <c r="Q371" s="329"/>
      <c r="R371" s="124"/>
      <c r="S371" s="320"/>
      <c r="T371" s="142"/>
      <c r="U371" s="30"/>
      <c r="V371" s="30"/>
    </row>
    <row r="372">
      <c r="A372" s="320"/>
      <c r="B372" s="142"/>
      <c r="C372" s="320"/>
      <c r="D372" s="142"/>
      <c r="E372" s="320"/>
      <c r="F372" s="142"/>
      <c r="G372" s="320"/>
      <c r="H372" s="142"/>
      <c r="I372" s="329"/>
      <c r="J372" s="124"/>
      <c r="K372" s="329"/>
      <c r="L372" s="124"/>
      <c r="M372" s="320"/>
      <c r="N372" s="142"/>
      <c r="O372" s="320"/>
      <c r="P372" s="142"/>
      <c r="Q372" s="329"/>
      <c r="R372" s="124"/>
      <c r="S372" s="320"/>
      <c r="T372" s="142"/>
      <c r="U372" s="30"/>
      <c r="V372" s="30"/>
    </row>
    <row r="373">
      <c r="A373" s="320"/>
      <c r="B373" s="142"/>
      <c r="C373" s="320"/>
      <c r="D373" s="142"/>
      <c r="E373" s="320"/>
      <c r="F373" s="142"/>
      <c r="G373" s="320"/>
      <c r="H373" s="142"/>
      <c r="I373" s="329"/>
      <c r="J373" s="124"/>
      <c r="K373" s="329"/>
      <c r="L373" s="124"/>
      <c r="M373" s="320"/>
      <c r="N373" s="142"/>
      <c r="O373" s="320"/>
      <c r="P373" s="142"/>
      <c r="Q373" s="329"/>
      <c r="R373" s="124"/>
      <c r="S373" s="320"/>
      <c r="T373" s="142"/>
      <c r="U373" s="30"/>
      <c r="V373" s="30"/>
    </row>
    <row r="374">
      <c r="A374" s="320"/>
      <c r="B374" s="142"/>
      <c r="C374" s="320"/>
      <c r="D374" s="142"/>
      <c r="E374" s="320"/>
      <c r="F374" s="142"/>
      <c r="G374" s="320"/>
      <c r="H374" s="142"/>
      <c r="I374" s="329"/>
      <c r="J374" s="124"/>
      <c r="K374" s="329"/>
      <c r="L374" s="124"/>
      <c r="M374" s="320"/>
      <c r="N374" s="142"/>
      <c r="O374" s="320"/>
      <c r="P374" s="142"/>
      <c r="Q374" s="329"/>
      <c r="R374" s="124"/>
      <c r="S374" s="320"/>
      <c r="T374" s="142"/>
      <c r="U374" s="30"/>
      <c r="V374" s="30"/>
    </row>
    <row r="375">
      <c r="A375" s="320"/>
      <c r="B375" s="142"/>
      <c r="C375" s="320"/>
      <c r="D375" s="142"/>
      <c r="E375" s="320"/>
      <c r="F375" s="142"/>
      <c r="G375" s="320"/>
      <c r="H375" s="142"/>
      <c r="I375" s="329"/>
      <c r="J375" s="124"/>
      <c r="K375" s="329"/>
      <c r="L375" s="124"/>
      <c r="M375" s="320"/>
      <c r="N375" s="142"/>
      <c r="O375" s="320"/>
      <c r="P375" s="142"/>
      <c r="Q375" s="329"/>
      <c r="R375" s="124"/>
      <c r="S375" s="320"/>
      <c r="T375" s="142"/>
      <c r="U375" s="30"/>
      <c r="V375" s="30"/>
    </row>
    <row r="376">
      <c r="A376" s="320"/>
      <c r="B376" s="142"/>
      <c r="C376" s="320"/>
      <c r="D376" s="142"/>
      <c r="E376" s="320"/>
      <c r="F376" s="142"/>
      <c r="G376" s="320"/>
      <c r="H376" s="142"/>
      <c r="I376" s="329"/>
      <c r="J376" s="124"/>
      <c r="K376" s="329"/>
      <c r="L376" s="124"/>
      <c r="M376" s="320"/>
      <c r="N376" s="142"/>
      <c r="O376" s="320"/>
      <c r="P376" s="142"/>
      <c r="Q376" s="329"/>
      <c r="R376" s="124"/>
      <c r="S376" s="320"/>
      <c r="T376" s="142"/>
      <c r="U376" s="30"/>
      <c r="V376" s="30"/>
    </row>
    <row r="377">
      <c r="A377" s="320"/>
      <c r="B377" s="142"/>
      <c r="C377" s="320"/>
      <c r="D377" s="142"/>
      <c r="E377" s="320"/>
      <c r="F377" s="142"/>
      <c r="G377" s="320"/>
      <c r="H377" s="142"/>
      <c r="I377" s="329"/>
      <c r="J377" s="124"/>
      <c r="K377" s="329"/>
      <c r="L377" s="124"/>
      <c r="M377" s="320"/>
      <c r="N377" s="142"/>
      <c r="O377" s="320"/>
      <c r="P377" s="142"/>
      <c r="Q377" s="329"/>
      <c r="R377" s="124"/>
      <c r="S377" s="320"/>
      <c r="T377" s="142"/>
      <c r="U377" s="30"/>
      <c r="V377" s="30"/>
    </row>
    <row r="378">
      <c r="A378" s="320"/>
      <c r="B378" s="142"/>
      <c r="C378" s="320"/>
      <c r="D378" s="142"/>
      <c r="E378" s="320"/>
      <c r="F378" s="142"/>
      <c r="G378" s="320"/>
      <c r="H378" s="142"/>
      <c r="I378" s="329"/>
      <c r="J378" s="124"/>
      <c r="K378" s="329"/>
      <c r="L378" s="124"/>
      <c r="M378" s="320"/>
      <c r="N378" s="142"/>
      <c r="O378" s="320"/>
      <c r="P378" s="142"/>
      <c r="Q378" s="329"/>
      <c r="R378" s="124"/>
      <c r="S378" s="320"/>
      <c r="T378" s="142"/>
      <c r="U378" s="30"/>
      <c r="V378" s="30"/>
    </row>
    <row r="379">
      <c r="A379" s="320"/>
      <c r="B379" s="142"/>
      <c r="C379" s="320"/>
      <c r="D379" s="142"/>
      <c r="E379" s="320"/>
      <c r="F379" s="142"/>
      <c r="G379" s="320"/>
      <c r="H379" s="142"/>
      <c r="I379" s="329"/>
      <c r="J379" s="124"/>
      <c r="K379" s="329"/>
      <c r="L379" s="124"/>
      <c r="M379" s="320"/>
      <c r="N379" s="142"/>
      <c r="O379" s="320"/>
      <c r="P379" s="142"/>
      <c r="Q379" s="329"/>
      <c r="R379" s="124"/>
      <c r="S379" s="320"/>
      <c r="T379" s="142"/>
      <c r="U379" s="30"/>
      <c r="V379" s="30"/>
    </row>
    <row r="380">
      <c r="A380" s="320"/>
      <c r="B380" s="142"/>
      <c r="C380" s="320"/>
      <c r="D380" s="142"/>
      <c r="E380" s="320"/>
      <c r="F380" s="142"/>
      <c r="G380" s="320"/>
      <c r="H380" s="142"/>
      <c r="I380" s="329"/>
      <c r="J380" s="124"/>
      <c r="K380" s="329"/>
      <c r="L380" s="124"/>
      <c r="M380" s="320"/>
      <c r="N380" s="142"/>
      <c r="O380" s="320"/>
      <c r="P380" s="142"/>
      <c r="Q380" s="329"/>
      <c r="R380" s="124"/>
      <c r="S380" s="320"/>
      <c r="T380" s="142"/>
      <c r="U380" s="30"/>
      <c r="V380" s="30"/>
    </row>
    <row r="381">
      <c r="A381" s="320"/>
      <c r="B381" s="142"/>
      <c r="C381" s="320"/>
      <c r="D381" s="142"/>
      <c r="E381" s="320"/>
      <c r="F381" s="142"/>
      <c r="G381" s="320"/>
      <c r="H381" s="142"/>
      <c r="I381" s="329"/>
      <c r="J381" s="124"/>
      <c r="K381" s="329"/>
      <c r="L381" s="124"/>
      <c r="M381" s="320"/>
      <c r="N381" s="142"/>
      <c r="O381" s="320"/>
      <c r="P381" s="142"/>
      <c r="Q381" s="329"/>
      <c r="R381" s="124"/>
      <c r="S381" s="320"/>
      <c r="T381" s="142"/>
      <c r="U381" s="30"/>
      <c r="V381" s="30"/>
    </row>
    <row r="382">
      <c r="A382" s="320"/>
      <c r="B382" s="142"/>
      <c r="C382" s="320"/>
      <c r="D382" s="142"/>
      <c r="E382" s="320"/>
      <c r="F382" s="142"/>
      <c r="G382" s="320"/>
      <c r="H382" s="142"/>
      <c r="I382" s="329"/>
      <c r="J382" s="124"/>
      <c r="K382" s="329"/>
      <c r="L382" s="124"/>
      <c r="M382" s="320"/>
      <c r="N382" s="142"/>
      <c r="O382" s="320"/>
      <c r="P382" s="142"/>
      <c r="Q382" s="329"/>
      <c r="R382" s="124"/>
      <c r="S382" s="320"/>
      <c r="T382" s="142"/>
      <c r="U382" s="30"/>
      <c r="V382" s="30"/>
    </row>
    <row r="383">
      <c r="A383" s="320"/>
      <c r="B383" s="142"/>
      <c r="C383" s="320"/>
      <c r="D383" s="142"/>
      <c r="E383" s="320"/>
      <c r="F383" s="142"/>
      <c r="G383" s="320"/>
      <c r="H383" s="142"/>
      <c r="I383" s="329"/>
      <c r="J383" s="124"/>
      <c r="K383" s="329"/>
      <c r="L383" s="124"/>
      <c r="M383" s="320"/>
      <c r="N383" s="142"/>
      <c r="O383" s="320"/>
      <c r="P383" s="142"/>
      <c r="Q383" s="329"/>
      <c r="R383" s="124"/>
      <c r="S383" s="320"/>
      <c r="T383" s="142"/>
      <c r="U383" s="30"/>
      <c r="V383" s="30"/>
    </row>
    <row r="384">
      <c r="A384" s="320"/>
      <c r="B384" s="142"/>
      <c r="C384" s="320"/>
      <c r="D384" s="142"/>
      <c r="E384" s="320"/>
      <c r="F384" s="142"/>
      <c r="G384" s="320"/>
      <c r="H384" s="142"/>
      <c r="I384" s="329"/>
      <c r="J384" s="124"/>
      <c r="K384" s="329"/>
      <c r="L384" s="124"/>
      <c r="M384" s="320"/>
      <c r="N384" s="142"/>
      <c r="O384" s="320"/>
      <c r="P384" s="142"/>
      <c r="Q384" s="329"/>
      <c r="R384" s="124"/>
      <c r="S384" s="320"/>
      <c r="T384" s="142"/>
      <c r="U384" s="30"/>
      <c r="V384" s="30"/>
    </row>
    <row r="385">
      <c r="A385" s="320"/>
      <c r="B385" s="142"/>
      <c r="C385" s="320"/>
      <c r="D385" s="142"/>
      <c r="E385" s="320"/>
      <c r="F385" s="142"/>
      <c r="G385" s="320"/>
      <c r="H385" s="142"/>
      <c r="I385" s="329"/>
      <c r="J385" s="124"/>
      <c r="K385" s="329"/>
      <c r="L385" s="124"/>
      <c r="M385" s="320"/>
      <c r="N385" s="142"/>
      <c r="O385" s="320"/>
      <c r="P385" s="142"/>
      <c r="Q385" s="329"/>
      <c r="R385" s="124"/>
      <c r="S385" s="320"/>
      <c r="T385" s="142"/>
      <c r="U385" s="30"/>
      <c r="V385" s="30"/>
    </row>
    <row r="386">
      <c r="A386" s="320"/>
      <c r="B386" s="142"/>
      <c r="C386" s="320"/>
      <c r="D386" s="142"/>
      <c r="E386" s="320"/>
      <c r="F386" s="142"/>
      <c r="G386" s="320"/>
      <c r="H386" s="142"/>
      <c r="I386" s="329"/>
      <c r="J386" s="124"/>
      <c r="K386" s="329"/>
      <c r="L386" s="124"/>
      <c r="M386" s="320"/>
      <c r="N386" s="142"/>
      <c r="O386" s="320"/>
      <c r="P386" s="142"/>
      <c r="Q386" s="329"/>
      <c r="R386" s="124"/>
      <c r="S386" s="320"/>
      <c r="T386" s="142"/>
      <c r="U386" s="30"/>
      <c r="V386" s="30"/>
    </row>
    <row r="387">
      <c r="A387" s="320"/>
      <c r="B387" s="142"/>
      <c r="C387" s="320"/>
      <c r="D387" s="142"/>
      <c r="E387" s="320"/>
      <c r="F387" s="142"/>
      <c r="G387" s="320"/>
      <c r="H387" s="142"/>
      <c r="I387" s="329"/>
      <c r="J387" s="124"/>
      <c r="K387" s="329"/>
      <c r="L387" s="124"/>
      <c r="M387" s="320"/>
      <c r="N387" s="142"/>
      <c r="O387" s="320"/>
      <c r="P387" s="142"/>
      <c r="Q387" s="329"/>
      <c r="R387" s="124"/>
      <c r="S387" s="320"/>
      <c r="T387" s="142"/>
      <c r="U387" s="30"/>
      <c r="V387" s="30"/>
    </row>
    <row r="388">
      <c r="A388" s="320"/>
      <c r="B388" s="142"/>
      <c r="C388" s="320"/>
      <c r="D388" s="142"/>
      <c r="E388" s="320"/>
      <c r="F388" s="142"/>
      <c r="G388" s="320"/>
      <c r="H388" s="142"/>
      <c r="I388" s="329"/>
      <c r="J388" s="124"/>
      <c r="K388" s="329"/>
      <c r="L388" s="124"/>
      <c r="M388" s="320"/>
      <c r="N388" s="142"/>
      <c r="O388" s="320"/>
      <c r="P388" s="142"/>
      <c r="Q388" s="329"/>
      <c r="R388" s="124"/>
      <c r="S388" s="320"/>
      <c r="T388" s="142"/>
      <c r="U388" s="30"/>
      <c r="V388" s="30"/>
    </row>
    <row r="389">
      <c r="A389" s="320"/>
      <c r="B389" s="142"/>
      <c r="C389" s="320"/>
      <c r="D389" s="142"/>
      <c r="E389" s="320"/>
      <c r="F389" s="142"/>
      <c r="G389" s="320"/>
      <c r="H389" s="142"/>
      <c r="I389" s="329"/>
      <c r="J389" s="124"/>
      <c r="K389" s="329"/>
      <c r="L389" s="124"/>
      <c r="M389" s="320"/>
      <c r="N389" s="142"/>
      <c r="O389" s="320"/>
      <c r="P389" s="142"/>
      <c r="Q389" s="329"/>
      <c r="R389" s="124"/>
      <c r="S389" s="320"/>
      <c r="T389" s="142"/>
      <c r="U389" s="30"/>
      <c r="V389" s="30"/>
    </row>
    <row r="390">
      <c r="A390" s="320"/>
      <c r="B390" s="142"/>
      <c r="C390" s="320"/>
      <c r="D390" s="142"/>
      <c r="E390" s="320"/>
      <c r="F390" s="142"/>
      <c r="G390" s="320"/>
      <c r="H390" s="142"/>
      <c r="I390" s="329"/>
      <c r="J390" s="124"/>
      <c r="K390" s="329"/>
      <c r="L390" s="124"/>
      <c r="M390" s="320"/>
      <c r="N390" s="142"/>
      <c r="O390" s="320"/>
      <c r="P390" s="142"/>
      <c r="Q390" s="329"/>
      <c r="R390" s="360"/>
      <c r="S390" s="320"/>
      <c r="T390" s="142"/>
      <c r="U390" s="30"/>
      <c r="V390" s="30"/>
    </row>
    <row r="391">
      <c r="A391" s="320"/>
      <c r="B391" s="142"/>
      <c r="C391" s="320"/>
      <c r="D391" s="142"/>
      <c r="E391" s="320"/>
      <c r="F391" s="142"/>
      <c r="G391" s="320"/>
      <c r="H391" s="142"/>
      <c r="I391" s="329"/>
      <c r="J391" s="124"/>
      <c r="K391" s="329"/>
      <c r="L391" s="124"/>
      <c r="M391" s="320"/>
      <c r="N391" s="142"/>
      <c r="O391" s="320"/>
      <c r="P391" s="142"/>
      <c r="Q391" s="329"/>
      <c r="R391" s="360"/>
      <c r="S391" s="320"/>
      <c r="T391" s="142"/>
      <c r="U391" s="30"/>
      <c r="V391" s="30"/>
    </row>
    <row r="392">
      <c r="A392" s="320"/>
      <c r="B392" s="142"/>
      <c r="C392" s="320"/>
      <c r="D392" s="142"/>
      <c r="E392" s="320"/>
      <c r="F392" s="142"/>
      <c r="G392" s="320"/>
      <c r="H392" s="142"/>
      <c r="I392" s="329"/>
      <c r="J392" s="124"/>
      <c r="K392" s="329"/>
      <c r="L392" s="124"/>
      <c r="M392" s="320"/>
      <c r="N392" s="142"/>
      <c r="O392" s="320"/>
      <c r="P392" s="142"/>
      <c r="Q392" s="329"/>
      <c r="R392" s="360"/>
      <c r="S392" s="320"/>
      <c r="T392" s="142"/>
      <c r="U392" s="30"/>
      <c r="V392" s="30"/>
    </row>
    <row r="393">
      <c r="A393" s="320"/>
      <c r="B393" s="142"/>
      <c r="C393" s="320"/>
      <c r="D393" s="142"/>
      <c r="E393" s="320"/>
      <c r="F393" s="142"/>
      <c r="G393" s="320"/>
      <c r="H393" s="142"/>
      <c r="I393" s="329"/>
      <c r="J393" s="124"/>
      <c r="K393" s="329"/>
      <c r="L393" s="124"/>
      <c r="M393" s="320"/>
      <c r="N393" s="142"/>
      <c r="O393" s="320"/>
      <c r="P393" s="142"/>
      <c r="Q393" s="329"/>
      <c r="R393" s="360"/>
      <c r="S393" s="320"/>
      <c r="T393" s="142"/>
      <c r="U393" s="30"/>
      <c r="V393" s="30"/>
    </row>
    <row r="394">
      <c r="A394" s="320"/>
      <c r="B394" s="142"/>
      <c r="C394" s="320"/>
      <c r="D394" s="142"/>
      <c r="E394" s="320"/>
      <c r="F394" s="142"/>
      <c r="G394" s="320"/>
      <c r="H394" s="142"/>
      <c r="I394" s="329"/>
      <c r="J394" s="124"/>
      <c r="K394" s="329"/>
      <c r="L394" s="124"/>
      <c r="M394" s="320"/>
      <c r="N394" s="142"/>
      <c r="O394" s="320"/>
      <c r="P394" s="142"/>
      <c r="Q394" s="329"/>
      <c r="R394" s="360"/>
      <c r="S394" s="320"/>
      <c r="T394" s="142"/>
      <c r="U394" s="30"/>
      <c r="V394" s="30"/>
    </row>
    <row r="395">
      <c r="A395" s="320"/>
      <c r="B395" s="142"/>
      <c r="C395" s="320"/>
      <c r="D395" s="142"/>
      <c r="E395" s="320"/>
      <c r="F395" s="142"/>
      <c r="G395" s="320"/>
      <c r="H395" s="142"/>
      <c r="I395" s="329"/>
      <c r="J395" s="124"/>
      <c r="K395" s="329"/>
      <c r="L395" s="124"/>
      <c r="M395" s="320"/>
      <c r="N395" s="142"/>
      <c r="O395" s="320"/>
      <c r="P395" s="142"/>
      <c r="Q395" s="329"/>
      <c r="R395" s="360"/>
      <c r="S395" s="320"/>
      <c r="T395" s="142"/>
      <c r="U395" s="30"/>
      <c r="V395" s="30"/>
    </row>
    <row r="396">
      <c r="A396" s="320"/>
      <c r="B396" s="142"/>
      <c r="C396" s="320"/>
      <c r="D396" s="142"/>
      <c r="E396" s="320"/>
      <c r="F396" s="142"/>
      <c r="G396" s="320"/>
      <c r="H396" s="142"/>
      <c r="I396" s="329"/>
      <c r="J396" s="124"/>
      <c r="K396" s="329"/>
      <c r="L396" s="124"/>
      <c r="M396" s="320"/>
      <c r="N396" s="142"/>
      <c r="O396" s="320"/>
      <c r="P396" s="142"/>
      <c r="Q396" s="329"/>
      <c r="R396" s="360"/>
      <c r="S396" s="320"/>
      <c r="T396" s="142"/>
      <c r="U396" s="30"/>
      <c r="V396" s="30"/>
    </row>
    <row r="397">
      <c r="A397" s="320"/>
      <c r="B397" s="142"/>
      <c r="C397" s="320"/>
      <c r="D397" s="142"/>
      <c r="E397" s="320"/>
      <c r="F397" s="142"/>
      <c r="G397" s="320"/>
      <c r="H397" s="142"/>
      <c r="I397" s="329"/>
      <c r="J397" s="124"/>
      <c r="K397" s="329"/>
      <c r="L397" s="124"/>
      <c r="M397" s="320"/>
      <c r="N397" s="142"/>
      <c r="O397" s="320"/>
      <c r="P397" s="142"/>
      <c r="Q397" s="329"/>
      <c r="R397" s="360"/>
      <c r="S397" s="320"/>
      <c r="T397" s="142"/>
      <c r="U397" s="30"/>
      <c r="V397" s="30"/>
    </row>
    <row r="398">
      <c r="A398" s="320"/>
      <c r="B398" s="142"/>
      <c r="C398" s="320"/>
      <c r="D398" s="142"/>
      <c r="E398" s="320"/>
      <c r="F398" s="142"/>
      <c r="G398" s="320"/>
      <c r="H398" s="142"/>
      <c r="I398" s="329"/>
      <c r="J398" s="124"/>
      <c r="K398" s="329"/>
      <c r="L398" s="124"/>
      <c r="M398" s="320"/>
      <c r="N398" s="142"/>
      <c r="O398" s="320"/>
      <c r="P398" s="142"/>
      <c r="Q398" s="329"/>
      <c r="R398" s="360"/>
      <c r="S398" s="320"/>
      <c r="T398" s="142"/>
      <c r="U398" s="30"/>
      <c r="V398" s="30"/>
    </row>
    <row r="399">
      <c r="A399" s="320"/>
      <c r="B399" s="142"/>
      <c r="C399" s="320"/>
      <c r="D399" s="142"/>
      <c r="E399" s="320"/>
      <c r="F399" s="142"/>
      <c r="G399" s="320"/>
      <c r="H399" s="142"/>
      <c r="I399" s="329"/>
      <c r="J399" s="124"/>
      <c r="K399" s="329"/>
      <c r="L399" s="124"/>
      <c r="M399" s="320"/>
      <c r="N399" s="142"/>
      <c r="O399" s="320"/>
      <c r="P399" s="142"/>
      <c r="Q399" s="329"/>
      <c r="R399" s="360"/>
      <c r="S399" s="320"/>
      <c r="T399" s="142"/>
      <c r="U399" s="30"/>
      <c r="V399" s="30"/>
    </row>
    <row r="400">
      <c r="A400" s="320"/>
      <c r="B400" s="142"/>
      <c r="C400" s="320"/>
      <c r="D400" s="142"/>
      <c r="E400" s="320"/>
      <c r="F400" s="142"/>
      <c r="G400" s="320"/>
      <c r="H400" s="142"/>
      <c r="I400" s="329"/>
      <c r="J400" s="124"/>
      <c r="K400" s="329"/>
      <c r="L400" s="124"/>
      <c r="M400" s="320"/>
      <c r="N400" s="142"/>
      <c r="O400" s="320"/>
      <c r="P400" s="142"/>
      <c r="Q400" s="329"/>
      <c r="R400" s="360"/>
      <c r="S400" s="320"/>
      <c r="T400" s="142"/>
      <c r="U400" s="30"/>
      <c r="V400" s="30"/>
    </row>
    <row r="401">
      <c r="A401" s="320"/>
      <c r="B401" s="142"/>
      <c r="C401" s="320"/>
      <c r="D401" s="142"/>
      <c r="E401" s="320"/>
      <c r="F401" s="142"/>
      <c r="G401" s="320"/>
      <c r="H401" s="142"/>
      <c r="I401" s="329"/>
      <c r="J401" s="124"/>
      <c r="K401" s="329"/>
      <c r="L401" s="124"/>
      <c r="M401" s="320"/>
      <c r="N401" s="142"/>
      <c r="O401" s="320"/>
      <c r="P401" s="142"/>
      <c r="Q401" s="329"/>
      <c r="R401" s="360"/>
      <c r="S401" s="320"/>
      <c r="T401" s="142"/>
      <c r="U401" s="30"/>
      <c r="V401" s="30"/>
    </row>
    <row r="402">
      <c r="A402" s="320"/>
      <c r="B402" s="142"/>
      <c r="C402" s="320"/>
      <c r="D402" s="142"/>
      <c r="E402" s="320"/>
      <c r="F402" s="142"/>
      <c r="G402" s="320"/>
      <c r="H402" s="142"/>
      <c r="I402" s="329"/>
      <c r="J402" s="124"/>
      <c r="K402" s="329"/>
      <c r="L402" s="124"/>
      <c r="M402" s="320"/>
      <c r="N402" s="142"/>
      <c r="O402" s="320"/>
      <c r="P402" s="142"/>
      <c r="Q402" s="329"/>
      <c r="R402" s="360"/>
      <c r="S402" s="320"/>
      <c r="T402" s="142"/>
      <c r="U402" s="30"/>
      <c r="V402" s="30"/>
    </row>
    <row r="403">
      <c r="A403" s="320"/>
      <c r="B403" s="142"/>
      <c r="C403" s="320"/>
      <c r="D403" s="142"/>
      <c r="E403" s="320"/>
      <c r="F403" s="142"/>
      <c r="G403" s="320"/>
      <c r="H403" s="142"/>
      <c r="I403" s="329"/>
      <c r="J403" s="124"/>
      <c r="K403" s="329"/>
      <c r="L403" s="124"/>
      <c r="M403" s="320"/>
      <c r="N403" s="142"/>
      <c r="O403" s="320"/>
      <c r="P403" s="142"/>
      <c r="Q403" s="329"/>
      <c r="R403" s="360"/>
      <c r="S403" s="320"/>
      <c r="T403" s="142"/>
      <c r="U403" s="30"/>
      <c r="V403" s="30"/>
    </row>
    <row r="404">
      <c r="A404" s="320"/>
      <c r="B404" s="142"/>
      <c r="C404" s="320"/>
      <c r="D404" s="142"/>
      <c r="E404" s="320"/>
      <c r="F404" s="142"/>
      <c r="G404" s="320"/>
      <c r="H404" s="142"/>
      <c r="I404" s="329"/>
      <c r="J404" s="124"/>
      <c r="K404" s="329"/>
      <c r="L404" s="124"/>
      <c r="M404" s="320"/>
      <c r="N404" s="142"/>
      <c r="O404" s="320"/>
      <c r="P404" s="142"/>
      <c r="Q404" s="329"/>
      <c r="R404" s="360"/>
      <c r="S404" s="320"/>
      <c r="T404" s="142"/>
      <c r="U404" s="30"/>
      <c r="V404" s="30"/>
    </row>
    <row r="405">
      <c r="A405" s="320"/>
      <c r="B405" s="142"/>
      <c r="C405" s="320"/>
      <c r="D405" s="142"/>
      <c r="E405" s="320"/>
      <c r="F405" s="142"/>
      <c r="G405" s="320"/>
      <c r="H405" s="142"/>
      <c r="I405" s="329"/>
      <c r="J405" s="124"/>
      <c r="K405" s="329"/>
      <c r="L405" s="124"/>
      <c r="M405" s="320"/>
      <c r="N405" s="142"/>
      <c r="O405" s="320"/>
      <c r="P405" s="142"/>
      <c r="Q405" s="329"/>
      <c r="R405" s="360"/>
      <c r="S405" s="320"/>
      <c r="T405" s="142"/>
      <c r="U405" s="30"/>
      <c r="V405" s="30"/>
    </row>
    <row r="406">
      <c r="A406" s="320"/>
      <c r="B406" s="142"/>
      <c r="C406" s="320"/>
      <c r="D406" s="142"/>
      <c r="E406" s="320"/>
      <c r="F406" s="142"/>
      <c r="G406" s="320"/>
      <c r="H406" s="142"/>
      <c r="I406" s="329"/>
      <c r="J406" s="124"/>
      <c r="K406" s="329"/>
      <c r="L406" s="124"/>
      <c r="M406" s="320"/>
      <c r="N406" s="142"/>
      <c r="O406" s="320"/>
      <c r="P406" s="142"/>
      <c r="Q406" s="329"/>
      <c r="R406" s="360"/>
      <c r="S406" s="320"/>
      <c r="T406" s="142"/>
      <c r="U406" s="30"/>
      <c r="V406" s="30"/>
    </row>
    <row r="407">
      <c r="A407" s="320"/>
      <c r="B407" s="142"/>
      <c r="C407" s="320"/>
      <c r="D407" s="142"/>
      <c r="E407" s="320"/>
      <c r="F407" s="142"/>
      <c r="G407" s="320"/>
      <c r="H407" s="142"/>
      <c r="I407" s="329"/>
      <c r="J407" s="124"/>
      <c r="K407" s="329"/>
      <c r="L407" s="124"/>
      <c r="M407" s="320"/>
      <c r="N407" s="142"/>
      <c r="O407" s="320"/>
      <c r="P407" s="142"/>
      <c r="Q407" s="329"/>
      <c r="R407" s="360"/>
      <c r="S407" s="320"/>
      <c r="T407" s="142"/>
      <c r="U407" s="30"/>
      <c r="V407" s="30"/>
    </row>
    <row r="408">
      <c r="A408" s="320"/>
      <c r="B408" s="142"/>
      <c r="C408" s="320"/>
      <c r="D408" s="142"/>
      <c r="E408" s="320"/>
      <c r="F408" s="142"/>
      <c r="G408" s="320"/>
      <c r="H408" s="142"/>
      <c r="I408" s="329"/>
      <c r="J408" s="124"/>
      <c r="K408" s="329"/>
      <c r="L408" s="124"/>
      <c r="M408" s="320"/>
      <c r="N408" s="142"/>
      <c r="O408" s="320"/>
      <c r="P408" s="142"/>
      <c r="Q408" s="329"/>
      <c r="R408" s="360"/>
      <c r="S408" s="320"/>
      <c r="T408" s="142"/>
      <c r="U408" s="30"/>
      <c r="V408" s="30"/>
    </row>
    <row r="409">
      <c r="A409" s="320"/>
      <c r="B409" s="142"/>
      <c r="C409" s="320"/>
      <c r="D409" s="142"/>
      <c r="E409" s="320"/>
      <c r="F409" s="142"/>
      <c r="G409" s="320"/>
      <c r="H409" s="142"/>
      <c r="I409" s="329"/>
      <c r="J409" s="124"/>
      <c r="K409" s="329"/>
      <c r="L409" s="124"/>
      <c r="M409" s="320"/>
      <c r="N409" s="142"/>
      <c r="O409" s="320"/>
      <c r="P409" s="142"/>
      <c r="Q409" s="329"/>
      <c r="R409" s="360"/>
      <c r="S409" s="320"/>
      <c r="T409" s="142"/>
      <c r="U409" s="30"/>
      <c r="V409" s="30"/>
    </row>
    <row r="410">
      <c r="A410" s="320"/>
      <c r="B410" s="142"/>
      <c r="C410" s="320"/>
      <c r="D410" s="142"/>
      <c r="E410" s="320"/>
      <c r="F410" s="142"/>
      <c r="G410" s="320"/>
      <c r="H410" s="142"/>
      <c r="I410" s="329"/>
      <c r="J410" s="124"/>
      <c r="K410" s="329"/>
      <c r="L410" s="124"/>
      <c r="M410" s="320"/>
      <c r="N410" s="142"/>
      <c r="O410" s="320"/>
      <c r="P410" s="142"/>
      <c r="Q410" s="329"/>
      <c r="R410" s="360"/>
      <c r="S410" s="320"/>
      <c r="T410" s="142"/>
      <c r="U410" s="30"/>
      <c r="V410" s="30"/>
    </row>
    <row r="411">
      <c r="A411" s="320"/>
      <c r="B411" s="142"/>
      <c r="C411" s="320"/>
      <c r="D411" s="142"/>
      <c r="E411" s="320"/>
      <c r="F411" s="142"/>
      <c r="G411" s="320"/>
      <c r="H411" s="142"/>
      <c r="I411" s="329"/>
      <c r="J411" s="124"/>
      <c r="K411" s="329"/>
      <c r="L411" s="124"/>
      <c r="M411" s="320"/>
      <c r="N411" s="142"/>
      <c r="O411" s="320"/>
      <c r="P411" s="142"/>
      <c r="Q411" s="329"/>
      <c r="R411" s="360"/>
      <c r="S411" s="320"/>
      <c r="T411" s="142"/>
      <c r="U411" s="30"/>
      <c r="V411" s="30"/>
    </row>
    <row r="412">
      <c r="A412" s="320"/>
      <c r="B412" s="142"/>
      <c r="C412" s="320"/>
      <c r="D412" s="142"/>
      <c r="E412" s="320"/>
      <c r="F412" s="142"/>
      <c r="G412" s="320"/>
      <c r="H412" s="142"/>
      <c r="I412" s="329"/>
      <c r="J412" s="124"/>
      <c r="K412" s="329"/>
      <c r="L412" s="124"/>
      <c r="M412" s="320"/>
      <c r="N412" s="142"/>
      <c r="O412" s="320"/>
      <c r="P412" s="142"/>
      <c r="Q412" s="329"/>
      <c r="R412" s="360"/>
      <c r="S412" s="320"/>
      <c r="T412" s="142"/>
      <c r="U412" s="30"/>
      <c r="V412" s="30"/>
    </row>
    <row r="413">
      <c r="A413" s="320"/>
      <c r="B413" s="142"/>
      <c r="C413" s="320"/>
      <c r="D413" s="142"/>
      <c r="E413" s="320"/>
      <c r="F413" s="142"/>
      <c r="G413" s="320"/>
      <c r="H413" s="142"/>
      <c r="I413" s="329"/>
      <c r="J413" s="124"/>
      <c r="K413" s="329"/>
      <c r="L413" s="124"/>
      <c r="M413" s="320"/>
      <c r="N413" s="142"/>
      <c r="O413" s="320"/>
      <c r="P413" s="142"/>
      <c r="Q413" s="329"/>
      <c r="R413" s="360"/>
      <c r="S413" s="320"/>
      <c r="T413" s="142"/>
      <c r="U413" s="30"/>
      <c r="V413" s="30"/>
    </row>
    <row r="414">
      <c r="A414" s="320"/>
      <c r="B414" s="142"/>
      <c r="C414" s="320"/>
      <c r="D414" s="142"/>
      <c r="E414" s="320"/>
      <c r="F414" s="142"/>
      <c r="G414" s="320"/>
      <c r="H414" s="142"/>
      <c r="I414" s="329"/>
      <c r="J414" s="124"/>
      <c r="K414" s="329"/>
      <c r="L414" s="124"/>
      <c r="M414" s="320"/>
      <c r="N414" s="142"/>
      <c r="O414" s="320"/>
      <c r="P414" s="142"/>
      <c r="Q414" s="329"/>
      <c r="R414" s="360"/>
      <c r="S414" s="320"/>
      <c r="T414" s="142"/>
      <c r="U414" s="30"/>
      <c r="V414" s="30"/>
    </row>
    <row r="415">
      <c r="A415" s="320"/>
      <c r="B415" s="142"/>
      <c r="C415" s="320"/>
      <c r="D415" s="142"/>
      <c r="E415" s="320"/>
      <c r="F415" s="142"/>
      <c r="G415" s="320"/>
      <c r="H415" s="142"/>
      <c r="I415" s="329"/>
      <c r="J415" s="124"/>
      <c r="K415" s="329"/>
      <c r="L415" s="124"/>
      <c r="M415" s="320"/>
      <c r="N415" s="142"/>
      <c r="O415" s="320"/>
      <c r="P415" s="142"/>
      <c r="Q415" s="329"/>
      <c r="R415" s="360"/>
      <c r="S415" s="320"/>
      <c r="T415" s="142"/>
      <c r="U415" s="30"/>
      <c r="V415" s="30"/>
    </row>
    <row r="416">
      <c r="A416" s="320"/>
      <c r="B416" s="142"/>
      <c r="C416" s="320"/>
      <c r="D416" s="142"/>
      <c r="E416" s="320"/>
      <c r="F416" s="142"/>
      <c r="G416" s="320"/>
      <c r="H416" s="142"/>
      <c r="I416" s="329"/>
      <c r="J416" s="124"/>
      <c r="K416" s="329"/>
      <c r="L416" s="124"/>
      <c r="M416" s="320"/>
      <c r="N416" s="142"/>
      <c r="O416" s="320"/>
      <c r="P416" s="142"/>
      <c r="Q416" s="329"/>
      <c r="R416" s="360"/>
      <c r="S416" s="320"/>
      <c r="T416" s="142"/>
      <c r="U416" s="30"/>
      <c r="V416" s="30"/>
    </row>
    <row r="417">
      <c r="A417" s="320"/>
      <c r="B417" s="142"/>
      <c r="C417" s="320"/>
      <c r="D417" s="142"/>
      <c r="E417" s="320"/>
      <c r="F417" s="142"/>
      <c r="G417" s="320"/>
      <c r="H417" s="142"/>
      <c r="I417" s="329"/>
      <c r="J417" s="124"/>
      <c r="K417" s="329"/>
      <c r="L417" s="124"/>
      <c r="M417" s="320"/>
      <c r="N417" s="142"/>
      <c r="O417" s="320"/>
      <c r="P417" s="142"/>
      <c r="Q417" s="329"/>
      <c r="R417" s="360"/>
      <c r="S417" s="320"/>
      <c r="T417" s="142"/>
      <c r="U417" s="30"/>
      <c r="V417" s="30"/>
    </row>
    <row r="418">
      <c r="A418" s="320"/>
      <c r="B418" s="142"/>
      <c r="C418" s="320"/>
      <c r="D418" s="142"/>
      <c r="E418" s="320"/>
      <c r="F418" s="142"/>
      <c r="G418" s="320"/>
      <c r="H418" s="142"/>
      <c r="I418" s="329"/>
      <c r="J418" s="124"/>
      <c r="K418" s="329"/>
      <c r="L418" s="124"/>
      <c r="M418" s="320"/>
      <c r="N418" s="142"/>
      <c r="O418" s="320"/>
      <c r="P418" s="142"/>
      <c r="Q418" s="329"/>
      <c r="R418" s="360"/>
      <c r="S418" s="320"/>
      <c r="T418" s="142"/>
      <c r="U418" s="30"/>
      <c r="V418" s="30"/>
    </row>
    <row r="419">
      <c r="A419" s="320"/>
      <c r="B419" s="142"/>
      <c r="C419" s="320"/>
      <c r="D419" s="142"/>
      <c r="E419" s="320"/>
      <c r="F419" s="142"/>
      <c r="G419" s="320"/>
      <c r="H419" s="142"/>
      <c r="I419" s="329"/>
      <c r="J419" s="124"/>
      <c r="K419" s="329"/>
      <c r="L419" s="124"/>
      <c r="M419" s="320"/>
      <c r="N419" s="142"/>
      <c r="O419" s="320"/>
      <c r="P419" s="142"/>
      <c r="Q419" s="329"/>
      <c r="R419" s="360"/>
      <c r="S419" s="320"/>
      <c r="T419" s="142"/>
      <c r="U419" s="30"/>
      <c r="V419" s="30"/>
    </row>
    <row r="420">
      <c r="A420" s="320"/>
      <c r="B420" s="142"/>
      <c r="C420" s="320"/>
      <c r="D420" s="142"/>
      <c r="E420" s="320"/>
      <c r="F420" s="142"/>
      <c r="G420" s="320"/>
      <c r="H420" s="142"/>
      <c r="I420" s="329"/>
      <c r="J420" s="124"/>
      <c r="K420" s="329"/>
      <c r="L420" s="124"/>
      <c r="M420" s="320"/>
      <c r="N420" s="142"/>
      <c r="O420" s="320"/>
      <c r="P420" s="142"/>
      <c r="Q420" s="329"/>
      <c r="R420" s="360"/>
      <c r="S420" s="320"/>
      <c r="T420" s="142"/>
      <c r="U420" s="30"/>
      <c r="V420" s="30"/>
    </row>
    <row r="421">
      <c r="A421" s="320"/>
      <c r="B421" s="142"/>
      <c r="C421" s="320"/>
      <c r="D421" s="142"/>
      <c r="E421" s="320"/>
      <c r="F421" s="142"/>
      <c r="G421" s="320"/>
      <c r="H421" s="142"/>
      <c r="I421" s="329"/>
      <c r="J421" s="124"/>
      <c r="K421" s="329"/>
      <c r="L421" s="124"/>
      <c r="M421" s="320"/>
      <c r="N421" s="142"/>
      <c r="O421" s="320"/>
      <c r="P421" s="142"/>
      <c r="Q421" s="329"/>
      <c r="R421" s="360"/>
      <c r="S421" s="320"/>
      <c r="T421" s="142"/>
      <c r="U421" s="30"/>
      <c r="V421" s="30"/>
    </row>
    <row r="422">
      <c r="A422" s="320"/>
      <c r="B422" s="142"/>
      <c r="C422" s="320"/>
      <c r="D422" s="142"/>
      <c r="E422" s="320"/>
      <c r="F422" s="142"/>
      <c r="G422" s="320"/>
      <c r="H422" s="142"/>
      <c r="I422" s="329"/>
      <c r="J422" s="124"/>
      <c r="K422" s="329"/>
      <c r="L422" s="124"/>
      <c r="M422" s="320"/>
      <c r="N422" s="142"/>
      <c r="O422" s="320"/>
      <c r="P422" s="142"/>
      <c r="Q422" s="329"/>
      <c r="R422" s="360"/>
      <c r="S422" s="320"/>
      <c r="T422" s="142"/>
      <c r="U422" s="30"/>
      <c r="V422" s="30"/>
    </row>
    <row r="423">
      <c r="A423" s="320"/>
      <c r="B423" s="142"/>
      <c r="C423" s="320"/>
      <c r="D423" s="142"/>
      <c r="E423" s="320"/>
      <c r="F423" s="142"/>
      <c r="G423" s="320"/>
      <c r="H423" s="142"/>
      <c r="I423" s="329"/>
      <c r="J423" s="124"/>
      <c r="K423" s="329"/>
      <c r="L423" s="124"/>
      <c r="M423" s="320"/>
      <c r="N423" s="142"/>
      <c r="O423" s="320"/>
      <c r="P423" s="142"/>
      <c r="Q423" s="329"/>
      <c r="R423" s="360"/>
      <c r="S423" s="320"/>
      <c r="T423" s="142"/>
      <c r="U423" s="30"/>
      <c r="V423" s="30"/>
    </row>
    <row r="424">
      <c r="A424" s="320"/>
      <c r="B424" s="142"/>
      <c r="C424" s="320"/>
      <c r="D424" s="142"/>
      <c r="E424" s="320"/>
      <c r="F424" s="142"/>
      <c r="G424" s="320"/>
      <c r="H424" s="142"/>
      <c r="I424" s="329"/>
      <c r="J424" s="124"/>
      <c r="K424" s="329"/>
      <c r="L424" s="124"/>
      <c r="M424" s="320"/>
      <c r="N424" s="142"/>
      <c r="O424" s="320"/>
      <c r="P424" s="142"/>
      <c r="Q424" s="329"/>
      <c r="R424" s="360"/>
      <c r="S424" s="320"/>
      <c r="T424" s="142"/>
      <c r="U424" s="30"/>
      <c r="V424" s="30"/>
    </row>
    <row r="425">
      <c r="A425" s="320"/>
      <c r="B425" s="142"/>
      <c r="C425" s="320"/>
      <c r="D425" s="142"/>
      <c r="E425" s="320"/>
      <c r="F425" s="142"/>
      <c r="G425" s="320"/>
      <c r="H425" s="142"/>
      <c r="I425" s="329"/>
      <c r="J425" s="124"/>
      <c r="K425" s="329"/>
      <c r="L425" s="124"/>
      <c r="M425" s="320"/>
      <c r="N425" s="142"/>
      <c r="O425" s="320"/>
      <c r="P425" s="142"/>
      <c r="Q425" s="329"/>
      <c r="R425" s="360"/>
      <c r="S425" s="320"/>
      <c r="T425" s="142"/>
      <c r="U425" s="30"/>
      <c r="V425" s="30"/>
    </row>
    <row r="426">
      <c r="A426" s="320"/>
      <c r="B426" s="142"/>
      <c r="C426" s="320"/>
      <c r="D426" s="142"/>
      <c r="E426" s="320"/>
      <c r="F426" s="142"/>
      <c r="G426" s="320"/>
      <c r="H426" s="142"/>
      <c r="I426" s="329"/>
      <c r="J426" s="124"/>
      <c r="K426" s="329"/>
      <c r="L426" s="124"/>
      <c r="M426" s="320"/>
      <c r="N426" s="142"/>
      <c r="O426" s="320"/>
      <c r="P426" s="142"/>
      <c r="Q426" s="329"/>
      <c r="R426" s="360"/>
      <c r="S426" s="320"/>
      <c r="T426" s="142"/>
      <c r="U426" s="30"/>
      <c r="V426" s="30"/>
    </row>
    <row r="427">
      <c r="A427" s="320"/>
      <c r="B427" s="142"/>
      <c r="C427" s="320"/>
      <c r="D427" s="142"/>
      <c r="E427" s="320"/>
      <c r="F427" s="142"/>
      <c r="G427" s="320"/>
      <c r="H427" s="142"/>
      <c r="I427" s="329"/>
      <c r="J427" s="124"/>
      <c r="K427" s="329"/>
      <c r="L427" s="124"/>
      <c r="M427" s="320"/>
      <c r="N427" s="142"/>
      <c r="O427" s="320"/>
      <c r="P427" s="142"/>
      <c r="Q427" s="329"/>
      <c r="R427" s="360"/>
      <c r="S427" s="320"/>
      <c r="T427" s="142"/>
      <c r="U427" s="30"/>
      <c r="V427" s="30"/>
    </row>
    <row r="428">
      <c r="A428" s="320"/>
      <c r="B428" s="142"/>
      <c r="C428" s="320"/>
      <c r="D428" s="142"/>
      <c r="E428" s="320"/>
      <c r="F428" s="142"/>
      <c r="G428" s="320"/>
      <c r="H428" s="142"/>
      <c r="I428" s="329"/>
      <c r="J428" s="124"/>
      <c r="K428" s="329"/>
      <c r="L428" s="124"/>
      <c r="M428" s="320"/>
      <c r="N428" s="142"/>
      <c r="O428" s="320"/>
      <c r="P428" s="142"/>
      <c r="Q428" s="329"/>
      <c r="R428" s="360"/>
      <c r="S428" s="320"/>
      <c r="T428" s="142"/>
      <c r="U428" s="30"/>
      <c r="V428" s="30"/>
    </row>
    <row r="429">
      <c r="A429" s="320"/>
      <c r="B429" s="142"/>
      <c r="C429" s="320"/>
      <c r="D429" s="142"/>
      <c r="E429" s="320"/>
      <c r="F429" s="142"/>
      <c r="G429" s="320"/>
      <c r="H429" s="142"/>
      <c r="I429" s="329"/>
      <c r="J429" s="124"/>
      <c r="K429" s="329"/>
      <c r="L429" s="124"/>
      <c r="M429" s="320"/>
      <c r="N429" s="142"/>
      <c r="O429" s="320"/>
      <c r="P429" s="142"/>
      <c r="Q429" s="329"/>
      <c r="R429" s="360"/>
      <c r="S429" s="320"/>
      <c r="T429" s="142"/>
      <c r="U429" s="30"/>
      <c r="V429" s="30"/>
    </row>
    <row r="430">
      <c r="A430" s="320"/>
      <c r="B430" s="142"/>
      <c r="C430" s="320"/>
      <c r="D430" s="142"/>
      <c r="E430" s="320"/>
      <c r="F430" s="142"/>
      <c r="G430" s="320"/>
      <c r="H430" s="142"/>
      <c r="I430" s="329"/>
      <c r="J430" s="124"/>
      <c r="K430" s="329"/>
      <c r="L430" s="124"/>
      <c r="M430" s="320"/>
      <c r="N430" s="142"/>
      <c r="O430" s="320"/>
      <c r="P430" s="142"/>
      <c r="Q430" s="329"/>
      <c r="R430" s="360"/>
      <c r="S430" s="320"/>
      <c r="T430" s="142"/>
      <c r="U430" s="30"/>
      <c r="V430" s="30"/>
    </row>
    <row r="431">
      <c r="A431" s="320"/>
      <c r="B431" s="142"/>
      <c r="C431" s="320"/>
      <c r="D431" s="142"/>
      <c r="E431" s="320"/>
      <c r="F431" s="142"/>
      <c r="G431" s="320"/>
      <c r="H431" s="142"/>
      <c r="I431" s="329"/>
      <c r="J431" s="124"/>
      <c r="K431" s="329"/>
      <c r="L431" s="124"/>
      <c r="M431" s="320"/>
      <c r="N431" s="142"/>
      <c r="O431" s="320"/>
      <c r="P431" s="142"/>
      <c r="Q431" s="329"/>
      <c r="R431" s="360"/>
      <c r="S431" s="320"/>
      <c r="T431" s="142"/>
      <c r="U431" s="30"/>
      <c r="V431" s="30"/>
    </row>
    <row r="432">
      <c r="A432" s="320"/>
      <c r="B432" s="142"/>
      <c r="C432" s="320"/>
      <c r="D432" s="142"/>
      <c r="E432" s="320"/>
      <c r="F432" s="142"/>
      <c r="G432" s="320"/>
      <c r="H432" s="142"/>
      <c r="I432" s="329"/>
      <c r="J432" s="124"/>
      <c r="K432" s="329"/>
      <c r="L432" s="124"/>
      <c r="M432" s="320"/>
      <c r="N432" s="142"/>
      <c r="O432" s="320"/>
      <c r="P432" s="142"/>
      <c r="Q432" s="329"/>
      <c r="R432" s="360"/>
      <c r="S432" s="320"/>
      <c r="T432" s="142"/>
      <c r="U432" s="30"/>
      <c r="V432" s="30"/>
    </row>
    <row r="433">
      <c r="A433" s="320"/>
      <c r="B433" s="142"/>
      <c r="C433" s="320"/>
      <c r="D433" s="142"/>
      <c r="E433" s="320"/>
      <c r="F433" s="142"/>
      <c r="G433" s="320"/>
      <c r="H433" s="142"/>
      <c r="I433" s="329"/>
      <c r="J433" s="124"/>
      <c r="K433" s="329"/>
      <c r="L433" s="124"/>
      <c r="M433" s="320"/>
      <c r="N433" s="142"/>
      <c r="O433" s="320"/>
      <c r="P433" s="142"/>
      <c r="Q433" s="329"/>
      <c r="R433" s="360"/>
      <c r="S433" s="320"/>
      <c r="T433" s="142"/>
      <c r="U433" s="30"/>
      <c r="V433" s="30"/>
    </row>
    <row r="434">
      <c r="A434" s="320"/>
      <c r="B434" s="142"/>
      <c r="C434" s="320"/>
      <c r="D434" s="142"/>
      <c r="E434" s="320"/>
      <c r="F434" s="142"/>
      <c r="G434" s="320"/>
      <c r="H434" s="142"/>
      <c r="I434" s="329"/>
      <c r="J434" s="124"/>
      <c r="K434" s="329"/>
      <c r="L434" s="124"/>
      <c r="M434" s="320"/>
      <c r="N434" s="142"/>
      <c r="O434" s="320"/>
      <c r="P434" s="142"/>
      <c r="Q434" s="329"/>
      <c r="R434" s="360"/>
      <c r="S434" s="320"/>
      <c r="T434" s="142"/>
      <c r="U434" s="30"/>
      <c r="V434" s="30"/>
    </row>
    <row r="435">
      <c r="A435" s="320"/>
      <c r="B435" s="142"/>
      <c r="C435" s="320"/>
      <c r="D435" s="142"/>
      <c r="E435" s="320"/>
      <c r="F435" s="142"/>
      <c r="G435" s="320"/>
      <c r="H435" s="142"/>
      <c r="I435" s="329"/>
      <c r="J435" s="124"/>
      <c r="K435" s="329"/>
      <c r="L435" s="124"/>
      <c r="M435" s="320"/>
      <c r="N435" s="142"/>
      <c r="O435" s="320"/>
      <c r="P435" s="142"/>
      <c r="Q435" s="329"/>
      <c r="R435" s="360"/>
      <c r="S435" s="320"/>
      <c r="T435" s="142"/>
      <c r="U435" s="30"/>
      <c r="V435" s="30"/>
    </row>
    <row r="436">
      <c r="A436" s="320"/>
      <c r="B436" s="142"/>
      <c r="C436" s="320"/>
      <c r="D436" s="142"/>
      <c r="E436" s="320"/>
      <c r="F436" s="142"/>
      <c r="G436" s="320"/>
      <c r="H436" s="142"/>
      <c r="I436" s="329"/>
      <c r="J436" s="124"/>
      <c r="K436" s="329"/>
      <c r="L436" s="124"/>
      <c r="M436" s="320"/>
      <c r="N436" s="142"/>
      <c r="O436" s="320"/>
      <c r="P436" s="142"/>
      <c r="Q436" s="329"/>
      <c r="R436" s="360"/>
      <c r="S436" s="320"/>
      <c r="T436" s="142"/>
      <c r="U436" s="30"/>
      <c r="V436" s="30"/>
    </row>
    <row r="437">
      <c r="A437" s="320"/>
      <c r="B437" s="142"/>
      <c r="C437" s="320"/>
      <c r="D437" s="142"/>
      <c r="E437" s="320"/>
      <c r="F437" s="142"/>
      <c r="G437" s="320"/>
      <c r="H437" s="142"/>
      <c r="I437" s="329"/>
      <c r="J437" s="124"/>
      <c r="K437" s="329"/>
      <c r="L437" s="124"/>
      <c r="M437" s="320"/>
      <c r="N437" s="142"/>
      <c r="O437" s="320"/>
      <c r="P437" s="142"/>
      <c r="Q437" s="329"/>
      <c r="R437" s="360"/>
      <c r="S437" s="320"/>
      <c r="T437" s="142"/>
      <c r="U437" s="30"/>
      <c r="V437" s="30"/>
    </row>
    <row r="438">
      <c r="A438" s="320"/>
      <c r="B438" s="142"/>
      <c r="C438" s="320"/>
      <c r="D438" s="142"/>
      <c r="E438" s="320"/>
      <c r="F438" s="142"/>
      <c r="G438" s="320"/>
      <c r="H438" s="142"/>
      <c r="I438" s="329"/>
      <c r="J438" s="124"/>
      <c r="K438" s="329"/>
      <c r="L438" s="124"/>
      <c r="M438" s="320"/>
      <c r="N438" s="142"/>
      <c r="O438" s="320"/>
      <c r="P438" s="142"/>
      <c r="Q438" s="329"/>
      <c r="R438" s="360"/>
      <c r="S438" s="320"/>
      <c r="T438" s="142"/>
      <c r="U438" s="30"/>
      <c r="V438" s="30"/>
    </row>
    <row r="439">
      <c r="A439" s="320"/>
      <c r="B439" s="142"/>
      <c r="C439" s="320"/>
      <c r="D439" s="142"/>
      <c r="E439" s="320"/>
      <c r="F439" s="142"/>
      <c r="G439" s="320"/>
      <c r="H439" s="142"/>
      <c r="I439" s="329"/>
      <c r="J439" s="124"/>
      <c r="K439" s="329"/>
      <c r="L439" s="124"/>
      <c r="M439" s="320"/>
      <c r="N439" s="142"/>
      <c r="O439" s="320"/>
      <c r="P439" s="142"/>
      <c r="Q439" s="329"/>
      <c r="R439" s="360"/>
      <c r="S439" s="320"/>
      <c r="T439" s="142"/>
      <c r="U439" s="30"/>
      <c r="V439" s="30"/>
    </row>
    <row r="440">
      <c r="A440" s="320"/>
      <c r="B440" s="142"/>
      <c r="C440" s="320"/>
      <c r="D440" s="142"/>
      <c r="E440" s="320"/>
      <c r="F440" s="142"/>
      <c r="G440" s="320"/>
      <c r="H440" s="142"/>
      <c r="I440" s="329"/>
      <c r="J440" s="124"/>
      <c r="K440" s="329"/>
      <c r="L440" s="124"/>
      <c r="M440" s="320"/>
      <c r="N440" s="142"/>
      <c r="O440" s="320"/>
      <c r="P440" s="142"/>
      <c r="Q440" s="329"/>
      <c r="R440" s="360"/>
      <c r="S440" s="320"/>
      <c r="T440" s="142"/>
      <c r="U440" s="30"/>
      <c r="V440" s="30"/>
    </row>
    <row r="441">
      <c r="A441" s="320"/>
      <c r="B441" s="142"/>
      <c r="C441" s="320"/>
      <c r="D441" s="142"/>
      <c r="E441" s="320"/>
      <c r="F441" s="142"/>
      <c r="G441" s="320"/>
      <c r="H441" s="142"/>
      <c r="I441" s="329"/>
      <c r="J441" s="124"/>
      <c r="K441" s="329"/>
      <c r="L441" s="124"/>
      <c r="M441" s="320"/>
      <c r="N441" s="142"/>
      <c r="O441" s="320"/>
      <c r="P441" s="142"/>
      <c r="Q441" s="329"/>
      <c r="R441" s="360"/>
      <c r="S441" s="320"/>
      <c r="T441" s="142"/>
      <c r="U441" s="30"/>
      <c r="V441" s="30"/>
    </row>
    <row r="442">
      <c r="A442" s="320"/>
      <c r="B442" s="142"/>
      <c r="C442" s="320"/>
      <c r="D442" s="142"/>
      <c r="E442" s="320"/>
      <c r="F442" s="142"/>
      <c r="G442" s="320"/>
      <c r="H442" s="142"/>
      <c r="I442" s="329"/>
      <c r="J442" s="124"/>
      <c r="K442" s="329"/>
      <c r="L442" s="124"/>
      <c r="M442" s="320"/>
      <c r="N442" s="142"/>
      <c r="O442" s="320"/>
      <c r="P442" s="142"/>
      <c r="Q442" s="329"/>
      <c r="R442" s="360"/>
      <c r="S442" s="320"/>
      <c r="T442" s="142"/>
      <c r="U442" s="30"/>
      <c r="V442" s="30"/>
    </row>
    <row r="443">
      <c r="A443" s="320"/>
      <c r="B443" s="142"/>
      <c r="C443" s="320"/>
      <c r="D443" s="142"/>
      <c r="E443" s="320"/>
      <c r="F443" s="142"/>
      <c r="G443" s="320"/>
      <c r="H443" s="142"/>
      <c r="I443" s="329"/>
      <c r="J443" s="124"/>
      <c r="K443" s="329"/>
      <c r="L443" s="124"/>
      <c r="M443" s="320"/>
      <c r="N443" s="142"/>
      <c r="O443" s="320"/>
      <c r="P443" s="142"/>
      <c r="Q443" s="329"/>
      <c r="R443" s="360"/>
      <c r="S443" s="320"/>
      <c r="T443" s="142"/>
      <c r="U443" s="30"/>
      <c r="V443" s="30"/>
    </row>
    <row r="444">
      <c r="A444" s="320"/>
      <c r="B444" s="142"/>
      <c r="C444" s="320"/>
      <c r="D444" s="142"/>
      <c r="E444" s="320"/>
      <c r="F444" s="142"/>
      <c r="G444" s="320"/>
      <c r="H444" s="142"/>
      <c r="I444" s="329"/>
      <c r="J444" s="124"/>
      <c r="K444" s="329"/>
      <c r="L444" s="124"/>
      <c r="M444" s="320"/>
      <c r="N444" s="142"/>
      <c r="O444" s="320"/>
      <c r="P444" s="142"/>
      <c r="Q444" s="329"/>
      <c r="R444" s="360"/>
      <c r="S444" s="320"/>
      <c r="T444" s="142"/>
      <c r="U444" s="30"/>
      <c r="V444" s="30"/>
    </row>
    <row r="445">
      <c r="A445" s="320"/>
      <c r="B445" s="142"/>
      <c r="C445" s="320"/>
      <c r="D445" s="142"/>
      <c r="E445" s="320"/>
      <c r="F445" s="142"/>
      <c r="G445" s="320"/>
      <c r="H445" s="142"/>
      <c r="I445" s="329"/>
      <c r="J445" s="124"/>
      <c r="K445" s="329"/>
      <c r="L445" s="124"/>
      <c r="M445" s="320"/>
      <c r="N445" s="142"/>
      <c r="O445" s="320"/>
      <c r="P445" s="142"/>
      <c r="Q445" s="360"/>
      <c r="R445" s="360"/>
      <c r="S445" s="320"/>
      <c r="T445" s="142"/>
      <c r="U445" s="30"/>
      <c r="V445" s="30"/>
    </row>
    <row r="446">
      <c r="A446" s="320"/>
      <c r="B446" s="142"/>
      <c r="C446" s="320"/>
      <c r="D446" s="142"/>
      <c r="E446" s="320"/>
      <c r="F446" s="142"/>
      <c r="G446" s="320"/>
      <c r="H446" s="142"/>
      <c r="I446" s="329"/>
      <c r="J446" s="124"/>
      <c r="K446" s="329"/>
      <c r="L446" s="124"/>
      <c r="M446" s="320"/>
      <c r="N446" s="142"/>
      <c r="O446" s="320"/>
      <c r="P446" s="142"/>
      <c r="Q446" s="360"/>
      <c r="R446" s="360"/>
      <c r="S446" s="320"/>
      <c r="T446" s="142"/>
      <c r="U446" s="30"/>
      <c r="V446" s="30"/>
    </row>
    <row r="447">
      <c r="A447" s="320"/>
      <c r="B447" s="142"/>
      <c r="C447" s="320"/>
      <c r="D447" s="142"/>
      <c r="E447" s="320"/>
      <c r="F447" s="142"/>
      <c r="G447" s="320"/>
      <c r="H447" s="142"/>
      <c r="I447" s="329"/>
      <c r="J447" s="124"/>
      <c r="K447" s="329"/>
      <c r="L447" s="124"/>
      <c r="M447" s="320"/>
      <c r="N447" s="142"/>
      <c r="O447" s="320"/>
      <c r="P447" s="142"/>
      <c r="Q447" s="360"/>
      <c r="R447" s="360"/>
      <c r="S447" s="320"/>
      <c r="T447" s="142"/>
      <c r="U447" s="30"/>
      <c r="V447" s="30"/>
    </row>
    <row r="448">
      <c r="A448" s="320"/>
      <c r="B448" s="142"/>
      <c r="C448" s="320"/>
      <c r="D448" s="142"/>
      <c r="E448" s="320"/>
      <c r="F448" s="142"/>
      <c r="G448" s="320"/>
      <c r="H448" s="142"/>
      <c r="I448" s="329"/>
      <c r="J448" s="124"/>
      <c r="K448" s="329"/>
      <c r="L448" s="124"/>
      <c r="M448" s="320"/>
      <c r="N448" s="142"/>
      <c r="O448" s="320"/>
      <c r="P448" s="142"/>
      <c r="Q448" s="360"/>
      <c r="R448" s="360"/>
      <c r="S448" s="320"/>
      <c r="T448" s="142"/>
      <c r="U448" s="30"/>
      <c r="V448" s="30"/>
    </row>
    <row r="449">
      <c r="A449" s="320"/>
      <c r="B449" s="142"/>
      <c r="C449" s="320"/>
      <c r="D449" s="142"/>
      <c r="E449" s="320"/>
      <c r="F449" s="142"/>
      <c r="G449" s="320"/>
      <c r="H449" s="142"/>
      <c r="I449" s="329"/>
      <c r="J449" s="124"/>
      <c r="K449" s="329"/>
      <c r="L449" s="124"/>
      <c r="M449" s="320"/>
      <c r="N449" s="142"/>
      <c r="O449" s="320"/>
      <c r="P449" s="142"/>
      <c r="Q449" s="360"/>
      <c r="R449" s="360"/>
      <c r="S449" s="320"/>
      <c r="T449" s="142"/>
      <c r="U449" s="30"/>
      <c r="V449" s="30"/>
    </row>
    <row r="450">
      <c r="A450" s="320"/>
      <c r="B450" s="142"/>
      <c r="C450" s="320"/>
      <c r="D450" s="142"/>
      <c r="E450" s="320"/>
      <c r="F450" s="142"/>
      <c r="G450" s="320"/>
      <c r="H450" s="142"/>
      <c r="I450" s="329"/>
      <c r="J450" s="124"/>
      <c r="K450" s="329"/>
      <c r="L450" s="124"/>
      <c r="M450" s="320"/>
      <c r="N450" s="142"/>
      <c r="O450" s="320"/>
      <c r="P450" s="142"/>
      <c r="Q450" s="360"/>
      <c r="R450" s="360"/>
      <c r="S450" s="320"/>
      <c r="T450" s="142"/>
      <c r="U450" s="30"/>
      <c r="V450" s="30"/>
    </row>
    <row r="451">
      <c r="A451" s="320"/>
      <c r="B451" s="142"/>
      <c r="C451" s="320"/>
      <c r="D451" s="142"/>
      <c r="E451" s="320"/>
      <c r="F451" s="142"/>
      <c r="G451" s="320"/>
      <c r="H451" s="142"/>
      <c r="I451" s="329"/>
      <c r="J451" s="124"/>
      <c r="K451" s="329"/>
      <c r="L451" s="124"/>
      <c r="M451" s="320"/>
      <c r="N451" s="142"/>
      <c r="O451" s="320"/>
      <c r="P451" s="142"/>
      <c r="Q451" s="360"/>
      <c r="R451" s="360"/>
      <c r="S451" s="320"/>
      <c r="T451" s="142"/>
      <c r="U451" s="30"/>
      <c r="V451" s="30"/>
    </row>
    <row r="452">
      <c r="A452" s="320"/>
      <c r="B452" s="142"/>
      <c r="C452" s="320"/>
      <c r="D452" s="142"/>
      <c r="E452" s="320"/>
      <c r="F452" s="142"/>
      <c r="G452" s="320"/>
      <c r="H452" s="142"/>
      <c r="I452" s="329"/>
      <c r="J452" s="124"/>
      <c r="K452" s="329"/>
      <c r="L452" s="124"/>
      <c r="M452" s="320"/>
      <c r="N452" s="142"/>
      <c r="O452" s="320"/>
      <c r="P452" s="142"/>
      <c r="Q452" s="360"/>
      <c r="R452" s="360"/>
      <c r="S452" s="320"/>
      <c r="T452" s="142"/>
      <c r="U452" s="30"/>
      <c r="V452" s="30"/>
    </row>
    <row r="453">
      <c r="A453" s="320"/>
      <c r="B453" s="142"/>
      <c r="C453" s="320"/>
      <c r="D453" s="142"/>
      <c r="E453" s="320"/>
      <c r="F453" s="142"/>
      <c r="G453" s="320"/>
      <c r="H453" s="142"/>
      <c r="I453" s="329"/>
      <c r="J453" s="124"/>
      <c r="K453" s="329"/>
      <c r="L453" s="124"/>
      <c r="M453" s="320"/>
      <c r="N453" s="142"/>
      <c r="O453" s="320"/>
      <c r="P453" s="142"/>
      <c r="Q453" s="360"/>
      <c r="R453" s="360"/>
      <c r="S453" s="320"/>
      <c r="T453" s="142"/>
      <c r="U453" s="30"/>
      <c r="V453" s="30"/>
    </row>
    <row r="454">
      <c r="A454" s="320"/>
      <c r="B454" s="142"/>
      <c r="C454" s="320"/>
      <c r="D454" s="142"/>
      <c r="E454" s="320"/>
      <c r="F454" s="142"/>
      <c r="G454" s="320"/>
      <c r="H454" s="142"/>
      <c r="I454" s="329"/>
      <c r="J454" s="124"/>
      <c r="K454" s="329"/>
      <c r="L454" s="124"/>
      <c r="M454" s="320"/>
      <c r="N454" s="142"/>
      <c r="O454" s="320"/>
      <c r="P454" s="142"/>
      <c r="Q454" s="360"/>
      <c r="R454" s="360"/>
      <c r="S454" s="320"/>
      <c r="T454" s="142"/>
      <c r="U454" s="30"/>
      <c r="V454" s="30"/>
    </row>
    <row r="455">
      <c r="A455" s="320"/>
      <c r="B455" s="142"/>
      <c r="C455" s="320"/>
      <c r="D455" s="142"/>
      <c r="E455" s="320"/>
      <c r="F455" s="142"/>
      <c r="G455" s="320"/>
      <c r="H455" s="142"/>
      <c r="I455" s="329"/>
      <c r="J455" s="124"/>
      <c r="K455" s="329"/>
      <c r="L455" s="124"/>
      <c r="M455" s="320"/>
      <c r="N455" s="142"/>
      <c r="O455" s="320"/>
      <c r="P455" s="142"/>
      <c r="Q455" s="360"/>
      <c r="R455" s="360"/>
      <c r="S455" s="320"/>
      <c r="T455" s="142"/>
      <c r="U455" s="30"/>
      <c r="V455" s="30"/>
    </row>
    <row r="456">
      <c r="A456" s="320"/>
      <c r="B456" s="142"/>
      <c r="C456" s="320"/>
      <c r="D456" s="142"/>
      <c r="E456" s="320"/>
      <c r="F456" s="142"/>
      <c r="G456" s="320"/>
      <c r="H456" s="142"/>
      <c r="I456" s="329"/>
      <c r="J456" s="124"/>
      <c r="K456" s="329"/>
      <c r="L456" s="124"/>
      <c r="M456" s="320"/>
      <c r="N456" s="142"/>
      <c r="O456" s="320"/>
      <c r="P456" s="142"/>
      <c r="Q456" s="360"/>
      <c r="R456" s="360"/>
      <c r="S456" s="320"/>
      <c r="T456" s="142"/>
      <c r="U456" s="30"/>
      <c r="V456" s="30"/>
    </row>
    <row r="457">
      <c r="A457" s="320"/>
      <c r="B457" s="142"/>
      <c r="C457" s="320"/>
      <c r="D457" s="142"/>
      <c r="E457" s="320"/>
      <c r="F457" s="142"/>
      <c r="G457" s="320"/>
      <c r="H457" s="142"/>
      <c r="I457" s="329"/>
      <c r="J457" s="124"/>
      <c r="K457" s="329"/>
      <c r="L457" s="124"/>
      <c r="M457" s="320"/>
      <c r="N457" s="142"/>
      <c r="O457" s="320"/>
      <c r="P457" s="142"/>
      <c r="Q457" s="360"/>
      <c r="R457" s="360"/>
      <c r="S457" s="320"/>
      <c r="T457" s="142"/>
      <c r="U457" s="30"/>
      <c r="V457" s="30"/>
    </row>
    <row r="458">
      <c r="A458" s="320"/>
      <c r="B458" s="142"/>
      <c r="C458" s="320"/>
      <c r="D458" s="142"/>
      <c r="E458" s="320"/>
      <c r="F458" s="142"/>
      <c r="G458" s="320"/>
      <c r="H458" s="142"/>
      <c r="I458" s="329"/>
      <c r="J458" s="124"/>
      <c r="K458" s="329"/>
      <c r="L458" s="124"/>
      <c r="M458" s="320"/>
      <c r="N458" s="142"/>
      <c r="O458" s="320"/>
      <c r="P458" s="142"/>
      <c r="Q458" s="360"/>
      <c r="R458" s="360"/>
      <c r="S458" s="320"/>
      <c r="T458" s="142"/>
      <c r="U458" s="30"/>
      <c r="V458" s="30"/>
    </row>
    <row r="459">
      <c r="A459" s="320"/>
      <c r="B459" s="142"/>
      <c r="C459" s="320"/>
      <c r="D459" s="142"/>
      <c r="E459" s="320"/>
      <c r="F459" s="142"/>
      <c r="G459" s="320"/>
      <c r="H459" s="142"/>
      <c r="I459" s="329"/>
      <c r="J459" s="124"/>
      <c r="K459" s="329"/>
      <c r="L459" s="124"/>
      <c r="M459" s="320"/>
      <c r="N459" s="142"/>
      <c r="O459" s="320"/>
      <c r="P459" s="142"/>
      <c r="Q459" s="360"/>
      <c r="R459" s="360"/>
      <c r="S459" s="320"/>
      <c r="T459" s="142"/>
      <c r="U459" s="30"/>
      <c r="V459" s="30"/>
    </row>
    <row r="460">
      <c r="A460" s="320"/>
      <c r="B460" s="142"/>
      <c r="C460" s="320"/>
      <c r="D460" s="142"/>
      <c r="E460" s="320"/>
      <c r="F460" s="142"/>
      <c r="G460" s="320"/>
      <c r="H460" s="142"/>
      <c r="I460" s="329"/>
      <c r="J460" s="124"/>
      <c r="K460" s="329"/>
      <c r="L460" s="124"/>
      <c r="M460" s="320"/>
      <c r="N460" s="142"/>
      <c r="O460" s="320"/>
      <c r="P460" s="142"/>
      <c r="Q460" s="360"/>
      <c r="R460" s="360"/>
      <c r="S460" s="320"/>
      <c r="T460" s="142"/>
      <c r="U460" s="30"/>
      <c r="V460" s="30"/>
    </row>
    <row r="461">
      <c r="A461" s="320"/>
      <c r="B461" s="142"/>
      <c r="C461" s="320"/>
      <c r="D461" s="142"/>
      <c r="E461" s="320"/>
      <c r="F461" s="142"/>
      <c r="G461" s="320"/>
      <c r="H461" s="142"/>
      <c r="I461" s="329"/>
      <c r="J461" s="124"/>
      <c r="K461" s="329"/>
      <c r="L461" s="124"/>
      <c r="M461" s="320"/>
      <c r="N461" s="142"/>
      <c r="O461" s="320"/>
      <c r="P461" s="142"/>
      <c r="Q461" s="360"/>
      <c r="R461" s="360"/>
      <c r="S461" s="320"/>
      <c r="T461" s="142"/>
      <c r="U461" s="30"/>
      <c r="V461" s="30"/>
    </row>
    <row r="462">
      <c r="A462" s="320"/>
      <c r="B462" s="142"/>
      <c r="C462" s="320"/>
      <c r="D462" s="142"/>
      <c r="E462" s="320"/>
      <c r="F462" s="142"/>
      <c r="G462" s="320"/>
      <c r="H462" s="142"/>
      <c r="I462" s="329"/>
      <c r="J462" s="124"/>
      <c r="K462" s="329"/>
      <c r="L462" s="124"/>
      <c r="M462" s="320"/>
      <c r="N462" s="142"/>
      <c r="O462" s="320"/>
      <c r="P462" s="142"/>
      <c r="Q462" s="360"/>
      <c r="R462" s="360"/>
      <c r="S462" s="320"/>
      <c r="T462" s="142"/>
      <c r="U462" s="30"/>
      <c r="V462" s="30"/>
    </row>
    <row r="463">
      <c r="A463" s="320"/>
      <c r="B463" s="142"/>
      <c r="C463" s="320"/>
      <c r="D463" s="142"/>
      <c r="E463" s="320"/>
      <c r="F463" s="142"/>
      <c r="G463" s="320"/>
      <c r="H463" s="142"/>
      <c r="I463" s="329"/>
      <c r="J463" s="124"/>
      <c r="K463" s="329"/>
      <c r="L463" s="124"/>
      <c r="M463" s="320"/>
      <c r="N463" s="142"/>
      <c r="O463" s="320"/>
      <c r="P463" s="142"/>
      <c r="Q463" s="360"/>
      <c r="R463" s="360"/>
      <c r="S463" s="320"/>
      <c r="T463" s="142"/>
      <c r="U463" s="30"/>
      <c r="V463" s="30"/>
    </row>
    <row r="464">
      <c r="A464" s="320"/>
      <c r="B464" s="142"/>
      <c r="C464" s="320"/>
      <c r="D464" s="142"/>
      <c r="E464" s="320"/>
      <c r="F464" s="142"/>
      <c r="G464" s="320"/>
      <c r="H464" s="142"/>
      <c r="I464" s="329"/>
      <c r="J464" s="124"/>
      <c r="K464" s="329"/>
      <c r="L464" s="124"/>
      <c r="M464" s="320"/>
      <c r="N464" s="142"/>
      <c r="O464" s="320"/>
      <c r="P464" s="142"/>
      <c r="Q464" s="360"/>
      <c r="R464" s="360"/>
      <c r="S464" s="320"/>
      <c r="T464" s="142"/>
      <c r="U464" s="30"/>
      <c r="V464" s="30"/>
    </row>
    <row r="465">
      <c r="A465" s="320"/>
      <c r="B465" s="142"/>
      <c r="C465" s="320"/>
      <c r="D465" s="142"/>
      <c r="E465" s="320"/>
      <c r="F465" s="142"/>
      <c r="G465" s="320"/>
      <c r="H465" s="142"/>
      <c r="I465" s="329"/>
      <c r="J465" s="124"/>
      <c r="K465" s="329"/>
      <c r="L465" s="124"/>
      <c r="M465" s="320"/>
      <c r="N465" s="142"/>
      <c r="O465" s="320"/>
      <c r="P465" s="142"/>
      <c r="Q465" s="360"/>
      <c r="R465" s="360"/>
      <c r="S465" s="320"/>
      <c r="T465" s="142"/>
      <c r="U465" s="30"/>
      <c r="V465" s="30"/>
    </row>
    <row r="466">
      <c r="A466" s="320"/>
      <c r="B466" s="142"/>
      <c r="C466" s="320"/>
      <c r="D466" s="142"/>
      <c r="E466" s="320"/>
      <c r="F466" s="142"/>
      <c r="G466" s="320"/>
      <c r="H466" s="142"/>
      <c r="I466" s="329"/>
      <c r="J466" s="124"/>
      <c r="K466" s="329"/>
      <c r="L466" s="124"/>
      <c r="M466" s="320"/>
      <c r="N466" s="142"/>
      <c r="O466" s="320"/>
      <c r="P466" s="142"/>
      <c r="Q466" s="360"/>
      <c r="R466" s="360"/>
      <c r="S466" s="320"/>
      <c r="T466" s="142"/>
      <c r="U466" s="30"/>
      <c r="V466" s="30"/>
    </row>
    <row r="467">
      <c r="A467" s="320"/>
      <c r="B467" s="142"/>
      <c r="C467" s="320"/>
      <c r="D467" s="142"/>
      <c r="E467" s="320"/>
      <c r="F467" s="142"/>
      <c r="G467" s="320"/>
      <c r="H467" s="142"/>
      <c r="I467" s="329"/>
      <c r="J467" s="124"/>
      <c r="K467" s="329"/>
      <c r="L467" s="124"/>
      <c r="M467" s="320"/>
      <c r="N467" s="142"/>
      <c r="O467" s="320"/>
      <c r="P467" s="142"/>
      <c r="Q467" s="360"/>
      <c r="R467" s="360"/>
      <c r="S467" s="320"/>
      <c r="T467" s="142"/>
      <c r="U467" s="30"/>
      <c r="V467" s="30"/>
    </row>
    <row r="468">
      <c r="A468" s="320"/>
      <c r="B468" s="142"/>
      <c r="C468" s="320"/>
      <c r="D468" s="142"/>
      <c r="E468" s="320"/>
      <c r="F468" s="142"/>
      <c r="G468" s="320"/>
      <c r="H468" s="142"/>
      <c r="I468" s="329"/>
      <c r="J468" s="124"/>
      <c r="K468" s="329"/>
      <c r="L468" s="124"/>
      <c r="M468" s="320"/>
      <c r="N468" s="142"/>
      <c r="O468" s="320"/>
      <c r="P468" s="142"/>
      <c r="Q468" s="360"/>
      <c r="R468" s="360"/>
      <c r="S468" s="320"/>
      <c r="T468" s="142"/>
      <c r="U468" s="30"/>
      <c r="V468" s="30"/>
    </row>
    <row r="469">
      <c r="A469" s="320"/>
      <c r="B469" s="142"/>
      <c r="C469" s="320"/>
      <c r="D469" s="142"/>
      <c r="E469" s="320"/>
      <c r="F469" s="142"/>
      <c r="G469" s="320"/>
      <c r="H469" s="142"/>
      <c r="I469" s="329"/>
      <c r="J469" s="124"/>
      <c r="K469" s="329"/>
      <c r="L469" s="124"/>
      <c r="M469" s="320"/>
      <c r="N469" s="142"/>
      <c r="O469" s="320"/>
      <c r="P469" s="142"/>
      <c r="Q469" s="360"/>
      <c r="R469" s="360"/>
      <c r="S469" s="320"/>
      <c r="T469" s="142"/>
      <c r="U469" s="30"/>
      <c r="V469" s="30"/>
    </row>
    <row r="470">
      <c r="A470" s="320"/>
      <c r="B470" s="142"/>
      <c r="C470" s="320"/>
      <c r="D470" s="142"/>
      <c r="E470" s="320"/>
      <c r="F470" s="142"/>
      <c r="G470" s="320"/>
      <c r="H470" s="142"/>
      <c r="I470" s="329"/>
      <c r="J470" s="124"/>
      <c r="K470" s="329"/>
      <c r="L470" s="124"/>
      <c r="M470" s="320"/>
      <c r="N470" s="142"/>
      <c r="O470" s="320"/>
      <c r="P470" s="142"/>
      <c r="Q470" s="360"/>
      <c r="R470" s="360"/>
      <c r="S470" s="320"/>
      <c r="T470" s="142"/>
      <c r="U470" s="30"/>
      <c r="V470" s="30"/>
    </row>
    <row r="471">
      <c r="A471" s="320"/>
      <c r="B471" s="142"/>
      <c r="C471" s="320"/>
      <c r="D471" s="142"/>
      <c r="E471" s="320"/>
      <c r="F471" s="142"/>
      <c r="G471" s="320"/>
      <c r="H471" s="142"/>
      <c r="I471" s="329"/>
      <c r="J471" s="124"/>
      <c r="K471" s="329"/>
      <c r="L471" s="124"/>
      <c r="M471" s="320"/>
      <c r="N471" s="142"/>
      <c r="O471" s="320"/>
      <c r="P471" s="142"/>
      <c r="Q471" s="360"/>
      <c r="R471" s="360"/>
      <c r="S471" s="320"/>
      <c r="T471" s="142"/>
      <c r="U471" s="30"/>
      <c r="V471" s="30"/>
    </row>
    <row r="472">
      <c r="A472" s="320"/>
      <c r="B472" s="142"/>
      <c r="C472" s="320"/>
      <c r="D472" s="142"/>
      <c r="E472" s="320"/>
      <c r="F472" s="142"/>
      <c r="G472" s="320"/>
      <c r="H472" s="142"/>
      <c r="I472" s="329"/>
      <c r="J472" s="124"/>
      <c r="K472" s="329"/>
      <c r="L472" s="124"/>
      <c r="M472" s="320"/>
      <c r="N472" s="142"/>
      <c r="O472" s="320"/>
      <c r="P472" s="142"/>
      <c r="Q472" s="360"/>
      <c r="R472" s="360"/>
      <c r="S472" s="320"/>
      <c r="T472" s="142"/>
      <c r="U472" s="30"/>
      <c r="V472" s="30"/>
    </row>
    <row r="473">
      <c r="A473" s="320"/>
      <c r="B473" s="142"/>
      <c r="C473" s="320"/>
      <c r="D473" s="142"/>
      <c r="E473" s="320"/>
      <c r="F473" s="142"/>
      <c r="G473" s="320"/>
      <c r="H473" s="142"/>
      <c r="I473" s="329"/>
      <c r="J473" s="124"/>
      <c r="K473" s="329"/>
      <c r="L473" s="124"/>
      <c r="M473" s="320"/>
      <c r="N473" s="142"/>
      <c r="O473" s="320"/>
      <c r="P473" s="142"/>
      <c r="Q473" s="360"/>
      <c r="R473" s="360"/>
      <c r="S473" s="320"/>
      <c r="T473" s="142"/>
      <c r="U473" s="30"/>
      <c r="V473" s="30"/>
    </row>
    <row r="474">
      <c r="A474" s="320"/>
      <c r="B474" s="142"/>
      <c r="C474" s="320"/>
      <c r="D474" s="142"/>
      <c r="E474" s="320"/>
      <c r="F474" s="142"/>
      <c r="G474" s="320"/>
      <c r="H474" s="142"/>
      <c r="I474" s="329"/>
      <c r="J474" s="124"/>
      <c r="K474" s="329"/>
      <c r="L474" s="124"/>
      <c r="M474" s="320"/>
      <c r="N474" s="142"/>
      <c r="O474" s="320"/>
      <c r="P474" s="142"/>
      <c r="Q474" s="360"/>
      <c r="R474" s="360"/>
      <c r="S474" s="320"/>
      <c r="T474" s="142"/>
      <c r="U474" s="30"/>
      <c r="V474" s="30"/>
    </row>
    <row r="475">
      <c r="A475" s="320"/>
      <c r="B475" s="142"/>
      <c r="C475" s="320"/>
      <c r="D475" s="142"/>
      <c r="E475" s="320"/>
      <c r="F475" s="142"/>
      <c r="G475" s="320"/>
      <c r="H475" s="142"/>
      <c r="I475" s="329"/>
      <c r="J475" s="124"/>
      <c r="K475" s="329"/>
      <c r="L475" s="124"/>
      <c r="M475" s="320"/>
      <c r="N475" s="142"/>
      <c r="O475" s="320"/>
      <c r="P475" s="142"/>
      <c r="Q475" s="360"/>
      <c r="R475" s="360"/>
      <c r="S475" s="320"/>
      <c r="T475" s="142"/>
      <c r="U475" s="30"/>
      <c r="V475" s="30"/>
    </row>
    <row r="476">
      <c r="A476" s="320"/>
      <c r="B476" s="142"/>
      <c r="C476" s="320"/>
      <c r="D476" s="142"/>
      <c r="E476" s="320"/>
      <c r="F476" s="142"/>
      <c r="G476" s="320"/>
      <c r="H476" s="142"/>
      <c r="I476" s="329"/>
      <c r="J476" s="124"/>
      <c r="K476" s="329"/>
      <c r="L476" s="124"/>
      <c r="M476" s="320"/>
      <c r="N476" s="142"/>
      <c r="O476" s="320"/>
      <c r="P476" s="142"/>
      <c r="Q476" s="360"/>
      <c r="R476" s="360"/>
      <c r="S476" s="320"/>
      <c r="T476" s="142"/>
      <c r="U476" s="30"/>
      <c r="V476" s="30"/>
    </row>
    <row r="477">
      <c r="A477" s="320"/>
      <c r="B477" s="142"/>
      <c r="C477" s="320"/>
      <c r="D477" s="142"/>
      <c r="E477" s="320"/>
      <c r="F477" s="142"/>
      <c r="G477" s="320"/>
      <c r="H477" s="142"/>
      <c r="I477" s="329"/>
      <c r="J477" s="124"/>
      <c r="K477" s="329"/>
      <c r="L477" s="124"/>
      <c r="M477" s="320"/>
      <c r="N477" s="142"/>
      <c r="O477" s="320"/>
      <c r="P477" s="142"/>
      <c r="Q477" s="360"/>
      <c r="R477" s="360"/>
      <c r="S477" s="320"/>
      <c r="T477" s="142"/>
      <c r="U477" s="30"/>
      <c r="V477" s="30"/>
    </row>
    <row r="478">
      <c r="A478" s="320"/>
      <c r="B478" s="142"/>
      <c r="C478" s="320"/>
      <c r="D478" s="142"/>
      <c r="E478" s="320"/>
      <c r="F478" s="142"/>
      <c r="G478" s="320"/>
      <c r="H478" s="142"/>
      <c r="I478" s="329"/>
      <c r="J478" s="124"/>
      <c r="K478" s="329"/>
      <c r="L478" s="124"/>
      <c r="M478" s="320"/>
      <c r="N478" s="142"/>
      <c r="O478" s="320"/>
      <c r="P478" s="142"/>
      <c r="Q478" s="360"/>
      <c r="R478" s="360"/>
      <c r="S478" s="320"/>
      <c r="T478" s="142"/>
      <c r="U478" s="30"/>
      <c r="V478" s="30"/>
    </row>
    <row r="479">
      <c r="A479" s="320"/>
      <c r="B479" s="142"/>
      <c r="C479" s="320"/>
      <c r="D479" s="142"/>
      <c r="E479" s="320"/>
      <c r="F479" s="142"/>
      <c r="G479" s="320"/>
      <c r="H479" s="142"/>
      <c r="I479" s="329"/>
      <c r="J479" s="124"/>
      <c r="K479" s="329"/>
      <c r="L479" s="124"/>
      <c r="M479" s="320"/>
      <c r="N479" s="142"/>
      <c r="O479" s="320"/>
      <c r="P479" s="142"/>
      <c r="Q479" s="360"/>
      <c r="R479" s="360"/>
      <c r="S479" s="320"/>
      <c r="T479" s="142"/>
      <c r="U479" s="30"/>
      <c r="V479" s="30"/>
    </row>
    <row r="480">
      <c r="A480" s="320"/>
      <c r="B480" s="142"/>
      <c r="C480" s="320"/>
      <c r="D480" s="142"/>
      <c r="E480" s="320"/>
      <c r="F480" s="142"/>
      <c r="G480" s="320"/>
      <c r="H480" s="142"/>
      <c r="I480" s="329"/>
      <c r="J480" s="124"/>
      <c r="K480" s="329"/>
      <c r="L480" s="124"/>
      <c r="M480" s="320"/>
      <c r="N480" s="142"/>
      <c r="O480" s="320"/>
      <c r="P480" s="142"/>
      <c r="Q480" s="360"/>
      <c r="R480" s="360"/>
      <c r="S480" s="320"/>
      <c r="T480" s="142"/>
      <c r="U480" s="30"/>
      <c r="V480" s="30"/>
    </row>
    <row r="481">
      <c r="A481" s="320"/>
      <c r="B481" s="142"/>
      <c r="C481" s="320"/>
      <c r="D481" s="142"/>
      <c r="E481" s="320"/>
      <c r="F481" s="142"/>
      <c r="G481" s="320"/>
      <c r="H481" s="142"/>
      <c r="I481" s="329"/>
      <c r="J481" s="124"/>
      <c r="K481" s="329"/>
      <c r="L481" s="124"/>
      <c r="M481" s="320"/>
      <c r="N481" s="142"/>
      <c r="O481" s="320"/>
      <c r="P481" s="142"/>
      <c r="Q481" s="360"/>
      <c r="R481" s="360"/>
      <c r="S481" s="320"/>
      <c r="T481" s="142"/>
      <c r="U481" s="30"/>
      <c r="V481" s="30"/>
    </row>
    <row r="482">
      <c r="A482" s="320"/>
      <c r="B482" s="142"/>
      <c r="C482" s="320"/>
      <c r="D482" s="142"/>
      <c r="E482" s="320"/>
      <c r="F482" s="142"/>
      <c r="G482" s="320"/>
      <c r="H482" s="142"/>
      <c r="I482" s="329"/>
      <c r="J482" s="124"/>
      <c r="K482" s="329"/>
      <c r="L482" s="124"/>
      <c r="M482" s="320"/>
      <c r="N482" s="142"/>
      <c r="O482" s="320"/>
      <c r="P482" s="142"/>
      <c r="Q482" s="360"/>
      <c r="R482" s="360"/>
      <c r="S482" s="320"/>
      <c r="T482" s="142"/>
      <c r="U482" s="30"/>
      <c r="V482" s="30"/>
    </row>
    <row r="483">
      <c r="A483" s="320"/>
      <c r="B483" s="142"/>
      <c r="C483" s="320"/>
      <c r="D483" s="142"/>
      <c r="E483" s="320"/>
      <c r="F483" s="142"/>
      <c r="G483" s="320"/>
      <c r="H483" s="142"/>
      <c r="I483" s="329"/>
      <c r="J483" s="124"/>
      <c r="K483" s="329"/>
      <c r="L483" s="124"/>
      <c r="M483" s="320"/>
      <c r="N483" s="142"/>
      <c r="O483" s="320"/>
      <c r="P483" s="142"/>
      <c r="Q483" s="360"/>
      <c r="R483" s="360"/>
      <c r="S483" s="320"/>
      <c r="T483" s="142"/>
      <c r="U483" s="30"/>
      <c r="V483" s="30"/>
    </row>
    <row r="484">
      <c r="A484" s="320"/>
      <c r="B484" s="142"/>
      <c r="C484" s="320"/>
      <c r="D484" s="142"/>
      <c r="E484" s="320"/>
      <c r="F484" s="142"/>
      <c r="G484" s="320"/>
      <c r="H484" s="142"/>
      <c r="I484" s="329"/>
      <c r="J484" s="124"/>
      <c r="K484" s="329"/>
      <c r="L484" s="124"/>
      <c r="M484" s="320"/>
      <c r="N484" s="142"/>
      <c r="O484" s="320"/>
      <c r="P484" s="142"/>
      <c r="Q484" s="360"/>
      <c r="R484" s="360"/>
      <c r="S484" s="320"/>
      <c r="T484" s="142"/>
      <c r="U484" s="30"/>
      <c r="V484" s="30"/>
    </row>
    <row r="485">
      <c r="A485" s="320"/>
      <c r="B485" s="142"/>
      <c r="C485" s="320"/>
      <c r="D485" s="142"/>
      <c r="E485" s="320"/>
      <c r="F485" s="142"/>
      <c r="G485" s="320"/>
      <c r="H485" s="142"/>
      <c r="I485" s="329"/>
      <c r="J485" s="124"/>
      <c r="K485" s="329"/>
      <c r="L485" s="124"/>
      <c r="M485" s="320"/>
      <c r="N485" s="142"/>
      <c r="O485" s="320"/>
      <c r="P485" s="142"/>
      <c r="Q485" s="360"/>
      <c r="R485" s="360"/>
      <c r="S485" s="320"/>
      <c r="T485" s="142"/>
      <c r="U485" s="30"/>
      <c r="V485" s="30"/>
    </row>
    <row r="486">
      <c r="A486" s="320"/>
      <c r="B486" s="142"/>
      <c r="C486" s="320"/>
      <c r="D486" s="142"/>
      <c r="E486" s="320"/>
      <c r="F486" s="142"/>
      <c r="G486" s="320"/>
      <c r="H486" s="142"/>
      <c r="I486" s="329"/>
      <c r="J486" s="124"/>
      <c r="K486" s="329"/>
      <c r="L486" s="124"/>
      <c r="M486" s="320"/>
      <c r="N486" s="142"/>
      <c r="O486" s="320"/>
      <c r="P486" s="142"/>
      <c r="Q486" s="360"/>
      <c r="R486" s="360"/>
      <c r="S486" s="320"/>
      <c r="T486" s="142"/>
      <c r="U486" s="30"/>
      <c r="V486" s="30"/>
    </row>
    <row r="487">
      <c r="A487" s="320"/>
      <c r="B487" s="142"/>
      <c r="C487" s="320"/>
      <c r="D487" s="142"/>
      <c r="E487" s="320"/>
      <c r="F487" s="142"/>
      <c r="G487" s="320"/>
      <c r="H487" s="142"/>
      <c r="I487" s="329"/>
      <c r="J487" s="124"/>
      <c r="K487" s="329"/>
      <c r="L487" s="124"/>
      <c r="M487" s="320"/>
      <c r="N487" s="142"/>
      <c r="O487" s="320"/>
      <c r="P487" s="142"/>
      <c r="Q487" s="360"/>
      <c r="R487" s="360"/>
      <c r="S487" s="320"/>
      <c r="T487" s="142"/>
      <c r="U487" s="30"/>
      <c r="V487" s="30"/>
    </row>
    <row r="488">
      <c r="A488" s="320"/>
      <c r="B488" s="142"/>
      <c r="C488" s="320"/>
      <c r="D488" s="142"/>
      <c r="E488" s="320"/>
      <c r="F488" s="142"/>
      <c r="G488" s="320"/>
      <c r="H488" s="142"/>
      <c r="I488" s="329"/>
      <c r="J488" s="124"/>
      <c r="K488" s="329"/>
      <c r="L488" s="124"/>
      <c r="M488" s="320"/>
      <c r="N488" s="142"/>
      <c r="O488" s="320"/>
      <c r="P488" s="142"/>
      <c r="Q488" s="360"/>
      <c r="R488" s="360"/>
      <c r="S488" s="320"/>
      <c r="T488" s="142"/>
      <c r="U488" s="30"/>
      <c r="V488" s="30"/>
    </row>
    <row r="489">
      <c r="A489" s="320"/>
      <c r="B489" s="142"/>
      <c r="C489" s="320"/>
      <c r="D489" s="142"/>
      <c r="E489" s="320"/>
      <c r="F489" s="142"/>
      <c r="G489" s="320"/>
      <c r="H489" s="142"/>
      <c r="I489" s="329"/>
      <c r="J489" s="124"/>
      <c r="K489" s="329"/>
      <c r="L489" s="124"/>
      <c r="M489" s="320"/>
      <c r="N489" s="142"/>
      <c r="O489" s="320"/>
      <c r="P489" s="142"/>
      <c r="Q489" s="360"/>
      <c r="R489" s="360"/>
      <c r="S489" s="320"/>
      <c r="T489" s="142"/>
      <c r="U489" s="30"/>
      <c r="V489" s="30"/>
    </row>
    <row r="490">
      <c r="A490" s="320"/>
      <c r="B490" s="142"/>
      <c r="C490" s="320"/>
      <c r="D490" s="142"/>
      <c r="E490" s="320"/>
      <c r="F490" s="142"/>
      <c r="G490" s="320"/>
      <c r="H490" s="142"/>
      <c r="I490" s="329"/>
      <c r="J490" s="124"/>
      <c r="K490" s="329"/>
      <c r="L490" s="124"/>
      <c r="M490" s="320"/>
      <c r="N490" s="142"/>
      <c r="O490" s="320"/>
      <c r="P490" s="142"/>
      <c r="Q490" s="360"/>
      <c r="R490" s="360"/>
      <c r="S490" s="320"/>
      <c r="T490" s="142"/>
      <c r="U490" s="30"/>
      <c r="V490" s="30"/>
    </row>
    <row r="491">
      <c r="A491" s="320"/>
      <c r="B491" s="142"/>
      <c r="C491" s="320"/>
      <c r="D491" s="142"/>
      <c r="E491" s="320"/>
      <c r="F491" s="142"/>
      <c r="G491" s="320"/>
      <c r="H491" s="142"/>
      <c r="I491" s="329"/>
      <c r="J491" s="124"/>
      <c r="K491" s="329"/>
      <c r="L491" s="124"/>
      <c r="M491" s="320"/>
      <c r="N491" s="142"/>
      <c r="O491" s="320"/>
      <c r="P491" s="142"/>
      <c r="Q491" s="360"/>
      <c r="R491" s="360"/>
      <c r="S491" s="320"/>
      <c r="T491" s="142"/>
      <c r="U491" s="30"/>
      <c r="V491" s="30"/>
    </row>
    <row r="492">
      <c r="A492" s="320"/>
      <c r="B492" s="142"/>
      <c r="C492" s="320"/>
      <c r="D492" s="142"/>
      <c r="E492" s="320"/>
      <c r="F492" s="142"/>
      <c r="G492" s="320"/>
      <c r="H492" s="142"/>
      <c r="I492" s="329"/>
      <c r="J492" s="124"/>
      <c r="K492" s="329"/>
      <c r="L492" s="124"/>
      <c r="M492" s="320"/>
      <c r="N492" s="142"/>
      <c r="O492" s="320"/>
      <c r="P492" s="142"/>
      <c r="Q492" s="360"/>
      <c r="R492" s="360"/>
      <c r="S492" s="320"/>
      <c r="T492" s="142"/>
      <c r="U492" s="30"/>
      <c r="V492" s="30"/>
    </row>
    <row r="493">
      <c r="A493" s="320"/>
      <c r="B493" s="142"/>
      <c r="C493" s="320"/>
      <c r="D493" s="142"/>
      <c r="E493" s="320"/>
      <c r="F493" s="142"/>
      <c r="G493" s="320"/>
      <c r="H493" s="142"/>
      <c r="I493" s="329"/>
      <c r="J493" s="124"/>
      <c r="K493" s="329"/>
      <c r="L493" s="124"/>
      <c r="M493" s="320"/>
      <c r="N493" s="142"/>
      <c r="O493" s="320"/>
      <c r="P493" s="142"/>
      <c r="Q493" s="360"/>
      <c r="R493" s="360"/>
      <c r="S493" s="320"/>
      <c r="T493" s="142"/>
      <c r="U493" s="30"/>
      <c r="V493" s="30"/>
    </row>
    <row r="494">
      <c r="A494" s="320"/>
      <c r="B494" s="142"/>
      <c r="C494" s="320"/>
      <c r="D494" s="142"/>
      <c r="E494" s="320"/>
      <c r="F494" s="142"/>
      <c r="G494" s="320"/>
      <c r="H494" s="142"/>
      <c r="I494" s="329"/>
      <c r="J494" s="124"/>
      <c r="K494" s="329"/>
      <c r="L494" s="124"/>
      <c r="M494" s="320"/>
      <c r="N494" s="142"/>
      <c r="O494" s="320"/>
      <c r="P494" s="142"/>
      <c r="Q494" s="360"/>
      <c r="R494" s="360"/>
      <c r="S494" s="320"/>
      <c r="T494" s="142"/>
      <c r="U494" s="30"/>
      <c r="V494" s="30"/>
    </row>
    <row r="495">
      <c r="A495" s="320"/>
      <c r="B495" s="142"/>
      <c r="C495" s="320"/>
      <c r="D495" s="142"/>
      <c r="E495" s="320"/>
      <c r="F495" s="142"/>
      <c r="G495" s="320"/>
      <c r="H495" s="142"/>
      <c r="I495" s="329"/>
      <c r="J495" s="124"/>
      <c r="K495" s="329"/>
      <c r="L495" s="124"/>
      <c r="M495" s="320"/>
      <c r="N495" s="142"/>
      <c r="O495" s="320"/>
      <c r="P495" s="142"/>
      <c r="Q495" s="360"/>
      <c r="R495" s="360"/>
      <c r="S495" s="320"/>
      <c r="T495" s="142"/>
      <c r="U495" s="30"/>
      <c r="V495" s="30"/>
    </row>
    <row r="496">
      <c r="A496" s="320"/>
      <c r="B496" s="142"/>
      <c r="C496" s="320"/>
      <c r="D496" s="142"/>
      <c r="E496" s="320"/>
      <c r="F496" s="142"/>
      <c r="G496" s="320"/>
      <c r="H496" s="142"/>
      <c r="I496" s="329"/>
      <c r="J496" s="124"/>
      <c r="K496" s="329"/>
      <c r="L496" s="124"/>
      <c r="M496" s="320"/>
      <c r="N496" s="142"/>
      <c r="O496" s="320"/>
      <c r="P496" s="142"/>
      <c r="Q496" s="360"/>
      <c r="R496" s="360"/>
      <c r="S496" s="320"/>
      <c r="T496" s="142"/>
      <c r="U496" s="30"/>
      <c r="V496" s="30"/>
    </row>
    <row r="497">
      <c r="A497" s="320"/>
      <c r="B497" s="142"/>
      <c r="C497" s="320"/>
      <c r="D497" s="142"/>
      <c r="E497" s="320"/>
      <c r="F497" s="142"/>
      <c r="G497" s="320"/>
      <c r="H497" s="142"/>
      <c r="I497" s="329"/>
      <c r="J497" s="124"/>
      <c r="K497" s="329"/>
      <c r="L497" s="124"/>
      <c r="M497" s="320"/>
      <c r="N497" s="142"/>
      <c r="O497" s="320"/>
      <c r="P497" s="142"/>
      <c r="Q497" s="360"/>
      <c r="R497" s="360"/>
      <c r="S497" s="320"/>
      <c r="T497" s="142"/>
      <c r="U497" s="30"/>
      <c r="V497" s="30"/>
    </row>
    <row r="498">
      <c r="A498" s="320"/>
      <c r="B498" s="142"/>
      <c r="C498" s="320"/>
      <c r="D498" s="142"/>
      <c r="E498" s="320"/>
      <c r="F498" s="142"/>
      <c r="G498" s="320"/>
      <c r="H498" s="142"/>
      <c r="I498" s="329"/>
      <c r="J498" s="124"/>
      <c r="K498" s="329"/>
      <c r="L498" s="124"/>
      <c r="M498" s="320"/>
      <c r="N498" s="142"/>
      <c r="O498" s="320"/>
      <c r="P498" s="142"/>
      <c r="Q498" s="360"/>
      <c r="R498" s="360"/>
      <c r="S498" s="320"/>
      <c r="T498" s="142"/>
      <c r="U498" s="30"/>
      <c r="V498" s="30"/>
    </row>
    <row r="499">
      <c r="A499" s="320"/>
      <c r="B499" s="142"/>
      <c r="C499" s="320"/>
      <c r="D499" s="142"/>
      <c r="E499" s="320"/>
      <c r="F499" s="142"/>
      <c r="G499" s="320"/>
      <c r="H499" s="142"/>
      <c r="I499" s="329"/>
      <c r="J499" s="124"/>
      <c r="K499" s="329"/>
      <c r="L499" s="124"/>
      <c r="M499" s="320"/>
      <c r="N499" s="142"/>
      <c r="O499" s="320"/>
      <c r="P499" s="142"/>
      <c r="Q499" s="360"/>
      <c r="R499" s="360"/>
      <c r="S499" s="320"/>
      <c r="T499" s="142"/>
      <c r="U499" s="30"/>
      <c r="V499" s="30"/>
    </row>
    <row r="500">
      <c r="A500" s="320"/>
      <c r="B500" s="142"/>
      <c r="C500" s="320"/>
      <c r="D500" s="142"/>
      <c r="E500" s="320"/>
      <c r="F500" s="142"/>
      <c r="G500" s="320"/>
      <c r="H500" s="142"/>
      <c r="I500" s="329"/>
      <c r="J500" s="124"/>
      <c r="K500" s="329"/>
      <c r="L500" s="124"/>
      <c r="M500" s="320"/>
      <c r="N500" s="142"/>
      <c r="O500" s="320"/>
      <c r="P500" s="142"/>
      <c r="Q500" s="360"/>
      <c r="R500" s="360"/>
      <c r="S500" s="320"/>
      <c r="T500" s="142"/>
      <c r="U500" s="30"/>
      <c r="V500" s="30"/>
    </row>
    <row r="501">
      <c r="A501" s="320"/>
      <c r="B501" s="142"/>
      <c r="C501" s="320"/>
      <c r="D501" s="142"/>
      <c r="E501" s="320"/>
      <c r="F501" s="142"/>
      <c r="G501" s="320"/>
      <c r="H501" s="142"/>
      <c r="I501" s="329"/>
      <c r="J501" s="124"/>
      <c r="K501" s="329"/>
      <c r="L501" s="124"/>
      <c r="M501" s="320"/>
      <c r="N501" s="142"/>
      <c r="O501" s="320"/>
      <c r="P501" s="142"/>
      <c r="Q501" s="360"/>
      <c r="R501" s="360"/>
      <c r="S501" s="320"/>
      <c r="T501" s="142"/>
      <c r="U501" s="30"/>
      <c r="V501" s="30"/>
    </row>
    <row r="502">
      <c r="A502" s="320"/>
      <c r="B502" s="142"/>
      <c r="C502" s="320"/>
      <c r="D502" s="142"/>
      <c r="E502" s="320"/>
      <c r="F502" s="142"/>
      <c r="G502" s="320"/>
      <c r="H502" s="142"/>
      <c r="I502" s="329"/>
      <c r="J502" s="124"/>
      <c r="K502" s="329"/>
      <c r="L502" s="124"/>
      <c r="M502" s="320"/>
      <c r="N502" s="142"/>
      <c r="O502" s="320"/>
      <c r="P502" s="142"/>
      <c r="Q502" s="360"/>
      <c r="R502" s="360"/>
      <c r="S502" s="320"/>
      <c r="T502" s="142"/>
      <c r="U502" s="30"/>
      <c r="V502" s="30"/>
    </row>
    <row r="503">
      <c r="A503" s="320"/>
      <c r="B503" s="142"/>
      <c r="C503" s="320"/>
      <c r="D503" s="142"/>
      <c r="E503" s="320"/>
      <c r="F503" s="142"/>
      <c r="G503" s="320"/>
      <c r="H503" s="142"/>
      <c r="I503" s="329"/>
      <c r="J503" s="124"/>
      <c r="K503" s="329"/>
      <c r="L503" s="124"/>
      <c r="M503" s="320"/>
      <c r="N503" s="142"/>
      <c r="O503" s="320"/>
      <c r="P503" s="142"/>
      <c r="Q503" s="360"/>
      <c r="R503" s="360"/>
      <c r="S503" s="320"/>
      <c r="T503" s="142"/>
      <c r="U503" s="30"/>
      <c r="V503" s="30"/>
    </row>
    <row r="504">
      <c r="A504" s="320"/>
      <c r="B504" s="142"/>
      <c r="C504" s="320"/>
      <c r="D504" s="142"/>
      <c r="E504" s="320"/>
      <c r="F504" s="142"/>
      <c r="G504" s="320"/>
      <c r="H504" s="142"/>
      <c r="I504" s="329"/>
      <c r="J504" s="124"/>
      <c r="K504" s="329"/>
      <c r="L504" s="124"/>
      <c r="M504" s="320"/>
      <c r="N504" s="142"/>
      <c r="O504" s="320"/>
      <c r="P504" s="142"/>
      <c r="Q504" s="360"/>
      <c r="R504" s="360"/>
      <c r="S504" s="320"/>
      <c r="T504" s="142"/>
      <c r="U504" s="30"/>
      <c r="V504" s="30"/>
    </row>
    <row r="505">
      <c r="A505" s="320"/>
      <c r="B505" s="142"/>
      <c r="C505" s="320"/>
      <c r="D505" s="142"/>
      <c r="E505" s="320"/>
      <c r="F505" s="142"/>
      <c r="G505" s="320"/>
      <c r="H505" s="142"/>
      <c r="I505" s="329"/>
      <c r="J505" s="124"/>
      <c r="K505" s="329"/>
      <c r="L505" s="124"/>
      <c r="M505" s="320"/>
      <c r="N505" s="142"/>
      <c r="O505" s="320"/>
      <c r="P505" s="142"/>
      <c r="Q505" s="360"/>
      <c r="R505" s="360"/>
      <c r="S505" s="320"/>
      <c r="T505" s="142"/>
      <c r="U505" s="30"/>
      <c r="V505" s="30"/>
    </row>
    <row r="506">
      <c r="A506" s="320"/>
      <c r="B506" s="142"/>
      <c r="C506" s="320"/>
      <c r="D506" s="142"/>
      <c r="E506" s="320"/>
      <c r="F506" s="142"/>
      <c r="G506" s="320"/>
      <c r="H506" s="142"/>
      <c r="I506" s="329"/>
      <c r="J506" s="124"/>
      <c r="K506" s="329"/>
      <c r="L506" s="124"/>
      <c r="M506" s="320"/>
      <c r="N506" s="142"/>
      <c r="O506" s="320"/>
      <c r="P506" s="142"/>
      <c r="Q506" s="360"/>
      <c r="R506" s="360"/>
      <c r="S506" s="320"/>
      <c r="T506" s="142"/>
      <c r="U506" s="30"/>
      <c r="V506" s="30"/>
    </row>
    <row r="507">
      <c r="A507" s="320"/>
      <c r="B507" s="142"/>
      <c r="C507" s="320"/>
      <c r="D507" s="142"/>
      <c r="E507" s="320"/>
      <c r="F507" s="142"/>
      <c r="G507" s="320"/>
      <c r="H507" s="142"/>
      <c r="I507" s="329"/>
      <c r="J507" s="124"/>
      <c r="K507" s="329"/>
      <c r="L507" s="124"/>
      <c r="M507" s="320"/>
      <c r="N507" s="142"/>
      <c r="O507" s="320"/>
      <c r="P507" s="142"/>
      <c r="Q507" s="360"/>
      <c r="R507" s="360"/>
      <c r="S507" s="320"/>
      <c r="T507" s="142"/>
      <c r="U507" s="30"/>
      <c r="V507" s="30"/>
    </row>
    <row r="508">
      <c r="A508" s="320"/>
      <c r="B508" s="142"/>
      <c r="C508" s="320"/>
      <c r="D508" s="142"/>
      <c r="E508" s="320"/>
      <c r="F508" s="142"/>
      <c r="G508" s="320"/>
      <c r="H508" s="142"/>
      <c r="I508" s="329"/>
      <c r="J508" s="124"/>
      <c r="K508" s="329"/>
      <c r="L508" s="124"/>
      <c r="M508" s="320"/>
      <c r="N508" s="142"/>
      <c r="O508" s="320"/>
      <c r="P508" s="142"/>
      <c r="Q508" s="360"/>
      <c r="R508" s="360"/>
      <c r="S508" s="320"/>
      <c r="T508" s="142"/>
      <c r="U508" s="30"/>
      <c r="V508" s="30"/>
    </row>
    <row r="509">
      <c r="A509" s="320"/>
      <c r="B509" s="142"/>
      <c r="C509" s="320"/>
      <c r="D509" s="142"/>
      <c r="E509" s="320"/>
      <c r="F509" s="142"/>
      <c r="G509" s="320"/>
      <c r="H509" s="142"/>
      <c r="I509" s="329"/>
      <c r="J509" s="124"/>
      <c r="K509" s="329"/>
      <c r="L509" s="124"/>
      <c r="M509" s="320"/>
      <c r="N509" s="142"/>
      <c r="O509" s="320"/>
      <c r="P509" s="142"/>
      <c r="Q509" s="360"/>
      <c r="R509" s="360"/>
      <c r="S509" s="320"/>
      <c r="T509" s="142"/>
      <c r="U509" s="30"/>
      <c r="V509" s="30"/>
    </row>
    <row r="510">
      <c r="A510" s="320"/>
      <c r="B510" s="142"/>
      <c r="C510" s="320"/>
      <c r="D510" s="142"/>
      <c r="E510" s="320"/>
      <c r="F510" s="142"/>
      <c r="G510" s="320"/>
      <c r="H510" s="142"/>
      <c r="I510" s="329"/>
      <c r="J510" s="124"/>
      <c r="K510" s="329"/>
      <c r="L510" s="124"/>
      <c r="M510" s="320"/>
      <c r="N510" s="142"/>
      <c r="O510" s="320"/>
      <c r="P510" s="142"/>
      <c r="Q510" s="360"/>
      <c r="R510" s="360"/>
      <c r="S510" s="320"/>
      <c r="T510" s="142"/>
      <c r="U510" s="30"/>
      <c r="V510" s="30"/>
    </row>
    <row r="511">
      <c r="A511" s="320"/>
      <c r="B511" s="142"/>
      <c r="C511" s="320"/>
      <c r="D511" s="142"/>
      <c r="E511" s="320"/>
      <c r="F511" s="142"/>
      <c r="G511" s="320"/>
      <c r="H511" s="142"/>
      <c r="I511" s="329"/>
      <c r="J511" s="124"/>
      <c r="K511" s="329"/>
      <c r="L511" s="124"/>
      <c r="M511" s="320"/>
      <c r="N511" s="142"/>
      <c r="O511" s="320"/>
      <c r="P511" s="142"/>
      <c r="Q511" s="360"/>
      <c r="R511" s="360"/>
      <c r="S511" s="320"/>
      <c r="T511" s="142"/>
      <c r="U511" s="30"/>
      <c r="V511" s="30"/>
    </row>
    <row r="512">
      <c r="A512" s="320"/>
      <c r="B512" s="142"/>
      <c r="C512" s="320"/>
      <c r="D512" s="142"/>
      <c r="E512" s="320"/>
      <c r="F512" s="142"/>
      <c r="G512" s="320"/>
      <c r="H512" s="142"/>
      <c r="I512" s="329"/>
      <c r="J512" s="124"/>
      <c r="K512" s="329"/>
      <c r="L512" s="124"/>
      <c r="M512" s="320"/>
      <c r="N512" s="142"/>
      <c r="O512" s="320"/>
      <c r="P512" s="142"/>
      <c r="Q512" s="360"/>
      <c r="R512" s="360"/>
      <c r="S512" s="320"/>
      <c r="T512" s="142"/>
      <c r="U512" s="30"/>
      <c r="V512" s="30"/>
    </row>
    <row r="513">
      <c r="A513" s="320"/>
      <c r="B513" s="142"/>
      <c r="C513" s="320"/>
      <c r="D513" s="142"/>
      <c r="E513" s="320"/>
      <c r="F513" s="142"/>
      <c r="G513" s="320"/>
      <c r="H513" s="142"/>
      <c r="I513" s="329"/>
      <c r="J513" s="124"/>
      <c r="K513" s="329"/>
      <c r="L513" s="124"/>
      <c r="M513" s="320"/>
      <c r="N513" s="142"/>
      <c r="O513" s="320"/>
      <c r="P513" s="142"/>
      <c r="Q513" s="360"/>
      <c r="R513" s="360"/>
      <c r="S513" s="320"/>
      <c r="T513" s="142"/>
      <c r="U513" s="30"/>
      <c r="V513" s="30"/>
    </row>
    <row r="514">
      <c r="A514" s="320"/>
      <c r="B514" s="142"/>
      <c r="C514" s="320"/>
      <c r="D514" s="142"/>
      <c r="E514" s="320"/>
      <c r="F514" s="142"/>
      <c r="G514" s="320"/>
      <c r="H514" s="142"/>
      <c r="I514" s="329"/>
      <c r="J514" s="124"/>
      <c r="K514" s="329"/>
      <c r="L514" s="124"/>
      <c r="M514" s="320"/>
      <c r="N514" s="142"/>
      <c r="O514" s="320"/>
      <c r="P514" s="142"/>
      <c r="Q514" s="360"/>
      <c r="R514" s="360"/>
      <c r="S514" s="320"/>
      <c r="T514" s="142"/>
      <c r="U514" s="30"/>
      <c r="V514" s="30"/>
    </row>
    <row r="515">
      <c r="A515" s="320"/>
      <c r="B515" s="142"/>
      <c r="C515" s="320"/>
      <c r="D515" s="142"/>
      <c r="E515" s="320"/>
      <c r="F515" s="142"/>
      <c r="G515" s="320"/>
      <c r="H515" s="142"/>
      <c r="I515" s="329"/>
      <c r="J515" s="124"/>
      <c r="K515" s="329"/>
      <c r="L515" s="124"/>
      <c r="M515" s="320"/>
      <c r="N515" s="142"/>
      <c r="O515" s="320"/>
      <c r="P515" s="142"/>
      <c r="Q515" s="360"/>
      <c r="R515" s="360"/>
      <c r="S515" s="320"/>
      <c r="T515" s="142"/>
      <c r="U515" s="30"/>
      <c r="V515" s="30"/>
    </row>
    <row r="516">
      <c r="A516" s="320"/>
      <c r="B516" s="142"/>
      <c r="C516" s="320"/>
      <c r="D516" s="142"/>
      <c r="E516" s="320"/>
      <c r="F516" s="142"/>
      <c r="G516" s="320"/>
      <c r="H516" s="142"/>
      <c r="I516" s="329"/>
      <c r="J516" s="124"/>
      <c r="K516" s="329"/>
      <c r="L516" s="124"/>
      <c r="M516" s="320"/>
      <c r="N516" s="142"/>
      <c r="O516" s="320"/>
      <c r="P516" s="142"/>
      <c r="Q516" s="360"/>
      <c r="R516" s="360"/>
      <c r="S516" s="320"/>
      <c r="T516" s="142"/>
      <c r="U516" s="30"/>
      <c r="V516" s="30"/>
    </row>
    <row r="517">
      <c r="A517" s="320"/>
      <c r="B517" s="142"/>
      <c r="C517" s="320"/>
      <c r="D517" s="142"/>
      <c r="E517" s="320"/>
      <c r="F517" s="142"/>
      <c r="G517" s="320"/>
      <c r="H517" s="142"/>
      <c r="I517" s="329"/>
      <c r="J517" s="124"/>
      <c r="K517" s="329"/>
      <c r="L517" s="124"/>
      <c r="M517" s="320"/>
      <c r="N517" s="142"/>
      <c r="O517" s="320"/>
      <c r="P517" s="142"/>
      <c r="Q517" s="360"/>
      <c r="R517" s="360"/>
      <c r="S517" s="320"/>
      <c r="T517" s="142"/>
      <c r="U517" s="30"/>
      <c r="V517" s="30"/>
    </row>
    <row r="518">
      <c r="A518" s="320"/>
      <c r="B518" s="142"/>
      <c r="C518" s="320"/>
      <c r="D518" s="142"/>
      <c r="E518" s="320"/>
      <c r="F518" s="142"/>
      <c r="G518" s="320"/>
      <c r="H518" s="142"/>
      <c r="I518" s="329"/>
      <c r="J518" s="124"/>
      <c r="K518" s="329"/>
      <c r="L518" s="124"/>
      <c r="M518" s="320"/>
      <c r="N518" s="142"/>
      <c r="O518" s="320"/>
      <c r="P518" s="142"/>
      <c r="Q518" s="360"/>
      <c r="R518" s="360"/>
      <c r="S518" s="320"/>
      <c r="T518" s="142"/>
      <c r="U518" s="30"/>
      <c r="V518" s="30"/>
    </row>
    <row r="519">
      <c r="A519" s="320"/>
      <c r="B519" s="142"/>
      <c r="C519" s="320"/>
      <c r="D519" s="142"/>
      <c r="E519" s="320"/>
      <c r="F519" s="142"/>
      <c r="G519" s="320"/>
      <c r="H519" s="142"/>
      <c r="I519" s="329"/>
      <c r="J519" s="124"/>
      <c r="K519" s="329"/>
      <c r="L519" s="124"/>
      <c r="M519" s="320"/>
      <c r="N519" s="142"/>
      <c r="O519" s="320"/>
      <c r="P519" s="142"/>
      <c r="Q519" s="360"/>
      <c r="R519" s="360"/>
      <c r="S519" s="320"/>
      <c r="T519" s="142"/>
      <c r="U519" s="30"/>
      <c r="V519" s="30"/>
    </row>
    <row r="520">
      <c r="A520" s="320"/>
      <c r="B520" s="142"/>
      <c r="C520" s="320"/>
      <c r="D520" s="142"/>
      <c r="E520" s="320"/>
      <c r="F520" s="142"/>
      <c r="G520" s="320"/>
      <c r="H520" s="142"/>
      <c r="I520" s="329"/>
      <c r="J520" s="124"/>
      <c r="K520" s="329"/>
      <c r="L520" s="124"/>
      <c r="M520" s="320"/>
      <c r="N520" s="142"/>
      <c r="O520" s="320"/>
      <c r="P520" s="142"/>
      <c r="Q520" s="360"/>
      <c r="R520" s="360"/>
      <c r="S520" s="320"/>
      <c r="T520" s="142"/>
      <c r="U520" s="30"/>
      <c r="V520" s="30"/>
    </row>
    <row r="521">
      <c r="A521" s="320"/>
      <c r="B521" s="142"/>
      <c r="C521" s="320"/>
      <c r="D521" s="142"/>
      <c r="E521" s="320"/>
      <c r="F521" s="142"/>
      <c r="G521" s="320"/>
      <c r="H521" s="142"/>
      <c r="I521" s="329"/>
      <c r="J521" s="124"/>
      <c r="K521" s="329"/>
      <c r="L521" s="124"/>
      <c r="M521" s="320"/>
      <c r="N521" s="142"/>
      <c r="O521" s="320"/>
      <c r="P521" s="142"/>
      <c r="Q521" s="360"/>
      <c r="R521" s="360"/>
      <c r="S521" s="320"/>
      <c r="T521" s="142"/>
      <c r="U521" s="30"/>
      <c r="V521" s="30"/>
    </row>
    <row r="522">
      <c r="A522" s="320"/>
      <c r="B522" s="142"/>
      <c r="C522" s="320"/>
      <c r="D522" s="142"/>
      <c r="E522" s="320"/>
      <c r="F522" s="142"/>
      <c r="G522" s="320"/>
      <c r="H522" s="142"/>
      <c r="I522" s="329"/>
      <c r="J522" s="124"/>
      <c r="K522" s="329"/>
      <c r="L522" s="124"/>
      <c r="M522" s="320"/>
      <c r="N522" s="142"/>
      <c r="O522" s="320"/>
      <c r="P522" s="142"/>
      <c r="Q522" s="360"/>
      <c r="R522" s="360"/>
      <c r="S522" s="320"/>
      <c r="T522" s="142"/>
      <c r="U522" s="30"/>
      <c r="V522" s="30"/>
    </row>
    <row r="523">
      <c r="A523" s="320"/>
      <c r="B523" s="142"/>
      <c r="C523" s="320"/>
      <c r="D523" s="142"/>
      <c r="E523" s="320"/>
      <c r="F523" s="142"/>
      <c r="G523" s="320"/>
      <c r="H523" s="142"/>
      <c r="I523" s="329"/>
      <c r="J523" s="124"/>
      <c r="K523" s="329"/>
      <c r="L523" s="124"/>
      <c r="M523" s="320"/>
      <c r="N523" s="142"/>
      <c r="O523" s="320"/>
      <c r="P523" s="142"/>
      <c r="Q523" s="360"/>
      <c r="R523" s="360"/>
      <c r="S523" s="320"/>
      <c r="T523" s="142"/>
      <c r="U523" s="30"/>
      <c r="V523" s="30"/>
    </row>
    <row r="524">
      <c r="A524" s="320"/>
      <c r="B524" s="142"/>
      <c r="C524" s="320"/>
      <c r="D524" s="142"/>
      <c r="E524" s="320"/>
      <c r="F524" s="142"/>
      <c r="G524" s="320"/>
      <c r="H524" s="142"/>
      <c r="I524" s="329"/>
      <c r="J524" s="124"/>
      <c r="K524" s="329"/>
      <c r="L524" s="124"/>
      <c r="M524" s="320"/>
      <c r="N524" s="142"/>
      <c r="O524" s="320"/>
      <c r="P524" s="142"/>
      <c r="Q524" s="360"/>
      <c r="R524" s="360"/>
      <c r="S524" s="320"/>
      <c r="T524" s="142"/>
      <c r="U524" s="30"/>
      <c r="V524" s="30"/>
    </row>
    <row r="525">
      <c r="A525" s="320"/>
      <c r="B525" s="142"/>
      <c r="C525" s="320"/>
      <c r="D525" s="142"/>
      <c r="E525" s="320"/>
      <c r="F525" s="142"/>
      <c r="G525" s="320"/>
      <c r="H525" s="142"/>
      <c r="I525" s="329"/>
      <c r="J525" s="124"/>
      <c r="K525" s="329"/>
      <c r="L525" s="124"/>
      <c r="M525" s="320"/>
      <c r="N525" s="142"/>
      <c r="O525" s="320"/>
      <c r="P525" s="142"/>
      <c r="Q525" s="360"/>
      <c r="R525" s="360"/>
      <c r="S525" s="320"/>
      <c r="T525" s="142"/>
      <c r="U525" s="30"/>
      <c r="V525" s="30"/>
    </row>
    <row r="526">
      <c r="A526" s="320"/>
      <c r="B526" s="142"/>
      <c r="C526" s="320"/>
      <c r="D526" s="142"/>
      <c r="E526" s="320"/>
      <c r="F526" s="142"/>
      <c r="G526" s="320"/>
      <c r="H526" s="142"/>
      <c r="I526" s="329"/>
      <c r="J526" s="124"/>
      <c r="K526" s="329"/>
      <c r="L526" s="124"/>
      <c r="M526" s="320"/>
      <c r="N526" s="142"/>
      <c r="O526" s="320"/>
      <c r="P526" s="142"/>
      <c r="Q526" s="360"/>
      <c r="R526" s="360"/>
      <c r="S526" s="320"/>
      <c r="T526" s="142"/>
      <c r="U526" s="30"/>
      <c r="V526" s="30"/>
    </row>
    <row r="527">
      <c r="A527" s="320"/>
      <c r="B527" s="142"/>
      <c r="C527" s="320"/>
      <c r="D527" s="142"/>
      <c r="E527" s="320"/>
      <c r="F527" s="142"/>
      <c r="G527" s="320"/>
      <c r="H527" s="142"/>
      <c r="I527" s="329"/>
      <c r="J527" s="124"/>
      <c r="K527" s="329"/>
      <c r="L527" s="124"/>
      <c r="M527" s="320"/>
      <c r="N527" s="142"/>
      <c r="O527" s="320"/>
      <c r="P527" s="142"/>
      <c r="Q527" s="360"/>
      <c r="R527" s="360"/>
      <c r="S527" s="320"/>
      <c r="T527" s="142"/>
      <c r="U527" s="30"/>
      <c r="V527" s="30"/>
    </row>
    <row r="528">
      <c r="A528" s="320"/>
      <c r="B528" s="142"/>
      <c r="C528" s="320"/>
      <c r="D528" s="142"/>
      <c r="E528" s="320"/>
      <c r="F528" s="142"/>
      <c r="G528" s="320"/>
      <c r="H528" s="142"/>
      <c r="I528" s="329"/>
      <c r="J528" s="124"/>
      <c r="K528" s="329"/>
      <c r="L528" s="124"/>
      <c r="M528" s="320"/>
      <c r="N528" s="142"/>
      <c r="O528" s="320"/>
      <c r="P528" s="142"/>
      <c r="Q528" s="360"/>
      <c r="R528" s="360"/>
      <c r="S528" s="320"/>
      <c r="T528" s="142"/>
      <c r="U528" s="30"/>
      <c r="V528" s="30"/>
    </row>
    <row r="529">
      <c r="A529" s="320"/>
      <c r="B529" s="142"/>
      <c r="C529" s="320"/>
      <c r="D529" s="142"/>
      <c r="E529" s="320"/>
      <c r="F529" s="142"/>
      <c r="G529" s="320"/>
      <c r="H529" s="142"/>
      <c r="I529" s="329"/>
      <c r="J529" s="124"/>
      <c r="K529" s="329"/>
      <c r="L529" s="124"/>
      <c r="M529" s="320"/>
      <c r="N529" s="142"/>
      <c r="O529" s="320"/>
      <c r="P529" s="142"/>
      <c r="Q529" s="360"/>
      <c r="R529" s="360"/>
      <c r="S529" s="320"/>
      <c r="T529" s="142"/>
      <c r="U529" s="30"/>
      <c r="V529" s="30"/>
    </row>
    <row r="530">
      <c r="A530" s="320"/>
      <c r="B530" s="142"/>
      <c r="C530" s="320"/>
      <c r="D530" s="142"/>
      <c r="E530" s="320"/>
      <c r="F530" s="142"/>
      <c r="G530" s="320"/>
      <c r="H530" s="142"/>
      <c r="I530" s="329"/>
      <c r="J530" s="124"/>
      <c r="K530" s="329"/>
      <c r="L530" s="124"/>
      <c r="M530" s="320"/>
      <c r="N530" s="142"/>
      <c r="O530" s="320"/>
      <c r="P530" s="142"/>
      <c r="Q530" s="360"/>
      <c r="R530" s="360"/>
      <c r="S530" s="320"/>
      <c r="T530" s="142"/>
      <c r="U530" s="30"/>
      <c r="V530" s="30"/>
    </row>
    <row r="531">
      <c r="A531" s="320"/>
      <c r="B531" s="142"/>
      <c r="C531" s="320"/>
      <c r="D531" s="142"/>
      <c r="E531" s="320"/>
      <c r="F531" s="142"/>
      <c r="G531" s="320"/>
      <c r="H531" s="142"/>
      <c r="I531" s="329"/>
      <c r="J531" s="124"/>
      <c r="K531" s="329"/>
      <c r="L531" s="124"/>
      <c r="M531" s="320"/>
      <c r="N531" s="142"/>
      <c r="O531" s="320"/>
      <c r="P531" s="142"/>
      <c r="Q531" s="360"/>
      <c r="R531" s="360"/>
      <c r="S531" s="320"/>
      <c r="T531" s="142"/>
      <c r="U531" s="30"/>
      <c r="V531" s="30"/>
    </row>
    <row r="532">
      <c r="A532" s="320"/>
      <c r="B532" s="142"/>
      <c r="C532" s="320"/>
      <c r="D532" s="142"/>
      <c r="E532" s="320"/>
      <c r="F532" s="142"/>
      <c r="G532" s="320"/>
      <c r="H532" s="142"/>
      <c r="I532" s="329"/>
      <c r="J532" s="124"/>
      <c r="K532" s="329"/>
      <c r="L532" s="124"/>
      <c r="M532" s="320"/>
      <c r="N532" s="142"/>
      <c r="O532" s="320"/>
      <c r="P532" s="142"/>
      <c r="Q532" s="360"/>
      <c r="R532" s="360"/>
      <c r="S532" s="320"/>
      <c r="T532" s="142"/>
      <c r="U532" s="30"/>
      <c r="V532" s="30"/>
    </row>
    <row r="533">
      <c r="A533" s="320"/>
      <c r="B533" s="142"/>
      <c r="C533" s="320"/>
      <c r="D533" s="142"/>
      <c r="E533" s="320"/>
      <c r="F533" s="142"/>
      <c r="G533" s="320"/>
      <c r="H533" s="142"/>
      <c r="I533" s="329"/>
      <c r="J533" s="124"/>
      <c r="K533" s="329"/>
      <c r="L533" s="124"/>
      <c r="M533" s="320"/>
      <c r="N533" s="142"/>
      <c r="O533" s="320"/>
      <c r="P533" s="142"/>
      <c r="Q533" s="360"/>
      <c r="R533" s="360"/>
      <c r="S533" s="320"/>
      <c r="T533" s="142"/>
      <c r="U533" s="30"/>
      <c r="V533" s="30"/>
    </row>
    <row r="534">
      <c r="A534" s="320"/>
      <c r="B534" s="142"/>
      <c r="C534" s="320"/>
      <c r="D534" s="142"/>
      <c r="E534" s="320"/>
      <c r="F534" s="142"/>
      <c r="G534" s="320"/>
      <c r="H534" s="142"/>
      <c r="I534" s="329"/>
      <c r="J534" s="124"/>
      <c r="K534" s="329"/>
      <c r="L534" s="124"/>
      <c r="M534" s="320"/>
      <c r="N534" s="142"/>
      <c r="O534" s="320"/>
      <c r="P534" s="142"/>
      <c r="Q534" s="360"/>
      <c r="R534" s="360"/>
      <c r="S534" s="320"/>
      <c r="T534" s="142"/>
      <c r="U534" s="30"/>
      <c r="V534" s="30"/>
    </row>
    <row r="535">
      <c r="A535" s="320"/>
      <c r="B535" s="142"/>
      <c r="C535" s="320"/>
      <c r="D535" s="142"/>
      <c r="E535" s="320"/>
      <c r="F535" s="142"/>
      <c r="G535" s="320"/>
      <c r="H535" s="142"/>
      <c r="I535" s="329"/>
      <c r="J535" s="124"/>
      <c r="K535" s="329"/>
      <c r="L535" s="124"/>
      <c r="M535" s="320"/>
      <c r="N535" s="142"/>
      <c r="O535" s="320"/>
      <c r="P535" s="142"/>
      <c r="Q535" s="360"/>
      <c r="R535" s="360"/>
      <c r="S535" s="320"/>
      <c r="T535" s="142"/>
      <c r="U535" s="30"/>
      <c r="V535" s="30"/>
    </row>
    <row r="536">
      <c r="A536" s="320"/>
      <c r="B536" s="142"/>
      <c r="C536" s="320"/>
      <c r="D536" s="142"/>
      <c r="E536" s="320"/>
      <c r="F536" s="142"/>
      <c r="G536" s="320"/>
      <c r="H536" s="142"/>
      <c r="I536" s="329"/>
      <c r="J536" s="124"/>
      <c r="K536" s="329"/>
      <c r="L536" s="124"/>
      <c r="M536" s="320"/>
      <c r="N536" s="142"/>
      <c r="O536" s="320"/>
      <c r="P536" s="142"/>
      <c r="Q536" s="360"/>
      <c r="R536" s="360"/>
      <c r="S536" s="320"/>
      <c r="T536" s="142"/>
      <c r="U536" s="30"/>
      <c r="V536" s="30"/>
    </row>
    <row r="537">
      <c r="A537" s="320"/>
      <c r="B537" s="142"/>
      <c r="C537" s="320"/>
      <c r="D537" s="142"/>
      <c r="E537" s="320"/>
      <c r="F537" s="142"/>
      <c r="G537" s="320"/>
      <c r="H537" s="142"/>
      <c r="I537" s="329"/>
      <c r="J537" s="124"/>
      <c r="K537" s="329"/>
      <c r="L537" s="124"/>
      <c r="M537" s="320"/>
      <c r="N537" s="142"/>
      <c r="O537" s="320"/>
      <c r="P537" s="142"/>
      <c r="Q537" s="360"/>
      <c r="R537" s="360"/>
      <c r="S537" s="320"/>
      <c r="T537" s="142"/>
      <c r="U537" s="30"/>
      <c r="V537" s="30"/>
    </row>
    <row r="538">
      <c r="A538" s="320"/>
      <c r="B538" s="142"/>
      <c r="C538" s="320"/>
      <c r="D538" s="142"/>
      <c r="E538" s="320"/>
      <c r="F538" s="142"/>
      <c r="G538" s="320"/>
      <c r="H538" s="142"/>
      <c r="I538" s="329"/>
      <c r="J538" s="124"/>
      <c r="K538" s="329"/>
      <c r="L538" s="124"/>
      <c r="M538" s="320"/>
      <c r="N538" s="142"/>
      <c r="O538" s="320"/>
      <c r="P538" s="142"/>
      <c r="Q538" s="360"/>
      <c r="R538" s="360"/>
      <c r="S538" s="320"/>
      <c r="T538" s="142"/>
      <c r="U538" s="30"/>
      <c r="V538" s="30"/>
    </row>
    <row r="539">
      <c r="A539" s="320"/>
      <c r="B539" s="142"/>
      <c r="C539" s="320"/>
      <c r="D539" s="142"/>
      <c r="E539" s="320"/>
      <c r="F539" s="142"/>
      <c r="G539" s="320"/>
      <c r="H539" s="142"/>
      <c r="I539" s="329"/>
      <c r="J539" s="124"/>
      <c r="K539" s="329"/>
      <c r="L539" s="124"/>
      <c r="M539" s="320"/>
      <c r="N539" s="142"/>
      <c r="O539" s="320"/>
      <c r="P539" s="142"/>
      <c r="Q539" s="360"/>
      <c r="R539" s="360"/>
      <c r="S539" s="320"/>
      <c r="T539" s="142"/>
      <c r="U539" s="30"/>
      <c r="V539" s="30"/>
    </row>
    <row r="540">
      <c r="A540" s="320"/>
      <c r="B540" s="142"/>
      <c r="C540" s="320"/>
      <c r="D540" s="142"/>
      <c r="E540" s="320"/>
      <c r="F540" s="142"/>
      <c r="G540" s="320"/>
      <c r="H540" s="142"/>
      <c r="I540" s="329"/>
      <c r="J540" s="124"/>
      <c r="K540" s="329"/>
      <c r="L540" s="124"/>
      <c r="M540" s="320"/>
      <c r="N540" s="142"/>
      <c r="O540" s="320"/>
      <c r="P540" s="142"/>
      <c r="Q540" s="360"/>
      <c r="R540" s="360"/>
      <c r="S540" s="320"/>
      <c r="T540" s="142"/>
      <c r="U540" s="30"/>
      <c r="V540" s="30"/>
    </row>
    <row r="541">
      <c r="A541" s="320"/>
      <c r="B541" s="142"/>
      <c r="C541" s="320"/>
      <c r="D541" s="142"/>
      <c r="E541" s="320"/>
      <c r="F541" s="142"/>
      <c r="G541" s="320"/>
      <c r="H541" s="142"/>
      <c r="I541" s="329"/>
      <c r="J541" s="124"/>
      <c r="K541" s="329"/>
      <c r="L541" s="124"/>
      <c r="M541" s="320"/>
      <c r="N541" s="142"/>
      <c r="O541" s="320"/>
      <c r="P541" s="142"/>
      <c r="Q541" s="360"/>
      <c r="R541" s="360"/>
      <c r="S541" s="320"/>
      <c r="T541" s="142"/>
      <c r="U541" s="30"/>
      <c r="V541" s="30"/>
    </row>
    <row r="542">
      <c r="A542" s="320"/>
      <c r="B542" s="142"/>
      <c r="C542" s="320"/>
      <c r="D542" s="142"/>
      <c r="E542" s="320"/>
      <c r="F542" s="142"/>
      <c r="G542" s="320"/>
      <c r="H542" s="142"/>
      <c r="I542" s="329"/>
      <c r="J542" s="124"/>
      <c r="K542" s="329"/>
      <c r="L542" s="124"/>
      <c r="M542" s="320"/>
      <c r="N542" s="142"/>
      <c r="O542" s="320"/>
      <c r="P542" s="142"/>
      <c r="Q542" s="360"/>
      <c r="R542" s="360"/>
      <c r="S542" s="320"/>
      <c r="T542" s="142"/>
      <c r="U542" s="30"/>
      <c r="V542" s="30"/>
    </row>
    <row r="543">
      <c r="A543" s="320"/>
      <c r="B543" s="142"/>
      <c r="C543" s="320"/>
      <c r="D543" s="142"/>
      <c r="E543" s="320"/>
      <c r="F543" s="142"/>
      <c r="G543" s="320"/>
      <c r="H543" s="142"/>
      <c r="I543" s="329"/>
      <c r="J543" s="124"/>
      <c r="K543" s="329"/>
      <c r="L543" s="124"/>
      <c r="M543" s="320"/>
      <c r="N543" s="142"/>
      <c r="O543" s="320"/>
      <c r="P543" s="142"/>
      <c r="Q543" s="360"/>
      <c r="R543" s="360"/>
      <c r="S543" s="320"/>
      <c r="T543" s="142"/>
      <c r="U543" s="30"/>
      <c r="V543" s="30"/>
    </row>
    <row r="544">
      <c r="A544" s="320"/>
      <c r="B544" s="142"/>
      <c r="C544" s="320"/>
      <c r="D544" s="142"/>
      <c r="E544" s="320"/>
      <c r="F544" s="142"/>
      <c r="G544" s="320"/>
      <c r="H544" s="142"/>
      <c r="I544" s="329"/>
      <c r="J544" s="124"/>
      <c r="K544" s="329"/>
      <c r="L544" s="124"/>
      <c r="M544" s="320"/>
      <c r="N544" s="142"/>
      <c r="O544" s="320"/>
      <c r="P544" s="142"/>
      <c r="Q544" s="360"/>
      <c r="R544" s="360"/>
      <c r="S544" s="320"/>
      <c r="T544" s="142"/>
      <c r="U544" s="30"/>
      <c r="V544" s="30"/>
    </row>
    <row r="545">
      <c r="A545" s="320"/>
      <c r="B545" s="142"/>
      <c r="C545" s="320"/>
      <c r="D545" s="142"/>
      <c r="E545" s="320"/>
      <c r="F545" s="142"/>
      <c r="G545" s="320"/>
      <c r="H545" s="142"/>
      <c r="I545" s="329"/>
      <c r="J545" s="124"/>
      <c r="K545" s="329"/>
      <c r="L545" s="124"/>
      <c r="M545" s="320"/>
      <c r="N545" s="142"/>
      <c r="O545" s="320"/>
      <c r="P545" s="142"/>
      <c r="Q545" s="360"/>
      <c r="R545" s="360"/>
      <c r="S545" s="320"/>
      <c r="T545" s="142"/>
      <c r="U545" s="30"/>
      <c r="V545" s="30"/>
    </row>
    <row r="546">
      <c r="A546" s="320"/>
      <c r="B546" s="142"/>
      <c r="C546" s="320"/>
      <c r="D546" s="142"/>
      <c r="E546" s="320"/>
      <c r="F546" s="142"/>
      <c r="G546" s="320"/>
      <c r="H546" s="142"/>
      <c r="I546" s="329"/>
      <c r="J546" s="124"/>
      <c r="K546" s="329"/>
      <c r="L546" s="124"/>
      <c r="M546" s="320"/>
      <c r="N546" s="142"/>
      <c r="O546" s="320"/>
      <c r="P546" s="142"/>
      <c r="Q546" s="360"/>
      <c r="R546" s="360"/>
      <c r="S546" s="320"/>
      <c r="T546" s="142"/>
      <c r="U546" s="30"/>
      <c r="V546" s="30"/>
    </row>
    <row r="547">
      <c r="A547" s="320"/>
      <c r="B547" s="142"/>
      <c r="C547" s="320"/>
      <c r="D547" s="142"/>
      <c r="E547" s="320"/>
      <c r="F547" s="142"/>
      <c r="G547" s="320"/>
      <c r="H547" s="142"/>
      <c r="I547" s="329"/>
      <c r="J547" s="124"/>
      <c r="K547" s="329"/>
      <c r="L547" s="124"/>
      <c r="M547" s="320"/>
      <c r="N547" s="142"/>
      <c r="O547" s="320"/>
      <c r="P547" s="142"/>
      <c r="Q547" s="360"/>
      <c r="R547" s="360"/>
      <c r="S547" s="320"/>
      <c r="T547" s="142"/>
      <c r="U547" s="30"/>
      <c r="V547" s="30"/>
    </row>
    <row r="548">
      <c r="A548" s="320"/>
      <c r="B548" s="142"/>
      <c r="C548" s="320"/>
      <c r="D548" s="142"/>
      <c r="E548" s="320"/>
      <c r="F548" s="142"/>
      <c r="G548" s="320"/>
      <c r="H548" s="142"/>
      <c r="I548" s="329"/>
      <c r="J548" s="124"/>
      <c r="K548" s="329"/>
      <c r="L548" s="124"/>
      <c r="M548" s="320"/>
      <c r="N548" s="142"/>
      <c r="O548" s="320"/>
      <c r="P548" s="142"/>
      <c r="Q548" s="360"/>
      <c r="R548" s="360"/>
      <c r="S548" s="320"/>
      <c r="T548" s="142"/>
      <c r="U548" s="30"/>
      <c r="V548" s="30"/>
    </row>
    <row r="549">
      <c r="A549" s="320"/>
      <c r="B549" s="142"/>
      <c r="C549" s="320"/>
      <c r="D549" s="142"/>
      <c r="E549" s="320"/>
      <c r="F549" s="142"/>
      <c r="G549" s="320"/>
      <c r="H549" s="142"/>
      <c r="I549" s="329"/>
      <c r="J549" s="124"/>
      <c r="K549" s="329"/>
      <c r="L549" s="124"/>
      <c r="M549" s="320"/>
      <c r="N549" s="142"/>
      <c r="O549" s="320"/>
      <c r="P549" s="142"/>
      <c r="Q549" s="360"/>
      <c r="R549" s="360"/>
      <c r="S549" s="320"/>
      <c r="T549" s="142"/>
      <c r="U549" s="30"/>
      <c r="V549" s="30"/>
    </row>
    <row r="550">
      <c r="A550" s="320"/>
      <c r="B550" s="142"/>
      <c r="C550" s="320"/>
      <c r="D550" s="142"/>
      <c r="E550" s="320"/>
      <c r="F550" s="142"/>
      <c r="G550" s="320"/>
      <c r="H550" s="142"/>
      <c r="I550" s="329"/>
      <c r="J550" s="124"/>
      <c r="K550" s="329"/>
      <c r="L550" s="124"/>
      <c r="M550" s="320"/>
      <c r="N550" s="142"/>
      <c r="O550" s="320"/>
      <c r="P550" s="142"/>
      <c r="Q550" s="360"/>
      <c r="R550" s="360"/>
      <c r="S550" s="320"/>
      <c r="T550" s="142"/>
      <c r="U550" s="30"/>
      <c r="V550" s="30"/>
    </row>
    <row r="551">
      <c r="A551" s="320"/>
      <c r="B551" s="142"/>
      <c r="C551" s="320"/>
      <c r="D551" s="142"/>
      <c r="E551" s="320"/>
      <c r="F551" s="142"/>
      <c r="G551" s="320"/>
      <c r="H551" s="142"/>
      <c r="I551" s="329"/>
      <c r="J551" s="124"/>
      <c r="K551" s="329"/>
      <c r="L551" s="124"/>
      <c r="M551" s="320"/>
      <c r="N551" s="142"/>
      <c r="O551" s="320"/>
      <c r="P551" s="142"/>
      <c r="Q551" s="360"/>
      <c r="R551" s="360"/>
      <c r="S551" s="320"/>
      <c r="T551" s="142"/>
      <c r="U551" s="30"/>
      <c r="V551" s="30"/>
    </row>
    <row r="552">
      <c r="A552" s="320"/>
      <c r="B552" s="142"/>
      <c r="C552" s="320"/>
      <c r="D552" s="142"/>
      <c r="E552" s="320"/>
      <c r="F552" s="142"/>
      <c r="G552" s="320"/>
      <c r="H552" s="142"/>
      <c r="I552" s="329"/>
      <c r="J552" s="124"/>
      <c r="K552" s="329"/>
      <c r="L552" s="124"/>
      <c r="M552" s="320"/>
      <c r="N552" s="142"/>
      <c r="O552" s="320"/>
      <c r="P552" s="142"/>
      <c r="Q552" s="360"/>
      <c r="R552" s="360"/>
      <c r="S552" s="320"/>
      <c r="T552" s="142"/>
      <c r="U552" s="30"/>
      <c r="V552" s="30"/>
    </row>
    <row r="553">
      <c r="A553" s="320"/>
      <c r="B553" s="142"/>
      <c r="C553" s="320"/>
      <c r="D553" s="142"/>
      <c r="E553" s="320"/>
      <c r="F553" s="142"/>
      <c r="G553" s="320"/>
      <c r="H553" s="142"/>
      <c r="I553" s="329"/>
      <c r="J553" s="124"/>
      <c r="K553" s="329"/>
      <c r="L553" s="124"/>
      <c r="M553" s="320"/>
      <c r="N553" s="142"/>
      <c r="O553" s="320"/>
      <c r="P553" s="142"/>
      <c r="Q553" s="360"/>
      <c r="R553" s="360"/>
      <c r="S553" s="320"/>
      <c r="T553" s="142"/>
      <c r="U553" s="30"/>
      <c r="V553" s="30"/>
    </row>
    <row r="554">
      <c r="A554" s="320"/>
      <c r="B554" s="142"/>
      <c r="C554" s="320"/>
      <c r="D554" s="142"/>
      <c r="E554" s="320"/>
      <c r="F554" s="142"/>
      <c r="G554" s="320"/>
      <c r="H554" s="142"/>
      <c r="I554" s="329"/>
      <c r="J554" s="124"/>
      <c r="K554" s="329"/>
      <c r="L554" s="124"/>
      <c r="M554" s="320"/>
      <c r="N554" s="142"/>
      <c r="O554" s="320"/>
      <c r="P554" s="142"/>
      <c r="Q554" s="360"/>
      <c r="R554" s="360"/>
      <c r="S554" s="320"/>
      <c r="T554" s="142"/>
      <c r="U554" s="30"/>
      <c r="V554" s="30"/>
    </row>
    <row r="555">
      <c r="A555" s="320"/>
      <c r="B555" s="142"/>
      <c r="C555" s="320"/>
      <c r="D555" s="142"/>
      <c r="E555" s="320"/>
      <c r="F555" s="142"/>
      <c r="G555" s="320"/>
      <c r="H555" s="142"/>
      <c r="I555" s="329"/>
      <c r="J555" s="124"/>
      <c r="K555" s="329"/>
      <c r="L555" s="124"/>
      <c r="M555" s="320"/>
      <c r="N555" s="142"/>
      <c r="O555" s="320"/>
      <c r="P555" s="142"/>
      <c r="Q555" s="360"/>
      <c r="R555" s="360"/>
      <c r="S555" s="320"/>
      <c r="T555" s="142"/>
      <c r="U555" s="30"/>
      <c r="V555" s="30"/>
    </row>
    <row r="556">
      <c r="A556" s="320"/>
      <c r="B556" s="142"/>
      <c r="C556" s="320"/>
      <c r="D556" s="142"/>
      <c r="E556" s="320"/>
      <c r="F556" s="142"/>
      <c r="G556" s="320"/>
      <c r="H556" s="142"/>
      <c r="I556" s="329"/>
      <c r="J556" s="124"/>
      <c r="K556" s="329"/>
      <c r="L556" s="124"/>
      <c r="M556" s="320"/>
      <c r="N556" s="142"/>
      <c r="O556" s="320"/>
      <c r="P556" s="142"/>
      <c r="Q556" s="360"/>
      <c r="R556" s="360"/>
      <c r="S556" s="320"/>
      <c r="T556" s="142"/>
      <c r="U556" s="30"/>
      <c r="V556" s="30"/>
    </row>
    <row r="557">
      <c r="A557" s="320"/>
      <c r="B557" s="142"/>
      <c r="C557" s="320"/>
      <c r="D557" s="142"/>
      <c r="E557" s="320"/>
      <c r="F557" s="142"/>
      <c r="G557" s="320"/>
      <c r="H557" s="142"/>
      <c r="I557" s="329"/>
      <c r="J557" s="124"/>
      <c r="K557" s="329"/>
      <c r="L557" s="124"/>
      <c r="M557" s="320"/>
      <c r="N557" s="142"/>
      <c r="O557" s="320"/>
      <c r="P557" s="142"/>
      <c r="Q557" s="360"/>
      <c r="R557" s="360"/>
      <c r="S557" s="320"/>
      <c r="T557" s="142"/>
      <c r="U557" s="30"/>
      <c r="V557" s="30"/>
    </row>
    <row r="558">
      <c r="A558" s="320"/>
      <c r="B558" s="142"/>
      <c r="C558" s="320"/>
      <c r="D558" s="142"/>
      <c r="E558" s="320"/>
      <c r="F558" s="142"/>
      <c r="G558" s="320"/>
      <c r="H558" s="142"/>
      <c r="I558" s="329"/>
      <c r="J558" s="124"/>
      <c r="K558" s="329"/>
      <c r="L558" s="124"/>
      <c r="M558" s="320"/>
      <c r="N558" s="142"/>
      <c r="O558" s="320"/>
      <c r="P558" s="142"/>
      <c r="Q558" s="360"/>
      <c r="R558" s="360"/>
      <c r="S558" s="320"/>
      <c r="T558" s="142"/>
      <c r="U558" s="30"/>
      <c r="V558" s="30"/>
    </row>
    <row r="559">
      <c r="A559" s="320"/>
      <c r="B559" s="142"/>
      <c r="C559" s="320"/>
      <c r="D559" s="142"/>
      <c r="E559" s="320"/>
      <c r="F559" s="142"/>
      <c r="G559" s="320"/>
      <c r="H559" s="142"/>
      <c r="I559" s="329"/>
      <c r="J559" s="124"/>
      <c r="K559" s="329"/>
      <c r="L559" s="124"/>
      <c r="M559" s="320"/>
      <c r="N559" s="142"/>
      <c r="O559" s="320"/>
      <c r="P559" s="142"/>
      <c r="Q559" s="360"/>
      <c r="R559" s="360"/>
      <c r="S559" s="320"/>
      <c r="T559" s="142"/>
      <c r="U559" s="30"/>
      <c r="V559" s="30"/>
    </row>
    <row r="560">
      <c r="A560" s="320"/>
      <c r="B560" s="142"/>
      <c r="C560" s="320"/>
      <c r="D560" s="142"/>
      <c r="E560" s="320"/>
      <c r="F560" s="142"/>
      <c r="G560" s="320"/>
      <c r="H560" s="142"/>
      <c r="I560" s="329"/>
      <c r="J560" s="124"/>
      <c r="K560" s="329"/>
      <c r="L560" s="124"/>
      <c r="M560" s="320"/>
      <c r="N560" s="142"/>
      <c r="O560" s="320"/>
      <c r="P560" s="142"/>
      <c r="Q560" s="360"/>
      <c r="R560" s="360"/>
      <c r="S560" s="320"/>
      <c r="T560" s="142"/>
      <c r="U560" s="30"/>
      <c r="V560" s="30"/>
    </row>
    <row r="561">
      <c r="A561" s="320"/>
      <c r="B561" s="142"/>
      <c r="C561" s="320"/>
      <c r="D561" s="142"/>
      <c r="E561" s="320"/>
      <c r="F561" s="142"/>
      <c r="G561" s="320"/>
      <c r="H561" s="142"/>
      <c r="I561" s="329"/>
      <c r="J561" s="124"/>
      <c r="K561" s="329"/>
      <c r="L561" s="124"/>
      <c r="M561" s="320"/>
      <c r="N561" s="142"/>
      <c r="O561" s="320"/>
      <c r="P561" s="142"/>
      <c r="Q561" s="360"/>
      <c r="R561" s="360"/>
      <c r="S561" s="320"/>
      <c r="T561" s="142"/>
      <c r="U561" s="30"/>
      <c r="V561" s="30"/>
    </row>
    <row r="562">
      <c r="A562" s="320"/>
      <c r="B562" s="142"/>
      <c r="C562" s="320"/>
      <c r="D562" s="142"/>
      <c r="E562" s="320"/>
      <c r="F562" s="142"/>
      <c r="G562" s="320"/>
      <c r="H562" s="142"/>
      <c r="I562" s="329"/>
      <c r="J562" s="124"/>
      <c r="K562" s="329"/>
      <c r="L562" s="124"/>
      <c r="M562" s="320"/>
      <c r="N562" s="142"/>
      <c r="O562" s="320"/>
      <c r="P562" s="142"/>
      <c r="Q562" s="360"/>
      <c r="R562" s="360"/>
      <c r="S562" s="320"/>
      <c r="T562" s="142"/>
      <c r="U562" s="30"/>
      <c r="V562" s="30"/>
    </row>
    <row r="563">
      <c r="A563" s="320"/>
      <c r="B563" s="142"/>
      <c r="C563" s="320"/>
      <c r="D563" s="142"/>
      <c r="E563" s="320"/>
      <c r="F563" s="142"/>
      <c r="G563" s="320"/>
      <c r="H563" s="142"/>
      <c r="I563" s="329"/>
      <c r="J563" s="124"/>
      <c r="K563" s="329"/>
      <c r="L563" s="124"/>
      <c r="M563" s="320"/>
      <c r="N563" s="142"/>
      <c r="O563" s="320"/>
      <c r="P563" s="142"/>
      <c r="Q563" s="360"/>
      <c r="R563" s="360"/>
      <c r="S563" s="320"/>
      <c r="T563" s="142"/>
      <c r="U563" s="30"/>
      <c r="V563" s="30"/>
    </row>
    <row r="564">
      <c r="A564" s="320"/>
      <c r="B564" s="142"/>
      <c r="C564" s="320"/>
      <c r="D564" s="142"/>
      <c r="E564" s="320"/>
      <c r="F564" s="142"/>
      <c r="G564" s="320"/>
      <c r="H564" s="142"/>
      <c r="I564" s="329"/>
      <c r="J564" s="124"/>
      <c r="K564" s="329"/>
      <c r="L564" s="124"/>
      <c r="M564" s="320"/>
      <c r="N564" s="142"/>
      <c r="O564" s="320"/>
      <c r="P564" s="142"/>
      <c r="Q564" s="360"/>
      <c r="R564" s="360"/>
      <c r="S564" s="320"/>
      <c r="T564" s="142"/>
      <c r="U564" s="30"/>
      <c r="V564" s="30"/>
    </row>
    <row r="565">
      <c r="A565" s="320"/>
      <c r="B565" s="142"/>
      <c r="C565" s="320"/>
      <c r="D565" s="142"/>
      <c r="E565" s="320"/>
      <c r="F565" s="142"/>
      <c r="G565" s="320"/>
      <c r="H565" s="142"/>
      <c r="I565" s="329"/>
      <c r="J565" s="124"/>
      <c r="K565" s="329"/>
      <c r="L565" s="124"/>
      <c r="M565" s="320"/>
      <c r="N565" s="142"/>
      <c r="O565" s="320"/>
      <c r="P565" s="142"/>
      <c r="Q565" s="360"/>
      <c r="R565" s="360"/>
      <c r="S565" s="320"/>
      <c r="T565" s="142"/>
      <c r="U565" s="30"/>
      <c r="V565" s="30"/>
    </row>
    <row r="566">
      <c r="A566" s="320"/>
      <c r="B566" s="142"/>
      <c r="C566" s="320"/>
      <c r="D566" s="142"/>
      <c r="E566" s="320"/>
      <c r="F566" s="142"/>
      <c r="G566" s="320"/>
      <c r="H566" s="142"/>
      <c r="I566" s="329"/>
      <c r="J566" s="124"/>
      <c r="K566" s="329"/>
      <c r="L566" s="124"/>
      <c r="M566" s="320"/>
      <c r="N566" s="142"/>
      <c r="O566" s="320"/>
      <c r="P566" s="142"/>
      <c r="Q566" s="360"/>
      <c r="R566" s="360"/>
      <c r="S566" s="320"/>
      <c r="T566" s="142"/>
      <c r="U566" s="30"/>
      <c r="V566" s="30"/>
    </row>
    <row r="567">
      <c r="A567" s="320"/>
      <c r="B567" s="142"/>
      <c r="C567" s="320"/>
      <c r="D567" s="142"/>
      <c r="E567" s="320"/>
      <c r="F567" s="142"/>
      <c r="G567" s="320"/>
      <c r="H567" s="142"/>
      <c r="I567" s="329"/>
      <c r="J567" s="124"/>
      <c r="K567" s="329"/>
      <c r="L567" s="124"/>
      <c r="M567" s="320"/>
      <c r="N567" s="142"/>
      <c r="O567" s="320"/>
      <c r="P567" s="142"/>
      <c r="Q567" s="360"/>
      <c r="R567" s="360"/>
      <c r="S567" s="320"/>
      <c r="T567" s="142"/>
      <c r="U567" s="30"/>
      <c r="V567" s="30"/>
    </row>
    <row r="568">
      <c r="A568" s="320"/>
      <c r="B568" s="142"/>
      <c r="C568" s="320"/>
      <c r="D568" s="142"/>
      <c r="E568" s="320"/>
      <c r="F568" s="142"/>
      <c r="G568" s="320"/>
      <c r="H568" s="142"/>
      <c r="I568" s="329"/>
      <c r="J568" s="124"/>
      <c r="K568" s="329"/>
      <c r="L568" s="124"/>
      <c r="M568" s="320"/>
      <c r="N568" s="142"/>
      <c r="O568" s="320"/>
      <c r="P568" s="142"/>
      <c r="Q568" s="360"/>
      <c r="R568" s="360"/>
      <c r="S568" s="320"/>
      <c r="T568" s="142"/>
      <c r="U568" s="30"/>
      <c r="V568" s="30"/>
    </row>
    <row r="569">
      <c r="A569" s="320"/>
      <c r="B569" s="142"/>
      <c r="C569" s="320"/>
      <c r="D569" s="142"/>
      <c r="E569" s="320"/>
      <c r="F569" s="142"/>
      <c r="G569" s="320"/>
      <c r="H569" s="142"/>
      <c r="I569" s="329"/>
      <c r="J569" s="124"/>
      <c r="K569" s="329"/>
      <c r="L569" s="124"/>
      <c r="M569" s="320"/>
      <c r="N569" s="142"/>
      <c r="O569" s="320"/>
      <c r="P569" s="142"/>
      <c r="Q569" s="360"/>
      <c r="R569" s="360"/>
      <c r="S569" s="320"/>
      <c r="T569" s="142"/>
      <c r="U569" s="30"/>
      <c r="V569" s="30"/>
    </row>
    <row r="570">
      <c r="A570" s="320"/>
      <c r="B570" s="142"/>
      <c r="C570" s="320"/>
      <c r="D570" s="142"/>
      <c r="E570" s="320"/>
      <c r="F570" s="142"/>
      <c r="G570" s="320"/>
      <c r="H570" s="142"/>
      <c r="I570" s="329"/>
      <c r="J570" s="124"/>
      <c r="K570" s="329"/>
      <c r="L570" s="124"/>
      <c r="M570" s="320"/>
      <c r="N570" s="142"/>
      <c r="O570" s="320"/>
      <c r="P570" s="142"/>
      <c r="Q570" s="360"/>
      <c r="R570" s="360"/>
      <c r="S570" s="320"/>
      <c r="T570" s="142"/>
      <c r="U570" s="30"/>
      <c r="V570" s="30"/>
    </row>
    <row r="571">
      <c r="A571" s="320"/>
      <c r="B571" s="142"/>
      <c r="C571" s="320"/>
      <c r="D571" s="142"/>
      <c r="E571" s="320"/>
      <c r="F571" s="142"/>
      <c r="G571" s="320"/>
      <c r="H571" s="142"/>
      <c r="I571" s="329"/>
      <c r="J571" s="124"/>
      <c r="K571" s="329"/>
      <c r="L571" s="124"/>
      <c r="M571" s="320"/>
      <c r="N571" s="142"/>
      <c r="O571" s="320"/>
      <c r="P571" s="142"/>
      <c r="Q571" s="360"/>
      <c r="R571" s="360"/>
      <c r="S571" s="320"/>
      <c r="T571" s="142"/>
      <c r="U571" s="30"/>
      <c r="V571" s="30"/>
    </row>
    <row r="572">
      <c r="A572" s="320"/>
      <c r="B572" s="142"/>
      <c r="C572" s="320"/>
      <c r="D572" s="142"/>
      <c r="E572" s="320"/>
      <c r="F572" s="142"/>
      <c r="G572" s="320"/>
      <c r="H572" s="142"/>
      <c r="I572" s="329"/>
      <c r="J572" s="124"/>
      <c r="K572" s="329"/>
      <c r="L572" s="124"/>
      <c r="M572" s="320"/>
      <c r="N572" s="142"/>
      <c r="O572" s="320"/>
      <c r="P572" s="142"/>
      <c r="Q572" s="360"/>
      <c r="R572" s="360"/>
      <c r="S572" s="320"/>
      <c r="T572" s="142"/>
      <c r="U572" s="30"/>
      <c r="V572" s="30"/>
    </row>
    <row r="573">
      <c r="A573" s="320"/>
      <c r="B573" s="142"/>
      <c r="C573" s="320"/>
      <c r="D573" s="142"/>
      <c r="E573" s="320"/>
      <c r="F573" s="142"/>
      <c r="G573" s="320"/>
      <c r="H573" s="142"/>
      <c r="I573" s="329"/>
      <c r="J573" s="124"/>
      <c r="K573" s="329"/>
      <c r="L573" s="124"/>
      <c r="M573" s="320"/>
      <c r="N573" s="142"/>
      <c r="O573" s="320"/>
      <c r="P573" s="142"/>
      <c r="Q573" s="360"/>
      <c r="R573" s="360"/>
      <c r="S573" s="320"/>
      <c r="T573" s="142"/>
      <c r="U573" s="30"/>
      <c r="V573" s="30"/>
    </row>
    <row r="574">
      <c r="A574" s="320"/>
      <c r="B574" s="142"/>
      <c r="C574" s="320"/>
      <c r="D574" s="142"/>
      <c r="E574" s="320"/>
      <c r="F574" s="142"/>
      <c r="G574" s="320"/>
      <c r="H574" s="142"/>
      <c r="I574" s="329"/>
      <c r="J574" s="124"/>
      <c r="K574" s="329"/>
      <c r="L574" s="124"/>
      <c r="M574" s="320"/>
      <c r="N574" s="142"/>
      <c r="O574" s="320"/>
      <c r="P574" s="142"/>
      <c r="Q574" s="360"/>
      <c r="R574" s="360"/>
      <c r="S574" s="320"/>
      <c r="T574" s="142"/>
      <c r="U574" s="30"/>
      <c r="V574" s="30"/>
    </row>
    <row r="575">
      <c r="A575" s="320"/>
      <c r="B575" s="142"/>
      <c r="C575" s="320"/>
      <c r="D575" s="142"/>
      <c r="E575" s="320"/>
      <c r="F575" s="142"/>
      <c r="G575" s="320"/>
      <c r="H575" s="142"/>
      <c r="I575" s="329"/>
      <c r="J575" s="124"/>
      <c r="K575" s="329"/>
      <c r="L575" s="124"/>
      <c r="M575" s="320"/>
      <c r="N575" s="142"/>
      <c r="O575" s="320"/>
      <c r="P575" s="142"/>
      <c r="Q575" s="360"/>
      <c r="R575" s="360"/>
      <c r="S575" s="320"/>
      <c r="T575" s="142"/>
      <c r="U575" s="30"/>
      <c r="V575" s="30"/>
    </row>
    <row r="576">
      <c r="A576" s="320"/>
      <c r="B576" s="142"/>
      <c r="C576" s="320"/>
      <c r="D576" s="142"/>
      <c r="E576" s="320"/>
      <c r="F576" s="142"/>
      <c r="G576" s="320"/>
      <c r="H576" s="142"/>
      <c r="I576" s="329"/>
      <c r="J576" s="124"/>
      <c r="K576" s="329"/>
      <c r="L576" s="124"/>
      <c r="M576" s="320"/>
      <c r="N576" s="142"/>
      <c r="O576" s="320"/>
      <c r="P576" s="142"/>
      <c r="Q576" s="360"/>
      <c r="R576" s="360"/>
      <c r="S576" s="320"/>
      <c r="T576" s="142"/>
      <c r="U576" s="30"/>
      <c r="V576" s="30"/>
    </row>
    <row r="577">
      <c r="A577" s="320"/>
      <c r="B577" s="142"/>
      <c r="C577" s="320"/>
      <c r="D577" s="142"/>
      <c r="E577" s="320"/>
      <c r="F577" s="142"/>
      <c r="G577" s="320"/>
      <c r="H577" s="142"/>
      <c r="I577" s="329"/>
      <c r="J577" s="124"/>
      <c r="K577" s="329"/>
      <c r="L577" s="124"/>
      <c r="M577" s="320"/>
      <c r="N577" s="142"/>
      <c r="O577" s="320"/>
      <c r="P577" s="142"/>
      <c r="Q577" s="360"/>
      <c r="R577" s="360"/>
      <c r="S577" s="320"/>
      <c r="T577" s="142"/>
      <c r="U577" s="30"/>
      <c r="V577" s="30"/>
    </row>
    <row r="578">
      <c r="A578" s="320"/>
      <c r="B578" s="142"/>
      <c r="C578" s="320"/>
      <c r="D578" s="142"/>
      <c r="E578" s="320"/>
      <c r="F578" s="142"/>
      <c r="G578" s="320"/>
      <c r="H578" s="142"/>
      <c r="I578" s="329"/>
      <c r="J578" s="124"/>
      <c r="K578" s="329"/>
      <c r="L578" s="124"/>
      <c r="M578" s="320"/>
      <c r="N578" s="142"/>
      <c r="O578" s="320"/>
      <c r="P578" s="142"/>
      <c r="Q578" s="360"/>
      <c r="R578" s="360"/>
      <c r="S578" s="320"/>
      <c r="T578" s="142"/>
      <c r="U578" s="30"/>
      <c r="V578" s="30"/>
    </row>
    <row r="579">
      <c r="A579" s="320"/>
      <c r="B579" s="142"/>
      <c r="C579" s="320"/>
      <c r="D579" s="142"/>
      <c r="E579" s="320"/>
      <c r="F579" s="142"/>
      <c r="G579" s="320"/>
      <c r="H579" s="142"/>
      <c r="I579" s="329"/>
      <c r="J579" s="124"/>
      <c r="K579" s="329"/>
      <c r="L579" s="124"/>
      <c r="M579" s="320"/>
      <c r="N579" s="142"/>
      <c r="O579" s="320"/>
      <c r="P579" s="142"/>
      <c r="Q579" s="360"/>
      <c r="R579" s="360"/>
      <c r="S579" s="320"/>
      <c r="T579" s="142"/>
      <c r="U579" s="30"/>
      <c r="V579" s="30"/>
    </row>
    <row r="580">
      <c r="A580" s="320"/>
      <c r="B580" s="142"/>
      <c r="C580" s="320"/>
      <c r="D580" s="142"/>
      <c r="E580" s="320"/>
      <c r="F580" s="142"/>
      <c r="G580" s="320"/>
      <c r="H580" s="142"/>
      <c r="I580" s="329"/>
      <c r="J580" s="124"/>
      <c r="K580" s="329"/>
      <c r="L580" s="124"/>
      <c r="M580" s="320"/>
      <c r="N580" s="142"/>
      <c r="O580" s="320"/>
      <c r="P580" s="142"/>
      <c r="Q580" s="360"/>
      <c r="R580" s="360"/>
      <c r="S580" s="320"/>
      <c r="T580" s="142"/>
      <c r="U580" s="30"/>
      <c r="V580" s="30"/>
    </row>
    <row r="581">
      <c r="A581" s="320"/>
      <c r="B581" s="142"/>
      <c r="C581" s="320"/>
      <c r="D581" s="142"/>
      <c r="E581" s="320"/>
      <c r="F581" s="142"/>
      <c r="G581" s="320"/>
      <c r="H581" s="142"/>
      <c r="I581" s="329"/>
      <c r="J581" s="124"/>
      <c r="K581" s="329"/>
      <c r="L581" s="124"/>
      <c r="M581" s="320"/>
      <c r="N581" s="142"/>
      <c r="O581" s="320"/>
      <c r="P581" s="142"/>
      <c r="Q581" s="360"/>
      <c r="R581" s="360"/>
      <c r="S581" s="320"/>
      <c r="T581" s="142"/>
      <c r="U581" s="30"/>
      <c r="V581" s="30"/>
    </row>
    <row r="582">
      <c r="A582" s="320"/>
      <c r="B582" s="142"/>
      <c r="C582" s="320"/>
      <c r="D582" s="142"/>
      <c r="E582" s="320"/>
      <c r="F582" s="142"/>
      <c r="G582" s="320"/>
      <c r="H582" s="142"/>
      <c r="I582" s="329"/>
      <c r="J582" s="124"/>
      <c r="K582" s="329"/>
      <c r="L582" s="124"/>
      <c r="M582" s="320"/>
      <c r="N582" s="142"/>
      <c r="O582" s="320"/>
      <c r="P582" s="142"/>
      <c r="Q582" s="360"/>
      <c r="R582" s="360"/>
      <c r="S582" s="320"/>
      <c r="T582" s="142"/>
      <c r="U582" s="30"/>
      <c r="V582" s="30"/>
    </row>
    <row r="583">
      <c r="A583" s="320"/>
      <c r="B583" s="142"/>
      <c r="C583" s="320"/>
      <c r="D583" s="142"/>
      <c r="E583" s="320"/>
      <c r="F583" s="142"/>
      <c r="G583" s="320"/>
      <c r="H583" s="142"/>
      <c r="I583" s="329"/>
      <c r="J583" s="124"/>
      <c r="K583" s="329"/>
      <c r="L583" s="124"/>
      <c r="M583" s="320"/>
      <c r="N583" s="142"/>
      <c r="O583" s="320"/>
      <c r="P583" s="142"/>
      <c r="Q583" s="360"/>
      <c r="R583" s="360"/>
      <c r="S583" s="320"/>
      <c r="T583" s="142"/>
      <c r="U583" s="30"/>
      <c r="V583" s="30"/>
    </row>
    <row r="584">
      <c r="A584" s="320"/>
      <c r="B584" s="142"/>
      <c r="C584" s="320"/>
      <c r="D584" s="142"/>
      <c r="E584" s="320"/>
      <c r="F584" s="142"/>
      <c r="G584" s="320"/>
      <c r="H584" s="142"/>
      <c r="I584" s="329"/>
      <c r="J584" s="124"/>
      <c r="K584" s="329"/>
      <c r="L584" s="124"/>
      <c r="M584" s="320"/>
      <c r="N584" s="142"/>
      <c r="O584" s="320"/>
      <c r="P584" s="142"/>
      <c r="Q584" s="360"/>
      <c r="R584" s="360"/>
      <c r="S584" s="320"/>
      <c r="T584" s="142"/>
      <c r="U584" s="30"/>
      <c r="V584" s="30"/>
    </row>
    <row r="585">
      <c r="A585" s="320"/>
      <c r="B585" s="142"/>
      <c r="C585" s="320"/>
      <c r="D585" s="142"/>
      <c r="E585" s="320"/>
      <c r="F585" s="142"/>
      <c r="G585" s="320"/>
      <c r="H585" s="142"/>
      <c r="I585" s="329"/>
      <c r="J585" s="124"/>
      <c r="K585" s="329"/>
      <c r="L585" s="124"/>
      <c r="M585" s="320"/>
      <c r="N585" s="142"/>
      <c r="O585" s="320"/>
      <c r="P585" s="142"/>
      <c r="Q585" s="360"/>
      <c r="R585" s="360"/>
      <c r="S585" s="320"/>
      <c r="T585" s="142"/>
      <c r="U585" s="30"/>
      <c r="V585" s="30"/>
    </row>
    <row r="586">
      <c r="A586" s="320"/>
      <c r="B586" s="142"/>
      <c r="C586" s="320"/>
      <c r="D586" s="142"/>
      <c r="E586" s="320"/>
      <c r="F586" s="142"/>
      <c r="G586" s="320"/>
      <c r="H586" s="142"/>
      <c r="I586" s="329"/>
      <c r="J586" s="124"/>
      <c r="K586" s="329"/>
      <c r="L586" s="124"/>
      <c r="M586" s="320"/>
      <c r="N586" s="142"/>
      <c r="O586" s="320"/>
      <c r="P586" s="142"/>
      <c r="Q586" s="360"/>
      <c r="R586" s="360"/>
      <c r="S586" s="320"/>
      <c r="T586" s="142"/>
      <c r="U586" s="30"/>
      <c r="V586" s="30"/>
    </row>
    <row r="587">
      <c r="A587" s="320"/>
      <c r="B587" s="142"/>
      <c r="C587" s="320"/>
      <c r="D587" s="142"/>
      <c r="E587" s="320"/>
      <c r="F587" s="142"/>
      <c r="G587" s="320"/>
      <c r="H587" s="142"/>
      <c r="I587" s="329"/>
      <c r="J587" s="124"/>
      <c r="K587" s="329"/>
      <c r="L587" s="124"/>
      <c r="M587" s="320"/>
      <c r="N587" s="142"/>
      <c r="O587" s="320"/>
      <c r="P587" s="142"/>
      <c r="Q587" s="360"/>
      <c r="R587" s="360"/>
      <c r="S587" s="320"/>
      <c r="T587" s="142"/>
      <c r="U587" s="30"/>
      <c r="V587" s="30"/>
    </row>
    <row r="588">
      <c r="A588" s="320"/>
      <c r="B588" s="142"/>
      <c r="C588" s="320"/>
      <c r="D588" s="142"/>
      <c r="E588" s="320"/>
      <c r="F588" s="142"/>
      <c r="G588" s="320"/>
      <c r="H588" s="142"/>
      <c r="I588" s="329"/>
      <c r="J588" s="124"/>
      <c r="K588" s="329"/>
      <c r="L588" s="124"/>
      <c r="M588" s="320"/>
      <c r="N588" s="142"/>
      <c r="O588" s="320"/>
      <c r="P588" s="142"/>
      <c r="Q588" s="360"/>
      <c r="R588" s="360"/>
      <c r="S588" s="320"/>
      <c r="T588" s="142"/>
      <c r="U588" s="30"/>
      <c r="V588" s="30"/>
    </row>
    <row r="589">
      <c r="A589" s="320"/>
      <c r="B589" s="142"/>
      <c r="C589" s="320"/>
      <c r="D589" s="142"/>
      <c r="E589" s="320"/>
      <c r="F589" s="142"/>
      <c r="G589" s="320"/>
      <c r="H589" s="142"/>
      <c r="I589" s="329"/>
      <c r="J589" s="124"/>
      <c r="K589" s="329"/>
      <c r="L589" s="124"/>
      <c r="M589" s="320"/>
      <c r="N589" s="142"/>
      <c r="O589" s="320"/>
      <c r="P589" s="142"/>
      <c r="Q589" s="360"/>
      <c r="R589" s="360"/>
      <c r="S589" s="320"/>
      <c r="T589" s="142"/>
      <c r="U589" s="30"/>
      <c r="V589" s="30"/>
    </row>
    <row r="590">
      <c r="A590" s="320"/>
      <c r="B590" s="142"/>
      <c r="C590" s="320"/>
      <c r="D590" s="142"/>
      <c r="E590" s="320"/>
      <c r="F590" s="142"/>
      <c r="G590" s="320"/>
      <c r="H590" s="142"/>
      <c r="I590" s="329"/>
      <c r="J590" s="124"/>
      <c r="K590" s="329"/>
      <c r="L590" s="124"/>
      <c r="M590" s="320"/>
      <c r="N590" s="142"/>
      <c r="O590" s="320"/>
      <c r="P590" s="142"/>
      <c r="Q590" s="360"/>
      <c r="R590" s="360"/>
      <c r="S590" s="320"/>
      <c r="T590" s="142"/>
      <c r="U590" s="30"/>
      <c r="V590" s="30"/>
    </row>
    <row r="591">
      <c r="A591" s="320"/>
      <c r="B591" s="142"/>
      <c r="C591" s="320"/>
      <c r="D591" s="142"/>
      <c r="E591" s="320"/>
      <c r="F591" s="142"/>
      <c r="G591" s="320"/>
      <c r="H591" s="142"/>
      <c r="I591" s="329"/>
      <c r="J591" s="124"/>
      <c r="K591" s="329"/>
      <c r="L591" s="124"/>
      <c r="M591" s="320"/>
      <c r="N591" s="142"/>
      <c r="O591" s="320"/>
      <c r="P591" s="142"/>
      <c r="Q591" s="360"/>
      <c r="R591" s="360"/>
      <c r="S591" s="320"/>
      <c r="T591" s="142"/>
      <c r="U591" s="30"/>
      <c r="V591" s="30"/>
    </row>
    <row r="592">
      <c r="A592" s="320"/>
      <c r="B592" s="142"/>
      <c r="C592" s="320"/>
      <c r="D592" s="142"/>
      <c r="E592" s="320"/>
      <c r="F592" s="142"/>
      <c r="G592" s="320"/>
      <c r="H592" s="142"/>
      <c r="I592" s="329"/>
      <c r="J592" s="124"/>
      <c r="K592" s="329"/>
      <c r="L592" s="124"/>
      <c r="M592" s="320"/>
      <c r="N592" s="142"/>
      <c r="O592" s="320"/>
      <c r="P592" s="142"/>
      <c r="Q592" s="360"/>
      <c r="R592" s="360"/>
      <c r="S592" s="320"/>
      <c r="T592" s="142"/>
      <c r="U592" s="30"/>
      <c r="V592" s="30"/>
    </row>
    <row r="593">
      <c r="A593" s="320"/>
      <c r="B593" s="142"/>
      <c r="C593" s="320"/>
      <c r="D593" s="142"/>
      <c r="E593" s="320"/>
      <c r="F593" s="142"/>
      <c r="G593" s="320"/>
      <c r="H593" s="142"/>
      <c r="I593" s="329"/>
      <c r="J593" s="124"/>
      <c r="K593" s="329"/>
      <c r="L593" s="124"/>
      <c r="M593" s="320"/>
      <c r="N593" s="142"/>
      <c r="O593" s="320"/>
      <c r="P593" s="142"/>
      <c r="Q593" s="360"/>
      <c r="R593" s="360"/>
      <c r="S593" s="320"/>
      <c r="T593" s="142"/>
      <c r="U593" s="30"/>
      <c r="V593" s="30"/>
    </row>
    <row r="594">
      <c r="A594" s="320"/>
      <c r="B594" s="142"/>
      <c r="C594" s="320"/>
      <c r="D594" s="142"/>
      <c r="E594" s="320"/>
      <c r="F594" s="142"/>
      <c r="G594" s="320"/>
      <c r="H594" s="142"/>
      <c r="I594" s="329"/>
      <c r="J594" s="124"/>
      <c r="K594" s="329"/>
      <c r="L594" s="124"/>
      <c r="M594" s="320"/>
      <c r="N594" s="142"/>
      <c r="O594" s="320"/>
      <c r="P594" s="142"/>
      <c r="Q594" s="360"/>
      <c r="R594" s="360"/>
      <c r="S594" s="320"/>
      <c r="T594" s="142"/>
      <c r="U594" s="30"/>
      <c r="V594" s="30"/>
    </row>
    <row r="595">
      <c r="A595" s="320"/>
      <c r="B595" s="142"/>
      <c r="C595" s="320"/>
      <c r="D595" s="142"/>
      <c r="E595" s="320"/>
      <c r="F595" s="142"/>
      <c r="G595" s="320"/>
      <c r="H595" s="142"/>
      <c r="I595" s="329"/>
      <c r="J595" s="124"/>
      <c r="K595" s="329"/>
      <c r="L595" s="124"/>
      <c r="M595" s="320"/>
      <c r="N595" s="142"/>
      <c r="O595" s="320"/>
      <c r="P595" s="142"/>
      <c r="Q595" s="360"/>
      <c r="R595" s="360"/>
      <c r="S595" s="320"/>
      <c r="T595" s="142"/>
      <c r="U595" s="30"/>
      <c r="V595" s="30"/>
    </row>
    <row r="596">
      <c r="A596" s="320"/>
      <c r="B596" s="142"/>
      <c r="C596" s="320"/>
      <c r="D596" s="142"/>
      <c r="E596" s="320"/>
      <c r="F596" s="142"/>
      <c r="G596" s="320"/>
      <c r="H596" s="142"/>
      <c r="I596" s="329"/>
      <c r="J596" s="124"/>
      <c r="K596" s="329"/>
      <c r="L596" s="124"/>
      <c r="M596" s="320"/>
      <c r="N596" s="142"/>
      <c r="O596" s="320"/>
      <c r="P596" s="142"/>
      <c r="Q596" s="360"/>
      <c r="R596" s="360"/>
      <c r="S596" s="320"/>
      <c r="T596" s="142"/>
      <c r="U596" s="30"/>
      <c r="V596" s="30"/>
    </row>
    <row r="597">
      <c r="A597" s="320"/>
      <c r="B597" s="142"/>
      <c r="C597" s="320"/>
      <c r="D597" s="142"/>
      <c r="E597" s="320"/>
      <c r="F597" s="142"/>
      <c r="G597" s="320"/>
      <c r="H597" s="142"/>
      <c r="I597" s="329"/>
      <c r="J597" s="124"/>
      <c r="K597" s="329"/>
      <c r="L597" s="124"/>
      <c r="M597" s="320"/>
      <c r="N597" s="142"/>
      <c r="O597" s="320"/>
      <c r="P597" s="142"/>
      <c r="Q597" s="360"/>
      <c r="R597" s="360"/>
      <c r="S597" s="320"/>
      <c r="T597" s="142"/>
      <c r="U597" s="30"/>
      <c r="V597" s="30"/>
    </row>
    <row r="598">
      <c r="A598" s="320"/>
      <c r="B598" s="142"/>
      <c r="C598" s="320"/>
      <c r="D598" s="142"/>
      <c r="E598" s="320"/>
      <c r="F598" s="142"/>
      <c r="G598" s="320"/>
      <c r="H598" s="142"/>
      <c r="I598" s="329"/>
      <c r="J598" s="124"/>
      <c r="K598" s="329"/>
      <c r="L598" s="124"/>
      <c r="M598" s="320"/>
      <c r="N598" s="142"/>
      <c r="O598" s="320"/>
      <c r="P598" s="142"/>
      <c r="Q598" s="360"/>
      <c r="R598" s="360"/>
      <c r="S598" s="320"/>
      <c r="T598" s="142"/>
      <c r="U598" s="30"/>
      <c r="V598" s="30"/>
    </row>
    <row r="599">
      <c r="A599" s="320"/>
      <c r="B599" s="142"/>
      <c r="C599" s="320"/>
      <c r="D599" s="142"/>
      <c r="E599" s="320"/>
      <c r="F599" s="142"/>
      <c r="G599" s="320"/>
      <c r="H599" s="142"/>
      <c r="I599" s="329"/>
      <c r="J599" s="124"/>
      <c r="K599" s="329"/>
      <c r="L599" s="124"/>
      <c r="M599" s="320"/>
      <c r="N599" s="142"/>
      <c r="O599" s="320"/>
      <c r="P599" s="142"/>
      <c r="Q599" s="360"/>
      <c r="R599" s="360"/>
      <c r="S599" s="320"/>
      <c r="T599" s="142"/>
      <c r="U599" s="30"/>
      <c r="V599" s="30"/>
    </row>
    <row r="600">
      <c r="A600" s="320"/>
      <c r="B600" s="142"/>
      <c r="C600" s="320"/>
      <c r="D600" s="142"/>
      <c r="E600" s="320"/>
      <c r="F600" s="142"/>
      <c r="G600" s="320"/>
      <c r="H600" s="142"/>
      <c r="I600" s="329"/>
      <c r="J600" s="124"/>
      <c r="K600" s="329"/>
      <c r="L600" s="124"/>
      <c r="M600" s="320"/>
      <c r="N600" s="142"/>
      <c r="O600" s="320"/>
      <c r="P600" s="142"/>
      <c r="Q600" s="360"/>
      <c r="R600" s="360"/>
      <c r="S600" s="320"/>
      <c r="T600" s="142"/>
      <c r="U600" s="30"/>
      <c r="V600" s="30"/>
    </row>
    <row r="601">
      <c r="A601" s="320"/>
      <c r="B601" s="142"/>
      <c r="C601" s="320"/>
      <c r="D601" s="142"/>
      <c r="E601" s="320"/>
      <c r="F601" s="142"/>
      <c r="G601" s="320"/>
      <c r="H601" s="142"/>
      <c r="I601" s="329"/>
      <c r="J601" s="124"/>
      <c r="K601" s="329"/>
      <c r="L601" s="124"/>
      <c r="M601" s="320"/>
      <c r="N601" s="142"/>
      <c r="O601" s="320"/>
      <c r="P601" s="142"/>
      <c r="Q601" s="360"/>
      <c r="R601" s="360"/>
      <c r="S601" s="320"/>
      <c r="T601" s="142"/>
      <c r="U601" s="30"/>
      <c r="V601" s="30"/>
    </row>
    <row r="602">
      <c r="A602" s="320"/>
      <c r="B602" s="142"/>
      <c r="C602" s="320"/>
      <c r="D602" s="142"/>
      <c r="E602" s="320"/>
      <c r="F602" s="142"/>
      <c r="G602" s="320"/>
      <c r="H602" s="142"/>
      <c r="I602" s="329"/>
      <c r="J602" s="124"/>
      <c r="K602" s="329"/>
      <c r="L602" s="124"/>
      <c r="M602" s="320"/>
      <c r="N602" s="142"/>
      <c r="O602" s="320"/>
      <c r="P602" s="142"/>
      <c r="Q602" s="360"/>
      <c r="R602" s="360"/>
      <c r="S602" s="320"/>
      <c r="T602" s="142"/>
      <c r="U602" s="30"/>
      <c r="V602" s="30"/>
    </row>
    <row r="603">
      <c r="A603" s="320"/>
      <c r="B603" s="142"/>
      <c r="C603" s="320"/>
      <c r="D603" s="142"/>
      <c r="E603" s="320"/>
      <c r="F603" s="142"/>
      <c r="G603" s="320"/>
      <c r="H603" s="142"/>
      <c r="I603" s="329"/>
      <c r="J603" s="124"/>
      <c r="K603" s="329"/>
      <c r="L603" s="124"/>
      <c r="M603" s="320"/>
      <c r="N603" s="142"/>
      <c r="O603" s="320"/>
      <c r="P603" s="142"/>
      <c r="Q603" s="360"/>
      <c r="R603" s="360"/>
      <c r="S603" s="320"/>
      <c r="T603" s="142"/>
      <c r="U603" s="30"/>
      <c r="V603" s="30"/>
    </row>
    <row r="604">
      <c r="A604" s="320"/>
      <c r="B604" s="142"/>
      <c r="C604" s="320"/>
      <c r="D604" s="142"/>
      <c r="E604" s="320"/>
      <c r="F604" s="142"/>
      <c r="G604" s="320"/>
      <c r="H604" s="142"/>
      <c r="I604" s="329"/>
      <c r="J604" s="124"/>
      <c r="K604" s="329"/>
      <c r="L604" s="124"/>
      <c r="M604" s="320"/>
      <c r="N604" s="142"/>
      <c r="O604" s="320"/>
      <c r="P604" s="142"/>
      <c r="Q604" s="360"/>
      <c r="R604" s="360"/>
      <c r="S604" s="320"/>
      <c r="T604" s="142"/>
      <c r="U604" s="30"/>
      <c r="V604" s="30"/>
    </row>
    <row r="605">
      <c r="A605" s="320"/>
      <c r="B605" s="142"/>
      <c r="C605" s="320"/>
      <c r="D605" s="142"/>
      <c r="E605" s="320"/>
      <c r="F605" s="142"/>
      <c r="G605" s="320"/>
      <c r="H605" s="142"/>
      <c r="I605" s="329"/>
      <c r="J605" s="124"/>
      <c r="K605" s="329"/>
      <c r="L605" s="124"/>
      <c r="M605" s="320"/>
      <c r="N605" s="142"/>
      <c r="O605" s="320"/>
      <c r="P605" s="142"/>
      <c r="Q605" s="360"/>
      <c r="R605" s="360"/>
      <c r="S605" s="320"/>
      <c r="T605" s="142"/>
      <c r="U605" s="30"/>
      <c r="V605" s="30"/>
    </row>
    <row r="606">
      <c r="A606" s="320"/>
      <c r="B606" s="142"/>
      <c r="C606" s="320"/>
      <c r="D606" s="142"/>
      <c r="E606" s="320"/>
      <c r="F606" s="142"/>
      <c r="G606" s="320"/>
      <c r="H606" s="142"/>
      <c r="I606" s="329"/>
      <c r="J606" s="124"/>
      <c r="K606" s="329"/>
      <c r="L606" s="124"/>
      <c r="M606" s="320"/>
      <c r="N606" s="142"/>
      <c r="O606" s="320"/>
      <c r="P606" s="142"/>
      <c r="Q606" s="360"/>
      <c r="R606" s="360"/>
      <c r="S606" s="320"/>
      <c r="T606" s="142"/>
      <c r="U606" s="30"/>
      <c r="V606" s="30"/>
    </row>
    <row r="607">
      <c r="A607" s="320"/>
      <c r="B607" s="142"/>
      <c r="C607" s="320"/>
      <c r="D607" s="142"/>
      <c r="E607" s="320"/>
      <c r="F607" s="142"/>
      <c r="G607" s="320"/>
      <c r="H607" s="142"/>
      <c r="I607" s="329"/>
      <c r="J607" s="124"/>
      <c r="K607" s="329"/>
      <c r="L607" s="124"/>
      <c r="M607" s="320"/>
      <c r="N607" s="142"/>
      <c r="O607" s="320"/>
      <c r="P607" s="142"/>
      <c r="Q607" s="360"/>
      <c r="R607" s="360"/>
      <c r="S607" s="320"/>
      <c r="T607" s="142"/>
      <c r="U607" s="30"/>
      <c r="V607" s="30"/>
    </row>
    <row r="608">
      <c r="A608" s="320"/>
      <c r="B608" s="142"/>
      <c r="C608" s="320"/>
      <c r="D608" s="142"/>
      <c r="E608" s="320"/>
      <c r="F608" s="142"/>
      <c r="G608" s="320"/>
      <c r="H608" s="142"/>
      <c r="I608" s="329"/>
      <c r="J608" s="124"/>
      <c r="K608" s="329"/>
      <c r="L608" s="124"/>
      <c r="M608" s="320"/>
      <c r="N608" s="142"/>
      <c r="O608" s="320"/>
      <c r="P608" s="142"/>
      <c r="Q608" s="360"/>
      <c r="R608" s="360"/>
      <c r="S608" s="320"/>
      <c r="T608" s="142"/>
      <c r="U608" s="30"/>
      <c r="V608" s="30"/>
    </row>
    <row r="609">
      <c r="A609" s="320"/>
      <c r="B609" s="142"/>
      <c r="C609" s="320"/>
      <c r="D609" s="142"/>
      <c r="E609" s="320"/>
      <c r="F609" s="142"/>
      <c r="G609" s="320"/>
      <c r="H609" s="142"/>
      <c r="I609" s="329"/>
      <c r="J609" s="124"/>
      <c r="K609" s="329"/>
      <c r="L609" s="124"/>
      <c r="M609" s="320"/>
      <c r="N609" s="142"/>
      <c r="O609" s="320"/>
      <c r="P609" s="142"/>
      <c r="Q609" s="360"/>
      <c r="R609" s="360"/>
      <c r="S609" s="320"/>
      <c r="T609" s="142"/>
      <c r="U609" s="30"/>
      <c r="V609" s="30"/>
    </row>
    <row r="610">
      <c r="A610" s="320"/>
      <c r="B610" s="142"/>
      <c r="C610" s="320"/>
      <c r="D610" s="142"/>
      <c r="E610" s="320"/>
      <c r="F610" s="142"/>
      <c r="G610" s="320"/>
      <c r="H610" s="142"/>
      <c r="I610" s="329"/>
      <c r="J610" s="124"/>
      <c r="K610" s="329"/>
      <c r="L610" s="124"/>
      <c r="M610" s="320"/>
      <c r="N610" s="142"/>
      <c r="O610" s="320"/>
      <c r="P610" s="142"/>
      <c r="Q610" s="360"/>
      <c r="R610" s="360"/>
      <c r="S610" s="320"/>
      <c r="T610" s="142"/>
      <c r="U610" s="30"/>
      <c r="V610" s="30"/>
    </row>
    <row r="611">
      <c r="A611" s="320"/>
      <c r="B611" s="142"/>
      <c r="C611" s="320"/>
      <c r="D611" s="142"/>
      <c r="E611" s="320"/>
      <c r="F611" s="142"/>
      <c r="G611" s="320"/>
      <c r="H611" s="142"/>
      <c r="I611" s="329"/>
      <c r="J611" s="124"/>
      <c r="K611" s="329"/>
      <c r="L611" s="124"/>
      <c r="M611" s="320"/>
      <c r="N611" s="142"/>
      <c r="O611" s="320"/>
      <c r="P611" s="142"/>
      <c r="Q611" s="360"/>
      <c r="R611" s="360"/>
      <c r="S611" s="320"/>
      <c r="T611" s="142"/>
      <c r="U611" s="30"/>
      <c r="V611" s="30"/>
    </row>
    <row r="612">
      <c r="A612" s="320"/>
      <c r="B612" s="142"/>
      <c r="C612" s="320"/>
      <c r="D612" s="142"/>
      <c r="E612" s="320"/>
      <c r="F612" s="142"/>
      <c r="G612" s="320"/>
      <c r="H612" s="142"/>
      <c r="I612" s="329"/>
      <c r="J612" s="124"/>
      <c r="K612" s="329"/>
      <c r="L612" s="124"/>
      <c r="M612" s="320"/>
      <c r="N612" s="142"/>
      <c r="O612" s="320"/>
      <c r="P612" s="142"/>
      <c r="Q612" s="360"/>
      <c r="R612" s="360"/>
      <c r="S612" s="320"/>
      <c r="T612" s="142"/>
      <c r="U612" s="30"/>
      <c r="V612" s="30"/>
    </row>
    <row r="613">
      <c r="A613" s="320"/>
      <c r="B613" s="142"/>
      <c r="C613" s="320"/>
      <c r="D613" s="142"/>
      <c r="E613" s="320"/>
      <c r="F613" s="142"/>
      <c r="G613" s="320"/>
      <c r="H613" s="142"/>
      <c r="I613" s="329"/>
      <c r="J613" s="124"/>
      <c r="K613" s="329"/>
      <c r="L613" s="124"/>
      <c r="M613" s="320"/>
      <c r="N613" s="142"/>
      <c r="O613" s="320"/>
      <c r="P613" s="142"/>
      <c r="Q613" s="360"/>
      <c r="R613" s="360"/>
      <c r="S613" s="320"/>
      <c r="T613" s="142"/>
      <c r="U613" s="30"/>
      <c r="V613" s="30"/>
    </row>
    <row r="614">
      <c r="A614" s="320"/>
      <c r="B614" s="142"/>
      <c r="C614" s="320"/>
      <c r="D614" s="142"/>
      <c r="E614" s="320"/>
      <c r="F614" s="142"/>
      <c r="G614" s="320"/>
      <c r="H614" s="142"/>
      <c r="I614" s="329"/>
      <c r="J614" s="124"/>
      <c r="K614" s="329"/>
      <c r="L614" s="124"/>
      <c r="M614" s="320"/>
      <c r="N614" s="142"/>
      <c r="O614" s="320"/>
      <c r="P614" s="142"/>
      <c r="Q614" s="360"/>
      <c r="R614" s="360"/>
      <c r="S614" s="320"/>
      <c r="T614" s="142"/>
      <c r="U614" s="30"/>
      <c r="V614" s="30"/>
    </row>
    <row r="615">
      <c r="A615" s="320"/>
      <c r="B615" s="142"/>
      <c r="C615" s="320"/>
      <c r="D615" s="142"/>
      <c r="E615" s="320"/>
      <c r="F615" s="142"/>
      <c r="G615" s="320"/>
      <c r="H615" s="142"/>
      <c r="I615" s="329"/>
      <c r="J615" s="124"/>
      <c r="K615" s="329"/>
      <c r="L615" s="124"/>
      <c r="M615" s="320"/>
      <c r="N615" s="142"/>
      <c r="O615" s="320"/>
      <c r="P615" s="142"/>
      <c r="Q615" s="360"/>
      <c r="R615" s="360"/>
      <c r="S615" s="320"/>
      <c r="T615" s="142"/>
      <c r="U615" s="30"/>
      <c r="V615" s="30"/>
    </row>
    <row r="616">
      <c r="A616" s="320"/>
      <c r="B616" s="142"/>
      <c r="C616" s="320"/>
      <c r="D616" s="142"/>
      <c r="E616" s="320"/>
      <c r="F616" s="142"/>
      <c r="G616" s="320"/>
      <c r="H616" s="142"/>
      <c r="I616" s="329"/>
      <c r="J616" s="124"/>
      <c r="K616" s="329"/>
      <c r="L616" s="124"/>
      <c r="M616" s="320"/>
      <c r="N616" s="142"/>
      <c r="O616" s="320"/>
      <c r="P616" s="142"/>
      <c r="Q616" s="360"/>
      <c r="R616" s="360"/>
      <c r="S616" s="320"/>
      <c r="T616" s="142"/>
      <c r="U616" s="30"/>
      <c r="V616" s="30"/>
    </row>
    <row r="617">
      <c r="A617" s="320"/>
      <c r="B617" s="142"/>
      <c r="C617" s="320"/>
      <c r="D617" s="142"/>
      <c r="E617" s="320"/>
      <c r="F617" s="142"/>
      <c r="G617" s="320"/>
      <c r="H617" s="142"/>
      <c r="I617" s="329"/>
      <c r="J617" s="124"/>
      <c r="K617" s="329"/>
      <c r="L617" s="124"/>
      <c r="M617" s="320"/>
      <c r="N617" s="142"/>
      <c r="O617" s="320"/>
      <c r="P617" s="142"/>
      <c r="Q617" s="360"/>
      <c r="R617" s="360"/>
      <c r="S617" s="320"/>
      <c r="T617" s="142"/>
      <c r="U617" s="30"/>
      <c r="V617" s="30"/>
    </row>
    <row r="618">
      <c r="A618" s="320"/>
      <c r="B618" s="142"/>
      <c r="C618" s="320"/>
      <c r="D618" s="142"/>
      <c r="E618" s="320"/>
      <c r="F618" s="142"/>
      <c r="G618" s="320"/>
      <c r="H618" s="142"/>
      <c r="I618" s="329"/>
      <c r="J618" s="124"/>
      <c r="K618" s="329"/>
      <c r="L618" s="124"/>
      <c r="M618" s="320"/>
      <c r="N618" s="142"/>
      <c r="O618" s="320"/>
      <c r="P618" s="142"/>
      <c r="Q618" s="360"/>
      <c r="R618" s="360"/>
      <c r="S618" s="320"/>
      <c r="T618" s="142"/>
      <c r="U618" s="30"/>
      <c r="V618" s="30"/>
    </row>
    <row r="619">
      <c r="A619" s="320"/>
      <c r="B619" s="142"/>
      <c r="C619" s="320"/>
      <c r="D619" s="142"/>
      <c r="E619" s="320"/>
      <c r="F619" s="142"/>
      <c r="G619" s="320"/>
      <c r="H619" s="142"/>
      <c r="I619" s="329"/>
      <c r="J619" s="124"/>
      <c r="K619" s="329"/>
      <c r="L619" s="124"/>
      <c r="M619" s="320"/>
      <c r="N619" s="142"/>
      <c r="O619" s="320"/>
      <c r="P619" s="142"/>
      <c r="Q619" s="360"/>
      <c r="R619" s="360"/>
      <c r="S619" s="320"/>
      <c r="T619" s="142"/>
      <c r="U619" s="30"/>
      <c r="V619" s="30"/>
    </row>
    <row r="620">
      <c r="A620" s="320"/>
      <c r="B620" s="142"/>
      <c r="C620" s="320"/>
      <c r="D620" s="142"/>
      <c r="E620" s="320"/>
      <c r="F620" s="142"/>
      <c r="G620" s="320"/>
      <c r="H620" s="142"/>
      <c r="I620" s="329"/>
      <c r="J620" s="124"/>
      <c r="K620" s="329"/>
      <c r="L620" s="124"/>
      <c r="M620" s="320"/>
      <c r="N620" s="142"/>
      <c r="O620" s="320"/>
      <c r="P620" s="142"/>
      <c r="Q620" s="360"/>
      <c r="R620" s="360"/>
      <c r="S620" s="320"/>
      <c r="T620" s="142"/>
      <c r="U620" s="30"/>
      <c r="V620" s="30"/>
    </row>
    <row r="621">
      <c r="A621" s="320"/>
      <c r="B621" s="142"/>
      <c r="C621" s="320"/>
      <c r="D621" s="142"/>
      <c r="E621" s="320"/>
      <c r="F621" s="142"/>
      <c r="G621" s="320"/>
      <c r="H621" s="142"/>
      <c r="I621" s="329"/>
      <c r="J621" s="124"/>
      <c r="K621" s="329"/>
      <c r="L621" s="124"/>
      <c r="M621" s="320"/>
      <c r="N621" s="142"/>
      <c r="O621" s="320"/>
      <c r="P621" s="142"/>
      <c r="Q621" s="360"/>
      <c r="R621" s="360"/>
      <c r="S621" s="320"/>
      <c r="T621" s="142"/>
      <c r="U621" s="30"/>
      <c r="V621" s="30"/>
    </row>
    <row r="622">
      <c r="A622" s="320"/>
      <c r="B622" s="142"/>
      <c r="C622" s="320"/>
      <c r="D622" s="142"/>
      <c r="E622" s="320"/>
      <c r="F622" s="142"/>
      <c r="G622" s="320"/>
      <c r="H622" s="142"/>
      <c r="I622" s="329"/>
      <c r="J622" s="124"/>
      <c r="K622" s="329"/>
      <c r="L622" s="124"/>
      <c r="M622" s="320"/>
      <c r="N622" s="142"/>
      <c r="O622" s="320"/>
      <c r="P622" s="142"/>
      <c r="Q622" s="360"/>
      <c r="R622" s="360"/>
      <c r="S622" s="320"/>
      <c r="T622" s="142"/>
      <c r="U622" s="30"/>
      <c r="V622" s="30"/>
    </row>
    <row r="623">
      <c r="A623" s="320"/>
      <c r="B623" s="142"/>
      <c r="C623" s="320"/>
      <c r="D623" s="142"/>
      <c r="E623" s="320"/>
      <c r="F623" s="142"/>
      <c r="G623" s="320"/>
      <c r="H623" s="142"/>
      <c r="I623" s="329"/>
      <c r="J623" s="124"/>
      <c r="K623" s="329"/>
      <c r="L623" s="124"/>
      <c r="M623" s="320"/>
      <c r="N623" s="142"/>
      <c r="O623" s="320"/>
      <c r="P623" s="142"/>
      <c r="Q623" s="360"/>
      <c r="R623" s="360"/>
      <c r="S623" s="320"/>
      <c r="T623" s="142"/>
      <c r="U623" s="30"/>
      <c r="V623" s="30"/>
    </row>
    <row r="624">
      <c r="A624" s="320"/>
      <c r="B624" s="142"/>
      <c r="C624" s="320"/>
      <c r="D624" s="142"/>
      <c r="E624" s="320"/>
      <c r="F624" s="142"/>
      <c r="G624" s="320"/>
      <c r="H624" s="142"/>
      <c r="I624" s="329"/>
      <c r="J624" s="124"/>
      <c r="K624" s="329"/>
      <c r="L624" s="124"/>
      <c r="M624" s="320"/>
      <c r="N624" s="142"/>
      <c r="O624" s="320"/>
      <c r="P624" s="142"/>
      <c r="Q624" s="360"/>
      <c r="R624" s="360"/>
      <c r="S624" s="320"/>
      <c r="T624" s="142"/>
      <c r="U624" s="30"/>
      <c r="V624" s="30"/>
    </row>
    <row r="625">
      <c r="A625" s="320"/>
      <c r="B625" s="142"/>
      <c r="C625" s="320"/>
      <c r="D625" s="142"/>
      <c r="E625" s="320"/>
      <c r="F625" s="142"/>
      <c r="G625" s="320"/>
      <c r="H625" s="142"/>
      <c r="I625" s="329"/>
      <c r="J625" s="124"/>
      <c r="K625" s="329"/>
      <c r="L625" s="124"/>
      <c r="M625" s="320"/>
      <c r="N625" s="142"/>
      <c r="O625" s="320"/>
      <c r="P625" s="142"/>
      <c r="Q625" s="360"/>
      <c r="R625" s="360"/>
      <c r="S625" s="320"/>
      <c r="T625" s="142"/>
      <c r="U625" s="30"/>
      <c r="V625" s="30"/>
    </row>
    <row r="626">
      <c r="A626" s="320"/>
      <c r="B626" s="142"/>
      <c r="C626" s="320"/>
      <c r="D626" s="142"/>
      <c r="E626" s="320"/>
      <c r="F626" s="142"/>
      <c r="G626" s="320"/>
      <c r="H626" s="142"/>
      <c r="I626" s="329"/>
      <c r="J626" s="124"/>
      <c r="K626" s="329"/>
      <c r="L626" s="124"/>
      <c r="M626" s="320"/>
      <c r="N626" s="142"/>
      <c r="O626" s="320"/>
      <c r="P626" s="142"/>
      <c r="Q626" s="360"/>
      <c r="R626" s="360"/>
      <c r="S626" s="320"/>
      <c r="T626" s="142"/>
      <c r="U626" s="30"/>
      <c r="V626" s="30"/>
    </row>
    <row r="627">
      <c r="A627" s="320"/>
      <c r="B627" s="142"/>
      <c r="C627" s="320"/>
      <c r="D627" s="142"/>
      <c r="E627" s="320"/>
      <c r="F627" s="142"/>
      <c r="G627" s="320"/>
      <c r="H627" s="142"/>
      <c r="I627" s="329"/>
      <c r="J627" s="124"/>
      <c r="K627" s="329"/>
      <c r="L627" s="124"/>
      <c r="M627" s="320"/>
      <c r="N627" s="142"/>
      <c r="O627" s="320"/>
      <c r="P627" s="142"/>
      <c r="Q627" s="360"/>
      <c r="R627" s="360"/>
      <c r="S627" s="320"/>
      <c r="T627" s="142"/>
      <c r="U627" s="30"/>
      <c r="V627" s="30"/>
    </row>
    <row r="628">
      <c r="A628" s="320"/>
      <c r="B628" s="142"/>
      <c r="C628" s="320"/>
      <c r="D628" s="142"/>
      <c r="E628" s="320"/>
      <c r="F628" s="142"/>
      <c r="G628" s="320"/>
      <c r="H628" s="142"/>
      <c r="I628" s="329"/>
      <c r="J628" s="124"/>
      <c r="K628" s="329"/>
      <c r="L628" s="124"/>
      <c r="M628" s="320"/>
      <c r="N628" s="142"/>
      <c r="O628" s="320"/>
      <c r="P628" s="142"/>
      <c r="Q628" s="360"/>
      <c r="R628" s="360"/>
      <c r="S628" s="320"/>
      <c r="T628" s="142"/>
      <c r="U628" s="30"/>
      <c r="V628" s="30"/>
    </row>
    <row r="629">
      <c r="A629" s="320"/>
      <c r="B629" s="142"/>
      <c r="C629" s="320"/>
      <c r="D629" s="142"/>
      <c r="E629" s="320"/>
      <c r="F629" s="142"/>
      <c r="G629" s="320"/>
      <c r="H629" s="142"/>
      <c r="I629" s="329"/>
      <c r="J629" s="124"/>
      <c r="K629" s="329"/>
      <c r="L629" s="124"/>
      <c r="M629" s="320"/>
      <c r="N629" s="142"/>
      <c r="O629" s="320"/>
      <c r="P629" s="142"/>
      <c r="Q629" s="360"/>
      <c r="R629" s="360"/>
      <c r="S629" s="320"/>
      <c r="T629" s="142"/>
      <c r="U629" s="30"/>
      <c r="V629" s="30"/>
    </row>
    <row r="630">
      <c r="A630" s="320"/>
      <c r="B630" s="142"/>
      <c r="C630" s="320"/>
      <c r="D630" s="142"/>
      <c r="E630" s="320"/>
      <c r="F630" s="142"/>
      <c r="G630" s="320"/>
      <c r="H630" s="142"/>
      <c r="I630" s="329"/>
      <c r="J630" s="124"/>
      <c r="K630" s="329"/>
      <c r="L630" s="124"/>
      <c r="M630" s="320"/>
      <c r="N630" s="142"/>
      <c r="O630" s="320"/>
      <c r="P630" s="142"/>
      <c r="Q630" s="360"/>
      <c r="R630" s="360"/>
      <c r="S630" s="320"/>
      <c r="T630" s="142"/>
      <c r="U630" s="30"/>
      <c r="V630" s="30"/>
    </row>
    <row r="631">
      <c r="A631" s="320"/>
      <c r="B631" s="142"/>
      <c r="C631" s="320"/>
      <c r="D631" s="142"/>
      <c r="E631" s="320"/>
      <c r="F631" s="142"/>
      <c r="G631" s="320"/>
      <c r="H631" s="142"/>
      <c r="I631" s="329"/>
      <c r="J631" s="124"/>
      <c r="K631" s="329"/>
      <c r="L631" s="124"/>
      <c r="M631" s="320"/>
      <c r="N631" s="142"/>
      <c r="O631" s="320"/>
      <c r="P631" s="142"/>
      <c r="Q631" s="360"/>
      <c r="R631" s="360"/>
      <c r="S631" s="320"/>
      <c r="T631" s="142"/>
      <c r="U631" s="30"/>
      <c r="V631" s="30"/>
    </row>
    <row r="632">
      <c r="A632" s="320"/>
      <c r="B632" s="142"/>
      <c r="C632" s="320"/>
      <c r="D632" s="142"/>
      <c r="E632" s="320"/>
      <c r="F632" s="142"/>
      <c r="G632" s="320"/>
      <c r="H632" s="142"/>
      <c r="I632" s="329"/>
      <c r="J632" s="124"/>
      <c r="K632" s="329"/>
      <c r="L632" s="124"/>
      <c r="M632" s="320"/>
      <c r="N632" s="142"/>
      <c r="O632" s="320"/>
      <c r="P632" s="142"/>
      <c r="Q632" s="360"/>
      <c r="R632" s="360"/>
      <c r="S632" s="320"/>
      <c r="T632" s="142"/>
      <c r="U632" s="30"/>
      <c r="V632" s="30"/>
    </row>
    <row r="633">
      <c r="A633" s="320"/>
      <c r="B633" s="142"/>
      <c r="C633" s="320"/>
      <c r="D633" s="142"/>
      <c r="E633" s="320"/>
      <c r="F633" s="142"/>
      <c r="G633" s="320"/>
      <c r="H633" s="142"/>
      <c r="I633" s="329"/>
      <c r="J633" s="124"/>
      <c r="K633" s="329"/>
      <c r="L633" s="124"/>
      <c r="M633" s="320"/>
      <c r="N633" s="142"/>
      <c r="O633" s="320"/>
      <c r="P633" s="142"/>
      <c r="Q633" s="360"/>
      <c r="R633" s="360"/>
      <c r="S633" s="320"/>
      <c r="T633" s="142"/>
      <c r="U633" s="30"/>
      <c r="V633" s="30"/>
    </row>
    <row r="634">
      <c r="A634" s="320"/>
      <c r="B634" s="142"/>
      <c r="C634" s="320"/>
      <c r="D634" s="142"/>
      <c r="E634" s="320"/>
      <c r="F634" s="142"/>
      <c r="G634" s="320"/>
      <c r="H634" s="142"/>
      <c r="I634" s="329"/>
      <c r="J634" s="124"/>
      <c r="K634" s="329"/>
      <c r="L634" s="124"/>
      <c r="M634" s="320"/>
      <c r="N634" s="142"/>
      <c r="O634" s="320"/>
      <c r="P634" s="142"/>
      <c r="Q634" s="360"/>
      <c r="R634" s="360"/>
      <c r="S634" s="320"/>
      <c r="T634" s="142"/>
      <c r="U634" s="30"/>
      <c r="V634" s="30"/>
    </row>
    <row r="635">
      <c r="A635" s="320"/>
      <c r="B635" s="142"/>
      <c r="C635" s="320"/>
      <c r="D635" s="142"/>
      <c r="E635" s="320"/>
      <c r="F635" s="142"/>
      <c r="G635" s="320"/>
      <c r="H635" s="142"/>
      <c r="I635" s="329"/>
      <c r="J635" s="124"/>
      <c r="K635" s="329"/>
      <c r="L635" s="124"/>
      <c r="M635" s="320"/>
      <c r="N635" s="142"/>
      <c r="O635" s="320"/>
      <c r="P635" s="142"/>
      <c r="Q635" s="360"/>
      <c r="R635" s="360"/>
      <c r="S635" s="320"/>
      <c r="T635" s="142"/>
      <c r="U635" s="30"/>
      <c r="V635" s="30"/>
    </row>
    <row r="636">
      <c r="A636" s="320"/>
      <c r="B636" s="142"/>
      <c r="C636" s="320"/>
      <c r="D636" s="142"/>
      <c r="E636" s="320"/>
      <c r="F636" s="142"/>
      <c r="G636" s="320"/>
      <c r="H636" s="142"/>
      <c r="I636" s="329"/>
      <c r="J636" s="124"/>
      <c r="K636" s="329"/>
      <c r="L636" s="124"/>
      <c r="M636" s="320"/>
      <c r="N636" s="142"/>
      <c r="O636" s="320"/>
      <c r="P636" s="142"/>
      <c r="Q636" s="360"/>
      <c r="R636" s="360"/>
      <c r="S636" s="320"/>
      <c r="T636" s="142"/>
      <c r="U636" s="30"/>
      <c r="V636" s="30"/>
    </row>
    <row r="637">
      <c r="A637" s="320"/>
      <c r="B637" s="142"/>
      <c r="C637" s="320"/>
      <c r="D637" s="142"/>
      <c r="E637" s="320"/>
      <c r="F637" s="142"/>
      <c r="G637" s="320"/>
      <c r="H637" s="142"/>
      <c r="I637" s="329"/>
      <c r="J637" s="124"/>
      <c r="K637" s="329"/>
      <c r="L637" s="124"/>
      <c r="M637" s="320"/>
      <c r="N637" s="142"/>
      <c r="O637" s="320"/>
      <c r="P637" s="142"/>
      <c r="Q637" s="360"/>
      <c r="R637" s="360"/>
      <c r="S637" s="320"/>
      <c r="T637" s="142"/>
      <c r="U637" s="30"/>
      <c r="V637" s="30"/>
    </row>
    <row r="638">
      <c r="A638" s="320"/>
      <c r="B638" s="142"/>
      <c r="C638" s="320"/>
      <c r="D638" s="142"/>
      <c r="E638" s="320"/>
      <c r="F638" s="142"/>
      <c r="G638" s="320"/>
      <c r="H638" s="142"/>
      <c r="I638" s="329"/>
      <c r="J638" s="124"/>
      <c r="K638" s="329"/>
      <c r="L638" s="124"/>
      <c r="M638" s="320"/>
      <c r="N638" s="142"/>
      <c r="O638" s="320"/>
      <c r="P638" s="142"/>
      <c r="Q638" s="360"/>
      <c r="R638" s="360"/>
      <c r="S638" s="320"/>
      <c r="T638" s="142"/>
      <c r="U638" s="30"/>
      <c r="V638" s="30"/>
    </row>
    <row r="639">
      <c r="A639" s="320"/>
      <c r="B639" s="142"/>
      <c r="C639" s="320"/>
      <c r="D639" s="142"/>
      <c r="E639" s="320"/>
      <c r="F639" s="142"/>
      <c r="G639" s="320"/>
      <c r="H639" s="142"/>
      <c r="I639" s="329"/>
      <c r="J639" s="124"/>
      <c r="K639" s="329"/>
      <c r="L639" s="124"/>
      <c r="M639" s="320"/>
      <c r="N639" s="142"/>
      <c r="O639" s="320"/>
      <c r="P639" s="142"/>
      <c r="Q639" s="360"/>
      <c r="R639" s="360"/>
      <c r="S639" s="320"/>
      <c r="T639" s="142"/>
      <c r="U639" s="30"/>
      <c r="V639" s="30"/>
    </row>
    <row r="640">
      <c r="A640" s="320"/>
      <c r="B640" s="142"/>
      <c r="C640" s="320"/>
      <c r="D640" s="142"/>
      <c r="E640" s="320"/>
      <c r="F640" s="142"/>
      <c r="G640" s="320"/>
      <c r="H640" s="142"/>
      <c r="I640" s="329"/>
      <c r="J640" s="124"/>
      <c r="K640" s="329"/>
      <c r="L640" s="124"/>
      <c r="M640" s="320"/>
      <c r="N640" s="142"/>
      <c r="O640" s="320"/>
      <c r="P640" s="142"/>
      <c r="Q640" s="360"/>
      <c r="R640" s="360"/>
      <c r="S640" s="320"/>
      <c r="T640" s="142"/>
      <c r="U640" s="30"/>
      <c r="V640" s="30"/>
    </row>
    <row r="641">
      <c r="A641" s="320"/>
      <c r="B641" s="142"/>
      <c r="C641" s="320"/>
      <c r="D641" s="142"/>
      <c r="E641" s="320"/>
      <c r="F641" s="142"/>
      <c r="G641" s="320"/>
      <c r="H641" s="142"/>
      <c r="I641" s="329"/>
      <c r="J641" s="124"/>
      <c r="K641" s="329"/>
      <c r="L641" s="124"/>
      <c r="M641" s="320"/>
      <c r="N641" s="142"/>
      <c r="O641" s="320"/>
      <c r="P641" s="142"/>
      <c r="Q641" s="360"/>
      <c r="R641" s="360"/>
      <c r="S641" s="320"/>
      <c r="T641" s="142"/>
      <c r="U641" s="30"/>
      <c r="V641" s="30"/>
    </row>
    <row r="642">
      <c r="A642" s="320"/>
      <c r="B642" s="142"/>
      <c r="C642" s="320"/>
      <c r="D642" s="142"/>
      <c r="E642" s="320"/>
      <c r="F642" s="142"/>
      <c r="G642" s="320"/>
      <c r="H642" s="142"/>
      <c r="I642" s="329"/>
      <c r="J642" s="124"/>
      <c r="K642" s="329"/>
      <c r="L642" s="124"/>
      <c r="M642" s="320"/>
      <c r="N642" s="142"/>
      <c r="O642" s="320"/>
      <c r="P642" s="142"/>
      <c r="Q642" s="360"/>
      <c r="R642" s="360"/>
      <c r="S642" s="320"/>
      <c r="T642" s="142"/>
      <c r="U642" s="30"/>
      <c r="V642" s="30"/>
    </row>
    <row r="643">
      <c r="A643" s="320"/>
      <c r="B643" s="142"/>
      <c r="C643" s="320"/>
      <c r="D643" s="142"/>
      <c r="E643" s="320"/>
      <c r="F643" s="142"/>
      <c r="G643" s="320"/>
      <c r="H643" s="142"/>
      <c r="I643" s="329"/>
      <c r="J643" s="124"/>
      <c r="K643" s="329"/>
      <c r="L643" s="124"/>
      <c r="M643" s="320"/>
      <c r="N643" s="142"/>
      <c r="O643" s="320"/>
      <c r="P643" s="142"/>
      <c r="Q643" s="360"/>
      <c r="R643" s="360"/>
      <c r="S643" s="320"/>
      <c r="T643" s="142"/>
      <c r="U643" s="30"/>
      <c r="V643" s="30"/>
    </row>
    <row r="644">
      <c r="A644" s="320"/>
      <c r="B644" s="142"/>
      <c r="C644" s="320"/>
      <c r="D644" s="142"/>
      <c r="E644" s="320"/>
      <c r="F644" s="142"/>
      <c r="G644" s="320"/>
      <c r="H644" s="142"/>
      <c r="I644" s="329"/>
      <c r="J644" s="124"/>
      <c r="K644" s="329"/>
      <c r="L644" s="124"/>
      <c r="M644" s="320"/>
      <c r="N644" s="142"/>
      <c r="O644" s="320"/>
      <c r="P644" s="142"/>
      <c r="Q644" s="360"/>
      <c r="R644" s="360"/>
      <c r="S644" s="320"/>
      <c r="T644" s="142"/>
      <c r="U644" s="30"/>
      <c r="V644" s="30"/>
    </row>
    <row r="645">
      <c r="A645" s="320"/>
      <c r="B645" s="142"/>
      <c r="C645" s="320"/>
      <c r="D645" s="142"/>
      <c r="E645" s="320"/>
      <c r="F645" s="142"/>
      <c r="G645" s="320"/>
      <c r="H645" s="142"/>
      <c r="I645" s="329"/>
      <c r="J645" s="124"/>
      <c r="K645" s="329"/>
      <c r="L645" s="124"/>
      <c r="M645" s="320"/>
      <c r="N645" s="142"/>
      <c r="O645" s="320"/>
      <c r="P645" s="142"/>
      <c r="Q645" s="360"/>
      <c r="R645" s="360"/>
      <c r="S645" s="320"/>
      <c r="T645" s="142"/>
      <c r="U645" s="30"/>
      <c r="V645" s="30"/>
    </row>
    <row r="646">
      <c r="A646" s="320"/>
      <c r="B646" s="142"/>
      <c r="C646" s="320"/>
      <c r="D646" s="142"/>
      <c r="E646" s="320"/>
      <c r="F646" s="142"/>
      <c r="G646" s="320"/>
      <c r="H646" s="142"/>
      <c r="I646" s="329"/>
      <c r="J646" s="124"/>
      <c r="K646" s="329"/>
      <c r="L646" s="124"/>
      <c r="M646" s="320"/>
      <c r="N646" s="142"/>
      <c r="O646" s="320"/>
      <c r="P646" s="142"/>
      <c r="Q646" s="360"/>
      <c r="R646" s="360"/>
      <c r="S646" s="320"/>
      <c r="T646" s="142"/>
      <c r="U646" s="30"/>
      <c r="V646" s="30"/>
    </row>
    <row r="647">
      <c r="A647" s="320"/>
      <c r="B647" s="142"/>
      <c r="C647" s="320"/>
      <c r="D647" s="142"/>
      <c r="E647" s="320"/>
      <c r="F647" s="142"/>
      <c r="G647" s="320"/>
      <c r="H647" s="142"/>
      <c r="I647" s="329"/>
      <c r="J647" s="124"/>
      <c r="K647" s="329"/>
      <c r="L647" s="124"/>
      <c r="M647" s="320"/>
      <c r="N647" s="142"/>
      <c r="O647" s="320"/>
      <c r="P647" s="142"/>
      <c r="Q647" s="360"/>
      <c r="R647" s="360"/>
      <c r="S647" s="320"/>
      <c r="T647" s="142"/>
      <c r="U647" s="30"/>
      <c r="V647" s="30"/>
    </row>
    <row r="648">
      <c r="A648" s="320"/>
      <c r="B648" s="142"/>
      <c r="C648" s="320"/>
      <c r="D648" s="142"/>
      <c r="E648" s="320"/>
      <c r="F648" s="142"/>
      <c r="G648" s="320"/>
      <c r="H648" s="142"/>
      <c r="I648" s="329"/>
      <c r="J648" s="124"/>
      <c r="K648" s="329"/>
      <c r="L648" s="124"/>
      <c r="M648" s="320"/>
      <c r="N648" s="142"/>
      <c r="O648" s="320"/>
      <c r="P648" s="142"/>
      <c r="Q648" s="360"/>
      <c r="R648" s="360"/>
      <c r="S648" s="320"/>
      <c r="T648" s="142"/>
      <c r="U648" s="30"/>
      <c r="V648" s="30"/>
    </row>
    <row r="649">
      <c r="A649" s="320"/>
      <c r="B649" s="142"/>
      <c r="C649" s="320"/>
      <c r="D649" s="142"/>
      <c r="E649" s="320"/>
      <c r="F649" s="142"/>
      <c r="G649" s="320"/>
      <c r="H649" s="142"/>
      <c r="I649" s="329"/>
      <c r="J649" s="124"/>
      <c r="K649" s="329"/>
      <c r="L649" s="124"/>
      <c r="M649" s="320"/>
      <c r="N649" s="142"/>
      <c r="O649" s="320"/>
      <c r="P649" s="142"/>
      <c r="Q649" s="360"/>
      <c r="R649" s="360"/>
      <c r="S649" s="320"/>
      <c r="T649" s="142"/>
      <c r="U649" s="30"/>
      <c r="V649" s="30"/>
    </row>
    <row r="650">
      <c r="A650" s="320"/>
      <c r="B650" s="142"/>
      <c r="C650" s="320"/>
      <c r="D650" s="142"/>
      <c r="E650" s="320"/>
      <c r="F650" s="142"/>
      <c r="G650" s="320"/>
      <c r="H650" s="142"/>
      <c r="I650" s="329"/>
      <c r="J650" s="124"/>
      <c r="K650" s="329"/>
      <c r="L650" s="124"/>
      <c r="M650" s="320"/>
      <c r="N650" s="142"/>
      <c r="O650" s="320"/>
      <c r="P650" s="142"/>
      <c r="Q650" s="360"/>
      <c r="R650" s="360"/>
      <c r="S650" s="320"/>
      <c r="T650" s="142"/>
      <c r="U650" s="30"/>
      <c r="V650" s="30"/>
    </row>
    <row r="651">
      <c r="A651" s="320"/>
      <c r="B651" s="142"/>
      <c r="C651" s="320"/>
      <c r="D651" s="142"/>
      <c r="E651" s="320"/>
      <c r="F651" s="142"/>
      <c r="G651" s="320"/>
      <c r="H651" s="142"/>
      <c r="I651" s="329"/>
      <c r="J651" s="124"/>
      <c r="K651" s="329"/>
      <c r="L651" s="124"/>
      <c r="M651" s="320"/>
      <c r="N651" s="142"/>
      <c r="O651" s="320"/>
      <c r="P651" s="142"/>
      <c r="Q651" s="360"/>
      <c r="R651" s="360"/>
      <c r="S651" s="320"/>
      <c r="T651" s="142"/>
      <c r="U651" s="30"/>
      <c r="V651" s="30"/>
    </row>
    <row r="652">
      <c r="A652" s="320"/>
      <c r="B652" s="142"/>
      <c r="C652" s="320"/>
      <c r="D652" s="142"/>
      <c r="E652" s="320"/>
      <c r="F652" s="142"/>
      <c r="G652" s="320"/>
      <c r="H652" s="142"/>
      <c r="I652" s="329"/>
      <c r="J652" s="124"/>
      <c r="K652" s="329"/>
      <c r="L652" s="124"/>
      <c r="M652" s="320"/>
      <c r="N652" s="142"/>
      <c r="O652" s="320"/>
      <c r="P652" s="142"/>
      <c r="Q652" s="360"/>
      <c r="R652" s="360"/>
      <c r="S652" s="320"/>
      <c r="T652" s="142"/>
      <c r="U652" s="30"/>
      <c r="V652" s="30"/>
    </row>
    <row r="653">
      <c r="A653" s="320"/>
      <c r="B653" s="142"/>
      <c r="C653" s="320"/>
      <c r="D653" s="142"/>
      <c r="E653" s="320"/>
      <c r="F653" s="142"/>
      <c r="G653" s="320"/>
      <c r="H653" s="142"/>
      <c r="I653" s="329"/>
      <c r="J653" s="124"/>
      <c r="K653" s="329"/>
      <c r="L653" s="124"/>
      <c r="M653" s="320"/>
      <c r="N653" s="142"/>
      <c r="O653" s="320"/>
      <c r="P653" s="142"/>
      <c r="Q653" s="360"/>
      <c r="R653" s="360"/>
      <c r="S653" s="320"/>
      <c r="T653" s="142"/>
      <c r="U653" s="30"/>
      <c r="V653" s="30"/>
    </row>
    <row r="654">
      <c r="A654" s="320"/>
      <c r="B654" s="142"/>
      <c r="C654" s="320"/>
      <c r="D654" s="142"/>
      <c r="E654" s="320"/>
      <c r="F654" s="142"/>
      <c r="G654" s="320"/>
      <c r="H654" s="142"/>
      <c r="I654" s="329"/>
      <c r="J654" s="124"/>
      <c r="K654" s="329"/>
      <c r="L654" s="124"/>
      <c r="M654" s="320"/>
      <c r="N654" s="142"/>
      <c r="O654" s="320"/>
      <c r="P654" s="142"/>
      <c r="Q654" s="360"/>
      <c r="R654" s="360"/>
      <c r="S654" s="320"/>
      <c r="T654" s="142"/>
      <c r="U654" s="30"/>
      <c r="V654" s="30"/>
    </row>
    <row r="655">
      <c r="A655" s="320"/>
      <c r="B655" s="142"/>
      <c r="C655" s="320"/>
      <c r="D655" s="142"/>
      <c r="E655" s="320"/>
      <c r="F655" s="142"/>
      <c r="G655" s="320"/>
      <c r="H655" s="142"/>
      <c r="I655" s="329"/>
      <c r="J655" s="124"/>
      <c r="K655" s="329"/>
      <c r="L655" s="124"/>
      <c r="M655" s="320"/>
      <c r="N655" s="142"/>
      <c r="O655" s="320"/>
      <c r="P655" s="142"/>
      <c r="Q655" s="360"/>
      <c r="R655" s="360"/>
      <c r="S655" s="320"/>
      <c r="T655" s="142"/>
      <c r="U655" s="30"/>
      <c r="V655" s="30"/>
    </row>
    <row r="656">
      <c r="A656" s="320"/>
      <c r="B656" s="142"/>
      <c r="C656" s="320"/>
      <c r="D656" s="142"/>
      <c r="E656" s="320"/>
      <c r="F656" s="142"/>
      <c r="G656" s="320"/>
      <c r="H656" s="142"/>
      <c r="I656" s="329"/>
      <c r="J656" s="124"/>
      <c r="K656" s="329"/>
      <c r="L656" s="124"/>
      <c r="M656" s="320"/>
      <c r="N656" s="142"/>
      <c r="O656" s="320"/>
      <c r="P656" s="142"/>
      <c r="Q656" s="360"/>
      <c r="R656" s="360"/>
      <c r="S656" s="320"/>
      <c r="T656" s="142"/>
      <c r="U656" s="30"/>
      <c r="V656" s="30"/>
    </row>
    <row r="657">
      <c r="A657" s="320"/>
      <c r="B657" s="142"/>
      <c r="C657" s="320"/>
      <c r="D657" s="142"/>
      <c r="E657" s="320"/>
      <c r="F657" s="142"/>
      <c r="G657" s="320"/>
      <c r="H657" s="142"/>
      <c r="I657" s="329"/>
      <c r="J657" s="124"/>
      <c r="K657" s="329"/>
      <c r="L657" s="124"/>
      <c r="M657" s="320"/>
      <c r="N657" s="142"/>
      <c r="O657" s="320"/>
      <c r="P657" s="142"/>
      <c r="Q657" s="360"/>
      <c r="R657" s="360"/>
      <c r="S657" s="320"/>
      <c r="T657" s="142"/>
      <c r="U657" s="30"/>
      <c r="V657" s="30"/>
    </row>
    <row r="658">
      <c r="A658" s="320"/>
      <c r="B658" s="142"/>
      <c r="C658" s="320"/>
      <c r="D658" s="142"/>
      <c r="E658" s="320"/>
      <c r="F658" s="142"/>
      <c r="G658" s="320"/>
      <c r="H658" s="142"/>
      <c r="I658" s="329"/>
      <c r="J658" s="124"/>
      <c r="K658" s="329"/>
      <c r="L658" s="124"/>
      <c r="M658" s="320"/>
      <c r="N658" s="142"/>
      <c r="O658" s="320"/>
      <c r="P658" s="142"/>
      <c r="Q658" s="360"/>
      <c r="R658" s="360"/>
      <c r="S658" s="320"/>
      <c r="T658" s="142"/>
      <c r="U658" s="30"/>
      <c r="V658" s="30"/>
    </row>
    <row r="659">
      <c r="A659" s="320"/>
      <c r="B659" s="142"/>
      <c r="C659" s="320"/>
      <c r="D659" s="142"/>
      <c r="E659" s="320"/>
      <c r="F659" s="142"/>
      <c r="G659" s="320"/>
      <c r="H659" s="142"/>
      <c r="I659" s="329"/>
      <c r="J659" s="124"/>
      <c r="K659" s="329"/>
      <c r="L659" s="124"/>
      <c r="M659" s="320"/>
      <c r="N659" s="142"/>
      <c r="O659" s="320"/>
      <c r="P659" s="142"/>
      <c r="Q659" s="360"/>
      <c r="R659" s="360"/>
      <c r="S659" s="320"/>
      <c r="T659" s="142"/>
      <c r="U659" s="30"/>
      <c r="V659" s="30"/>
    </row>
    <row r="660">
      <c r="A660" s="320"/>
      <c r="B660" s="142"/>
      <c r="C660" s="320"/>
      <c r="D660" s="142"/>
      <c r="E660" s="320"/>
      <c r="F660" s="142"/>
      <c r="G660" s="320"/>
      <c r="H660" s="142"/>
      <c r="I660" s="329"/>
      <c r="J660" s="124"/>
      <c r="K660" s="329"/>
      <c r="L660" s="124"/>
      <c r="M660" s="320"/>
      <c r="N660" s="142"/>
      <c r="O660" s="320"/>
      <c r="P660" s="142"/>
      <c r="Q660" s="360"/>
      <c r="R660" s="360"/>
      <c r="S660" s="320"/>
      <c r="T660" s="142"/>
      <c r="U660" s="30"/>
      <c r="V660" s="30"/>
    </row>
    <row r="661">
      <c r="A661" s="320"/>
      <c r="B661" s="142"/>
      <c r="C661" s="320"/>
      <c r="D661" s="142"/>
      <c r="E661" s="320"/>
      <c r="F661" s="142"/>
      <c r="G661" s="320"/>
      <c r="H661" s="142"/>
      <c r="I661" s="329"/>
      <c r="J661" s="124"/>
      <c r="K661" s="329"/>
      <c r="L661" s="124"/>
      <c r="M661" s="320"/>
      <c r="N661" s="142"/>
      <c r="O661" s="320"/>
      <c r="P661" s="142"/>
      <c r="Q661" s="360"/>
      <c r="R661" s="360"/>
      <c r="S661" s="320"/>
      <c r="T661" s="142"/>
      <c r="U661" s="30"/>
      <c r="V661" s="30"/>
    </row>
    <row r="662">
      <c r="A662" s="320"/>
      <c r="B662" s="142"/>
      <c r="C662" s="320"/>
      <c r="D662" s="142"/>
      <c r="E662" s="320"/>
      <c r="F662" s="142"/>
      <c r="G662" s="320"/>
      <c r="H662" s="142"/>
      <c r="I662" s="329"/>
      <c r="J662" s="124"/>
      <c r="K662" s="329"/>
      <c r="L662" s="124"/>
      <c r="M662" s="320"/>
      <c r="N662" s="142"/>
      <c r="O662" s="320"/>
      <c r="P662" s="142"/>
      <c r="Q662" s="360"/>
      <c r="R662" s="360"/>
      <c r="S662" s="320"/>
      <c r="T662" s="142"/>
      <c r="U662" s="30"/>
      <c r="V662" s="30"/>
    </row>
    <row r="663">
      <c r="A663" s="320"/>
      <c r="B663" s="142"/>
      <c r="C663" s="320"/>
      <c r="D663" s="142"/>
      <c r="E663" s="320"/>
      <c r="F663" s="142"/>
      <c r="G663" s="320"/>
      <c r="H663" s="142"/>
      <c r="I663" s="329"/>
      <c r="J663" s="124"/>
      <c r="K663" s="329"/>
      <c r="L663" s="124"/>
      <c r="M663" s="320"/>
      <c r="N663" s="142"/>
      <c r="O663" s="320"/>
      <c r="P663" s="142"/>
      <c r="Q663" s="360"/>
      <c r="R663" s="360"/>
      <c r="S663" s="320"/>
      <c r="T663" s="142"/>
      <c r="U663" s="30"/>
      <c r="V663" s="30"/>
    </row>
    <row r="664">
      <c r="A664" s="320"/>
      <c r="B664" s="142"/>
      <c r="C664" s="320"/>
      <c r="D664" s="142"/>
      <c r="E664" s="320"/>
      <c r="F664" s="142"/>
      <c r="G664" s="320"/>
      <c r="H664" s="142"/>
      <c r="I664" s="329"/>
      <c r="J664" s="124"/>
      <c r="K664" s="329"/>
      <c r="L664" s="124"/>
      <c r="M664" s="320"/>
      <c r="N664" s="142"/>
      <c r="O664" s="320"/>
      <c r="P664" s="142"/>
      <c r="Q664" s="360"/>
      <c r="R664" s="360"/>
      <c r="S664" s="320"/>
      <c r="T664" s="142"/>
      <c r="U664" s="30"/>
      <c r="V664" s="30"/>
    </row>
    <row r="665">
      <c r="A665" s="320"/>
      <c r="B665" s="142"/>
      <c r="C665" s="320"/>
      <c r="D665" s="142"/>
      <c r="E665" s="320"/>
      <c r="F665" s="142"/>
      <c r="G665" s="320"/>
      <c r="H665" s="142"/>
      <c r="I665" s="329"/>
      <c r="J665" s="124"/>
      <c r="K665" s="329"/>
      <c r="L665" s="124"/>
      <c r="M665" s="320"/>
      <c r="N665" s="142"/>
      <c r="O665" s="320"/>
      <c r="P665" s="142"/>
      <c r="Q665" s="360"/>
      <c r="R665" s="360"/>
      <c r="S665" s="320"/>
      <c r="T665" s="142"/>
      <c r="U665" s="30"/>
      <c r="V665" s="30"/>
    </row>
    <row r="666">
      <c r="A666" s="320"/>
      <c r="B666" s="142"/>
      <c r="C666" s="320"/>
      <c r="D666" s="142"/>
      <c r="E666" s="320"/>
      <c r="F666" s="142"/>
      <c r="G666" s="320"/>
      <c r="H666" s="142"/>
      <c r="I666" s="329"/>
      <c r="J666" s="124"/>
      <c r="K666" s="329"/>
      <c r="L666" s="124"/>
      <c r="M666" s="320"/>
      <c r="N666" s="142"/>
      <c r="O666" s="320"/>
      <c r="P666" s="142"/>
      <c r="Q666" s="360"/>
      <c r="R666" s="360"/>
      <c r="S666" s="320"/>
      <c r="T666" s="142"/>
      <c r="U666" s="30"/>
      <c r="V666" s="30"/>
    </row>
    <row r="667">
      <c r="A667" s="320"/>
      <c r="B667" s="142"/>
      <c r="C667" s="320"/>
      <c r="D667" s="142"/>
      <c r="E667" s="320"/>
      <c r="F667" s="142"/>
      <c r="G667" s="320"/>
      <c r="H667" s="142"/>
      <c r="I667" s="329"/>
      <c r="J667" s="124"/>
      <c r="K667" s="329"/>
      <c r="L667" s="124"/>
      <c r="M667" s="320"/>
      <c r="N667" s="142"/>
      <c r="O667" s="320"/>
      <c r="P667" s="142"/>
      <c r="Q667" s="360"/>
      <c r="R667" s="360"/>
      <c r="S667" s="320"/>
      <c r="T667" s="142"/>
      <c r="U667" s="30"/>
      <c r="V667" s="30"/>
    </row>
    <row r="668">
      <c r="A668" s="320"/>
      <c r="B668" s="142"/>
      <c r="C668" s="320"/>
      <c r="D668" s="142"/>
      <c r="E668" s="320"/>
      <c r="F668" s="142"/>
      <c r="G668" s="320"/>
      <c r="H668" s="142"/>
      <c r="I668" s="329"/>
      <c r="J668" s="124"/>
      <c r="K668" s="329"/>
      <c r="L668" s="124"/>
      <c r="M668" s="320"/>
      <c r="N668" s="142"/>
      <c r="O668" s="320"/>
      <c r="P668" s="142"/>
      <c r="Q668" s="360"/>
      <c r="R668" s="360"/>
      <c r="S668" s="320"/>
      <c r="T668" s="142"/>
      <c r="U668" s="30"/>
      <c r="V668" s="30"/>
    </row>
    <row r="669">
      <c r="A669" s="320"/>
      <c r="B669" s="142"/>
      <c r="C669" s="320"/>
      <c r="D669" s="142"/>
      <c r="E669" s="320"/>
      <c r="F669" s="142"/>
      <c r="G669" s="320"/>
      <c r="H669" s="142"/>
      <c r="I669" s="329"/>
      <c r="J669" s="124"/>
      <c r="K669" s="329"/>
      <c r="L669" s="124"/>
      <c r="M669" s="320"/>
      <c r="N669" s="142"/>
      <c r="O669" s="320"/>
      <c r="P669" s="142"/>
      <c r="Q669" s="360"/>
      <c r="R669" s="360"/>
      <c r="S669" s="320"/>
      <c r="T669" s="142"/>
      <c r="U669" s="30"/>
      <c r="V669" s="30"/>
    </row>
    <row r="670">
      <c r="A670" s="320"/>
      <c r="B670" s="142"/>
      <c r="C670" s="320"/>
      <c r="D670" s="142"/>
      <c r="E670" s="320"/>
      <c r="F670" s="142"/>
      <c r="G670" s="320"/>
      <c r="H670" s="142"/>
      <c r="I670" s="329"/>
      <c r="J670" s="124"/>
      <c r="K670" s="329"/>
      <c r="L670" s="124"/>
      <c r="M670" s="320"/>
      <c r="N670" s="142"/>
      <c r="O670" s="320"/>
      <c r="P670" s="142"/>
      <c r="Q670" s="360"/>
      <c r="R670" s="360"/>
      <c r="S670" s="320"/>
      <c r="T670" s="142"/>
      <c r="U670" s="30"/>
      <c r="V670" s="30"/>
    </row>
    <row r="671">
      <c r="A671" s="320"/>
      <c r="B671" s="142"/>
      <c r="C671" s="320"/>
      <c r="D671" s="142"/>
      <c r="E671" s="320"/>
      <c r="F671" s="142"/>
      <c r="G671" s="320"/>
      <c r="H671" s="142"/>
      <c r="I671" s="329"/>
      <c r="J671" s="124"/>
      <c r="K671" s="329"/>
      <c r="L671" s="124"/>
      <c r="M671" s="320"/>
      <c r="N671" s="142"/>
      <c r="O671" s="320"/>
      <c r="P671" s="142"/>
      <c r="Q671" s="360"/>
      <c r="R671" s="360"/>
      <c r="S671" s="320"/>
      <c r="T671" s="142"/>
      <c r="U671" s="30"/>
      <c r="V671" s="30"/>
    </row>
    <row r="672">
      <c r="A672" s="320"/>
      <c r="B672" s="142"/>
      <c r="C672" s="320"/>
      <c r="D672" s="142"/>
      <c r="E672" s="320"/>
      <c r="F672" s="142"/>
      <c r="G672" s="320"/>
      <c r="H672" s="142"/>
      <c r="I672" s="329"/>
      <c r="J672" s="124"/>
      <c r="K672" s="329"/>
      <c r="L672" s="124"/>
      <c r="M672" s="320"/>
      <c r="N672" s="142"/>
      <c r="O672" s="320"/>
      <c r="P672" s="142"/>
      <c r="Q672" s="360"/>
      <c r="R672" s="360"/>
      <c r="S672" s="320"/>
      <c r="T672" s="142"/>
      <c r="U672" s="30"/>
      <c r="V672" s="30"/>
    </row>
    <row r="673">
      <c r="A673" s="320"/>
      <c r="B673" s="142"/>
      <c r="C673" s="320"/>
      <c r="D673" s="142"/>
      <c r="E673" s="320"/>
      <c r="F673" s="142"/>
      <c r="G673" s="320"/>
      <c r="H673" s="142"/>
      <c r="I673" s="329"/>
      <c r="J673" s="124"/>
      <c r="K673" s="329"/>
      <c r="L673" s="124"/>
      <c r="M673" s="320"/>
      <c r="N673" s="142"/>
      <c r="O673" s="320"/>
      <c r="P673" s="142"/>
      <c r="Q673" s="360"/>
      <c r="R673" s="360"/>
      <c r="S673" s="320"/>
      <c r="T673" s="142"/>
      <c r="U673" s="30"/>
      <c r="V673" s="30"/>
    </row>
    <row r="674">
      <c r="A674" s="320"/>
      <c r="B674" s="142"/>
      <c r="C674" s="320"/>
      <c r="D674" s="142"/>
      <c r="E674" s="320"/>
      <c r="F674" s="142"/>
      <c r="G674" s="320"/>
      <c r="H674" s="142"/>
      <c r="I674" s="329"/>
      <c r="J674" s="124"/>
      <c r="K674" s="329"/>
      <c r="L674" s="124"/>
      <c r="M674" s="320"/>
      <c r="N674" s="142"/>
      <c r="O674" s="320"/>
      <c r="P674" s="142"/>
      <c r="Q674" s="360"/>
      <c r="R674" s="360"/>
      <c r="S674" s="320"/>
      <c r="T674" s="142"/>
      <c r="U674" s="30"/>
      <c r="V674" s="30"/>
    </row>
    <row r="675">
      <c r="A675" s="320"/>
      <c r="B675" s="142"/>
      <c r="C675" s="320"/>
      <c r="D675" s="142"/>
      <c r="E675" s="320"/>
      <c r="F675" s="142"/>
      <c r="G675" s="320"/>
      <c r="H675" s="142"/>
      <c r="I675" s="329"/>
      <c r="J675" s="124"/>
      <c r="K675" s="329"/>
      <c r="L675" s="124"/>
      <c r="M675" s="320"/>
      <c r="N675" s="142"/>
      <c r="O675" s="320"/>
      <c r="P675" s="142"/>
      <c r="Q675" s="360"/>
      <c r="R675" s="360"/>
      <c r="S675" s="320"/>
      <c r="T675" s="142"/>
      <c r="U675" s="30"/>
      <c r="V675" s="30"/>
    </row>
    <row r="676">
      <c r="A676" s="320"/>
      <c r="B676" s="142"/>
      <c r="C676" s="320"/>
      <c r="D676" s="142"/>
      <c r="E676" s="320"/>
      <c r="F676" s="142"/>
      <c r="G676" s="320"/>
      <c r="H676" s="142"/>
      <c r="I676" s="329"/>
      <c r="J676" s="124"/>
      <c r="K676" s="329"/>
      <c r="L676" s="124"/>
      <c r="M676" s="320"/>
      <c r="N676" s="142"/>
      <c r="O676" s="320"/>
      <c r="P676" s="142"/>
      <c r="Q676" s="360"/>
      <c r="R676" s="360"/>
      <c r="S676" s="320"/>
      <c r="T676" s="142"/>
      <c r="U676" s="30"/>
      <c r="V676" s="30"/>
    </row>
    <row r="677">
      <c r="A677" s="320"/>
      <c r="B677" s="142"/>
      <c r="C677" s="320"/>
      <c r="D677" s="142"/>
      <c r="E677" s="320"/>
      <c r="F677" s="142"/>
      <c r="G677" s="320"/>
      <c r="H677" s="142"/>
      <c r="I677" s="329"/>
      <c r="J677" s="124"/>
      <c r="K677" s="329"/>
      <c r="L677" s="124"/>
      <c r="M677" s="320"/>
      <c r="N677" s="142"/>
      <c r="O677" s="320"/>
      <c r="P677" s="142"/>
      <c r="Q677" s="360"/>
      <c r="R677" s="360"/>
      <c r="S677" s="320"/>
      <c r="T677" s="142"/>
      <c r="U677" s="30"/>
      <c r="V677" s="30"/>
    </row>
    <row r="678">
      <c r="A678" s="320"/>
      <c r="B678" s="142"/>
      <c r="C678" s="320"/>
      <c r="D678" s="142"/>
      <c r="E678" s="320"/>
      <c r="F678" s="142"/>
      <c r="G678" s="320"/>
      <c r="H678" s="142"/>
      <c r="I678" s="329"/>
      <c r="J678" s="124"/>
      <c r="K678" s="329"/>
      <c r="L678" s="124"/>
      <c r="M678" s="320"/>
      <c r="N678" s="142"/>
      <c r="O678" s="320"/>
      <c r="P678" s="142"/>
      <c r="Q678" s="360"/>
      <c r="R678" s="360"/>
      <c r="S678" s="320"/>
      <c r="T678" s="142"/>
      <c r="U678" s="30"/>
      <c r="V678" s="30"/>
    </row>
    <row r="679">
      <c r="A679" s="320"/>
      <c r="B679" s="142"/>
      <c r="C679" s="320"/>
      <c r="D679" s="142"/>
      <c r="E679" s="320"/>
      <c r="F679" s="142"/>
      <c r="G679" s="320"/>
      <c r="H679" s="142"/>
      <c r="I679" s="329"/>
      <c r="J679" s="124"/>
      <c r="K679" s="329"/>
      <c r="L679" s="124"/>
      <c r="M679" s="320"/>
      <c r="N679" s="142"/>
      <c r="O679" s="320"/>
      <c r="P679" s="142"/>
      <c r="Q679" s="360"/>
      <c r="R679" s="360"/>
      <c r="S679" s="320"/>
      <c r="T679" s="142"/>
      <c r="U679" s="30"/>
      <c r="V679" s="30"/>
    </row>
    <row r="680">
      <c r="A680" s="320"/>
      <c r="B680" s="142"/>
      <c r="C680" s="320"/>
      <c r="D680" s="142"/>
      <c r="E680" s="320"/>
      <c r="F680" s="142"/>
      <c r="G680" s="320"/>
      <c r="H680" s="142"/>
      <c r="I680" s="329"/>
      <c r="J680" s="124"/>
      <c r="K680" s="329"/>
      <c r="L680" s="124"/>
      <c r="M680" s="320"/>
      <c r="N680" s="142"/>
      <c r="O680" s="320"/>
      <c r="P680" s="142"/>
      <c r="Q680" s="360"/>
      <c r="R680" s="360"/>
      <c r="S680" s="320"/>
      <c r="T680" s="142"/>
      <c r="U680" s="30"/>
      <c r="V680" s="30"/>
    </row>
    <row r="681">
      <c r="A681" s="320"/>
      <c r="B681" s="142"/>
      <c r="C681" s="320"/>
      <c r="D681" s="142"/>
      <c r="E681" s="320"/>
      <c r="F681" s="142"/>
      <c r="G681" s="320"/>
      <c r="H681" s="142"/>
      <c r="I681" s="329"/>
      <c r="J681" s="124"/>
      <c r="K681" s="329"/>
      <c r="L681" s="124"/>
      <c r="M681" s="320"/>
      <c r="N681" s="142"/>
      <c r="O681" s="320"/>
      <c r="P681" s="142"/>
      <c r="Q681" s="360"/>
      <c r="R681" s="360"/>
      <c r="S681" s="320"/>
      <c r="T681" s="142"/>
      <c r="U681" s="30"/>
      <c r="V681" s="30"/>
    </row>
    <row r="682">
      <c r="A682" s="320"/>
      <c r="B682" s="142"/>
      <c r="C682" s="320"/>
      <c r="D682" s="142"/>
      <c r="E682" s="320"/>
      <c r="F682" s="142"/>
      <c r="G682" s="320"/>
      <c r="H682" s="142"/>
      <c r="I682" s="329"/>
      <c r="J682" s="124"/>
      <c r="K682" s="329"/>
      <c r="L682" s="124"/>
      <c r="M682" s="320"/>
      <c r="N682" s="142"/>
      <c r="O682" s="320"/>
      <c r="P682" s="142"/>
      <c r="Q682" s="360"/>
      <c r="R682" s="360"/>
      <c r="S682" s="320"/>
      <c r="T682" s="142"/>
      <c r="U682" s="30"/>
      <c r="V682" s="30"/>
    </row>
    <row r="683">
      <c r="A683" s="320"/>
      <c r="B683" s="142"/>
      <c r="C683" s="320"/>
      <c r="D683" s="142"/>
      <c r="E683" s="320"/>
      <c r="F683" s="142"/>
      <c r="G683" s="320"/>
      <c r="H683" s="142"/>
      <c r="I683" s="329"/>
      <c r="J683" s="124"/>
      <c r="K683" s="329"/>
      <c r="L683" s="124"/>
      <c r="M683" s="320"/>
      <c r="N683" s="142"/>
      <c r="O683" s="320"/>
      <c r="P683" s="142"/>
      <c r="Q683" s="360"/>
      <c r="R683" s="360"/>
      <c r="S683" s="320"/>
      <c r="T683" s="142"/>
      <c r="U683" s="30"/>
      <c r="V683" s="30"/>
    </row>
    <row r="684">
      <c r="A684" s="320"/>
      <c r="B684" s="142"/>
      <c r="C684" s="320"/>
      <c r="D684" s="142"/>
      <c r="E684" s="320"/>
      <c r="F684" s="142"/>
      <c r="G684" s="320"/>
      <c r="H684" s="142"/>
      <c r="I684" s="329"/>
      <c r="J684" s="124"/>
      <c r="K684" s="329"/>
      <c r="L684" s="124"/>
      <c r="M684" s="320"/>
      <c r="N684" s="142"/>
      <c r="O684" s="320"/>
      <c r="P684" s="142"/>
      <c r="Q684" s="360"/>
      <c r="R684" s="360"/>
      <c r="S684" s="320"/>
      <c r="T684" s="142"/>
      <c r="U684" s="30"/>
      <c r="V684" s="30"/>
    </row>
    <row r="685">
      <c r="A685" s="320"/>
      <c r="B685" s="142"/>
      <c r="C685" s="320"/>
      <c r="D685" s="142"/>
      <c r="E685" s="320"/>
      <c r="F685" s="142"/>
      <c r="G685" s="320"/>
      <c r="H685" s="142"/>
      <c r="I685" s="329"/>
      <c r="J685" s="124"/>
      <c r="K685" s="329"/>
      <c r="L685" s="124"/>
      <c r="M685" s="320"/>
      <c r="N685" s="142"/>
      <c r="O685" s="320"/>
      <c r="P685" s="142"/>
      <c r="Q685" s="360"/>
      <c r="R685" s="360"/>
      <c r="S685" s="320"/>
      <c r="T685" s="142"/>
      <c r="U685" s="30"/>
      <c r="V685" s="30"/>
    </row>
    <row r="686">
      <c r="A686" s="320"/>
      <c r="B686" s="142"/>
      <c r="C686" s="320"/>
      <c r="D686" s="142"/>
      <c r="E686" s="320"/>
      <c r="F686" s="142"/>
      <c r="G686" s="320"/>
      <c r="H686" s="142"/>
      <c r="I686" s="329"/>
      <c r="J686" s="124"/>
      <c r="K686" s="329"/>
      <c r="L686" s="124"/>
      <c r="M686" s="320"/>
      <c r="N686" s="142"/>
      <c r="O686" s="320"/>
      <c r="P686" s="142"/>
      <c r="Q686" s="360"/>
      <c r="R686" s="360"/>
      <c r="S686" s="320"/>
      <c r="T686" s="142"/>
      <c r="U686" s="30"/>
      <c r="V686" s="30"/>
    </row>
    <row r="687">
      <c r="A687" s="320"/>
      <c r="B687" s="142"/>
      <c r="C687" s="320"/>
      <c r="D687" s="142"/>
      <c r="E687" s="320"/>
      <c r="F687" s="142"/>
      <c r="G687" s="320"/>
      <c r="H687" s="142"/>
      <c r="I687" s="329"/>
      <c r="J687" s="124"/>
      <c r="K687" s="329"/>
      <c r="L687" s="124"/>
      <c r="M687" s="320"/>
      <c r="N687" s="142"/>
      <c r="O687" s="320"/>
      <c r="P687" s="142"/>
      <c r="Q687" s="360"/>
      <c r="R687" s="360"/>
      <c r="S687" s="320"/>
      <c r="T687" s="142"/>
      <c r="U687" s="30"/>
      <c r="V687" s="30"/>
    </row>
    <row r="688">
      <c r="A688" s="320"/>
      <c r="B688" s="142"/>
      <c r="C688" s="320"/>
      <c r="D688" s="142"/>
      <c r="E688" s="320"/>
      <c r="F688" s="142"/>
      <c r="G688" s="320"/>
      <c r="H688" s="142"/>
      <c r="I688" s="329"/>
      <c r="J688" s="124"/>
      <c r="K688" s="329"/>
      <c r="L688" s="124"/>
      <c r="M688" s="320"/>
      <c r="N688" s="142"/>
      <c r="O688" s="320"/>
      <c r="P688" s="142"/>
      <c r="Q688" s="360"/>
      <c r="R688" s="360"/>
      <c r="S688" s="320"/>
      <c r="T688" s="142"/>
      <c r="U688" s="30"/>
      <c r="V688" s="30"/>
    </row>
    <row r="689">
      <c r="A689" s="320"/>
      <c r="B689" s="142"/>
      <c r="C689" s="320"/>
      <c r="D689" s="142"/>
      <c r="E689" s="320"/>
      <c r="F689" s="142"/>
      <c r="G689" s="320"/>
      <c r="H689" s="142"/>
      <c r="I689" s="329"/>
      <c r="J689" s="124"/>
      <c r="K689" s="329"/>
      <c r="L689" s="124"/>
      <c r="M689" s="320"/>
      <c r="N689" s="142"/>
      <c r="O689" s="320"/>
      <c r="P689" s="142"/>
      <c r="Q689" s="360"/>
      <c r="R689" s="360"/>
      <c r="S689" s="320"/>
      <c r="T689" s="142"/>
      <c r="U689" s="30"/>
      <c r="V689" s="30"/>
    </row>
    <row r="690">
      <c r="A690" s="320"/>
      <c r="B690" s="142"/>
      <c r="C690" s="320"/>
      <c r="D690" s="142"/>
      <c r="E690" s="320"/>
      <c r="F690" s="142"/>
      <c r="G690" s="320"/>
      <c r="H690" s="142"/>
      <c r="I690" s="329"/>
      <c r="J690" s="124"/>
      <c r="K690" s="329"/>
      <c r="L690" s="124"/>
      <c r="M690" s="320"/>
      <c r="N690" s="142"/>
      <c r="O690" s="320"/>
      <c r="P690" s="142"/>
      <c r="Q690" s="360"/>
      <c r="R690" s="360"/>
      <c r="S690" s="320"/>
      <c r="T690" s="142"/>
      <c r="U690" s="30"/>
      <c r="V690" s="30"/>
    </row>
    <row r="691">
      <c r="A691" s="320"/>
      <c r="B691" s="142"/>
      <c r="C691" s="320"/>
      <c r="D691" s="142"/>
      <c r="E691" s="320"/>
      <c r="F691" s="142"/>
      <c r="G691" s="320"/>
      <c r="H691" s="142"/>
      <c r="I691" s="329"/>
      <c r="J691" s="124"/>
      <c r="K691" s="329"/>
      <c r="L691" s="124"/>
      <c r="M691" s="320"/>
      <c r="N691" s="142"/>
      <c r="O691" s="320"/>
      <c r="P691" s="142"/>
      <c r="Q691" s="360"/>
      <c r="R691" s="360"/>
      <c r="S691" s="320"/>
      <c r="T691" s="142"/>
      <c r="U691" s="30"/>
      <c r="V691" s="30"/>
    </row>
    <row r="692">
      <c r="A692" s="320"/>
      <c r="B692" s="142"/>
      <c r="C692" s="320"/>
      <c r="D692" s="142"/>
      <c r="E692" s="320"/>
      <c r="F692" s="142"/>
      <c r="G692" s="320"/>
      <c r="H692" s="142"/>
      <c r="I692" s="329"/>
      <c r="J692" s="124"/>
      <c r="K692" s="329"/>
      <c r="L692" s="124"/>
      <c r="M692" s="320"/>
      <c r="N692" s="142"/>
      <c r="O692" s="320"/>
      <c r="P692" s="142"/>
      <c r="Q692" s="360"/>
      <c r="R692" s="360"/>
      <c r="S692" s="320"/>
      <c r="T692" s="142"/>
      <c r="U692" s="30"/>
      <c r="V692" s="30"/>
    </row>
    <row r="693">
      <c r="A693" s="320"/>
      <c r="B693" s="142"/>
      <c r="C693" s="320"/>
      <c r="D693" s="142"/>
      <c r="E693" s="320"/>
      <c r="F693" s="142"/>
      <c r="G693" s="320"/>
      <c r="H693" s="142"/>
      <c r="I693" s="329"/>
      <c r="J693" s="124"/>
      <c r="K693" s="329"/>
      <c r="L693" s="124"/>
      <c r="M693" s="320"/>
      <c r="N693" s="142"/>
      <c r="O693" s="320"/>
      <c r="P693" s="142"/>
      <c r="Q693" s="360"/>
      <c r="R693" s="360"/>
      <c r="S693" s="320"/>
      <c r="T693" s="142"/>
      <c r="U693" s="30"/>
      <c r="V693" s="30"/>
    </row>
    <row r="694">
      <c r="A694" s="320"/>
      <c r="B694" s="142"/>
      <c r="C694" s="320"/>
      <c r="D694" s="142"/>
      <c r="E694" s="320"/>
      <c r="F694" s="142"/>
      <c r="G694" s="320"/>
      <c r="H694" s="142"/>
      <c r="I694" s="329"/>
      <c r="J694" s="124"/>
      <c r="K694" s="329"/>
      <c r="L694" s="124"/>
      <c r="M694" s="320"/>
      <c r="N694" s="142"/>
      <c r="O694" s="320"/>
      <c r="P694" s="142"/>
      <c r="Q694" s="360"/>
      <c r="R694" s="360"/>
      <c r="S694" s="320"/>
      <c r="T694" s="142"/>
      <c r="U694" s="30"/>
      <c r="V694" s="30"/>
    </row>
    <row r="695">
      <c r="A695" s="320"/>
      <c r="B695" s="142"/>
      <c r="C695" s="320"/>
      <c r="D695" s="142"/>
      <c r="E695" s="320"/>
      <c r="F695" s="142"/>
      <c r="G695" s="320"/>
      <c r="H695" s="142"/>
      <c r="I695" s="329"/>
      <c r="J695" s="124"/>
      <c r="K695" s="329"/>
      <c r="L695" s="124"/>
      <c r="M695" s="320"/>
      <c r="N695" s="142"/>
      <c r="O695" s="320"/>
      <c r="P695" s="142"/>
      <c r="Q695" s="360"/>
      <c r="R695" s="360"/>
      <c r="S695" s="320"/>
      <c r="T695" s="142"/>
      <c r="U695" s="30"/>
      <c r="V695" s="30"/>
    </row>
    <row r="696">
      <c r="A696" s="320"/>
      <c r="B696" s="142"/>
      <c r="C696" s="320"/>
      <c r="D696" s="142"/>
      <c r="E696" s="320"/>
      <c r="F696" s="142"/>
      <c r="G696" s="320"/>
      <c r="H696" s="142"/>
      <c r="I696" s="329"/>
      <c r="J696" s="124"/>
      <c r="K696" s="329"/>
      <c r="L696" s="124"/>
      <c r="M696" s="320"/>
      <c r="N696" s="142"/>
      <c r="O696" s="320"/>
      <c r="P696" s="142"/>
      <c r="Q696" s="360"/>
      <c r="R696" s="360"/>
      <c r="S696" s="320"/>
      <c r="T696" s="142"/>
      <c r="U696" s="30"/>
      <c r="V696" s="30"/>
    </row>
    <row r="697">
      <c r="A697" s="320"/>
      <c r="B697" s="142"/>
      <c r="C697" s="320"/>
      <c r="D697" s="142"/>
      <c r="E697" s="320"/>
      <c r="F697" s="142"/>
      <c r="G697" s="320"/>
      <c r="H697" s="142"/>
      <c r="I697" s="329"/>
      <c r="J697" s="124"/>
      <c r="K697" s="329"/>
      <c r="L697" s="124"/>
      <c r="M697" s="320"/>
      <c r="N697" s="142"/>
      <c r="O697" s="320"/>
      <c r="P697" s="142"/>
      <c r="Q697" s="360"/>
      <c r="R697" s="360"/>
      <c r="S697" s="320"/>
      <c r="T697" s="142"/>
      <c r="U697" s="30"/>
      <c r="V697" s="30"/>
    </row>
    <row r="698">
      <c r="A698" s="320"/>
      <c r="B698" s="142"/>
      <c r="C698" s="320"/>
      <c r="D698" s="142"/>
      <c r="E698" s="320"/>
      <c r="F698" s="142"/>
      <c r="G698" s="320"/>
      <c r="H698" s="142"/>
      <c r="I698" s="329"/>
      <c r="J698" s="124"/>
      <c r="K698" s="329"/>
      <c r="L698" s="124"/>
      <c r="M698" s="320"/>
      <c r="N698" s="142"/>
      <c r="O698" s="320"/>
      <c r="P698" s="142"/>
      <c r="Q698" s="360"/>
      <c r="R698" s="360"/>
      <c r="S698" s="320"/>
      <c r="T698" s="142"/>
      <c r="U698" s="30"/>
      <c r="V698" s="30"/>
    </row>
    <row r="699">
      <c r="A699" s="320"/>
      <c r="B699" s="142"/>
      <c r="C699" s="320"/>
      <c r="D699" s="142"/>
      <c r="E699" s="320"/>
      <c r="F699" s="142"/>
      <c r="G699" s="320"/>
      <c r="H699" s="142"/>
      <c r="I699" s="329"/>
      <c r="J699" s="124"/>
      <c r="K699" s="329"/>
      <c r="L699" s="124"/>
      <c r="M699" s="320"/>
      <c r="N699" s="142"/>
      <c r="O699" s="320"/>
      <c r="P699" s="142"/>
      <c r="Q699" s="360"/>
      <c r="R699" s="360"/>
      <c r="S699" s="320"/>
      <c r="T699" s="142"/>
      <c r="U699" s="30"/>
      <c r="V699" s="30"/>
    </row>
    <row r="700">
      <c r="A700" s="320"/>
      <c r="B700" s="142"/>
      <c r="C700" s="320"/>
      <c r="D700" s="142"/>
      <c r="E700" s="320"/>
      <c r="F700" s="142"/>
      <c r="G700" s="320"/>
      <c r="H700" s="142"/>
      <c r="I700" s="329"/>
      <c r="J700" s="124"/>
      <c r="K700" s="329"/>
      <c r="L700" s="124"/>
      <c r="M700" s="320"/>
      <c r="N700" s="142"/>
      <c r="O700" s="320"/>
      <c r="P700" s="142"/>
      <c r="Q700" s="360"/>
      <c r="R700" s="360"/>
      <c r="S700" s="320"/>
      <c r="T700" s="142"/>
      <c r="U700" s="30"/>
      <c r="V700" s="30"/>
    </row>
    <row r="701">
      <c r="A701" s="320"/>
      <c r="B701" s="142"/>
      <c r="C701" s="320"/>
      <c r="D701" s="142"/>
      <c r="E701" s="320"/>
      <c r="F701" s="142"/>
      <c r="G701" s="320"/>
      <c r="H701" s="142"/>
      <c r="I701" s="329"/>
      <c r="J701" s="124"/>
      <c r="K701" s="329"/>
      <c r="L701" s="124"/>
      <c r="M701" s="320"/>
      <c r="N701" s="142"/>
      <c r="O701" s="320"/>
      <c r="P701" s="142"/>
      <c r="Q701" s="360"/>
      <c r="R701" s="360"/>
      <c r="S701" s="320"/>
      <c r="T701" s="142"/>
      <c r="U701" s="30"/>
      <c r="V701" s="30"/>
    </row>
    <row r="702">
      <c r="A702" s="320"/>
      <c r="B702" s="142"/>
      <c r="C702" s="320"/>
      <c r="D702" s="142"/>
      <c r="E702" s="320"/>
      <c r="F702" s="142"/>
      <c r="G702" s="320"/>
      <c r="H702" s="142"/>
      <c r="I702" s="329"/>
      <c r="J702" s="124"/>
      <c r="K702" s="329"/>
      <c r="L702" s="124"/>
      <c r="M702" s="320"/>
      <c r="N702" s="142"/>
      <c r="O702" s="320"/>
      <c r="P702" s="142"/>
      <c r="Q702" s="360"/>
      <c r="R702" s="360"/>
      <c r="S702" s="320"/>
      <c r="T702" s="142"/>
      <c r="U702" s="30"/>
      <c r="V702" s="30"/>
    </row>
    <row r="703">
      <c r="A703" s="320"/>
      <c r="B703" s="142"/>
      <c r="C703" s="320"/>
      <c r="D703" s="142"/>
      <c r="E703" s="320"/>
      <c r="F703" s="142"/>
      <c r="G703" s="320"/>
      <c r="H703" s="142"/>
      <c r="I703" s="329"/>
      <c r="J703" s="124"/>
      <c r="K703" s="329"/>
      <c r="L703" s="124"/>
      <c r="M703" s="320"/>
      <c r="N703" s="142"/>
      <c r="O703" s="320"/>
      <c r="P703" s="142"/>
      <c r="Q703" s="360"/>
      <c r="R703" s="360"/>
      <c r="S703" s="320"/>
      <c r="T703" s="142"/>
      <c r="U703" s="30"/>
      <c r="V703" s="30"/>
    </row>
    <row r="704">
      <c r="A704" s="320"/>
      <c r="B704" s="142"/>
      <c r="C704" s="320"/>
      <c r="D704" s="142"/>
      <c r="E704" s="320"/>
      <c r="F704" s="142"/>
      <c r="G704" s="320"/>
      <c r="H704" s="142"/>
      <c r="I704" s="329"/>
      <c r="J704" s="124"/>
      <c r="K704" s="329"/>
      <c r="L704" s="124"/>
      <c r="M704" s="320"/>
      <c r="N704" s="142"/>
      <c r="O704" s="320"/>
      <c r="P704" s="142"/>
      <c r="Q704" s="360"/>
      <c r="R704" s="360"/>
      <c r="S704" s="320"/>
      <c r="T704" s="142"/>
      <c r="U704" s="30"/>
      <c r="V704" s="30"/>
    </row>
    <row r="705">
      <c r="A705" s="320"/>
      <c r="B705" s="142"/>
      <c r="C705" s="320"/>
      <c r="D705" s="142"/>
      <c r="E705" s="320"/>
      <c r="F705" s="142"/>
      <c r="G705" s="320"/>
      <c r="H705" s="142"/>
      <c r="I705" s="329"/>
      <c r="J705" s="124"/>
      <c r="K705" s="329"/>
      <c r="L705" s="124"/>
      <c r="M705" s="320"/>
      <c r="N705" s="142"/>
      <c r="O705" s="320"/>
      <c r="P705" s="142"/>
      <c r="Q705" s="360"/>
      <c r="R705" s="360"/>
      <c r="S705" s="320"/>
      <c r="T705" s="142"/>
      <c r="U705" s="30"/>
      <c r="V705" s="30"/>
    </row>
    <row r="706">
      <c r="A706" s="320"/>
      <c r="B706" s="142"/>
      <c r="C706" s="320"/>
      <c r="D706" s="142"/>
      <c r="E706" s="320"/>
      <c r="F706" s="142"/>
      <c r="G706" s="320"/>
      <c r="H706" s="142"/>
      <c r="I706" s="329"/>
      <c r="J706" s="124"/>
      <c r="K706" s="329"/>
      <c r="L706" s="124"/>
      <c r="M706" s="320"/>
      <c r="N706" s="142"/>
      <c r="O706" s="320"/>
      <c r="P706" s="142"/>
      <c r="Q706" s="360"/>
      <c r="R706" s="360"/>
      <c r="S706" s="320"/>
      <c r="T706" s="142"/>
      <c r="U706" s="30"/>
      <c r="V706" s="30"/>
    </row>
    <row r="707">
      <c r="A707" s="320"/>
      <c r="B707" s="142"/>
      <c r="C707" s="320"/>
      <c r="D707" s="142"/>
      <c r="E707" s="320"/>
      <c r="F707" s="142"/>
      <c r="G707" s="320"/>
      <c r="H707" s="142"/>
      <c r="I707" s="329"/>
      <c r="J707" s="124"/>
      <c r="K707" s="329"/>
      <c r="L707" s="124"/>
      <c r="M707" s="320"/>
      <c r="N707" s="142"/>
      <c r="O707" s="320"/>
      <c r="P707" s="142"/>
      <c r="Q707" s="360"/>
      <c r="R707" s="360"/>
      <c r="S707" s="320"/>
      <c r="T707" s="142"/>
      <c r="U707" s="30"/>
      <c r="V707" s="30"/>
    </row>
    <row r="708">
      <c r="A708" s="320"/>
      <c r="B708" s="142"/>
      <c r="C708" s="320"/>
      <c r="D708" s="142"/>
      <c r="E708" s="320"/>
      <c r="F708" s="142"/>
      <c r="G708" s="320"/>
      <c r="H708" s="142"/>
      <c r="I708" s="329"/>
      <c r="J708" s="124"/>
      <c r="K708" s="329"/>
      <c r="L708" s="124"/>
      <c r="M708" s="320"/>
      <c r="N708" s="142"/>
      <c r="O708" s="320"/>
      <c r="P708" s="142"/>
      <c r="Q708" s="360"/>
      <c r="R708" s="360"/>
      <c r="S708" s="320"/>
      <c r="T708" s="142"/>
      <c r="U708" s="30"/>
      <c r="V708" s="30"/>
    </row>
    <row r="709">
      <c r="A709" s="320"/>
      <c r="B709" s="142"/>
      <c r="C709" s="320"/>
      <c r="D709" s="142"/>
      <c r="E709" s="320"/>
      <c r="F709" s="142"/>
      <c r="G709" s="320"/>
      <c r="H709" s="142"/>
      <c r="I709" s="329"/>
      <c r="J709" s="124"/>
      <c r="K709" s="329"/>
      <c r="L709" s="124"/>
      <c r="M709" s="320"/>
      <c r="N709" s="142"/>
      <c r="O709" s="320"/>
      <c r="P709" s="142"/>
      <c r="Q709" s="360"/>
      <c r="R709" s="360"/>
      <c r="S709" s="320"/>
      <c r="T709" s="142"/>
      <c r="U709" s="30"/>
      <c r="V709" s="30"/>
    </row>
    <row r="710">
      <c r="A710" s="320"/>
      <c r="B710" s="142"/>
      <c r="C710" s="320"/>
      <c r="D710" s="142"/>
      <c r="E710" s="320"/>
      <c r="F710" s="142"/>
      <c r="G710" s="320"/>
      <c r="H710" s="142"/>
      <c r="I710" s="329"/>
      <c r="J710" s="124"/>
      <c r="K710" s="329"/>
      <c r="L710" s="124"/>
      <c r="M710" s="320"/>
      <c r="N710" s="142"/>
      <c r="O710" s="320"/>
      <c r="P710" s="142"/>
      <c r="Q710" s="360"/>
      <c r="R710" s="360"/>
      <c r="S710" s="320"/>
      <c r="T710" s="142"/>
      <c r="U710" s="30"/>
      <c r="V710" s="30"/>
    </row>
    <row r="711">
      <c r="A711" s="320"/>
      <c r="B711" s="142"/>
      <c r="C711" s="320"/>
      <c r="D711" s="142"/>
      <c r="E711" s="320"/>
      <c r="F711" s="142"/>
      <c r="G711" s="320"/>
      <c r="H711" s="142"/>
      <c r="I711" s="329"/>
      <c r="J711" s="124"/>
      <c r="K711" s="329"/>
      <c r="L711" s="124"/>
      <c r="M711" s="320"/>
      <c r="N711" s="142"/>
      <c r="O711" s="320"/>
      <c r="P711" s="142"/>
      <c r="Q711" s="360"/>
      <c r="R711" s="360"/>
      <c r="S711" s="320"/>
      <c r="T711" s="142"/>
      <c r="U711" s="30"/>
      <c r="V711" s="30"/>
    </row>
    <row r="712">
      <c r="A712" s="320"/>
      <c r="B712" s="142"/>
      <c r="C712" s="320"/>
      <c r="D712" s="142"/>
      <c r="E712" s="320"/>
      <c r="F712" s="142"/>
      <c r="G712" s="320"/>
      <c r="H712" s="142"/>
      <c r="I712" s="329"/>
      <c r="J712" s="124"/>
      <c r="K712" s="329"/>
      <c r="L712" s="124"/>
      <c r="M712" s="320"/>
      <c r="N712" s="142"/>
      <c r="O712" s="320"/>
      <c r="P712" s="142"/>
      <c r="Q712" s="360"/>
      <c r="R712" s="360"/>
      <c r="S712" s="320"/>
      <c r="T712" s="142"/>
      <c r="U712" s="30"/>
      <c r="V712" s="30"/>
    </row>
    <row r="713">
      <c r="A713" s="320"/>
      <c r="B713" s="142"/>
      <c r="C713" s="320"/>
      <c r="D713" s="142"/>
      <c r="E713" s="320"/>
      <c r="F713" s="142"/>
      <c r="G713" s="320"/>
      <c r="H713" s="142"/>
      <c r="I713" s="329"/>
      <c r="J713" s="124"/>
      <c r="K713" s="329"/>
      <c r="L713" s="124"/>
      <c r="M713" s="320"/>
      <c r="N713" s="142"/>
      <c r="O713" s="320"/>
      <c r="P713" s="142"/>
      <c r="Q713" s="360"/>
      <c r="R713" s="360"/>
      <c r="S713" s="320"/>
      <c r="T713" s="142"/>
      <c r="U713" s="30"/>
      <c r="V713" s="30"/>
    </row>
    <row r="714">
      <c r="A714" s="320"/>
      <c r="B714" s="142"/>
      <c r="C714" s="320"/>
      <c r="D714" s="142"/>
      <c r="E714" s="320"/>
      <c r="F714" s="142"/>
      <c r="G714" s="320"/>
      <c r="H714" s="142"/>
      <c r="I714" s="329"/>
      <c r="J714" s="124"/>
      <c r="K714" s="329"/>
      <c r="L714" s="124"/>
      <c r="M714" s="320"/>
      <c r="N714" s="142"/>
      <c r="O714" s="320"/>
      <c r="P714" s="142"/>
      <c r="Q714" s="360"/>
      <c r="R714" s="360"/>
      <c r="S714" s="320"/>
      <c r="T714" s="142"/>
      <c r="U714" s="30"/>
      <c r="V714" s="30"/>
    </row>
    <row r="715">
      <c r="A715" s="320"/>
      <c r="B715" s="142"/>
      <c r="C715" s="320"/>
      <c r="D715" s="142"/>
      <c r="E715" s="320"/>
      <c r="F715" s="142"/>
      <c r="G715" s="320"/>
      <c r="H715" s="142"/>
      <c r="I715" s="329"/>
      <c r="J715" s="124"/>
      <c r="K715" s="329"/>
      <c r="L715" s="124"/>
      <c r="M715" s="320"/>
      <c r="N715" s="142"/>
      <c r="O715" s="320"/>
      <c r="P715" s="142"/>
      <c r="Q715" s="360"/>
      <c r="R715" s="360"/>
      <c r="S715" s="320"/>
      <c r="T715" s="142"/>
      <c r="U715" s="30"/>
      <c r="V715" s="30"/>
    </row>
    <row r="716">
      <c r="A716" s="320"/>
      <c r="B716" s="142"/>
      <c r="C716" s="320"/>
      <c r="D716" s="142"/>
      <c r="E716" s="320"/>
      <c r="F716" s="142"/>
      <c r="G716" s="320"/>
      <c r="H716" s="142"/>
      <c r="I716" s="329"/>
      <c r="J716" s="124"/>
      <c r="K716" s="329"/>
      <c r="L716" s="124"/>
      <c r="M716" s="320"/>
      <c r="N716" s="142"/>
      <c r="O716" s="320"/>
      <c r="P716" s="142"/>
      <c r="Q716" s="360"/>
      <c r="R716" s="360"/>
      <c r="S716" s="320"/>
      <c r="T716" s="142"/>
      <c r="U716" s="30"/>
      <c r="V716" s="30"/>
    </row>
    <row r="717">
      <c r="A717" s="320"/>
      <c r="B717" s="142"/>
      <c r="C717" s="320"/>
      <c r="D717" s="142"/>
      <c r="E717" s="320"/>
      <c r="F717" s="142"/>
      <c r="G717" s="320"/>
      <c r="H717" s="142"/>
      <c r="I717" s="329"/>
      <c r="J717" s="124"/>
      <c r="K717" s="329"/>
      <c r="L717" s="124"/>
      <c r="M717" s="320"/>
      <c r="N717" s="142"/>
      <c r="O717" s="320"/>
      <c r="P717" s="142"/>
      <c r="Q717" s="360"/>
      <c r="R717" s="360"/>
      <c r="S717" s="320"/>
      <c r="T717" s="142"/>
      <c r="U717" s="30"/>
      <c r="V717" s="30"/>
    </row>
    <row r="718">
      <c r="A718" s="320"/>
      <c r="B718" s="142"/>
      <c r="C718" s="320"/>
      <c r="D718" s="142"/>
      <c r="E718" s="320"/>
      <c r="F718" s="142"/>
      <c r="G718" s="320"/>
      <c r="H718" s="142"/>
      <c r="I718" s="329"/>
      <c r="J718" s="124"/>
      <c r="K718" s="329"/>
      <c r="L718" s="124"/>
      <c r="M718" s="320"/>
      <c r="N718" s="142"/>
      <c r="O718" s="320"/>
      <c r="P718" s="142"/>
      <c r="Q718" s="360"/>
      <c r="R718" s="360"/>
      <c r="S718" s="320"/>
      <c r="T718" s="142"/>
      <c r="U718" s="30"/>
      <c r="V718" s="30"/>
    </row>
    <row r="719">
      <c r="A719" s="320"/>
      <c r="B719" s="142"/>
      <c r="C719" s="320"/>
      <c r="D719" s="142"/>
      <c r="E719" s="320"/>
      <c r="F719" s="142"/>
      <c r="G719" s="320"/>
      <c r="H719" s="142"/>
      <c r="I719" s="329"/>
      <c r="J719" s="124"/>
      <c r="K719" s="329"/>
      <c r="L719" s="124"/>
      <c r="M719" s="320"/>
      <c r="N719" s="142"/>
      <c r="O719" s="320"/>
      <c r="P719" s="142"/>
      <c r="Q719" s="360"/>
      <c r="R719" s="360"/>
      <c r="S719" s="320"/>
      <c r="T719" s="142"/>
      <c r="U719" s="30"/>
      <c r="V719" s="30"/>
    </row>
    <row r="720">
      <c r="A720" s="320"/>
      <c r="B720" s="142"/>
      <c r="C720" s="320"/>
      <c r="D720" s="142"/>
      <c r="E720" s="320"/>
      <c r="F720" s="142"/>
      <c r="G720" s="320"/>
      <c r="H720" s="142"/>
      <c r="I720" s="329"/>
      <c r="J720" s="124"/>
      <c r="K720" s="329"/>
      <c r="L720" s="124"/>
      <c r="M720" s="320"/>
      <c r="N720" s="142"/>
      <c r="O720" s="320"/>
      <c r="P720" s="142"/>
      <c r="Q720" s="360"/>
      <c r="R720" s="360"/>
      <c r="S720" s="320"/>
      <c r="T720" s="142"/>
      <c r="U720" s="30"/>
      <c r="V720" s="30"/>
    </row>
    <row r="721">
      <c r="A721" s="320"/>
      <c r="B721" s="142"/>
      <c r="C721" s="320"/>
      <c r="D721" s="142"/>
      <c r="E721" s="320"/>
      <c r="F721" s="142"/>
      <c r="G721" s="320"/>
      <c r="H721" s="142"/>
      <c r="I721" s="329"/>
      <c r="J721" s="124"/>
      <c r="K721" s="329"/>
      <c r="L721" s="124"/>
      <c r="M721" s="320"/>
      <c r="N721" s="142"/>
      <c r="O721" s="320"/>
      <c r="P721" s="142"/>
      <c r="Q721" s="360"/>
      <c r="R721" s="360"/>
      <c r="S721" s="320"/>
      <c r="T721" s="142"/>
      <c r="U721" s="30"/>
      <c r="V721" s="30"/>
    </row>
    <row r="722">
      <c r="A722" s="320"/>
      <c r="B722" s="142"/>
      <c r="C722" s="320"/>
      <c r="D722" s="142"/>
      <c r="E722" s="320"/>
      <c r="F722" s="142"/>
      <c r="G722" s="320"/>
      <c r="H722" s="142"/>
      <c r="I722" s="329"/>
      <c r="J722" s="124"/>
      <c r="K722" s="329"/>
      <c r="L722" s="124"/>
      <c r="M722" s="320"/>
      <c r="N722" s="142"/>
      <c r="O722" s="320"/>
      <c r="P722" s="142"/>
      <c r="Q722" s="360"/>
      <c r="R722" s="360"/>
      <c r="S722" s="320"/>
      <c r="T722" s="142"/>
      <c r="U722" s="30"/>
      <c r="V722" s="30"/>
    </row>
    <row r="723">
      <c r="A723" s="320"/>
      <c r="B723" s="142"/>
      <c r="C723" s="320"/>
      <c r="D723" s="142"/>
      <c r="E723" s="320"/>
      <c r="F723" s="142"/>
      <c r="G723" s="320"/>
      <c r="H723" s="142"/>
      <c r="I723" s="329"/>
      <c r="J723" s="124"/>
      <c r="K723" s="329"/>
      <c r="L723" s="124"/>
      <c r="M723" s="320"/>
      <c r="N723" s="142"/>
      <c r="O723" s="320"/>
      <c r="P723" s="142"/>
      <c r="Q723" s="360"/>
      <c r="R723" s="360"/>
      <c r="S723" s="320"/>
      <c r="T723" s="142"/>
      <c r="U723" s="30"/>
      <c r="V723" s="30"/>
    </row>
    <row r="724">
      <c r="A724" s="320"/>
      <c r="B724" s="142"/>
      <c r="C724" s="320"/>
      <c r="D724" s="142"/>
      <c r="E724" s="320"/>
      <c r="F724" s="142"/>
      <c r="G724" s="320"/>
      <c r="H724" s="142"/>
      <c r="I724" s="329"/>
      <c r="J724" s="124"/>
      <c r="K724" s="329"/>
      <c r="L724" s="124"/>
      <c r="M724" s="320"/>
      <c r="N724" s="142"/>
      <c r="O724" s="320"/>
      <c r="P724" s="142"/>
      <c r="Q724" s="360"/>
      <c r="R724" s="360"/>
      <c r="S724" s="320"/>
      <c r="T724" s="142"/>
      <c r="U724" s="30"/>
      <c r="V724" s="30"/>
    </row>
    <row r="725">
      <c r="A725" s="320"/>
      <c r="B725" s="142"/>
      <c r="C725" s="320"/>
      <c r="D725" s="142"/>
      <c r="E725" s="320"/>
      <c r="F725" s="142"/>
      <c r="G725" s="320"/>
      <c r="H725" s="142"/>
      <c r="I725" s="329"/>
      <c r="J725" s="124"/>
      <c r="K725" s="329"/>
      <c r="L725" s="124"/>
      <c r="M725" s="320"/>
      <c r="N725" s="142"/>
      <c r="O725" s="320"/>
      <c r="P725" s="142"/>
      <c r="Q725" s="360"/>
      <c r="R725" s="360"/>
      <c r="S725" s="320"/>
      <c r="T725" s="142"/>
      <c r="U725" s="30"/>
      <c r="V725" s="30"/>
    </row>
    <row r="726">
      <c r="A726" s="320"/>
      <c r="B726" s="142"/>
      <c r="C726" s="320"/>
      <c r="D726" s="142"/>
      <c r="E726" s="320"/>
      <c r="F726" s="142"/>
      <c r="G726" s="320"/>
      <c r="H726" s="142"/>
      <c r="I726" s="329"/>
      <c r="J726" s="124"/>
      <c r="K726" s="329"/>
      <c r="L726" s="124"/>
      <c r="M726" s="320"/>
      <c r="N726" s="142"/>
      <c r="O726" s="320"/>
      <c r="P726" s="142"/>
      <c r="Q726" s="360"/>
      <c r="R726" s="360"/>
      <c r="S726" s="320"/>
      <c r="T726" s="142"/>
      <c r="U726" s="30"/>
      <c r="V726" s="30"/>
    </row>
    <row r="727">
      <c r="A727" s="320"/>
      <c r="B727" s="142"/>
      <c r="C727" s="320"/>
      <c r="D727" s="142"/>
      <c r="E727" s="320"/>
      <c r="F727" s="142"/>
      <c r="G727" s="320"/>
      <c r="H727" s="142"/>
      <c r="I727" s="329"/>
      <c r="J727" s="124"/>
      <c r="K727" s="329"/>
      <c r="L727" s="124"/>
      <c r="M727" s="320"/>
      <c r="N727" s="142"/>
      <c r="O727" s="320"/>
      <c r="P727" s="142"/>
      <c r="Q727" s="360"/>
      <c r="R727" s="360"/>
      <c r="S727" s="320"/>
      <c r="T727" s="142"/>
      <c r="U727" s="30"/>
      <c r="V727" s="30"/>
    </row>
    <row r="728">
      <c r="A728" s="320"/>
      <c r="B728" s="142"/>
      <c r="C728" s="320"/>
      <c r="D728" s="142"/>
      <c r="E728" s="320"/>
      <c r="F728" s="142"/>
      <c r="G728" s="320"/>
      <c r="H728" s="142"/>
      <c r="I728" s="329"/>
      <c r="J728" s="124"/>
      <c r="K728" s="329"/>
      <c r="L728" s="124"/>
      <c r="M728" s="320"/>
      <c r="N728" s="142"/>
      <c r="O728" s="320"/>
      <c r="P728" s="142"/>
      <c r="Q728" s="360"/>
      <c r="R728" s="360"/>
      <c r="S728" s="320"/>
      <c r="T728" s="142"/>
      <c r="U728" s="30"/>
      <c r="V728" s="30"/>
    </row>
    <row r="729">
      <c r="A729" s="320"/>
      <c r="B729" s="142"/>
      <c r="C729" s="320"/>
      <c r="D729" s="142"/>
      <c r="E729" s="320"/>
      <c r="F729" s="142"/>
      <c r="G729" s="320"/>
      <c r="H729" s="142"/>
      <c r="I729" s="329"/>
      <c r="J729" s="124"/>
      <c r="K729" s="329"/>
      <c r="L729" s="124"/>
      <c r="M729" s="320"/>
      <c r="N729" s="142"/>
      <c r="O729" s="320"/>
      <c r="P729" s="142"/>
      <c r="Q729" s="360"/>
      <c r="R729" s="360"/>
      <c r="S729" s="320"/>
      <c r="T729" s="142"/>
      <c r="U729" s="30"/>
      <c r="V729" s="30"/>
    </row>
    <row r="730">
      <c r="A730" s="320"/>
      <c r="B730" s="142"/>
      <c r="C730" s="320"/>
      <c r="D730" s="142"/>
      <c r="E730" s="320"/>
      <c r="F730" s="142"/>
      <c r="G730" s="320"/>
      <c r="H730" s="142"/>
      <c r="I730" s="329"/>
      <c r="J730" s="124"/>
      <c r="K730" s="329"/>
      <c r="L730" s="124"/>
      <c r="M730" s="320"/>
      <c r="N730" s="142"/>
      <c r="O730" s="320"/>
      <c r="P730" s="142"/>
      <c r="Q730" s="360"/>
      <c r="R730" s="360"/>
      <c r="S730" s="320"/>
      <c r="T730" s="142"/>
      <c r="U730" s="30"/>
      <c r="V730" s="30"/>
    </row>
    <row r="731">
      <c r="A731" s="320"/>
      <c r="B731" s="142"/>
      <c r="C731" s="320"/>
      <c r="D731" s="142"/>
      <c r="E731" s="320"/>
      <c r="F731" s="142"/>
      <c r="G731" s="320"/>
      <c r="H731" s="142"/>
      <c r="I731" s="329"/>
      <c r="J731" s="124"/>
      <c r="K731" s="329"/>
      <c r="L731" s="124"/>
      <c r="M731" s="320"/>
      <c r="N731" s="142"/>
      <c r="O731" s="320"/>
      <c r="P731" s="142"/>
      <c r="Q731" s="360"/>
      <c r="R731" s="360"/>
      <c r="S731" s="320"/>
      <c r="T731" s="142"/>
      <c r="U731" s="30"/>
      <c r="V731" s="30"/>
    </row>
    <row r="732">
      <c r="A732" s="320"/>
      <c r="B732" s="142"/>
      <c r="C732" s="320"/>
      <c r="D732" s="142"/>
      <c r="E732" s="320"/>
      <c r="F732" s="142"/>
      <c r="G732" s="320"/>
      <c r="H732" s="142"/>
      <c r="I732" s="329"/>
      <c r="J732" s="124"/>
      <c r="K732" s="329"/>
      <c r="L732" s="124"/>
      <c r="M732" s="320"/>
      <c r="N732" s="142"/>
      <c r="O732" s="320"/>
      <c r="P732" s="142"/>
      <c r="Q732" s="360"/>
      <c r="R732" s="360"/>
      <c r="S732" s="320"/>
      <c r="T732" s="142"/>
      <c r="U732" s="30"/>
      <c r="V732" s="30"/>
    </row>
    <row r="733">
      <c r="A733" s="320"/>
      <c r="B733" s="142"/>
      <c r="C733" s="320"/>
      <c r="D733" s="142"/>
      <c r="E733" s="320"/>
      <c r="F733" s="142"/>
      <c r="G733" s="320"/>
      <c r="H733" s="142"/>
      <c r="I733" s="329"/>
      <c r="J733" s="124"/>
      <c r="K733" s="329"/>
      <c r="L733" s="124"/>
      <c r="M733" s="320"/>
      <c r="N733" s="142"/>
      <c r="O733" s="320"/>
      <c r="P733" s="142"/>
      <c r="Q733" s="360"/>
      <c r="R733" s="360"/>
      <c r="S733" s="320"/>
      <c r="T733" s="142"/>
      <c r="U733" s="30"/>
      <c r="V733" s="30"/>
    </row>
    <row r="734">
      <c r="A734" s="320"/>
      <c r="B734" s="142"/>
      <c r="C734" s="320"/>
      <c r="D734" s="142"/>
      <c r="E734" s="320"/>
      <c r="F734" s="142"/>
      <c r="G734" s="320"/>
      <c r="H734" s="142"/>
      <c r="I734" s="329"/>
      <c r="J734" s="124"/>
      <c r="K734" s="329"/>
      <c r="L734" s="124"/>
      <c r="M734" s="320"/>
      <c r="N734" s="142"/>
      <c r="O734" s="320"/>
      <c r="P734" s="142"/>
      <c r="Q734" s="360"/>
      <c r="R734" s="360"/>
      <c r="S734" s="320"/>
      <c r="T734" s="142"/>
      <c r="U734" s="30"/>
      <c r="V734" s="30"/>
    </row>
    <row r="735">
      <c r="A735" s="320"/>
      <c r="B735" s="142"/>
      <c r="C735" s="320"/>
      <c r="D735" s="142"/>
      <c r="E735" s="320"/>
      <c r="F735" s="142"/>
      <c r="G735" s="320"/>
      <c r="H735" s="142"/>
      <c r="I735" s="329"/>
      <c r="J735" s="124"/>
      <c r="K735" s="329"/>
      <c r="L735" s="124"/>
      <c r="M735" s="320"/>
      <c r="N735" s="142"/>
      <c r="O735" s="320"/>
      <c r="P735" s="142"/>
      <c r="Q735" s="360"/>
      <c r="R735" s="360"/>
      <c r="S735" s="320"/>
      <c r="T735" s="142"/>
      <c r="U735" s="30"/>
      <c r="V735" s="30"/>
    </row>
    <row r="736">
      <c r="A736" s="320"/>
      <c r="B736" s="142"/>
      <c r="C736" s="320"/>
      <c r="D736" s="142"/>
      <c r="E736" s="320"/>
      <c r="F736" s="142"/>
      <c r="G736" s="320"/>
      <c r="H736" s="142"/>
      <c r="I736" s="329"/>
      <c r="J736" s="124"/>
      <c r="K736" s="329"/>
      <c r="L736" s="124"/>
      <c r="M736" s="320"/>
      <c r="N736" s="142"/>
      <c r="O736" s="320"/>
      <c r="P736" s="142"/>
      <c r="Q736" s="360"/>
      <c r="R736" s="360"/>
      <c r="S736" s="320"/>
      <c r="T736" s="142"/>
      <c r="U736" s="30"/>
      <c r="V736" s="30"/>
    </row>
    <row r="737">
      <c r="A737" s="320"/>
      <c r="B737" s="142"/>
      <c r="C737" s="320"/>
      <c r="D737" s="142"/>
      <c r="E737" s="320"/>
      <c r="F737" s="142"/>
      <c r="G737" s="320"/>
      <c r="H737" s="142"/>
      <c r="I737" s="329"/>
      <c r="J737" s="124"/>
      <c r="K737" s="329"/>
      <c r="L737" s="124"/>
      <c r="M737" s="320"/>
      <c r="N737" s="142"/>
      <c r="O737" s="320"/>
      <c r="P737" s="142"/>
      <c r="Q737" s="360"/>
      <c r="R737" s="360"/>
      <c r="S737" s="320"/>
      <c r="T737" s="142"/>
      <c r="U737" s="30"/>
      <c r="V737" s="30"/>
    </row>
    <row r="738">
      <c r="A738" s="320"/>
      <c r="B738" s="142"/>
      <c r="C738" s="320"/>
      <c r="D738" s="142"/>
      <c r="E738" s="320"/>
      <c r="F738" s="142"/>
      <c r="G738" s="320"/>
      <c r="H738" s="142"/>
      <c r="I738" s="329"/>
      <c r="J738" s="124"/>
      <c r="K738" s="329"/>
      <c r="L738" s="124"/>
      <c r="M738" s="320"/>
      <c r="N738" s="142"/>
      <c r="O738" s="320"/>
      <c r="P738" s="142"/>
      <c r="Q738" s="360"/>
      <c r="R738" s="360"/>
      <c r="S738" s="320"/>
      <c r="T738" s="142"/>
      <c r="U738" s="30"/>
      <c r="V738" s="30"/>
    </row>
    <row r="739">
      <c r="A739" s="320"/>
      <c r="B739" s="142"/>
      <c r="C739" s="320"/>
      <c r="D739" s="142"/>
      <c r="E739" s="320"/>
      <c r="F739" s="142"/>
      <c r="G739" s="320"/>
      <c r="H739" s="142"/>
      <c r="I739" s="329"/>
      <c r="J739" s="124"/>
      <c r="K739" s="329"/>
      <c r="L739" s="124"/>
      <c r="M739" s="320"/>
      <c r="N739" s="142"/>
      <c r="O739" s="320"/>
      <c r="P739" s="142"/>
      <c r="Q739" s="360"/>
      <c r="R739" s="360"/>
      <c r="S739" s="320"/>
      <c r="T739" s="142"/>
      <c r="U739" s="30"/>
      <c r="V739" s="30"/>
    </row>
    <row r="740">
      <c r="A740" s="320"/>
      <c r="B740" s="142"/>
      <c r="C740" s="320"/>
      <c r="D740" s="142"/>
      <c r="E740" s="320"/>
      <c r="F740" s="142"/>
      <c r="G740" s="320"/>
      <c r="H740" s="142"/>
      <c r="I740" s="329"/>
      <c r="J740" s="124"/>
      <c r="K740" s="329"/>
      <c r="L740" s="124"/>
      <c r="M740" s="320"/>
      <c r="N740" s="142"/>
      <c r="O740" s="320"/>
      <c r="P740" s="142"/>
      <c r="Q740" s="360"/>
      <c r="R740" s="360"/>
      <c r="S740" s="320"/>
      <c r="T740" s="142"/>
      <c r="U740" s="30"/>
      <c r="V740" s="30"/>
    </row>
    <row r="741">
      <c r="A741" s="320"/>
      <c r="B741" s="142"/>
      <c r="C741" s="320"/>
      <c r="D741" s="142"/>
      <c r="E741" s="320"/>
      <c r="F741" s="142"/>
      <c r="G741" s="320"/>
      <c r="H741" s="142"/>
      <c r="I741" s="329"/>
      <c r="J741" s="124"/>
      <c r="K741" s="329"/>
      <c r="L741" s="124"/>
      <c r="M741" s="320"/>
      <c r="N741" s="142"/>
      <c r="O741" s="320"/>
      <c r="P741" s="142"/>
      <c r="Q741" s="360"/>
      <c r="R741" s="360"/>
      <c r="S741" s="320"/>
      <c r="T741" s="142"/>
      <c r="U741" s="30"/>
      <c r="V741" s="30"/>
    </row>
    <row r="742">
      <c r="A742" s="320"/>
      <c r="B742" s="142"/>
      <c r="C742" s="320"/>
      <c r="D742" s="142"/>
      <c r="E742" s="320"/>
      <c r="F742" s="142"/>
      <c r="G742" s="320"/>
      <c r="H742" s="142"/>
      <c r="I742" s="329"/>
      <c r="J742" s="124"/>
      <c r="K742" s="329"/>
      <c r="L742" s="124"/>
      <c r="M742" s="320"/>
      <c r="N742" s="142"/>
      <c r="O742" s="320"/>
      <c r="P742" s="142"/>
      <c r="Q742" s="360"/>
      <c r="R742" s="360"/>
      <c r="S742" s="320"/>
      <c r="T742" s="142"/>
      <c r="U742" s="30"/>
      <c r="V742" s="30"/>
    </row>
    <row r="743">
      <c r="A743" s="320"/>
      <c r="B743" s="142"/>
      <c r="C743" s="320"/>
      <c r="D743" s="142"/>
      <c r="E743" s="320"/>
      <c r="F743" s="142"/>
      <c r="G743" s="320"/>
      <c r="H743" s="142"/>
      <c r="I743" s="329"/>
      <c r="J743" s="124"/>
      <c r="K743" s="329"/>
      <c r="L743" s="124"/>
      <c r="M743" s="320"/>
      <c r="N743" s="142"/>
      <c r="O743" s="320"/>
      <c r="P743" s="142"/>
      <c r="Q743" s="360"/>
      <c r="R743" s="360"/>
      <c r="S743" s="320"/>
      <c r="T743" s="142"/>
      <c r="U743" s="30"/>
      <c r="V743" s="30"/>
    </row>
    <row r="744">
      <c r="A744" s="320"/>
      <c r="B744" s="142"/>
      <c r="C744" s="320"/>
      <c r="D744" s="142"/>
      <c r="E744" s="320"/>
      <c r="F744" s="142"/>
      <c r="G744" s="320"/>
      <c r="H744" s="142"/>
      <c r="I744" s="329"/>
      <c r="J744" s="124"/>
      <c r="K744" s="329"/>
      <c r="L744" s="124"/>
      <c r="M744" s="320"/>
      <c r="N744" s="142"/>
      <c r="O744" s="320"/>
      <c r="P744" s="142"/>
      <c r="Q744" s="360"/>
      <c r="R744" s="360"/>
      <c r="S744" s="320"/>
      <c r="T744" s="142"/>
      <c r="U744" s="30"/>
      <c r="V744" s="30"/>
    </row>
    <row r="745">
      <c r="A745" s="320"/>
      <c r="B745" s="142"/>
      <c r="C745" s="320"/>
      <c r="D745" s="142"/>
      <c r="E745" s="320"/>
      <c r="F745" s="142"/>
      <c r="G745" s="320"/>
      <c r="H745" s="142"/>
      <c r="I745" s="329"/>
      <c r="J745" s="124"/>
      <c r="K745" s="329"/>
      <c r="L745" s="124"/>
      <c r="M745" s="320"/>
      <c r="N745" s="142"/>
      <c r="O745" s="320"/>
      <c r="P745" s="142"/>
      <c r="Q745" s="360"/>
      <c r="R745" s="360"/>
      <c r="S745" s="320"/>
      <c r="T745" s="142"/>
      <c r="U745" s="30"/>
      <c r="V745" s="30"/>
    </row>
    <row r="746">
      <c r="A746" s="320"/>
      <c r="B746" s="142"/>
      <c r="C746" s="320"/>
      <c r="D746" s="142"/>
      <c r="E746" s="320"/>
      <c r="F746" s="142"/>
      <c r="G746" s="320"/>
      <c r="H746" s="142"/>
      <c r="I746" s="329"/>
      <c r="J746" s="124"/>
      <c r="K746" s="329"/>
      <c r="L746" s="124"/>
      <c r="M746" s="320"/>
      <c r="N746" s="142"/>
      <c r="O746" s="320"/>
      <c r="P746" s="142"/>
      <c r="Q746" s="360"/>
      <c r="R746" s="360"/>
      <c r="S746" s="320"/>
      <c r="T746" s="142"/>
      <c r="U746" s="30"/>
      <c r="V746" s="30"/>
    </row>
    <row r="747">
      <c r="A747" s="320"/>
      <c r="B747" s="142"/>
      <c r="C747" s="320"/>
      <c r="D747" s="142"/>
      <c r="E747" s="320"/>
      <c r="F747" s="142"/>
      <c r="G747" s="320"/>
      <c r="H747" s="142"/>
      <c r="I747" s="329"/>
      <c r="J747" s="124"/>
      <c r="K747" s="329"/>
      <c r="L747" s="124"/>
      <c r="M747" s="320"/>
      <c r="N747" s="142"/>
      <c r="O747" s="320"/>
      <c r="P747" s="142"/>
      <c r="Q747" s="360"/>
      <c r="R747" s="360"/>
      <c r="S747" s="320"/>
      <c r="T747" s="142"/>
      <c r="U747" s="30"/>
      <c r="V747" s="30"/>
    </row>
    <row r="748">
      <c r="A748" s="320"/>
      <c r="B748" s="142"/>
      <c r="C748" s="320"/>
      <c r="D748" s="142"/>
      <c r="E748" s="320"/>
      <c r="F748" s="142"/>
      <c r="G748" s="320"/>
      <c r="H748" s="142"/>
      <c r="I748" s="329"/>
      <c r="J748" s="124"/>
      <c r="K748" s="329"/>
      <c r="L748" s="124"/>
      <c r="M748" s="320"/>
      <c r="N748" s="142"/>
      <c r="O748" s="320"/>
      <c r="P748" s="142"/>
      <c r="Q748" s="360"/>
      <c r="R748" s="360"/>
      <c r="S748" s="320"/>
      <c r="T748" s="142"/>
      <c r="U748" s="30"/>
      <c r="V748" s="30"/>
    </row>
    <row r="749">
      <c r="A749" s="320"/>
      <c r="B749" s="142"/>
      <c r="C749" s="320"/>
      <c r="D749" s="142"/>
      <c r="E749" s="320"/>
      <c r="F749" s="142"/>
      <c r="G749" s="320"/>
      <c r="H749" s="142"/>
      <c r="I749" s="329"/>
      <c r="J749" s="124"/>
      <c r="K749" s="329"/>
      <c r="L749" s="124"/>
      <c r="M749" s="320"/>
      <c r="N749" s="142"/>
      <c r="O749" s="320"/>
      <c r="P749" s="142"/>
      <c r="Q749" s="360"/>
      <c r="R749" s="360"/>
      <c r="S749" s="320"/>
      <c r="T749" s="142"/>
      <c r="U749" s="30"/>
      <c r="V749" s="30"/>
    </row>
    <row r="750">
      <c r="A750" s="320"/>
      <c r="B750" s="142"/>
      <c r="C750" s="320"/>
      <c r="D750" s="142"/>
      <c r="E750" s="320"/>
      <c r="F750" s="142"/>
      <c r="G750" s="320"/>
      <c r="H750" s="142"/>
      <c r="I750" s="329"/>
      <c r="J750" s="124"/>
      <c r="K750" s="329"/>
      <c r="L750" s="124"/>
      <c r="M750" s="320"/>
      <c r="N750" s="142"/>
      <c r="O750" s="320"/>
      <c r="P750" s="142"/>
      <c r="Q750" s="360"/>
      <c r="R750" s="360"/>
      <c r="S750" s="320"/>
      <c r="T750" s="142"/>
      <c r="U750" s="30"/>
      <c r="V750" s="30"/>
    </row>
    <row r="751">
      <c r="A751" s="320"/>
      <c r="B751" s="142"/>
      <c r="C751" s="320"/>
      <c r="D751" s="142"/>
      <c r="E751" s="320"/>
      <c r="F751" s="142"/>
      <c r="G751" s="320"/>
      <c r="H751" s="142"/>
      <c r="I751" s="329"/>
      <c r="J751" s="124"/>
      <c r="K751" s="329"/>
      <c r="L751" s="124"/>
      <c r="M751" s="320"/>
      <c r="N751" s="142"/>
      <c r="O751" s="320"/>
      <c r="P751" s="142"/>
      <c r="Q751" s="360"/>
      <c r="R751" s="360"/>
      <c r="S751" s="320"/>
      <c r="T751" s="142"/>
      <c r="U751" s="30"/>
      <c r="V751" s="30"/>
    </row>
    <row r="752">
      <c r="A752" s="320"/>
      <c r="B752" s="142"/>
      <c r="C752" s="320"/>
      <c r="D752" s="142"/>
      <c r="E752" s="320"/>
      <c r="F752" s="142"/>
      <c r="G752" s="320"/>
      <c r="H752" s="142"/>
      <c r="I752" s="329"/>
      <c r="J752" s="124"/>
      <c r="K752" s="329"/>
      <c r="L752" s="124"/>
      <c r="M752" s="320"/>
      <c r="N752" s="142"/>
      <c r="O752" s="320"/>
      <c r="P752" s="142"/>
      <c r="Q752" s="360"/>
      <c r="R752" s="360"/>
      <c r="S752" s="320"/>
      <c r="T752" s="142"/>
      <c r="U752" s="30"/>
      <c r="V752" s="30"/>
    </row>
    <row r="753">
      <c r="A753" s="320"/>
      <c r="B753" s="142"/>
      <c r="C753" s="320"/>
      <c r="D753" s="142"/>
      <c r="E753" s="320"/>
      <c r="F753" s="142"/>
      <c r="G753" s="320"/>
      <c r="H753" s="142"/>
      <c r="I753" s="329"/>
      <c r="J753" s="124"/>
      <c r="K753" s="329"/>
      <c r="L753" s="124"/>
      <c r="M753" s="320"/>
      <c r="N753" s="142"/>
      <c r="O753" s="320"/>
      <c r="P753" s="142"/>
      <c r="Q753" s="360"/>
      <c r="R753" s="360"/>
      <c r="S753" s="320"/>
      <c r="T753" s="142"/>
      <c r="U753" s="30"/>
      <c r="V753" s="30"/>
    </row>
    <row r="754">
      <c r="A754" s="320"/>
      <c r="B754" s="142"/>
      <c r="C754" s="320"/>
      <c r="D754" s="142"/>
      <c r="E754" s="320"/>
      <c r="F754" s="142"/>
      <c r="G754" s="320"/>
      <c r="H754" s="142"/>
      <c r="I754" s="329"/>
      <c r="J754" s="124"/>
      <c r="K754" s="329"/>
      <c r="L754" s="124"/>
      <c r="M754" s="320"/>
      <c r="N754" s="142"/>
      <c r="O754" s="320"/>
      <c r="P754" s="142"/>
      <c r="Q754" s="360"/>
      <c r="R754" s="360"/>
      <c r="S754" s="320"/>
      <c r="T754" s="142"/>
      <c r="U754" s="30"/>
      <c r="V754" s="30"/>
    </row>
    <row r="755">
      <c r="A755" s="320"/>
      <c r="B755" s="142"/>
      <c r="C755" s="320"/>
      <c r="D755" s="142"/>
      <c r="E755" s="320"/>
      <c r="F755" s="142"/>
      <c r="G755" s="320"/>
      <c r="H755" s="142"/>
      <c r="I755" s="329"/>
      <c r="J755" s="124"/>
      <c r="K755" s="329"/>
      <c r="L755" s="124"/>
      <c r="M755" s="320"/>
      <c r="N755" s="142"/>
      <c r="O755" s="320"/>
      <c r="P755" s="142"/>
      <c r="Q755" s="360"/>
      <c r="R755" s="360"/>
      <c r="S755" s="320"/>
      <c r="T755" s="142"/>
      <c r="U755" s="30"/>
      <c r="V755" s="30"/>
    </row>
    <row r="756">
      <c r="A756" s="320"/>
      <c r="B756" s="142"/>
      <c r="C756" s="320"/>
      <c r="D756" s="142"/>
      <c r="E756" s="320"/>
      <c r="F756" s="142"/>
      <c r="G756" s="320"/>
      <c r="H756" s="142"/>
      <c r="I756" s="329"/>
      <c r="J756" s="124"/>
      <c r="K756" s="329"/>
      <c r="L756" s="124"/>
      <c r="M756" s="320"/>
      <c r="N756" s="142"/>
      <c r="O756" s="320"/>
      <c r="P756" s="142"/>
      <c r="Q756" s="360"/>
      <c r="R756" s="360"/>
      <c r="S756" s="320"/>
      <c r="T756" s="142"/>
      <c r="U756" s="30"/>
      <c r="V756" s="30"/>
    </row>
    <row r="757">
      <c r="A757" s="320"/>
      <c r="B757" s="142"/>
      <c r="C757" s="320"/>
      <c r="D757" s="142"/>
      <c r="E757" s="320"/>
      <c r="F757" s="142"/>
      <c r="G757" s="320"/>
      <c r="H757" s="142"/>
      <c r="I757" s="329"/>
      <c r="J757" s="124"/>
      <c r="K757" s="329"/>
      <c r="L757" s="124"/>
      <c r="M757" s="320"/>
      <c r="N757" s="142"/>
      <c r="O757" s="320"/>
      <c r="P757" s="142"/>
      <c r="Q757" s="360"/>
      <c r="R757" s="360"/>
      <c r="S757" s="320"/>
      <c r="T757" s="142"/>
      <c r="U757" s="30"/>
      <c r="V757" s="30"/>
    </row>
    <row r="758">
      <c r="A758" s="320"/>
      <c r="B758" s="142"/>
      <c r="C758" s="320"/>
      <c r="D758" s="142"/>
      <c r="E758" s="320"/>
      <c r="F758" s="142"/>
      <c r="G758" s="320"/>
      <c r="H758" s="142"/>
      <c r="I758" s="329"/>
      <c r="J758" s="124"/>
      <c r="K758" s="329"/>
      <c r="L758" s="124"/>
      <c r="M758" s="320"/>
      <c r="N758" s="142"/>
      <c r="O758" s="320"/>
      <c r="P758" s="142"/>
      <c r="Q758" s="360"/>
      <c r="R758" s="360"/>
      <c r="S758" s="320"/>
      <c r="T758" s="142"/>
      <c r="U758" s="30"/>
      <c r="V758" s="30"/>
    </row>
    <row r="759">
      <c r="A759" s="320"/>
      <c r="B759" s="142"/>
      <c r="C759" s="320"/>
      <c r="D759" s="142"/>
      <c r="E759" s="320"/>
      <c r="F759" s="142"/>
      <c r="G759" s="320"/>
      <c r="H759" s="142"/>
      <c r="I759" s="329"/>
      <c r="J759" s="124"/>
      <c r="K759" s="329"/>
      <c r="L759" s="124"/>
      <c r="M759" s="320"/>
      <c r="N759" s="142"/>
      <c r="O759" s="320"/>
      <c r="P759" s="142"/>
      <c r="Q759" s="360"/>
      <c r="R759" s="360"/>
      <c r="S759" s="320"/>
      <c r="T759" s="142"/>
      <c r="U759" s="30"/>
      <c r="V759" s="30"/>
    </row>
    <row r="760">
      <c r="A760" s="320"/>
      <c r="B760" s="142"/>
      <c r="C760" s="320"/>
      <c r="D760" s="142"/>
      <c r="E760" s="320"/>
      <c r="F760" s="142"/>
      <c r="G760" s="320"/>
      <c r="H760" s="142"/>
      <c r="I760" s="329"/>
      <c r="J760" s="124"/>
      <c r="K760" s="329"/>
      <c r="L760" s="124"/>
      <c r="M760" s="320"/>
      <c r="N760" s="142"/>
      <c r="O760" s="320"/>
      <c r="P760" s="142"/>
      <c r="Q760" s="360"/>
      <c r="R760" s="360"/>
      <c r="S760" s="320"/>
      <c r="T760" s="142"/>
      <c r="U760" s="30"/>
      <c r="V760" s="30"/>
    </row>
    <row r="761">
      <c r="A761" s="320"/>
      <c r="B761" s="142"/>
      <c r="C761" s="320"/>
      <c r="D761" s="142"/>
      <c r="E761" s="320"/>
      <c r="F761" s="142"/>
      <c r="G761" s="320"/>
      <c r="H761" s="142"/>
      <c r="I761" s="329"/>
      <c r="J761" s="124"/>
      <c r="K761" s="329"/>
      <c r="L761" s="124"/>
      <c r="M761" s="320"/>
      <c r="N761" s="142"/>
      <c r="O761" s="320"/>
      <c r="P761" s="142"/>
      <c r="Q761" s="360"/>
      <c r="R761" s="360"/>
      <c r="S761" s="320"/>
      <c r="T761" s="142"/>
      <c r="U761" s="30"/>
      <c r="V761" s="30"/>
    </row>
    <row r="762">
      <c r="A762" s="320"/>
      <c r="B762" s="142"/>
      <c r="C762" s="320"/>
      <c r="D762" s="142"/>
      <c r="E762" s="320"/>
      <c r="F762" s="142"/>
      <c r="G762" s="320"/>
      <c r="H762" s="142"/>
      <c r="I762" s="329"/>
      <c r="J762" s="124"/>
      <c r="K762" s="329"/>
      <c r="L762" s="124"/>
      <c r="M762" s="320"/>
      <c r="N762" s="142"/>
      <c r="O762" s="320"/>
      <c r="P762" s="142"/>
      <c r="Q762" s="360"/>
      <c r="R762" s="360"/>
      <c r="S762" s="320"/>
      <c r="T762" s="142"/>
      <c r="U762" s="30"/>
      <c r="V762" s="30"/>
    </row>
    <row r="763">
      <c r="A763" s="320"/>
      <c r="B763" s="142"/>
      <c r="C763" s="320"/>
      <c r="D763" s="142"/>
      <c r="E763" s="320"/>
      <c r="F763" s="142"/>
      <c r="G763" s="320"/>
      <c r="H763" s="142"/>
      <c r="I763" s="329"/>
      <c r="J763" s="124"/>
      <c r="K763" s="329"/>
      <c r="L763" s="124"/>
      <c r="M763" s="320"/>
      <c r="N763" s="142"/>
      <c r="O763" s="320"/>
      <c r="P763" s="142"/>
      <c r="Q763" s="360"/>
      <c r="R763" s="360"/>
      <c r="S763" s="320"/>
      <c r="T763" s="142"/>
      <c r="U763" s="30"/>
      <c r="V763" s="30"/>
    </row>
    <row r="764">
      <c r="A764" s="320"/>
      <c r="B764" s="142"/>
      <c r="C764" s="320"/>
      <c r="D764" s="142"/>
      <c r="E764" s="320"/>
      <c r="F764" s="142"/>
      <c r="G764" s="320"/>
      <c r="H764" s="142"/>
      <c r="I764" s="329"/>
      <c r="J764" s="124"/>
      <c r="K764" s="329"/>
      <c r="L764" s="124"/>
      <c r="M764" s="320"/>
      <c r="N764" s="142"/>
      <c r="O764" s="320"/>
      <c r="P764" s="142"/>
      <c r="Q764" s="360"/>
      <c r="R764" s="360"/>
      <c r="S764" s="320"/>
      <c r="T764" s="142"/>
      <c r="U764" s="30"/>
      <c r="V764" s="30"/>
    </row>
    <row r="765">
      <c r="A765" s="320"/>
      <c r="B765" s="142"/>
      <c r="C765" s="320"/>
      <c r="D765" s="142"/>
      <c r="E765" s="320"/>
      <c r="F765" s="142"/>
      <c r="G765" s="320"/>
      <c r="H765" s="142"/>
      <c r="I765" s="329"/>
      <c r="J765" s="124"/>
      <c r="K765" s="329"/>
      <c r="L765" s="124"/>
      <c r="M765" s="320"/>
      <c r="N765" s="142"/>
      <c r="O765" s="320"/>
      <c r="P765" s="142"/>
      <c r="Q765" s="360"/>
      <c r="R765" s="360"/>
      <c r="S765" s="320"/>
      <c r="T765" s="142"/>
      <c r="U765" s="30"/>
      <c r="V765" s="30"/>
    </row>
    <row r="766">
      <c r="A766" s="320"/>
      <c r="B766" s="142"/>
      <c r="C766" s="320"/>
      <c r="D766" s="142"/>
      <c r="E766" s="320"/>
      <c r="F766" s="142"/>
      <c r="G766" s="320"/>
      <c r="H766" s="142"/>
      <c r="I766" s="329"/>
      <c r="J766" s="124"/>
      <c r="K766" s="329"/>
      <c r="L766" s="124"/>
      <c r="M766" s="320"/>
      <c r="N766" s="142"/>
      <c r="O766" s="320"/>
      <c r="P766" s="142"/>
      <c r="Q766" s="360"/>
      <c r="R766" s="360"/>
      <c r="S766" s="320"/>
      <c r="T766" s="142"/>
      <c r="U766" s="30"/>
      <c r="V766" s="30"/>
    </row>
    <row r="767">
      <c r="A767" s="320"/>
      <c r="B767" s="142"/>
      <c r="C767" s="320"/>
      <c r="D767" s="142"/>
      <c r="E767" s="320"/>
      <c r="F767" s="142"/>
      <c r="G767" s="320"/>
      <c r="H767" s="142"/>
      <c r="I767" s="329"/>
      <c r="J767" s="124"/>
      <c r="K767" s="329"/>
      <c r="L767" s="124"/>
      <c r="M767" s="320"/>
      <c r="N767" s="142"/>
      <c r="O767" s="320"/>
      <c r="P767" s="142"/>
      <c r="Q767" s="360"/>
      <c r="R767" s="360"/>
      <c r="S767" s="320"/>
      <c r="T767" s="142"/>
      <c r="U767" s="30"/>
      <c r="V767" s="30"/>
    </row>
    <row r="768">
      <c r="A768" s="320"/>
      <c r="B768" s="142"/>
      <c r="C768" s="320"/>
      <c r="D768" s="142"/>
      <c r="E768" s="320"/>
      <c r="F768" s="142"/>
      <c r="G768" s="320"/>
      <c r="H768" s="142"/>
      <c r="I768" s="329"/>
      <c r="J768" s="124"/>
      <c r="K768" s="329"/>
      <c r="L768" s="124"/>
      <c r="M768" s="320"/>
      <c r="N768" s="142"/>
      <c r="O768" s="320"/>
      <c r="P768" s="142"/>
      <c r="Q768" s="360"/>
      <c r="R768" s="360"/>
      <c r="S768" s="320"/>
      <c r="T768" s="142"/>
      <c r="U768" s="30"/>
      <c r="V768" s="30"/>
    </row>
    <row r="769">
      <c r="A769" s="320"/>
      <c r="B769" s="142"/>
      <c r="C769" s="320"/>
      <c r="D769" s="142"/>
      <c r="E769" s="320"/>
      <c r="F769" s="142"/>
      <c r="G769" s="320"/>
      <c r="H769" s="142"/>
      <c r="I769" s="329"/>
      <c r="J769" s="124"/>
      <c r="K769" s="329"/>
      <c r="L769" s="124"/>
      <c r="M769" s="320"/>
      <c r="N769" s="142"/>
      <c r="O769" s="320"/>
      <c r="P769" s="142"/>
      <c r="Q769" s="360"/>
      <c r="R769" s="360"/>
      <c r="S769" s="320"/>
      <c r="T769" s="142"/>
      <c r="U769" s="30"/>
      <c r="V769" s="30"/>
    </row>
    <row r="770">
      <c r="A770" s="320"/>
      <c r="B770" s="142"/>
      <c r="C770" s="320"/>
      <c r="D770" s="142"/>
      <c r="E770" s="320"/>
      <c r="F770" s="142"/>
      <c r="G770" s="320"/>
      <c r="H770" s="142"/>
      <c r="I770" s="329"/>
      <c r="J770" s="124"/>
      <c r="K770" s="329"/>
      <c r="L770" s="124"/>
      <c r="M770" s="320"/>
      <c r="N770" s="142"/>
      <c r="O770" s="320"/>
      <c r="P770" s="142"/>
      <c r="Q770" s="360"/>
      <c r="R770" s="360"/>
      <c r="S770" s="320"/>
      <c r="T770" s="142"/>
      <c r="U770" s="30"/>
      <c r="V770" s="30"/>
    </row>
    <row r="771">
      <c r="A771" s="320"/>
      <c r="B771" s="142"/>
      <c r="C771" s="320"/>
      <c r="D771" s="142"/>
      <c r="E771" s="320"/>
      <c r="F771" s="142"/>
      <c r="G771" s="320"/>
      <c r="H771" s="142"/>
      <c r="I771" s="329"/>
      <c r="J771" s="124"/>
      <c r="K771" s="329"/>
      <c r="L771" s="124"/>
      <c r="M771" s="320"/>
      <c r="N771" s="142"/>
      <c r="O771" s="320"/>
      <c r="P771" s="142"/>
      <c r="Q771" s="360"/>
      <c r="R771" s="360"/>
      <c r="S771" s="320"/>
      <c r="T771" s="142"/>
      <c r="U771" s="30"/>
      <c r="V771" s="30"/>
    </row>
    <row r="772">
      <c r="A772" s="320"/>
      <c r="B772" s="142"/>
      <c r="C772" s="320"/>
      <c r="D772" s="142"/>
      <c r="E772" s="320"/>
      <c r="F772" s="142"/>
      <c r="G772" s="320"/>
      <c r="H772" s="142"/>
      <c r="I772" s="329"/>
      <c r="J772" s="124"/>
      <c r="K772" s="329"/>
      <c r="L772" s="124"/>
      <c r="M772" s="320"/>
      <c r="N772" s="142"/>
      <c r="O772" s="320"/>
      <c r="P772" s="142"/>
      <c r="Q772" s="360"/>
      <c r="R772" s="360"/>
      <c r="S772" s="320"/>
      <c r="T772" s="142"/>
      <c r="U772" s="30"/>
      <c r="V772" s="30"/>
    </row>
    <row r="773">
      <c r="A773" s="320"/>
      <c r="B773" s="142"/>
      <c r="C773" s="320"/>
      <c r="D773" s="142"/>
      <c r="E773" s="320"/>
      <c r="F773" s="142"/>
      <c r="G773" s="320"/>
      <c r="H773" s="142"/>
      <c r="I773" s="329"/>
      <c r="J773" s="124"/>
      <c r="K773" s="329"/>
      <c r="L773" s="124"/>
      <c r="M773" s="320"/>
      <c r="N773" s="142"/>
      <c r="O773" s="320"/>
      <c r="P773" s="142"/>
      <c r="Q773" s="360"/>
      <c r="R773" s="360"/>
      <c r="S773" s="320"/>
      <c r="T773" s="142"/>
      <c r="U773" s="30"/>
      <c r="V773" s="30"/>
    </row>
    <row r="774">
      <c r="A774" s="320"/>
      <c r="B774" s="142"/>
      <c r="C774" s="320"/>
      <c r="D774" s="142"/>
      <c r="E774" s="320"/>
      <c r="F774" s="142"/>
      <c r="G774" s="320"/>
      <c r="H774" s="142"/>
      <c r="I774" s="329"/>
      <c r="J774" s="124"/>
      <c r="K774" s="329"/>
      <c r="L774" s="124"/>
      <c r="M774" s="320"/>
      <c r="N774" s="142"/>
      <c r="O774" s="320"/>
      <c r="P774" s="142"/>
      <c r="Q774" s="360"/>
      <c r="R774" s="360"/>
      <c r="S774" s="320"/>
      <c r="T774" s="142"/>
      <c r="U774" s="30"/>
      <c r="V774" s="30"/>
    </row>
    <row r="775">
      <c r="A775" s="320"/>
      <c r="B775" s="142"/>
      <c r="C775" s="320"/>
      <c r="D775" s="142"/>
      <c r="E775" s="320"/>
      <c r="F775" s="142"/>
      <c r="G775" s="320"/>
      <c r="H775" s="142"/>
      <c r="I775" s="329"/>
      <c r="J775" s="124"/>
      <c r="K775" s="329"/>
      <c r="L775" s="124"/>
      <c r="M775" s="320"/>
      <c r="N775" s="142"/>
      <c r="O775" s="320"/>
      <c r="P775" s="142"/>
      <c r="Q775" s="360"/>
      <c r="R775" s="360"/>
      <c r="S775" s="320"/>
      <c r="T775" s="142"/>
      <c r="U775" s="30"/>
      <c r="V775" s="30"/>
    </row>
    <row r="776">
      <c r="A776" s="320"/>
      <c r="B776" s="142"/>
      <c r="C776" s="320"/>
      <c r="D776" s="142"/>
      <c r="E776" s="320"/>
      <c r="F776" s="142"/>
      <c r="G776" s="320"/>
      <c r="H776" s="142"/>
      <c r="I776" s="329"/>
      <c r="J776" s="124"/>
      <c r="K776" s="329"/>
      <c r="L776" s="124"/>
      <c r="M776" s="320"/>
      <c r="N776" s="142"/>
      <c r="O776" s="320"/>
      <c r="P776" s="142"/>
      <c r="Q776" s="360"/>
      <c r="R776" s="360"/>
      <c r="S776" s="320"/>
      <c r="T776" s="142"/>
      <c r="U776" s="30"/>
      <c r="V776" s="30"/>
    </row>
    <row r="777">
      <c r="A777" s="320"/>
      <c r="B777" s="142"/>
      <c r="C777" s="320"/>
      <c r="D777" s="142"/>
      <c r="E777" s="320"/>
      <c r="F777" s="142"/>
      <c r="G777" s="320"/>
      <c r="H777" s="142"/>
      <c r="I777" s="329"/>
      <c r="J777" s="124"/>
      <c r="K777" s="329"/>
      <c r="L777" s="124"/>
      <c r="M777" s="320"/>
      <c r="N777" s="142"/>
      <c r="O777" s="320"/>
      <c r="P777" s="142"/>
      <c r="Q777" s="360"/>
      <c r="R777" s="360"/>
      <c r="S777" s="320"/>
      <c r="T777" s="142"/>
      <c r="U777" s="30"/>
      <c r="V777" s="30"/>
    </row>
    <row r="778">
      <c r="A778" s="320"/>
      <c r="B778" s="142"/>
      <c r="C778" s="320"/>
      <c r="D778" s="142"/>
      <c r="E778" s="320"/>
      <c r="F778" s="142"/>
      <c r="G778" s="320"/>
      <c r="H778" s="142"/>
      <c r="I778" s="329"/>
      <c r="J778" s="124"/>
      <c r="K778" s="329"/>
      <c r="L778" s="124"/>
      <c r="M778" s="320"/>
      <c r="N778" s="142"/>
      <c r="O778" s="320"/>
      <c r="P778" s="142"/>
      <c r="Q778" s="360"/>
      <c r="R778" s="360"/>
      <c r="S778" s="320"/>
      <c r="T778" s="142"/>
      <c r="U778" s="30"/>
      <c r="V778" s="30"/>
    </row>
    <row r="779">
      <c r="A779" s="320"/>
      <c r="B779" s="142"/>
      <c r="C779" s="320"/>
      <c r="D779" s="142"/>
      <c r="E779" s="320"/>
      <c r="F779" s="142"/>
      <c r="G779" s="320"/>
      <c r="H779" s="142"/>
      <c r="I779" s="329"/>
      <c r="J779" s="124"/>
      <c r="K779" s="329"/>
      <c r="L779" s="124"/>
      <c r="M779" s="320"/>
      <c r="N779" s="142"/>
      <c r="O779" s="320"/>
      <c r="P779" s="142"/>
      <c r="Q779" s="360"/>
      <c r="R779" s="360"/>
      <c r="S779" s="320"/>
      <c r="T779" s="142"/>
      <c r="U779" s="30"/>
      <c r="V779" s="30"/>
    </row>
    <row r="780">
      <c r="A780" s="320"/>
      <c r="B780" s="142"/>
      <c r="C780" s="320"/>
      <c r="D780" s="142"/>
      <c r="E780" s="320"/>
      <c r="F780" s="142"/>
      <c r="G780" s="320"/>
      <c r="H780" s="142"/>
      <c r="I780" s="329"/>
      <c r="J780" s="124"/>
      <c r="K780" s="329"/>
      <c r="L780" s="124"/>
      <c r="M780" s="320"/>
      <c r="N780" s="142"/>
      <c r="O780" s="320"/>
      <c r="P780" s="142"/>
      <c r="Q780" s="360"/>
      <c r="R780" s="360"/>
      <c r="S780" s="320"/>
      <c r="T780" s="142"/>
      <c r="U780" s="30"/>
      <c r="V780" s="30"/>
    </row>
    <row r="781">
      <c r="A781" s="320"/>
      <c r="B781" s="142"/>
      <c r="C781" s="320"/>
      <c r="D781" s="142"/>
      <c r="E781" s="320"/>
      <c r="F781" s="142"/>
      <c r="G781" s="320"/>
      <c r="H781" s="142"/>
      <c r="I781" s="329"/>
      <c r="J781" s="124"/>
      <c r="K781" s="329"/>
      <c r="L781" s="124"/>
      <c r="M781" s="320"/>
      <c r="N781" s="142"/>
      <c r="O781" s="320"/>
      <c r="P781" s="142"/>
      <c r="Q781" s="360"/>
      <c r="R781" s="360"/>
      <c r="S781" s="320"/>
      <c r="T781" s="142"/>
      <c r="U781" s="30"/>
      <c r="V781" s="30"/>
    </row>
    <row r="782">
      <c r="A782" s="320"/>
      <c r="B782" s="142"/>
      <c r="C782" s="320"/>
      <c r="D782" s="142"/>
      <c r="E782" s="320"/>
      <c r="F782" s="142"/>
      <c r="G782" s="320"/>
      <c r="H782" s="142"/>
      <c r="I782" s="329"/>
      <c r="J782" s="124"/>
      <c r="K782" s="329"/>
      <c r="L782" s="124"/>
      <c r="M782" s="320"/>
      <c r="N782" s="142"/>
      <c r="O782" s="320"/>
      <c r="P782" s="142"/>
      <c r="Q782" s="360"/>
      <c r="R782" s="360"/>
      <c r="S782" s="320"/>
      <c r="T782" s="142"/>
      <c r="U782" s="30"/>
      <c r="V782" s="30"/>
    </row>
    <row r="783">
      <c r="A783" s="320"/>
      <c r="B783" s="142"/>
      <c r="C783" s="320"/>
      <c r="D783" s="142"/>
      <c r="E783" s="320"/>
      <c r="F783" s="142"/>
      <c r="G783" s="320"/>
      <c r="H783" s="142"/>
      <c r="I783" s="329"/>
      <c r="J783" s="124"/>
      <c r="K783" s="329"/>
      <c r="L783" s="124"/>
      <c r="M783" s="320"/>
      <c r="N783" s="142"/>
      <c r="O783" s="320"/>
      <c r="P783" s="142"/>
      <c r="Q783" s="360"/>
      <c r="R783" s="360"/>
      <c r="S783" s="320"/>
      <c r="T783" s="142"/>
      <c r="U783" s="30"/>
      <c r="V783" s="30"/>
    </row>
    <row r="784">
      <c r="A784" s="320"/>
      <c r="B784" s="142"/>
      <c r="C784" s="320"/>
      <c r="D784" s="142"/>
      <c r="E784" s="320"/>
      <c r="F784" s="142"/>
      <c r="G784" s="320"/>
      <c r="H784" s="142"/>
      <c r="I784" s="329"/>
      <c r="J784" s="124"/>
      <c r="K784" s="329"/>
      <c r="L784" s="124"/>
      <c r="M784" s="320"/>
      <c r="N784" s="142"/>
      <c r="O784" s="320"/>
      <c r="P784" s="142"/>
      <c r="Q784" s="360"/>
      <c r="R784" s="360"/>
      <c r="S784" s="320"/>
      <c r="T784" s="142"/>
      <c r="U784" s="30"/>
      <c r="V784" s="30"/>
    </row>
    <row r="785">
      <c r="A785" s="320"/>
      <c r="B785" s="142"/>
      <c r="C785" s="320"/>
      <c r="D785" s="142"/>
      <c r="E785" s="320"/>
      <c r="F785" s="142"/>
      <c r="G785" s="320"/>
      <c r="H785" s="142"/>
      <c r="I785" s="329"/>
      <c r="J785" s="124"/>
      <c r="K785" s="329"/>
      <c r="L785" s="124"/>
      <c r="M785" s="320"/>
      <c r="N785" s="142"/>
      <c r="O785" s="320"/>
      <c r="P785" s="142"/>
      <c r="Q785" s="360"/>
      <c r="R785" s="360"/>
      <c r="S785" s="320"/>
      <c r="T785" s="142"/>
      <c r="U785" s="30"/>
      <c r="V785" s="30"/>
    </row>
    <row r="786">
      <c r="A786" s="320"/>
      <c r="B786" s="142"/>
      <c r="C786" s="320"/>
      <c r="D786" s="142"/>
      <c r="E786" s="320"/>
      <c r="F786" s="142"/>
      <c r="G786" s="320"/>
      <c r="H786" s="142"/>
      <c r="I786" s="329"/>
      <c r="J786" s="124"/>
      <c r="K786" s="329"/>
      <c r="L786" s="124"/>
      <c r="M786" s="320"/>
      <c r="N786" s="142"/>
      <c r="O786" s="320"/>
      <c r="P786" s="142"/>
      <c r="Q786" s="360"/>
      <c r="R786" s="360"/>
      <c r="S786" s="320"/>
      <c r="T786" s="142"/>
      <c r="U786" s="30"/>
      <c r="V786" s="30"/>
    </row>
    <row r="787">
      <c r="A787" s="320"/>
      <c r="B787" s="142"/>
      <c r="C787" s="320"/>
      <c r="D787" s="142"/>
      <c r="E787" s="320"/>
      <c r="F787" s="142"/>
      <c r="G787" s="320"/>
      <c r="H787" s="142"/>
      <c r="I787" s="329"/>
      <c r="J787" s="124"/>
      <c r="K787" s="329"/>
      <c r="L787" s="124"/>
      <c r="M787" s="320"/>
      <c r="N787" s="142"/>
      <c r="O787" s="320"/>
      <c r="P787" s="142"/>
      <c r="Q787" s="360"/>
      <c r="R787" s="360"/>
      <c r="S787" s="320"/>
      <c r="T787" s="142"/>
      <c r="U787" s="30"/>
      <c r="V787" s="30"/>
    </row>
    <row r="788">
      <c r="A788" s="320"/>
      <c r="B788" s="142"/>
      <c r="C788" s="320"/>
      <c r="D788" s="142"/>
      <c r="E788" s="320"/>
      <c r="F788" s="142"/>
      <c r="G788" s="320"/>
      <c r="H788" s="142"/>
      <c r="I788" s="329"/>
      <c r="J788" s="124"/>
      <c r="K788" s="329"/>
      <c r="L788" s="124"/>
      <c r="M788" s="320"/>
      <c r="N788" s="142"/>
      <c r="O788" s="320"/>
      <c r="P788" s="142"/>
      <c r="Q788" s="360"/>
      <c r="R788" s="360"/>
      <c r="S788" s="320"/>
      <c r="T788" s="142"/>
      <c r="U788" s="30"/>
      <c r="V788" s="30"/>
    </row>
    <row r="789">
      <c r="A789" s="320"/>
      <c r="B789" s="142"/>
      <c r="C789" s="320"/>
      <c r="D789" s="142"/>
      <c r="E789" s="320"/>
      <c r="F789" s="142"/>
      <c r="G789" s="320"/>
      <c r="H789" s="142"/>
      <c r="I789" s="329"/>
      <c r="J789" s="124"/>
      <c r="K789" s="329"/>
      <c r="L789" s="124"/>
      <c r="M789" s="320"/>
      <c r="N789" s="142"/>
      <c r="O789" s="320"/>
      <c r="P789" s="142"/>
      <c r="Q789" s="360"/>
      <c r="R789" s="360"/>
      <c r="S789" s="320"/>
      <c r="T789" s="142"/>
      <c r="U789" s="30"/>
      <c r="V789" s="30"/>
    </row>
    <row r="790">
      <c r="A790" s="320"/>
      <c r="B790" s="142"/>
      <c r="C790" s="320"/>
      <c r="D790" s="142"/>
      <c r="E790" s="320"/>
      <c r="F790" s="142"/>
      <c r="G790" s="320"/>
      <c r="H790" s="142"/>
      <c r="I790" s="329"/>
      <c r="J790" s="124"/>
      <c r="K790" s="329"/>
      <c r="L790" s="124"/>
      <c r="M790" s="320"/>
      <c r="N790" s="142"/>
      <c r="O790" s="320"/>
      <c r="P790" s="142"/>
      <c r="Q790" s="360"/>
      <c r="R790" s="360"/>
      <c r="S790" s="320"/>
      <c r="T790" s="142"/>
      <c r="U790" s="30"/>
      <c r="V790" s="30"/>
    </row>
    <row r="791">
      <c r="A791" s="320"/>
      <c r="B791" s="142"/>
      <c r="C791" s="320"/>
      <c r="D791" s="142"/>
      <c r="E791" s="320"/>
      <c r="F791" s="142"/>
      <c r="G791" s="320"/>
      <c r="H791" s="142"/>
      <c r="I791" s="329"/>
      <c r="J791" s="124"/>
      <c r="K791" s="329"/>
      <c r="L791" s="124"/>
      <c r="M791" s="320"/>
      <c r="N791" s="142"/>
      <c r="O791" s="320"/>
      <c r="P791" s="142"/>
      <c r="Q791" s="360"/>
      <c r="R791" s="360"/>
      <c r="S791" s="320"/>
      <c r="T791" s="142"/>
      <c r="U791" s="30"/>
      <c r="V791" s="30"/>
    </row>
    <row r="792">
      <c r="A792" s="320"/>
      <c r="B792" s="142"/>
      <c r="C792" s="320"/>
      <c r="D792" s="142"/>
      <c r="E792" s="320"/>
      <c r="F792" s="142"/>
      <c r="G792" s="320"/>
      <c r="H792" s="142"/>
      <c r="I792" s="329"/>
      <c r="J792" s="124"/>
      <c r="K792" s="329"/>
      <c r="L792" s="124"/>
      <c r="M792" s="320"/>
      <c r="N792" s="142"/>
      <c r="O792" s="320"/>
      <c r="P792" s="142"/>
      <c r="Q792" s="360"/>
      <c r="R792" s="360"/>
      <c r="S792" s="320"/>
      <c r="T792" s="142"/>
      <c r="U792" s="30"/>
      <c r="V792" s="30"/>
    </row>
    <row r="793">
      <c r="A793" s="320"/>
      <c r="B793" s="142"/>
      <c r="C793" s="320"/>
      <c r="D793" s="142"/>
      <c r="E793" s="320"/>
      <c r="F793" s="142"/>
      <c r="G793" s="320"/>
      <c r="H793" s="142"/>
      <c r="I793" s="329"/>
      <c r="J793" s="124"/>
      <c r="K793" s="329"/>
      <c r="L793" s="124"/>
      <c r="M793" s="320"/>
      <c r="N793" s="142"/>
      <c r="O793" s="320"/>
      <c r="P793" s="142"/>
      <c r="Q793" s="360"/>
      <c r="R793" s="360"/>
      <c r="S793" s="320"/>
      <c r="T793" s="142"/>
      <c r="U793" s="30"/>
      <c r="V793" s="30"/>
    </row>
    <row r="794">
      <c r="A794" s="320"/>
      <c r="B794" s="142"/>
      <c r="C794" s="320"/>
      <c r="D794" s="142"/>
      <c r="E794" s="320"/>
      <c r="F794" s="142"/>
      <c r="G794" s="320"/>
      <c r="H794" s="142"/>
      <c r="I794" s="329"/>
      <c r="J794" s="124"/>
      <c r="K794" s="329"/>
      <c r="L794" s="124"/>
      <c r="M794" s="320"/>
      <c r="N794" s="142"/>
      <c r="O794" s="320"/>
      <c r="P794" s="142"/>
      <c r="Q794" s="360"/>
      <c r="R794" s="360"/>
      <c r="S794" s="320"/>
      <c r="T794" s="142"/>
      <c r="U794" s="30"/>
      <c r="V794" s="30"/>
    </row>
    <row r="795">
      <c r="A795" s="320"/>
      <c r="B795" s="142"/>
      <c r="C795" s="320"/>
      <c r="D795" s="142"/>
      <c r="E795" s="320"/>
      <c r="F795" s="142"/>
      <c r="G795" s="320"/>
      <c r="H795" s="142"/>
      <c r="I795" s="329"/>
      <c r="J795" s="124"/>
      <c r="K795" s="329"/>
      <c r="L795" s="124"/>
      <c r="M795" s="320"/>
      <c r="N795" s="142"/>
      <c r="O795" s="320"/>
      <c r="P795" s="142"/>
      <c r="Q795" s="360"/>
      <c r="R795" s="360"/>
      <c r="S795" s="320"/>
      <c r="T795" s="142"/>
      <c r="U795" s="30"/>
      <c r="V795" s="30"/>
    </row>
    <row r="796">
      <c r="A796" s="320"/>
      <c r="B796" s="142"/>
      <c r="C796" s="320"/>
      <c r="D796" s="142"/>
      <c r="E796" s="320"/>
      <c r="F796" s="142"/>
      <c r="G796" s="320"/>
      <c r="H796" s="142"/>
      <c r="I796" s="329"/>
      <c r="J796" s="124"/>
      <c r="K796" s="329"/>
      <c r="L796" s="124"/>
      <c r="M796" s="320"/>
      <c r="N796" s="142"/>
      <c r="O796" s="320"/>
      <c r="P796" s="142"/>
      <c r="Q796" s="360"/>
      <c r="R796" s="360"/>
      <c r="S796" s="320"/>
      <c r="T796" s="142"/>
      <c r="U796" s="30"/>
      <c r="V796" s="30"/>
    </row>
    <row r="797">
      <c r="A797" s="320"/>
      <c r="B797" s="142"/>
      <c r="C797" s="320"/>
      <c r="D797" s="142"/>
      <c r="E797" s="320"/>
      <c r="F797" s="142"/>
      <c r="G797" s="320"/>
      <c r="H797" s="142"/>
      <c r="I797" s="329"/>
      <c r="J797" s="124"/>
      <c r="K797" s="329"/>
      <c r="L797" s="124"/>
      <c r="M797" s="320"/>
      <c r="N797" s="142"/>
      <c r="O797" s="320"/>
      <c r="P797" s="142"/>
      <c r="Q797" s="360"/>
      <c r="R797" s="360"/>
      <c r="S797" s="320"/>
      <c r="T797" s="142"/>
      <c r="U797" s="30"/>
      <c r="V797" s="30"/>
    </row>
    <row r="798">
      <c r="A798" s="320"/>
      <c r="B798" s="142"/>
      <c r="C798" s="320"/>
      <c r="D798" s="142"/>
      <c r="E798" s="320"/>
      <c r="F798" s="142"/>
      <c r="G798" s="320"/>
      <c r="H798" s="142"/>
      <c r="I798" s="329"/>
      <c r="J798" s="124"/>
      <c r="K798" s="329"/>
      <c r="L798" s="124"/>
      <c r="M798" s="320"/>
      <c r="N798" s="142"/>
      <c r="O798" s="320"/>
      <c r="P798" s="142"/>
      <c r="Q798" s="360"/>
      <c r="R798" s="360"/>
      <c r="S798" s="320"/>
      <c r="T798" s="142"/>
      <c r="U798" s="30"/>
      <c r="V798" s="30"/>
    </row>
    <row r="799">
      <c r="A799" s="320"/>
      <c r="B799" s="142"/>
      <c r="C799" s="320"/>
      <c r="D799" s="142"/>
      <c r="E799" s="320"/>
      <c r="F799" s="142"/>
      <c r="G799" s="320"/>
      <c r="H799" s="142"/>
      <c r="I799" s="329"/>
      <c r="J799" s="124"/>
      <c r="K799" s="329"/>
      <c r="L799" s="124"/>
      <c r="M799" s="320"/>
      <c r="N799" s="142"/>
      <c r="O799" s="320"/>
      <c r="P799" s="142"/>
      <c r="Q799" s="360"/>
      <c r="R799" s="360"/>
      <c r="S799" s="320"/>
      <c r="T799" s="142"/>
      <c r="U799" s="30"/>
      <c r="V799" s="30"/>
    </row>
    <row r="800">
      <c r="A800" s="320"/>
      <c r="B800" s="142"/>
      <c r="C800" s="320"/>
      <c r="D800" s="142"/>
      <c r="E800" s="320"/>
      <c r="F800" s="142"/>
      <c r="G800" s="320"/>
      <c r="H800" s="142"/>
      <c r="I800" s="329"/>
      <c r="J800" s="124"/>
      <c r="K800" s="329"/>
      <c r="L800" s="124"/>
      <c r="M800" s="320"/>
      <c r="N800" s="142"/>
      <c r="O800" s="320"/>
      <c r="P800" s="142"/>
      <c r="Q800" s="360"/>
      <c r="R800" s="360"/>
      <c r="S800" s="320"/>
      <c r="T800" s="142"/>
      <c r="U800" s="30"/>
      <c r="V800" s="30"/>
    </row>
    <row r="801">
      <c r="A801" s="320"/>
      <c r="B801" s="142"/>
      <c r="C801" s="320"/>
      <c r="D801" s="142"/>
      <c r="E801" s="320"/>
      <c r="F801" s="142"/>
      <c r="G801" s="320"/>
      <c r="H801" s="142"/>
      <c r="I801" s="329"/>
      <c r="J801" s="124"/>
      <c r="K801" s="329"/>
      <c r="L801" s="124"/>
      <c r="M801" s="320"/>
      <c r="N801" s="142"/>
      <c r="O801" s="320"/>
      <c r="P801" s="142"/>
      <c r="Q801" s="360"/>
      <c r="R801" s="360"/>
      <c r="S801" s="320"/>
      <c r="T801" s="142"/>
      <c r="U801" s="30"/>
      <c r="V801" s="30"/>
    </row>
    <row r="802">
      <c r="A802" s="320"/>
      <c r="B802" s="142"/>
      <c r="C802" s="320"/>
      <c r="D802" s="142"/>
      <c r="E802" s="320"/>
      <c r="F802" s="142"/>
      <c r="G802" s="320"/>
      <c r="H802" s="142"/>
      <c r="I802" s="329"/>
      <c r="J802" s="124"/>
      <c r="K802" s="329"/>
      <c r="L802" s="124"/>
      <c r="M802" s="320"/>
      <c r="N802" s="142"/>
      <c r="O802" s="320"/>
      <c r="P802" s="142"/>
      <c r="Q802" s="360"/>
      <c r="R802" s="360"/>
      <c r="S802" s="320"/>
      <c r="T802" s="142"/>
      <c r="U802" s="30"/>
      <c r="V802" s="30"/>
    </row>
    <row r="803">
      <c r="A803" s="320"/>
      <c r="B803" s="142"/>
      <c r="C803" s="320"/>
      <c r="D803" s="142"/>
      <c r="E803" s="320"/>
      <c r="F803" s="142"/>
      <c r="G803" s="320"/>
      <c r="H803" s="142"/>
      <c r="I803" s="329"/>
      <c r="J803" s="124"/>
      <c r="K803" s="329"/>
      <c r="L803" s="124"/>
      <c r="M803" s="320"/>
      <c r="N803" s="142"/>
      <c r="O803" s="320"/>
      <c r="P803" s="142"/>
      <c r="Q803" s="360"/>
      <c r="R803" s="360"/>
      <c r="S803" s="320"/>
      <c r="T803" s="142"/>
      <c r="U803" s="30"/>
      <c r="V803" s="30"/>
    </row>
    <row r="804">
      <c r="A804" s="320"/>
      <c r="B804" s="142"/>
      <c r="C804" s="320"/>
      <c r="D804" s="142"/>
      <c r="E804" s="320"/>
      <c r="F804" s="142"/>
      <c r="G804" s="320"/>
      <c r="H804" s="142"/>
      <c r="I804" s="329"/>
      <c r="J804" s="124"/>
      <c r="K804" s="329"/>
      <c r="L804" s="124"/>
      <c r="M804" s="320"/>
      <c r="N804" s="142"/>
      <c r="O804" s="320"/>
      <c r="P804" s="142"/>
      <c r="Q804" s="360"/>
      <c r="R804" s="360"/>
      <c r="S804" s="320"/>
      <c r="T804" s="142"/>
      <c r="U804" s="30"/>
      <c r="V804" s="30"/>
    </row>
    <row r="805">
      <c r="A805" s="320"/>
      <c r="B805" s="142"/>
      <c r="C805" s="320"/>
      <c r="D805" s="142"/>
      <c r="E805" s="320"/>
      <c r="F805" s="142"/>
      <c r="G805" s="320"/>
      <c r="H805" s="142"/>
      <c r="I805" s="329"/>
      <c r="J805" s="124"/>
      <c r="K805" s="329"/>
      <c r="L805" s="124"/>
      <c r="M805" s="320"/>
      <c r="N805" s="142"/>
      <c r="O805" s="320"/>
      <c r="P805" s="142"/>
      <c r="Q805" s="360"/>
      <c r="R805" s="360"/>
      <c r="S805" s="320"/>
      <c r="T805" s="142"/>
      <c r="U805" s="30"/>
      <c r="V805" s="30"/>
    </row>
    <row r="806">
      <c r="A806" s="320"/>
      <c r="B806" s="142"/>
      <c r="C806" s="320"/>
      <c r="D806" s="142"/>
      <c r="E806" s="320"/>
      <c r="F806" s="142"/>
      <c r="G806" s="320"/>
      <c r="H806" s="142"/>
      <c r="I806" s="329"/>
      <c r="J806" s="124"/>
      <c r="K806" s="329"/>
      <c r="L806" s="124"/>
      <c r="M806" s="320"/>
      <c r="N806" s="142"/>
      <c r="O806" s="320"/>
      <c r="P806" s="142"/>
      <c r="Q806" s="360"/>
      <c r="R806" s="360"/>
      <c r="S806" s="320"/>
      <c r="T806" s="142"/>
      <c r="U806" s="30"/>
      <c r="V806" s="30"/>
    </row>
    <row r="807">
      <c r="A807" s="320"/>
      <c r="B807" s="142"/>
      <c r="C807" s="320"/>
      <c r="D807" s="142"/>
      <c r="E807" s="320"/>
      <c r="F807" s="142"/>
      <c r="G807" s="320"/>
      <c r="H807" s="142"/>
      <c r="I807" s="329"/>
      <c r="J807" s="124"/>
      <c r="K807" s="329"/>
      <c r="L807" s="124"/>
      <c r="M807" s="320"/>
      <c r="N807" s="142"/>
      <c r="O807" s="320"/>
      <c r="P807" s="142"/>
      <c r="Q807" s="360"/>
      <c r="R807" s="360"/>
      <c r="S807" s="320"/>
      <c r="T807" s="142"/>
      <c r="U807" s="30"/>
      <c r="V807" s="30"/>
    </row>
    <row r="808">
      <c r="A808" s="320"/>
      <c r="B808" s="142"/>
      <c r="C808" s="320"/>
      <c r="D808" s="142"/>
      <c r="E808" s="320"/>
      <c r="F808" s="142"/>
      <c r="G808" s="320"/>
      <c r="H808" s="142"/>
      <c r="I808" s="329"/>
      <c r="J808" s="124"/>
      <c r="K808" s="329"/>
      <c r="L808" s="124"/>
      <c r="M808" s="320"/>
      <c r="N808" s="142"/>
      <c r="O808" s="320"/>
      <c r="P808" s="142"/>
      <c r="Q808" s="360"/>
      <c r="R808" s="360"/>
      <c r="S808" s="320"/>
      <c r="T808" s="142"/>
      <c r="U808" s="30"/>
      <c r="V808" s="30"/>
    </row>
    <row r="809">
      <c r="A809" s="320"/>
      <c r="B809" s="142"/>
      <c r="C809" s="320"/>
      <c r="D809" s="142"/>
      <c r="E809" s="320"/>
      <c r="F809" s="142"/>
      <c r="G809" s="320"/>
      <c r="H809" s="142"/>
      <c r="I809" s="329"/>
      <c r="J809" s="124"/>
      <c r="K809" s="329"/>
      <c r="L809" s="124"/>
      <c r="M809" s="320"/>
      <c r="N809" s="142"/>
      <c r="O809" s="320"/>
      <c r="P809" s="142"/>
      <c r="Q809" s="360"/>
      <c r="R809" s="360"/>
      <c r="S809" s="320"/>
      <c r="T809" s="142"/>
      <c r="U809" s="30"/>
      <c r="V809" s="30"/>
    </row>
    <row r="810">
      <c r="A810" s="320"/>
      <c r="B810" s="142"/>
      <c r="C810" s="320"/>
      <c r="D810" s="142"/>
      <c r="E810" s="320"/>
      <c r="F810" s="142"/>
      <c r="G810" s="320"/>
      <c r="H810" s="142"/>
      <c r="I810" s="329"/>
      <c r="J810" s="124"/>
      <c r="K810" s="329"/>
      <c r="L810" s="124"/>
      <c r="M810" s="320"/>
      <c r="N810" s="142"/>
      <c r="O810" s="320"/>
      <c r="P810" s="142"/>
      <c r="Q810" s="360"/>
      <c r="R810" s="360"/>
      <c r="S810" s="320"/>
      <c r="T810" s="142"/>
      <c r="U810" s="30"/>
      <c r="V810" s="30"/>
    </row>
    <row r="811">
      <c r="A811" s="320"/>
      <c r="B811" s="142"/>
      <c r="C811" s="320"/>
      <c r="D811" s="142"/>
      <c r="E811" s="320"/>
      <c r="F811" s="142"/>
      <c r="G811" s="320"/>
      <c r="H811" s="142"/>
      <c r="I811" s="329"/>
      <c r="J811" s="124"/>
      <c r="K811" s="329"/>
      <c r="L811" s="124"/>
      <c r="M811" s="320"/>
      <c r="N811" s="142"/>
      <c r="O811" s="320"/>
      <c r="P811" s="142"/>
      <c r="Q811" s="360"/>
      <c r="R811" s="360"/>
      <c r="S811" s="320"/>
      <c r="T811" s="142"/>
      <c r="U811" s="30"/>
      <c r="V811" s="30"/>
    </row>
    <row r="812">
      <c r="A812" s="320"/>
      <c r="B812" s="142"/>
      <c r="C812" s="320"/>
      <c r="D812" s="142"/>
      <c r="E812" s="320"/>
      <c r="F812" s="142"/>
      <c r="G812" s="320"/>
      <c r="H812" s="142"/>
      <c r="I812" s="329"/>
      <c r="J812" s="124"/>
      <c r="K812" s="329"/>
      <c r="L812" s="124"/>
      <c r="M812" s="320"/>
      <c r="N812" s="142"/>
      <c r="O812" s="320"/>
      <c r="P812" s="142"/>
      <c r="Q812" s="360"/>
      <c r="R812" s="360"/>
      <c r="S812" s="320"/>
      <c r="T812" s="142"/>
      <c r="U812" s="30"/>
      <c r="V812" s="30"/>
    </row>
    <row r="813">
      <c r="A813" s="320"/>
      <c r="B813" s="142"/>
      <c r="C813" s="320"/>
      <c r="D813" s="142"/>
      <c r="E813" s="320"/>
      <c r="F813" s="142"/>
      <c r="G813" s="320"/>
      <c r="H813" s="142"/>
      <c r="I813" s="329"/>
      <c r="J813" s="124"/>
      <c r="K813" s="329"/>
      <c r="L813" s="124"/>
      <c r="M813" s="320"/>
      <c r="N813" s="142"/>
      <c r="O813" s="320"/>
      <c r="P813" s="142"/>
      <c r="Q813" s="360"/>
      <c r="R813" s="360"/>
      <c r="S813" s="320"/>
      <c r="T813" s="142"/>
      <c r="U813" s="30"/>
      <c r="V813" s="30"/>
    </row>
    <row r="814">
      <c r="A814" s="320"/>
      <c r="B814" s="142"/>
      <c r="C814" s="320"/>
      <c r="D814" s="142"/>
      <c r="E814" s="320"/>
      <c r="F814" s="142"/>
      <c r="G814" s="320"/>
      <c r="H814" s="142"/>
      <c r="I814" s="329"/>
      <c r="J814" s="124"/>
      <c r="K814" s="329"/>
      <c r="L814" s="124"/>
      <c r="M814" s="320"/>
      <c r="N814" s="142"/>
      <c r="O814" s="320"/>
      <c r="P814" s="142"/>
      <c r="Q814" s="360"/>
      <c r="R814" s="360"/>
      <c r="S814" s="320"/>
      <c r="T814" s="142"/>
      <c r="U814" s="30"/>
      <c r="V814" s="30"/>
    </row>
    <row r="815">
      <c r="A815" s="320"/>
      <c r="B815" s="142"/>
      <c r="C815" s="320"/>
      <c r="D815" s="142"/>
      <c r="E815" s="320"/>
      <c r="F815" s="142"/>
      <c r="G815" s="320"/>
      <c r="H815" s="142"/>
      <c r="I815" s="329"/>
      <c r="J815" s="124"/>
      <c r="K815" s="329"/>
      <c r="L815" s="124"/>
      <c r="M815" s="320"/>
      <c r="N815" s="142"/>
      <c r="O815" s="320"/>
      <c r="P815" s="142"/>
      <c r="Q815" s="360"/>
      <c r="R815" s="360"/>
      <c r="S815" s="320"/>
      <c r="T815" s="142"/>
      <c r="U815" s="30"/>
      <c r="V815" s="30"/>
    </row>
    <row r="816">
      <c r="A816" s="320"/>
      <c r="B816" s="142"/>
      <c r="C816" s="320"/>
      <c r="D816" s="142"/>
      <c r="E816" s="320"/>
      <c r="F816" s="142"/>
      <c r="G816" s="320"/>
      <c r="H816" s="142"/>
      <c r="I816" s="329"/>
      <c r="J816" s="124"/>
      <c r="K816" s="329"/>
      <c r="L816" s="124"/>
      <c r="M816" s="320"/>
      <c r="N816" s="142"/>
      <c r="O816" s="320"/>
      <c r="P816" s="142"/>
      <c r="Q816" s="360"/>
      <c r="R816" s="360"/>
      <c r="S816" s="320"/>
      <c r="T816" s="142"/>
      <c r="U816" s="30"/>
      <c r="V816" s="30"/>
    </row>
    <row r="817">
      <c r="A817" s="320"/>
      <c r="B817" s="142"/>
      <c r="C817" s="320"/>
      <c r="D817" s="142"/>
      <c r="E817" s="320"/>
      <c r="F817" s="142"/>
      <c r="G817" s="320"/>
      <c r="H817" s="142"/>
      <c r="I817" s="329"/>
      <c r="J817" s="124"/>
      <c r="K817" s="329"/>
      <c r="L817" s="124"/>
      <c r="M817" s="320"/>
      <c r="N817" s="142"/>
      <c r="O817" s="320"/>
      <c r="P817" s="142"/>
      <c r="Q817" s="360"/>
      <c r="R817" s="360"/>
      <c r="S817" s="320"/>
      <c r="T817" s="142"/>
      <c r="U817" s="30"/>
      <c r="V817" s="30"/>
    </row>
    <row r="818">
      <c r="A818" s="320"/>
      <c r="B818" s="142"/>
      <c r="C818" s="320"/>
      <c r="D818" s="142"/>
      <c r="E818" s="320"/>
      <c r="F818" s="142"/>
      <c r="G818" s="320"/>
      <c r="H818" s="142"/>
      <c r="I818" s="329"/>
      <c r="J818" s="124"/>
      <c r="K818" s="329"/>
      <c r="L818" s="124"/>
      <c r="M818" s="320"/>
      <c r="N818" s="142"/>
      <c r="O818" s="320"/>
      <c r="P818" s="142"/>
      <c r="Q818" s="360"/>
      <c r="R818" s="360"/>
      <c r="S818" s="320"/>
      <c r="T818" s="142"/>
      <c r="U818" s="30"/>
      <c r="V818" s="30"/>
    </row>
    <row r="819">
      <c r="A819" s="320"/>
      <c r="B819" s="142"/>
      <c r="C819" s="320"/>
      <c r="D819" s="142"/>
      <c r="E819" s="320"/>
      <c r="F819" s="142"/>
      <c r="G819" s="320"/>
      <c r="H819" s="142"/>
      <c r="I819" s="329"/>
      <c r="J819" s="124"/>
      <c r="K819" s="329"/>
      <c r="L819" s="124"/>
      <c r="M819" s="320"/>
      <c r="N819" s="142"/>
      <c r="O819" s="320"/>
      <c r="P819" s="142"/>
      <c r="Q819" s="360"/>
      <c r="R819" s="360"/>
      <c r="S819" s="320"/>
      <c r="T819" s="142"/>
      <c r="U819" s="30"/>
      <c r="V819" s="30"/>
    </row>
    <row r="820">
      <c r="A820" s="320"/>
      <c r="B820" s="142"/>
      <c r="C820" s="320"/>
      <c r="D820" s="142"/>
      <c r="E820" s="320"/>
      <c r="F820" s="142"/>
      <c r="G820" s="320"/>
      <c r="H820" s="142"/>
      <c r="I820" s="329"/>
      <c r="J820" s="124"/>
      <c r="K820" s="329"/>
      <c r="L820" s="124"/>
      <c r="M820" s="320"/>
      <c r="N820" s="142"/>
      <c r="O820" s="320"/>
      <c r="P820" s="142"/>
      <c r="Q820" s="360"/>
      <c r="R820" s="360"/>
      <c r="S820" s="320"/>
      <c r="T820" s="142"/>
      <c r="U820" s="30"/>
      <c r="V820" s="30"/>
    </row>
    <row r="821">
      <c r="A821" s="320"/>
      <c r="B821" s="142"/>
      <c r="C821" s="320"/>
      <c r="D821" s="142"/>
      <c r="E821" s="320"/>
      <c r="F821" s="142"/>
      <c r="G821" s="320"/>
      <c r="H821" s="142"/>
      <c r="I821" s="329"/>
      <c r="J821" s="124"/>
      <c r="K821" s="329"/>
      <c r="L821" s="124"/>
      <c r="M821" s="320"/>
      <c r="N821" s="142"/>
      <c r="O821" s="320"/>
      <c r="P821" s="142"/>
      <c r="Q821" s="360"/>
      <c r="R821" s="360"/>
      <c r="S821" s="320"/>
      <c r="T821" s="142"/>
      <c r="U821" s="30"/>
      <c r="V821" s="30"/>
    </row>
    <row r="822">
      <c r="A822" s="320"/>
      <c r="B822" s="142"/>
      <c r="C822" s="320"/>
      <c r="D822" s="142"/>
      <c r="E822" s="320"/>
      <c r="F822" s="142"/>
      <c r="G822" s="320"/>
      <c r="H822" s="142"/>
      <c r="I822" s="329"/>
      <c r="J822" s="124"/>
      <c r="K822" s="329"/>
      <c r="L822" s="124"/>
      <c r="M822" s="320"/>
      <c r="N822" s="142"/>
      <c r="O822" s="320"/>
      <c r="P822" s="142"/>
      <c r="Q822" s="360"/>
      <c r="R822" s="360"/>
      <c r="S822" s="320"/>
      <c r="T822" s="142"/>
      <c r="U822" s="30"/>
      <c r="V822" s="30"/>
    </row>
    <row r="823">
      <c r="A823" s="320"/>
      <c r="B823" s="142"/>
      <c r="C823" s="320"/>
      <c r="D823" s="142"/>
      <c r="E823" s="320"/>
      <c r="F823" s="142"/>
      <c r="G823" s="320"/>
      <c r="H823" s="142"/>
      <c r="I823" s="329"/>
      <c r="J823" s="124"/>
      <c r="K823" s="329"/>
      <c r="L823" s="124"/>
      <c r="M823" s="320"/>
      <c r="N823" s="142"/>
      <c r="O823" s="320"/>
      <c r="P823" s="142"/>
      <c r="Q823" s="360"/>
      <c r="R823" s="360"/>
      <c r="S823" s="320"/>
      <c r="T823" s="142"/>
      <c r="U823" s="30"/>
      <c r="V823" s="30"/>
    </row>
    <row r="824">
      <c r="A824" s="320"/>
      <c r="B824" s="142"/>
      <c r="C824" s="320"/>
      <c r="D824" s="142"/>
      <c r="E824" s="320"/>
      <c r="F824" s="142"/>
      <c r="G824" s="320"/>
      <c r="H824" s="142"/>
      <c r="I824" s="329"/>
      <c r="J824" s="124"/>
      <c r="K824" s="329"/>
      <c r="L824" s="124"/>
      <c r="M824" s="320"/>
      <c r="N824" s="142"/>
      <c r="O824" s="320"/>
      <c r="P824" s="142"/>
      <c r="Q824" s="360"/>
      <c r="R824" s="360"/>
      <c r="S824" s="320"/>
      <c r="T824" s="142"/>
      <c r="U824" s="30"/>
      <c r="V824" s="30"/>
    </row>
    <row r="825">
      <c r="A825" s="320"/>
      <c r="B825" s="142"/>
      <c r="C825" s="320"/>
      <c r="D825" s="142"/>
      <c r="E825" s="320"/>
      <c r="F825" s="142"/>
      <c r="G825" s="320"/>
      <c r="H825" s="142"/>
      <c r="I825" s="329"/>
      <c r="J825" s="124"/>
      <c r="K825" s="329"/>
      <c r="L825" s="124"/>
      <c r="M825" s="320"/>
      <c r="N825" s="142"/>
      <c r="O825" s="320"/>
      <c r="P825" s="142"/>
      <c r="Q825" s="360"/>
      <c r="R825" s="360"/>
      <c r="S825" s="320"/>
      <c r="T825" s="142"/>
      <c r="U825" s="30"/>
      <c r="V825" s="30"/>
    </row>
    <row r="826">
      <c r="A826" s="320"/>
      <c r="B826" s="142"/>
      <c r="C826" s="320"/>
      <c r="D826" s="142"/>
      <c r="E826" s="320"/>
      <c r="F826" s="142"/>
      <c r="G826" s="320"/>
      <c r="H826" s="142"/>
      <c r="I826" s="329"/>
      <c r="J826" s="124"/>
      <c r="K826" s="329"/>
      <c r="L826" s="124"/>
      <c r="M826" s="320"/>
      <c r="N826" s="142"/>
      <c r="O826" s="320"/>
      <c r="P826" s="142"/>
      <c r="Q826" s="360"/>
      <c r="R826" s="360"/>
      <c r="S826" s="320"/>
      <c r="T826" s="142"/>
      <c r="U826" s="30"/>
      <c r="V826" s="30"/>
    </row>
    <row r="827">
      <c r="A827" s="320"/>
      <c r="B827" s="142"/>
      <c r="C827" s="320"/>
      <c r="D827" s="142"/>
      <c r="E827" s="320"/>
      <c r="F827" s="142"/>
      <c r="G827" s="320"/>
      <c r="H827" s="142"/>
      <c r="I827" s="329"/>
      <c r="J827" s="124"/>
      <c r="K827" s="329"/>
      <c r="L827" s="124"/>
      <c r="M827" s="320"/>
      <c r="N827" s="142"/>
      <c r="O827" s="320"/>
      <c r="P827" s="142"/>
      <c r="Q827" s="360"/>
      <c r="R827" s="360"/>
      <c r="S827" s="320"/>
      <c r="T827" s="142"/>
      <c r="U827" s="30"/>
      <c r="V827" s="30"/>
    </row>
    <row r="828">
      <c r="A828" s="320"/>
      <c r="B828" s="142"/>
      <c r="C828" s="320"/>
      <c r="D828" s="142"/>
      <c r="E828" s="320"/>
      <c r="F828" s="142"/>
      <c r="G828" s="320"/>
      <c r="H828" s="142"/>
      <c r="I828" s="329"/>
      <c r="J828" s="124"/>
      <c r="K828" s="329"/>
      <c r="L828" s="124"/>
      <c r="M828" s="320"/>
      <c r="N828" s="142"/>
      <c r="O828" s="320"/>
      <c r="P828" s="142"/>
      <c r="Q828" s="360"/>
      <c r="R828" s="360"/>
      <c r="S828" s="320"/>
      <c r="T828" s="142"/>
      <c r="U828" s="30"/>
      <c r="V828" s="30"/>
    </row>
    <row r="829">
      <c r="A829" s="320"/>
      <c r="B829" s="142"/>
      <c r="C829" s="320"/>
      <c r="D829" s="142"/>
      <c r="E829" s="320"/>
      <c r="F829" s="142"/>
      <c r="G829" s="320"/>
      <c r="H829" s="142"/>
      <c r="I829" s="329"/>
      <c r="J829" s="124"/>
      <c r="K829" s="329"/>
      <c r="L829" s="124"/>
      <c r="M829" s="320"/>
      <c r="N829" s="142"/>
      <c r="O829" s="320"/>
      <c r="P829" s="142"/>
      <c r="Q829" s="360"/>
      <c r="R829" s="360"/>
      <c r="S829" s="320"/>
      <c r="T829" s="142"/>
      <c r="U829" s="30"/>
      <c r="V829" s="30"/>
    </row>
    <row r="830">
      <c r="A830" s="320"/>
      <c r="B830" s="142"/>
      <c r="C830" s="320"/>
      <c r="D830" s="142"/>
      <c r="E830" s="320"/>
      <c r="F830" s="142"/>
      <c r="G830" s="320"/>
      <c r="H830" s="142"/>
      <c r="I830" s="329"/>
      <c r="J830" s="124"/>
      <c r="K830" s="329"/>
      <c r="L830" s="124"/>
      <c r="M830" s="320"/>
      <c r="N830" s="142"/>
      <c r="O830" s="320"/>
      <c r="P830" s="142"/>
      <c r="Q830" s="360"/>
      <c r="R830" s="360"/>
      <c r="S830" s="320"/>
      <c r="T830" s="142"/>
      <c r="U830" s="30"/>
      <c r="V830" s="30"/>
    </row>
    <row r="831">
      <c r="A831" s="320"/>
      <c r="B831" s="142"/>
      <c r="C831" s="320"/>
      <c r="D831" s="142"/>
      <c r="E831" s="320"/>
      <c r="F831" s="142"/>
      <c r="G831" s="320"/>
      <c r="H831" s="142"/>
      <c r="I831" s="329"/>
      <c r="J831" s="124"/>
      <c r="K831" s="329"/>
      <c r="L831" s="124"/>
      <c r="M831" s="320"/>
      <c r="N831" s="142"/>
      <c r="O831" s="320"/>
      <c r="P831" s="142"/>
      <c r="Q831" s="360"/>
      <c r="R831" s="360"/>
      <c r="S831" s="320"/>
      <c r="T831" s="142"/>
      <c r="U831" s="30"/>
      <c r="V831" s="30"/>
    </row>
    <row r="832">
      <c r="A832" s="320"/>
      <c r="B832" s="142"/>
      <c r="C832" s="320"/>
      <c r="D832" s="142"/>
      <c r="E832" s="320"/>
      <c r="F832" s="142"/>
      <c r="G832" s="320"/>
      <c r="H832" s="142"/>
      <c r="I832" s="329"/>
      <c r="J832" s="124"/>
      <c r="K832" s="329"/>
      <c r="L832" s="124"/>
      <c r="M832" s="320"/>
      <c r="N832" s="142"/>
      <c r="O832" s="320"/>
      <c r="P832" s="142"/>
      <c r="Q832" s="360"/>
      <c r="R832" s="360"/>
      <c r="S832" s="320"/>
      <c r="T832" s="142"/>
      <c r="U832" s="30"/>
      <c r="V832" s="30"/>
    </row>
    <row r="833">
      <c r="A833" s="320"/>
      <c r="B833" s="142"/>
      <c r="C833" s="320"/>
      <c r="D833" s="142"/>
      <c r="E833" s="320"/>
      <c r="F833" s="142"/>
      <c r="G833" s="320"/>
      <c r="H833" s="142"/>
      <c r="I833" s="329"/>
      <c r="J833" s="124"/>
      <c r="K833" s="329"/>
      <c r="L833" s="124"/>
      <c r="M833" s="320"/>
      <c r="N833" s="142"/>
      <c r="O833" s="320"/>
      <c r="P833" s="142"/>
      <c r="Q833" s="360"/>
      <c r="R833" s="360"/>
      <c r="S833" s="320"/>
      <c r="T833" s="142"/>
      <c r="U833" s="30"/>
      <c r="V833" s="30"/>
    </row>
    <row r="834">
      <c r="A834" s="320"/>
      <c r="B834" s="142"/>
      <c r="C834" s="320"/>
      <c r="D834" s="142"/>
      <c r="E834" s="320"/>
      <c r="F834" s="142"/>
      <c r="G834" s="320"/>
      <c r="H834" s="142"/>
      <c r="I834" s="329"/>
      <c r="J834" s="124"/>
      <c r="K834" s="329"/>
      <c r="L834" s="124"/>
      <c r="M834" s="320"/>
      <c r="N834" s="142"/>
      <c r="O834" s="320"/>
      <c r="P834" s="142"/>
      <c r="Q834" s="360"/>
      <c r="R834" s="360"/>
      <c r="S834" s="320"/>
      <c r="T834" s="142"/>
      <c r="U834" s="30"/>
      <c r="V834" s="30"/>
    </row>
    <row r="835">
      <c r="A835" s="320"/>
      <c r="B835" s="142"/>
      <c r="C835" s="320"/>
      <c r="D835" s="142"/>
      <c r="E835" s="320"/>
      <c r="F835" s="142"/>
      <c r="G835" s="320"/>
      <c r="H835" s="142"/>
      <c r="I835" s="329"/>
      <c r="J835" s="124"/>
      <c r="K835" s="329"/>
      <c r="L835" s="124"/>
      <c r="M835" s="320"/>
      <c r="N835" s="142"/>
      <c r="O835" s="320"/>
      <c r="P835" s="142"/>
      <c r="Q835" s="360"/>
      <c r="R835" s="360"/>
      <c r="S835" s="320"/>
      <c r="T835" s="142"/>
      <c r="U835" s="30"/>
      <c r="V835" s="30"/>
    </row>
    <row r="836">
      <c r="A836" s="320"/>
      <c r="B836" s="142"/>
      <c r="C836" s="320"/>
      <c r="D836" s="142"/>
      <c r="E836" s="320"/>
      <c r="F836" s="142"/>
      <c r="G836" s="320"/>
      <c r="H836" s="142"/>
      <c r="I836" s="329"/>
      <c r="J836" s="124"/>
      <c r="K836" s="329"/>
      <c r="L836" s="124"/>
      <c r="M836" s="320"/>
      <c r="N836" s="142"/>
      <c r="O836" s="320"/>
      <c r="P836" s="142"/>
      <c r="Q836" s="360"/>
      <c r="R836" s="360"/>
      <c r="S836" s="320"/>
      <c r="T836" s="142"/>
      <c r="U836" s="30"/>
      <c r="V836" s="30"/>
    </row>
    <row r="837">
      <c r="A837" s="320"/>
      <c r="B837" s="142"/>
      <c r="C837" s="320"/>
      <c r="D837" s="142"/>
      <c r="E837" s="320"/>
      <c r="F837" s="142"/>
      <c r="G837" s="320"/>
      <c r="H837" s="142"/>
      <c r="I837" s="329"/>
      <c r="J837" s="124"/>
      <c r="K837" s="329"/>
      <c r="L837" s="124"/>
      <c r="M837" s="320"/>
      <c r="N837" s="142"/>
      <c r="O837" s="320"/>
      <c r="P837" s="142"/>
      <c r="Q837" s="360"/>
      <c r="R837" s="360"/>
      <c r="S837" s="320"/>
      <c r="T837" s="142"/>
      <c r="U837" s="30"/>
      <c r="V837" s="30"/>
    </row>
    <row r="838">
      <c r="A838" s="320"/>
      <c r="B838" s="142"/>
      <c r="C838" s="320"/>
      <c r="D838" s="142"/>
      <c r="E838" s="320"/>
      <c r="F838" s="142"/>
      <c r="G838" s="320"/>
      <c r="H838" s="142"/>
      <c r="I838" s="329"/>
      <c r="J838" s="124"/>
      <c r="K838" s="329"/>
      <c r="L838" s="124"/>
      <c r="M838" s="320"/>
      <c r="N838" s="142"/>
      <c r="O838" s="320"/>
      <c r="P838" s="142"/>
      <c r="Q838" s="360"/>
      <c r="R838" s="360"/>
      <c r="S838" s="320"/>
      <c r="T838" s="142"/>
      <c r="U838" s="30"/>
      <c r="V838" s="30"/>
    </row>
    <row r="839">
      <c r="A839" s="320"/>
      <c r="B839" s="142"/>
      <c r="C839" s="320"/>
      <c r="D839" s="142"/>
      <c r="E839" s="320"/>
      <c r="F839" s="142"/>
      <c r="G839" s="320"/>
      <c r="H839" s="142"/>
      <c r="I839" s="329"/>
      <c r="J839" s="124"/>
      <c r="K839" s="329"/>
      <c r="L839" s="124"/>
      <c r="M839" s="320"/>
      <c r="N839" s="142"/>
      <c r="O839" s="320"/>
      <c r="P839" s="142"/>
      <c r="Q839" s="360"/>
      <c r="R839" s="360"/>
      <c r="S839" s="320"/>
      <c r="T839" s="142"/>
      <c r="U839" s="30"/>
      <c r="V839" s="30"/>
    </row>
    <row r="840">
      <c r="A840" s="320"/>
      <c r="B840" s="142"/>
      <c r="C840" s="320"/>
      <c r="D840" s="142"/>
      <c r="E840" s="320"/>
      <c r="F840" s="142"/>
      <c r="G840" s="320"/>
      <c r="H840" s="142"/>
      <c r="I840" s="329"/>
      <c r="J840" s="124"/>
      <c r="K840" s="329"/>
      <c r="L840" s="124"/>
      <c r="M840" s="320"/>
      <c r="N840" s="142"/>
      <c r="O840" s="320"/>
      <c r="P840" s="142"/>
      <c r="Q840" s="360"/>
      <c r="R840" s="360"/>
      <c r="S840" s="320"/>
      <c r="T840" s="142"/>
      <c r="U840" s="30"/>
      <c r="V840" s="30"/>
    </row>
    <row r="841">
      <c r="A841" s="320"/>
      <c r="B841" s="142"/>
      <c r="C841" s="320"/>
      <c r="D841" s="142"/>
      <c r="E841" s="320"/>
      <c r="F841" s="142"/>
      <c r="G841" s="320"/>
      <c r="H841" s="142"/>
      <c r="I841" s="329"/>
      <c r="J841" s="124"/>
      <c r="K841" s="329"/>
      <c r="L841" s="124"/>
      <c r="M841" s="320"/>
      <c r="N841" s="142"/>
      <c r="O841" s="320"/>
      <c r="P841" s="142"/>
      <c r="Q841" s="360"/>
      <c r="R841" s="360"/>
      <c r="S841" s="320"/>
      <c r="T841" s="142"/>
      <c r="U841" s="30"/>
      <c r="V841" s="30"/>
    </row>
    <row r="842">
      <c r="A842" s="320"/>
      <c r="B842" s="142"/>
      <c r="C842" s="320"/>
      <c r="D842" s="142"/>
      <c r="E842" s="320"/>
      <c r="F842" s="142"/>
      <c r="G842" s="320"/>
      <c r="H842" s="142"/>
      <c r="I842" s="329"/>
      <c r="J842" s="124"/>
      <c r="K842" s="329"/>
      <c r="L842" s="124"/>
      <c r="M842" s="320"/>
      <c r="N842" s="142"/>
      <c r="O842" s="320"/>
      <c r="P842" s="142"/>
      <c r="Q842" s="360"/>
      <c r="R842" s="360"/>
      <c r="S842" s="320"/>
      <c r="T842" s="142"/>
      <c r="U842" s="30"/>
      <c r="V842" s="30"/>
    </row>
    <row r="843">
      <c r="A843" s="320"/>
      <c r="B843" s="142"/>
      <c r="C843" s="320"/>
      <c r="D843" s="142"/>
      <c r="E843" s="320"/>
      <c r="F843" s="142"/>
      <c r="G843" s="320"/>
      <c r="H843" s="142"/>
      <c r="I843" s="329"/>
      <c r="J843" s="124"/>
      <c r="K843" s="329"/>
      <c r="L843" s="124"/>
      <c r="M843" s="320"/>
      <c r="N843" s="142"/>
      <c r="O843" s="320"/>
      <c r="P843" s="142"/>
      <c r="Q843" s="360"/>
      <c r="R843" s="360"/>
      <c r="S843" s="320"/>
      <c r="T843" s="142"/>
      <c r="U843" s="30"/>
      <c r="V843" s="30"/>
    </row>
    <row r="844">
      <c r="A844" s="320"/>
      <c r="B844" s="142"/>
      <c r="C844" s="320"/>
      <c r="D844" s="142"/>
      <c r="E844" s="320"/>
      <c r="F844" s="142"/>
      <c r="G844" s="320"/>
      <c r="H844" s="142"/>
      <c r="I844" s="329"/>
      <c r="J844" s="124"/>
      <c r="K844" s="329"/>
      <c r="L844" s="124"/>
      <c r="M844" s="320"/>
      <c r="N844" s="142"/>
      <c r="O844" s="320"/>
      <c r="P844" s="142"/>
      <c r="Q844" s="360"/>
      <c r="R844" s="360"/>
      <c r="S844" s="320"/>
      <c r="T844" s="142"/>
      <c r="U844" s="30"/>
      <c r="V844" s="30"/>
    </row>
    <row r="845">
      <c r="A845" s="320"/>
      <c r="B845" s="142"/>
      <c r="C845" s="320"/>
      <c r="D845" s="142"/>
      <c r="E845" s="320"/>
      <c r="F845" s="142"/>
      <c r="G845" s="320"/>
      <c r="H845" s="142"/>
      <c r="I845" s="329"/>
      <c r="J845" s="124"/>
      <c r="K845" s="329"/>
      <c r="L845" s="124"/>
      <c r="M845" s="320"/>
      <c r="N845" s="142"/>
      <c r="O845" s="320"/>
      <c r="P845" s="142"/>
      <c r="Q845" s="360"/>
      <c r="R845" s="360"/>
      <c r="S845" s="320"/>
      <c r="T845" s="142"/>
      <c r="U845" s="30"/>
      <c r="V845" s="30"/>
    </row>
    <row r="846">
      <c r="A846" s="320"/>
      <c r="B846" s="142"/>
      <c r="C846" s="320"/>
      <c r="D846" s="142"/>
      <c r="E846" s="320"/>
      <c r="F846" s="142"/>
      <c r="G846" s="320"/>
      <c r="H846" s="142"/>
      <c r="I846" s="329"/>
      <c r="J846" s="124"/>
      <c r="K846" s="329"/>
      <c r="L846" s="124"/>
      <c r="M846" s="320"/>
      <c r="N846" s="142"/>
      <c r="O846" s="320"/>
      <c r="P846" s="142"/>
      <c r="Q846" s="360"/>
      <c r="R846" s="360"/>
      <c r="S846" s="320"/>
      <c r="T846" s="142"/>
      <c r="U846" s="30"/>
      <c r="V846" s="30"/>
    </row>
    <row r="847">
      <c r="A847" s="320"/>
      <c r="B847" s="142"/>
      <c r="C847" s="320"/>
      <c r="D847" s="142"/>
      <c r="E847" s="320"/>
      <c r="F847" s="142"/>
      <c r="G847" s="320"/>
      <c r="H847" s="142"/>
      <c r="I847" s="329"/>
      <c r="J847" s="124"/>
      <c r="K847" s="329"/>
      <c r="L847" s="124"/>
      <c r="M847" s="320"/>
      <c r="N847" s="142"/>
      <c r="O847" s="320"/>
      <c r="P847" s="142"/>
      <c r="Q847" s="360"/>
      <c r="R847" s="360"/>
      <c r="S847" s="320"/>
      <c r="T847" s="142"/>
      <c r="U847" s="30"/>
      <c r="V847" s="30"/>
    </row>
    <row r="848">
      <c r="A848" s="320"/>
      <c r="B848" s="142"/>
      <c r="C848" s="320"/>
      <c r="D848" s="142"/>
      <c r="E848" s="320"/>
      <c r="F848" s="142"/>
      <c r="G848" s="320"/>
      <c r="H848" s="142"/>
      <c r="I848" s="329"/>
      <c r="J848" s="124"/>
      <c r="K848" s="329"/>
      <c r="L848" s="124"/>
      <c r="M848" s="320"/>
      <c r="N848" s="142"/>
      <c r="O848" s="320"/>
      <c r="P848" s="142"/>
      <c r="Q848" s="360"/>
      <c r="R848" s="360"/>
      <c r="S848" s="320"/>
      <c r="T848" s="142"/>
      <c r="U848" s="30"/>
      <c r="V848" s="30"/>
    </row>
    <row r="849">
      <c r="A849" s="320"/>
      <c r="B849" s="142"/>
      <c r="C849" s="320"/>
      <c r="D849" s="142"/>
      <c r="E849" s="320"/>
      <c r="F849" s="142"/>
      <c r="G849" s="320"/>
      <c r="H849" s="142"/>
      <c r="I849" s="329"/>
      <c r="J849" s="124"/>
      <c r="K849" s="329"/>
      <c r="L849" s="124"/>
      <c r="M849" s="320"/>
      <c r="N849" s="142"/>
      <c r="O849" s="320"/>
      <c r="P849" s="142"/>
      <c r="Q849" s="360"/>
      <c r="R849" s="360"/>
      <c r="S849" s="320"/>
      <c r="T849" s="142"/>
      <c r="U849" s="30"/>
      <c r="V849" s="30"/>
    </row>
    <row r="850">
      <c r="A850" s="320"/>
      <c r="B850" s="142"/>
      <c r="C850" s="320"/>
      <c r="D850" s="142"/>
      <c r="E850" s="320"/>
      <c r="F850" s="142"/>
      <c r="G850" s="320"/>
      <c r="H850" s="142"/>
      <c r="I850" s="329"/>
      <c r="J850" s="124"/>
      <c r="K850" s="329"/>
      <c r="L850" s="124"/>
      <c r="M850" s="320"/>
      <c r="N850" s="142"/>
      <c r="O850" s="320"/>
      <c r="P850" s="142"/>
      <c r="Q850" s="360"/>
      <c r="R850" s="360"/>
      <c r="S850" s="320"/>
      <c r="T850" s="142"/>
      <c r="U850" s="30"/>
      <c r="V850" s="30"/>
    </row>
    <row r="851">
      <c r="A851" s="320"/>
      <c r="B851" s="142"/>
      <c r="C851" s="320"/>
      <c r="D851" s="142"/>
      <c r="E851" s="320"/>
      <c r="F851" s="142"/>
      <c r="G851" s="320"/>
      <c r="H851" s="142"/>
      <c r="I851" s="329"/>
      <c r="J851" s="124"/>
      <c r="K851" s="329"/>
      <c r="L851" s="124"/>
      <c r="M851" s="320"/>
      <c r="N851" s="142"/>
      <c r="O851" s="320"/>
      <c r="P851" s="142"/>
      <c r="Q851" s="360"/>
      <c r="R851" s="360"/>
      <c r="S851" s="320"/>
      <c r="T851" s="142"/>
      <c r="U851" s="30"/>
      <c r="V851" s="30"/>
    </row>
    <row r="852">
      <c r="A852" s="320"/>
      <c r="B852" s="142"/>
      <c r="C852" s="320"/>
      <c r="D852" s="142"/>
      <c r="E852" s="320"/>
      <c r="F852" s="142"/>
      <c r="G852" s="320"/>
      <c r="H852" s="142"/>
      <c r="I852" s="329"/>
      <c r="J852" s="124"/>
      <c r="K852" s="329"/>
      <c r="L852" s="124"/>
      <c r="M852" s="320"/>
      <c r="N852" s="142"/>
      <c r="O852" s="320"/>
      <c r="P852" s="142"/>
      <c r="Q852" s="360"/>
      <c r="R852" s="360"/>
      <c r="S852" s="320"/>
      <c r="T852" s="142"/>
      <c r="U852" s="30"/>
      <c r="V852" s="30"/>
    </row>
    <row r="853">
      <c r="A853" s="320"/>
      <c r="B853" s="142"/>
      <c r="C853" s="320"/>
      <c r="D853" s="142"/>
      <c r="E853" s="320"/>
      <c r="F853" s="142"/>
      <c r="G853" s="320"/>
      <c r="H853" s="142"/>
      <c r="I853" s="329"/>
      <c r="J853" s="124"/>
      <c r="K853" s="329"/>
      <c r="L853" s="124"/>
      <c r="M853" s="320"/>
      <c r="N853" s="142"/>
      <c r="O853" s="320"/>
      <c r="P853" s="142"/>
      <c r="Q853" s="360"/>
      <c r="R853" s="360"/>
      <c r="S853" s="320"/>
      <c r="T853" s="142"/>
      <c r="U853" s="30"/>
      <c r="V853" s="30"/>
    </row>
    <row r="854">
      <c r="A854" s="320"/>
      <c r="B854" s="142"/>
      <c r="C854" s="320"/>
      <c r="D854" s="142"/>
      <c r="E854" s="320"/>
      <c r="F854" s="142"/>
      <c r="G854" s="320"/>
      <c r="H854" s="142"/>
      <c r="I854" s="329"/>
      <c r="J854" s="124"/>
      <c r="K854" s="329"/>
      <c r="L854" s="124"/>
      <c r="M854" s="320"/>
      <c r="N854" s="142"/>
      <c r="O854" s="320"/>
      <c r="P854" s="142"/>
      <c r="Q854" s="360"/>
      <c r="R854" s="360"/>
      <c r="S854" s="320"/>
      <c r="T854" s="142"/>
      <c r="U854" s="30"/>
      <c r="V854" s="30"/>
    </row>
    <row r="855">
      <c r="A855" s="320"/>
      <c r="B855" s="142"/>
      <c r="C855" s="320"/>
      <c r="D855" s="142"/>
      <c r="E855" s="320"/>
      <c r="F855" s="142"/>
      <c r="G855" s="320"/>
      <c r="H855" s="142"/>
      <c r="I855" s="329"/>
      <c r="J855" s="124"/>
      <c r="K855" s="329"/>
      <c r="L855" s="124"/>
      <c r="M855" s="320"/>
      <c r="N855" s="142"/>
      <c r="O855" s="320"/>
      <c r="P855" s="142"/>
      <c r="Q855" s="360"/>
      <c r="R855" s="360"/>
      <c r="S855" s="320"/>
      <c r="T855" s="142"/>
      <c r="U855" s="30"/>
      <c r="V855" s="30"/>
    </row>
    <row r="856">
      <c r="A856" s="320"/>
      <c r="B856" s="142"/>
      <c r="C856" s="320"/>
      <c r="D856" s="142"/>
      <c r="E856" s="320"/>
      <c r="F856" s="142"/>
      <c r="G856" s="320"/>
      <c r="H856" s="142"/>
      <c r="I856" s="329"/>
      <c r="J856" s="124"/>
      <c r="K856" s="329"/>
      <c r="L856" s="124"/>
      <c r="M856" s="320"/>
      <c r="N856" s="142"/>
      <c r="O856" s="320"/>
      <c r="P856" s="142"/>
      <c r="Q856" s="360"/>
      <c r="R856" s="360"/>
      <c r="S856" s="320"/>
      <c r="T856" s="142"/>
      <c r="U856" s="30"/>
      <c r="V856" s="30"/>
    </row>
    <row r="857">
      <c r="A857" s="320"/>
      <c r="B857" s="142"/>
      <c r="C857" s="320"/>
      <c r="D857" s="142"/>
      <c r="E857" s="320"/>
      <c r="F857" s="142"/>
      <c r="G857" s="320"/>
      <c r="H857" s="142"/>
      <c r="I857" s="329"/>
      <c r="J857" s="124"/>
      <c r="K857" s="329"/>
      <c r="L857" s="124"/>
      <c r="M857" s="320"/>
      <c r="N857" s="142"/>
      <c r="O857" s="320"/>
      <c r="P857" s="142"/>
      <c r="Q857" s="360"/>
      <c r="R857" s="360"/>
      <c r="S857" s="320"/>
      <c r="T857" s="142"/>
      <c r="U857" s="30"/>
      <c r="V857" s="30"/>
    </row>
    <row r="858">
      <c r="A858" s="320"/>
      <c r="B858" s="142"/>
      <c r="C858" s="320"/>
      <c r="D858" s="142"/>
      <c r="E858" s="320"/>
      <c r="F858" s="142"/>
      <c r="G858" s="320"/>
      <c r="H858" s="142"/>
      <c r="I858" s="329"/>
      <c r="J858" s="124"/>
      <c r="K858" s="329"/>
      <c r="L858" s="124"/>
      <c r="M858" s="320"/>
      <c r="N858" s="142"/>
      <c r="O858" s="320"/>
      <c r="P858" s="142"/>
      <c r="Q858" s="360"/>
      <c r="R858" s="360"/>
      <c r="S858" s="320"/>
      <c r="T858" s="142"/>
      <c r="U858" s="30"/>
      <c r="V858" s="30"/>
    </row>
    <row r="859">
      <c r="A859" s="320"/>
      <c r="B859" s="142"/>
      <c r="C859" s="320"/>
      <c r="D859" s="142"/>
      <c r="E859" s="320"/>
      <c r="F859" s="142"/>
      <c r="G859" s="320"/>
      <c r="H859" s="142"/>
      <c r="I859" s="329"/>
      <c r="J859" s="124"/>
      <c r="K859" s="329"/>
      <c r="L859" s="124"/>
      <c r="M859" s="320"/>
      <c r="N859" s="142"/>
      <c r="O859" s="320"/>
      <c r="P859" s="142"/>
      <c r="Q859" s="360"/>
      <c r="R859" s="360"/>
      <c r="S859" s="320"/>
      <c r="T859" s="142"/>
      <c r="U859" s="30"/>
      <c r="V859" s="30"/>
    </row>
    <row r="860">
      <c r="A860" s="320"/>
      <c r="B860" s="142"/>
      <c r="C860" s="320"/>
      <c r="D860" s="142"/>
      <c r="E860" s="320"/>
      <c r="F860" s="142"/>
      <c r="G860" s="320"/>
      <c r="H860" s="142"/>
      <c r="I860" s="329"/>
      <c r="J860" s="124"/>
      <c r="K860" s="329"/>
      <c r="L860" s="124"/>
      <c r="M860" s="320"/>
      <c r="N860" s="142"/>
      <c r="O860" s="320"/>
      <c r="P860" s="142"/>
      <c r="Q860" s="360"/>
      <c r="R860" s="360"/>
      <c r="S860" s="320"/>
      <c r="T860" s="142"/>
      <c r="U860" s="30"/>
      <c r="V860" s="30"/>
    </row>
    <row r="861">
      <c r="A861" s="320"/>
      <c r="B861" s="142"/>
      <c r="C861" s="320"/>
      <c r="D861" s="142"/>
      <c r="E861" s="320"/>
      <c r="F861" s="142"/>
      <c r="G861" s="320"/>
      <c r="H861" s="142"/>
      <c r="I861" s="329"/>
      <c r="J861" s="124"/>
      <c r="K861" s="329"/>
      <c r="L861" s="124"/>
      <c r="M861" s="320"/>
      <c r="N861" s="142"/>
      <c r="O861" s="320"/>
      <c r="P861" s="142"/>
      <c r="Q861" s="360"/>
      <c r="R861" s="360"/>
      <c r="S861" s="320"/>
      <c r="T861" s="142"/>
      <c r="U861" s="30"/>
      <c r="V861" s="30"/>
    </row>
    <row r="862">
      <c r="A862" s="320"/>
      <c r="B862" s="142"/>
      <c r="C862" s="320"/>
      <c r="D862" s="142"/>
      <c r="E862" s="320"/>
      <c r="F862" s="142"/>
      <c r="G862" s="320"/>
      <c r="H862" s="142"/>
      <c r="I862" s="329"/>
      <c r="J862" s="124"/>
      <c r="K862" s="329"/>
      <c r="L862" s="124"/>
      <c r="M862" s="320"/>
      <c r="N862" s="142"/>
      <c r="O862" s="320"/>
      <c r="P862" s="142"/>
      <c r="Q862" s="360"/>
      <c r="R862" s="360"/>
      <c r="S862" s="320"/>
      <c r="T862" s="142"/>
      <c r="U862" s="30"/>
      <c r="V862" s="30"/>
    </row>
    <row r="863">
      <c r="A863" s="320"/>
      <c r="B863" s="142"/>
      <c r="C863" s="320"/>
      <c r="D863" s="142"/>
      <c r="E863" s="320"/>
      <c r="F863" s="142"/>
      <c r="G863" s="320"/>
      <c r="H863" s="142"/>
      <c r="I863" s="329"/>
      <c r="J863" s="124"/>
      <c r="K863" s="329"/>
      <c r="L863" s="124"/>
      <c r="M863" s="320"/>
      <c r="N863" s="142"/>
      <c r="O863" s="320"/>
      <c r="P863" s="142"/>
      <c r="Q863" s="360"/>
      <c r="R863" s="360"/>
      <c r="S863" s="320"/>
      <c r="T863" s="142"/>
      <c r="U863" s="30"/>
      <c r="V863" s="30"/>
    </row>
    <row r="864">
      <c r="A864" s="320"/>
      <c r="B864" s="142"/>
      <c r="C864" s="320"/>
      <c r="D864" s="142"/>
      <c r="E864" s="320"/>
      <c r="F864" s="142"/>
      <c r="G864" s="320"/>
      <c r="H864" s="142"/>
      <c r="I864" s="329"/>
      <c r="J864" s="124"/>
      <c r="K864" s="329"/>
      <c r="L864" s="124"/>
      <c r="M864" s="320"/>
      <c r="N864" s="142"/>
      <c r="O864" s="320"/>
      <c r="P864" s="142"/>
      <c r="Q864" s="360"/>
      <c r="R864" s="360"/>
      <c r="S864" s="320"/>
      <c r="T864" s="142"/>
      <c r="U864" s="30"/>
      <c r="V864" s="30"/>
    </row>
    <row r="865">
      <c r="A865" s="320"/>
      <c r="B865" s="142"/>
      <c r="C865" s="320"/>
      <c r="D865" s="142"/>
      <c r="E865" s="320"/>
      <c r="F865" s="142"/>
      <c r="G865" s="320"/>
      <c r="H865" s="142"/>
      <c r="I865" s="329"/>
      <c r="J865" s="124"/>
      <c r="K865" s="329"/>
      <c r="L865" s="124"/>
      <c r="M865" s="320"/>
      <c r="N865" s="142"/>
      <c r="O865" s="320"/>
      <c r="P865" s="142"/>
      <c r="Q865" s="360"/>
      <c r="R865" s="360"/>
      <c r="S865" s="320"/>
      <c r="T865" s="142"/>
      <c r="U865" s="30"/>
      <c r="V865" s="30"/>
    </row>
    <row r="866">
      <c r="A866" s="320"/>
      <c r="B866" s="142"/>
      <c r="C866" s="320"/>
      <c r="D866" s="142"/>
      <c r="E866" s="320"/>
      <c r="F866" s="142"/>
      <c r="G866" s="320"/>
      <c r="H866" s="142"/>
      <c r="I866" s="329"/>
      <c r="J866" s="124"/>
      <c r="K866" s="329"/>
      <c r="L866" s="124"/>
      <c r="M866" s="320"/>
      <c r="N866" s="142"/>
      <c r="O866" s="320"/>
      <c r="P866" s="142"/>
      <c r="Q866" s="360"/>
      <c r="R866" s="360"/>
      <c r="S866" s="320"/>
      <c r="T866" s="142"/>
      <c r="U866" s="30"/>
      <c r="V866" s="30"/>
    </row>
    <row r="867">
      <c r="A867" s="320"/>
      <c r="B867" s="142"/>
      <c r="C867" s="320"/>
      <c r="D867" s="142"/>
      <c r="E867" s="320"/>
      <c r="F867" s="142"/>
      <c r="G867" s="320"/>
      <c r="H867" s="142"/>
      <c r="I867" s="329"/>
      <c r="J867" s="124"/>
      <c r="K867" s="329"/>
      <c r="L867" s="124"/>
      <c r="M867" s="320"/>
      <c r="N867" s="142"/>
      <c r="O867" s="320"/>
      <c r="P867" s="142"/>
      <c r="Q867" s="360"/>
      <c r="R867" s="360"/>
      <c r="S867" s="320"/>
      <c r="T867" s="142"/>
      <c r="U867" s="30"/>
      <c r="V867" s="30"/>
    </row>
    <row r="868">
      <c r="A868" s="320"/>
      <c r="B868" s="142"/>
      <c r="C868" s="320"/>
      <c r="D868" s="142"/>
      <c r="E868" s="320"/>
      <c r="F868" s="142"/>
      <c r="G868" s="320"/>
      <c r="H868" s="142"/>
      <c r="I868" s="329"/>
      <c r="J868" s="124"/>
      <c r="K868" s="329"/>
      <c r="L868" s="124"/>
      <c r="M868" s="320"/>
      <c r="N868" s="142"/>
      <c r="O868" s="320"/>
      <c r="P868" s="142"/>
      <c r="Q868" s="360"/>
      <c r="R868" s="360"/>
      <c r="S868" s="320"/>
      <c r="T868" s="142"/>
      <c r="U868" s="30"/>
      <c r="V868" s="30"/>
    </row>
    <row r="869">
      <c r="A869" s="320"/>
      <c r="B869" s="142"/>
      <c r="C869" s="320"/>
      <c r="D869" s="142"/>
      <c r="E869" s="320"/>
      <c r="F869" s="142"/>
      <c r="G869" s="320"/>
      <c r="H869" s="142"/>
      <c r="I869" s="329"/>
      <c r="J869" s="124"/>
      <c r="K869" s="329"/>
      <c r="L869" s="124"/>
      <c r="M869" s="320"/>
      <c r="N869" s="142"/>
      <c r="O869" s="320"/>
      <c r="P869" s="142"/>
      <c r="Q869" s="360"/>
      <c r="R869" s="360"/>
      <c r="S869" s="320"/>
      <c r="T869" s="142"/>
      <c r="U869" s="30"/>
      <c r="V869" s="30"/>
    </row>
    <row r="870">
      <c r="A870" s="320"/>
      <c r="B870" s="142"/>
      <c r="C870" s="320"/>
      <c r="D870" s="142"/>
      <c r="E870" s="320"/>
      <c r="F870" s="142"/>
      <c r="G870" s="320"/>
      <c r="H870" s="142"/>
      <c r="I870" s="329"/>
      <c r="J870" s="124"/>
      <c r="K870" s="329"/>
      <c r="L870" s="124"/>
      <c r="M870" s="320"/>
      <c r="N870" s="142"/>
      <c r="O870" s="320"/>
      <c r="P870" s="142"/>
      <c r="Q870" s="360"/>
      <c r="R870" s="360"/>
      <c r="S870" s="320"/>
      <c r="T870" s="142"/>
      <c r="U870" s="30"/>
      <c r="V870" s="30"/>
    </row>
    <row r="871">
      <c r="A871" s="320"/>
      <c r="B871" s="142"/>
      <c r="C871" s="320"/>
      <c r="D871" s="142"/>
      <c r="E871" s="320"/>
      <c r="F871" s="142"/>
      <c r="G871" s="320"/>
      <c r="H871" s="142"/>
      <c r="I871" s="329"/>
      <c r="J871" s="124"/>
      <c r="K871" s="329"/>
      <c r="L871" s="124"/>
      <c r="M871" s="320"/>
      <c r="N871" s="142"/>
      <c r="O871" s="320"/>
      <c r="P871" s="142"/>
      <c r="Q871" s="360"/>
      <c r="R871" s="360"/>
      <c r="S871" s="320"/>
      <c r="T871" s="142"/>
      <c r="U871" s="30"/>
      <c r="V871" s="30"/>
    </row>
    <row r="872">
      <c r="A872" s="320"/>
      <c r="B872" s="142"/>
      <c r="C872" s="320"/>
      <c r="D872" s="142"/>
      <c r="E872" s="320"/>
      <c r="F872" s="142"/>
      <c r="G872" s="320"/>
      <c r="H872" s="142"/>
      <c r="I872" s="329"/>
      <c r="J872" s="124"/>
      <c r="K872" s="329"/>
      <c r="L872" s="124"/>
      <c r="M872" s="320"/>
      <c r="N872" s="142"/>
      <c r="O872" s="320"/>
      <c r="P872" s="142"/>
      <c r="Q872" s="360"/>
      <c r="R872" s="360"/>
      <c r="S872" s="320"/>
      <c r="T872" s="142"/>
      <c r="U872" s="30"/>
      <c r="V872" s="30"/>
    </row>
    <row r="873">
      <c r="A873" s="320"/>
      <c r="B873" s="142"/>
      <c r="C873" s="320"/>
      <c r="D873" s="142"/>
      <c r="E873" s="320"/>
      <c r="F873" s="142"/>
      <c r="G873" s="320"/>
      <c r="H873" s="142"/>
      <c r="I873" s="329"/>
      <c r="J873" s="124"/>
      <c r="K873" s="329"/>
      <c r="L873" s="124"/>
      <c r="M873" s="320"/>
      <c r="N873" s="142"/>
      <c r="O873" s="320"/>
      <c r="P873" s="142"/>
      <c r="Q873" s="360"/>
      <c r="R873" s="360"/>
      <c r="S873" s="320"/>
      <c r="T873" s="142"/>
      <c r="U873" s="30"/>
      <c r="V873" s="30"/>
    </row>
    <row r="874">
      <c r="A874" s="320"/>
      <c r="B874" s="142"/>
      <c r="C874" s="320"/>
      <c r="D874" s="142"/>
      <c r="E874" s="320"/>
      <c r="F874" s="142"/>
      <c r="G874" s="320"/>
      <c r="H874" s="142"/>
      <c r="I874" s="329"/>
      <c r="J874" s="124"/>
      <c r="K874" s="329"/>
      <c r="L874" s="124"/>
      <c r="M874" s="320"/>
      <c r="N874" s="142"/>
      <c r="O874" s="320"/>
      <c r="P874" s="142"/>
      <c r="Q874" s="360"/>
      <c r="R874" s="360"/>
      <c r="S874" s="320"/>
      <c r="T874" s="142"/>
      <c r="U874" s="30"/>
      <c r="V874" s="30"/>
    </row>
    <row r="875">
      <c r="A875" s="320"/>
      <c r="B875" s="142"/>
      <c r="C875" s="320"/>
      <c r="D875" s="142"/>
      <c r="E875" s="320"/>
      <c r="F875" s="142"/>
      <c r="G875" s="320"/>
      <c r="H875" s="142"/>
      <c r="I875" s="329"/>
      <c r="J875" s="124"/>
      <c r="K875" s="329"/>
      <c r="L875" s="124"/>
      <c r="M875" s="320"/>
      <c r="N875" s="142"/>
      <c r="O875" s="320"/>
      <c r="P875" s="142"/>
      <c r="Q875" s="360"/>
      <c r="R875" s="360"/>
      <c r="S875" s="320"/>
      <c r="T875" s="142"/>
      <c r="U875" s="30"/>
      <c r="V875" s="30"/>
    </row>
    <row r="876">
      <c r="A876" s="320"/>
      <c r="B876" s="142"/>
      <c r="C876" s="320"/>
      <c r="D876" s="142"/>
      <c r="E876" s="320"/>
      <c r="F876" s="142"/>
      <c r="G876" s="320"/>
      <c r="H876" s="142"/>
      <c r="I876" s="329"/>
      <c r="J876" s="124"/>
      <c r="K876" s="329"/>
      <c r="L876" s="124"/>
      <c r="M876" s="320"/>
      <c r="N876" s="142"/>
      <c r="O876" s="320"/>
      <c r="P876" s="142"/>
      <c r="Q876" s="360"/>
      <c r="R876" s="360"/>
      <c r="S876" s="320"/>
      <c r="T876" s="142"/>
      <c r="U876" s="30"/>
      <c r="V876" s="30"/>
    </row>
    <row r="877">
      <c r="A877" s="320"/>
      <c r="B877" s="142"/>
      <c r="C877" s="320"/>
      <c r="D877" s="142"/>
      <c r="E877" s="320"/>
      <c r="F877" s="142"/>
      <c r="G877" s="320"/>
      <c r="H877" s="142"/>
      <c r="I877" s="329"/>
      <c r="J877" s="124"/>
      <c r="K877" s="329"/>
      <c r="L877" s="124"/>
      <c r="M877" s="320"/>
      <c r="N877" s="142"/>
      <c r="O877" s="320"/>
      <c r="P877" s="142"/>
      <c r="Q877" s="360"/>
      <c r="R877" s="360"/>
      <c r="S877" s="320"/>
      <c r="T877" s="142"/>
      <c r="U877" s="30"/>
      <c r="V877" s="30"/>
    </row>
    <row r="878">
      <c r="A878" s="320"/>
      <c r="B878" s="142"/>
      <c r="C878" s="320"/>
      <c r="D878" s="142"/>
      <c r="E878" s="320"/>
      <c r="F878" s="142"/>
      <c r="G878" s="320"/>
      <c r="H878" s="142"/>
      <c r="I878" s="329"/>
      <c r="J878" s="124"/>
      <c r="K878" s="329"/>
      <c r="L878" s="124"/>
      <c r="M878" s="320"/>
      <c r="N878" s="142"/>
      <c r="O878" s="320"/>
      <c r="P878" s="142"/>
      <c r="Q878" s="360"/>
      <c r="R878" s="360"/>
      <c r="S878" s="320"/>
      <c r="T878" s="142"/>
      <c r="U878" s="30"/>
      <c r="V878" s="30"/>
    </row>
    <row r="879">
      <c r="A879" s="320"/>
      <c r="B879" s="142"/>
      <c r="C879" s="320"/>
      <c r="D879" s="142"/>
      <c r="E879" s="320"/>
      <c r="F879" s="142"/>
      <c r="G879" s="320"/>
      <c r="H879" s="142"/>
      <c r="I879" s="329"/>
      <c r="J879" s="124"/>
      <c r="K879" s="329"/>
      <c r="L879" s="124"/>
      <c r="M879" s="320"/>
      <c r="N879" s="142"/>
      <c r="O879" s="320"/>
      <c r="P879" s="142"/>
      <c r="Q879" s="360"/>
      <c r="R879" s="360"/>
      <c r="S879" s="320"/>
      <c r="T879" s="142"/>
      <c r="U879" s="30"/>
      <c r="V879" s="30"/>
    </row>
    <row r="880">
      <c r="A880" s="320"/>
      <c r="B880" s="142"/>
      <c r="C880" s="320"/>
      <c r="D880" s="142"/>
      <c r="E880" s="320"/>
      <c r="F880" s="142"/>
      <c r="G880" s="320"/>
      <c r="H880" s="142"/>
      <c r="I880" s="329"/>
      <c r="J880" s="124"/>
      <c r="K880" s="329"/>
      <c r="L880" s="124"/>
      <c r="M880" s="320"/>
      <c r="N880" s="142"/>
      <c r="O880" s="320"/>
      <c r="P880" s="142"/>
      <c r="Q880" s="360"/>
      <c r="R880" s="360"/>
      <c r="S880" s="320"/>
      <c r="T880" s="142"/>
      <c r="U880" s="30"/>
      <c r="V880" s="30"/>
    </row>
    <row r="881">
      <c r="A881" s="320"/>
      <c r="B881" s="142"/>
      <c r="C881" s="320"/>
      <c r="D881" s="142"/>
      <c r="E881" s="320"/>
      <c r="F881" s="142"/>
      <c r="G881" s="320"/>
      <c r="H881" s="142"/>
      <c r="I881" s="329"/>
      <c r="J881" s="124"/>
      <c r="K881" s="329"/>
      <c r="L881" s="124"/>
      <c r="M881" s="320"/>
      <c r="N881" s="142"/>
      <c r="O881" s="320"/>
      <c r="P881" s="142"/>
      <c r="Q881" s="360"/>
      <c r="R881" s="360"/>
      <c r="S881" s="320"/>
      <c r="T881" s="142"/>
      <c r="U881" s="30"/>
      <c r="V881" s="30"/>
    </row>
    <row r="882">
      <c r="A882" s="320"/>
      <c r="B882" s="142"/>
      <c r="C882" s="320"/>
      <c r="D882" s="142"/>
      <c r="E882" s="320"/>
      <c r="F882" s="142"/>
      <c r="G882" s="320"/>
      <c r="H882" s="142"/>
      <c r="I882" s="329"/>
      <c r="J882" s="124"/>
      <c r="K882" s="329"/>
      <c r="L882" s="124"/>
      <c r="M882" s="320"/>
      <c r="N882" s="142"/>
      <c r="O882" s="320"/>
      <c r="P882" s="142"/>
      <c r="Q882" s="360"/>
      <c r="R882" s="360"/>
      <c r="S882" s="320"/>
      <c r="T882" s="142"/>
      <c r="U882" s="30"/>
      <c r="V882" s="30"/>
    </row>
    <row r="883">
      <c r="A883" s="320"/>
      <c r="B883" s="142"/>
      <c r="C883" s="320"/>
      <c r="D883" s="142"/>
      <c r="E883" s="320"/>
      <c r="F883" s="142"/>
      <c r="G883" s="320"/>
      <c r="H883" s="142"/>
      <c r="I883" s="329"/>
      <c r="J883" s="124"/>
      <c r="K883" s="329"/>
      <c r="L883" s="124"/>
      <c r="M883" s="320"/>
      <c r="N883" s="142"/>
      <c r="O883" s="320"/>
      <c r="P883" s="142"/>
      <c r="Q883" s="360"/>
      <c r="R883" s="360"/>
      <c r="S883" s="320"/>
      <c r="T883" s="142"/>
      <c r="U883" s="30"/>
      <c r="V883" s="30"/>
    </row>
    <row r="884">
      <c r="A884" s="320"/>
      <c r="B884" s="142"/>
      <c r="C884" s="320"/>
      <c r="D884" s="142"/>
      <c r="E884" s="320"/>
      <c r="F884" s="142"/>
      <c r="G884" s="320"/>
      <c r="H884" s="142"/>
      <c r="I884" s="329"/>
      <c r="J884" s="124"/>
      <c r="K884" s="329"/>
      <c r="L884" s="124"/>
      <c r="M884" s="320"/>
      <c r="N884" s="142"/>
      <c r="O884" s="320"/>
      <c r="P884" s="142"/>
      <c r="Q884" s="360"/>
      <c r="R884" s="360"/>
      <c r="S884" s="320"/>
      <c r="T884" s="142"/>
      <c r="U884" s="30"/>
      <c r="V884" s="30"/>
    </row>
    <row r="885">
      <c r="A885" s="320"/>
      <c r="B885" s="142"/>
      <c r="C885" s="320"/>
      <c r="D885" s="142"/>
      <c r="E885" s="320"/>
      <c r="F885" s="142"/>
      <c r="G885" s="320"/>
      <c r="H885" s="142"/>
      <c r="I885" s="329"/>
      <c r="J885" s="124"/>
      <c r="K885" s="329"/>
      <c r="L885" s="124"/>
      <c r="M885" s="320"/>
      <c r="N885" s="142"/>
      <c r="O885" s="320"/>
      <c r="P885" s="142"/>
      <c r="Q885" s="360"/>
      <c r="R885" s="360"/>
      <c r="S885" s="320"/>
      <c r="T885" s="142"/>
      <c r="U885" s="30"/>
      <c r="V885" s="30"/>
    </row>
    <row r="886">
      <c r="A886" s="320"/>
      <c r="B886" s="142"/>
      <c r="C886" s="320"/>
      <c r="D886" s="142"/>
      <c r="E886" s="320"/>
      <c r="F886" s="142"/>
      <c r="G886" s="320"/>
      <c r="H886" s="142"/>
      <c r="I886" s="329"/>
      <c r="J886" s="124"/>
      <c r="K886" s="329"/>
      <c r="L886" s="124"/>
      <c r="M886" s="320"/>
      <c r="N886" s="142"/>
      <c r="O886" s="320"/>
      <c r="P886" s="142"/>
      <c r="Q886" s="360"/>
      <c r="R886" s="360"/>
      <c r="S886" s="320"/>
      <c r="T886" s="142"/>
      <c r="U886" s="30"/>
      <c r="V886" s="30"/>
    </row>
    <row r="887">
      <c r="A887" s="320"/>
      <c r="B887" s="142"/>
      <c r="C887" s="320"/>
      <c r="D887" s="142"/>
      <c r="E887" s="320"/>
      <c r="F887" s="142"/>
      <c r="G887" s="320"/>
      <c r="H887" s="142"/>
      <c r="I887" s="329"/>
      <c r="J887" s="124"/>
      <c r="K887" s="329"/>
      <c r="L887" s="124"/>
      <c r="M887" s="320"/>
      <c r="N887" s="142"/>
      <c r="O887" s="320"/>
      <c r="P887" s="142"/>
      <c r="Q887" s="360"/>
      <c r="R887" s="360"/>
      <c r="S887" s="320"/>
      <c r="T887" s="142"/>
      <c r="U887" s="30"/>
      <c r="V887" s="30"/>
    </row>
    <row r="888">
      <c r="A888" s="320"/>
      <c r="B888" s="142"/>
      <c r="C888" s="320"/>
      <c r="D888" s="142"/>
      <c r="E888" s="320"/>
      <c r="F888" s="142"/>
      <c r="G888" s="320"/>
      <c r="H888" s="142"/>
      <c r="I888" s="329"/>
      <c r="J888" s="124"/>
      <c r="K888" s="329"/>
      <c r="L888" s="124"/>
      <c r="M888" s="320"/>
      <c r="N888" s="142"/>
      <c r="O888" s="320"/>
      <c r="P888" s="142"/>
      <c r="Q888" s="360"/>
      <c r="R888" s="360"/>
      <c r="S888" s="320"/>
      <c r="T888" s="142"/>
      <c r="U888" s="30"/>
      <c r="V888" s="30"/>
    </row>
    <row r="889">
      <c r="A889" s="320"/>
      <c r="B889" s="142"/>
      <c r="C889" s="320"/>
      <c r="D889" s="142"/>
      <c r="E889" s="320"/>
      <c r="F889" s="142"/>
      <c r="G889" s="320"/>
      <c r="H889" s="142"/>
      <c r="I889" s="329"/>
      <c r="J889" s="124"/>
      <c r="K889" s="329"/>
      <c r="L889" s="124"/>
      <c r="M889" s="320"/>
      <c r="N889" s="142"/>
      <c r="O889" s="320"/>
      <c r="P889" s="142"/>
      <c r="Q889" s="360"/>
      <c r="R889" s="360"/>
      <c r="S889" s="320"/>
      <c r="T889" s="142"/>
      <c r="U889" s="30"/>
      <c r="V889" s="30"/>
    </row>
    <row r="890">
      <c r="A890" s="320"/>
      <c r="B890" s="142"/>
      <c r="C890" s="320"/>
      <c r="D890" s="142"/>
      <c r="E890" s="320"/>
      <c r="F890" s="142"/>
      <c r="G890" s="320"/>
      <c r="H890" s="142"/>
      <c r="I890" s="329"/>
      <c r="J890" s="124"/>
      <c r="K890" s="329"/>
      <c r="L890" s="124"/>
      <c r="M890" s="320"/>
      <c r="N890" s="142"/>
      <c r="O890" s="320"/>
      <c r="P890" s="142"/>
      <c r="Q890" s="360"/>
      <c r="R890" s="360"/>
      <c r="S890" s="320"/>
      <c r="T890" s="142"/>
      <c r="U890" s="30"/>
      <c r="V890" s="30"/>
    </row>
    <row r="891">
      <c r="A891" s="320"/>
      <c r="B891" s="142"/>
      <c r="C891" s="320"/>
      <c r="D891" s="142"/>
      <c r="E891" s="320"/>
      <c r="F891" s="142"/>
      <c r="G891" s="320"/>
      <c r="H891" s="142"/>
      <c r="I891" s="329"/>
      <c r="J891" s="124"/>
      <c r="K891" s="329"/>
      <c r="L891" s="124"/>
      <c r="M891" s="320"/>
      <c r="N891" s="142"/>
      <c r="O891" s="320"/>
      <c r="P891" s="142"/>
      <c r="Q891" s="360"/>
      <c r="R891" s="360"/>
      <c r="S891" s="320"/>
      <c r="T891" s="142"/>
      <c r="U891" s="30"/>
      <c r="V891" s="30"/>
    </row>
    <row r="892">
      <c r="A892" s="320"/>
      <c r="B892" s="142"/>
      <c r="C892" s="320"/>
      <c r="D892" s="142"/>
      <c r="E892" s="320"/>
      <c r="F892" s="142"/>
      <c r="G892" s="320"/>
      <c r="H892" s="142"/>
      <c r="I892" s="329"/>
      <c r="J892" s="124"/>
      <c r="K892" s="329"/>
      <c r="L892" s="124"/>
      <c r="M892" s="320"/>
      <c r="N892" s="142"/>
      <c r="O892" s="320"/>
      <c r="P892" s="142"/>
      <c r="Q892" s="360"/>
      <c r="R892" s="360"/>
      <c r="S892" s="320"/>
      <c r="T892" s="142"/>
      <c r="U892" s="30"/>
      <c r="V892" s="30"/>
    </row>
    <row r="893">
      <c r="A893" s="320"/>
      <c r="B893" s="142"/>
      <c r="C893" s="320"/>
      <c r="D893" s="142"/>
      <c r="E893" s="320"/>
      <c r="F893" s="142"/>
      <c r="G893" s="320"/>
      <c r="H893" s="142"/>
      <c r="I893" s="329"/>
      <c r="J893" s="124"/>
      <c r="K893" s="329"/>
      <c r="L893" s="124"/>
      <c r="M893" s="320"/>
      <c r="N893" s="142"/>
      <c r="O893" s="320"/>
      <c r="P893" s="142"/>
      <c r="Q893" s="360"/>
      <c r="R893" s="360"/>
      <c r="S893" s="320"/>
      <c r="T893" s="142"/>
      <c r="U893" s="30"/>
      <c r="V893" s="30"/>
    </row>
    <row r="894">
      <c r="A894" s="320"/>
      <c r="B894" s="142"/>
      <c r="C894" s="320"/>
      <c r="D894" s="142"/>
      <c r="E894" s="320"/>
      <c r="F894" s="142"/>
      <c r="G894" s="320"/>
      <c r="H894" s="142"/>
      <c r="I894" s="329"/>
      <c r="J894" s="124"/>
      <c r="K894" s="329"/>
      <c r="L894" s="124"/>
      <c r="M894" s="320"/>
      <c r="N894" s="142"/>
      <c r="O894" s="320"/>
      <c r="P894" s="142"/>
      <c r="Q894" s="360"/>
      <c r="R894" s="360"/>
      <c r="S894" s="320"/>
      <c r="T894" s="142"/>
      <c r="U894" s="30"/>
      <c r="V894" s="30"/>
    </row>
    <row r="895">
      <c r="A895" s="320"/>
      <c r="B895" s="142"/>
      <c r="C895" s="320"/>
      <c r="D895" s="142"/>
      <c r="E895" s="320"/>
      <c r="F895" s="142"/>
      <c r="G895" s="320"/>
      <c r="H895" s="142"/>
      <c r="I895" s="329"/>
      <c r="J895" s="124"/>
      <c r="K895" s="329"/>
      <c r="L895" s="124"/>
      <c r="M895" s="320"/>
      <c r="N895" s="142"/>
      <c r="O895" s="320"/>
      <c r="P895" s="142"/>
      <c r="Q895" s="360"/>
      <c r="R895" s="360"/>
      <c r="S895" s="320"/>
      <c r="T895" s="142"/>
      <c r="U895" s="30"/>
      <c r="V895" s="30"/>
    </row>
    <row r="896">
      <c r="A896" s="320"/>
      <c r="B896" s="142"/>
      <c r="C896" s="320"/>
      <c r="D896" s="142"/>
      <c r="E896" s="320"/>
      <c r="F896" s="142"/>
      <c r="G896" s="320"/>
      <c r="H896" s="142"/>
      <c r="I896" s="329"/>
      <c r="J896" s="124"/>
      <c r="K896" s="329"/>
      <c r="L896" s="124"/>
      <c r="M896" s="320"/>
      <c r="N896" s="142"/>
      <c r="O896" s="320"/>
      <c r="P896" s="142"/>
      <c r="Q896" s="360"/>
      <c r="R896" s="360"/>
      <c r="S896" s="320"/>
      <c r="T896" s="142"/>
      <c r="U896" s="30"/>
      <c r="V896" s="30"/>
    </row>
    <row r="897">
      <c r="A897" s="320"/>
      <c r="B897" s="142"/>
      <c r="C897" s="320"/>
      <c r="D897" s="142"/>
      <c r="E897" s="320"/>
      <c r="F897" s="142"/>
      <c r="G897" s="320"/>
      <c r="H897" s="142"/>
      <c r="I897" s="329"/>
      <c r="J897" s="124"/>
      <c r="K897" s="329"/>
      <c r="L897" s="124"/>
      <c r="M897" s="320"/>
      <c r="N897" s="142"/>
      <c r="O897" s="320"/>
      <c r="P897" s="142"/>
      <c r="Q897" s="360"/>
      <c r="R897" s="360"/>
      <c r="S897" s="320"/>
      <c r="T897" s="142"/>
      <c r="U897" s="30"/>
      <c r="V897" s="30"/>
    </row>
    <row r="898">
      <c r="A898" s="320"/>
      <c r="B898" s="142"/>
      <c r="C898" s="320"/>
      <c r="D898" s="142"/>
      <c r="E898" s="320"/>
      <c r="F898" s="142"/>
      <c r="G898" s="320"/>
      <c r="H898" s="142"/>
      <c r="I898" s="329"/>
      <c r="J898" s="124"/>
      <c r="K898" s="329"/>
      <c r="L898" s="124"/>
      <c r="M898" s="320"/>
      <c r="N898" s="142"/>
      <c r="O898" s="320"/>
      <c r="P898" s="142"/>
      <c r="Q898" s="360"/>
      <c r="R898" s="360"/>
      <c r="S898" s="320"/>
      <c r="T898" s="142"/>
      <c r="U898" s="30"/>
      <c r="V898" s="30"/>
    </row>
    <row r="899">
      <c r="A899" s="320"/>
      <c r="B899" s="142"/>
      <c r="C899" s="320"/>
      <c r="D899" s="142"/>
      <c r="E899" s="320"/>
      <c r="F899" s="142"/>
      <c r="G899" s="320"/>
      <c r="H899" s="142"/>
      <c r="I899" s="329"/>
      <c r="J899" s="124"/>
      <c r="K899" s="329"/>
      <c r="L899" s="124"/>
      <c r="M899" s="320"/>
      <c r="N899" s="142"/>
      <c r="O899" s="320"/>
      <c r="P899" s="142"/>
      <c r="Q899" s="360"/>
      <c r="R899" s="360"/>
      <c r="S899" s="320"/>
      <c r="T899" s="142"/>
      <c r="U899" s="30"/>
      <c r="V899" s="30"/>
    </row>
    <row r="900">
      <c r="A900" s="320"/>
      <c r="B900" s="142"/>
      <c r="C900" s="320"/>
      <c r="D900" s="142"/>
      <c r="E900" s="320"/>
      <c r="F900" s="142"/>
      <c r="G900" s="320"/>
      <c r="H900" s="142"/>
      <c r="I900" s="329"/>
      <c r="J900" s="124"/>
      <c r="K900" s="329"/>
      <c r="L900" s="124"/>
      <c r="M900" s="320"/>
      <c r="N900" s="142"/>
      <c r="O900" s="320"/>
      <c r="P900" s="142"/>
      <c r="Q900" s="360"/>
      <c r="R900" s="360"/>
      <c r="S900" s="320"/>
      <c r="T900" s="142"/>
      <c r="U900" s="30"/>
      <c r="V900" s="30"/>
    </row>
    <row r="901">
      <c r="A901" s="320"/>
      <c r="B901" s="142"/>
      <c r="C901" s="320"/>
      <c r="D901" s="142"/>
      <c r="E901" s="320"/>
      <c r="F901" s="142"/>
      <c r="G901" s="320"/>
      <c r="H901" s="142"/>
      <c r="I901" s="329"/>
      <c r="J901" s="124"/>
      <c r="K901" s="329"/>
      <c r="L901" s="124"/>
      <c r="M901" s="320"/>
      <c r="N901" s="142"/>
      <c r="O901" s="320"/>
      <c r="P901" s="142"/>
      <c r="Q901" s="360"/>
      <c r="R901" s="360"/>
      <c r="S901" s="320"/>
      <c r="T901" s="142"/>
      <c r="U901" s="30"/>
      <c r="V901" s="30"/>
    </row>
    <row r="902">
      <c r="A902" s="320"/>
      <c r="B902" s="142"/>
      <c r="C902" s="320"/>
      <c r="D902" s="142"/>
      <c r="E902" s="320"/>
      <c r="F902" s="142"/>
      <c r="G902" s="320"/>
      <c r="H902" s="142"/>
      <c r="I902" s="329"/>
      <c r="J902" s="124"/>
      <c r="K902" s="329"/>
      <c r="L902" s="124"/>
      <c r="M902" s="320"/>
      <c r="N902" s="142"/>
      <c r="O902" s="320"/>
      <c r="P902" s="142"/>
      <c r="Q902" s="360"/>
      <c r="R902" s="360"/>
      <c r="S902" s="320"/>
      <c r="T902" s="142"/>
      <c r="U902" s="30"/>
      <c r="V902" s="30"/>
    </row>
    <row r="903">
      <c r="A903" s="320"/>
      <c r="B903" s="142"/>
      <c r="C903" s="320"/>
      <c r="D903" s="142"/>
      <c r="E903" s="320"/>
      <c r="F903" s="142"/>
      <c r="G903" s="320"/>
      <c r="H903" s="142"/>
      <c r="I903" s="329"/>
      <c r="J903" s="124"/>
      <c r="K903" s="329"/>
      <c r="L903" s="124"/>
      <c r="M903" s="320"/>
      <c r="N903" s="142"/>
      <c r="O903" s="320"/>
      <c r="P903" s="142"/>
      <c r="Q903" s="360"/>
      <c r="R903" s="360"/>
      <c r="S903" s="320"/>
      <c r="T903" s="142"/>
      <c r="U903" s="30"/>
      <c r="V903" s="30"/>
    </row>
    <row r="904">
      <c r="A904" s="320"/>
      <c r="B904" s="142"/>
      <c r="C904" s="320"/>
      <c r="D904" s="142"/>
      <c r="E904" s="320"/>
      <c r="F904" s="142"/>
      <c r="G904" s="320"/>
      <c r="H904" s="142"/>
      <c r="I904" s="329"/>
      <c r="J904" s="124"/>
      <c r="K904" s="329"/>
      <c r="L904" s="124"/>
      <c r="M904" s="320"/>
      <c r="N904" s="142"/>
      <c r="O904" s="320"/>
      <c r="P904" s="142"/>
      <c r="Q904" s="360"/>
      <c r="R904" s="360"/>
      <c r="S904" s="320"/>
      <c r="T904" s="142"/>
      <c r="U904" s="30"/>
      <c r="V904" s="30"/>
    </row>
    <row r="905">
      <c r="A905" s="320"/>
      <c r="B905" s="142"/>
      <c r="C905" s="320"/>
      <c r="D905" s="142"/>
      <c r="E905" s="320"/>
      <c r="F905" s="142"/>
      <c r="G905" s="320"/>
      <c r="H905" s="142"/>
      <c r="I905" s="329"/>
      <c r="J905" s="124"/>
      <c r="K905" s="329"/>
      <c r="L905" s="124"/>
      <c r="M905" s="320"/>
      <c r="N905" s="142"/>
      <c r="O905" s="320"/>
      <c r="P905" s="142"/>
      <c r="Q905" s="360"/>
      <c r="R905" s="360"/>
      <c r="S905" s="320"/>
      <c r="T905" s="142"/>
      <c r="U905" s="30"/>
      <c r="V905" s="30"/>
    </row>
    <row r="906">
      <c r="A906" s="320"/>
      <c r="B906" s="142"/>
      <c r="C906" s="320"/>
      <c r="D906" s="142"/>
      <c r="E906" s="320"/>
      <c r="F906" s="142"/>
      <c r="G906" s="320"/>
      <c r="H906" s="142"/>
      <c r="I906" s="329"/>
      <c r="J906" s="124"/>
      <c r="K906" s="329"/>
      <c r="L906" s="124"/>
      <c r="M906" s="320"/>
      <c r="N906" s="142"/>
      <c r="O906" s="320"/>
      <c r="P906" s="142"/>
      <c r="Q906" s="360"/>
      <c r="R906" s="360"/>
      <c r="S906" s="320"/>
      <c r="T906" s="142"/>
      <c r="U906" s="30"/>
      <c r="V906" s="30"/>
    </row>
    <row r="907">
      <c r="A907" s="320"/>
      <c r="B907" s="142"/>
      <c r="C907" s="320"/>
      <c r="D907" s="142"/>
      <c r="E907" s="320"/>
      <c r="F907" s="142"/>
      <c r="G907" s="320"/>
      <c r="H907" s="142"/>
      <c r="I907" s="329"/>
      <c r="J907" s="124"/>
      <c r="K907" s="329"/>
      <c r="L907" s="124"/>
      <c r="M907" s="320"/>
      <c r="N907" s="142"/>
      <c r="O907" s="320"/>
      <c r="P907" s="142"/>
      <c r="Q907" s="360"/>
      <c r="R907" s="360"/>
      <c r="S907" s="320"/>
      <c r="T907" s="142"/>
      <c r="U907" s="30"/>
      <c r="V907" s="30"/>
    </row>
    <row r="908">
      <c r="A908" s="320"/>
      <c r="B908" s="142"/>
      <c r="C908" s="320"/>
      <c r="D908" s="142"/>
      <c r="E908" s="320"/>
      <c r="F908" s="142"/>
      <c r="G908" s="320"/>
      <c r="H908" s="142"/>
      <c r="I908" s="329"/>
      <c r="J908" s="124"/>
      <c r="K908" s="329"/>
      <c r="L908" s="124"/>
      <c r="M908" s="320"/>
      <c r="N908" s="142"/>
      <c r="O908" s="320"/>
      <c r="P908" s="142"/>
      <c r="Q908" s="360"/>
      <c r="R908" s="360"/>
      <c r="S908" s="320"/>
      <c r="T908" s="142"/>
      <c r="U908" s="30"/>
      <c r="V908" s="30"/>
    </row>
    <row r="909">
      <c r="A909" s="320"/>
      <c r="B909" s="142"/>
      <c r="C909" s="320"/>
      <c r="D909" s="142"/>
      <c r="E909" s="320"/>
      <c r="F909" s="142"/>
      <c r="G909" s="320"/>
      <c r="H909" s="142"/>
      <c r="I909" s="329"/>
      <c r="J909" s="124"/>
      <c r="K909" s="329"/>
      <c r="L909" s="124"/>
      <c r="M909" s="320"/>
      <c r="N909" s="142"/>
      <c r="O909" s="320"/>
      <c r="P909" s="142"/>
      <c r="Q909" s="360"/>
      <c r="R909" s="360"/>
      <c r="S909" s="320"/>
      <c r="T909" s="142"/>
      <c r="U909" s="30"/>
      <c r="V909" s="30"/>
    </row>
    <row r="910">
      <c r="A910" s="320"/>
      <c r="B910" s="142"/>
      <c r="C910" s="320"/>
      <c r="D910" s="142"/>
      <c r="E910" s="320"/>
      <c r="F910" s="142"/>
      <c r="G910" s="320"/>
      <c r="H910" s="142"/>
      <c r="I910" s="329"/>
      <c r="J910" s="124"/>
      <c r="K910" s="329"/>
      <c r="L910" s="124"/>
      <c r="M910" s="320"/>
      <c r="N910" s="142"/>
      <c r="O910" s="320"/>
      <c r="P910" s="142"/>
      <c r="Q910" s="360"/>
      <c r="R910" s="360"/>
      <c r="S910" s="320"/>
      <c r="T910" s="142"/>
      <c r="U910" s="30"/>
      <c r="V910" s="30"/>
    </row>
    <row r="911">
      <c r="A911" s="320"/>
      <c r="B911" s="142"/>
      <c r="C911" s="320"/>
      <c r="D911" s="142"/>
      <c r="E911" s="320"/>
      <c r="F911" s="142"/>
      <c r="G911" s="320"/>
      <c r="H911" s="142"/>
      <c r="I911" s="329"/>
      <c r="J911" s="124"/>
      <c r="K911" s="329"/>
      <c r="L911" s="124"/>
      <c r="M911" s="320"/>
      <c r="N911" s="142"/>
      <c r="O911" s="320"/>
      <c r="P911" s="142"/>
      <c r="Q911" s="360"/>
      <c r="R911" s="360"/>
      <c r="S911" s="320"/>
      <c r="T911" s="142"/>
      <c r="U911" s="30"/>
      <c r="V911" s="30"/>
    </row>
    <row r="912">
      <c r="A912" s="320"/>
      <c r="B912" s="142"/>
      <c r="C912" s="320"/>
      <c r="D912" s="142"/>
      <c r="E912" s="320"/>
      <c r="F912" s="142"/>
      <c r="G912" s="320"/>
      <c r="H912" s="142"/>
      <c r="I912" s="329"/>
      <c r="J912" s="124"/>
      <c r="K912" s="329"/>
      <c r="L912" s="124"/>
      <c r="M912" s="320"/>
      <c r="N912" s="142"/>
      <c r="O912" s="320"/>
      <c r="P912" s="142"/>
      <c r="Q912" s="360"/>
      <c r="R912" s="360"/>
      <c r="S912" s="320"/>
      <c r="T912" s="142"/>
      <c r="U912" s="30"/>
      <c r="V912" s="30"/>
    </row>
    <row r="913">
      <c r="A913" s="320"/>
      <c r="B913" s="142"/>
      <c r="C913" s="320"/>
      <c r="D913" s="142"/>
      <c r="E913" s="320"/>
      <c r="F913" s="142"/>
      <c r="G913" s="320"/>
      <c r="H913" s="142"/>
      <c r="I913" s="329"/>
      <c r="J913" s="124"/>
      <c r="K913" s="329"/>
      <c r="L913" s="124"/>
      <c r="M913" s="320"/>
      <c r="N913" s="142"/>
      <c r="O913" s="320"/>
      <c r="P913" s="142"/>
      <c r="Q913" s="360"/>
      <c r="R913" s="360"/>
      <c r="S913" s="320"/>
      <c r="T913" s="142"/>
      <c r="U913" s="30"/>
      <c r="V913" s="30"/>
    </row>
    <row r="914">
      <c r="A914" s="320"/>
      <c r="B914" s="142"/>
      <c r="C914" s="320"/>
      <c r="D914" s="142"/>
      <c r="E914" s="320"/>
      <c r="F914" s="142"/>
      <c r="G914" s="320"/>
      <c r="H914" s="142"/>
      <c r="I914" s="329"/>
      <c r="J914" s="124"/>
      <c r="K914" s="329"/>
      <c r="L914" s="124"/>
      <c r="M914" s="320"/>
      <c r="N914" s="142"/>
      <c r="O914" s="320"/>
      <c r="P914" s="142"/>
      <c r="Q914" s="360"/>
      <c r="R914" s="360"/>
      <c r="S914" s="320"/>
      <c r="T914" s="142"/>
      <c r="U914" s="30"/>
      <c r="V914" s="30"/>
    </row>
    <row r="915">
      <c r="A915" s="320"/>
      <c r="B915" s="142"/>
      <c r="C915" s="320"/>
      <c r="D915" s="142"/>
      <c r="E915" s="320"/>
      <c r="F915" s="142"/>
      <c r="G915" s="320"/>
      <c r="H915" s="142"/>
      <c r="I915" s="329"/>
      <c r="J915" s="124"/>
      <c r="K915" s="329"/>
      <c r="L915" s="124"/>
      <c r="M915" s="320"/>
      <c r="N915" s="142"/>
      <c r="O915" s="320"/>
      <c r="P915" s="142"/>
      <c r="Q915" s="360"/>
      <c r="R915" s="360"/>
      <c r="S915" s="320"/>
      <c r="T915" s="142"/>
      <c r="U915" s="30"/>
      <c r="V915" s="30"/>
    </row>
    <row r="916">
      <c r="A916" s="320"/>
      <c r="B916" s="142"/>
      <c r="C916" s="320"/>
      <c r="D916" s="142"/>
      <c r="E916" s="320"/>
      <c r="F916" s="142"/>
      <c r="G916" s="320"/>
      <c r="H916" s="142"/>
      <c r="I916" s="329"/>
      <c r="J916" s="124"/>
      <c r="K916" s="329"/>
      <c r="L916" s="124"/>
      <c r="M916" s="320"/>
      <c r="N916" s="142"/>
      <c r="O916" s="320"/>
      <c r="P916" s="142"/>
      <c r="Q916" s="360"/>
      <c r="R916" s="360"/>
      <c r="S916" s="320"/>
      <c r="T916" s="142"/>
      <c r="U916" s="30"/>
      <c r="V916" s="30"/>
    </row>
    <row r="917">
      <c r="A917" s="320"/>
      <c r="B917" s="142"/>
      <c r="C917" s="320"/>
      <c r="D917" s="142"/>
      <c r="E917" s="320"/>
      <c r="F917" s="142"/>
      <c r="G917" s="320"/>
      <c r="H917" s="142"/>
      <c r="I917" s="329"/>
      <c r="J917" s="124"/>
      <c r="K917" s="329"/>
      <c r="L917" s="124"/>
      <c r="M917" s="320"/>
      <c r="N917" s="142"/>
      <c r="O917" s="320"/>
      <c r="P917" s="142"/>
      <c r="Q917" s="360"/>
      <c r="R917" s="360"/>
      <c r="S917" s="320"/>
      <c r="T917" s="142"/>
      <c r="U917" s="30"/>
      <c r="V917" s="30"/>
    </row>
    <row r="918">
      <c r="A918" s="320"/>
      <c r="B918" s="142"/>
      <c r="C918" s="320"/>
      <c r="D918" s="142"/>
      <c r="E918" s="320"/>
      <c r="F918" s="142"/>
      <c r="G918" s="320"/>
      <c r="H918" s="142"/>
      <c r="I918" s="329"/>
      <c r="J918" s="124"/>
      <c r="K918" s="329"/>
      <c r="L918" s="124"/>
      <c r="M918" s="320"/>
      <c r="N918" s="142"/>
      <c r="O918" s="320"/>
      <c r="P918" s="142"/>
      <c r="Q918" s="360"/>
      <c r="R918" s="360"/>
      <c r="S918" s="320"/>
      <c r="T918" s="142"/>
      <c r="U918" s="30"/>
      <c r="V918" s="30"/>
    </row>
    <row r="919">
      <c r="A919" s="320"/>
      <c r="B919" s="142"/>
      <c r="C919" s="320"/>
      <c r="D919" s="142"/>
      <c r="E919" s="320"/>
      <c r="F919" s="142"/>
      <c r="G919" s="320"/>
      <c r="H919" s="142"/>
      <c r="I919" s="329"/>
      <c r="J919" s="124"/>
      <c r="K919" s="329"/>
      <c r="L919" s="124"/>
      <c r="M919" s="320"/>
      <c r="N919" s="142"/>
      <c r="O919" s="320"/>
      <c r="P919" s="142"/>
      <c r="Q919" s="360"/>
      <c r="R919" s="360"/>
      <c r="S919" s="320"/>
      <c r="T919" s="142"/>
      <c r="U919" s="30"/>
      <c r="V919" s="30"/>
    </row>
    <row r="920">
      <c r="A920" s="320"/>
      <c r="B920" s="142"/>
      <c r="C920" s="320"/>
      <c r="D920" s="142"/>
      <c r="E920" s="320"/>
      <c r="F920" s="142"/>
      <c r="G920" s="320"/>
      <c r="H920" s="142"/>
      <c r="I920" s="329"/>
      <c r="J920" s="124"/>
      <c r="K920" s="329"/>
      <c r="L920" s="124"/>
      <c r="M920" s="320"/>
      <c r="N920" s="142"/>
      <c r="O920" s="320"/>
      <c r="P920" s="142"/>
      <c r="Q920" s="360"/>
      <c r="R920" s="360"/>
      <c r="S920" s="320"/>
      <c r="T920" s="142"/>
      <c r="U920" s="30"/>
      <c r="V920" s="30"/>
    </row>
    <row r="921">
      <c r="A921" s="320"/>
      <c r="B921" s="142"/>
      <c r="C921" s="320"/>
      <c r="D921" s="142"/>
      <c r="E921" s="320"/>
      <c r="F921" s="142"/>
      <c r="G921" s="320"/>
      <c r="H921" s="142"/>
      <c r="I921" s="329"/>
      <c r="J921" s="124"/>
      <c r="K921" s="329"/>
      <c r="L921" s="124"/>
      <c r="M921" s="320"/>
      <c r="N921" s="142"/>
      <c r="O921" s="320"/>
      <c r="P921" s="142"/>
      <c r="Q921" s="360"/>
      <c r="R921" s="360"/>
      <c r="S921" s="320"/>
      <c r="T921" s="142"/>
      <c r="U921" s="30"/>
      <c r="V921" s="30"/>
    </row>
    <row r="922">
      <c r="A922" s="320"/>
      <c r="B922" s="142"/>
      <c r="C922" s="320"/>
      <c r="D922" s="142"/>
      <c r="E922" s="320"/>
      <c r="F922" s="142"/>
      <c r="G922" s="320"/>
      <c r="H922" s="142"/>
      <c r="I922" s="329"/>
      <c r="J922" s="124"/>
      <c r="K922" s="329"/>
      <c r="L922" s="124"/>
      <c r="M922" s="320"/>
      <c r="N922" s="142"/>
      <c r="O922" s="320"/>
      <c r="P922" s="142"/>
      <c r="Q922" s="360"/>
      <c r="R922" s="360"/>
      <c r="S922" s="320"/>
      <c r="T922" s="142"/>
      <c r="U922" s="30"/>
      <c r="V922" s="30"/>
    </row>
    <row r="923">
      <c r="A923" s="320"/>
      <c r="B923" s="142"/>
      <c r="C923" s="320"/>
      <c r="D923" s="142"/>
      <c r="E923" s="320"/>
      <c r="F923" s="142"/>
      <c r="G923" s="320"/>
      <c r="H923" s="142"/>
      <c r="I923" s="329"/>
      <c r="J923" s="124"/>
      <c r="K923" s="329"/>
      <c r="L923" s="124"/>
      <c r="M923" s="320"/>
      <c r="N923" s="142"/>
      <c r="O923" s="320"/>
      <c r="P923" s="142"/>
      <c r="Q923" s="360"/>
      <c r="R923" s="360"/>
      <c r="S923" s="320"/>
      <c r="T923" s="142"/>
      <c r="U923" s="30"/>
      <c r="V923" s="30"/>
    </row>
    <row r="924">
      <c r="A924" s="320"/>
      <c r="B924" s="142"/>
      <c r="C924" s="320"/>
      <c r="D924" s="142"/>
      <c r="E924" s="320"/>
      <c r="F924" s="142"/>
      <c r="G924" s="320"/>
      <c r="H924" s="142"/>
      <c r="I924" s="329"/>
      <c r="J924" s="124"/>
      <c r="K924" s="329"/>
      <c r="L924" s="124"/>
      <c r="M924" s="320"/>
      <c r="N924" s="142"/>
      <c r="O924" s="320"/>
      <c r="P924" s="142"/>
      <c r="Q924" s="360"/>
      <c r="R924" s="360"/>
      <c r="S924" s="320"/>
      <c r="T924" s="142"/>
      <c r="U924" s="30"/>
      <c r="V924" s="30"/>
    </row>
    <row r="925">
      <c r="A925" s="320"/>
      <c r="B925" s="142"/>
      <c r="C925" s="320"/>
      <c r="D925" s="142"/>
      <c r="E925" s="320"/>
      <c r="F925" s="142"/>
      <c r="G925" s="320"/>
      <c r="H925" s="142"/>
      <c r="I925" s="329"/>
      <c r="J925" s="124"/>
      <c r="K925" s="329"/>
      <c r="L925" s="124"/>
      <c r="M925" s="320"/>
      <c r="N925" s="142"/>
      <c r="O925" s="320"/>
      <c r="P925" s="142"/>
      <c r="Q925" s="360"/>
      <c r="R925" s="360"/>
      <c r="S925" s="320"/>
      <c r="T925" s="142"/>
      <c r="U925" s="30"/>
      <c r="V925" s="30"/>
    </row>
    <row r="926">
      <c r="A926" s="320"/>
      <c r="B926" s="142"/>
      <c r="C926" s="320"/>
      <c r="D926" s="142"/>
      <c r="E926" s="320"/>
      <c r="F926" s="142"/>
      <c r="G926" s="320"/>
      <c r="H926" s="142"/>
      <c r="I926" s="329"/>
      <c r="J926" s="124"/>
      <c r="K926" s="329"/>
      <c r="L926" s="124"/>
      <c r="M926" s="320"/>
      <c r="N926" s="142"/>
      <c r="O926" s="320"/>
      <c r="P926" s="142"/>
      <c r="Q926" s="360"/>
      <c r="R926" s="360"/>
      <c r="S926" s="320"/>
      <c r="T926" s="142"/>
      <c r="U926" s="30"/>
      <c r="V926" s="30"/>
    </row>
    <row r="927">
      <c r="A927" s="320"/>
      <c r="B927" s="142"/>
      <c r="C927" s="320"/>
      <c r="D927" s="142"/>
      <c r="E927" s="320"/>
      <c r="F927" s="142"/>
      <c r="G927" s="320"/>
      <c r="H927" s="142"/>
      <c r="I927" s="329"/>
      <c r="J927" s="124"/>
      <c r="K927" s="329"/>
      <c r="L927" s="124"/>
      <c r="M927" s="320"/>
      <c r="N927" s="142"/>
      <c r="O927" s="320"/>
      <c r="P927" s="142"/>
      <c r="Q927" s="360"/>
      <c r="R927" s="360"/>
      <c r="S927" s="320"/>
      <c r="T927" s="142"/>
      <c r="U927" s="30"/>
      <c r="V927" s="30"/>
    </row>
    <row r="928">
      <c r="A928" s="320"/>
      <c r="B928" s="142"/>
      <c r="C928" s="320"/>
      <c r="D928" s="142"/>
      <c r="E928" s="320"/>
      <c r="F928" s="142"/>
      <c r="G928" s="320"/>
      <c r="H928" s="142"/>
      <c r="I928" s="329"/>
      <c r="J928" s="124"/>
      <c r="K928" s="329"/>
      <c r="L928" s="124"/>
      <c r="M928" s="320"/>
      <c r="N928" s="142"/>
      <c r="O928" s="320"/>
      <c r="P928" s="142"/>
      <c r="Q928" s="360"/>
      <c r="R928" s="360"/>
      <c r="S928" s="320"/>
      <c r="T928" s="142"/>
      <c r="U928" s="30"/>
      <c r="V928" s="30"/>
    </row>
    <row r="929">
      <c r="A929" s="320"/>
      <c r="B929" s="142"/>
      <c r="C929" s="320"/>
      <c r="D929" s="142"/>
      <c r="E929" s="320"/>
      <c r="F929" s="142"/>
      <c r="G929" s="320"/>
      <c r="H929" s="142"/>
      <c r="I929" s="329"/>
      <c r="J929" s="124"/>
      <c r="K929" s="329"/>
      <c r="L929" s="124"/>
      <c r="M929" s="320"/>
      <c r="N929" s="142"/>
      <c r="O929" s="320"/>
      <c r="P929" s="142"/>
      <c r="Q929" s="360"/>
      <c r="R929" s="360"/>
      <c r="S929" s="320"/>
      <c r="T929" s="142"/>
      <c r="U929" s="30"/>
      <c r="V929" s="30"/>
    </row>
    <row r="930">
      <c r="A930" s="320"/>
      <c r="B930" s="142"/>
      <c r="C930" s="320"/>
      <c r="D930" s="142"/>
      <c r="E930" s="320"/>
      <c r="F930" s="142"/>
      <c r="G930" s="320"/>
      <c r="H930" s="142"/>
      <c r="I930" s="329"/>
      <c r="J930" s="124"/>
      <c r="K930" s="329"/>
      <c r="L930" s="124"/>
      <c r="M930" s="320"/>
      <c r="N930" s="142"/>
      <c r="O930" s="320"/>
      <c r="P930" s="142"/>
      <c r="Q930" s="360"/>
      <c r="R930" s="360"/>
      <c r="S930" s="320"/>
      <c r="T930" s="142"/>
      <c r="U930" s="30"/>
      <c r="V930" s="30"/>
    </row>
    <row r="931">
      <c r="A931" s="320"/>
      <c r="B931" s="142"/>
      <c r="C931" s="320"/>
      <c r="D931" s="142"/>
      <c r="E931" s="320"/>
      <c r="F931" s="142"/>
      <c r="G931" s="320"/>
      <c r="H931" s="142"/>
      <c r="I931" s="329"/>
      <c r="J931" s="124"/>
      <c r="K931" s="329"/>
      <c r="L931" s="124"/>
      <c r="M931" s="320"/>
      <c r="N931" s="142"/>
      <c r="O931" s="320"/>
      <c r="P931" s="142"/>
      <c r="Q931" s="360"/>
      <c r="R931" s="360"/>
      <c r="S931" s="320"/>
      <c r="T931" s="142"/>
      <c r="U931" s="30"/>
      <c r="V931" s="30"/>
    </row>
    <row r="932">
      <c r="A932" s="320"/>
      <c r="B932" s="142"/>
      <c r="C932" s="320"/>
      <c r="D932" s="142"/>
      <c r="E932" s="320"/>
      <c r="F932" s="142"/>
      <c r="G932" s="320"/>
      <c r="H932" s="142"/>
      <c r="I932" s="329"/>
      <c r="J932" s="124"/>
      <c r="K932" s="329"/>
      <c r="L932" s="124"/>
      <c r="M932" s="320"/>
      <c r="N932" s="142"/>
      <c r="O932" s="320"/>
      <c r="P932" s="142"/>
      <c r="Q932" s="360"/>
      <c r="R932" s="360"/>
      <c r="S932" s="320"/>
      <c r="T932" s="142"/>
      <c r="U932" s="30"/>
      <c r="V932" s="30"/>
    </row>
    <row r="933">
      <c r="A933" s="320"/>
      <c r="B933" s="142"/>
      <c r="C933" s="320"/>
      <c r="D933" s="142"/>
      <c r="E933" s="320"/>
      <c r="F933" s="142"/>
      <c r="G933" s="320"/>
      <c r="H933" s="142"/>
      <c r="I933" s="329"/>
      <c r="J933" s="124"/>
      <c r="K933" s="329"/>
      <c r="L933" s="124"/>
      <c r="M933" s="320"/>
      <c r="N933" s="142"/>
      <c r="O933" s="320"/>
      <c r="P933" s="142"/>
      <c r="Q933" s="360"/>
      <c r="R933" s="360"/>
      <c r="S933" s="320"/>
      <c r="T933" s="142"/>
      <c r="U933" s="30"/>
      <c r="V933" s="30"/>
    </row>
    <row r="934">
      <c r="A934" s="320"/>
      <c r="B934" s="142"/>
      <c r="C934" s="320"/>
      <c r="D934" s="142"/>
      <c r="E934" s="320"/>
      <c r="F934" s="142"/>
      <c r="G934" s="320"/>
      <c r="H934" s="142"/>
      <c r="I934" s="329"/>
      <c r="J934" s="124"/>
      <c r="K934" s="329"/>
      <c r="L934" s="124"/>
      <c r="M934" s="320"/>
      <c r="N934" s="142"/>
      <c r="O934" s="320"/>
      <c r="P934" s="142"/>
      <c r="Q934" s="360"/>
      <c r="R934" s="360"/>
      <c r="S934" s="320"/>
      <c r="T934" s="142"/>
      <c r="U934" s="30"/>
      <c r="V934" s="30"/>
    </row>
    <row r="935">
      <c r="A935" s="320"/>
      <c r="B935" s="142"/>
      <c r="C935" s="320"/>
      <c r="D935" s="142"/>
      <c r="E935" s="320"/>
      <c r="F935" s="142"/>
      <c r="G935" s="320"/>
      <c r="H935" s="142"/>
      <c r="I935" s="329"/>
      <c r="J935" s="124"/>
      <c r="K935" s="329"/>
      <c r="L935" s="124"/>
      <c r="M935" s="320"/>
      <c r="N935" s="142"/>
      <c r="O935" s="320"/>
      <c r="P935" s="142"/>
      <c r="Q935" s="360"/>
      <c r="R935" s="360"/>
      <c r="S935" s="320"/>
      <c r="T935" s="142"/>
      <c r="U935" s="30"/>
      <c r="V935" s="30"/>
    </row>
    <row r="936">
      <c r="A936" s="320"/>
      <c r="B936" s="142"/>
      <c r="C936" s="320"/>
      <c r="D936" s="142"/>
      <c r="E936" s="320"/>
      <c r="F936" s="142"/>
      <c r="G936" s="320"/>
      <c r="H936" s="142"/>
      <c r="I936" s="329"/>
      <c r="J936" s="124"/>
      <c r="K936" s="329"/>
      <c r="L936" s="124"/>
      <c r="M936" s="320"/>
      <c r="N936" s="142"/>
      <c r="O936" s="320"/>
      <c r="P936" s="142"/>
      <c r="Q936" s="360"/>
      <c r="R936" s="360"/>
      <c r="S936" s="320"/>
      <c r="T936" s="142"/>
      <c r="U936" s="30"/>
      <c r="V936" s="30"/>
    </row>
    <row r="937">
      <c r="A937" s="320"/>
      <c r="B937" s="142"/>
      <c r="C937" s="320"/>
      <c r="D937" s="142"/>
      <c r="E937" s="320"/>
      <c r="F937" s="142"/>
      <c r="G937" s="320"/>
      <c r="H937" s="142"/>
      <c r="I937" s="329"/>
      <c r="J937" s="124"/>
      <c r="K937" s="329"/>
      <c r="L937" s="124"/>
      <c r="M937" s="320"/>
      <c r="N937" s="142"/>
      <c r="O937" s="320"/>
      <c r="P937" s="142"/>
      <c r="Q937" s="360"/>
      <c r="R937" s="360"/>
      <c r="S937" s="320"/>
      <c r="T937" s="142"/>
      <c r="U937" s="30"/>
      <c r="V937" s="30"/>
    </row>
    <row r="938">
      <c r="A938" s="320"/>
      <c r="B938" s="142"/>
      <c r="C938" s="320"/>
      <c r="D938" s="142"/>
      <c r="E938" s="320"/>
      <c r="F938" s="142"/>
      <c r="G938" s="320"/>
      <c r="H938" s="142"/>
      <c r="I938" s="329"/>
      <c r="J938" s="124"/>
      <c r="K938" s="329"/>
      <c r="L938" s="124"/>
      <c r="M938" s="320"/>
      <c r="N938" s="142"/>
      <c r="O938" s="320"/>
      <c r="P938" s="142"/>
      <c r="Q938" s="360"/>
      <c r="R938" s="360"/>
      <c r="S938" s="320"/>
      <c r="T938" s="142"/>
      <c r="U938" s="30"/>
      <c r="V938" s="30"/>
    </row>
    <row r="939">
      <c r="A939" s="320"/>
      <c r="B939" s="142"/>
      <c r="C939" s="320"/>
      <c r="D939" s="142"/>
      <c r="E939" s="320"/>
      <c r="F939" s="142"/>
      <c r="G939" s="320"/>
      <c r="H939" s="142"/>
      <c r="I939" s="329"/>
      <c r="J939" s="124"/>
      <c r="K939" s="329"/>
      <c r="L939" s="124"/>
      <c r="M939" s="320"/>
      <c r="N939" s="142"/>
      <c r="O939" s="320"/>
      <c r="P939" s="142"/>
      <c r="Q939" s="360"/>
      <c r="R939" s="360"/>
      <c r="S939" s="320"/>
      <c r="T939" s="142"/>
      <c r="U939" s="30"/>
      <c r="V939" s="30"/>
    </row>
    <row r="940">
      <c r="A940" s="320"/>
      <c r="B940" s="142"/>
      <c r="C940" s="320"/>
      <c r="D940" s="142"/>
      <c r="E940" s="320"/>
      <c r="F940" s="142"/>
      <c r="G940" s="320"/>
      <c r="H940" s="142"/>
      <c r="I940" s="329"/>
      <c r="J940" s="124"/>
      <c r="K940" s="329"/>
      <c r="L940" s="124"/>
      <c r="M940" s="320"/>
      <c r="N940" s="142"/>
      <c r="O940" s="320"/>
      <c r="P940" s="142"/>
      <c r="Q940" s="360"/>
      <c r="R940" s="360"/>
      <c r="S940" s="320"/>
      <c r="T940" s="142"/>
      <c r="U940" s="30"/>
      <c r="V940" s="30"/>
    </row>
    <row r="941">
      <c r="A941" s="320"/>
      <c r="B941" s="142"/>
      <c r="C941" s="320"/>
      <c r="D941" s="142"/>
      <c r="E941" s="320"/>
      <c r="F941" s="142"/>
      <c r="G941" s="320"/>
      <c r="H941" s="142"/>
      <c r="I941" s="329"/>
      <c r="J941" s="124"/>
      <c r="K941" s="329"/>
      <c r="L941" s="124"/>
      <c r="M941" s="320"/>
      <c r="N941" s="142"/>
      <c r="O941" s="320"/>
      <c r="P941" s="142"/>
      <c r="Q941" s="360"/>
      <c r="R941" s="360"/>
      <c r="S941" s="320"/>
      <c r="T941" s="142"/>
      <c r="U941" s="30"/>
      <c r="V941" s="30"/>
    </row>
    <row r="942">
      <c r="A942" s="320"/>
      <c r="B942" s="142"/>
      <c r="C942" s="320"/>
      <c r="D942" s="142"/>
      <c r="E942" s="320"/>
      <c r="F942" s="142"/>
      <c r="G942" s="320"/>
      <c r="H942" s="142"/>
      <c r="I942" s="329"/>
      <c r="J942" s="124"/>
      <c r="K942" s="329"/>
      <c r="L942" s="124"/>
      <c r="M942" s="320"/>
      <c r="N942" s="142"/>
      <c r="O942" s="320"/>
      <c r="P942" s="142"/>
      <c r="Q942" s="360"/>
      <c r="R942" s="360"/>
      <c r="S942" s="320"/>
      <c r="T942" s="142"/>
      <c r="U942" s="30"/>
      <c r="V942" s="30"/>
    </row>
    <row r="943">
      <c r="A943" s="320"/>
      <c r="B943" s="142"/>
      <c r="C943" s="320"/>
      <c r="D943" s="142"/>
      <c r="E943" s="320"/>
      <c r="F943" s="142"/>
      <c r="G943" s="320"/>
      <c r="H943" s="142"/>
      <c r="I943" s="329"/>
      <c r="J943" s="124"/>
      <c r="K943" s="329"/>
      <c r="L943" s="124"/>
      <c r="M943" s="320"/>
      <c r="N943" s="142"/>
      <c r="O943" s="320"/>
      <c r="P943" s="142"/>
      <c r="Q943" s="360"/>
      <c r="R943" s="360"/>
      <c r="S943" s="320"/>
      <c r="T943" s="142"/>
      <c r="U943" s="30"/>
      <c r="V943" s="30"/>
    </row>
    <row r="944">
      <c r="A944" s="320"/>
      <c r="B944" s="142"/>
      <c r="C944" s="320"/>
      <c r="D944" s="142"/>
      <c r="E944" s="320"/>
      <c r="F944" s="142"/>
      <c r="G944" s="320"/>
      <c r="H944" s="142"/>
      <c r="I944" s="329"/>
      <c r="J944" s="124"/>
      <c r="K944" s="329"/>
      <c r="L944" s="124"/>
      <c r="M944" s="320"/>
      <c r="N944" s="142"/>
      <c r="O944" s="320"/>
      <c r="P944" s="142"/>
      <c r="Q944" s="360"/>
      <c r="R944" s="360"/>
      <c r="S944" s="320"/>
      <c r="T944" s="142"/>
      <c r="U944" s="30"/>
      <c r="V944" s="30"/>
    </row>
    <row r="945">
      <c r="A945" s="320"/>
      <c r="B945" s="142"/>
      <c r="C945" s="320"/>
      <c r="D945" s="142"/>
      <c r="E945" s="320"/>
      <c r="F945" s="142"/>
      <c r="G945" s="320"/>
      <c r="H945" s="142"/>
      <c r="I945" s="329"/>
      <c r="J945" s="124"/>
      <c r="K945" s="329"/>
      <c r="L945" s="124"/>
      <c r="M945" s="320"/>
      <c r="N945" s="142"/>
      <c r="O945" s="320"/>
      <c r="P945" s="142"/>
      <c r="Q945" s="360"/>
      <c r="R945" s="360"/>
      <c r="S945" s="320"/>
      <c r="T945" s="142"/>
      <c r="U945" s="30"/>
      <c r="V945" s="30"/>
    </row>
    <row r="946">
      <c r="A946" s="320"/>
      <c r="B946" s="142"/>
      <c r="C946" s="320"/>
      <c r="D946" s="142"/>
      <c r="E946" s="320"/>
      <c r="F946" s="142"/>
      <c r="G946" s="320"/>
      <c r="H946" s="142"/>
      <c r="I946" s="329"/>
      <c r="J946" s="124"/>
      <c r="K946" s="329"/>
      <c r="L946" s="124"/>
      <c r="M946" s="320"/>
      <c r="N946" s="142"/>
      <c r="O946" s="320"/>
      <c r="P946" s="142"/>
      <c r="Q946" s="360"/>
      <c r="R946" s="360"/>
      <c r="S946" s="320"/>
      <c r="T946" s="142"/>
      <c r="U946" s="30"/>
      <c r="V946" s="30"/>
    </row>
    <row r="947">
      <c r="A947" s="320"/>
      <c r="B947" s="142"/>
      <c r="C947" s="320"/>
      <c r="D947" s="142"/>
      <c r="E947" s="320"/>
      <c r="F947" s="142"/>
      <c r="G947" s="320"/>
      <c r="H947" s="142"/>
      <c r="I947" s="329"/>
      <c r="J947" s="124"/>
      <c r="K947" s="329"/>
      <c r="L947" s="124"/>
      <c r="M947" s="320"/>
      <c r="N947" s="142"/>
      <c r="O947" s="320"/>
      <c r="P947" s="142"/>
      <c r="Q947" s="360"/>
      <c r="R947" s="360"/>
      <c r="S947" s="320"/>
      <c r="T947" s="142"/>
      <c r="U947" s="30"/>
      <c r="V947" s="30"/>
    </row>
    <row r="948">
      <c r="A948" s="320"/>
      <c r="B948" s="142"/>
      <c r="C948" s="320"/>
      <c r="D948" s="142"/>
      <c r="E948" s="320"/>
      <c r="F948" s="142"/>
      <c r="G948" s="320"/>
      <c r="H948" s="142"/>
      <c r="I948" s="329"/>
      <c r="J948" s="124"/>
      <c r="K948" s="329"/>
      <c r="L948" s="124"/>
      <c r="M948" s="320"/>
      <c r="N948" s="142"/>
      <c r="O948" s="320"/>
      <c r="P948" s="142"/>
      <c r="Q948" s="360"/>
      <c r="R948" s="360"/>
      <c r="S948" s="320"/>
      <c r="T948" s="142"/>
      <c r="U948" s="30"/>
      <c r="V948" s="30"/>
    </row>
    <row r="949">
      <c r="A949" s="320"/>
      <c r="B949" s="142"/>
      <c r="C949" s="320"/>
      <c r="D949" s="142"/>
      <c r="E949" s="320"/>
      <c r="F949" s="142"/>
      <c r="G949" s="320"/>
      <c r="H949" s="142"/>
      <c r="I949" s="329"/>
      <c r="J949" s="124"/>
      <c r="K949" s="329"/>
      <c r="L949" s="124"/>
      <c r="M949" s="320"/>
      <c r="N949" s="142"/>
      <c r="O949" s="320"/>
      <c r="P949" s="142"/>
      <c r="Q949" s="360"/>
      <c r="R949" s="360"/>
      <c r="S949" s="320"/>
      <c r="T949" s="142"/>
      <c r="U949" s="30"/>
      <c r="V949" s="30"/>
    </row>
    <row r="950">
      <c r="A950" s="320"/>
      <c r="B950" s="142"/>
      <c r="C950" s="320"/>
      <c r="D950" s="142"/>
      <c r="E950" s="320"/>
      <c r="F950" s="142"/>
      <c r="G950" s="320"/>
      <c r="H950" s="142"/>
      <c r="I950" s="329"/>
      <c r="J950" s="124"/>
      <c r="K950" s="329"/>
      <c r="L950" s="124"/>
      <c r="M950" s="320"/>
      <c r="N950" s="142"/>
      <c r="O950" s="320"/>
      <c r="P950" s="142"/>
      <c r="Q950" s="360"/>
      <c r="R950" s="360"/>
      <c r="S950" s="320"/>
      <c r="T950" s="142"/>
      <c r="U950" s="30"/>
      <c r="V950" s="30"/>
    </row>
    <row r="951">
      <c r="A951" s="320"/>
      <c r="B951" s="142"/>
      <c r="C951" s="320"/>
      <c r="D951" s="142"/>
      <c r="E951" s="320"/>
      <c r="F951" s="142"/>
      <c r="G951" s="320"/>
      <c r="H951" s="142"/>
      <c r="I951" s="329"/>
      <c r="J951" s="124"/>
      <c r="K951" s="329"/>
      <c r="L951" s="124"/>
      <c r="M951" s="320"/>
      <c r="N951" s="142"/>
      <c r="O951" s="320"/>
      <c r="P951" s="142"/>
      <c r="Q951" s="360"/>
      <c r="R951" s="360"/>
      <c r="S951" s="320"/>
      <c r="T951" s="142"/>
      <c r="U951" s="30"/>
      <c r="V951" s="30"/>
    </row>
    <row r="952">
      <c r="A952" s="320"/>
      <c r="B952" s="142"/>
      <c r="C952" s="320"/>
      <c r="D952" s="142"/>
      <c r="E952" s="320"/>
      <c r="F952" s="142"/>
      <c r="G952" s="320"/>
      <c r="H952" s="142"/>
      <c r="I952" s="329"/>
      <c r="J952" s="124"/>
      <c r="K952" s="329"/>
      <c r="L952" s="124"/>
      <c r="M952" s="320"/>
      <c r="N952" s="142"/>
      <c r="O952" s="320"/>
      <c r="P952" s="142"/>
      <c r="Q952" s="360"/>
      <c r="R952" s="360"/>
      <c r="S952" s="320"/>
      <c r="T952" s="142"/>
      <c r="U952" s="30"/>
      <c r="V952" s="30"/>
    </row>
    <row r="953">
      <c r="A953" s="320"/>
      <c r="B953" s="142"/>
      <c r="C953" s="320"/>
      <c r="D953" s="142"/>
      <c r="E953" s="320"/>
      <c r="F953" s="142"/>
      <c r="G953" s="320"/>
      <c r="H953" s="142"/>
      <c r="I953" s="329"/>
      <c r="J953" s="124"/>
      <c r="K953" s="329"/>
      <c r="L953" s="124"/>
      <c r="M953" s="320"/>
      <c r="N953" s="142"/>
      <c r="O953" s="320"/>
      <c r="P953" s="142"/>
      <c r="Q953" s="360"/>
      <c r="R953" s="360"/>
      <c r="S953" s="320"/>
      <c r="T953" s="142"/>
      <c r="U953" s="30"/>
      <c r="V953" s="30"/>
    </row>
    <row r="954">
      <c r="A954" s="320"/>
      <c r="B954" s="142"/>
      <c r="C954" s="320"/>
      <c r="D954" s="142"/>
      <c r="E954" s="320"/>
      <c r="F954" s="142"/>
      <c r="G954" s="320"/>
      <c r="H954" s="142"/>
      <c r="I954" s="329"/>
      <c r="J954" s="124"/>
      <c r="K954" s="329"/>
      <c r="L954" s="124"/>
      <c r="M954" s="320"/>
      <c r="N954" s="142"/>
      <c r="O954" s="320"/>
      <c r="P954" s="142"/>
      <c r="Q954" s="360"/>
      <c r="R954" s="360"/>
      <c r="S954" s="320"/>
      <c r="T954" s="142"/>
      <c r="U954" s="30"/>
      <c r="V954" s="30"/>
    </row>
    <row r="955">
      <c r="A955" s="320"/>
      <c r="B955" s="142"/>
      <c r="C955" s="320"/>
      <c r="D955" s="142"/>
      <c r="E955" s="320"/>
      <c r="F955" s="142"/>
      <c r="G955" s="320"/>
      <c r="H955" s="142"/>
      <c r="I955" s="329"/>
      <c r="J955" s="124"/>
      <c r="K955" s="329"/>
      <c r="L955" s="124"/>
      <c r="M955" s="320"/>
      <c r="N955" s="142"/>
      <c r="O955" s="320"/>
      <c r="P955" s="142"/>
      <c r="Q955" s="360"/>
      <c r="R955" s="360"/>
      <c r="S955" s="320"/>
      <c r="T955" s="142"/>
      <c r="U955" s="30"/>
      <c r="V955" s="30"/>
    </row>
    <row r="956">
      <c r="A956" s="320"/>
      <c r="B956" s="142"/>
      <c r="C956" s="320"/>
      <c r="D956" s="142"/>
      <c r="E956" s="320"/>
      <c r="F956" s="142"/>
      <c r="G956" s="320"/>
      <c r="H956" s="142"/>
      <c r="I956" s="329"/>
      <c r="J956" s="124"/>
      <c r="K956" s="329"/>
      <c r="L956" s="124"/>
      <c r="M956" s="320"/>
      <c r="N956" s="142"/>
      <c r="O956" s="320"/>
      <c r="P956" s="142"/>
      <c r="Q956" s="360"/>
      <c r="R956" s="360"/>
      <c r="S956" s="320"/>
      <c r="T956" s="142"/>
      <c r="U956" s="30"/>
      <c r="V956" s="30"/>
    </row>
    <row r="957">
      <c r="A957" s="320"/>
      <c r="B957" s="142"/>
      <c r="C957" s="320"/>
      <c r="D957" s="142"/>
      <c r="E957" s="320"/>
      <c r="F957" s="142"/>
      <c r="G957" s="320"/>
      <c r="H957" s="142"/>
      <c r="I957" s="329"/>
      <c r="J957" s="124"/>
      <c r="K957" s="329"/>
      <c r="L957" s="124"/>
      <c r="M957" s="320"/>
      <c r="N957" s="142"/>
      <c r="O957" s="320"/>
      <c r="P957" s="142"/>
      <c r="Q957" s="360"/>
      <c r="R957" s="360"/>
      <c r="S957" s="320"/>
      <c r="T957" s="142"/>
      <c r="U957" s="30"/>
      <c r="V957" s="30"/>
    </row>
    <row r="958">
      <c r="A958" s="320"/>
      <c r="B958" s="142"/>
      <c r="C958" s="320"/>
      <c r="D958" s="142"/>
      <c r="E958" s="320"/>
      <c r="F958" s="142"/>
      <c r="G958" s="320"/>
      <c r="H958" s="142"/>
      <c r="I958" s="329"/>
      <c r="J958" s="124"/>
      <c r="K958" s="329"/>
      <c r="L958" s="124"/>
      <c r="M958" s="320"/>
      <c r="N958" s="142"/>
      <c r="O958" s="320"/>
      <c r="P958" s="142"/>
      <c r="Q958" s="360"/>
      <c r="R958" s="360"/>
      <c r="S958" s="320"/>
      <c r="T958" s="142"/>
      <c r="U958" s="30"/>
      <c r="V958" s="30"/>
    </row>
    <row r="959">
      <c r="A959" s="320"/>
      <c r="B959" s="142"/>
      <c r="C959" s="320"/>
      <c r="D959" s="142"/>
      <c r="E959" s="320"/>
      <c r="F959" s="142"/>
      <c r="G959" s="320"/>
      <c r="H959" s="142"/>
      <c r="I959" s="329"/>
      <c r="J959" s="124"/>
      <c r="K959" s="329"/>
      <c r="L959" s="124"/>
      <c r="M959" s="320"/>
      <c r="N959" s="142"/>
      <c r="O959" s="320"/>
      <c r="P959" s="142"/>
      <c r="Q959" s="360"/>
      <c r="R959" s="360"/>
      <c r="S959" s="320"/>
      <c r="T959" s="142"/>
      <c r="U959" s="30"/>
      <c r="V959" s="30"/>
    </row>
    <row r="960">
      <c r="A960" s="320"/>
      <c r="B960" s="142"/>
      <c r="C960" s="320"/>
      <c r="D960" s="142"/>
      <c r="E960" s="320"/>
      <c r="F960" s="142"/>
      <c r="G960" s="320"/>
      <c r="H960" s="142"/>
      <c r="I960" s="329"/>
      <c r="J960" s="124"/>
      <c r="K960" s="329"/>
      <c r="L960" s="124"/>
      <c r="M960" s="320"/>
      <c r="N960" s="142"/>
      <c r="O960" s="320"/>
      <c r="P960" s="142"/>
      <c r="Q960" s="360"/>
      <c r="R960" s="360"/>
      <c r="S960" s="320"/>
      <c r="T960" s="142"/>
      <c r="U960" s="30"/>
      <c r="V960" s="30"/>
    </row>
    <row r="961">
      <c r="A961" s="320"/>
      <c r="B961" s="142"/>
      <c r="C961" s="320"/>
      <c r="D961" s="142"/>
      <c r="E961" s="320"/>
      <c r="F961" s="142"/>
      <c r="G961" s="320"/>
      <c r="H961" s="142"/>
      <c r="I961" s="329"/>
      <c r="J961" s="124"/>
      <c r="K961" s="329"/>
      <c r="L961" s="124"/>
      <c r="M961" s="320"/>
      <c r="N961" s="142"/>
      <c r="O961" s="320"/>
      <c r="P961" s="142"/>
      <c r="Q961" s="360"/>
      <c r="R961" s="360"/>
      <c r="S961" s="320"/>
      <c r="T961" s="142"/>
      <c r="U961" s="30"/>
      <c r="V961" s="30"/>
    </row>
    <row r="962">
      <c r="A962" s="320"/>
      <c r="B962" s="142"/>
      <c r="C962" s="320"/>
      <c r="D962" s="142"/>
      <c r="E962" s="320"/>
      <c r="F962" s="142"/>
      <c r="G962" s="320"/>
      <c r="H962" s="142"/>
      <c r="I962" s="329"/>
      <c r="J962" s="124"/>
      <c r="K962" s="329"/>
      <c r="L962" s="124"/>
      <c r="M962" s="320"/>
      <c r="N962" s="142"/>
      <c r="O962" s="320"/>
      <c r="P962" s="142"/>
      <c r="Q962" s="360"/>
      <c r="R962" s="360"/>
      <c r="S962" s="320"/>
      <c r="T962" s="142"/>
      <c r="U962" s="30"/>
      <c r="V962" s="30"/>
    </row>
    <row r="963">
      <c r="A963" s="320"/>
      <c r="B963" s="142"/>
      <c r="C963" s="320"/>
      <c r="D963" s="142"/>
      <c r="E963" s="320"/>
      <c r="F963" s="142"/>
      <c r="G963" s="320"/>
      <c r="H963" s="142"/>
      <c r="I963" s="329"/>
      <c r="J963" s="124"/>
      <c r="K963" s="329"/>
      <c r="L963" s="124"/>
      <c r="M963" s="320"/>
      <c r="N963" s="142"/>
      <c r="O963" s="320"/>
      <c r="P963" s="142"/>
      <c r="Q963" s="360"/>
      <c r="R963" s="360"/>
      <c r="S963" s="320"/>
      <c r="T963" s="142"/>
      <c r="U963" s="30"/>
      <c r="V963" s="30"/>
    </row>
    <row r="964">
      <c r="A964" s="320"/>
      <c r="B964" s="142"/>
      <c r="C964" s="320"/>
      <c r="D964" s="142"/>
      <c r="E964" s="320"/>
      <c r="F964" s="142"/>
      <c r="G964" s="320"/>
      <c r="H964" s="142"/>
      <c r="I964" s="329"/>
      <c r="J964" s="124"/>
      <c r="K964" s="329"/>
      <c r="L964" s="124"/>
      <c r="M964" s="320"/>
      <c r="N964" s="142"/>
      <c r="O964" s="320"/>
      <c r="P964" s="142"/>
      <c r="Q964" s="360"/>
      <c r="R964" s="360"/>
      <c r="S964" s="320"/>
      <c r="T964" s="142"/>
      <c r="U964" s="30"/>
      <c r="V964" s="30"/>
    </row>
    <row r="965">
      <c r="A965" s="320"/>
      <c r="B965" s="142"/>
      <c r="C965" s="320"/>
      <c r="D965" s="142"/>
      <c r="E965" s="320"/>
      <c r="F965" s="142"/>
      <c r="G965" s="320"/>
      <c r="H965" s="142"/>
      <c r="I965" s="329"/>
      <c r="J965" s="124"/>
      <c r="K965" s="329"/>
      <c r="L965" s="124"/>
      <c r="M965" s="320"/>
      <c r="N965" s="142"/>
      <c r="O965" s="320"/>
      <c r="P965" s="142"/>
      <c r="Q965" s="360"/>
      <c r="R965" s="360"/>
      <c r="S965" s="320"/>
      <c r="T965" s="142"/>
      <c r="U965" s="30"/>
      <c r="V965" s="30"/>
    </row>
    <row r="966">
      <c r="A966" s="320"/>
      <c r="B966" s="142"/>
      <c r="C966" s="320"/>
      <c r="D966" s="142"/>
      <c r="E966" s="320"/>
      <c r="F966" s="142"/>
      <c r="G966" s="320"/>
      <c r="H966" s="142"/>
      <c r="I966" s="329"/>
      <c r="J966" s="124"/>
      <c r="K966" s="329"/>
      <c r="L966" s="124"/>
      <c r="M966" s="320"/>
      <c r="N966" s="142"/>
      <c r="O966" s="320"/>
      <c r="P966" s="142"/>
      <c r="Q966" s="360"/>
      <c r="R966" s="360"/>
      <c r="S966" s="320"/>
      <c r="T966" s="142"/>
      <c r="U966" s="30"/>
      <c r="V966" s="30"/>
    </row>
    <row r="967">
      <c r="A967" s="320"/>
      <c r="B967" s="142"/>
      <c r="C967" s="320"/>
      <c r="D967" s="142"/>
      <c r="E967" s="320"/>
      <c r="F967" s="142"/>
      <c r="G967" s="320"/>
      <c r="H967" s="142"/>
      <c r="I967" s="329"/>
      <c r="J967" s="124"/>
      <c r="K967" s="329"/>
      <c r="L967" s="124"/>
      <c r="M967" s="320"/>
      <c r="N967" s="142"/>
      <c r="O967" s="320"/>
      <c r="P967" s="142"/>
      <c r="Q967" s="360"/>
      <c r="R967" s="360"/>
      <c r="S967" s="320"/>
      <c r="T967" s="142"/>
      <c r="U967" s="30"/>
      <c r="V967" s="30"/>
    </row>
    <row r="968">
      <c r="A968" s="320"/>
      <c r="B968" s="142"/>
      <c r="C968" s="320"/>
      <c r="D968" s="142"/>
      <c r="E968" s="320"/>
      <c r="F968" s="142"/>
      <c r="G968" s="320"/>
      <c r="H968" s="142"/>
      <c r="I968" s="329"/>
      <c r="J968" s="124"/>
      <c r="K968" s="329"/>
      <c r="L968" s="124"/>
      <c r="M968" s="320"/>
      <c r="N968" s="142"/>
      <c r="O968" s="320"/>
      <c r="P968" s="142"/>
      <c r="Q968" s="360"/>
      <c r="R968" s="360"/>
      <c r="S968" s="320"/>
      <c r="T968" s="142"/>
      <c r="U968" s="30"/>
      <c r="V968" s="30"/>
    </row>
    <row r="969">
      <c r="A969" s="320"/>
      <c r="B969" s="142"/>
      <c r="C969" s="320"/>
      <c r="D969" s="142"/>
      <c r="E969" s="320"/>
      <c r="F969" s="142"/>
      <c r="G969" s="320"/>
      <c r="H969" s="142"/>
      <c r="I969" s="329"/>
      <c r="J969" s="124"/>
      <c r="K969" s="329"/>
      <c r="L969" s="124"/>
      <c r="M969" s="320"/>
      <c r="N969" s="142"/>
      <c r="O969" s="320"/>
      <c r="P969" s="142"/>
      <c r="Q969" s="360"/>
      <c r="R969" s="360"/>
      <c r="S969" s="320"/>
      <c r="T969" s="142"/>
      <c r="U969" s="30"/>
      <c r="V969" s="30"/>
    </row>
    <row r="970">
      <c r="A970" s="320"/>
      <c r="B970" s="142"/>
      <c r="C970" s="320"/>
      <c r="D970" s="142"/>
      <c r="E970" s="320"/>
      <c r="F970" s="142"/>
      <c r="G970" s="320"/>
      <c r="H970" s="142"/>
      <c r="I970" s="329"/>
      <c r="J970" s="124"/>
      <c r="K970" s="329"/>
      <c r="L970" s="124"/>
      <c r="M970" s="320"/>
      <c r="N970" s="142"/>
      <c r="O970" s="320"/>
      <c r="P970" s="142"/>
      <c r="Q970" s="360"/>
      <c r="R970" s="360"/>
      <c r="S970" s="320"/>
      <c r="T970" s="142"/>
      <c r="U970" s="30"/>
      <c r="V970" s="30"/>
    </row>
    <row r="971">
      <c r="A971" s="320"/>
      <c r="B971" s="142"/>
      <c r="C971" s="320"/>
      <c r="D971" s="142"/>
      <c r="E971" s="320"/>
      <c r="F971" s="142"/>
      <c r="G971" s="320"/>
      <c r="H971" s="142"/>
      <c r="I971" s="329"/>
      <c r="J971" s="124"/>
      <c r="K971" s="329"/>
      <c r="L971" s="124"/>
      <c r="M971" s="320"/>
      <c r="N971" s="142"/>
      <c r="O971" s="320"/>
      <c r="P971" s="142"/>
      <c r="Q971" s="360"/>
      <c r="R971" s="360"/>
      <c r="S971" s="320"/>
      <c r="T971" s="142"/>
      <c r="U971" s="30"/>
      <c r="V971" s="30"/>
    </row>
    <row r="972">
      <c r="A972" s="320"/>
      <c r="B972" s="142"/>
      <c r="C972" s="320"/>
      <c r="D972" s="142"/>
      <c r="E972" s="320"/>
      <c r="F972" s="142"/>
      <c r="G972" s="320"/>
      <c r="H972" s="142"/>
      <c r="I972" s="329"/>
      <c r="J972" s="124"/>
      <c r="K972" s="329"/>
      <c r="L972" s="124"/>
      <c r="M972" s="320"/>
      <c r="N972" s="142"/>
      <c r="O972" s="320"/>
      <c r="P972" s="142"/>
      <c r="Q972" s="360"/>
      <c r="R972" s="360"/>
      <c r="S972" s="320"/>
      <c r="T972" s="142"/>
      <c r="U972" s="30"/>
      <c r="V972" s="30"/>
    </row>
    <row r="973">
      <c r="A973" s="320"/>
      <c r="B973" s="142"/>
      <c r="C973" s="320"/>
      <c r="D973" s="142"/>
      <c r="E973" s="320"/>
      <c r="F973" s="142"/>
      <c r="G973" s="320"/>
      <c r="H973" s="142"/>
      <c r="I973" s="329"/>
      <c r="J973" s="124"/>
      <c r="K973" s="329"/>
      <c r="L973" s="124"/>
      <c r="M973" s="320"/>
      <c r="N973" s="142"/>
      <c r="O973" s="320"/>
      <c r="P973" s="142"/>
      <c r="Q973" s="360"/>
      <c r="R973" s="360"/>
      <c r="S973" s="320"/>
      <c r="T973" s="142"/>
      <c r="U973" s="30"/>
      <c r="V973" s="30"/>
    </row>
    <row r="974">
      <c r="A974" s="320"/>
      <c r="B974" s="142"/>
      <c r="C974" s="320"/>
      <c r="D974" s="142"/>
      <c r="E974" s="320"/>
      <c r="F974" s="142"/>
      <c r="G974" s="320"/>
      <c r="H974" s="142"/>
      <c r="I974" s="329"/>
      <c r="J974" s="124"/>
      <c r="K974" s="329"/>
      <c r="L974" s="124"/>
      <c r="M974" s="320"/>
      <c r="N974" s="142"/>
      <c r="O974" s="320"/>
      <c r="P974" s="142"/>
      <c r="Q974" s="360"/>
      <c r="R974" s="360"/>
      <c r="S974" s="320"/>
      <c r="T974" s="142"/>
      <c r="U974" s="30"/>
      <c r="V974" s="30"/>
    </row>
    <row r="975">
      <c r="A975" s="320"/>
      <c r="B975" s="142"/>
      <c r="C975" s="320"/>
      <c r="D975" s="142"/>
      <c r="E975" s="320"/>
      <c r="F975" s="142"/>
      <c r="G975" s="320"/>
      <c r="H975" s="142"/>
      <c r="I975" s="329"/>
      <c r="J975" s="124"/>
      <c r="K975" s="329"/>
      <c r="L975" s="124"/>
      <c r="M975" s="320"/>
      <c r="N975" s="142"/>
      <c r="O975" s="320"/>
      <c r="P975" s="142"/>
      <c r="Q975" s="360"/>
      <c r="R975" s="360"/>
      <c r="S975" s="320"/>
      <c r="T975" s="142"/>
      <c r="U975" s="30"/>
      <c r="V975" s="30"/>
    </row>
    <row r="976">
      <c r="A976" s="320"/>
      <c r="B976" s="142"/>
      <c r="C976" s="320"/>
      <c r="D976" s="142"/>
      <c r="E976" s="320"/>
      <c r="F976" s="142"/>
      <c r="G976" s="320"/>
      <c r="H976" s="142"/>
      <c r="I976" s="329"/>
      <c r="J976" s="124"/>
      <c r="K976" s="329"/>
      <c r="L976" s="124"/>
      <c r="M976" s="320"/>
      <c r="N976" s="142"/>
      <c r="O976" s="320"/>
      <c r="P976" s="142"/>
      <c r="Q976" s="360"/>
      <c r="R976" s="360"/>
      <c r="S976" s="320"/>
      <c r="T976" s="142"/>
      <c r="U976" s="30"/>
      <c r="V976" s="30"/>
    </row>
    <row r="977">
      <c r="A977" s="320"/>
      <c r="B977" s="142"/>
      <c r="C977" s="320"/>
      <c r="D977" s="142"/>
      <c r="E977" s="320"/>
      <c r="F977" s="142"/>
      <c r="G977" s="320"/>
      <c r="H977" s="142"/>
      <c r="I977" s="329"/>
      <c r="J977" s="124"/>
      <c r="K977" s="329"/>
      <c r="L977" s="124"/>
      <c r="M977" s="320"/>
      <c r="N977" s="142"/>
      <c r="O977" s="320"/>
      <c r="P977" s="142"/>
      <c r="Q977" s="360"/>
      <c r="R977" s="360"/>
      <c r="S977" s="320"/>
      <c r="T977" s="142"/>
      <c r="U977" s="30"/>
      <c r="V977" s="30"/>
    </row>
    <row r="978">
      <c r="A978" s="320"/>
      <c r="B978" s="142"/>
      <c r="C978" s="320"/>
      <c r="D978" s="142"/>
      <c r="E978" s="320"/>
      <c r="F978" s="142"/>
      <c r="G978" s="320"/>
      <c r="H978" s="142"/>
      <c r="I978" s="329"/>
      <c r="J978" s="124"/>
      <c r="K978" s="329"/>
      <c r="L978" s="124"/>
      <c r="M978" s="320"/>
      <c r="N978" s="142"/>
      <c r="O978" s="320"/>
      <c r="P978" s="142"/>
      <c r="Q978" s="360"/>
      <c r="R978" s="360"/>
      <c r="S978" s="320"/>
      <c r="T978" s="142"/>
      <c r="U978" s="30"/>
      <c r="V978" s="30"/>
    </row>
    <row r="979">
      <c r="A979" s="320"/>
      <c r="B979" s="142"/>
      <c r="C979" s="320"/>
      <c r="D979" s="142"/>
      <c r="E979" s="320"/>
      <c r="F979" s="142"/>
      <c r="G979" s="320"/>
      <c r="H979" s="142"/>
      <c r="I979" s="329"/>
      <c r="J979" s="124"/>
      <c r="K979" s="329"/>
      <c r="L979" s="124"/>
      <c r="M979" s="320"/>
      <c r="N979" s="142"/>
      <c r="O979" s="320"/>
      <c r="P979" s="142"/>
      <c r="Q979" s="360"/>
      <c r="R979" s="360"/>
      <c r="S979" s="320"/>
      <c r="T979" s="142"/>
      <c r="U979" s="30"/>
      <c r="V979" s="30"/>
    </row>
    <row r="980">
      <c r="A980" s="320"/>
      <c r="B980" s="142"/>
      <c r="C980" s="320"/>
      <c r="D980" s="142"/>
      <c r="E980" s="320"/>
      <c r="F980" s="142"/>
      <c r="G980" s="320"/>
      <c r="H980" s="142"/>
      <c r="I980" s="329"/>
      <c r="J980" s="124"/>
      <c r="K980" s="329"/>
      <c r="L980" s="124"/>
      <c r="M980" s="320"/>
      <c r="N980" s="142"/>
      <c r="O980" s="320"/>
      <c r="P980" s="142"/>
      <c r="Q980" s="360"/>
      <c r="R980" s="360"/>
      <c r="S980" s="320"/>
      <c r="T980" s="142"/>
      <c r="U980" s="30"/>
      <c r="V980" s="30"/>
    </row>
    <row r="981">
      <c r="A981" s="320"/>
      <c r="B981" s="142"/>
      <c r="C981" s="320"/>
      <c r="D981" s="142"/>
      <c r="E981" s="320"/>
      <c r="F981" s="142"/>
      <c r="G981" s="320"/>
      <c r="H981" s="142"/>
      <c r="I981" s="329"/>
      <c r="J981" s="124"/>
      <c r="K981" s="329"/>
      <c r="L981" s="124"/>
      <c r="M981" s="320"/>
      <c r="N981" s="142"/>
      <c r="O981" s="320"/>
      <c r="P981" s="142"/>
      <c r="Q981" s="360"/>
      <c r="R981" s="360"/>
      <c r="S981" s="320"/>
      <c r="T981" s="142"/>
      <c r="U981" s="30"/>
      <c r="V981" s="30"/>
    </row>
    <row r="982">
      <c r="A982" s="320"/>
      <c r="B982" s="142"/>
      <c r="C982" s="320"/>
      <c r="D982" s="142"/>
      <c r="E982" s="320"/>
      <c r="F982" s="142"/>
      <c r="G982" s="320"/>
      <c r="H982" s="142"/>
      <c r="I982" s="329"/>
      <c r="J982" s="124"/>
      <c r="K982" s="329"/>
      <c r="L982" s="124"/>
      <c r="M982" s="320"/>
      <c r="N982" s="142"/>
      <c r="O982" s="320"/>
      <c r="P982" s="142"/>
      <c r="Q982" s="360"/>
      <c r="R982" s="360"/>
      <c r="S982" s="320"/>
      <c r="T982" s="142"/>
      <c r="U982" s="30"/>
      <c r="V982" s="30"/>
    </row>
    <row r="983">
      <c r="A983" s="320"/>
      <c r="B983" s="142"/>
      <c r="C983" s="320"/>
      <c r="D983" s="142"/>
      <c r="E983" s="320"/>
      <c r="F983" s="142"/>
      <c r="G983" s="320"/>
      <c r="H983" s="142"/>
      <c r="I983" s="329"/>
      <c r="J983" s="124"/>
      <c r="K983" s="329"/>
      <c r="L983" s="124"/>
      <c r="M983" s="320"/>
      <c r="N983" s="142"/>
      <c r="O983" s="320"/>
      <c r="P983" s="142"/>
      <c r="Q983" s="360"/>
      <c r="R983" s="360"/>
      <c r="S983" s="320"/>
      <c r="T983" s="142"/>
      <c r="U983" s="30"/>
      <c r="V983" s="30"/>
    </row>
    <row r="984">
      <c r="A984" s="320"/>
      <c r="B984" s="142"/>
      <c r="C984" s="320"/>
      <c r="D984" s="142"/>
      <c r="E984" s="320"/>
      <c r="F984" s="142"/>
      <c r="G984" s="320"/>
      <c r="H984" s="142"/>
      <c r="I984" s="329"/>
      <c r="J984" s="124"/>
      <c r="K984" s="329"/>
      <c r="L984" s="124"/>
      <c r="M984" s="320"/>
      <c r="N984" s="142"/>
      <c r="O984" s="320"/>
      <c r="P984" s="142"/>
      <c r="Q984" s="360"/>
      <c r="R984" s="360"/>
      <c r="S984" s="320"/>
      <c r="T984" s="142"/>
      <c r="U984" s="30"/>
      <c r="V984" s="30"/>
    </row>
    <row r="985">
      <c r="A985" s="320"/>
      <c r="B985" s="142"/>
      <c r="C985" s="320"/>
      <c r="D985" s="142"/>
      <c r="E985" s="320"/>
      <c r="F985" s="142"/>
      <c r="G985" s="320"/>
      <c r="H985" s="142"/>
      <c r="I985" s="329"/>
      <c r="J985" s="124"/>
      <c r="K985" s="329"/>
      <c r="L985" s="124"/>
      <c r="M985" s="320"/>
      <c r="N985" s="142"/>
      <c r="O985" s="320"/>
      <c r="P985" s="142"/>
      <c r="Q985" s="360"/>
      <c r="R985" s="360"/>
      <c r="S985" s="320"/>
      <c r="T985" s="142"/>
      <c r="U985" s="30"/>
      <c r="V985" s="30"/>
    </row>
    <row r="986">
      <c r="A986" s="320"/>
      <c r="B986" s="142"/>
      <c r="C986" s="320"/>
      <c r="D986" s="142"/>
      <c r="E986" s="320"/>
      <c r="F986" s="142"/>
      <c r="G986" s="320"/>
      <c r="H986" s="142"/>
      <c r="I986" s="329"/>
      <c r="J986" s="124"/>
      <c r="K986" s="329"/>
      <c r="L986" s="124"/>
      <c r="M986" s="320"/>
      <c r="N986" s="142"/>
      <c r="O986" s="320"/>
      <c r="P986" s="142"/>
      <c r="Q986" s="360"/>
      <c r="R986" s="360"/>
      <c r="S986" s="320"/>
      <c r="T986" s="142"/>
      <c r="U986" s="30"/>
      <c r="V986" s="30"/>
    </row>
    <row r="987">
      <c r="A987" s="320"/>
      <c r="B987" s="142"/>
      <c r="C987" s="320"/>
      <c r="D987" s="142"/>
      <c r="E987" s="320"/>
      <c r="F987" s="142"/>
      <c r="G987" s="320"/>
      <c r="H987" s="142"/>
      <c r="I987" s="329"/>
      <c r="J987" s="124"/>
      <c r="K987" s="329"/>
      <c r="L987" s="124"/>
      <c r="M987" s="320"/>
      <c r="N987" s="142"/>
      <c r="O987" s="320"/>
      <c r="P987" s="142"/>
      <c r="Q987" s="360"/>
      <c r="R987" s="360"/>
      <c r="S987" s="320"/>
      <c r="T987" s="142"/>
      <c r="U987" s="30"/>
      <c r="V987" s="30"/>
    </row>
    <row r="988">
      <c r="A988" s="320"/>
      <c r="B988" s="142"/>
      <c r="C988" s="320"/>
      <c r="D988" s="142"/>
      <c r="E988" s="320"/>
      <c r="F988" s="142"/>
      <c r="G988" s="320"/>
      <c r="H988" s="142"/>
      <c r="I988" s="329"/>
      <c r="J988" s="124"/>
      <c r="K988" s="329"/>
      <c r="L988" s="124"/>
      <c r="M988" s="320"/>
      <c r="N988" s="142"/>
      <c r="O988" s="320"/>
      <c r="P988" s="142"/>
      <c r="Q988" s="360"/>
      <c r="R988" s="360"/>
      <c r="S988" s="320"/>
      <c r="T988" s="142"/>
      <c r="U988" s="30"/>
      <c r="V988" s="30"/>
    </row>
    <row r="989">
      <c r="A989" s="320"/>
      <c r="B989" s="142"/>
      <c r="C989" s="320"/>
      <c r="D989" s="142"/>
      <c r="E989" s="320"/>
      <c r="F989" s="142"/>
      <c r="G989" s="320"/>
      <c r="H989" s="142"/>
      <c r="I989" s="329"/>
      <c r="J989" s="124"/>
      <c r="K989" s="329"/>
      <c r="L989" s="124"/>
      <c r="M989" s="320"/>
      <c r="N989" s="142"/>
      <c r="O989" s="320"/>
      <c r="P989" s="142"/>
      <c r="Q989" s="360"/>
      <c r="R989" s="360"/>
      <c r="S989" s="320"/>
      <c r="T989" s="142"/>
      <c r="U989" s="30"/>
      <c r="V989" s="30"/>
    </row>
    <row r="990">
      <c r="A990" s="320"/>
      <c r="B990" s="142"/>
      <c r="C990" s="320"/>
      <c r="D990" s="142"/>
      <c r="E990" s="320"/>
      <c r="F990" s="142"/>
      <c r="G990" s="320"/>
      <c r="H990" s="142"/>
      <c r="I990" s="329"/>
      <c r="J990" s="124"/>
      <c r="K990" s="329"/>
      <c r="L990" s="124"/>
      <c r="M990" s="320"/>
      <c r="N990" s="142"/>
      <c r="O990" s="320"/>
      <c r="P990" s="142"/>
      <c r="Q990" s="360"/>
      <c r="R990" s="360"/>
      <c r="S990" s="320"/>
      <c r="T990" s="142"/>
      <c r="U990" s="30"/>
      <c r="V990" s="30"/>
    </row>
    <row r="991">
      <c r="A991" s="320"/>
      <c r="B991" s="142"/>
      <c r="C991" s="320"/>
      <c r="D991" s="142"/>
      <c r="E991" s="320"/>
      <c r="F991" s="142"/>
      <c r="G991" s="320"/>
      <c r="H991" s="142"/>
      <c r="I991" s="329"/>
      <c r="J991" s="124"/>
      <c r="K991" s="329"/>
      <c r="L991" s="124"/>
      <c r="M991" s="320"/>
      <c r="N991" s="142"/>
      <c r="O991" s="320"/>
      <c r="P991" s="142"/>
      <c r="Q991" s="360"/>
      <c r="R991" s="360"/>
      <c r="S991" s="320"/>
      <c r="T991" s="142"/>
      <c r="U991" s="30"/>
      <c r="V991" s="30"/>
    </row>
    <row r="992">
      <c r="A992" s="320"/>
      <c r="B992" s="142"/>
      <c r="C992" s="320"/>
      <c r="D992" s="142"/>
      <c r="E992" s="320"/>
      <c r="F992" s="142"/>
      <c r="G992" s="320"/>
      <c r="H992" s="142"/>
      <c r="I992" s="329"/>
      <c r="J992" s="124"/>
      <c r="K992" s="329"/>
      <c r="L992" s="124"/>
      <c r="M992" s="320"/>
      <c r="N992" s="142"/>
      <c r="O992" s="320"/>
      <c r="P992" s="142"/>
      <c r="Q992" s="360"/>
      <c r="R992" s="360"/>
      <c r="S992" s="320"/>
      <c r="T992" s="142"/>
      <c r="U992" s="30"/>
      <c r="V992" s="30"/>
    </row>
    <row r="993">
      <c r="A993" s="320"/>
      <c r="B993" s="142"/>
      <c r="C993" s="320"/>
      <c r="D993" s="142"/>
      <c r="E993" s="320"/>
      <c r="F993" s="142"/>
      <c r="G993" s="320"/>
      <c r="H993" s="142"/>
      <c r="I993" s="329"/>
      <c r="J993" s="124"/>
      <c r="K993" s="329"/>
      <c r="L993" s="124"/>
      <c r="M993" s="320"/>
      <c r="N993" s="142"/>
      <c r="O993" s="320"/>
      <c r="P993" s="142"/>
      <c r="Q993" s="360"/>
      <c r="R993" s="360"/>
      <c r="S993" s="320"/>
      <c r="T993" s="142"/>
      <c r="U993" s="30"/>
      <c r="V993" s="30"/>
    </row>
    <row r="994">
      <c r="A994" s="320"/>
      <c r="B994" s="142"/>
      <c r="C994" s="320"/>
      <c r="D994" s="142"/>
      <c r="E994" s="320"/>
      <c r="F994" s="142"/>
      <c r="G994" s="320"/>
      <c r="H994" s="142"/>
      <c r="I994" s="329"/>
      <c r="J994" s="124"/>
      <c r="K994" s="329"/>
      <c r="L994" s="124"/>
      <c r="M994" s="320"/>
      <c r="N994" s="142"/>
      <c r="O994" s="320"/>
      <c r="P994" s="142"/>
      <c r="Q994" s="360"/>
      <c r="R994" s="360"/>
      <c r="S994" s="320"/>
      <c r="T994" s="142"/>
    </row>
    <row r="995">
      <c r="A995" s="320"/>
      <c r="B995" s="142"/>
      <c r="C995" s="320"/>
      <c r="D995" s="142"/>
      <c r="E995" s="320"/>
      <c r="F995" s="142"/>
      <c r="G995" s="320"/>
      <c r="H995" s="142"/>
      <c r="I995" s="329"/>
      <c r="J995" s="124"/>
      <c r="K995" s="329"/>
      <c r="L995" s="124"/>
      <c r="M995" s="320"/>
      <c r="N995" s="142"/>
      <c r="O995" s="320"/>
      <c r="P995" s="142"/>
      <c r="Q995" s="360"/>
      <c r="R995" s="360"/>
      <c r="S995" s="320"/>
      <c r="T995" s="142"/>
    </row>
    <row r="996">
      <c r="A996" s="320"/>
      <c r="B996" s="142"/>
      <c r="C996" s="320"/>
      <c r="D996" s="142"/>
      <c r="E996" s="320"/>
      <c r="F996" s="142"/>
      <c r="G996" s="320"/>
      <c r="H996" s="142"/>
      <c r="I996" s="329"/>
      <c r="J996" s="124"/>
      <c r="K996" s="329"/>
      <c r="L996" s="124"/>
      <c r="M996" s="320"/>
      <c r="N996" s="142"/>
      <c r="O996" s="320"/>
      <c r="P996" s="142"/>
      <c r="Q996" s="360"/>
      <c r="R996" s="360"/>
      <c r="S996" s="320"/>
      <c r="T996" s="142"/>
    </row>
    <row r="997">
      <c r="A997" s="320"/>
      <c r="B997" s="142"/>
      <c r="C997" s="320"/>
      <c r="D997" s="142"/>
      <c r="E997" s="320"/>
      <c r="F997" s="142"/>
      <c r="G997" s="320"/>
      <c r="H997" s="142"/>
      <c r="I997" s="329"/>
      <c r="J997" s="124"/>
      <c r="K997" s="329"/>
      <c r="L997" s="124"/>
      <c r="M997" s="320"/>
      <c r="N997" s="142"/>
      <c r="O997" s="320"/>
      <c r="P997" s="142"/>
      <c r="Q997" s="360"/>
      <c r="R997" s="360"/>
      <c r="S997" s="320"/>
      <c r="T997" s="142"/>
    </row>
    <row r="998">
      <c r="A998" s="320"/>
      <c r="B998" s="142"/>
      <c r="C998" s="320"/>
      <c r="D998" s="142"/>
      <c r="E998" s="320"/>
      <c r="F998" s="142"/>
      <c r="G998" s="320"/>
      <c r="H998" s="142"/>
      <c r="I998" s="329"/>
      <c r="J998" s="124"/>
      <c r="K998" s="329"/>
      <c r="L998" s="124"/>
      <c r="M998" s="320"/>
      <c r="N998" s="142"/>
      <c r="O998" s="320"/>
      <c r="P998" s="142"/>
      <c r="Q998" s="360"/>
      <c r="R998" s="360"/>
      <c r="S998" s="320"/>
      <c r="T998" s="142"/>
    </row>
    <row r="999">
      <c r="A999" s="320"/>
      <c r="B999" s="142"/>
      <c r="C999" s="320"/>
      <c r="D999" s="142"/>
      <c r="E999" s="320"/>
      <c r="F999" s="142"/>
      <c r="G999" s="320"/>
      <c r="H999" s="142"/>
      <c r="I999" s="329"/>
      <c r="J999" s="124"/>
      <c r="K999" s="329"/>
      <c r="L999" s="124"/>
      <c r="M999" s="320"/>
      <c r="N999" s="142"/>
      <c r="O999" s="320"/>
      <c r="P999" s="142"/>
      <c r="Q999" s="360"/>
      <c r="R999" s="360"/>
      <c r="S999" s="320"/>
      <c r="T999" s="142"/>
    </row>
    <row r="1000">
      <c r="A1000" s="320"/>
      <c r="B1000" s="142"/>
      <c r="C1000" s="320"/>
      <c r="D1000" s="142"/>
      <c r="E1000" s="320"/>
      <c r="F1000" s="142"/>
      <c r="G1000" s="320"/>
      <c r="H1000" s="142"/>
      <c r="I1000" s="329"/>
      <c r="J1000" s="124"/>
      <c r="K1000" s="329"/>
      <c r="L1000" s="124"/>
      <c r="M1000" s="320"/>
      <c r="N1000" s="142"/>
      <c r="O1000" s="320"/>
      <c r="P1000" s="142"/>
      <c r="Q1000" s="360"/>
      <c r="R1000" s="360"/>
      <c r="S1000" s="320"/>
      <c r="T1000" s="142"/>
    </row>
    <row r="1001">
      <c r="A1001" s="320"/>
      <c r="B1001" s="142"/>
      <c r="C1001" s="320"/>
      <c r="D1001" s="142"/>
      <c r="E1001" s="320"/>
      <c r="F1001" s="142"/>
      <c r="G1001" s="320"/>
      <c r="H1001" s="142"/>
      <c r="I1001" s="329"/>
      <c r="J1001" s="124"/>
      <c r="K1001" s="329"/>
      <c r="L1001" s="124"/>
      <c r="M1001" s="320"/>
      <c r="N1001" s="142"/>
      <c r="O1001" s="320"/>
      <c r="P1001" s="142"/>
      <c r="Q1001" s="320"/>
      <c r="R1001" s="142"/>
      <c r="S1001" s="320"/>
      <c r="T1001" s="142"/>
    </row>
    <row r="1002">
      <c r="A1002" s="320"/>
      <c r="B1002" s="142"/>
      <c r="C1002" s="320"/>
      <c r="D1002" s="142"/>
      <c r="E1002" s="320"/>
      <c r="F1002" s="142"/>
      <c r="G1002" s="320"/>
      <c r="H1002" s="142"/>
      <c r="I1002" s="329"/>
      <c r="J1002" s="124"/>
      <c r="K1002" s="329"/>
      <c r="L1002" s="124"/>
      <c r="M1002" s="320"/>
      <c r="N1002" s="142"/>
      <c r="O1002" s="320"/>
      <c r="P1002" s="142"/>
      <c r="Q1002" s="320"/>
      <c r="R1002" s="142"/>
    </row>
  </sheetData>
  <mergeCells count="10">
    <mergeCell ref="O1:P1"/>
    <mergeCell ref="Q1:R1"/>
    <mergeCell ref="S1:T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5" width="13.0"/>
  </cols>
  <sheetData>
    <row r="1" ht="75.0" customHeight="1">
      <c r="A1" s="361" t="s">
        <v>7677</v>
      </c>
      <c r="B1" s="362" t="s">
        <v>260</v>
      </c>
      <c r="C1" s="363" t="s">
        <v>7678</v>
      </c>
      <c r="F1" s="361" t="s">
        <v>7679</v>
      </c>
      <c r="G1" s="362" t="s">
        <v>260</v>
      </c>
      <c r="H1" s="364" t="s">
        <v>7680</v>
      </c>
      <c r="K1" s="361" t="s">
        <v>7681</v>
      </c>
      <c r="L1" s="362" t="s">
        <v>260</v>
      </c>
      <c r="M1" s="364" t="s">
        <v>7682</v>
      </c>
      <c r="P1" s="361" t="str">
        <f>IFERROR(__xludf.DUMMYFUNCTION("GOOGLETRANSLATE(A1,""zh-tw"",""zh"")"),"吃饱效果(夜袭时间延长)")</f>
        <v>吃饱效果(夜袭时间延长)</v>
      </c>
      <c r="Q1" s="362" t="str">
        <f>IFERROR(__xludf.DUMMYFUNCTION("GOOGLETRANSLATE(B1,""zh-tw"",""zh"")"),"A")</f>
        <v>A</v>
      </c>
      <c r="R1" s="124"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61" t="str">
        <f>IFERROR(__xludf.DUMMYFUNCTION("GOOGLETRANSLATE(A1,""zh-tw"",""es-MX"")"),"El efecto de estar bien alimentado (extiende la duración de la incursión nocturna)")</f>
        <v>El efecto de estar bien alimentado (extiende la duración de la incursión nocturna)</v>
      </c>
      <c r="V1" s="362" t="s">
        <v>260</v>
      </c>
      <c r="W1" s="365"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361" t="str">
        <f>IFERROR(__xludf.DUMMYFUNCTION("GOOGLETRANSLATE(A1,""zh-tw"",""KO"")"),"배불리 먹는 효과 (야간 습격 지속 시간 연장)")</f>
        <v>배불리 먹는 효과 (야간 습격 지속 시간 연장)</v>
      </c>
      <c r="AA1" s="362" t="s">
        <v>260</v>
      </c>
      <c r="AB1" s="365" t="str">
        <f>IFERROR(__xludf.DUMMYFUNCTION("GOOGLETRANSLATE(C1,""zh-tw"",""ko"")"),"재료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f>
        <v>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v>
      </c>
      <c r="AE1" s="361"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62" t="s">
        <v>260</v>
      </c>
      <c r="AG1" s="365" t="str">
        <f>IFERROR(__xludf.DUMMYFUNCTION("GOOGLETRANSLATE(C1,""zh-tw"",""ru"")"),"Примеры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"&amp;"же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f>
        <v>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v>
      </c>
      <c r="AJ1" s="366" t="s">
        <v>7683</v>
      </c>
      <c r="AK1" s="362" t="s">
        <v>260</v>
      </c>
      <c r="AL1" s="363" t="s">
        <v>7684</v>
      </c>
      <c r="AO1" s="367" t="s">
        <v>7685</v>
      </c>
      <c r="AP1" s="368" t="s">
        <v>260</v>
      </c>
      <c r="AQ1" s="124" t="s">
        <v>7686</v>
      </c>
      <c r="AT1" s="361" t="s">
        <v>7687</v>
      </c>
      <c r="AU1" s="362" t="s">
        <v>260</v>
      </c>
      <c r="AV1" s="365" t="s">
        <v>7688</v>
      </c>
      <c r="AY1" s="124"/>
      <c r="AZ1" s="124"/>
      <c r="BA1" s="124"/>
      <c r="BB1" s="124"/>
      <c r="BC1" s="124"/>
    </row>
    <row r="2" ht="75.0" customHeight="1">
      <c r="A2" s="361" t="s">
        <v>7689</v>
      </c>
      <c r="B2" s="362" t="s">
        <v>931</v>
      </c>
      <c r="F2" s="361" t="s">
        <v>7690</v>
      </c>
      <c r="G2" s="362" t="s">
        <v>931</v>
      </c>
      <c r="K2" s="361" t="s">
        <v>7691</v>
      </c>
      <c r="L2" s="362" t="s">
        <v>931</v>
      </c>
      <c r="P2" s="361" t="str">
        <f>IFERROR(__xludf.DUMMYFUNCTION("GOOGLETRANSLATE(A2,""zh-tw"",""zh"")"),"妹妹辣到哭了(机率触发)")</f>
        <v>妹妹辣到哭了(机率触发)</v>
      </c>
      <c r="Q2" s="362" t="str">
        <f>IFERROR(__xludf.DUMMYFUNCTION("GOOGLETRANSLATE(B2,""zh-tw"",""zh"")"),"B")</f>
        <v>B</v>
      </c>
      <c r="U2" s="361" t="str">
        <f>IFERROR(__xludf.DUMMYFUNCTION("GOOGLETRANSLATE(A2,""zh-tw"",""es-MX"")"),"Mi hermana lloró porque la comida estaba muy picante (desencadenante casual).")</f>
        <v>Mi hermana lloró porque la comida estaba muy picante (desencadenante casual).</v>
      </c>
      <c r="V2" s="362" t="s">
        <v>931</v>
      </c>
      <c r="Z2" s="361" t="str">
        <f>IFERROR(__xludf.DUMMYFUNCTION("GOOGLETRANSLATE(A2,""zh-tw"",""KO"")"),"언니는 음식이 너무 매워서 울었어요(우연에 의한 트리거).")</f>
        <v>언니는 음식이 너무 매워서 울었어요(우연에 의한 트리거).</v>
      </c>
      <c r="AA2" s="362" t="s">
        <v>931</v>
      </c>
      <c r="AE2" s="361"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62" t="s">
        <v>931</v>
      </c>
      <c r="AJ2" s="366" t="s">
        <v>7692</v>
      </c>
      <c r="AK2" s="362" t="s">
        <v>931</v>
      </c>
      <c r="AO2" s="176" t="s">
        <v>7693</v>
      </c>
      <c r="AP2" s="161" t="s">
        <v>931</v>
      </c>
      <c r="AT2" s="361" t="s">
        <v>7694</v>
      </c>
      <c r="AU2" s="362" t="s">
        <v>931</v>
      </c>
      <c r="AY2" s="124"/>
      <c r="AZ2" s="124"/>
      <c r="BA2" s="124"/>
      <c r="BB2" s="124"/>
      <c r="BC2" s="124"/>
    </row>
    <row r="3">
      <c r="A3" s="369" t="s">
        <v>7695</v>
      </c>
      <c r="B3" s="370" t="s">
        <v>7045</v>
      </c>
      <c r="F3" s="369" t="str">
        <f>IFERROR(__xludf.DUMMYFUNCTION("GOOGLETRANSLATE(A3,""zh-tw"",""ja"")"),"料理名")</f>
        <v>料理名</v>
      </c>
      <c r="G3" s="370" t="str">
        <f>IFERROR(__xludf.DUMMYFUNCTION("GOOGLETRANSLATE(B3,""zh-tw"",""ja"")"),"効果")</f>
        <v>効果</v>
      </c>
      <c r="K3" s="369" t="s">
        <v>7696</v>
      </c>
      <c r="L3" s="370" t="s">
        <v>7697</v>
      </c>
      <c r="P3" s="369" t="str">
        <f>IFERROR(__xludf.DUMMYFUNCTION("GOOGLETRANSLATE(A3,""zh-tw"",""zh"")"),"料理名")</f>
        <v>料理名</v>
      </c>
      <c r="Q3" s="370" t="str">
        <f>IFERROR(__xludf.DUMMYFUNCTION("GOOGLETRANSLATE(B3,""zh-tw"",""zh"")"),"效果")</f>
        <v>效果</v>
      </c>
      <c r="U3" s="369" t="str">
        <f>IFERROR(__xludf.DUMMYFUNCTION("GOOGLETRANSLATE(A3,""zh-tw"",""es-MX"")"),"Nombre de los platos")</f>
        <v>Nombre de los platos</v>
      </c>
      <c r="V3" s="371" t="str">
        <f>IFERROR(__xludf.DUMMYFUNCTION("GOOGLETRANSLATE(B3,""zh-tw"",""es-MX"")"),"Efecto")</f>
        <v>Efecto</v>
      </c>
      <c r="Z3" s="369" t="str">
        <f>IFERROR(__xludf.DUMMYFUNCTION("GOOGLETRANSLATE(A3,""zh-tw"",""KO"")"),"요리 이름")</f>
        <v>요리 이름</v>
      </c>
      <c r="AA3" s="372" t="str">
        <f>IFERROR(__xludf.DUMMYFUNCTION("GOOGLETRANSLATE(B3,""zh-tw"",""KO"")"),"효과")</f>
        <v>효과</v>
      </c>
      <c r="AE3" s="369" t="str">
        <f>IFERROR(__xludf.DUMMYFUNCTION("GOOGLETRANSLATE(A3,""zh-tw"",""ru"")"),"Название блюда")</f>
        <v>Название блюда</v>
      </c>
      <c r="AF3" s="371" t="str">
        <f>IFERROR(__xludf.DUMMYFUNCTION("GOOGLETRANSLATE(B3,""zh-tw"",""ru"")"),"Эффект")</f>
        <v>Эффект</v>
      </c>
      <c r="AJ3" s="373" t="s">
        <v>7698</v>
      </c>
      <c r="AK3" s="372" t="s">
        <v>7699</v>
      </c>
      <c r="AO3" s="82" t="s">
        <v>7700</v>
      </c>
      <c r="AP3" s="81" t="s">
        <v>5558</v>
      </c>
      <c r="AT3" s="369" t="s">
        <v>7701</v>
      </c>
      <c r="AU3" s="370" t="s">
        <v>7051</v>
      </c>
      <c r="AY3" s="124"/>
      <c r="AZ3" s="124"/>
      <c r="BA3" s="124"/>
      <c r="BB3" s="124"/>
      <c r="BC3" s="124"/>
    </row>
    <row r="4">
      <c r="A4" s="126" t="s">
        <v>7702</v>
      </c>
      <c r="B4" s="189"/>
      <c r="C4" s="167" t="s">
        <v>7703</v>
      </c>
      <c r="D4" s="124"/>
      <c r="E4" s="124"/>
      <c r="F4" s="126" t="s">
        <v>7704</v>
      </c>
      <c r="G4" s="189"/>
      <c r="H4" s="167" t="s">
        <v>7705</v>
      </c>
      <c r="I4" s="124"/>
      <c r="J4" s="124"/>
      <c r="K4" s="116" t="s">
        <v>7706</v>
      </c>
      <c r="L4" s="189"/>
      <c r="M4" s="136" t="s">
        <v>7707</v>
      </c>
      <c r="N4" s="142"/>
      <c r="O4" s="142"/>
      <c r="P4" s="116" t="str">
        <f>IFERROR(__xludf.DUMMYFUNCTION("GOOGLETRANSLATE(A4,""zh-tw"",""zh"")"),"史莱姆果冻")</f>
        <v>史莱姆果冻</v>
      </c>
      <c r="Q4" s="362"/>
      <c r="R4" s="167" t="str">
        <f>IFERROR(__xludf.DUMMYFUNCTION("GOOGLETRANSLATE(C4,""zh-tw"",""zh"")"),"史莱姆黏液")</f>
        <v>史莱姆黏液</v>
      </c>
      <c r="S4" s="167"/>
      <c r="T4" s="167"/>
      <c r="U4" s="126" t="str">
        <f>IFERROR(__xludf.DUMMYFUNCTION("GOOGLETRANSLATE(A4,""zh-tw"",""es-MX"")"),"Gelatina de slime")</f>
        <v>Gelatina de slime</v>
      </c>
      <c r="V4" s="371"/>
      <c r="W4" s="167" t="str">
        <f>IFERROR(__xludf.DUMMYFUNCTION("GOOGLETRANSLATE(C4,""zh-tw"",""es-MX"")"),"limo")</f>
        <v>limo</v>
      </c>
      <c r="X4" s="167"/>
      <c r="Y4" s="167"/>
      <c r="Z4" s="374" t="str">
        <f>IFERROR(__xludf.DUMMYFUNCTION("GOOGLETRANSLATE(A4,""zh-tw"",""KO"")"),"슬라임 젤리")</f>
        <v>슬라임 젤리</v>
      </c>
      <c r="AA4" s="372"/>
      <c r="AB4" s="136" t="s">
        <v>7708</v>
      </c>
      <c r="AC4" s="124"/>
      <c r="AD4" s="124"/>
      <c r="AE4" s="126" t="str">
        <f>IFERROR(__xludf.DUMMYFUNCTION("GOOGLETRANSLATE(A4,""zh-tw"",""ru"")"),"Слизистое желе")</f>
        <v>Слизистое желе</v>
      </c>
      <c r="AF4" s="371"/>
      <c r="AG4" s="167" t="str">
        <f>IFERROR(__xludf.DUMMYFUNCTION("GOOGLETRANSLATE(C4,""zh-tw"",""ru"")"),"слизь")</f>
        <v>слизь</v>
      </c>
      <c r="AH4" s="167"/>
      <c r="AI4" s="167"/>
      <c r="AJ4" s="375" t="s">
        <v>7709</v>
      </c>
      <c r="AK4" s="372"/>
      <c r="AL4" s="136" t="s">
        <v>7710</v>
      </c>
      <c r="AM4" s="142"/>
      <c r="AN4" s="142"/>
      <c r="AO4" s="138" t="s">
        <v>7711</v>
      </c>
      <c r="AP4" s="189"/>
      <c r="AQ4" s="142" t="s">
        <v>7712</v>
      </c>
      <c r="AR4" s="124"/>
      <c r="AS4" s="124"/>
      <c r="AT4" s="126" t="s">
        <v>7706</v>
      </c>
      <c r="AU4" s="190"/>
      <c r="AV4" s="142" t="s">
        <v>7713</v>
      </c>
      <c r="AW4" s="28"/>
      <c r="AX4" s="28"/>
      <c r="AY4" s="124"/>
      <c r="AZ4" s="124"/>
      <c r="BA4" s="124"/>
      <c r="BB4" s="124"/>
      <c r="BC4" s="124"/>
    </row>
    <row r="5">
      <c r="A5" s="126" t="s">
        <v>7714</v>
      </c>
      <c r="B5" s="189"/>
      <c r="C5" s="167" t="s">
        <v>7715</v>
      </c>
      <c r="D5" s="167" t="s">
        <v>7716</v>
      </c>
      <c r="E5" s="124"/>
      <c r="F5" s="126" t="s">
        <v>7717</v>
      </c>
      <c r="G5" s="189"/>
      <c r="H5" s="167" t="s">
        <v>7718</v>
      </c>
      <c r="I5" s="167" t="s">
        <v>7719</v>
      </c>
      <c r="J5" s="124"/>
      <c r="K5" s="113" t="s">
        <v>7720</v>
      </c>
      <c r="L5" s="189"/>
      <c r="M5" s="136" t="s">
        <v>7721</v>
      </c>
      <c r="N5" s="136" t="s">
        <v>7722</v>
      </c>
      <c r="O5" s="142"/>
      <c r="P5" s="116" t="str">
        <f>IFERROR(__xludf.DUMMYFUNCTION("GOOGLETRANSLATE(A5,""zh-tw"",""zh"")"),"咖喱饭")</f>
        <v>咖喱饭</v>
      </c>
      <c r="Q5" s="362"/>
      <c r="R5" s="167" t="str">
        <f>IFERROR(__xludf.DUMMYFUNCTION("GOOGLETRANSLATE(C5,""zh-tw"",""zh"")"),"白米饭")</f>
        <v>白米饭</v>
      </c>
      <c r="S5" s="167" t="str">
        <f>IFERROR(__xludf.DUMMYFUNCTION("GOOGLETRANSLATE(D5,""zh-tw"",""zh"")"),"咖喱块")</f>
        <v>咖喱块</v>
      </c>
      <c r="T5" s="167"/>
      <c r="U5" s="126" t="str">
        <f>IFERROR(__xludf.DUMMYFUNCTION("GOOGLETRANSLATE(A5,""zh-tw"",""es-MX"")"),"Arroz al curry")</f>
        <v>Arroz al curry</v>
      </c>
      <c r="V5" s="371"/>
      <c r="W5" s="167" t="str">
        <f>IFERROR(__xludf.DUMMYFUNCTION("GOOGLETRANSLATE(C5,""zh-tw"",""es-MX"")"),"arroz blanco")</f>
        <v>arroz blanco</v>
      </c>
      <c r="X5" s="167" t="str">
        <f>IFERROR(__xludf.DUMMYFUNCTION("GOOGLETRANSLATE(D5,""zh-tw"",""es-MX"")"),"cubos de curry")</f>
        <v>cubos de curry</v>
      </c>
      <c r="Y5" s="167"/>
      <c r="Z5" s="374" t="str">
        <f>IFERROR(__xludf.DUMMYFUNCTION("GOOGLETRANSLATE(A5,""zh-tw"",""KO"")"),"카레라이스")</f>
        <v>카레라이스</v>
      </c>
      <c r="AA5" s="372"/>
      <c r="AB5" s="142" t="str">
        <f>IFERROR(__xludf.DUMMYFUNCTION("GOOGLETRANSLATE(C5,""zh-tw"",""KO"")"),"흰쌀")</f>
        <v>흰쌀</v>
      </c>
      <c r="AC5" s="136" t="s">
        <v>7723</v>
      </c>
      <c r="AD5" s="142"/>
      <c r="AE5" s="126" t="str">
        <f>IFERROR(__xludf.DUMMYFUNCTION("GOOGLETRANSLATE(A5,""zh-tw"",""ru"")"),"Карри с рисом")</f>
        <v>Карри с рисом</v>
      </c>
      <c r="AF5" s="371"/>
      <c r="AG5" s="167" t="str">
        <f>IFERROR(__xludf.DUMMYFUNCTION("GOOGLETRANSLATE(C5,""zh-tw"",""ru"")"),"Белый рис")</f>
        <v>Белый рис</v>
      </c>
      <c r="AH5" s="167" t="str">
        <f>IFERROR(__xludf.DUMMYFUNCTION("GOOGLETRANSLATE(D5,""zh-tw"",""ru"")"),"кубики карри")</f>
        <v>кубики карри</v>
      </c>
      <c r="AI5" s="167"/>
      <c r="AJ5" s="375" t="s">
        <v>7724</v>
      </c>
      <c r="AK5" s="372"/>
      <c r="AL5" s="136" t="s">
        <v>7725</v>
      </c>
      <c r="AM5" s="136" t="s">
        <v>7726</v>
      </c>
      <c r="AN5" s="142"/>
      <c r="AO5" s="138" t="s">
        <v>7727</v>
      </c>
      <c r="AP5" s="189"/>
      <c r="AQ5" s="142" t="s">
        <v>7728</v>
      </c>
      <c r="AR5" s="142" t="s">
        <v>7729</v>
      </c>
      <c r="AS5" s="124"/>
      <c r="AT5" s="126" t="s">
        <v>7730</v>
      </c>
      <c r="AU5" s="190"/>
      <c r="AV5" s="142" t="s">
        <v>7731</v>
      </c>
      <c r="AW5" s="136" t="s">
        <v>7732</v>
      </c>
      <c r="AX5" s="28"/>
      <c r="AY5" s="124"/>
      <c r="AZ5" s="124"/>
      <c r="BA5" s="124"/>
      <c r="BB5" s="124"/>
      <c r="BC5" s="124"/>
    </row>
    <row r="6">
      <c r="A6" s="126" t="s">
        <v>7733</v>
      </c>
      <c r="B6" s="189"/>
      <c r="C6" s="167" t="s">
        <v>5462</v>
      </c>
      <c r="D6" s="167" t="s">
        <v>7734</v>
      </c>
      <c r="E6" s="124"/>
      <c r="F6" s="126" t="s">
        <v>7735</v>
      </c>
      <c r="G6" s="189"/>
      <c r="H6" s="167" t="s">
        <v>5463</v>
      </c>
      <c r="I6" s="167" t="s">
        <v>7736</v>
      </c>
      <c r="J6" s="124"/>
      <c r="K6" s="116" t="s">
        <v>7737</v>
      </c>
      <c r="L6" s="189"/>
      <c r="M6" s="136" t="s">
        <v>5464</v>
      </c>
      <c r="N6" s="136" t="s">
        <v>7738</v>
      </c>
      <c r="O6" s="142"/>
      <c r="P6" s="116" t="str">
        <f>IFERROR(__xludf.DUMMYFUNCTION("GOOGLETRANSLATE(A6,""zh-tw"",""zh"")"),"苹果派")</f>
        <v>苹果派</v>
      </c>
      <c r="Q6" s="362"/>
      <c r="R6" s="167" t="str">
        <f>IFERROR(__xludf.DUMMYFUNCTION("GOOGLETRANSLATE(C6,""zh-tw"",""zh"")"),"苹果")</f>
        <v>苹果</v>
      </c>
      <c r="S6" s="167" t="str">
        <f>IFERROR(__xludf.DUMMYFUNCTION("GOOGLETRANSLATE(D6,""zh-tw"",""zh"")"),"小麦粉")</f>
        <v>小麦粉</v>
      </c>
      <c r="T6" s="167"/>
      <c r="U6" s="126" t="str">
        <f>IFERROR(__xludf.DUMMYFUNCTION("GOOGLETRANSLATE(A6,""zh-tw"",""es-MX"")"),"Tarta de manzana")</f>
        <v>Tarta de manzana</v>
      </c>
      <c r="V6" s="371"/>
      <c r="W6" s="167" t="str">
        <f>IFERROR(__xludf.DUMMYFUNCTION("GOOGLETRANSLATE(C6,""zh-tw"",""es-MX"")"),"manzana")</f>
        <v>manzana</v>
      </c>
      <c r="X6" s="167" t="str">
        <f>IFERROR(__xludf.DUMMYFUNCTION("GOOGLETRANSLATE(D6,""zh-tw"",""es-MX"")"),"harina de trigo")</f>
        <v>harina de trigo</v>
      </c>
      <c r="Y6" s="167"/>
      <c r="Z6" s="374" t="str">
        <f>IFERROR(__xludf.DUMMYFUNCTION("GOOGLETRANSLATE(A6,""zh-tw"",""KO"")"),"애플파이")</f>
        <v>애플파이</v>
      </c>
      <c r="AA6" s="372"/>
      <c r="AB6" s="142" t="str">
        <f>IFERROR(__xludf.DUMMYFUNCTION("GOOGLETRANSLATE(C6,""zh-tw"",""KO"")"),"사과")</f>
        <v>사과</v>
      </c>
      <c r="AC6" s="142" t="str">
        <f>IFERROR(__xludf.DUMMYFUNCTION("GOOGLETRANSLATE(D6,""zh-tw"",""KO"")"),"밀가루")</f>
        <v>밀가루</v>
      </c>
      <c r="AD6" s="142"/>
      <c r="AE6" s="126" t="str">
        <f>IFERROR(__xludf.DUMMYFUNCTION("GOOGLETRANSLATE(A6,""zh-tw"",""ru"")"),"Яблочный пирог")</f>
        <v>Яблочный пирог</v>
      </c>
      <c r="AF6" s="371"/>
      <c r="AG6" s="167" t="str">
        <f>IFERROR(__xludf.DUMMYFUNCTION("GOOGLETRANSLATE(C6,""zh-tw"",""ru"")"),"яблоко")</f>
        <v>яблоко</v>
      </c>
      <c r="AH6" s="167" t="str">
        <f>IFERROR(__xludf.DUMMYFUNCTION("GOOGLETRANSLATE(D6,""zh-tw"",""ru"")"),"пшеничная мука")</f>
        <v>пшеничная мука</v>
      </c>
      <c r="AI6" s="167"/>
      <c r="AJ6" s="375" t="s">
        <v>7739</v>
      </c>
      <c r="AK6" s="372"/>
      <c r="AL6" s="136" t="s">
        <v>5465</v>
      </c>
      <c r="AM6" s="136" t="s">
        <v>7740</v>
      </c>
      <c r="AN6" s="142"/>
      <c r="AO6" s="138" t="s">
        <v>7741</v>
      </c>
      <c r="AP6" s="189"/>
      <c r="AQ6" s="142" t="s">
        <v>5466</v>
      </c>
      <c r="AR6" s="142" t="s">
        <v>7742</v>
      </c>
      <c r="AS6" s="124"/>
      <c r="AT6" s="126" t="s">
        <v>7743</v>
      </c>
      <c r="AU6" s="190"/>
      <c r="AV6" s="142" t="s">
        <v>5467</v>
      </c>
      <c r="AW6" s="142" t="s">
        <v>7744</v>
      </c>
      <c r="AX6" s="28"/>
      <c r="AY6" s="124"/>
      <c r="AZ6" s="124"/>
      <c r="BA6" s="124"/>
      <c r="BB6" s="124"/>
      <c r="BC6" s="124"/>
    </row>
    <row r="7">
      <c r="A7" s="126" t="s">
        <v>7745</v>
      </c>
      <c r="B7" s="189"/>
      <c r="C7" s="167" t="s">
        <v>5462</v>
      </c>
      <c r="D7" s="124"/>
      <c r="E7" s="124"/>
      <c r="F7" s="126" t="s">
        <v>7746</v>
      </c>
      <c r="G7" s="189"/>
      <c r="H7" s="167" t="s">
        <v>5463</v>
      </c>
      <c r="I7" s="124"/>
      <c r="J7" s="124"/>
      <c r="K7" s="116" t="s">
        <v>7747</v>
      </c>
      <c r="L7" s="189"/>
      <c r="M7" s="136" t="s">
        <v>5464</v>
      </c>
      <c r="N7" s="142"/>
      <c r="O7" s="142"/>
      <c r="P7" s="116" t="str">
        <f>IFERROR(__xludf.DUMMYFUNCTION("GOOGLETRANSLATE(A7,""zh-tw"",""zh"")"),"烤苹果")</f>
        <v>烤苹果</v>
      </c>
      <c r="Q7" s="362"/>
      <c r="R7" s="167" t="str">
        <f>IFERROR(__xludf.DUMMYFUNCTION("GOOGLETRANSLATE(C7,""zh-tw"",""zh"")"),"苹果")</f>
        <v>苹果</v>
      </c>
      <c r="S7" s="167"/>
      <c r="T7" s="167"/>
      <c r="U7" s="126" t="str">
        <f>IFERROR(__xludf.DUMMYFUNCTION("GOOGLETRANSLATE(A7,""zh-tw"",""es-MX"")"),"Manzanas al horno")</f>
        <v>Manzanas al horno</v>
      </c>
      <c r="V7" s="371"/>
      <c r="W7" s="167" t="str">
        <f>IFERROR(__xludf.DUMMYFUNCTION("GOOGLETRANSLATE(C7,""zh-tw"",""es-MX"")"),"manzana")</f>
        <v>manzana</v>
      </c>
      <c r="X7" s="167"/>
      <c r="Y7" s="167"/>
      <c r="Z7" s="374" t="str">
        <f>IFERROR(__xludf.DUMMYFUNCTION("GOOGLETRANSLATE(A7,""zh-tw"",""KO"")"),"구운 사과")</f>
        <v>구운 사과</v>
      </c>
      <c r="AA7" s="372"/>
      <c r="AB7" s="142" t="str">
        <f>IFERROR(__xludf.DUMMYFUNCTION("GOOGLETRANSLATE(C7,""zh-tw"",""KO"")"),"사과")</f>
        <v>사과</v>
      </c>
      <c r="AC7" s="142"/>
      <c r="AD7" s="142"/>
      <c r="AE7" s="126" t="str">
        <f>IFERROR(__xludf.DUMMYFUNCTION("GOOGLETRANSLATE(A7,""zh-tw"",""ru"")"),"Печеные яблоки")</f>
        <v>Печеные яблоки</v>
      </c>
      <c r="AF7" s="371"/>
      <c r="AG7" s="167" t="str">
        <f>IFERROR(__xludf.DUMMYFUNCTION("GOOGLETRANSLATE(C7,""zh-tw"",""ru"")"),"яблоко")</f>
        <v>яблоко</v>
      </c>
      <c r="AH7" s="167"/>
      <c r="AI7" s="167"/>
      <c r="AJ7" s="375" t="s">
        <v>7748</v>
      </c>
      <c r="AK7" s="372"/>
      <c r="AL7" s="136" t="s">
        <v>5465</v>
      </c>
      <c r="AM7" s="142"/>
      <c r="AN7" s="142"/>
      <c r="AO7" s="138" t="s">
        <v>7749</v>
      </c>
      <c r="AP7" s="189"/>
      <c r="AQ7" s="142" t="s">
        <v>5466</v>
      </c>
      <c r="AR7" s="124"/>
      <c r="AS7" s="124"/>
      <c r="AT7" s="126" t="s">
        <v>7750</v>
      </c>
      <c r="AU7" s="190"/>
      <c r="AV7" s="142" t="s">
        <v>5467</v>
      </c>
      <c r="AW7" s="28"/>
      <c r="AX7" s="28"/>
      <c r="AY7" s="124"/>
      <c r="AZ7" s="124"/>
      <c r="BA7" s="124"/>
      <c r="BB7" s="124"/>
      <c r="BC7" s="124"/>
    </row>
    <row r="8">
      <c r="A8" s="126" t="s">
        <v>7751</v>
      </c>
      <c r="B8" s="189"/>
      <c r="C8" s="167" t="s">
        <v>7752</v>
      </c>
      <c r="F8" s="126" t="s">
        <v>7753</v>
      </c>
      <c r="G8" s="189"/>
      <c r="H8" s="167" t="s">
        <v>665</v>
      </c>
      <c r="I8" s="124"/>
      <c r="J8" s="124"/>
      <c r="K8" s="116" t="s">
        <v>7754</v>
      </c>
      <c r="L8" s="189"/>
      <c r="M8" s="136" t="s">
        <v>7755</v>
      </c>
      <c r="N8" s="142"/>
      <c r="O8" s="142"/>
      <c r="P8" s="116" t="str">
        <f>IFERROR(__xludf.DUMMYFUNCTION("GOOGLETRANSLATE(A8,""zh-tw"",""zh"")"),"炒贝类")</f>
        <v>炒贝类</v>
      </c>
      <c r="Q8" s="362"/>
      <c r="R8" s="167" t="str">
        <f>IFERROR(__xludf.DUMMYFUNCTION("GOOGLETRANSLATE(C8,""zh-tw"",""zh"")"),"未实装(之后河边炸鱼可以炸出贝壳)")</f>
        <v>未实装(之后河边炸鱼可以炸出贝壳)</v>
      </c>
      <c r="U8" s="126" t="str">
        <f>IFERROR(__xludf.DUMMYFUNCTION("GOOGLETRANSLATE(A8,""zh-tw"",""es-MX"")"),"mariscos salteados")</f>
        <v>mariscos salteados</v>
      </c>
      <c r="V8" s="371"/>
      <c r="W8" s="167" t="str">
        <f>IFERROR(__xludf.DUMMYFUNCTION("GOOGLETRANSLATE(C8,""zh-tw"",""es-MX"")"),"Aún no implementado (más adelante, podrás pescar en el río y obtener conchas).")</f>
        <v>Aún no implementado (más adelante, podrás pescar en el río y obtener conchas).</v>
      </c>
      <c r="Z8" s="375" t="s">
        <v>7756</v>
      </c>
      <c r="AA8" s="372"/>
      <c r="AB8" s="136" t="s">
        <v>674</v>
      </c>
      <c r="AE8" s="126" t="str">
        <f>IFERROR(__xludf.DUMMYFUNCTION("GOOGLETRANSLATE(A8,""zh-tw"",""ru"")"),"Жареные моллюски")</f>
        <v>Жареные моллюски</v>
      </c>
      <c r="AF8" s="371"/>
      <c r="AG8" s="167" t="str">
        <f>IFERROR(__xludf.DUMMYFUNCTION("GOOGLETRANSLATE(C8,""zh-tw"",""ru"")"),"Пока не реализовано (позже вы сможете взрывать рыбу в реке и получать ракушки).")</f>
        <v>Пока не реализовано (позже вы сможете взрывать рыбу в реке и получать ракушки).</v>
      </c>
      <c r="AJ8" s="375" t="s">
        <v>7757</v>
      </c>
      <c r="AK8" s="372"/>
      <c r="AL8" s="136" t="s">
        <v>7758</v>
      </c>
      <c r="AO8" s="138" t="s">
        <v>7759</v>
      </c>
      <c r="AP8" s="189"/>
      <c r="AQ8" s="142" t="s">
        <v>7760</v>
      </c>
      <c r="AR8" s="124"/>
      <c r="AS8" s="124"/>
      <c r="AT8" s="126" t="s">
        <v>7761</v>
      </c>
      <c r="AU8" s="190"/>
      <c r="AV8" s="142" t="s">
        <v>2235</v>
      </c>
      <c r="AW8" s="28"/>
      <c r="AX8" s="28"/>
      <c r="AY8" s="124"/>
      <c r="AZ8" s="124"/>
      <c r="BA8" s="124"/>
      <c r="BB8" s="124"/>
      <c r="BC8" s="124"/>
    </row>
    <row r="9">
      <c r="A9" s="126" t="s">
        <v>7762</v>
      </c>
      <c r="B9" s="189"/>
      <c r="C9" s="167" t="s">
        <v>7763</v>
      </c>
      <c r="D9" s="124"/>
      <c r="E9" s="124"/>
      <c r="F9" s="126" t="s">
        <v>7764</v>
      </c>
      <c r="G9" s="189"/>
      <c r="H9" s="167" t="s">
        <v>7763</v>
      </c>
      <c r="I9" s="124"/>
      <c r="J9" s="124"/>
      <c r="K9" s="116" t="s">
        <v>7765</v>
      </c>
      <c r="L9" s="189"/>
      <c r="M9" s="136" t="s">
        <v>7766</v>
      </c>
      <c r="N9" s="142"/>
      <c r="O9" s="142"/>
      <c r="P9" s="116" t="str">
        <f>IFERROR(__xludf.DUMMYFUNCTION("GOOGLETRANSLATE(A9,""zh-tw"",""zh"")"),"煎鱼")</f>
        <v>煎鱼</v>
      </c>
      <c r="Q9" s="362"/>
      <c r="R9" s="167" t="str">
        <f>IFERROR(__xludf.DUMMYFUNCTION("GOOGLETRANSLATE(C9,""zh-tw"",""zh"")"),"鱼类")</f>
        <v>鱼类</v>
      </c>
      <c r="S9" s="167"/>
      <c r="T9" s="167"/>
      <c r="U9" s="126" t="str">
        <f>IFERROR(__xludf.DUMMYFUNCTION("GOOGLETRANSLATE(A9,""zh-tw"",""es-MX"")"),"Pescado frito")</f>
        <v>Pescado frito</v>
      </c>
      <c r="V9" s="371"/>
      <c r="W9" s="167" t="str">
        <f>IFERROR(__xludf.DUMMYFUNCTION("GOOGLETRANSLATE(C9,""zh-tw"",""es-MX"")"),"pez")</f>
        <v>pez</v>
      </c>
      <c r="X9" s="167"/>
      <c r="Y9" s="167"/>
      <c r="Z9" s="375" t="s">
        <v>7767</v>
      </c>
      <c r="AA9" s="372"/>
      <c r="AB9" s="142" t="str">
        <f>IFERROR(__xludf.DUMMYFUNCTION("GOOGLETRANSLATE(C9,""zh-tw"",""KO"")"),"물고기")</f>
        <v>물고기</v>
      </c>
      <c r="AC9" s="142"/>
      <c r="AD9" s="142"/>
      <c r="AE9" s="126" t="str">
        <f>IFERROR(__xludf.DUMMYFUNCTION("GOOGLETRANSLATE(A9,""zh-tw"",""ru"")"),"Жареная рыба")</f>
        <v>Жареная рыба</v>
      </c>
      <c r="AF9" s="371"/>
      <c r="AG9" s="167" t="str">
        <f>IFERROR(__xludf.DUMMYFUNCTION("GOOGLETRANSLATE(C9,""zh-tw"",""ru"")"),"рыба")</f>
        <v>рыба</v>
      </c>
      <c r="AH9" s="167"/>
      <c r="AI9" s="167"/>
      <c r="AJ9" s="375" t="s">
        <v>7768</v>
      </c>
      <c r="AK9" s="372"/>
      <c r="AL9" s="136" t="s">
        <v>7769</v>
      </c>
      <c r="AM9" s="142"/>
      <c r="AN9" s="142"/>
      <c r="AO9" s="138" t="s">
        <v>7770</v>
      </c>
      <c r="AP9" s="189"/>
      <c r="AQ9" s="142" t="s">
        <v>7771</v>
      </c>
      <c r="AR9" s="124"/>
      <c r="AS9" s="124"/>
      <c r="AT9" s="126" t="s">
        <v>7772</v>
      </c>
      <c r="AU9" s="190"/>
      <c r="AV9" s="142" t="s">
        <v>7773</v>
      </c>
      <c r="AW9" s="28"/>
      <c r="AX9" s="28"/>
      <c r="AY9" s="124"/>
      <c r="AZ9" s="124"/>
      <c r="BA9" s="124"/>
      <c r="BB9" s="124"/>
      <c r="BC9" s="124"/>
    </row>
    <row r="10">
      <c r="A10" s="126" t="s">
        <v>7774</v>
      </c>
      <c r="B10" s="189"/>
      <c r="C10" s="167" t="s">
        <v>7775</v>
      </c>
      <c r="D10" s="167" t="s">
        <v>7775</v>
      </c>
      <c r="E10" s="167" t="s">
        <v>7775</v>
      </c>
      <c r="F10" s="126" t="s">
        <v>7776</v>
      </c>
      <c r="G10" s="189"/>
      <c r="H10" s="167" t="s">
        <v>7777</v>
      </c>
      <c r="I10" s="167" t="s">
        <v>7777</v>
      </c>
      <c r="J10" s="167" t="s">
        <v>7777</v>
      </c>
      <c r="K10" s="116" t="s">
        <v>7778</v>
      </c>
      <c r="L10" s="189"/>
      <c r="M10" s="136" t="s">
        <v>7779</v>
      </c>
      <c r="N10" s="136" t="s">
        <v>7779</v>
      </c>
      <c r="O10" s="136" t="s">
        <v>7779</v>
      </c>
      <c r="P10" s="116" t="str">
        <f>IFERROR(__xludf.DUMMYFUNCTION("GOOGLETRANSLATE(A10,""zh-tw"",""zh"")"),"炒蘑菇")</f>
        <v>炒蘑菇</v>
      </c>
      <c r="Q10" s="362"/>
      <c r="R10" s="167" t="str">
        <f>IFERROR(__xludf.DUMMYFUNCTION("GOOGLETRANSLATE(C10,""zh-tw"",""zh"")"),"香菇")</f>
        <v>香菇</v>
      </c>
      <c r="S10" s="167" t="str">
        <f>IFERROR(__xludf.DUMMYFUNCTION("GOOGLETRANSLATE(D10,""zh-tw"",""zh"")"),"香菇")</f>
        <v>香菇</v>
      </c>
      <c r="T10" s="167" t="str">
        <f>IFERROR(__xludf.DUMMYFUNCTION("GOOGLETRANSLATE(E10,""zh-tw"",""zh"")"),"香菇")</f>
        <v>香菇</v>
      </c>
      <c r="U10" s="126" t="str">
        <f>IFERROR(__xludf.DUMMYFUNCTION("GOOGLETRANSLATE(A10,""zh-tw"",""es-MX"")"),"Champiñones salteados")</f>
        <v>Champiñones salteados</v>
      </c>
      <c r="V10" s="371"/>
      <c r="W10" s="167" t="str">
        <f>IFERROR(__xludf.DUMMYFUNCTION("GOOGLETRANSLATE(C10,""zh-tw"",""es-MX"")"),"champiñón")</f>
        <v>champiñón</v>
      </c>
      <c r="X10" s="167" t="str">
        <f>IFERROR(__xludf.DUMMYFUNCTION("GOOGLETRANSLATE(D10,""zh-tw"",""es-MX"")"),"champiñón")</f>
        <v>champiñón</v>
      </c>
      <c r="Y10" s="167" t="str">
        <f>IFERROR(__xludf.DUMMYFUNCTION("GOOGLETRANSLATE(E10,""zh-tw"",""es-MX"")"),"champiñón")</f>
        <v>champiñón</v>
      </c>
      <c r="Z10" s="375" t="s">
        <v>7780</v>
      </c>
      <c r="AA10" s="372"/>
      <c r="AB10" s="142" t="str">
        <f>IFERROR(__xludf.DUMMYFUNCTION("GOOGLETRANSLATE(C10,""zh-tw"",""KO"")"),"버섯")</f>
        <v>버섯</v>
      </c>
      <c r="AC10" s="142" t="str">
        <f>IFERROR(__xludf.DUMMYFUNCTION("GOOGLETRANSLATE(D10,""zh-tw"",""KO"")"),"버섯")</f>
        <v>버섯</v>
      </c>
      <c r="AD10" s="142" t="str">
        <f>IFERROR(__xludf.DUMMYFUNCTION("GOOGLETRANSLATE(E10,""zh-tw"",""KO"")"),"버섯")</f>
        <v>버섯</v>
      </c>
      <c r="AE10" s="126" t="str">
        <f>IFERROR(__xludf.DUMMYFUNCTION("GOOGLETRANSLATE(A10,""zh-tw"",""ru"")"),"Жареные грибы")</f>
        <v>Жареные грибы</v>
      </c>
      <c r="AF10" s="371"/>
      <c r="AG10" s="167" t="str">
        <f>IFERROR(__xludf.DUMMYFUNCTION("GOOGLETRANSLATE(C10,""zh-tw"",""ru"")"),"гриб")</f>
        <v>гриб</v>
      </c>
      <c r="AH10" s="167" t="str">
        <f>IFERROR(__xludf.DUMMYFUNCTION("GOOGLETRANSLATE(D10,""zh-tw"",""ru"")"),"гриб")</f>
        <v>гриб</v>
      </c>
      <c r="AI10" s="167" t="str">
        <f>IFERROR(__xludf.DUMMYFUNCTION("GOOGLETRANSLATE(E10,""zh-tw"",""ru"")"),"гриб")</f>
        <v>гриб</v>
      </c>
      <c r="AJ10" s="375" t="s">
        <v>7781</v>
      </c>
      <c r="AK10" s="372"/>
      <c r="AL10" s="136" t="s">
        <v>7782</v>
      </c>
      <c r="AM10" s="136" t="s">
        <v>7782</v>
      </c>
      <c r="AN10" s="136" t="s">
        <v>7782</v>
      </c>
      <c r="AO10" s="138" t="s">
        <v>7783</v>
      </c>
      <c r="AP10" s="189"/>
      <c r="AQ10" s="142" t="s">
        <v>7784</v>
      </c>
      <c r="AR10" s="142" t="s">
        <v>7784</v>
      </c>
      <c r="AS10" s="142" t="s">
        <v>7784</v>
      </c>
      <c r="AT10" s="126" t="s">
        <v>7785</v>
      </c>
      <c r="AU10" s="190"/>
      <c r="AV10" s="142" t="s">
        <v>7786</v>
      </c>
      <c r="AW10" s="142" t="s">
        <v>7786</v>
      </c>
      <c r="AX10" s="142" t="s">
        <v>7786</v>
      </c>
      <c r="AY10" s="142"/>
      <c r="AZ10" s="142"/>
      <c r="BA10" s="142"/>
      <c r="BB10" s="142"/>
      <c r="BC10" s="142"/>
    </row>
    <row r="11">
      <c r="A11" s="133" t="s">
        <v>7787</v>
      </c>
      <c r="B11" s="189"/>
      <c r="C11" s="167" t="s">
        <v>7788</v>
      </c>
      <c r="D11" s="167" t="s">
        <v>5485</v>
      </c>
      <c r="E11" s="124"/>
      <c r="F11" s="126" t="s">
        <v>7789</v>
      </c>
      <c r="G11" s="189"/>
      <c r="H11" s="167" t="s">
        <v>7790</v>
      </c>
      <c r="I11" s="167" t="s">
        <v>7791</v>
      </c>
      <c r="J11" s="124"/>
      <c r="K11" s="116" t="s">
        <v>7792</v>
      </c>
      <c r="L11" s="189"/>
      <c r="M11" s="136" t="s">
        <v>7793</v>
      </c>
      <c r="N11" s="136" t="s">
        <v>5487</v>
      </c>
      <c r="O11" s="142"/>
      <c r="P11" s="116" t="str">
        <f>IFERROR(__xludf.DUMMYFUNCTION("GOOGLETRANSLATE(A11,""zh-tw"",""zh"")"),"烤串")</f>
        <v>烤串</v>
      </c>
      <c r="Q11" s="362"/>
      <c r="R11" s="167" t="str">
        <f>IFERROR(__xludf.DUMMYFUNCTION("GOOGLETRANSLATE(C11,""zh-tw"",""zh"")"),"大块兽肉")</f>
        <v>大块兽肉</v>
      </c>
      <c r="S11" s="167" t="str">
        <f>IFERROR(__xludf.DUMMYFUNCTION("GOOGLETRANSLATE(D11,""zh-tw"",""zh"")"),"土豆")</f>
        <v>土豆</v>
      </c>
      <c r="T11" s="167"/>
      <c r="U11" s="126" t="str">
        <f>IFERROR(__xludf.DUMMYFUNCTION("GOOGLETRANSLATE(A11,""zh-tw"",""es-MX"")"),"Brochetas a la parrilla")</f>
        <v>Brochetas a la parrilla</v>
      </c>
      <c r="V11" s="371"/>
      <c r="W11" s="167" t="str">
        <f>IFERROR(__xludf.DUMMYFUNCTION("GOOGLETRANSLATE(C11,""zh-tw"",""es-MX"")"),"Grandes trozos de carne")</f>
        <v>Grandes trozos de carne</v>
      </c>
      <c r="X11" s="167" t="str">
        <f>IFERROR(__xludf.DUMMYFUNCTION("GOOGLETRANSLATE(D11,""zh-tw"",""es-MX"")"),"Papa")</f>
        <v>Papa</v>
      </c>
      <c r="Y11" s="167"/>
      <c r="Z11" s="375" t="s">
        <v>7794</v>
      </c>
      <c r="AA11" s="372"/>
      <c r="AB11" s="136" t="s">
        <v>7795</v>
      </c>
      <c r="AC11" s="142" t="str">
        <f>IFERROR(__xludf.DUMMYFUNCTION("GOOGLETRANSLATE(D11,""zh-tw"",""KO"")"),"감자")</f>
        <v>감자</v>
      </c>
      <c r="AD11" s="142"/>
      <c r="AE11" s="126" t="str">
        <f>IFERROR(__xludf.DUMMYFUNCTION("GOOGLETRANSLATE(A11,""zh-tw"",""ru"")"),"Жареные на гриле шашлычки")</f>
        <v>Жареные на гриле шашлычки</v>
      </c>
      <c r="AF11" s="371"/>
      <c r="AG11" s="167" t="str">
        <f>IFERROR(__xludf.DUMMYFUNCTION("GOOGLETRANSLATE(C11,""zh-tw"",""ru"")"),"Большие куски мяса")</f>
        <v>Большие куски мяса</v>
      </c>
      <c r="AH11" s="167" t="str">
        <f>IFERROR(__xludf.DUMMYFUNCTION("GOOGLETRANSLATE(D11,""zh-tw"",""ru"")"),"Картофель")</f>
        <v>Картофель</v>
      </c>
      <c r="AI11" s="167"/>
      <c r="AJ11" s="375" t="s">
        <v>7796</v>
      </c>
      <c r="AK11" s="372"/>
      <c r="AL11" s="136" t="s">
        <v>7797</v>
      </c>
      <c r="AM11" s="136" t="s">
        <v>5490</v>
      </c>
      <c r="AN11" s="142"/>
      <c r="AO11" s="106" t="s">
        <v>7792</v>
      </c>
      <c r="AP11" s="189"/>
      <c r="AQ11" s="142" t="s">
        <v>7798</v>
      </c>
      <c r="AR11" s="142" t="s">
        <v>5492</v>
      </c>
      <c r="AS11" s="124"/>
      <c r="AT11" s="126" t="s">
        <v>7792</v>
      </c>
      <c r="AU11" s="190"/>
      <c r="AV11" s="142" t="s">
        <v>7799</v>
      </c>
      <c r="AW11" s="142" t="s">
        <v>5494</v>
      </c>
      <c r="AX11" s="28"/>
      <c r="AY11" s="124"/>
      <c r="AZ11" s="124"/>
      <c r="BA11" s="124"/>
      <c r="BB11" s="124"/>
      <c r="BC11" s="124"/>
    </row>
    <row r="12">
      <c r="A12" s="126" t="s">
        <v>7800</v>
      </c>
      <c r="B12" s="189"/>
      <c r="C12" s="167" t="s">
        <v>7715</v>
      </c>
      <c r="D12" s="124"/>
      <c r="E12" s="124"/>
      <c r="F12" s="126" t="s">
        <v>7801</v>
      </c>
      <c r="G12" s="189"/>
      <c r="H12" s="167" t="s">
        <v>7718</v>
      </c>
      <c r="I12" s="124"/>
      <c r="J12" s="124"/>
      <c r="K12" s="116" t="s">
        <v>7802</v>
      </c>
      <c r="L12" s="189"/>
      <c r="M12" s="136" t="s">
        <v>7721</v>
      </c>
      <c r="N12" s="142"/>
      <c r="O12" s="142"/>
      <c r="P12" s="116" t="str">
        <f>IFERROR(__xludf.DUMMYFUNCTION("GOOGLETRANSLATE(A12,""zh-tw"",""zh"")"),"饭团")</f>
        <v>饭团</v>
      </c>
      <c r="Q12" s="362"/>
      <c r="R12" s="167" t="str">
        <f>IFERROR(__xludf.DUMMYFUNCTION("GOOGLETRANSLATE(C12,""zh-tw"",""zh"")"),"白米饭")</f>
        <v>白米饭</v>
      </c>
      <c r="S12" s="167"/>
      <c r="T12" s="167"/>
      <c r="U12" s="126" t="str">
        <f>IFERROR(__xludf.DUMMYFUNCTION("GOOGLETRANSLATE(A12,""zh-tw"",""es-MX"")"),"Bola de arroz")</f>
        <v>Bola de arroz</v>
      </c>
      <c r="V12" s="371"/>
      <c r="W12" s="167" t="str">
        <f>IFERROR(__xludf.DUMMYFUNCTION("GOOGLETRANSLATE(C12,""zh-tw"",""es-MX"")"),"arroz blanco")</f>
        <v>arroz blanco</v>
      </c>
      <c r="X12" s="167"/>
      <c r="Y12" s="167"/>
      <c r="Z12" s="374" t="str">
        <f>IFERROR(__xludf.DUMMYFUNCTION("GOOGLETRANSLATE(A12,""zh-tw"",""KO"")"),"주먹밥")</f>
        <v>주먹밥</v>
      </c>
      <c r="AA12" s="372"/>
      <c r="AB12" s="142" t="str">
        <f>IFERROR(__xludf.DUMMYFUNCTION("GOOGLETRANSLATE(C12,""zh-tw"",""KO"")"),"흰쌀")</f>
        <v>흰쌀</v>
      </c>
      <c r="AC12" s="142"/>
      <c r="AD12" s="142"/>
      <c r="AE12" s="126" t="str">
        <f>IFERROR(__xludf.DUMMYFUNCTION("GOOGLETRANSLATE(A12,""zh-tw"",""ru"")"),"Рисовый шарик")</f>
        <v>Рисовый шарик</v>
      </c>
      <c r="AF12" s="371"/>
      <c r="AG12" s="167" t="str">
        <f>IFERROR(__xludf.DUMMYFUNCTION("GOOGLETRANSLATE(C12,""zh-tw"",""ru"")"),"Белый рис")</f>
        <v>Белый рис</v>
      </c>
      <c r="AH12" s="167"/>
      <c r="AI12" s="167"/>
      <c r="AJ12" s="375" t="s">
        <v>7803</v>
      </c>
      <c r="AK12" s="372"/>
      <c r="AL12" s="136" t="s">
        <v>7725</v>
      </c>
      <c r="AM12" s="142"/>
      <c r="AN12" s="142"/>
      <c r="AO12" s="138" t="s">
        <v>7804</v>
      </c>
      <c r="AP12" s="189"/>
      <c r="AQ12" s="142" t="s">
        <v>7728</v>
      </c>
      <c r="AR12" s="124"/>
      <c r="AS12" s="124"/>
      <c r="AT12" s="126" t="s">
        <v>7802</v>
      </c>
      <c r="AU12" s="190"/>
      <c r="AV12" s="142" t="s">
        <v>7731</v>
      </c>
      <c r="AW12" s="28"/>
      <c r="AX12" s="28"/>
      <c r="AY12" s="124"/>
      <c r="AZ12" s="124"/>
      <c r="BA12" s="124"/>
      <c r="BB12" s="124"/>
      <c r="BC12" s="124"/>
    </row>
    <row r="13">
      <c r="A13" s="126" t="s">
        <v>7805</v>
      </c>
      <c r="B13" s="189"/>
      <c r="C13" s="167" t="s">
        <v>7715</v>
      </c>
      <c r="D13" s="167" t="s">
        <v>7716</v>
      </c>
      <c r="E13" s="167" t="s">
        <v>7788</v>
      </c>
      <c r="F13" s="126" t="s">
        <v>7806</v>
      </c>
      <c r="G13" s="189"/>
      <c r="H13" s="167" t="s">
        <v>7718</v>
      </c>
      <c r="I13" s="167" t="s">
        <v>7719</v>
      </c>
      <c r="J13" s="167" t="s">
        <v>7790</v>
      </c>
      <c r="K13" s="113" t="s">
        <v>7807</v>
      </c>
      <c r="L13" s="189"/>
      <c r="M13" s="136" t="s">
        <v>7721</v>
      </c>
      <c r="N13" s="136" t="s">
        <v>7722</v>
      </c>
      <c r="O13" s="136" t="s">
        <v>7793</v>
      </c>
      <c r="P13" s="116" t="str">
        <f>IFERROR(__xludf.DUMMYFUNCTION("GOOGLETRANSLATE(A13,""zh-tw"",""zh"")"),"肉排咖喱饭")</f>
        <v>肉排咖喱饭</v>
      </c>
      <c r="Q13" s="362"/>
      <c r="R13" s="167" t="str">
        <f>IFERROR(__xludf.DUMMYFUNCTION("GOOGLETRANSLATE(C13,""zh-tw"",""zh"")"),"白米饭")</f>
        <v>白米饭</v>
      </c>
      <c r="S13" s="167" t="str">
        <f>IFERROR(__xludf.DUMMYFUNCTION("GOOGLETRANSLATE(D13,""zh-tw"",""zh"")"),"咖喱块")</f>
        <v>咖喱块</v>
      </c>
      <c r="T13" s="167" t="str">
        <f>IFERROR(__xludf.DUMMYFUNCTION("GOOGLETRANSLATE(E13,""zh-tw"",""zh"")"),"大块兽肉")</f>
        <v>大块兽肉</v>
      </c>
      <c r="U13" s="126" t="str">
        <f>IFERROR(__xludf.DUMMYFUNCTION("GOOGLETRANSLATE(A13,""zh-tw"",""es-MX"")"),"Arroz al curry con chuletas de cerdo")</f>
        <v>Arroz al curry con chuletas de cerdo</v>
      </c>
      <c r="V13" s="371"/>
      <c r="W13" s="167" t="str">
        <f>IFERROR(__xludf.DUMMYFUNCTION("GOOGLETRANSLATE(C13,""zh-tw"",""es-MX"")"),"arroz blanco")</f>
        <v>arroz blanco</v>
      </c>
      <c r="X13" s="167" t="str">
        <f>IFERROR(__xludf.DUMMYFUNCTION("GOOGLETRANSLATE(D13,""zh-tw"",""es-MX"")"),"cubos de curry")</f>
        <v>cubos de curry</v>
      </c>
      <c r="Y13" s="167" t="str">
        <f>IFERROR(__xludf.DUMMYFUNCTION("GOOGLETRANSLATE(E13,""zh-tw"",""es-MX"")"),"Grandes trozos de carne")</f>
        <v>Grandes trozos de carne</v>
      </c>
      <c r="Z13" s="375" t="s">
        <v>7808</v>
      </c>
      <c r="AA13" s="372"/>
      <c r="AB13" s="142" t="str">
        <f>IFERROR(__xludf.DUMMYFUNCTION("GOOGLETRANSLATE(C13,""zh-tw"",""KO"")"),"흰쌀")</f>
        <v>흰쌀</v>
      </c>
      <c r="AC13" s="136" t="s">
        <v>7723</v>
      </c>
      <c r="AD13" s="136" t="s">
        <v>7795</v>
      </c>
      <c r="AE13" s="126" t="str">
        <f>IFERROR(__xludf.DUMMYFUNCTION("GOOGLETRANSLATE(A13,""zh-tw"",""ru"")"),"Свиная отбивная с карри и рисом")</f>
        <v>Свиная отбивная с карри и рисом</v>
      </c>
      <c r="AF13" s="371"/>
      <c r="AG13" s="167" t="str">
        <f>IFERROR(__xludf.DUMMYFUNCTION("GOOGLETRANSLATE(C13,""zh-tw"",""ru"")"),"Белый рис")</f>
        <v>Белый рис</v>
      </c>
      <c r="AH13" s="167" t="str">
        <f>IFERROR(__xludf.DUMMYFUNCTION("GOOGLETRANSLATE(D13,""zh-tw"",""ru"")"),"кубики карри")</f>
        <v>кубики карри</v>
      </c>
      <c r="AI13" s="167" t="str">
        <f>IFERROR(__xludf.DUMMYFUNCTION("GOOGLETRANSLATE(E13,""zh-tw"",""ru"")"),"Большие куски мяса")</f>
        <v>Большие куски мяса</v>
      </c>
      <c r="AJ13" s="375" t="s">
        <v>7809</v>
      </c>
      <c r="AK13" s="372"/>
      <c r="AL13" s="136" t="s">
        <v>7725</v>
      </c>
      <c r="AM13" s="136" t="s">
        <v>7726</v>
      </c>
      <c r="AN13" s="136" t="s">
        <v>7797</v>
      </c>
      <c r="AO13" s="138" t="s">
        <v>7810</v>
      </c>
      <c r="AP13" s="189"/>
      <c r="AQ13" s="142" t="s">
        <v>7728</v>
      </c>
      <c r="AR13" s="142" t="s">
        <v>7729</v>
      </c>
      <c r="AS13" s="142" t="s">
        <v>7798</v>
      </c>
      <c r="AT13" s="126" t="s">
        <v>7811</v>
      </c>
      <c r="AU13" s="190"/>
      <c r="AV13" s="142" t="s">
        <v>7731</v>
      </c>
      <c r="AW13" s="136" t="s">
        <v>7732</v>
      </c>
      <c r="AX13" s="142" t="s">
        <v>7799</v>
      </c>
      <c r="AY13" s="142"/>
      <c r="AZ13" s="142"/>
      <c r="BA13" s="142"/>
      <c r="BB13" s="142"/>
      <c r="BC13" s="142"/>
    </row>
    <row r="14">
      <c r="A14" s="126" t="s">
        <v>7812</v>
      </c>
      <c r="B14" s="362" t="s">
        <v>260</v>
      </c>
      <c r="C14" s="167" t="s">
        <v>4906</v>
      </c>
      <c r="D14" s="124"/>
      <c r="E14" s="124"/>
      <c r="F14" s="126" t="s">
        <v>7813</v>
      </c>
      <c r="G14" s="362" t="s">
        <v>260</v>
      </c>
      <c r="H14" s="167" t="s">
        <v>7814</v>
      </c>
      <c r="I14" s="124"/>
      <c r="J14" s="124"/>
      <c r="K14" s="116" t="s">
        <v>7815</v>
      </c>
      <c r="L14" s="362" t="s">
        <v>260</v>
      </c>
      <c r="M14" s="136" t="s">
        <v>4911</v>
      </c>
      <c r="N14" s="142"/>
      <c r="O14" s="142"/>
      <c r="P14" s="116" t="str">
        <f>IFERROR(__xludf.DUMMYFUNCTION("GOOGLETRANSLATE(A14,""zh-tw"",""zh"")"),"肉汤")</f>
        <v>肉汤</v>
      </c>
      <c r="Q14" s="362" t="str">
        <f>IFERROR(__xludf.DUMMYFUNCTION("GOOGLETRANSLATE(B14,""zh-tw"",""zh"")"),"A")</f>
        <v>A</v>
      </c>
      <c r="R14" s="167" t="str">
        <f>IFERROR(__xludf.DUMMYFUNCTION("GOOGLETRANSLATE(C14,""zh-tw"",""zh"")"),"小块兽肉")</f>
        <v>小块兽肉</v>
      </c>
      <c r="S14" s="167"/>
      <c r="T14" s="167"/>
      <c r="U14" s="126" t="str">
        <f>IFERROR(__xludf.DUMMYFUNCTION("GOOGLETRANSLATE(A14,""zh-tw"",""es-MX"")"),"caldo")</f>
        <v>caldo</v>
      </c>
      <c r="V14" s="371" t="str">
        <f>IFERROR(__xludf.DUMMYFUNCTION("GOOGLETRANSLATE(B14,""zh-tw"",""es-MX"")"),"A")</f>
        <v>A</v>
      </c>
      <c r="W14" s="167" t="str">
        <f>IFERROR(__xludf.DUMMYFUNCTION("GOOGLETRANSLATE(C14,""zh-tw"",""es-MX"")"),"Pequeños trozos de carne")</f>
        <v>Pequeños trozos de carne</v>
      </c>
      <c r="X14" s="167"/>
      <c r="Y14" s="167"/>
      <c r="Z14" s="375" t="s">
        <v>7816</v>
      </c>
      <c r="AA14" s="372" t="s">
        <v>260</v>
      </c>
      <c r="AB14" s="136" t="s">
        <v>7817</v>
      </c>
      <c r="AC14" s="142"/>
      <c r="AD14" s="142"/>
      <c r="AE14" s="126" t="str">
        <f>IFERROR(__xludf.DUMMYFUNCTION("GOOGLETRANSLATE(A14,""zh-tw"",""ru"")"),"бульон")</f>
        <v>бульон</v>
      </c>
      <c r="AF14" s="371" t="str">
        <f>IFERROR(__xludf.DUMMYFUNCTION("GOOGLETRANSLATE(L14,""zh-tw"",""es-MX"")"),"A")</f>
        <v>A</v>
      </c>
      <c r="AG14" s="167" t="str">
        <f>IFERROR(__xludf.DUMMYFUNCTION("GOOGLETRANSLATE(C14,""zh-tw"",""ru"")"),"Небольшие кусочки мяса")</f>
        <v>Небольшие кусочки мяса</v>
      </c>
      <c r="AH14" s="167"/>
      <c r="AI14" s="167"/>
      <c r="AJ14" s="375" t="s">
        <v>7818</v>
      </c>
      <c r="AK14" s="372" t="s">
        <v>260</v>
      </c>
      <c r="AL14" s="136" t="s">
        <v>7819</v>
      </c>
      <c r="AM14" s="142"/>
      <c r="AN14" s="142"/>
      <c r="AO14" s="138" t="s">
        <v>7820</v>
      </c>
      <c r="AP14" s="362" t="s">
        <v>260</v>
      </c>
      <c r="AQ14" s="142" t="s">
        <v>4916</v>
      </c>
      <c r="AR14" s="124"/>
      <c r="AS14" s="124"/>
      <c r="AT14" s="126" t="s">
        <v>7821</v>
      </c>
      <c r="AU14" s="362" t="s">
        <v>260</v>
      </c>
      <c r="AV14" s="142" t="s">
        <v>4918</v>
      </c>
      <c r="AW14" s="28"/>
      <c r="AX14" s="28"/>
      <c r="AY14" s="124"/>
      <c r="AZ14" s="124"/>
      <c r="BA14" s="124"/>
      <c r="BB14" s="124"/>
      <c r="BC14" s="124"/>
    </row>
    <row r="15">
      <c r="A15" s="126" t="s">
        <v>7822</v>
      </c>
      <c r="B15" s="362" t="s">
        <v>260</v>
      </c>
      <c r="C15" s="167" t="s">
        <v>7788</v>
      </c>
      <c r="D15" s="124"/>
      <c r="E15" s="124"/>
      <c r="F15" s="126" t="s">
        <v>7823</v>
      </c>
      <c r="G15" s="362" t="s">
        <v>260</v>
      </c>
      <c r="H15" s="167" t="s">
        <v>7790</v>
      </c>
      <c r="I15" s="124"/>
      <c r="J15" s="124"/>
      <c r="K15" s="116" t="s">
        <v>7824</v>
      </c>
      <c r="L15" s="362" t="s">
        <v>260</v>
      </c>
      <c r="M15" s="136" t="s">
        <v>7793</v>
      </c>
      <c r="N15" s="142"/>
      <c r="O15" s="142"/>
      <c r="P15" s="116" t="str">
        <f>IFERROR(__xludf.DUMMYFUNCTION("GOOGLETRANSLATE(A15,""zh-tw"",""zh"")"),"烤肉块")</f>
        <v>烤肉块</v>
      </c>
      <c r="Q15" s="362" t="str">
        <f>IFERROR(__xludf.DUMMYFUNCTION("GOOGLETRANSLATE(B15,""zh-tw"",""zh"")"),"A")</f>
        <v>A</v>
      </c>
      <c r="R15" s="167" t="str">
        <f>IFERROR(__xludf.DUMMYFUNCTION("GOOGLETRANSLATE(C15,""zh-tw"",""zh"")"),"大块兽肉")</f>
        <v>大块兽肉</v>
      </c>
      <c r="S15" s="167"/>
      <c r="T15" s="167"/>
      <c r="U15" s="126" t="str">
        <f>IFERROR(__xludf.DUMMYFUNCTION("GOOGLETRANSLATE(A15,""zh-tw"",""es-MX"")"),"Trozos de carne asada")</f>
        <v>Trozos de carne asada</v>
      </c>
      <c r="V15" s="371" t="str">
        <f>IFERROR(__xludf.DUMMYFUNCTION("GOOGLETRANSLATE(B15,""zh-tw"",""es-MX"")"),"A")</f>
        <v>A</v>
      </c>
      <c r="W15" s="167" t="str">
        <f>IFERROR(__xludf.DUMMYFUNCTION("GOOGLETRANSLATE(C15,""zh-tw"",""es-MX"")"),"Grandes trozos de carne")</f>
        <v>Grandes trozos de carne</v>
      </c>
      <c r="X15" s="167"/>
      <c r="Y15" s="167"/>
      <c r="Z15" s="374" t="str">
        <f>IFERROR(__xludf.DUMMYFUNCTION("GOOGLETRANSLATE(A15,""zh-tw"",""KO"")"),"구운 고기 덩어리")</f>
        <v>구운 고기 덩어리</v>
      </c>
      <c r="AA15" s="372" t="s">
        <v>260</v>
      </c>
      <c r="AB15" s="136" t="s">
        <v>7795</v>
      </c>
      <c r="AC15" s="142"/>
      <c r="AD15" s="142"/>
      <c r="AE15" s="126" t="str">
        <f>IFERROR(__xludf.DUMMYFUNCTION("GOOGLETRANSLATE(A15,""zh-tw"",""ru"")"),"Жареные кусочки мяса")</f>
        <v>Жареные кусочки мяса</v>
      </c>
      <c r="AF15" s="371" t="str">
        <f>IFERROR(__xludf.DUMMYFUNCTION("GOOGLETRANSLATE(L15,""zh-tw"",""es-MX"")"),"A")</f>
        <v>A</v>
      </c>
      <c r="AG15" s="167" t="str">
        <f>IFERROR(__xludf.DUMMYFUNCTION("GOOGLETRANSLATE(C15,""zh-tw"",""ru"")"),"Большие куски мяса")</f>
        <v>Большие куски мяса</v>
      </c>
      <c r="AH15" s="167"/>
      <c r="AI15" s="167"/>
      <c r="AJ15" s="375" t="s">
        <v>7825</v>
      </c>
      <c r="AK15" s="372" t="s">
        <v>260</v>
      </c>
      <c r="AL15" s="136" t="s">
        <v>7797</v>
      </c>
      <c r="AM15" s="142"/>
      <c r="AN15" s="142"/>
      <c r="AO15" s="138" t="s">
        <v>7826</v>
      </c>
      <c r="AP15" s="362" t="s">
        <v>260</v>
      </c>
      <c r="AQ15" s="142" t="s">
        <v>7798</v>
      </c>
      <c r="AR15" s="124"/>
      <c r="AS15" s="124"/>
      <c r="AT15" s="126" t="s">
        <v>7827</v>
      </c>
      <c r="AU15" s="362" t="s">
        <v>260</v>
      </c>
      <c r="AV15" s="142" t="s">
        <v>7799</v>
      </c>
      <c r="AW15" s="28"/>
      <c r="AX15" s="28"/>
      <c r="AY15" s="124"/>
      <c r="AZ15" s="124"/>
      <c r="BA15" s="124"/>
      <c r="BB15" s="124"/>
      <c r="BC15" s="124"/>
    </row>
    <row r="16">
      <c r="A16" s="126" t="s">
        <v>7828</v>
      </c>
      <c r="B16" s="362" t="s">
        <v>260</v>
      </c>
      <c r="C16" s="167" t="s">
        <v>7788</v>
      </c>
      <c r="D16" s="167" t="s">
        <v>7788</v>
      </c>
      <c r="E16" s="124"/>
      <c r="F16" s="126" t="s">
        <v>7829</v>
      </c>
      <c r="G16" s="362" t="s">
        <v>260</v>
      </c>
      <c r="H16" s="167" t="s">
        <v>7790</v>
      </c>
      <c r="I16" s="167" t="s">
        <v>7790</v>
      </c>
      <c r="J16" s="124"/>
      <c r="K16" s="116" t="s">
        <v>7830</v>
      </c>
      <c r="L16" s="362" t="s">
        <v>260</v>
      </c>
      <c r="M16" s="136" t="s">
        <v>7793</v>
      </c>
      <c r="N16" s="136" t="s">
        <v>7793</v>
      </c>
      <c r="O16" s="142"/>
      <c r="P16" s="116" t="str">
        <f>IFERROR(__xludf.DUMMYFUNCTION("GOOGLETRANSLATE(A16,""zh-tw"",""zh"")"),"牛排肉")</f>
        <v>牛排肉</v>
      </c>
      <c r="Q16" s="362" t="str">
        <f>IFERROR(__xludf.DUMMYFUNCTION("GOOGLETRANSLATE(B16,""zh-tw"",""zh"")"),"A")</f>
        <v>A</v>
      </c>
      <c r="R16" s="167" t="str">
        <f>IFERROR(__xludf.DUMMYFUNCTION("GOOGLETRANSLATE(C16,""zh-tw"",""zh"")"),"大块兽肉")</f>
        <v>大块兽肉</v>
      </c>
      <c r="S16" s="167" t="str">
        <f>IFERROR(__xludf.DUMMYFUNCTION("GOOGLETRANSLATE(D16,""zh-tw"",""zh"")"),"大块兽肉")</f>
        <v>大块兽肉</v>
      </c>
      <c r="T16" s="167"/>
      <c r="U16" s="126" t="str">
        <f>IFERROR(__xludf.DUMMYFUNCTION("GOOGLETRANSLATE(A16,""zh-tw"",""es-MX"")"),"Filete de res")</f>
        <v>Filete de res</v>
      </c>
      <c r="V16" s="371" t="str">
        <f>IFERROR(__xludf.DUMMYFUNCTION("GOOGLETRANSLATE(B16,""zh-tw"",""es-MX"")"),"A")</f>
        <v>A</v>
      </c>
      <c r="W16" s="167" t="str">
        <f>IFERROR(__xludf.DUMMYFUNCTION("GOOGLETRANSLATE(C16,""zh-tw"",""es-MX"")"),"Grandes trozos de carne")</f>
        <v>Grandes trozos de carne</v>
      </c>
      <c r="X16" s="167" t="str">
        <f>IFERROR(__xludf.DUMMYFUNCTION("GOOGLETRANSLATE(D16,""zh-tw"",""es-MX"")"),"Grandes trozos de carne")</f>
        <v>Grandes trozos de carne</v>
      </c>
      <c r="Y16" s="167"/>
      <c r="Z16" s="375" t="s">
        <v>7831</v>
      </c>
      <c r="AA16" s="372" t="s">
        <v>260</v>
      </c>
      <c r="AB16" s="136" t="s">
        <v>7795</v>
      </c>
      <c r="AC16" s="136" t="s">
        <v>7795</v>
      </c>
      <c r="AD16" s="142"/>
      <c r="AE16" s="126" t="str">
        <f>IFERROR(__xludf.DUMMYFUNCTION("GOOGLETRANSLATE(A16,""zh-tw"",""ru"")"),"Говяжий стейк")</f>
        <v>Говяжий стейк</v>
      </c>
      <c r="AF16" s="371" t="str">
        <f>IFERROR(__xludf.DUMMYFUNCTION("GOOGLETRANSLATE(L16,""zh-tw"",""es-MX"")"),"A")</f>
        <v>A</v>
      </c>
      <c r="AG16" s="167" t="str">
        <f>IFERROR(__xludf.DUMMYFUNCTION("GOOGLETRANSLATE(C16,""zh-tw"",""ru"")"),"Большие куски мяса")</f>
        <v>Большие куски мяса</v>
      </c>
      <c r="AH16" s="167" t="str">
        <f>IFERROR(__xludf.DUMMYFUNCTION("GOOGLETRANSLATE(D16,""zh-tw"",""ru"")"),"Большие куски мяса")</f>
        <v>Большие куски мяса</v>
      </c>
      <c r="AI16" s="167"/>
      <c r="AJ16" s="375" t="s">
        <v>7832</v>
      </c>
      <c r="AK16" s="372" t="s">
        <v>260</v>
      </c>
      <c r="AL16" s="136" t="s">
        <v>7797</v>
      </c>
      <c r="AM16" s="136" t="s">
        <v>7797</v>
      </c>
      <c r="AN16" s="142"/>
      <c r="AO16" s="138" t="s">
        <v>7833</v>
      </c>
      <c r="AP16" s="362" t="s">
        <v>260</v>
      </c>
      <c r="AQ16" s="142" t="s">
        <v>7798</v>
      </c>
      <c r="AR16" s="142" t="s">
        <v>7798</v>
      </c>
      <c r="AS16" s="124"/>
      <c r="AT16" s="126" t="s">
        <v>7834</v>
      </c>
      <c r="AU16" s="362" t="s">
        <v>260</v>
      </c>
      <c r="AV16" s="142" t="s">
        <v>7799</v>
      </c>
      <c r="AW16" s="142" t="s">
        <v>7799</v>
      </c>
      <c r="AX16" s="28"/>
      <c r="AY16" s="124"/>
      <c r="AZ16" s="124"/>
      <c r="BA16" s="124"/>
      <c r="BB16" s="124"/>
      <c r="BC16" s="124"/>
    </row>
    <row r="17">
      <c r="A17" s="133" t="s">
        <v>7835</v>
      </c>
      <c r="B17" s="362" t="s">
        <v>260</v>
      </c>
      <c r="C17" s="167" t="s">
        <v>7788</v>
      </c>
      <c r="D17" s="167" t="s">
        <v>7788</v>
      </c>
      <c r="E17" s="167" t="s">
        <v>7788</v>
      </c>
      <c r="F17" s="126" t="s">
        <v>7836</v>
      </c>
      <c r="G17" s="362" t="s">
        <v>260</v>
      </c>
      <c r="H17" s="167" t="s">
        <v>7790</v>
      </c>
      <c r="I17" s="167" t="s">
        <v>7790</v>
      </c>
      <c r="J17" s="167" t="s">
        <v>7790</v>
      </c>
      <c r="K17" s="116" t="s">
        <v>7837</v>
      </c>
      <c r="L17" s="362" t="s">
        <v>260</v>
      </c>
      <c r="M17" s="136" t="s">
        <v>7793</v>
      </c>
      <c r="N17" s="136" t="s">
        <v>7793</v>
      </c>
      <c r="O17" s="136" t="s">
        <v>7793</v>
      </c>
      <c r="P17" s="116" t="str">
        <f>IFERROR(__xludf.DUMMYFUNCTION("GOOGLETRANSLATE(A17,""zh-tw"",""zh"")"),"酱牛肉")</f>
        <v>酱牛肉</v>
      </c>
      <c r="Q17" s="362" t="str">
        <f>IFERROR(__xludf.DUMMYFUNCTION("GOOGLETRANSLATE(B17,""zh-tw"",""zh"")"),"A")</f>
        <v>A</v>
      </c>
      <c r="R17" s="167" t="str">
        <f>IFERROR(__xludf.DUMMYFUNCTION("GOOGLETRANSLATE(C17,""zh-tw"",""zh"")"),"大块兽肉")</f>
        <v>大块兽肉</v>
      </c>
      <c r="S17" s="167" t="str">
        <f>IFERROR(__xludf.DUMMYFUNCTION("GOOGLETRANSLATE(D17,""zh-tw"",""zh"")"),"大块兽肉")</f>
        <v>大块兽肉</v>
      </c>
      <c r="T17" s="167" t="str">
        <f>IFERROR(__xludf.DUMMYFUNCTION("GOOGLETRANSLATE(E17,""zh-tw"",""zh"")"),"大块兽肉")</f>
        <v>大块兽肉</v>
      </c>
      <c r="U17" s="126" t="str">
        <f>IFERROR(__xludf.DUMMYFUNCTION("GOOGLETRANSLATE(A17,""zh-tw"",""es-MX"")"),"Carne de res estofada")</f>
        <v>Carne de res estofada</v>
      </c>
      <c r="V17" s="371" t="str">
        <f>IFERROR(__xludf.DUMMYFUNCTION("GOOGLETRANSLATE(B17,""zh-tw"",""es-MX"")"),"A")</f>
        <v>A</v>
      </c>
      <c r="W17" s="167" t="str">
        <f>IFERROR(__xludf.DUMMYFUNCTION("GOOGLETRANSLATE(C17,""zh-tw"",""es-MX"")"),"Grandes trozos de carne")</f>
        <v>Grandes trozos de carne</v>
      </c>
      <c r="X17" s="167" t="str">
        <f>IFERROR(__xludf.DUMMYFUNCTION("GOOGLETRANSLATE(D17,""zh-tw"",""es-MX"")"),"Grandes trozos de carne")</f>
        <v>Grandes trozos de carne</v>
      </c>
      <c r="Y17" s="167" t="str">
        <f>IFERROR(__xludf.DUMMYFUNCTION("GOOGLETRANSLATE(E17,""zh-tw"",""es-MX"")"),"Grandes trozos de carne")</f>
        <v>Grandes trozos de carne</v>
      </c>
      <c r="Z17" s="375" t="s">
        <v>7838</v>
      </c>
      <c r="AA17" s="372" t="s">
        <v>260</v>
      </c>
      <c r="AB17" s="136" t="s">
        <v>7795</v>
      </c>
      <c r="AC17" s="315" t="s">
        <v>7795</v>
      </c>
      <c r="AD17" s="315" t="s">
        <v>7795</v>
      </c>
      <c r="AE17" s="126" t="str">
        <f>IFERROR(__xludf.DUMMYFUNCTION("GOOGLETRANSLATE(A17,""zh-tw"",""ru"")"),"Тушеная говядина")</f>
        <v>Тушеная говядина</v>
      </c>
      <c r="AF17" s="371" t="str">
        <f>IFERROR(__xludf.DUMMYFUNCTION("GOOGLETRANSLATE(L17,""zh-tw"",""es-MX"")"),"A")</f>
        <v>A</v>
      </c>
      <c r="AG17" s="167" t="str">
        <f>IFERROR(__xludf.DUMMYFUNCTION("GOOGLETRANSLATE(C17,""zh-tw"",""ru"")"),"Большие куски мяса")</f>
        <v>Большие куски мяса</v>
      </c>
      <c r="AH17" s="167" t="str">
        <f>IFERROR(__xludf.DUMMYFUNCTION("GOOGLETRANSLATE(D17,""zh-tw"",""ru"")"),"Большие куски мяса")</f>
        <v>Большие куски мяса</v>
      </c>
      <c r="AI17" s="167" t="str">
        <f>IFERROR(__xludf.DUMMYFUNCTION("GOOGLETRANSLATE(E17,""zh-tw"",""ru"")"),"Большие куски мяса")</f>
        <v>Большие куски мяса</v>
      </c>
      <c r="AJ17" s="375" t="s">
        <v>7839</v>
      </c>
      <c r="AK17" s="372" t="s">
        <v>260</v>
      </c>
      <c r="AL17" s="136" t="s">
        <v>7797</v>
      </c>
      <c r="AM17" s="136" t="s">
        <v>7797</v>
      </c>
      <c r="AN17" s="136" t="s">
        <v>7797</v>
      </c>
      <c r="AO17" s="106" t="s">
        <v>7840</v>
      </c>
      <c r="AP17" s="362" t="s">
        <v>260</v>
      </c>
      <c r="AQ17" s="142" t="s">
        <v>7798</v>
      </c>
      <c r="AR17" s="142" t="s">
        <v>7798</v>
      </c>
      <c r="AS17" s="142" t="s">
        <v>7798</v>
      </c>
      <c r="AT17" s="126" t="s">
        <v>7841</v>
      </c>
      <c r="AU17" s="362" t="s">
        <v>260</v>
      </c>
      <c r="AV17" s="142" t="s">
        <v>7799</v>
      </c>
      <c r="AW17" s="142" t="s">
        <v>7799</v>
      </c>
      <c r="AX17" s="142" t="s">
        <v>7799</v>
      </c>
      <c r="AY17" s="142"/>
      <c r="AZ17" s="142"/>
      <c r="BA17" s="142"/>
      <c r="BB17" s="142"/>
      <c r="BC17" s="142"/>
    </row>
    <row r="18">
      <c r="A18" s="126" t="s">
        <v>7842</v>
      </c>
      <c r="B18" s="362" t="s">
        <v>260</v>
      </c>
      <c r="C18" s="167" t="s">
        <v>7715</v>
      </c>
      <c r="D18" s="167" t="s">
        <v>7788</v>
      </c>
      <c r="E18" s="124"/>
      <c r="F18" s="126" t="s">
        <v>7843</v>
      </c>
      <c r="G18" s="362" t="s">
        <v>260</v>
      </c>
      <c r="H18" s="167" t="s">
        <v>7718</v>
      </c>
      <c r="I18" s="167" t="s">
        <v>7790</v>
      </c>
      <c r="J18" s="124"/>
      <c r="K18" s="116" t="s">
        <v>7844</v>
      </c>
      <c r="L18" s="362" t="s">
        <v>260</v>
      </c>
      <c r="M18" s="136" t="s">
        <v>7845</v>
      </c>
      <c r="N18" s="136" t="s">
        <v>7793</v>
      </c>
      <c r="O18" s="142"/>
      <c r="P18" s="116" t="str">
        <f>IFERROR(__xludf.DUMMYFUNCTION("GOOGLETRANSLATE(A18,""zh-tw"",""zh"")"),"牛肉饭团")</f>
        <v>牛肉饭团</v>
      </c>
      <c r="Q18" s="362" t="str">
        <f>IFERROR(__xludf.DUMMYFUNCTION("GOOGLETRANSLATE(B18,""zh-tw"",""zh"")"),"A")</f>
        <v>A</v>
      </c>
      <c r="R18" s="167" t="str">
        <f>IFERROR(__xludf.DUMMYFUNCTION("GOOGLETRANSLATE(C18,""zh-tw"",""zh"")"),"白米饭")</f>
        <v>白米饭</v>
      </c>
      <c r="S18" s="167" t="str">
        <f>IFERROR(__xludf.DUMMYFUNCTION("GOOGLETRANSLATE(D18,""zh-tw"",""zh"")"),"大块兽肉")</f>
        <v>大块兽肉</v>
      </c>
      <c r="T18" s="167"/>
      <c r="U18" s="126" t="str">
        <f>IFERROR(__xludf.DUMMYFUNCTION("GOOGLETRANSLATE(A18,""zh-tw"",""es-MX"")"),"Bola de arroz con carne de res")</f>
        <v>Bola de arroz con carne de res</v>
      </c>
      <c r="V18" s="371" t="str">
        <f>IFERROR(__xludf.DUMMYFUNCTION("GOOGLETRANSLATE(B18,""zh-tw"",""es-MX"")"),"A")</f>
        <v>A</v>
      </c>
      <c r="W18" s="167" t="str">
        <f>IFERROR(__xludf.DUMMYFUNCTION("GOOGLETRANSLATE(C18,""zh-tw"",""es-MX"")"),"arroz blanco")</f>
        <v>arroz blanco</v>
      </c>
      <c r="X18" s="167" t="str">
        <f>IFERROR(__xludf.DUMMYFUNCTION("GOOGLETRANSLATE(D18,""zh-tw"",""es-MX"")"),"Grandes trozos de carne")</f>
        <v>Grandes trozos de carne</v>
      </c>
      <c r="Y18" s="167"/>
      <c r="Z18" s="375" t="s">
        <v>7846</v>
      </c>
      <c r="AA18" s="372" t="s">
        <v>260</v>
      </c>
      <c r="AB18" s="142" t="str">
        <f>IFERROR(__xludf.DUMMYFUNCTION("GOOGLETRANSLATE(C18,""zh-tw"",""KO"")"),"흰쌀")</f>
        <v>흰쌀</v>
      </c>
      <c r="AC18" s="136" t="s">
        <v>7795</v>
      </c>
      <c r="AD18" s="142"/>
      <c r="AE18" s="126" t="str">
        <f>IFERROR(__xludf.DUMMYFUNCTION("GOOGLETRANSLATE(A18,""zh-tw"",""ru"")"),"Рисовые шарики с говядиной")</f>
        <v>Рисовые шарики с говядиной</v>
      </c>
      <c r="AF18" s="371" t="str">
        <f>IFERROR(__xludf.DUMMYFUNCTION("GOOGLETRANSLATE(L18,""zh-tw"",""es-MX"")"),"A")</f>
        <v>A</v>
      </c>
      <c r="AG18" s="167" t="str">
        <f>IFERROR(__xludf.DUMMYFUNCTION("GOOGLETRANSLATE(C18,""zh-tw"",""ru"")"),"Белый рис")</f>
        <v>Белый рис</v>
      </c>
      <c r="AH18" s="167" t="str">
        <f>IFERROR(__xludf.DUMMYFUNCTION("GOOGLETRANSLATE(D18,""zh-tw"",""ru"")"),"Большие куски мяса")</f>
        <v>Большие куски мяса</v>
      </c>
      <c r="AI18" s="167"/>
      <c r="AJ18" s="375" t="s">
        <v>7847</v>
      </c>
      <c r="AK18" s="372" t="s">
        <v>260</v>
      </c>
      <c r="AL18" s="136" t="s">
        <v>7725</v>
      </c>
      <c r="AM18" s="136" t="s">
        <v>7797</v>
      </c>
      <c r="AN18" s="142"/>
      <c r="AO18" s="138" t="s">
        <v>7848</v>
      </c>
      <c r="AP18" s="362" t="s">
        <v>260</v>
      </c>
      <c r="AQ18" s="142" t="s">
        <v>7728</v>
      </c>
      <c r="AR18" s="142" t="s">
        <v>7798</v>
      </c>
      <c r="AS18" s="124"/>
      <c r="AT18" s="126" t="s">
        <v>7849</v>
      </c>
      <c r="AU18" s="362" t="s">
        <v>260</v>
      </c>
      <c r="AV18" s="142" t="s">
        <v>7850</v>
      </c>
      <c r="AW18" s="142" t="s">
        <v>7799</v>
      </c>
      <c r="AX18" s="28"/>
      <c r="AY18" s="124"/>
      <c r="AZ18" s="124"/>
      <c r="BA18" s="124"/>
      <c r="BB18" s="124"/>
      <c r="BC18" s="124"/>
    </row>
    <row r="19">
      <c r="A19" s="126" t="s">
        <v>7851</v>
      </c>
      <c r="B19" s="189"/>
      <c r="C19" s="167" t="s">
        <v>7852</v>
      </c>
      <c r="D19" s="124"/>
      <c r="E19" s="124"/>
      <c r="F19" s="126" t="s">
        <v>7853</v>
      </c>
      <c r="G19" s="189"/>
      <c r="H19" s="167" t="s">
        <v>7854</v>
      </c>
      <c r="I19" s="124"/>
      <c r="J19" s="124"/>
      <c r="K19" s="113" t="s">
        <v>7855</v>
      </c>
      <c r="L19" s="189"/>
      <c r="M19" s="136" t="s">
        <v>7856</v>
      </c>
      <c r="N19" s="142"/>
      <c r="O19" s="142"/>
      <c r="P19" s="116" t="str">
        <f>IFERROR(__xludf.DUMMYFUNCTION("GOOGLETRANSLATE(A19,""zh-tw"",""zh"")"),"奇怪的史莱姆果冻(蓝色)")</f>
        <v>奇怪的史莱姆果冻(蓝色)</v>
      </c>
      <c r="Q19" s="362"/>
      <c r="R19" s="167" t="str">
        <f>IFERROR(__xludf.DUMMYFUNCTION("GOOGLETRANSLATE(C19,""zh-tw"",""zh"")"),"水怪黏液")</f>
        <v>水怪黏液</v>
      </c>
      <c r="S19" s="167"/>
      <c r="T19" s="167"/>
      <c r="U19" s="126" t="str">
        <f>IFERROR(__xludf.DUMMYFUNCTION("GOOGLETRANSLATE(A19,""zh-tw"",""es-MX"")"),"Gelatina de limo extraña (azul)")</f>
        <v>Gelatina de limo extraña (azul)</v>
      </c>
      <c r="V19" s="371"/>
      <c r="W19" s="167" t="str">
        <f>IFERROR(__xludf.DUMMYFUNCTION("GOOGLETRANSLATE(C19,""zh-tw"",""es-MX"")"),"Slime de monstruo de agua")</f>
        <v>Slime de monstruo de agua</v>
      </c>
      <c r="X19" s="167"/>
      <c r="Y19" s="167"/>
      <c r="Z19" s="374" t="str">
        <f>IFERROR(__xludf.DUMMYFUNCTION("GOOGLETRANSLATE(A19,""zh-tw"",""KO"")"),"이상한 슬라임 젤리(파란색)")</f>
        <v>이상한 슬라임 젤리(파란색)</v>
      </c>
      <c r="AA19" s="372"/>
      <c r="AB19" s="136" t="s">
        <v>7857</v>
      </c>
      <c r="AC19" s="142"/>
      <c r="AD19" s="142"/>
      <c r="AE19" s="126" t="str">
        <f>IFERROR(__xludf.DUMMYFUNCTION("GOOGLETRANSLATE(A19,""zh-tw"",""ru"")"),"Странное желеобразное лизун (синее)")</f>
        <v>Странное желеобразное лизун (синее)</v>
      </c>
      <c r="AF19" s="371"/>
      <c r="AG19" s="167" t="str">
        <f>IFERROR(__xludf.DUMMYFUNCTION("GOOGLETRANSLATE(C19,""zh-tw"",""ru"")"),"Водяной монстр-слизь")</f>
        <v>Водяной монстр-слизь</v>
      </c>
      <c r="AH19" s="167"/>
      <c r="AI19" s="167"/>
      <c r="AJ19" s="375" t="s">
        <v>7858</v>
      </c>
      <c r="AK19" s="372"/>
      <c r="AL19" s="136" t="s">
        <v>7859</v>
      </c>
      <c r="AM19" s="142"/>
      <c r="AN19" s="142"/>
      <c r="AO19" s="138" t="s">
        <v>7860</v>
      </c>
      <c r="AP19" s="189"/>
      <c r="AQ19" s="142" t="s">
        <v>7861</v>
      </c>
      <c r="AR19" s="124"/>
      <c r="AS19" s="124"/>
      <c r="AT19" s="126" t="s">
        <v>7862</v>
      </c>
      <c r="AU19" s="190"/>
      <c r="AV19" s="142" t="s">
        <v>7863</v>
      </c>
      <c r="AW19" s="28"/>
      <c r="AX19" s="28"/>
      <c r="AY19" s="124"/>
      <c r="AZ19" s="124"/>
      <c r="BA19" s="124"/>
      <c r="BB19" s="124"/>
      <c r="BC19" s="124"/>
    </row>
    <row r="20">
      <c r="A20" s="126" t="s">
        <v>7864</v>
      </c>
      <c r="B20" s="189"/>
      <c r="C20" s="167" t="s">
        <v>7703</v>
      </c>
      <c r="D20" s="167" t="s">
        <v>4836</v>
      </c>
      <c r="E20" s="124"/>
      <c r="F20" s="126" t="s">
        <v>7865</v>
      </c>
      <c r="G20" s="189"/>
      <c r="H20" s="167" t="s">
        <v>7705</v>
      </c>
      <c r="I20" s="167" t="s">
        <v>7866</v>
      </c>
      <c r="J20" s="124"/>
      <c r="K20" s="116" t="s">
        <v>7867</v>
      </c>
      <c r="L20" s="189"/>
      <c r="M20" s="136" t="s">
        <v>7707</v>
      </c>
      <c r="N20" s="136" t="s">
        <v>4839</v>
      </c>
      <c r="O20" s="142"/>
      <c r="P20" s="116" t="str">
        <f>IFERROR(__xludf.DUMMYFUNCTION("GOOGLETRANSLATE(A20,""zh-tw"",""zh"")"),"奇怪的史莱姆果冻(粉色)")</f>
        <v>奇怪的史莱姆果冻(粉色)</v>
      </c>
      <c r="Q20" s="362"/>
      <c r="R20" s="167" t="str">
        <f>IFERROR(__xludf.DUMMYFUNCTION("GOOGLETRANSLATE(C20,""zh-tw"",""zh"")"),"史莱姆黏液")</f>
        <v>史莱姆黏液</v>
      </c>
      <c r="S20" s="167" t="str">
        <f>IFERROR(__xludf.DUMMYFUNCTION("GOOGLETRANSLATE(D20,""zh-tw"",""zh"")"),"苹果妖精")</f>
        <v>苹果妖精</v>
      </c>
      <c r="T20" s="167"/>
      <c r="U20" s="126" t="str">
        <f>IFERROR(__xludf.DUMMYFUNCTION("GOOGLETRANSLATE(A20,""zh-tw"",""es-MX"")"),"Gelatina de baba extraña (rosa)")</f>
        <v>Gelatina de baba extraña (rosa)</v>
      </c>
      <c r="V20" s="371"/>
      <c r="W20" s="167" t="str">
        <f>IFERROR(__xludf.DUMMYFUNCTION("GOOGLETRANSLATE(C20,""zh-tw"",""es-MX"")"),"limo")</f>
        <v>limo</v>
      </c>
      <c r="X20" s="167" t="str">
        <f>IFERROR(__xludf.DUMMYFUNCTION("GOOGLETRANSLATE(D20,""zh-tw"",""es-MX"")"),"Hada de la manzana")</f>
        <v>Hada de la manzana</v>
      </c>
      <c r="Y20" s="167"/>
      <c r="Z20" s="375" t="s">
        <v>7868</v>
      </c>
      <c r="AA20" s="372"/>
      <c r="AB20" s="136" t="s">
        <v>7708</v>
      </c>
      <c r="AC20" s="136" t="s">
        <v>7869</v>
      </c>
      <c r="AD20" s="142"/>
      <c r="AE20" s="126" t="str">
        <f>IFERROR(__xludf.DUMMYFUNCTION("GOOGLETRANSLATE(A20,""zh-tw"",""ru"")"),"Странное желеобразное лизун (розовое)")</f>
        <v>Странное желеобразное лизун (розовое)</v>
      </c>
      <c r="AF20" s="371"/>
      <c r="AG20" s="167" t="str">
        <f>IFERROR(__xludf.DUMMYFUNCTION("GOOGLETRANSLATE(C20,""zh-tw"",""ru"")"),"слизь")</f>
        <v>слизь</v>
      </c>
      <c r="AH20" s="167" t="str">
        <f>IFERROR(__xludf.DUMMYFUNCTION("GOOGLETRANSLATE(D20,""zh-tw"",""ru"")"),"Яблочная Фея")</f>
        <v>Яблочная Фея</v>
      </c>
      <c r="AI20" s="167"/>
      <c r="AJ20" s="375" t="s">
        <v>7870</v>
      </c>
      <c r="AK20" s="372"/>
      <c r="AL20" s="136" t="s">
        <v>7710</v>
      </c>
      <c r="AM20" s="136" t="s">
        <v>4842</v>
      </c>
      <c r="AN20" s="142"/>
      <c r="AO20" s="138" t="s">
        <v>7871</v>
      </c>
      <c r="AP20" s="189"/>
      <c r="AQ20" s="142" t="s">
        <v>7712</v>
      </c>
      <c r="AR20" s="142" t="s">
        <v>7872</v>
      </c>
      <c r="AS20" s="124"/>
      <c r="AT20" s="126" t="s">
        <v>7873</v>
      </c>
      <c r="AU20" s="190"/>
      <c r="AV20" s="142" t="s">
        <v>7713</v>
      </c>
      <c r="AW20" s="142" t="s">
        <v>7874</v>
      </c>
      <c r="AX20" s="28"/>
      <c r="AY20" s="124"/>
      <c r="AZ20" s="124"/>
      <c r="BA20" s="124"/>
      <c r="BB20" s="124"/>
      <c r="BC20" s="124"/>
    </row>
    <row r="21">
      <c r="A21" s="126" t="s">
        <v>7875</v>
      </c>
      <c r="B21" s="189"/>
      <c r="C21" s="167" t="s">
        <v>7703</v>
      </c>
      <c r="D21" s="167" t="s">
        <v>7876</v>
      </c>
      <c r="E21" s="124"/>
      <c r="F21" s="126" t="s">
        <v>7877</v>
      </c>
      <c r="G21" s="189"/>
      <c r="H21" s="167" t="s">
        <v>7705</v>
      </c>
      <c r="I21" s="167" t="s">
        <v>7878</v>
      </c>
      <c r="J21" s="124"/>
      <c r="K21" s="116" t="s">
        <v>7879</v>
      </c>
      <c r="L21" s="189"/>
      <c r="M21" s="136" t="s">
        <v>7707</v>
      </c>
      <c r="N21" s="136" t="s">
        <v>7880</v>
      </c>
      <c r="O21" s="142"/>
      <c r="P21" s="116" t="str">
        <f>IFERROR(__xludf.DUMMYFUNCTION("GOOGLETRANSLATE(A21,""zh-tw"",""zh"")"),"奇怪的史莱姆果冻(黑色)")</f>
        <v>奇怪的史莱姆果冻(黑色)</v>
      </c>
      <c r="Q21" s="362"/>
      <c r="R21" s="167" t="str">
        <f>IFERROR(__xludf.DUMMYFUNCTION("GOOGLETRANSLATE(C21,""zh-tw"",""zh"")"),"史莱姆黏液")</f>
        <v>史莱姆黏液</v>
      </c>
      <c r="S21" s="167" t="str">
        <f>IFERROR(__xludf.DUMMYFUNCTION("GOOGLETRANSLATE(D21,""zh-tw"",""zh"")"),"垃圾")</f>
        <v>垃圾</v>
      </c>
      <c r="T21" s="167"/>
      <c r="U21" s="126" t="str">
        <f>IFERROR(__xludf.DUMMYFUNCTION("GOOGLETRANSLATE(A21,""zh-tw"",""es-MX"")"),"Gelatina de baba extraña (negra)")</f>
        <v>Gelatina de baba extraña (negra)</v>
      </c>
      <c r="V21" s="371"/>
      <c r="W21" s="167" t="str">
        <f>IFERROR(__xludf.DUMMYFUNCTION("GOOGLETRANSLATE(C21,""zh-tw"",""es-MX"")"),"limo")</f>
        <v>limo</v>
      </c>
      <c r="X21" s="167" t="str">
        <f>IFERROR(__xludf.DUMMYFUNCTION("GOOGLETRANSLATE(D21,""zh-tw"",""es-MX"")"),"Basura")</f>
        <v>Basura</v>
      </c>
      <c r="Y21" s="167"/>
      <c r="Z21" s="374" t="str">
        <f>IFERROR(__xludf.DUMMYFUNCTION("GOOGLETRANSLATE(A21,""zh-tw"",""KO"")"),"이상한 슬라임 젤리(검은색)")</f>
        <v>이상한 슬라임 젤리(검은색)</v>
      </c>
      <c r="AA21" s="372"/>
      <c r="AB21" s="136" t="s">
        <v>7708</v>
      </c>
      <c r="AC21" s="142" t="str">
        <f>IFERROR(__xludf.DUMMYFUNCTION("GOOGLETRANSLATE(D21,""zh-tw"",""KO"")"),"쓰레기")</f>
        <v>쓰레기</v>
      </c>
      <c r="AD21" s="142"/>
      <c r="AE21" s="126" t="str">
        <f>IFERROR(__xludf.DUMMYFUNCTION("GOOGLETRANSLATE(A21,""zh-tw"",""ru"")"),"Странная слизь-желе (черная)")</f>
        <v>Странная слизь-желе (черная)</v>
      </c>
      <c r="AF21" s="371"/>
      <c r="AG21" s="167" t="str">
        <f>IFERROR(__xludf.DUMMYFUNCTION("GOOGLETRANSLATE(C21,""zh-tw"",""ru"")"),"слизь")</f>
        <v>слизь</v>
      </c>
      <c r="AH21" s="167" t="str">
        <f>IFERROR(__xludf.DUMMYFUNCTION("GOOGLETRANSLATE(D21,""zh-tw"",""ru"")"),"Мусор")</f>
        <v>Мусор</v>
      </c>
      <c r="AI21" s="167"/>
      <c r="AJ21" s="375" t="s">
        <v>7881</v>
      </c>
      <c r="AK21" s="372"/>
      <c r="AL21" s="136" t="s">
        <v>7710</v>
      </c>
      <c r="AM21" s="136" t="s">
        <v>7882</v>
      </c>
      <c r="AN21" s="142"/>
      <c r="AO21" s="138" t="s">
        <v>7883</v>
      </c>
      <c r="AP21" s="189"/>
      <c r="AQ21" s="142" t="s">
        <v>7712</v>
      </c>
      <c r="AR21" s="142" t="s">
        <v>7884</v>
      </c>
      <c r="AS21" s="124"/>
      <c r="AT21" s="126" t="s">
        <v>7885</v>
      </c>
      <c r="AU21" s="190"/>
      <c r="AV21" s="142" t="s">
        <v>7713</v>
      </c>
      <c r="AW21" s="142" t="s">
        <v>7886</v>
      </c>
      <c r="AX21" s="28"/>
      <c r="AY21" s="124"/>
      <c r="AZ21" s="124"/>
      <c r="BA21" s="124"/>
      <c r="BB21" s="124"/>
      <c r="BC21" s="124"/>
    </row>
    <row r="22">
      <c r="A22" s="126" t="s">
        <v>7887</v>
      </c>
      <c r="B22" s="189"/>
      <c r="C22" s="167" t="s">
        <v>7852</v>
      </c>
      <c r="D22" s="167" t="s">
        <v>610</v>
      </c>
      <c r="E22" s="124"/>
      <c r="F22" s="126" t="s">
        <v>7888</v>
      </c>
      <c r="G22" s="189"/>
      <c r="H22" s="167" t="s">
        <v>7705</v>
      </c>
      <c r="I22" s="167" t="s">
        <v>613</v>
      </c>
      <c r="J22" s="124"/>
      <c r="K22" s="116" t="s">
        <v>7889</v>
      </c>
      <c r="L22" s="189"/>
      <c r="M22" s="136" t="s">
        <v>7707</v>
      </c>
      <c r="N22" s="136" t="s">
        <v>7890</v>
      </c>
      <c r="O22" s="142"/>
      <c r="P22" s="116" t="str">
        <f>IFERROR(__xludf.DUMMYFUNCTION("GOOGLETRANSLATE(A22,""zh-tw"",""zh"")"),"奇怪的史莱姆果冻(彩色)")</f>
        <v>奇怪的史莱姆果冻(彩色)</v>
      </c>
      <c r="Q22" s="362"/>
      <c r="R22" s="167" t="str">
        <f>IFERROR(__xludf.DUMMYFUNCTION("GOOGLETRANSLATE(C22,""zh-tw"",""zh"")"),"水怪黏液")</f>
        <v>水怪黏液</v>
      </c>
      <c r="S22" s="167" t="str">
        <f>IFERROR(__xludf.DUMMYFUNCTION("GOOGLETRANSLATE(D22,""zh-tw"",""zh"")"),"呆毛")</f>
        <v>呆毛</v>
      </c>
      <c r="T22" s="167"/>
      <c r="U22" s="126" t="str">
        <f>IFERROR(__xludf.DUMMYFUNCTION("GOOGLETRANSLATE(A22,""zh-tw"",""es-MX"")"),"Gelatina de baba extraña (colorida)")</f>
        <v>Gelatina de baba extraña (colorida)</v>
      </c>
      <c r="V22" s="371"/>
      <c r="W22" s="167" t="str">
        <f>IFERROR(__xludf.DUMMYFUNCTION("GOOGLETRANSLATE(C22,""zh-tw"",""es-MX"")"),"Slime de monstruo de agua")</f>
        <v>Slime de monstruo de agua</v>
      </c>
      <c r="X22" s="167" t="str">
        <f>IFERROR(__xludf.DUMMYFUNCTION("GOOGLETRANSLATE(D22,""zh-tw"",""es-MX"")"),"ahoge")</f>
        <v>ahoge</v>
      </c>
      <c r="Y22" s="167"/>
      <c r="Z22" s="374" t="str">
        <f>IFERROR(__xludf.DUMMYFUNCTION("GOOGLETRANSLATE(A22,""zh-tw"",""KO"")"),"이상한 슬라임 젤리 (컬러풀)")</f>
        <v>이상한 슬라임 젤리 (컬러풀)</v>
      </c>
      <c r="AA22" s="372"/>
      <c r="AB22" s="136" t="s">
        <v>7857</v>
      </c>
      <c r="AC22" s="136" t="s">
        <v>622</v>
      </c>
      <c r="AD22" s="142"/>
      <c r="AE22" s="126" t="str">
        <f>IFERROR(__xludf.DUMMYFUNCTION("GOOGLETRANSLATE(A22,""zh-tw"",""ru"")"),"Странная слизь-желе (цветная)")</f>
        <v>Странная слизь-желе (цветная)</v>
      </c>
      <c r="AF22" s="371"/>
      <c r="AG22" s="167" t="str">
        <f>IFERROR(__xludf.DUMMYFUNCTION("GOOGLETRANSLATE(C22,""zh-tw"",""ru"")"),"Водяной монстр-слизь")</f>
        <v>Водяной монстр-слизь</v>
      </c>
      <c r="AH22" s="167" t="str">
        <f>IFERROR(__xludf.DUMMYFUNCTION("GOOGLETRANSLATE(D22,""zh-tw"",""ru"")"),"ахоге")</f>
        <v>ахоге</v>
      </c>
      <c r="AI22" s="167"/>
      <c r="AJ22" s="375" t="s">
        <v>7891</v>
      </c>
      <c r="AK22" s="372"/>
      <c r="AL22" s="136" t="s">
        <v>7859</v>
      </c>
      <c r="AM22" s="136" t="s">
        <v>7892</v>
      </c>
      <c r="AN22" s="142"/>
      <c r="AO22" s="138" t="s">
        <v>7893</v>
      </c>
      <c r="AP22" s="189"/>
      <c r="AQ22" s="142" t="s">
        <v>7712</v>
      </c>
      <c r="AR22" s="142" t="s">
        <v>7894</v>
      </c>
      <c r="AS22" s="124"/>
      <c r="AT22" s="126" t="s">
        <v>7895</v>
      </c>
      <c r="AU22" s="190"/>
      <c r="AV22" s="142" t="s">
        <v>7713</v>
      </c>
      <c r="AW22" s="142" t="s">
        <v>7896</v>
      </c>
      <c r="AX22" s="28"/>
      <c r="AY22" s="124"/>
      <c r="AZ22" s="124"/>
      <c r="BA22" s="124"/>
      <c r="BB22" s="124"/>
      <c r="BC22" s="124"/>
    </row>
    <row r="23">
      <c r="A23" s="126" t="s">
        <v>7897</v>
      </c>
      <c r="B23" s="189"/>
      <c r="C23" s="167" t="s">
        <v>7898</v>
      </c>
      <c r="D23" s="124"/>
      <c r="E23" s="124"/>
      <c r="F23" s="126" t="s">
        <v>7899</v>
      </c>
      <c r="G23" s="189"/>
      <c r="H23" s="167" t="s">
        <v>7900</v>
      </c>
      <c r="I23" s="124"/>
      <c r="J23" s="124"/>
      <c r="K23" s="113" t="s">
        <v>7901</v>
      </c>
      <c r="L23" s="189"/>
      <c r="M23" s="136" t="s">
        <v>7902</v>
      </c>
      <c r="N23" s="142"/>
      <c r="O23" s="142"/>
      <c r="P23" s="116" t="str">
        <f>IFERROR(__xludf.DUMMYFUNCTION("GOOGLETRANSLATE(A23,""zh-tw"",""zh"")"),"烤香蕉")</f>
        <v>烤香蕉</v>
      </c>
      <c r="Q23" s="362"/>
      <c r="R23" s="167" t="str">
        <f>IFERROR(__xludf.DUMMYFUNCTION("GOOGLETRANSLATE(C23,""zh-tw"",""zh"")"),"香蕉")</f>
        <v>香蕉</v>
      </c>
      <c r="S23" s="167"/>
      <c r="T23" s="167"/>
      <c r="U23" s="126" t="str">
        <f>IFERROR(__xludf.DUMMYFUNCTION("GOOGLETRANSLATE(A23,""zh-tw"",""es-MX"")"),"Plátanos horneados")</f>
        <v>Plátanos horneados</v>
      </c>
      <c r="V23" s="371"/>
      <c r="W23" s="167" t="str">
        <f>IFERROR(__xludf.DUMMYFUNCTION("GOOGLETRANSLATE(C23,""zh-tw"",""es-MX"")"),"banana")</f>
        <v>banana</v>
      </c>
      <c r="X23" s="167"/>
      <c r="Y23" s="167"/>
      <c r="Z23" s="374" t="str">
        <f>IFERROR(__xludf.DUMMYFUNCTION("GOOGLETRANSLATE(A23,""zh-tw"",""KO"")"),"구운 바나나")</f>
        <v>구운 바나나</v>
      </c>
      <c r="AA23" s="372"/>
      <c r="AB23" s="142" t="str">
        <f>IFERROR(__xludf.DUMMYFUNCTION("GOOGLETRANSLATE(C23,""zh-tw"",""KO"")"),"바나나")</f>
        <v>바나나</v>
      </c>
      <c r="AC23" s="142"/>
      <c r="AD23" s="142"/>
      <c r="AE23" s="126" t="str">
        <f>IFERROR(__xludf.DUMMYFUNCTION("GOOGLETRANSLATE(A23,""zh-tw"",""ru"")"),"Печеные бананы")</f>
        <v>Печеные бананы</v>
      </c>
      <c r="AF23" s="371"/>
      <c r="AG23" s="167" t="str">
        <f>IFERROR(__xludf.DUMMYFUNCTION("GOOGLETRANSLATE(C23,""zh-tw"",""ru"")"),"банан")</f>
        <v>банан</v>
      </c>
      <c r="AH23" s="167"/>
      <c r="AI23" s="167"/>
      <c r="AJ23" s="375" t="s">
        <v>7903</v>
      </c>
      <c r="AK23" s="372"/>
      <c r="AL23" s="136" t="s">
        <v>7904</v>
      </c>
      <c r="AM23" s="142"/>
      <c r="AN23" s="142"/>
      <c r="AO23" s="138" t="s">
        <v>7905</v>
      </c>
      <c r="AP23" s="189"/>
      <c r="AQ23" s="142" t="s">
        <v>7906</v>
      </c>
      <c r="AR23" s="124"/>
      <c r="AS23" s="124"/>
      <c r="AT23" s="126" t="s">
        <v>7901</v>
      </c>
      <c r="AU23" s="190"/>
      <c r="AV23" s="142" t="s">
        <v>7902</v>
      </c>
      <c r="AW23" s="28"/>
      <c r="AX23" s="28"/>
      <c r="AY23" s="124"/>
      <c r="AZ23" s="124"/>
      <c r="BA23" s="124"/>
      <c r="BB23" s="124"/>
      <c r="BC23" s="124"/>
    </row>
    <row r="24">
      <c r="A24" s="126" t="s">
        <v>7907</v>
      </c>
      <c r="B24" s="189"/>
      <c r="C24" s="167" t="s">
        <v>4906</v>
      </c>
      <c r="D24" s="167" t="s">
        <v>5485</v>
      </c>
      <c r="E24" s="167" t="s">
        <v>7908</v>
      </c>
      <c r="F24" s="126" t="s">
        <v>7909</v>
      </c>
      <c r="G24" s="189"/>
      <c r="H24" s="167" t="s">
        <v>7814</v>
      </c>
      <c r="I24" s="167" t="s">
        <v>7910</v>
      </c>
      <c r="J24" s="167" t="s">
        <v>7911</v>
      </c>
      <c r="K24" s="116" t="s">
        <v>7912</v>
      </c>
      <c r="L24" s="189"/>
      <c r="M24" s="136" t="s">
        <v>4911</v>
      </c>
      <c r="N24" s="136" t="s">
        <v>5487</v>
      </c>
      <c r="O24" s="136" t="s">
        <v>7913</v>
      </c>
      <c r="P24" s="116" t="str">
        <f>IFERROR(__xludf.DUMMYFUNCTION("GOOGLETRANSLATE(A24,""zh-tw"",""zh"")"),"罗宋汤")</f>
        <v>罗宋汤</v>
      </c>
      <c r="Q24" s="362"/>
      <c r="R24" s="167" t="str">
        <f>IFERROR(__xludf.DUMMYFUNCTION("GOOGLETRANSLATE(C24,""zh-tw"",""zh"")"),"小块兽肉")</f>
        <v>小块兽肉</v>
      </c>
      <c r="S24" s="167" t="str">
        <f>IFERROR(__xludf.DUMMYFUNCTION("GOOGLETRANSLATE(D24,""zh-tw"",""zh"")"),"土豆")</f>
        <v>土豆</v>
      </c>
      <c r="T24" s="167" t="str">
        <f>IFERROR(__xludf.DUMMYFUNCTION("GOOGLETRANSLATE(E24,""zh-tw"",""zh"")"),"胡萝卜")</f>
        <v>胡萝卜</v>
      </c>
      <c r="U24" s="126" t="str">
        <f>IFERROR(__xludf.DUMMYFUNCTION("GOOGLETRANSLATE(A24,""zh-tw"",""es-MX"")"),"Sopa de remolacha")</f>
        <v>Sopa de remolacha</v>
      </c>
      <c r="V24" s="371"/>
      <c r="W24" s="167" t="str">
        <f>IFERROR(__xludf.DUMMYFUNCTION("GOOGLETRANSLATE(C24,""zh-tw"",""es-MX"")"),"Pequeños trozos de carne")</f>
        <v>Pequeños trozos de carne</v>
      </c>
      <c r="X24" s="167" t="str">
        <f>IFERROR(__xludf.DUMMYFUNCTION("GOOGLETRANSLATE(D24,""zh-tw"",""es-MX"")"),"Papa")</f>
        <v>Papa</v>
      </c>
      <c r="Y24" s="167" t="str">
        <f>IFERROR(__xludf.DUMMYFUNCTION("GOOGLETRANSLATE(E24,""zh-tw"",""es-MX"")"),"zanahoria")</f>
        <v>zanahoria</v>
      </c>
      <c r="Z24" s="374" t="str">
        <f>IFERROR(__xludf.DUMMYFUNCTION("GOOGLETRANSLATE(A24,""zh-tw"",""KO"")"),"보르시치")</f>
        <v>보르시치</v>
      </c>
      <c r="AA24" s="372"/>
      <c r="AB24" s="136" t="s">
        <v>7817</v>
      </c>
      <c r="AC24" s="142" t="str">
        <f>IFERROR(__xludf.DUMMYFUNCTION("GOOGLETRANSLATE(D24,""zh-tw"",""KO"")"),"감자")</f>
        <v>감자</v>
      </c>
      <c r="AD24" s="142" t="str">
        <f>IFERROR(__xludf.DUMMYFUNCTION("GOOGLETRANSLATE(E24,""zh-tw"",""KO"")"),"당근")</f>
        <v>당근</v>
      </c>
      <c r="AE24" s="126" t="str">
        <f>IFERROR(__xludf.DUMMYFUNCTION("GOOGLETRANSLATE(A24,""zh-tw"",""ru"")"),"Борщ")</f>
        <v>Борщ</v>
      </c>
      <c r="AF24" s="371"/>
      <c r="AG24" s="167" t="str">
        <f>IFERROR(__xludf.DUMMYFUNCTION("GOOGLETRANSLATE(C24,""zh-tw"",""ru"")"),"Небольшие кусочки мяса")</f>
        <v>Небольшие кусочки мяса</v>
      </c>
      <c r="AH24" s="167" t="str">
        <f>IFERROR(__xludf.DUMMYFUNCTION("GOOGLETRANSLATE(D24,""zh-tw"",""ru"")"),"Картофель")</f>
        <v>Картофель</v>
      </c>
      <c r="AI24" s="167" t="str">
        <f>IFERROR(__xludf.DUMMYFUNCTION("GOOGLETRANSLATE(E24,""zh-tw"",""ru"")"),"морковь")</f>
        <v>морковь</v>
      </c>
      <c r="AJ24" s="375" t="s">
        <v>7914</v>
      </c>
      <c r="AK24" s="372"/>
      <c r="AL24" s="136" t="s">
        <v>7819</v>
      </c>
      <c r="AM24" s="136" t="s">
        <v>5490</v>
      </c>
      <c r="AN24" s="136" t="s">
        <v>5490</v>
      </c>
      <c r="AO24" s="138" t="s">
        <v>7915</v>
      </c>
      <c r="AP24" s="189"/>
      <c r="AQ24" s="142" t="s">
        <v>4916</v>
      </c>
      <c r="AR24" s="142" t="s">
        <v>5492</v>
      </c>
      <c r="AS24" s="142" t="s">
        <v>7916</v>
      </c>
      <c r="AT24" s="126" t="s">
        <v>7912</v>
      </c>
      <c r="AU24" s="190"/>
      <c r="AV24" s="142" t="s">
        <v>4918</v>
      </c>
      <c r="AW24" s="142" t="s">
        <v>5494</v>
      </c>
      <c r="AX24" s="142" t="s">
        <v>7917</v>
      </c>
      <c r="AY24" s="142"/>
      <c r="AZ24" s="142"/>
      <c r="BA24" s="142"/>
      <c r="BB24" s="142"/>
      <c r="BC24" s="142"/>
    </row>
    <row r="25">
      <c r="A25" s="126" t="s">
        <v>7918</v>
      </c>
      <c r="B25" s="189"/>
      <c r="C25" s="167" t="s">
        <v>7919</v>
      </c>
      <c r="D25" s="124"/>
      <c r="E25" s="124"/>
      <c r="F25" s="126" t="s">
        <v>7920</v>
      </c>
      <c r="G25" s="189"/>
      <c r="H25" s="167" t="s">
        <v>7921</v>
      </c>
      <c r="I25" s="124"/>
      <c r="J25" s="124"/>
      <c r="K25" s="116" t="s">
        <v>7922</v>
      </c>
      <c r="L25" s="189"/>
      <c r="M25" s="136" t="s">
        <v>7923</v>
      </c>
      <c r="N25" s="142"/>
      <c r="O25" s="142"/>
      <c r="P25" s="116" t="str">
        <f>IFERROR(__xludf.DUMMYFUNCTION("GOOGLETRANSLATE(A25,""zh-tw"",""zh"")"),"烤章鱼脚")</f>
        <v>烤章鱼脚</v>
      </c>
      <c r="Q25" s="362"/>
      <c r="R25" s="167" t="str">
        <f>IFERROR(__xludf.DUMMYFUNCTION("GOOGLETRANSLATE(C25,""zh-tw"",""zh"")"),"章鱼脚")</f>
        <v>章鱼脚</v>
      </c>
      <c r="S25" s="167"/>
      <c r="T25" s="167"/>
      <c r="U25" s="126" t="str">
        <f>IFERROR(__xludf.DUMMYFUNCTION("GOOGLETRANSLATE(A25,""zh-tw"",""es-MX"")"),"Patas de pulpo a la plancha")</f>
        <v>Patas de pulpo a la plancha</v>
      </c>
      <c r="V25" s="371"/>
      <c r="W25" s="167" t="str">
        <f>IFERROR(__xludf.DUMMYFUNCTION("GOOGLETRANSLATE(C25,""zh-tw"",""es-MX"")"),"Patas de pulpo")</f>
        <v>Patas de pulpo</v>
      </c>
      <c r="X25" s="167"/>
      <c r="Y25" s="167"/>
      <c r="Z25" s="375" t="s">
        <v>7924</v>
      </c>
      <c r="AA25" s="372"/>
      <c r="AB25" s="136" t="s">
        <v>7925</v>
      </c>
      <c r="AC25" s="142"/>
      <c r="AD25" s="142"/>
      <c r="AE25" s="126" t="str">
        <f>IFERROR(__xludf.DUMMYFUNCTION("GOOGLETRANSLATE(A25,""zh-tw"",""ru"")"),"Жареные ножки осьминога")</f>
        <v>Жареные ножки осьминога</v>
      </c>
      <c r="AF25" s="371"/>
      <c r="AG25" s="167" t="str">
        <f>IFERROR(__xludf.DUMMYFUNCTION("GOOGLETRANSLATE(C25,""zh-tw"",""ru"")"),"Ноги осьминога")</f>
        <v>Ноги осьминога</v>
      </c>
      <c r="AH25" s="167"/>
      <c r="AI25" s="167"/>
      <c r="AJ25" s="375" t="s">
        <v>7926</v>
      </c>
      <c r="AK25" s="372"/>
      <c r="AL25" s="136" t="s">
        <v>7927</v>
      </c>
      <c r="AM25" s="142"/>
      <c r="AN25" s="142"/>
      <c r="AO25" s="138" t="s">
        <v>7928</v>
      </c>
      <c r="AP25" s="189"/>
      <c r="AQ25" s="142" t="s">
        <v>7929</v>
      </c>
      <c r="AR25" s="124"/>
      <c r="AS25" s="124"/>
      <c r="AT25" s="126" t="s">
        <v>7930</v>
      </c>
      <c r="AU25" s="190"/>
      <c r="AV25" s="142" t="s">
        <v>7931</v>
      </c>
      <c r="AW25" s="28"/>
      <c r="AX25" s="28"/>
      <c r="AY25" s="124"/>
      <c r="AZ25" s="124"/>
      <c r="BA25" s="124"/>
      <c r="BB25" s="124"/>
      <c r="BC25" s="124"/>
    </row>
    <row r="26">
      <c r="A26" s="133" t="s">
        <v>7932</v>
      </c>
      <c r="B26" s="189"/>
      <c r="C26" s="167" t="s">
        <v>7933</v>
      </c>
      <c r="D26" s="167" t="s">
        <v>7933</v>
      </c>
      <c r="E26" s="167" t="s">
        <v>7933</v>
      </c>
      <c r="F26" s="126" t="s">
        <v>7934</v>
      </c>
      <c r="G26" s="189"/>
      <c r="H26" s="167" t="s">
        <v>7911</v>
      </c>
      <c r="I26" s="167" t="s">
        <v>7911</v>
      </c>
      <c r="J26" s="167" t="s">
        <v>7911</v>
      </c>
      <c r="K26" s="113" t="s">
        <v>7935</v>
      </c>
      <c r="L26" s="189"/>
      <c r="M26" s="136" t="s">
        <v>7913</v>
      </c>
      <c r="N26" s="136" t="s">
        <v>7913</v>
      </c>
      <c r="O26" s="136" t="s">
        <v>7913</v>
      </c>
      <c r="P26" s="116" t="str">
        <f>IFERROR(__xludf.DUMMYFUNCTION("GOOGLETRANSLATE(A26,""zh-tw"",""zh"")"),"蔬菜沙拉")</f>
        <v>蔬菜沙拉</v>
      </c>
      <c r="Q26" s="362"/>
      <c r="R26" s="167" t="str">
        <f>IFERROR(__xludf.DUMMYFUNCTION("GOOGLETRANSLATE(C26,""zh-tw"",""zh"")"),"蔬菜")</f>
        <v>蔬菜</v>
      </c>
      <c r="S26" s="167" t="str">
        <f>IFERROR(__xludf.DUMMYFUNCTION("GOOGLETRANSLATE(D26,""zh-tw"",""zh"")"),"蔬菜")</f>
        <v>蔬菜</v>
      </c>
      <c r="T26" s="167" t="str">
        <f>IFERROR(__xludf.DUMMYFUNCTION("GOOGLETRANSLATE(E26,""zh-tw"",""zh"")"),"蔬菜")</f>
        <v>蔬菜</v>
      </c>
      <c r="U26" s="126" t="str">
        <f>IFERROR(__xludf.DUMMYFUNCTION("GOOGLETRANSLATE(A26,""zh-tw"",""es-MX"")"),"Ensalada de verduras")</f>
        <v>Ensalada de verduras</v>
      </c>
      <c r="V26" s="371"/>
      <c r="W26" s="167" t="str">
        <f>IFERROR(__xludf.DUMMYFUNCTION("GOOGLETRANSLATE(C26,""zh-tw"",""es-MX"")"),"verdura")</f>
        <v>verdura</v>
      </c>
      <c r="X26" s="167" t="str">
        <f>IFERROR(__xludf.DUMMYFUNCTION("GOOGLETRANSLATE(D26,""zh-tw"",""es-MX"")"),"verdura")</f>
        <v>verdura</v>
      </c>
      <c r="Y26" s="167" t="str">
        <f>IFERROR(__xludf.DUMMYFUNCTION("GOOGLETRANSLATE(E26,""zh-tw"",""es-MX"")"),"verdura")</f>
        <v>verdura</v>
      </c>
      <c r="Z26" s="375" t="s">
        <v>7936</v>
      </c>
      <c r="AA26" s="372"/>
      <c r="AB26" s="376" t="s">
        <v>7937</v>
      </c>
      <c r="AC26" s="376" t="s">
        <v>7937</v>
      </c>
      <c r="AD26" s="136" t="s">
        <v>7937</v>
      </c>
      <c r="AE26" s="126" t="str">
        <f>IFERROR(__xludf.DUMMYFUNCTION("GOOGLETRANSLATE(A26,""zh-tw"",""ru"")"),"Овощной салат")</f>
        <v>Овощной салат</v>
      </c>
      <c r="AF26" s="371"/>
      <c r="AG26" s="167" t="str">
        <f>IFERROR(__xludf.DUMMYFUNCTION("GOOGLETRANSLATE(C26,""zh-tw"",""ru"")"),"овощ")</f>
        <v>овощ</v>
      </c>
      <c r="AH26" s="167" t="str">
        <f>IFERROR(__xludf.DUMMYFUNCTION("GOOGLETRANSLATE(D26,""zh-tw"",""ru"")"),"овощ")</f>
        <v>овощ</v>
      </c>
      <c r="AI26" s="167" t="str">
        <f>IFERROR(__xludf.DUMMYFUNCTION("GOOGLETRANSLATE(E26,""zh-tw"",""ru"")"),"овощ")</f>
        <v>овощ</v>
      </c>
      <c r="AJ26" s="375" t="s">
        <v>7938</v>
      </c>
      <c r="AK26" s="372"/>
      <c r="AL26" s="136" t="s">
        <v>7939</v>
      </c>
      <c r="AM26" s="136" t="s">
        <v>7939</v>
      </c>
      <c r="AN26" s="136" t="s">
        <v>7939</v>
      </c>
      <c r="AO26" s="106" t="s">
        <v>7940</v>
      </c>
      <c r="AP26" s="189"/>
      <c r="AQ26" s="142" t="s">
        <v>7916</v>
      </c>
      <c r="AR26" s="142" t="s">
        <v>7916</v>
      </c>
      <c r="AS26" s="142" t="s">
        <v>7916</v>
      </c>
      <c r="AT26" s="126" t="s">
        <v>7941</v>
      </c>
      <c r="AU26" s="190"/>
      <c r="AV26" s="142" t="s">
        <v>7917</v>
      </c>
      <c r="AW26" s="142" t="s">
        <v>7917</v>
      </c>
      <c r="AX26" s="142" t="s">
        <v>7917</v>
      </c>
      <c r="AY26" s="142"/>
      <c r="AZ26" s="142"/>
      <c r="BA26" s="142"/>
      <c r="BB26" s="142"/>
      <c r="BC26" s="142"/>
    </row>
    <row r="27">
      <c r="A27" s="126" t="s">
        <v>7942</v>
      </c>
      <c r="B27" s="189"/>
      <c r="C27" s="167" t="s">
        <v>5485</v>
      </c>
      <c r="D27" s="124"/>
      <c r="E27" s="124"/>
      <c r="F27" s="126" t="s">
        <v>7943</v>
      </c>
      <c r="G27" s="189"/>
      <c r="H27" s="167" t="s">
        <v>7910</v>
      </c>
      <c r="I27" s="124"/>
      <c r="J27" s="124"/>
      <c r="K27" s="116" t="s">
        <v>7944</v>
      </c>
      <c r="L27" s="189"/>
      <c r="M27" s="136" t="s">
        <v>5487</v>
      </c>
      <c r="N27" s="142"/>
      <c r="O27" s="142"/>
      <c r="P27" s="116" t="str">
        <f>IFERROR(__xludf.DUMMYFUNCTION("GOOGLETRANSLATE(A27,""zh-tw"",""zh"")"),"土豆泥")</f>
        <v>土豆泥</v>
      </c>
      <c r="Q27" s="362"/>
      <c r="R27" s="167" t="str">
        <f>IFERROR(__xludf.DUMMYFUNCTION("GOOGLETRANSLATE(C27,""zh-tw"",""zh"")"),"土豆")</f>
        <v>土豆</v>
      </c>
      <c r="S27" s="167"/>
      <c r="T27" s="167"/>
      <c r="U27" s="126" t="str">
        <f>IFERROR(__xludf.DUMMYFUNCTION("GOOGLETRANSLATE(A27,""zh-tw"",""es-MX"")"),"Puré de papas")</f>
        <v>Puré de papas</v>
      </c>
      <c r="V27" s="371"/>
      <c r="W27" s="167" t="str">
        <f>IFERROR(__xludf.DUMMYFUNCTION("GOOGLETRANSLATE(C27,""zh-tw"",""es-MX"")"),"Papa")</f>
        <v>Papa</v>
      </c>
      <c r="X27" s="167"/>
      <c r="Y27" s="167"/>
      <c r="Z27" s="375" t="s">
        <v>7945</v>
      </c>
      <c r="AA27" s="372"/>
      <c r="AB27" s="142" t="str">
        <f>IFERROR(__xludf.DUMMYFUNCTION("GOOGLETRANSLATE(C27,""zh-tw"",""KO"")"),"감자")</f>
        <v>감자</v>
      </c>
      <c r="AC27" s="142"/>
      <c r="AD27" s="142"/>
      <c r="AE27" s="126" t="str">
        <f>IFERROR(__xludf.DUMMYFUNCTION("GOOGLETRANSLATE(A27,""zh-tw"",""ru"")"),"Картофельное пюре")</f>
        <v>Картофельное пюре</v>
      </c>
      <c r="AF27" s="371"/>
      <c r="AG27" s="167" t="str">
        <f>IFERROR(__xludf.DUMMYFUNCTION("GOOGLETRANSLATE(C27,""zh-tw"",""ru"")"),"Картофель")</f>
        <v>Картофель</v>
      </c>
      <c r="AH27" s="167"/>
      <c r="AI27" s="167"/>
      <c r="AJ27" s="375" t="s">
        <v>7946</v>
      </c>
      <c r="AK27" s="372"/>
      <c r="AL27" s="136" t="s">
        <v>5490</v>
      </c>
      <c r="AM27" s="142"/>
      <c r="AN27" s="142"/>
      <c r="AO27" s="138" t="s">
        <v>7947</v>
      </c>
      <c r="AP27" s="189"/>
      <c r="AQ27" s="142" t="s">
        <v>5492</v>
      </c>
      <c r="AR27" s="124"/>
      <c r="AS27" s="124"/>
      <c r="AT27" s="126" t="s">
        <v>7948</v>
      </c>
      <c r="AU27" s="190"/>
      <c r="AV27" s="142" t="s">
        <v>5494</v>
      </c>
      <c r="AW27" s="28"/>
      <c r="AX27" s="28"/>
      <c r="AY27" s="124"/>
      <c r="AZ27" s="124"/>
      <c r="BA27" s="124"/>
      <c r="BB27" s="124"/>
      <c r="BC27" s="124"/>
    </row>
    <row r="28">
      <c r="A28" s="126" t="s">
        <v>7949</v>
      </c>
      <c r="B28" s="189"/>
      <c r="C28" s="167" t="s">
        <v>7908</v>
      </c>
      <c r="D28" s="167" t="s">
        <v>7950</v>
      </c>
      <c r="E28" s="124"/>
      <c r="F28" s="126" t="s">
        <v>7951</v>
      </c>
      <c r="G28" s="189"/>
      <c r="H28" s="167" t="s">
        <v>7911</v>
      </c>
      <c r="I28" s="167" t="s">
        <v>7952</v>
      </c>
      <c r="J28" s="124"/>
      <c r="K28" s="116" t="s">
        <v>7953</v>
      </c>
      <c r="L28" s="189"/>
      <c r="M28" s="136" t="s">
        <v>7913</v>
      </c>
      <c r="N28" s="136" t="s">
        <v>7779</v>
      </c>
      <c r="O28" s="142"/>
      <c r="P28" s="116" t="str">
        <f>IFERROR(__xludf.DUMMYFUNCTION("GOOGLETRANSLATE(A28,""zh-tw"",""zh"")"),"萝卜菇片汤")</f>
        <v>萝卜菇片汤</v>
      </c>
      <c r="Q28" s="362"/>
      <c r="R28" s="167" t="str">
        <f>IFERROR(__xludf.DUMMYFUNCTION("GOOGLETRANSLATE(C28,""zh-tw"",""zh"")"),"胡萝卜")</f>
        <v>胡萝卜</v>
      </c>
      <c r="S28" s="167" t="str">
        <f>IFERROR(__xludf.DUMMYFUNCTION("GOOGLETRANSLATE(D28,""zh-tw"",""zh"")"),"菇类")</f>
        <v>菇类</v>
      </c>
      <c r="T28" s="167"/>
      <c r="U28" s="126" t="str">
        <f>IFERROR(__xludf.DUMMYFUNCTION("GOOGLETRANSLATE(A28,""zh-tw"",""es-MX"")"),"Sopa de rábanos y champiñones")</f>
        <v>Sopa de rábanos y champiñones</v>
      </c>
      <c r="V28" s="371"/>
      <c r="W28" s="167" t="str">
        <f>IFERROR(__xludf.DUMMYFUNCTION("GOOGLETRANSLATE(C28,""zh-tw"",""es-MX"")"),"zanahoria")</f>
        <v>zanahoria</v>
      </c>
      <c r="X28" s="167" t="str">
        <f>IFERROR(__xludf.DUMMYFUNCTION("GOOGLETRANSLATE(D28,""zh-tw"",""es-MX"")"),"Hongos")</f>
        <v>Hongos</v>
      </c>
      <c r="Y28" s="167"/>
      <c r="Z28" s="375" t="s">
        <v>7954</v>
      </c>
      <c r="AA28" s="372"/>
      <c r="AB28" s="142" t="str">
        <f>IFERROR(__xludf.DUMMYFUNCTION("GOOGLETRANSLATE(C28,""zh-tw"",""KO"")"),"당근")</f>
        <v>당근</v>
      </c>
      <c r="AC28" s="142" t="str">
        <f>IFERROR(__xludf.DUMMYFUNCTION("GOOGLETRANSLATE(D28,""zh-tw"",""KO"")"),"버섯")</f>
        <v>버섯</v>
      </c>
      <c r="AD28" s="142"/>
      <c r="AE28" s="126" t="str">
        <f>IFERROR(__xludf.DUMMYFUNCTION("GOOGLETRANSLATE(A28,""zh-tw"",""ru"")"),"Суп из редиса и грибов")</f>
        <v>Суп из редиса и грибов</v>
      </c>
      <c r="AF28" s="371"/>
      <c r="AG28" s="167" t="str">
        <f>IFERROR(__xludf.DUMMYFUNCTION("GOOGLETRANSLATE(C28,""zh-tw"",""ru"")"),"морковь")</f>
        <v>морковь</v>
      </c>
      <c r="AH28" s="167" t="str">
        <f>IFERROR(__xludf.DUMMYFUNCTION("GOOGLETRANSLATE(D28,""zh-tw"",""ru"")"),"Грибы")</f>
        <v>Грибы</v>
      </c>
      <c r="AI28" s="167"/>
      <c r="AJ28" s="375" t="s">
        <v>7955</v>
      </c>
      <c r="AK28" s="372"/>
      <c r="AL28" s="136" t="s">
        <v>7956</v>
      </c>
      <c r="AM28" s="142" t="str">
        <f>IFERROR(__xludf.DUMMYFUNCTION("GOOGLETRANSLATE(D28,""zh-tw"",""de"")"),"Pilze")</f>
        <v>Pilze</v>
      </c>
      <c r="AN28" s="142"/>
      <c r="AO28" s="138" t="s">
        <v>7957</v>
      </c>
      <c r="AP28" s="189"/>
      <c r="AQ28" s="142" t="s">
        <v>7916</v>
      </c>
      <c r="AR28" s="142" t="s">
        <v>7784</v>
      </c>
      <c r="AS28" s="124"/>
      <c r="AT28" s="126" t="s">
        <v>7958</v>
      </c>
      <c r="AU28" s="190"/>
      <c r="AV28" s="142" t="s">
        <v>7917</v>
      </c>
      <c r="AW28" s="142" t="s">
        <v>7786</v>
      </c>
      <c r="AX28" s="28"/>
      <c r="AY28" s="124"/>
      <c r="AZ28" s="124"/>
      <c r="BA28" s="124"/>
      <c r="BB28" s="124"/>
      <c r="BC28" s="124"/>
    </row>
    <row r="29">
      <c r="A29" s="126" t="s">
        <v>7959</v>
      </c>
      <c r="B29" s="189"/>
      <c r="C29" s="167" t="s">
        <v>7960</v>
      </c>
      <c r="D29" s="124"/>
      <c r="E29" s="124"/>
      <c r="F29" s="126" t="s">
        <v>7961</v>
      </c>
      <c r="G29" s="189"/>
      <c r="H29" s="167" t="s">
        <v>7962</v>
      </c>
      <c r="I29" s="124"/>
      <c r="J29" s="124"/>
      <c r="K29" s="116" t="s">
        <v>7963</v>
      </c>
      <c r="L29" s="189"/>
      <c r="M29" s="136" t="s">
        <v>7964</v>
      </c>
      <c r="N29" s="142"/>
      <c r="O29" s="142"/>
      <c r="P29" s="116" t="str">
        <f>IFERROR(__xludf.DUMMYFUNCTION("GOOGLETRANSLATE(A29,""zh-tw"",""zh"")"),"意面")</f>
        <v>意面</v>
      </c>
      <c r="Q29" s="362"/>
      <c r="R29" s="167" t="str">
        <f>IFERROR(__xludf.DUMMYFUNCTION("GOOGLETRANSLATE(C29,""zh-tw"",""zh"")"),"意大利面")</f>
        <v>意大利面</v>
      </c>
      <c r="S29" s="167"/>
      <c r="T29" s="167"/>
      <c r="U29" s="126" t="str">
        <f>IFERROR(__xludf.DUMMYFUNCTION("GOOGLETRANSLATE(A29,""zh-tw"",""es-MX"")"),"pastas")</f>
        <v>pastas</v>
      </c>
      <c r="V29" s="371"/>
      <c r="W29" s="167" t="str">
        <f>IFERROR(__xludf.DUMMYFUNCTION("GOOGLETRANSLATE(C29,""zh-tw"",""es-MX"")"),"espaguetis")</f>
        <v>espaguetis</v>
      </c>
      <c r="X29" s="167"/>
      <c r="Y29" s="167"/>
      <c r="Z29" s="374" t="str">
        <f>IFERROR(__xludf.DUMMYFUNCTION("GOOGLETRANSLATE(A29,""zh-tw"",""KO"")"),"파스타")</f>
        <v>파스타</v>
      </c>
      <c r="AA29" s="372"/>
      <c r="AB29" s="142" t="str">
        <f>IFERROR(__xludf.DUMMYFUNCTION("GOOGLETRANSLATE(C29,""zh-tw"",""KO"")"),"스파게티")</f>
        <v>스파게티</v>
      </c>
      <c r="AC29" s="142"/>
      <c r="AD29" s="142"/>
      <c r="AE29" s="126" t="str">
        <f>IFERROR(__xludf.DUMMYFUNCTION("GOOGLETRANSLATE(A29,""zh-tw"",""ru"")"),"макароны")</f>
        <v>макароны</v>
      </c>
      <c r="AF29" s="371"/>
      <c r="AG29" s="167" t="str">
        <f>IFERROR(__xludf.DUMMYFUNCTION("GOOGLETRANSLATE(C29,""zh-tw"",""ru"")"),"спагетти")</f>
        <v>спагетти</v>
      </c>
      <c r="AH29" s="167"/>
      <c r="AI29" s="167"/>
      <c r="AJ29" s="375" t="s">
        <v>7965</v>
      </c>
      <c r="AK29" s="372"/>
      <c r="AL29" s="136" t="s">
        <v>7964</v>
      </c>
      <c r="AM29" s="142"/>
      <c r="AN29" s="142"/>
      <c r="AO29" s="138" t="s">
        <v>7963</v>
      </c>
      <c r="AP29" s="189"/>
      <c r="AQ29" s="142" t="s">
        <v>7966</v>
      </c>
      <c r="AR29" s="124"/>
      <c r="AS29" s="124"/>
      <c r="AT29" s="126" t="s">
        <v>7967</v>
      </c>
      <c r="AU29" s="190"/>
      <c r="AV29" s="142" t="s">
        <v>7968</v>
      </c>
      <c r="AW29" s="28"/>
      <c r="AX29" s="28"/>
      <c r="AY29" s="124"/>
      <c r="AZ29" s="124"/>
      <c r="BA29" s="124"/>
      <c r="BB29" s="124"/>
      <c r="BC29" s="124"/>
    </row>
    <row r="30">
      <c r="A30" s="126" t="s">
        <v>7969</v>
      </c>
      <c r="B30" s="189"/>
      <c r="C30" s="167" t="s">
        <v>7960</v>
      </c>
      <c r="D30" s="167" t="s">
        <v>7970</v>
      </c>
      <c r="E30" s="124"/>
      <c r="F30" s="126" t="s">
        <v>7971</v>
      </c>
      <c r="G30" s="189"/>
      <c r="H30" s="167" t="s">
        <v>7962</v>
      </c>
      <c r="I30" s="167" t="s">
        <v>7972</v>
      </c>
      <c r="J30" s="124"/>
      <c r="K30" s="116" t="s">
        <v>7973</v>
      </c>
      <c r="L30" s="189"/>
      <c r="M30" s="136" t="s">
        <v>7964</v>
      </c>
      <c r="N30" s="136" t="s">
        <v>7974</v>
      </c>
      <c r="O30" s="142"/>
      <c r="P30" s="116" t="str">
        <f>IFERROR(__xludf.DUMMYFUNCTION("GOOGLETRANSLATE(A30,""zh-tw"",""zh"")"),"番茄意面")</f>
        <v>番茄意面</v>
      </c>
      <c r="Q30" s="362"/>
      <c r="R30" s="167" t="str">
        <f>IFERROR(__xludf.DUMMYFUNCTION("GOOGLETRANSLATE(C30,""zh-tw"",""zh"")"),"意大利面")</f>
        <v>意大利面</v>
      </c>
      <c r="S30" s="167" t="str">
        <f>IFERROR(__xludf.DUMMYFUNCTION("GOOGLETRANSLATE(D30,""zh-tw"",""zh"")"),"番茄酱")</f>
        <v>番茄酱</v>
      </c>
      <c r="T30" s="167"/>
      <c r="U30" s="126" t="str">
        <f>IFERROR(__xludf.DUMMYFUNCTION("GOOGLETRANSLATE(A30,""zh-tw"",""es-MX"")"),"Pasta de tomate")</f>
        <v>Pasta de tomate</v>
      </c>
      <c r="V30" s="371"/>
      <c r="W30" s="167" t="str">
        <f>IFERROR(__xludf.DUMMYFUNCTION("GOOGLETRANSLATE(C30,""zh-tw"",""es-MX"")"),"espaguetis")</f>
        <v>espaguetis</v>
      </c>
      <c r="X30" s="167" t="str">
        <f>IFERROR(__xludf.DUMMYFUNCTION("GOOGLETRANSLATE(D30,""zh-tw"",""es-MX"")"),"salsa de tomate")</f>
        <v>salsa de tomate</v>
      </c>
      <c r="Y30" s="167"/>
      <c r="Z30" s="374" t="str">
        <f>IFERROR(__xludf.DUMMYFUNCTION("GOOGLETRANSLATE(A30,""zh-tw"",""KO"")"),"토마토 파스타")</f>
        <v>토마토 파스타</v>
      </c>
      <c r="AA30" s="372"/>
      <c r="AB30" s="142" t="str">
        <f>IFERROR(__xludf.DUMMYFUNCTION("GOOGLETRANSLATE(C30,""zh-tw"",""KO"")"),"스파게티")</f>
        <v>스파게티</v>
      </c>
      <c r="AC30" s="142" t="str">
        <f>IFERROR(__xludf.DUMMYFUNCTION("GOOGLETRANSLATE(D30,""zh-tw"",""KO"")"),"토마토 소스")</f>
        <v>토마토 소스</v>
      </c>
      <c r="AD30" s="142"/>
      <c r="AE30" s="126" t="str">
        <f>IFERROR(__xludf.DUMMYFUNCTION("GOOGLETRANSLATE(A30,""zh-tw"",""ru"")"),"Томатная паста")</f>
        <v>Томатная паста</v>
      </c>
      <c r="AF30" s="371"/>
      <c r="AG30" s="167" t="str">
        <f>IFERROR(__xludf.DUMMYFUNCTION("GOOGLETRANSLATE(C30,""zh-tw"",""ru"")"),"спагетти")</f>
        <v>спагетти</v>
      </c>
      <c r="AH30" s="167" t="str">
        <f>IFERROR(__xludf.DUMMYFUNCTION("GOOGLETRANSLATE(D30,""zh-tw"",""ru"")"),"Томатный соус")</f>
        <v>Томатный соус</v>
      </c>
      <c r="AI30" s="167"/>
      <c r="AJ30" s="375" t="s">
        <v>7975</v>
      </c>
      <c r="AK30" s="372"/>
      <c r="AL30" s="136" t="s">
        <v>7964</v>
      </c>
      <c r="AM30" s="136" t="s">
        <v>7976</v>
      </c>
      <c r="AN30" s="142"/>
      <c r="AO30" s="138" t="s">
        <v>7977</v>
      </c>
      <c r="AP30" s="189"/>
      <c r="AQ30" s="142" t="s">
        <v>7966</v>
      </c>
      <c r="AR30" s="142" t="s">
        <v>7978</v>
      </c>
      <c r="AS30" s="124"/>
      <c r="AT30" s="126" t="s">
        <v>7979</v>
      </c>
      <c r="AU30" s="190"/>
      <c r="AV30" s="142" t="s">
        <v>7968</v>
      </c>
      <c r="AW30" s="142" t="s">
        <v>7980</v>
      </c>
      <c r="AX30" s="28"/>
      <c r="AY30" s="124"/>
      <c r="AZ30" s="124"/>
      <c r="BA30" s="124"/>
      <c r="BB30" s="124"/>
      <c r="BC30" s="124"/>
    </row>
    <row r="31">
      <c r="A31" s="126" t="s">
        <v>7981</v>
      </c>
      <c r="B31" s="189"/>
      <c r="C31" s="167" t="s">
        <v>7960</v>
      </c>
      <c r="D31" s="167" t="s">
        <v>7982</v>
      </c>
      <c r="E31" s="124"/>
      <c r="F31" s="126" t="s">
        <v>7983</v>
      </c>
      <c r="G31" s="189"/>
      <c r="H31" s="167" t="s">
        <v>7962</v>
      </c>
      <c r="I31" s="167" t="s">
        <v>7984</v>
      </c>
      <c r="J31" s="124"/>
      <c r="K31" s="116" t="s">
        <v>7985</v>
      </c>
      <c r="L31" s="189"/>
      <c r="M31" s="136" t="s">
        <v>7964</v>
      </c>
      <c r="N31" s="136" t="s">
        <v>7986</v>
      </c>
      <c r="O31" s="142"/>
      <c r="P31" s="116" t="str">
        <f>IFERROR(__xludf.DUMMYFUNCTION("GOOGLETRANSLATE(A31,""zh-tw"",""zh"")"),"海鲜意面")</f>
        <v>海鲜意面</v>
      </c>
      <c r="Q31" s="362"/>
      <c r="R31" s="167" t="str">
        <f>IFERROR(__xludf.DUMMYFUNCTION("GOOGLETRANSLATE(C31,""zh-tw"",""zh"")"),"意大利面")</f>
        <v>意大利面</v>
      </c>
      <c r="S31" s="167" t="str">
        <f>IFERROR(__xludf.DUMMYFUNCTION("GOOGLETRANSLATE(D31,""zh-tw"",""zh"")"),"甜虾")</f>
        <v>甜虾</v>
      </c>
      <c r="T31" s="167"/>
      <c r="U31" s="126" t="str">
        <f>IFERROR(__xludf.DUMMYFUNCTION("GOOGLETRANSLATE(A31,""zh-tw"",""es-MX"")"),"Pasta con mariscos")</f>
        <v>Pasta con mariscos</v>
      </c>
      <c r="V31" s="371"/>
      <c r="W31" s="167" t="str">
        <f>IFERROR(__xludf.DUMMYFUNCTION("GOOGLETRANSLATE(C31,""zh-tw"",""es-MX"")"),"espaguetis")</f>
        <v>espaguetis</v>
      </c>
      <c r="X31" s="167" t="str">
        <f>IFERROR(__xludf.DUMMYFUNCTION("GOOGLETRANSLATE(D31,""zh-tw"",""es-MX"")"),"Camarones dulces")</f>
        <v>Camarones dulces</v>
      </c>
      <c r="Y31" s="167"/>
      <c r="Z31" s="374" t="str">
        <f>IFERROR(__xludf.DUMMYFUNCTION("GOOGLETRANSLATE(A31,""zh-tw"",""KO"")"),"해산물 파스타")</f>
        <v>해산물 파스타</v>
      </c>
      <c r="AA31" s="372"/>
      <c r="AB31" s="142" t="str">
        <f>IFERROR(__xludf.DUMMYFUNCTION("GOOGLETRANSLATE(C31,""zh-tw"",""KO"")"),"스파게티")</f>
        <v>스파게티</v>
      </c>
      <c r="AC31" s="136" t="s">
        <v>7987</v>
      </c>
      <c r="AD31" s="142"/>
      <c r="AE31" s="126" t="str">
        <f>IFERROR(__xludf.DUMMYFUNCTION("GOOGLETRANSLATE(A31,""zh-tw"",""ru"")"),"Паста с морепродуктами")</f>
        <v>Паста с морепродуктами</v>
      </c>
      <c r="AF31" s="371"/>
      <c r="AG31" s="167" t="str">
        <f>IFERROR(__xludf.DUMMYFUNCTION("GOOGLETRANSLATE(C31,""zh-tw"",""ru"")"),"спагетти")</f>
        <v>спагетти</v>
      </c>
      <c r="AH31" s="167" t="str">
        <f>IFERROR(__xludf.DUMMYFUNCTION("GOOGLETRANSLATE(D31,""zh-tw"",""ru"")"),"Сладкие креветки")</f>
        <v>Сладкие креветки</v>
      </c>
      <c r="AI31" s="167"/>
      <c r="AJ31" s="375" t="s">
        <v>7988</v>
      </c>
      <c r="AK31" s="372"/>
      <c r="AL31" s="136" t="s">
        <v>7964</v>
      </c>
      <c r="AM31" s="136" t="s">
        <v>7989</v>
      </c>
      <c r="AN31" s="142"/>
      <c r="AO31" s="138" t="s">
        <v>7990</v>
      </c>
      <c r="AP31" s="189"/>
      <c r="AQ31" s="142" t="s">
        <v>7966</v>
      </c>
      <c r="AR31" s="142" t="s">
        <v>7991</v>
      </c>
      <c r="AS31" s="124"/>
      <c r="AT31" s="126" t="s">
        <v>7992</v>
      </c>
      <c r="AU31" s="190"/>
      <c r="AV31" s="142" t="s">
        <v>7968</v>
      </c>
      <c r="AW31" s="142" t="s">
        <v>7993</v>
      </c>
      <c r="AX31" s="28"/>
      <c r="AY31" s="124"/>
      <c r="AZ31" s="124"/>
      <c r="BA31" s="124"/>
      <c r="BB31" s="124"/>
      <c r="BC31" s="124"/>
    </row>
    <row r="32">
      <c r="A32" s="126" t="s">
        <v>7994</v>
      </c>
      <c r="B32" s="189"/>
      <c r="C32" s="167" t="s">
        <v>7715</v>
      </c>
      <c r="D32" s="167" t="s">
        <v>7716</v>
      </c>
      <c r="E32" s="167" t="s">
        <v>5344</v>
      </c>
      <c r="F32" s="126" t="s">
        <v>7995</v>
      </c>
      <c r="G32" s="189"/>
      <c r="H32" s="167" t="s">
        <v>7718</v>
      </c>
      <c r="I32" s="167" t="s">
        <v>7719</v>
      </c>
      <c r="J32" s="167" t="s">
        <v>7996</v>
      </c>
      <c r="K32" s="113" t="s">
        <v>7997</v>
      </c>
      <c r="L32" s="189"/>
      <c r="M32" s="136" t="s">
        <v>7721</v>
      </c>
      <c r="N32" s="136" t="s">
        <v>7722</v>
      </c>
      <c r="O32" s="136" t="s">
        <v>5348</v>
      </c>
      <c r="P32" s="116" t="str">
        <f>IFERROR(__xludf.DUMMYFUNCTION("GOOGLETRANSLATE(A32,""zh-tw"",""zh"")"),"鸡蛋咖喱饭")</f>
        <v>鸡蛋咖喱饭</v>
      </c>
      <c r="Q32" s="362"/>
      <c r="R32" s="167" t="str">
        <f>IFERROR(__xludf.DUMMYFUNCTION("GOOGLETRANSLATE(C32,""zh-tw"",""zh"")"),"白米饭")</f>
        <v>白米饭</v>
      </c>
      <c r="S32" s="167" t="str">
        <f>IFERROR(__xludf.DUMMYFUNCTION("GOOGLETRANSLATE(D32,""zh-tw"",""zh"")"),"咖喱块")</f>
        <v>咖喱块</v>
      </c>
      <c r="T32" s="167" t="str">
        <f>IFERROR(__xludf.DUMMYFUNCTION("GOOGLETRANSLATE(E32,""zh-tw"",""zh"")"),"很大的蛋")</f>
        <v>很大的蛋</v>
      </c>
      <c r="U32" s="126" t="str">
        <f>IFERROR(__xludf.DUMMYFUNCTION("GOOGLETRANSLATE(A32,""zh-tw"",""es-MX"")"),"Arroz con curry de huevo")</f>
        <v>Arroz con curry de huevo</v>
      </c>
      <c r="V32" s="371"/>
      <c r="W32" s="167" t="str">
        <f>IFERROR(__xludf.DUMMYFUNCTION("GOOGLETRANSLATE(C32,""zh-tw"",""es-MX"")"),"arroz blanco")</f>
        <v>arroz blanco</v>
      </c>
      <c r="X32" s="167" t="str">
        <f>IFERROR(__xludf.DUMMYFUNCTION("GOOGLETRANSLATE(D32,""zh-tw"",""es-MX"")"),"cubos de curry")</f>
        <v>cubos de curry</v>
      </c>
      <c r="Y32" s="167" t="str">
        <f>IFERROR(__xludf.DUMMYFUNCTION("GOOGLETRANSLATE(E32,""zh-tw"",""es-MX"")"),"Un huevo muy grande")</f>
        <v>Un huevo muy grande</v>
      </c>
      <c r="Z32" s="374" t="str">
        <f>IFERROR(__xludf.DUMMYFUNCTION("GOOGLETRANSLATE(A32,""zh-tw"",""KO"")"),"계란 카레 라이스")</f>
        <v>계란 카레 라이스</v>
      </c>
      <c r="AA32" s="372"/>
      <c r="AB32" s="142" t="str">
        <f>IFERROR(__xludf.DUMMYFUNCTION("GOOGLETRANSLATE(C32,""zh-tw"",""KO"")"),"흰쌀")</f>
        <v>흰쌀</v>
      </c>
      <c r="AC32" s="136" t="s">
        <v>7723</v>
      </c>
      <c r="AD32" s="136" t="s">
        <v>5351</v>
      </c>
      <c r="AE32" s="126" t="str">
        <f>IFERROR(__xludf.DUMMYFUNCTION("GOOGLETRANSLATE(A32,""zh-tw"",""ru"")"),"Яичный карри с рисом")</f>
        <v>Яичный карри с рисом</v>
      </c>
      <c r="AF32" s="371"/>
      <c r="AG32" s="167" t="str">
        <f>IFERROR(__xludf.DUMMYFUNCTION("GOOGLETRANSLATE(C32,""zh-tw"",""ru"")"),"Белый рис")</f>
        <v>Белый рис</v>
      </c>
      <c r="AH32" s="167" t="str">
        <f>IFERROR(__xludf.DUMMYFUNCTION("GOOGLETRANSLATE(D32,""zh-tw"",""ru"")"),"кубики карри")</f>
        <v>кубики карри</v>
      </c>
      <c r="AI32" s="167" t="str">
        <f>IFERROR(__xludf.DUMMYFUNCTION("GOOGLETRANSLATE(E32,""zh-tw"",""ru"")"),"Очень большое яйцо")</f>
        <v>Очень большое яйцо</v>
      </c>
      <c r="AJ32" s="375" t="s">
        <v>7998</v>
      </c>
      <c r="AK32" s="372"/>
      <c r="AL32" s="136" t="s">
        <v>7725</v>
      </c>
      <c r="AM32" s="136" t="s">
        <v>7726</v>
      </c>
      <c r="AN32" s="136" t="s">
        <v>7999</v>
      </c>
      <c r="AO32" s="138" t="s">
        <v>8000</v>
      </c>
      <c r="AP32" s="189"/>
      <c r="AQ32" s="142" t="s">
        <v>7728</v>
      </c>
      <c r="AR32" s="142" t="s">
        <v>7729</v>
      </c>
      <c r="AS32" s="142" t="s">
        <v>5356</v>
      </c>
      <c r="AT32" s="126" t="s">
        <v>8001</v>
      </c>
      <c r="AU32" s="190"/>
      <c r="AV32" s="142" t="s">
        <v>7731</v>
      </c>
      <c r="AW32" s="136" t="s">
        <v>7732</v>
      </c>
      <c r="AX32" s="142" t="s">
        <v>5359</v>
      </c>
      <c r="AY32" s="142"/>
      <c r="AZ32" s="142"/>
      <c r="BA32" s="142"/>
      <c r="BB32" s="142"/>
      <c r="BC32" s="142"/>
    </row>
    <row r="33">
      <c r="A33" s="126" t="s">
        <v>8002</v>
      </c>
      <c r="B33" s="189"/>
      <c r="C33" s="167" t="s">
        <v>7715</v>
      </c>
      <c r="D33" s="167" t="s">
        <v>5344</v>
      </c>
      <c r="E33" s="124"/>
      <c r="F33" s="126" t="s">
        <v>8003</v>
      </c>
      <c r="G33" s="189"/>
      <c r="H33" s="167" t="s">
        <v>7718</v>
      </c>
      <c r="I33" s="167" t="s">
        <v>7996</v>
      </c>
      <c r="J33" s="124"/>
      <c r="K33" s="116" t="s">
        <v>8004</v>
      </c>
      <c r="L33" s="189"/>
      <c r="M33" s="136" t="s">
        <v>7721</v>
      </c>
      <c r="N33" s="136" t="s">
        <v>8005</v>
      </c>
      <c r="O33" s="142"/>
      <c r="P33" s="116" t="str">
        <f>IFERROR(__xludf.DUMMYFUNCTION("GOOGLETRANSLATE(A33,""zh-tw"",""zh"")"),"蛋包饭")</f>
        <v>蛋包饭</v>
      </c>
      <c r="Q33" s="362"/>
      <c r="R33" s="167" t="str">
        <f>IFERROR(__xludf.DUMMYFUNCTION("GOOGLETRANSLATE(C33,""zh-tw"",""zh"")"),"白米饭")</f>
        <v>白米饭</v>
      </c>
      <c r="S33" s="167" t="str">
        <f>IFERROR(__xludf.DUMMYFUNCTION("GOOGLETRANSLATE(D33,""zh-tw"",""zh"")"),"很大的蛋")</f>
        <v>很大的蛋</v>
      </c>
      <c r="T33" s="167"/>
      <c r="U33" s="126" t="str">
        <f>IFERROR(__xludf.DUMMYFUNCTION("GOOGLETRANSLATE(A33,""zh-tw"",""es-MX"")"),"Arroz para tortilla")</f>
        <v>Arroz para tortilla</v>
      </c>
      <c r="V33" s="371"/>
      <c r="W33" s="167" t="str">
        <f>IFERROR(__xludf.DUMMYFUNCTION("GOOGLETRANSLATE(C33,""zh-tw"",""es-MX"")"),"arroz blanco")</f>
        <v>arroz blanco</v>
      </c>
      <c r="X33" s="167" t="str">
        <f>IFERROR(__xludf.DUMMYFUNCTION("GOOGLETRANSLATE(D33,""zh-tw"",""es-MX"")"),"Un huevo muy grande")</f>
        <v>Un huevo muy grande</v>
      </c>
      <c r="Y33" s="167"/>
      <c r="Z33" s="375" t="s">
        <v>8006</v>
      </c>
      <c r="AA33" s="372"/>
      <c r="AB33" s="142" t="str">
        <f>IFERROR(__xludf.DUMMYFUNCTION("GOOGLETRANSLATE(C33,""zh-tw"",""KO"")"),"흰쌀")</f>
        <v>흰쌀</v>
      </c>
      <c r="AC33" s="315" t="s">
        <v>5351</v>
      </c>
      <c r="AD33" s="142"/>
      <c r="AE33" s="126" t="str">
        <f>IFERROR(__xludf.DUMMYFUNCTION("GOOGLETRANSLATE(A33,""zh-tw"",""ru"")"),"Омлет с рисом")</f>
        <v>Омлет с рисом</v>
      </c>
      <c r="AF33" s="371"/>
      <c r="AG33" s="167" t="str">
        <f>IFERROR(__xludf.DUMMYFUNCTION("GOOGLETRANSLATE(C33,""zh-tw"",""ru"")"),"Белый рис")</f>
        <v>Белый рис</v>
      </c>
      <c r="AH33" s="167" t="str">
        <f>IFERROR(__xludf.DUMMYFUNCTION("GOOGLETRANSLATE(D33,""zh-tw"",""ru"")"),"Очень большое яйцо")</f>
        <v>Очень большое яйцо</v>
      </c>
      <c r="AI33" s="167"/>
      <c r="AJ33" s="375" t="s">
        <v>8007</v>
      </c>
      <c r="AK33" s="372"/>
      <c r="AL33" s="136" t="s">
        <v>7725</v>
      </c>
      <c r="AM33" s="136" t="s">
        <v>7999</v>
      </c>
      <c r="AN33" s="142"/>
      <c r="AO33" s="138" t="s">
        <v>8004</v>
      </c>
      <c r="AP33" s="189"/>
      <c r="AQ33" s="142" t="s">
        <v>7728</v>
      </c>
      <c r="AR33" s="142" t="s">
        <v>5356</v>
      </c>
      <c r="AS33" s="124"/>
      <c r="AT33" s="126" t="s">
        <v>8004</v>
      </c>
      <c r="AU33" s="190"/>
      <c r="AV33" s="142" t="s">
        <v>7731</v>
      </c>
      <c r="AW33" s="142" t="s">
        <v>5359</v>
      </c>
      <c r="AX33" s="28"/>
      <c r="AY33" s="124"/>
      <c r="AZ33" s="124"/>
      <c r="BA33" s="124"/>
      <c r="BB33" s="124"/>
      <c r="BC33" s="124"/>
    </row>
    <row r="34">
      <c r="A34" s="126" t="s">
        <v>8008</v>
      </c>
      <c r="B34" s="189"/>
      <c r="C34" s="167" t="s">
        <v>7715</v>
      </c>
      <c r="D34" s="167" t="s">
        <v>5344</v>
      </c>
      <c r="E34" s="167" t="s">
        <v>5496</v>
      </c>
      <c r="F34" s="126" t="s">
        <v>8009</v>
      </c>
      <c r="G34" s="189"/>
      <c r="H34" s="167" t="s">
        <v>7718</v>
      </c>
      <c r="I34" s="167" t="s">
        <v>7996</v>
      </c>
      <c r="J34" s="167" t="s">
        <v>8010</v>
      </c>
      <c r="K34" s="116" t="s">
        <v>8011</v>
      </c>
      <c r="L34" s="189"/>
      <c r="M34" s="136" t="s">
        <v>7721</v>
      </c>
      <c r="N34" s="136" t="s">
        <v>8005</v>
      </c>
      <c r="O34" s="136" t="s">
        <v>5498</v>
      </c>
      <c r="P34" s="116" t="str">
        <f>IFERROR(__xludf.DUMMYFUNCTION("GOOGLETRANSLATE(A34,""zh-tw"",""zh"")"),"番茄蛋包饭")</f>
        <v>番茄蛋包饭</v>
      </c>
      <c r="Q34" s="362"/>
      <c r="R34" s="167" t="str">
        <f>IFERROR(__xludf.DUMMYFUNCTION("GOOGLETRANSLATE(C34,""zh-tw"",""zh"")"),"白米饭")</f>
        <v>白米饭</v>
      </c>
      <c r="S34" s="167" t="str">
        <f>IFERROR(__xludf.DUMMYFUNCTION("GOOGLETRANSLATE(D34,""zh-tw"",""zh"")"),"很大的蛋")</f>
        <v>很大的蛋</v>
      </c>
      <c r="T34" s="167" t="str">
        <f>IFERROR(__xludf.DUMMYFUNCTION("GOOGLETRANSLATE(E34,""zh-tw"",""zh"")"),"番茄")</f>
        <v>番茄</v>
      </c>
      <c r="U34" s="126" t="str">
        <f>IFERROR(__xludf.DUMMYFUNCTION("GOOGLETRANSLATE(A34,""zh-tw"",""es-MX"")"),"Arroz con tortilla de tomate")</f>
        <v>Arroz con tortilla de tomate</v>
      </c>
      <c r="V34" s="371"/>
      <c r="W34" s="167" t="str">
        <f>IFERROR(__xludf.DUMMYFUNCTION("GOOGLETRANSLATE(C34,""zh-tw"",""es-MX"")"),"arroz blanco")</f>
        <v>arroz blanco</v>
      </c>
      <c r="X34" s="167" t="str">
        <f>IFERROR(__xludf.DUMMYFUNCTION("GOOGLETRANSLATE(D34,""zh-tw"",""es-MX"")"),"Un huevo muy grande")</f>
        <v>Un huevo muy grande</v>
      </c>
      <c r="Y34" s="167" t="str">
        <f>IFERROR(__xludf.DUMMYFUNCTION("GOOGLETRANSLATE(E34,""zh-tw"",""es-MX"")"),"tomate")</f>
        <v>tomate</v>
      </c>
      <c r="Z34" s="375" t="s">
        <v>8012</v>
      </c>
      <c r="AA34" s="372"/>
      <c r="AB34" s="142" t="str">
        <f>IFERROR(__xludf.DUMMYFUNCTION("GOOGLETRANSLATE(C34,""zh-tw"",""KO"")"),"흰쌀")</f>
        <v>흰쌀</v>
      </c>
      <c r="AC34" s="315" t="s">
        <v>5351</v>
      </c>
      <c r="AD34" s="142" t="str">
        <f>IFERROR(__xludf.DUMMYFUNCTION("GOOGLETRANSLATE(E34,""zh-tw"",""KO"")"),"토마토")</f>
        <v>토마토</v>
      </c>
      <c r="AE34" s="126" t="str">
        <f>IFERROR(__xludf.DUMMYFUNCTION("GOOGLETRANSLATE(A34,""zh-tw"",""ru"")"),"Омлет с томатным рисом")</f>
        <v>Омлет с томатным рисом</v>
      </c>
      <c r="AF34" s="371"/>
      <c r="AG34" s="167" t="str">
        <f>IFERROR(__xludf.DUMMYFUNCTION("GOOGLETRANSLATE(C34,""zh-tw"",""ru"")"),"Белый рис")</f>
        <v>Белый рис</v>
      </c>
      <c r="AH34" s="167" t="str">
        <f>IFERROR(__xludf.DUMMYFUNCTION("GOOGLETRANSLATE(D34,""zh-tw"",""ru"")"),"Очень большое яйцо")</f>
        <v>Очень большое яйцо</v>
      </c>
      <c r="AI34" s="167" t="str">
        <f>IFERROR(__xludf.DUMMYFUNCTION("GOOGLETRANSLATE(E34,""zh-tw"",""ru"")"),"помидор")</f>
        <v>помидор</v>
      </c>
      <c r="AJ34" s="375" t="s">
        <v>8013</v>
      </c>
      <c r="AK34" s="372"/>
      <c r="AL34" s="136" t="s">
        <v>7725</v>
      </c>
      <c r="AM34" s="136" t="s">
        <v>7999</v>
      </c>
      <c r="AN34" s="136" t="s">
        <v>5504</v>
      </c>
      <c r="AO34" s="138" t="s">
        <v>8014</v>
      </c>
      <c r="AP34" s="189"/>
      <c r="AQ34" s="142" t="s">
        <v>7728</v>
      </c>
      <c r="AR34" s="142" t="s">
        <v>5356</v>
      </c>
      <c r="AS34" s="142" t="s">
        <v>5502</v>
      </c>
      <c r="AT34" s="126" t="s">
        <v>8015</v>
      </c>
      <c r="AU34" s="190"/>
      <c r="AV34" s="142" t="s">
        <v>7731</v>
      </c>
      <c r="AW34" s="142" t="s">
        <v>5359</v>
      </c>
      <c r="AX34" s="142" t="s">
        <v>5498</v>
      </c>
      <c r="AY34" s="142"/>
      <c r="AZ34" s="142"/>
      <c r="BA34" s="142"/>
      <c r="BB34" s="142"/>
      <c r="BC34" s="142"/>
    </row>
    <row r="35">
      <c r="A35" s="126" t="s">
        <v>8016</v>
      </c>
      <c r="B35" s="189"/>
      <c r="C35" s="167" t="s">
        <v>7715</v>
      </c>
      <c r="D35" s="167" t="s">
        <v>8017</v>
      </c>
      <c r="E35" s="124"/>
      <c r="F35" s="126" t="s">
        <v>8018</v>
      </c>
      <c r="G35" s="189"/>
      <c r="H35" s="167" t="s">
        <v>7718</v>
      </c>
      <c r="I35" s="167" t="s">
        <v>8019</v>
      </c>
      <c r="J35" s="124"/>
      <c r="K35" s="116" t="s">
        <v>8020</v>
      </c>
      <c r="L35" s="189"/>
      <c r="M35" s="136" t="s">
        <v>7721</v>
      </c>
      <c r="N35" s="136" t="s">
        <v>7986</v>
      </c>
      <c r="O35" s="142"/>
      <c r="P35" s="116" t="str">
        <f>IFERROR(__xludf.DUMMYFUNCTION("GOOGLETRANSLATE(A35,""zh-tw"",""zh"")"),"海鲜炖饭")</f>
        <v>海鲜炖饭</v>
      </c>
      <c r="Q35" s="362"/>
      <c r="R35" s="167" t="str">
        <f>IFERROR(__xludf.DUMMYFUNCTION("GOOGLETRANSLATE(C35,""zh-tw"",""zh"")"),"白米饭")</f>
        <v>白米饭</v>
      </c>
      <c r="S35" s="167" t="str">
        <f>IFERROR(__xludf.DUMMYFUNCTION("GOOGLETRANSLATE(D35,""zh-tw"",""zh"")"),"大龙虾")</f>
        <v>大龙虾</v>
      </c>
      <c r="T35" s="167"/>
      <c r="U35" s="126" t="str">
        <f>IFERROR(__xludf.DUMMYFUNCTION("GOOGLETRANSLATE(A35,""zh-tw"",""es-MX"")"),"Risotto de mariscos")</f>
        <v>Risotto de mariscos</v>
      </c>
      <c r="V35" s="371"/>
      <c r="W35" s="167" t="str">
        <f>IFERROR(__xludf.DUMMYFUNCTION("GOOGLETRANSLATE(C35,""zh-tw"",""es-MX"")"),"arroz blanco")</f>
        <v>arroz blanco</v>
      </c>
      <c r="X35" s="167" t="str">
        <f>IFERROR(__xludf.DUMMYFUNCTION("GOOGLETRANSLATE(D35,""zh-tw"",""es-MX"")"),"Langosta")</f>
        <v>Langosta</v>
      </c>
      <c r="Y35" s="167"/>
      <c r="Z35" s="374" t="str">
        <f>IFERROR(__xludf.DUMMYFUNCTION("GOOGLETRANSLATE(A35,""zh-tw"",""KO"")"),"해산물 리조또")</f>
        <v>해산물 리조또</v>
      </c>
      <c r="AA35" s="372"/>
      <c r="AB35" s="142" t="str">
        <f>IFERROR(__xludf.DUMMYFUNCTION("GOOGLETRANSLATE(C35,""zh-tw"",""KO"")"),"흰쌀")</f>
        <v>흰쌀</v>
      </c>
      <c r="AC35" s="136" t="s">
        <v>8021</v>
      </c>
      <c r="AD35" s="142"/>
      <c r="AE35" s="126" t="str">
        <f>IFERROR(__xludf.DUMMYFUNCTION("GOOGLETRANSLATE(A35,""zh-tw"",""ru"")"),"Ризотто с морепродуктами")</f>
        <v>Ризотто с морепродуктами</v>
      </c>
      <c r="AF35" s="371"/>
      <c r="AG35" s="167" t="str">
        <f>IFERROR(__xludf.DUMMYFUNCTION("GOOGLETRANSLATE(C35,""zh-tw"",""ru"")"),"Белый рис")</f>
        <v>Белый рис</v>
      </c>
      <c r="AH35" s="167" t="str">
        <f>IFERROR(__xludf.DUMMYFUNCTION("GOOGLETRANSLATE(D35,""zh-tw"",""ru"")"),"Омар")</f>
        <v>Омар</v>
      </c>
      <c r="AI35" s="167"/>
      <c r="AJ35" s="375" t="s">
        <v>8022</v>
      </c>
      <c r="AK35" s="372"/>
      <c r="AL35" s="136" t="s">
        <v>7725</v>
      </c>
      <c r="AM35" s="136" t="s">
        <v>8023</v>
      </c>
      <c r="AN35" s="142"/>
      <c r="AO35" s="138" t="s">
        <v>8024</v>
      </c>
      <c r="AP35" s="189"/>
      <c r="AQ35" s="142" t="s">
        <v>7728</v>
      </c>
      <c r="AR35" s="142" t="s">
        <v>7991</v>
      </c>
      <c r="AS35" s="124"/>
      <c r="AT35" s="126" t="s">
        <v>8025</v>
      </c>
      <c r="AU35" s="190"/>
      <c r="AV35" s="142" t="s">
        <v>7731</v>
      </c>
      <c r="AW35" s="142" t="s">
        <v>7993</v>
      </c>
      <c r="AX35" s="28"/>
      <c r="AY35" s="124"/>
      <c r="AZ35" s="124"/>
      <c r="BA35" s="124"/>
      <c r="BB35" s="124"/>
      <c r="BC35" s="124"/>
    </row>
    <row r="36">
      <c r="A36" s="126" t="s">
        <v>8026</v>
      </c>
      <c r="B36" s="189"/>
      <c r="C36" s="167" t="s">
        <v>8027</v>
      </c>
      <c r="D36" s="124"/>
      <c r="E36" s="124"/>
      <c r="F36" s="126" t="s">
        <v>8028</v>
      </c>
      <c r="G36" s="189"/>
      <c r="H36" s="167" t="s">
        <v>8029</v>
      </c>
      <c r="I36" s="124"/>
      <c r="J36" s="124"/>
      <c r="K36" s="113" t="s">
        <v>8030</v>
      </c>
      <c r="L36" s="189"/>
      <c r="M36" s="136" t="s">
        <v>8031</v>
      </c>
      <c r="N36" s="142"/>
      <c r="O36" s="142"/>
      <c r="P36" s="116" t="str">
        <f>IFERROR(__xludf.DUMMYFUNCTION("GOOGLETRANSLATE(A36,""zh-tw"",""zh"")"),"菠萝饮")</f>
        <v>菠萝饮</v>
      </c>
      <c r="Q36" s="362"/>
      <c r="R36" s="167" t="str">
        <f>IFERROR(__xludf.DUMMYFUNCTION("GOOGLETRANSLATE(C36,""zh-tw"",""zh"")"),"菠萝")</f>
        <v>菠萝</v>
      </c>
      <c r="S36" s="167"/>
      <c r="T36" s="167"/>
      <c r="U36" s="126" t="str">
        <f>IFERROR(__xludf.DUMMYFUNCTION("GOOGLETRANSLATE(A36,""zh-tw"",""es-MX"")"),"Bebida de piña")</f>
        <v>Bebida de piña</v>
      </c>
      <c r="V36" s="371"/>
      <c r="W36" s="167" t="str">
        <f>IFERROR(__xludf.DUMMYFUNCTION("GOOGLETRANSLATE(C36,""zh-tw"",""es-MX"")"),"Piña")</f>
        <v>Piña</v>
      </c>
      <c r="X36" s="167"/>
      <c r="Y36" s="167"/>
      <c r="Z36" s="375" t="s">
        <v>8032</v>
      </c>
      <c r="AA36" s="372"/>
      <c r="AB36" s="142" t="str">
        <f>IFERROR(__xludf.DUMMYFUNCTION("GOOGLETRANSLATE(C36,""zh-tw"",""KO"")"),"파인애플")</f>
        <v>파인애플</v>
      </c>
      <c r="AC36" s="142"/>
      <c r="AD36" s="142"/>
      <c r="AE36" s="126" t="str">
        <f>IFERROR(__xludf.DUMMYFUNCTION("GOOGLETRANSLATE(A36,""zh-tw"",""ru"")"),"Ананасовый напиток")</f>
        <v>Ананасовый напиток</v>
      </c>
      <c r="AF36" s="371"/>
      <c r="AG36" s="167" t="str">
        <f>IFERROR(__xludf.DUMMYFUNCTION("GOOGLETRANSLATE(C36,""zh-tw"",""ru"")"),"Ананас")</f>
        <v>Ананас</v>
      </c>
      <c r="AH36" s="167"/>
      <c r="AI36" s="167"/>
      <c r="AJ36" s="375" t="s">
        <v>8033</v>
      </c>
      <c r="AK36" s="372"/>
      <c r="AL36" s="136" t="s">
        <v>8034</v>
      </c>
      <c r="AM36" s="142"/>
      <c r="AN36" s="142"/>
      <c r="AO36" s="138" t="s">
        <v>8035</v>
      </c>
      <c r="AP36" s="189"/>
      <c r="AQ36" s="142" t="s">
        <v>8036</v>
      </c>
      <c r="AR36" s="124"/>
      <c r="AS36" s="124"/>
      <c r="AT36" s="126" t="s">
        <v>8037</v>
      </c>
      <c r="AU36" s="190"/>
      <c r="AV36" s="142" t="s">
        <v>8038</v>
      </c>
      <c r="AW36" s="28"/>
      <c r="AX36" s="28"/>
      <c r="AY36" s="124"/>
      <c r="AZ36" s="124"/>
      <c r="BA36" s="124"/>
      <c r="BB36" s="124"/>
      <c r="BC36" s="124"/>
    </row>
    <row r="37">
      <c r="A37" s="133" t="s">
        <v>8039</v>
      </c>
      <c r="B37" s="189"/>
      <c r="C37" s="167" t="s">
        <v>7933</v>
      </c>
      <c r="D37" s="167" t="s">
        <v>7933</v>
      </c>
      <c r="E37" s="124"/>
      <c r="F37" s="126" t="s">
        <v>8040</v>
      </c>
      <c r="G37" s="189"/>
      <c r="H37" s="167" t="s">
        <v>8041</v>
      </c>
      <c r="I37" s="167" t="s">
        <v>8041</v>
      </c>
      <c r="J37" s="124"/>
      <c r="K37" s="116" t="s">
        <v>8042</v>
      </c>
      <c r="L37" s="189"/>
      <c r="M37" s="136" t="s">
        <v>8043</v>
      </c>
      <c r="N37" s="136" t="s">
        <v>8043</v>
      </c>
      <c r="O37" s="142"/>
      <c r="P37" s="116" t="str">
        <f>IFERROR(__xludf.DUMMYFUNCTION("GOOGLETRANSLATE(A37,""zh-tw"",""zh"")"),"冲绳杂炒")</f>
        <v>冲绳杂炒</v>
      </c>
      <c r="Q37" s="362"/>
      <c r="R37" s="167" t="str">
        <f>IFERROR(__xludf.DUMMYFUNCTION("GOOGLETRANSLATE(C37,""zh-tw"",""zh"")"),"蔬菜")</f>
        <v>蔬菜</v>
      </c>
      <c r="S37" s="167" t="str">
        <f>IFERROR(__xludf.DUMMYFUNCTION("GOOGLETRANSLATE(D37,""zh-tw"",""zh"")"),"蔬菜")</f>
        <v>蔬菜</v>
      </c>
      <c r="T37" s="167"/>
      <c r="U37" s="126" t="str">
        <f>IFERROR(__xludf.DUMMYFUNCTION("GOOGLETRANSLATE(A37,""zh-tw"",""es-MX"")"),"Salteado de Okinawa")</f>
        <v>Salteado de Okinawa</v>
      </c>
      <c r="V37" s="371"/>
      <c r="W37" s="167" t="str">
        <f>IFERROR(__xludf.DUMMYFUNCTION("GOOGLETRANSLATE(C37,""zh-tw"",""es-MX"")"),"verdura")</f>
        <v>verdura</v>
      </c>
      <c r="X37" s="167" t="str">
        <f>IFERROR(__xludf.DUMMYFUNCTION("GOOGLETRANSLATE(D37,""zh-tw"",""es-MX"")"),"verdura")</f>
        <v>verdura</v>
      </c>
      <c r="Y37" s="167"/>
      <c r="Z37" s="375" t="s">
        <v>8044</v>
      </c>
      <c r="AA37" s="372"/>
      <c r="AB37" s="142" t="str">
        <f>IFERROR(__xludf.DUMMYFUNCTION("GOOGLETRANSLATE(C37,""zh-tw"",""KO"")"),"채소")</f>
        <v>채소</v>
      </c>
      <c r="AC37" s="142" t="str">
        <f>IFERROR(__xludf.DUMMYFUNCTION("GOOGLETRANSLATE(D37,""zh-tw"",""KO"")"),"채소")</f>
        <v>채소</v>
      </c>
      <c r="AD37" s="142"/>
      <c r="AE37" s="126" t="str">
        <f>IFERROR(__xludf.DUMMYFUNCTION("GOOGLETRANSLATE(A37,""zh-tw"",""ru"")"),"Окинавское жаркое")</f>
        <v>Окинавское жаркое</v>
      </c>
      <c r="AF37" s="371"/>
      <c r="AG37" s="167" t="str">
        <f>IFERROR(__xludf.DUMMYFUNCTION("GOOGLETRANSLATE(C37,""zh-tw"",""ru"")"),"овощ")</f>
        <v>овощ</v>
      </c>
      <c r="AH37" s="167" t="str">
        <f>IFERROR(__xludf.DUMMYFUNCTION("GOOGLETRANSLATE(D37,""zh-tw"",""ru"")"),"овощ")</f>
        <v>овощ</v>
      </c>
      <c r="AI37" s="167"/>
      <c r="AJ37" s="375" t="s">
        <v>8045</v>
      </c>
      <c r="AK37" s="372"/>
      <c r="AL37" s="136" t="s">
        <v>7939</v>
      </c>
      <c r="AM37" s="136" t="s">
        <v>7939</v>
      </c>
      <c r="AN37" s="142"/>
      <c r="AO37" s="106" t="s">
        <v>8046</v>
      </c>
      <c r="AP37" s="189"/>
      <c r="AQ37" s="142" t="s">
        <v>8047</v>
      </c>
      <c r="AR37" s="142" t="s">
        <v>8047</v>
      </c>
      <c r="AS37" s="124"/>
      <c r="AT37" s="126" t="s">
        <v>8048</v>
      </c>
      <c r="AU37" s="190"/>
      <c r="AV37" s="142" t="s">
        <v>8049</v>
      </c>
      <c r="AW37" s="142" t="s">
        <v>8049</v>
      </c>
      <c r="AX37" s="28"/>
      <c r="AY37" s="124"/>
      <c r="AZ37" s="124"/>
      <c r="BA37" s="124"/>
      <c r="BB37" s="124"/>
      <c r="BC37" s="124"/>
    </row>
    <row r="38">
      <c r="A38" s="126" t="s">
        <v>8050</v>
      </c>
      <c r="B38" s="362" t="s">
        <v>260</v>
      </c>
      <c r="C38" s="167" t="s">
        <v>8051</v>
      </c>
      <c r="D38" s="167" t="s">
        <v>8051</v>
      </c>
      <c r="E38" s="167" t="s">
        <v>7734</v>
      </c>
      <c r="F38" s="126" t="s">
        <v>8052</v>
      </c>
      <c r="G38" s="362" t="s">
        <v>260</v>
      </c>
      <c r="H38" s="167" t="s">
        <v>8053</v>
      </c>
      <c r="I38" s="167" t="s">
        <v>8053</v>
      </c>
      <c r="J38" s="167" t="s">
        <v>7736</v>
      </c>
      <c r="K38" s="113" t="s">
        <v>8054</v>
      </c>
      <c r="L38" s="362" t="s">
        <v>260</v>
      </c>
      <c r="M38" s="136" t="s">
        <v>8055</v>
      </c>
      <c r="N38" s="136" t="s">
        <v>8055</v>
      </c>
      <c r="O38" s="136" t="s">
        <v>7738</v>
      </c>
      <c r="P38" s="116" t="str">
        <f>IFERROR(__xludf.DUMMYFUNCTION("GOOGLETRANSLATE(A38,""zh-tw"",""zh"")"),"炸鸡桶")</f>
        <v>炸鸡桶</v>
      </c>
      <c r="Q38" s="362" t="str">
        <f>IFERROR(__xludf.DUMMYFUNCTION("GOOGLETRANSLATE(B38,""zh-tw"",""zh"")"),"A")</f>
        <v>A</v>
      </c>
      <c r="R38" s="167" t="str">
        <f>IFERROR(__xludf.DUMMYFUNCTION("GOOGLETRANSLATE(C38,""zh-tw"",""zh"")"),"鸡腿肉")</f>
        <v>鸡腿肉</v>
      </c>
      <c r="S38" s="167" t="str">
        <f>IFERROR(__xludf.DUMMYFUNCTION("GOOGLETRANSLATE(D38,""zh-tw"",""zh"")"),"鸡腿肉")</f>
        <v>鸡腿肉</v>
      </c>
      <c r="T38" s="167" t="str">
        <f>IFERROR(__xludf.DUMMYFUNCTION("GOOGLETRANSLATE(E38,""zh-tw"",""zh"")"),"小麦粉")</f>
        <v>小麦粉</v>
      </c>
      <c r="U38" s="126" t="str">
        <f>IFERROR(__xludf.DUMMYFUNCTION("GOOGLETRANSLATE(A38,""zh-tw"",""es-MX"")"),"Cubo de pollo frito")</f>
        <v>Cubo de pollo frito</v>
      </c>
      <c r="V38" s="371" t="str">
        <f>IFERROR(__xludf.DUMMYFUNCTION("GOOGLETRANSLATE(B38,""zh-tw"",""es-MX"")"),"A")</f>
        <v>A</v>
      </c>
      <c r="W38" s="167" t="str">
        <f>IFERROR(__xludf.DUMMYFUNCTION("GOOGLETRANSLATE(C38,""zh-tw"",""es-MX"")"),"Carne de muslo de pollo")</f>
        <v>Carne de muslo de pollo</v>
      </c>
      <c r="X38" s="167" t="str">
        <f>IFERROR(__xludf.DUMMYFUNCTION("GOOGLETRANSLATE(D38,""zh-tw"",""es-MX"")"),"Carne de muslo de pollo")</f>
        <v>Carne de muslo de pollo</v>
      </c>
      <c r="Y38" s="167" t="str">
        <f>IFERROR(__xludf.DUMMYFUNCTION("GOOGLETRANSLATE(E38,""zh-tw"",""es-MX"")"),"harina de trigo")</f>
        <v>harina de trigo</v>
      </c>
      <c r="Z38" s="375" t="s">
        <v>8056</v>
      </c>
      <c r="AA38" s="372" t="s">
        <v>260</v>
      </c>
      <c r="AB38" s="136" t="s">
        <v>8057</v>
      </c>
      <c r="AC38" s="136" t="s">
        <v>8057</v>
      </c>
      <c r="AD38" s="142" t="str">
        <f>IFERROR(__xludf.DUMMYFUNCTION("GOOGLETRANSLATE(E38,""zh-tw"",""KO"")"),"밀가루")</f>
        <v>밀가루</v>
      </c>
      <c r="AE38" s="126" t="str">
        <f>IFERROR(__xludf.DUMMYFUNCTION("GOOGLETRANSLATE(A38,""zh-tw"",""ru"")"),"Ведро жареной курицы")</f>
        <v>Ведро жареной курицы</v>
      </c>
      <c r="AF38" s="371" t="str">
        <f>IFERROR(__xludf.DUMMYFUNCTION("GOOGLETRANSLATE(L38,""zh-tw"",""es-MX"")"),"A")</f>
        <v>A</v>
      </c>
      <c r="AG38" s="167" t="str">
        <f>IFERROR(__xludf.DUMMYFUNCTION("GOOGLETRANSLATE(C38,""zh-tw"",""ru"")"),"Мясо куриного бедра")</f>
        <v>Мясо куриного бедра</v>
      </c>
      <c r="AH38" s="167" t="str">
        <f>IFERROR(__xludf.DUMMYFUNCTION("GOOGLETRANSLATE(D38,""zh-tw"",""ru"")"),"Мясо куриного бедра")</f>
        <v>Мясо куриного бедра</v>
      </c>
      <c r="AI38" s="167" t="str">
        <f>IFERROR(__xludf.DUMMYFUNCTION("GOOGLETRANSLATE(E38,""zh-tw"",""ru"")"),"пшеничная мука")</f>
        <v>пшеничная мука</v>
      </c>
      <c r="AJ38" s="375" t="s">
        <v>8058</v>
      </c>
      <c r="AK38" s="372" t="s">
        <v>260</v>
      </c>
      <c r="AL38" s="136" t="s">
        <v>8059</v>
      </c>
      <c r="AM38" s="136" t="s">
        <v>8059</v>
      </c>
      <c r="AN38" s="136" t="s">
        <v>7740</v>
      </c>
      <c r="AO38" s="138" t="s">
        <v>8060</v>
      </c>
      <c r="AP38" s="362" t="s">
        <v>260</v>
      </c>
      <c r="AQ38" s="142" t="s">
        <v>8061</v>
      </c>
      <c r="AR38" s="142" t="s">
        <v>8061</v>
      </c>
      <c r="AS38" s="142" t="s">
        <v>7742</v>
      </c>
      <c r="AT38" s="126" t="s">
        <v>8062</v>
      </c>
      <c r="AU38" s="362" t="s">
        <v>260</v>
      </c>
      <c r="AV38" s="142" t="s">
        <v>8063</v>
      </c>
      <c r="AW38" s="142" t="s">
        <v>8063</v>
      </c>
      <c r="AX38" s="142" t="s">
        <v>7744</v>
      </c>
      <c r="AY38" s="142"/>
      <c r="AZ38" s="142"/>
      <c r="BA38" s="142"/>
      <c r="BB38" s="142"/>
      <c r="BC38" s="142"/>
    </row>
    <row r="39">
      <c r="A39" s="133" t="s">
        <v>8064</v>
      </c>
      <c r="B39" s="362" t="s">
        <v>260</v>
      </c>
      <c r="C39" s="167" t="s">
        <v>8051</v>
      </c>
      <c r="D39" s="124"/>
      <c r="E39" s="124"/>
      <c r="F39" s="126" t="s">
        <v>8065</v>
      </c>
      <c r="G39" s="362" t="s">
        <v>260</v>
      </c>
      <c r="H39" s="167" t="s">
        <v>8053</v>
      </c>
      <c r="I39" s="124"/>
      <c r="J39" s="124"/>
      <c r="K39" s="116" t="s">
        <v>8066</v>
      </c>
      <c r="L39" s="362" t="s">
        <v>260</v>
      </c>
      <c r="M39" s="136" t="s">
        <v>8055</v>
      </c>
      <c r="N39" s="142"/>
      <c r="O39" s="142"/>
      <c r="P39" s="116" t="str">
        <f>IFERROR(__xludf.DUMMYFUNCTION("GOOGLETRANSLATE(A39,""zh-tw"",""zh"")"),"炸鸡腿")</f>
        <v>炸鸡腿</v>
      </c>
      <c r="Q39" s="362" t="str">
        <f>IFERROR(__xludf.DUMMYFUNCTION("GOOGLETRANSLATE(B39,""zh-tw"",""zh"")"),"A")</f>
        <v>A</v>
      </c>
      <c r="R39" s="167" t="str">
        <f>IFERROR(__xludf.DUMMYFUNCTION("GOOGLETRANSLATE(C39,""zh-tw"",""zh"")"),"鸡腿肉")</f>
        <v>鸡腿肉</v>
      </c>
      <c r="S39" s="167"/>
      <c r="T39" s="167"/>
      <c r="U39" s="126" t="str">
        <f>IFERROR(__xludf.DUMMYFUNCTION("GOOGLETRANSLATE(A39,""zh-tw"",""es-MX"")"),"Piernas de pollo fritas")</f>
        <v>Piernas de pollo fritas</v>
      </c>
      <c r="V39" s="371" t="str">
        <f>IFERROR(__xludf.DUMMYFUNCTION("GOOGLETRANSLATE(B39,""zh-tw"",""es-MX"")"),"A")</f>
        <v>A</v>
      </c>
      <c r="W39" s="167" t="str">
        <f>IFERROR(__xludf.DUMMYFUNCTION("GOOGLETRANSLATE(C39,""zh-tw"",""es-MX"")"),"Carne de muslo de pollo")</f>
        <v>Carne de muslo de pollo</v>
      </c>
      <c r="X39" s="167"/>
      <c r="Y39" s="167"/>
      <c r="Z39" s="374" t="str">
        <f>IFERROR(__xludf.DUMMYFUNCTION("GOOGLETRANSLATE(A39,""zh-tw"",""KO"")"),"튀긴 닭다리")</f>
        <v>튀긴 닭다리</v>
      </c>
      <c r="AA39" s="372" t="s">
        <v>260</v>
      </c>
      <c r="AB39" s="136" t="s">
        <v>8057</v>
      </c>
      <c r="AC39" s="142"/>
      <c r="AD39" s="142"/>
      <c r="AE39" s="126" t="str">
        <f>IFERROR(__xludf.DUMMYFUNCTION("GOOGLETRANSLATE(A39,""zh-tw"",""ru"")"),"Жареные куриные ножки")</f>
        <v>Жареные куриные ножки</v>
      </c>
      <c r="AF39" s="371" t="str">
        <f>IFERROR(__xludf.DUMMYFUNCTION("GOOGLETRANSLATE(L39,""zh-tw"",""es-MX"")"),"A")</f>
        <v>A</v>
      </c>
      <c r="AG39" s="167" t="str">
        <f>IFERROR(__xludf.DUMMYFUNCTION("GOOGLETRANSLATE(C39,""zh-tw"",""ru"")"),"Мясо куриного бедра")</f>
        <v>Мясо куриного бедра</v>
      </c>
      <c r="AH39" s="167"/>
      <c r="AI39" s="167"/>
      <c r="AJ39" s="375" t="s">
        <v>8067</v>
      </c>
      <c r="AK39" s="372" t="s">
        <v>260</v>
      </c>
      <c r="AL39" s="136" t="s">
        <v>8059</v>
      </c>
      <c r="AM39" s="142"/>
      <c r="AN39" s="142"/>
      <c r="AO39" s="106" t="s">
        <v>8068</v>
      </c>
      <c r="AP39" s="362" t="s">
        <v>260</v>
      </c>
      <c r="AQ39" s="142" t="s">
        <v>8061</v>
      </c>
      <c r="AR39" s="124"/>
      <c r="AS39" s="124"/>
      <c r="AT39" s="126" t="s">
        <v>8069</v>
      </c>
      <c r="AU39" s="362" t="s">
        <v>260</v>
      </c>
      <c r="AV39" s="142" t="s">
        <v>8063</v>
      </c>
      <c r="AW39" s="28"/>
      <c r="AX39" s="28"/>
      <c r="AY39" s="124"/>
      <c r="AZ39" s="124"/>
      <c r="BA39" s="124"/>
      <c r="BB39" s="124"/>
      <c r="BC39" s="124"/>
    </row>
    <row r="40">
      <c r="A40" s="126" t="s">
        <v>8070</v>
      </c>
      <c r="B40" s="362" t="s">
        <v>260</v>
      </c>
      <c r="C40" s="167" t="s">
        <v>7715</v>
      </c>
      <c r="D40" s="167" t="s">
        <v>8051</v>
      </c>
      <c r="E40" s="124"/>
      <c r="F40" s="126" t="s">
        <v>8071</v>
      </c>
      <c r="G40" s="362" t="s">
        <v>260</v>
      </c>
      <c r="H40" s="167" t="s">
        <v>7718</v>
      </c>
      <c r="I40" s="167" t="s">
        <v>8053</v>
      </c>
      <c r="J40" s="124"/>
      <c r="K40" s="116" t="s">
        <v>8072</v>
      </c>
      <c r="L40" s="362" t="s">
        <v>260</v>
      </c>
      <c r="M40" s="136" t="s">
        <v>7845</v>
      </c>
      <c r="N40" s="136" t="s">
        <v>8055</v>
      </c>
      <c r="O40" s="142"/>
      <c r="P40" s="116" t="str">
        <f>IFERROR(__xludf.DUMMYFUNCTION("GOOGLETRANSLATE(A40,""zh-tw"",""zh"")"),"天妇罗饭团")</f>
        <v>天妇罗饭团</v>
      </c>
      <c r="Q40" s="362" t="str">
        <f>IFERROR(__xludf.DUMMYFUNCTION("GOOGLETRANSLATE(B40,""zh-tw"",""zh"")"),"A")</f>
        <v>A</v>
      </c>
      <c r="R40" s="167" t="str">
        <f>IFERROR(__xludf.DUMMYFUNCTION("GOOGLETRANSLATE(C40,""zh-tw"",""zh"")"),"白米饭")</f>
        <v>白米饭</v>
      </c>
      <c r="S40" s="167" t="str">
        <f>IFERROR(__xludf.DUMMYFUNCTION("GOOGLETRANSLATE(D40,""zh-tw"",""zh"")"),"鸡腿肉")</f>
        <v>鸡腿肉</v>
      </c>
      <c r="T40" s="167"/>
      <c r="U40" s="126" t="str">
        <f>IFERROR(__xludf.DUMMYFUNCTION("GOOGLETRANSLATE(A40,""zh-tw"",""es-MX"")"),"Bola de arroz tempura")</f>
        <v>Bola de arroz tempura</v>
      </c>
      <c r="V40" s="371" t="str">
        <f>IFERROR(__xludf.DUMMYFUNCTION("GOOGLETRANSLATE(B40,""zh-tw"",""es-MX"")"),"A")</f>
        <v>A</v>
      </c>
      <c r="W40" s="167" t="str">
        <f>IFERROR(__xludf.DUMMYFUNCTION("GOOGLETRANSLATE(C40,""zh-tw"",""es-MX"")"),"arroz blanco")</f>
        <v>arroz blanco</v>
      </c>
      <c r="X40" s="167" t="str">
        <f>IFERROR(__xludf.DUMMYFUNCTION("GOOGLETRANSLATE(D40,""zh-tw"",""es-MX"")"),"Carne de muslo de pollo")</f>
        <v>Carne de muslo de pollo</v>
      </c>
      <c r="Y40" s="167"/>
      <c r="Z40" s="375" t="s">
        <v>8073</v>
      </c>
      <c r="AA40" s="372" t="s">
        <v>260</v>
      </c>
      <c r="AB40" s="142" t="str">
        <f>IFERROR(__xludf.DUMMYFUNCTION("GOOGLETRANSLATE(C40,""zh-tw"",""KO"")"),"흰쌀")</f>
        <v>흰쌀</v>
      </c>
      <c r="AC40" s="136" t="s">
        <v>8057</v>
      </c>
      <c r="AD40" s="142"/>
      <c r="AE40" s="126" t="str">
        <f>IFERROR(__xludf.DUMMYFUNCTION("GOOGLETRANSLATE(A40,""zh-tw"",""ru"")"),"Рисовые шарики темпура")</f>
        <v>Рисовые шарики темпура</v>
      </c>
      <c r="AF40" s="371" t="str">
        <f>IFERROR(__xludf.DUMMYFUNCTION("GOOGLETRANSLATE(L40,""zh-tw"",""es-MX"")"),"A")</f>
        <v>A</v>
      </c>
      <c r="AG40" s="167" t="str">
        <f>IFERROR(__xludf.DUMMYFUNCTION("GOOGLETRANSLATE(C40,""zh-tw"",""ru"")"),"Белый рис")</f>
        <v>Белый рис</v>
      </c>
      <c r="AH40" s="167" t="str">
        <f>IFERROR(__xludf.DUMMYFUNCTION("GOOGLETRANSLATE(D40,""zh-tw"",""ru"")"),"Мясо куриного бедра")</f>
        <v>Мясо куриного бедра</v>
      </c>
      <c r="AI40" s="167"/>
      <c r="AJ40" s="375" t="s">
        <v>8074</v>
      </c>
      <c r="AK40" s="372" t="s">
        <v>260</v>
      </c>
      <c r="AL40" s="136" t="s">
        <v>7725</v>
      </c>
      <c r="AM40" s="136" t="s">
        <v>8059</v>
      </c>
      <c r="AN40" s="142"/>
      <c r="AO40" s="138" t="s">
        <v>8072</v>
      </c>
      <c r="AP40" s="362" t="s">
        <v>260</v>
      </c>
      <c r="AQ40" s="142" t="s">
        <v>7728</v>
      </c>
      <c r="AR40" s="142" t="s">
        <v>8061</v>
      </c>
      <c r="AS40" s="124"/>
      <c r="AT40" s="126" t="s">
        <v>8072</v>
      </c>
      <c r="AU40" s="362" t="s">
        <v>260</v>
      </c>
      <c r="AV40" s="142" t="s">
        <v>7731</v>
      </c>
      <c r="AW40" s="142" t="s">
        <v>8063</v>
      </c>
      <c r="AX40" s="28"/>
      <c r="AY40" s="124"/>
      <c r="AZ40" s="124"/>
      <c r="BA40" s="124"/>
      <c r="BB40" s="124"/>
      <c r="BC40" s="124"/>
    </row>
    <row r="41">
      <c r="A41" s="126" t="s">
        <v>8075</v>
      </c>
      <c r="B41" s="189"/>
      <c r="C41" s="167" t="s">
        <v>8076</v>
      </c>
      <c r="D41" s="167" t="s">
        <v>8076</v>
      </c>
      <c r="E41" s="167" t="s">
        <v>8076</v>
      </c>
      <c r="F41" s="126" t="s">
        <v>8077</v>
      </c>
      <c r="G41" s="377"/>
      <c r="H41" s="167" t="s">
        <v>8019</v>
      </c>
      <c r="I41" s="167" t="s">
        <v>8019</v>
      </c>
      <c r="J41" s="167" t="s">
        <v>8019</v>
      </c>
      <c r="K41" s="116" t="s">
        <v>8078</v>
      </c>
      <c r="L41" s="189"/>
      <c r="M41" s="136" t="s">
        <v>8079</v>
      </c>
      <c r="N41" s="136" t="s">
        <v>8079</v>
      </c>
      <c r="O41" s="136" t="s">
        <v>8079</v>
      </c>
      <c r="P41" s="116" t="str">
        <f>IFERROR(__xludf.DUMMYFUNCTION("GOOGLETRANSLATE(A41,""zh-tw"",""zh"")"),"焗龙虾")</f>
        <v>焗龙虾</v>
      </c>
      <c r="Q41" s="362"/>
      <c r="R41" s="167" t="str">
        <f>IFERROR(__xludf.DUMMYFUNCTION("GOOGLETRANSLATE(C41,""zh-tw"",""zh"")"),"龙虾")</f>
        <v>龙虾</v>
      </c>
      <c r="S41" s="167" t="str">
        <f>IFERROR(__xludf.DUMMYFUNCTION("GOOGLETRANSLATE(D41,""zh-tw"",""zh"")"),"龙虾")</f>
        <v>龙虾</v>
      </c>
      <c r="T41" s="167" t="str">
        <f>IFERROR(__xludf.DUMMYFUNCTION("GOOGLETRANSLATE(E41,""zh-tw"",""zh"")"),"龙虾")</f>
        <v>龙虾</v>
      </c>
      <c r="U41" s="126" t="str">
        <f>IFERROR(__xludf.DUMMYFUNCTION("GOOGLETRANSLATE(A41,""zh-tw"",""es-MX"")"),"Langosta al horno")</f>
        <v>Langosta al horno</v>
      </c>
      <c r="V41" s="371"/>
      <c r="W41" s="167" t="str">
        <f>IFERROR(__xludf.DUMMYFUNCTION("GOOGLETRANSLATE(C41,""zh-tw"",""es-MX"")"),"langosta")</f>
        <v>langosta</v>
      </c>
      <c r="X41" s="167" t="str">
        <f>IFERROR(__xludf.DUMMYFUNCTION("GOOGLETRANSLATE(D41,""zh-tw"",""es-MX"")"),"langosta")</f>
        <v>langosta</v>
      </c>
      <c r="Y41" s="167" t="str">
        <f>IFERROR(__xludf.DUMMYFUNCTION("GOOGLETRANSLATE(E41,""zh-tw"",""es-MX"")"),"langosta")</f>
        <v>langosta</v>
      </c>
      <c r="Z41" s="375" t="s">
        <v>8080</v>
      </c>
      <c r="AA41" s="372"/>
      <c r="AB41" s="136" t="s">
        <v>8021</v>
      </c>
      <c r="AC41" s="136" t="s">
        <v>8021</v>
      </c>
      <c r="AD41" s="136" t="s">
        <v>8021</v>
      </c>
      <c r="AE41" s="126" t="str">
        <f>IFERROR(__xludf.DUMMYFUNCTION("GOOGLETRANSLATE(A41,""zh-tw"",""ru"")"),"Запеченный лобстер")</f>
        <v>Запеченный лобстер</v>
      </c>
      <c r="AF41" s="371"/>
      <c r="AG41" s="167" t="str">
        <f>IFERROR(__xludf.DUMMYFUNCTION("GOOGLETRANSLATE(C41,""zh-tw"",""ru"")"),"Омар")</f>
        <v>Омар</v>
      </c>
      <c r="AH41" s="167" t="str">
        <f>IFERROR(__xludf.DUMMYFUNCTION("GOOGLETRANSLATE(D41,""zh-tw"",""ru"")"),"Омар")</f>
        <v>Омар</v>
      </c>
      <c r="AI41" s="167" t="str">
        <f>IFERROR(__xludf.DUMMYFUNCTION("GOOGLETRANSLATE(E41,""zh-tw"",""ru"")"),"Омар")</f>
        <v>Омар</v>
      </c>
      <c r="AJ41" s="375" t="s">
        <v>8081</v>
      </c>
      <c r="AK41" s="372"/>
      <c r="AL41" s="136" t="s">
        <v>8023</v>
      </c>
      <c r="AM41" s="136" t="s">
        <v>8023</v>
      </c>
      <c r="AN41" s="136" t="s">
        <v>8023</v>
      </c>
      <c r="AO41" s="138" t="s">
        <v>8082</v>
      </c>
      <c r="AP41" s="189"/>
      <c r="AQ41" s="142" t="s">
        <v>8083</v>
      </c>
      <c r="AR41" s="142" t="s">
        <v>8083</v>
      </c>
      <c r="AS41" s="142" t="s">
        <v>8083</v>
      </c>
      <c r="AT41" s="126" t="s">
        <v>8084</v>
      </c>
      <c r="AU41" s="190"/>
      <c r="AV41" s="142" t="s">
        <v>8085</v>
      </c>
      <c r="AW41" s="142" t="s">
        <v>8085</v>
      </c>
      <c r="AX41" s="142" t="s">
        <v>8085</v>
      </c>
      <c r="AY41" s="142"/>
      <c r="AZ41" s="142"/>
      <c r="BA41" s="142"/>
      <c r="BB41" s="142"/>
      <c r="BC41" s="142"/>
    </row>
    <row r="42">
      <c r="A42" s="126" t="s">
        <v>8086</v>
      </c>
      <c r="B42" s="189"/>
      <c r="C42" s="167" t="s">
        <v>8087</v>
      </c>
      <c r="D42" s="167" t="s">
        <v>8087</v>
      </c>
      <c r="E42" s="167" t="s">
        <v>8087</v>
      </c>
      <c r="F42" s="126" t="s">
        <v>8088</v>
      </c>
      <c r="G42" s="377"/>
      <c r="H42" s="167" t="s">
        <v>8089</v>
      </c>
      <c r="I42" s="167" t="s">
        <v>8089</v>
      </c>
      <c r="J42" s="167" t="s">
        <v>8089</v>
      </c>
      <c r="K42" s="116" t="s">
        <v>8090</v>
      </c>
      <c r="L42" s="189"/>
      <c r="M42" s="136" t="s">
        <v>8091</v>
      </c>
      <c r="N42" s="136" t="s">
        <v>8091</v>
      </c>
      <c r="O42" s="136" t="s">
        <v>8091</v>
      </c>
      <c r="P42" s="116" t="str">
        <f>IFERROR(__xludf.DUMMYFUNCTION("GOOGLETRANSLATE(A42,""zh-tw"",""zh"")"),"煮螃蟹")</f>
        <v>煮螃蟹</v>
      </c>
      <c r="Q42" s="362"/>
      <c r="R42" s="167" t="str">
        <f>IFERROR(__xludf.DUMMYFUNCTION("GOOGLETRANSLATE(C42,""zh-tw"",""zh"")"),"毛蟹")</f>
        <v>毛蟹</v>
      </c>
      <c r="S42" s="167" t="str">
        <f>IFERROR(__xludf.DUMMYFUNCTION("GOOGLETRANSLATE(D42,""zh-tw"",""zh"")"),"毛蟹")</f>
        <v>毛蟹</v>
      </c>
      <c r="T42" s="167" t="str">
        <f>IFERROR(__xludf.DUMMYFUNCTION("GOOGLETRANSLATE(E42,""zh-tw"",""zh"")"),"毛蟹")</f>
        <v>毛蟹</v>
      </c>
      <c r="U42" s="126" t="str">
        <f>IFERROR(__xludf.DUMMYFUNCTION("GOOGLETRANSLATE(A42,""zh-tw"",""es-MX"")"),"cangrejo hervido")</f>
        <v>cangrejo hervido</v>
      </c>
      <c r="V42" s="371"/>
      <c r="W42" s="167" t="str">
        <f>IFERROR(__xludf.DUMMYFUNCTION("GOOGLETRANSLATE(C42,""zh-tw"",""es-MX"")"),"cangrejo peludo")</f>
        <v>cangrejo peludo</v>
      </c>
      <c r="X42" s="167" t="str">
        <f>IFERROR(__xludf.DUMMYFUNCTION("GOOGLETRANSLATE(D42,""zh-tw"",""es-MX"")"),"cangrejo peludo")</f>
        <v>cangrejo peludo</v>
      </c>
      <c r="Y42" s="167" t="str">
        <f>IFERROR(__xludf.DUMMYFUNCTION("GOOGLETRANSLATE(E42,""zh-tw"",""es-MX"")"),"cangrejo peludo")</f>
        <v>cangrejo peludo</v>
      </c>
      <c r="Z42" s="375" t="s">
        <v>8092</v>
      </c>
      <c r="AA42" s="372"/>
      <c r="AB42" s="142" t="str">
        <f>IFERROR(__xludf.DUMMYFUNCTION("GOOGLETRANSLATE(C42,""zh-tw"",""KO"")"),"털게")</f>
        <v>털게</v>
      </c>
      <c r="AC42" s="142" t="str">
        <f>IFERROR(__xludf.DUMMYFUNCTION("GOOGLETRANSLATE(D42,""zh-tw"",""KO"")"),"털게")</f>
        <v>털게</v>
      </c>
      <c r="AD42" s="142" t="str">
        <f>IFERROR(__xludf.DUMMYFUNCTION("GOOGLETRANSLATE(E42,""zh-tw"",""KO"")"),"털게")</f>
        <v>털게</v>
      </c>
      <c r="AE42" s="126" t="str">
        <f>IFERROR(__xludf.DUMMYFUNCTION("GOOGLETRANSLATE(A42,""zh-tw"",""ru"")"),"Вареный краб")</f>
        <v>Вареный краб</v>
      </c>
      <c r="AF42" s="371"/>
      <c r="AG42" s="167" t="str">
        <f>IFERROR(__xludf.DUMMYFUNCTION("GOOGLETRANSLATE(C42,""zh-tw"",""ru"")"),"волосатый краб")</f>
        <v>волосатый краб</v>
      </c>
      <c r="AH42" s="167" t="str">
        <f>IFERROR(__xludf.DUMMYFUNCTION("GOOGLETRANSLATE(D42,""zh-tw"",""ru"")"),"волосатый краб")</f>
        <v>волосатый краб</v>
      </c>
      <c r="AI42" s="167" t="str">
        <f>IFERROR(__xludf.DUMMYFUNCTION("GOOGLETRANSLATE(E42,""zh-tw"",""ru"")"),"волосатый краб")</f>
        <v>волосатый краб</v>
      </c>
      <c r="AJ42" s="375" t="s">
        <v>8093</v>
      </c>
      <c r="AK42" s="372"/>
      <c r="AL42" s="136" t="s">
        <v>8094</v>
      </c>
      <c r="AM42" s="136" t="s">
        <v>8094</v>
      </c>
      <c r="AN42" s="136" t="s">
        <v>8094</v>
      </c>
      <c r="AO42" s="138" t="s">
        <v>8095</v>
      </c>
      <c r="AP42" s="189"/>
      <c r="AQ42" s="142" t="s">
        <v>8096</v>
      </c>
      <c r="AR42" s="142" t="s">
        <v>8096</v>
      </c>
      <c r="AS42" s="142" t="s">
        <v>8096</v>
      </c>
      <c r="AT42" s="126" t="s">
        <v>8097</v>
      </c>
      <c r="AU42" s="190"/>
      <c r="AV42" s="142" t="s">
        <v>8098</v>
      </c>
      <c r="AW42" s="142" t="s">
        <v>8098</v>
      </c>
      <c r="AX42" s="142" t="s">
        <v>8098</v>
      </c>
      <c r="AY42" s="142"/>
      <c r="AZ42" s="142"/>
      <c r="BA42" s="142"/>
      <c r="BB42" s="142"/>
      <c r="BC42" s="142"/>
    </row>
    <row r="43">
      <c r="A43" s="133" t="s">
        <v>8099</v>
      </c>
      <c r="B43" s="189"/>
      <c r="C43" s="167" t="s">
        <v>8100</v>
      </c>
      <c r="D43" s="124"/>
      <c r="E43" s="124"/>
      <c r="F43" s="126" t="s">
        <v>8101</v>
      </c>
      <c r="G43" s="377"/>
      <c r="H43" s="167" t="s">
        <v>8102</v>
      </c>
      <c r="I43" s="124"/>
      <c r="J43" s="124"/>
      <c r="K43" s="116" t="s">
        <v>8103</v>
      </c>
      <c r="L43" s="189"/>
      <c r="M43" s="136" t="s">
        <v>8104</v>
      </c>
      <c r="N43" s="142"/>
      <c r="O43" s="142"/>
      <c r="P43" s="116" t="str">
        <f>IFERROR(__xludf.DUMMYFUNCTION("GOOGLETRANSLATE(A43,""zh-tw"",""zh"")"),"金枪鱼头")</f>
        <v>金枪鱼头</v>
      </c>
      <c r="Q43" s="362"/>
      <c r="R43" s="167" t="str">
        <f>IFERROR(__xludf.DUMMYFUNCTION("GOOGLETRANSLATE(C43,""zh-tw"",""zh"")"),"金枪鱼")</f>
        <v>金枪鱼</v>
      </c>
      <c r="S43" s="167"/>
      <c r="T43" s="167"/>
      <c r="U43" s="126" t="str">
        <f>IFERROR(__xludf.DUMMYFUNCTION("GOOGLETRANSLATE(A43,""zh-tw"",""es-MX"")"),"cabeza de atún")</f>
        <v>cabeza de atún</v>
      </c>
      <c r="V43" s="371"/>
      <c r="W43" s="167" t="str">
        <f>IFERROR(__xludf.DUMMYFUNCTION("GOOGLETRANSLATE(C43,""zh-tw"",""es-MX"")"),"atún")</f>
        <v>atún</v>
      </c>
      <c r="X43" s="167"/>
      <c r="Y43" s="167"/>
      <c r="Z43" s="374" t="str">
        <f>IFERROR(__xludf.DUMMYFUNCTION("GOOGLETRANSLATE(A43,""zh-tw"",""KO"")"),"참치 머리")</f>
        <v>참치 머리</v>
      </c>
      <c r="AA43" s="372"/>
      <c r="AB43" s="142" t="str">
        <f>IFERROR(__xludf.DUMMYFUNCTION("GOOGLETRANSLATE(C43,""zh-tw"",""KO"")"),"참치")</f>
        <v>참치</v>
      </c>
      <c r="AC43" s="142"/>
      <c r="AD43" s="142"/>
      <c r="AE43" s="126" t="str">
        <f>IFERROR(__xludf.DUMMYFUNCTION("GOOGLETRANSLATE(A43,""zh-tw"",""ru"")"),"Голова тунца")</f>
        <v>Голова тунца</v>
      </c>
      <c r="AF43" s="371"/>
      <c r="AG43" s="167" t="str">
        <f>IFERROR(__xludf.DUMMYFUNCTION("GOOGLETRANSLATE(C43,""zh-tw"",""ru"")"),"тунец")</f>
        <v>тунец</v>
      </c>
      <c r="AH43" s="167"/>
      <c r="AI43" s="167"/>
      <c r="AJ43" s="375" t="s">
        <v>8105</v>
      </c>
      <c r="AK43" s="372"/>
      <c r="AL43" s="136" t="s">
        <v>8106</v>
      </c>
      <c r="AM43" s="142"/>
      <c r="AN43" s="142"/>
      <c r="AO43" s="106" t="s">
        <v>8107</v>
      </c>
      <c r="AP43" s="189"/>
      <c r="AQ43" s="142" t="s">
        <v>8108</v>
      </c>
      <c r="AR43" s="142" t="s">
        <v>7742</v>
      </c>
      <c r="AS43" s="124"/>
      <c r="AT43" s="126" t="s">
        <v>8109</v>
      </c>
      <c r="AU43" s="190"/>
      <c r="AV43" s="142" t="s">
        <v>8110</v>
      </c>
      <c r="AW43" s="28"/>
      <c r="AX43" s="28"/>
      <c r="AY43" s="124"/>
      <c r="AZ43" s="124"/>
      <c r="BA43" s="124"/>
      <c r="BB43" s="124"/>
      <c r="BC43" s="124"/>
    </row>
    <row r="44">
      <c r="A44" s="126" t="s">
        <v>8111</v>
      </c>
      <c r="B44" s="377"/>
      <c r="C44" s="167" t="s">
        <v>7919</v>
      </c>
      <c r="D44" s="167" t="s">
        <v>7734</v>
      </c>
      <c r="E44" s="124"/>
      <c r="F44" s="126" t="s">
        <v>8112</v>
      </c>
      <c r="G44" s="377"/>
      <c r="H44" s="167" t="s">
        <v>7921</v>
      </c>
      <c r="I44" s="167" t="s">
        <v>7736</v>
      </c>
      <c r="J44" s="124"/>
      <c r="K44" s="116" t="s">
        <v>8113</v>
      </c>
      <c r="L44" s="189"/>
      <c r="M44" s="136" t="s">
        <v>7923</v>
      </c>
      <c r="N44" s="136" t="s">
        <v>7738</v>
      </c>
      <c r="O44" s="142"/>
      <c r="P44" s="116" t="str">
        <f>IFERROR(__xludf.DUMMYFUNCTION("GOOGLETRANSLATE(A44,""zh-tw"",""zh"")"),"章鱼丸子")</f>
        <v>章鱼丸子</v>
      </c>
      <c r="Q44" s="362"/>
      <c r="R44" s="167" t="str">
        <f>IFERROR(__xludf.DUMMYFUNCTION("GOOGLETRANSLATE(C44,""zh-tw"",""zh"")"),"章鱼脚")</f>
        <v>章鱼脚</v>
      </c>
      <c r="S44" s="167" t="str">
        <f>IFERROR(__xludf.DUMMYFUNCTION("GOOGLETRANSLATE(D44,""zh-tw"",""zh"")"),"小麦粉")</f>
        <v>小麦粉</v>
      </c>
      <c r="T44" s="167"/>
      <c r="U44" s="126" t="str">
        <f>IFERROR(__xludf.DUMMYFUNCTION("GOOGLETRANSLATE(A44,""zh-tw"",""es-MX"")"),"Takoyaki")</f>
        <v>Takoyaki</v>
      </c>
      <c r="V44" s="371"/>
      <c r="W44" s="167" t="str">
        <f>IFERROR(__xludf.DUMMYFUNCTION("GOOGLETRANSLATE(C44,""zh-tw"",""es-MX"")"),"Patas de pulpo")</f>
        <v>Patas de pulpo</v>
      </c>
      <c r="X44" s="167" t="str">
        <f>IFERROR(__xludf.DUMMYFUNCTION("GOOGLETRANSLATE(D44,""zh-tw"",""es-MX"")"),"harina de trigo")</f>
        <v>harina de trigo</v>
      </c>
      <c r="Y44" s="167"/>
      <c r="Z44" s="375" t="s">
        <v>8114</v>
      </c>
      <c r="AA44" s="372"/>
      <c r="AB44" s="136" t="s">
        <v>7925</v>
      </c>
      <c r="AC44" s="142" t="str">
        <f>IFERROR(__xludf.DUMMYFUNCTION("GOOGLETRANSLATE(D44,""zh-tw"",""KO"")"),"밀가루")</f>
        <v>밀가루</v>
      </c>
      <c r="AD44" s="142"/>
      <c r="AE44" s="126" t="str">
        <f>IFERROR(__xludf.DUMMYFUNCTION("GOOGLETRANSLATE(A44,""zh-tw"",""ru"")"),"Такояки")</f>
        <v>Такояки</v>
      </c>
      <c r="AF44" s="371"/>
      <c r="AG44" s="167" t="str">
        <f>IFERROR(__xludf.DUMMYFUNCTION("GOOGLETRANSLATE(C44,""zh-tw"",""ru"")"),"Ноги осьминога")</f>
        <v>Ноги осьминога</v>
      </c>
      <c r="AH44" s="167" t="str">
        <f>IFERROR(__xludf.DUMMYFUNCTION("GOOGLETRANSLATE(D44,""zh-tw"",""ru"")"),"пшеничная мука")</f>
        <v>пшеничная мука</v>
      </c>
      <c r="AI44" s="167"/>
      <c r="AJ44" s="375" t="s">
        <v>8115</v>
      </c>
      <c r="AK44" s="372"/>
      <c r="AL44" s="136" t="s">
        <v>7927</v>
      </c>
      <c r="AM44" s="136" t="s">
        <v>7740</v>
      </c>
      <c r="AN44" s="142"/>
      <c r="AO44" s="138" t="s">
        <v>8113</v>
      </c>
      <c r="AP44" s="189"/>
      <c r="AQ44" s="142" t="s">
        <v>7929</v>
      </c>
      <c r="AR44" s="124"/>
      <c r="AS44" s="124"/>
      <c r="AT44" s="126" t="s">
        <v>8113</v>
      </c>
      <c r="AU44" s="190"/>
      <c r="AV44" s="142" t="s">
        <v>7923</v>
      </c>
      <c r="AW44" s="142" t="s">
        <v>7744</v>
      </c>
      <c r="AX44" s="28"/>
      <c r="AY44" s="124"/>
      <c r="AZ44" s="124"/>
      <c r="BA44" s="124"/>
      <c r="BB44" s="124"/>
      <c r="BC44" s="124"/>
    </row>
    <row r="45">
      <c r="A45" s="126" t="s">
        <v>8116</v>
      </c>
      <c r="B45" s="377"/>
      <c r="C45" s="167" t="s">
        <v>7788</v>
      </c>
      <c r="D45" s="124"/>
      <c r="E45" s="124"/>
      <c r="F45" s="126" t="s">
        <v>7823</v>
      </c>
      <c r="G45" s="377"/>
      <c r="H45" s="167" t="s">
        <v>7790</v>
      </c>
      <c r="I45" s="124"/>
      <c r="J45" s="124"/>
      <c r="K45" s="116" t="s">
        <v>8117</v>
      </c>
      <c r="L45" s="189"/>
      <c r="M45" s="136" t="s">
        <v>7793</v>
      </c>
      <c r="N45" s="142"/>
      <c r="O45" s="142"/>
      <c r="P45" s="116" t="str">
        <f>IFERROR(__xludf.DUMMYFUNCTION("GOOGLETRANSLATE(A45,""zh-tw"",""zh"")"),"汉堡肉")</f>
        <v>汉堡肉</v>
      </c>
      <c r="Q45" s="362"/>
      <c r="R45" s="167" t="str">
        <f>IFERROR(__xludf.DUMMYFUNCTION("GOOGLETRANSLATE(C45,""zh-tw"",""zh"")"),"大块兽肉")</f>
        <v>大块兽肉</v>
      </c>
      <c r="S45" s="167"/>
      <c r="T45" s="167"/>
      <c r="U45" s="126" t="str">
        <f>IFERROR(__xludf.DUMMYFUNCTION("GOOGLETRANSLATE(A45,""zh-tw"",""es-MX"")"),"hamburguesas")</f>
        <v>hamburguesas</v>
      </c>
      <c r="V45" s="371"/>
      <c r="W45" s="167" t="str">
        <f>IFERROR(__xludf.DUMMYFUNCTION("GOOGLETRANSLATE(C45,""zh-tw"",""es-MX"")"),"Grandes trozos de carne")</f>
        <v>Grandes trozos de carne</v>
      </c>
      <c r="X45" s="167"/>
      <c r="Y45" s="167"/>
      <c r="Z45" s="375" t="s">
        <v>8118</v>
      </c>
      <c r="AA45" s="372"/>
      <c r="AB45" s="136" t="s">
        <v>7795</v>
      </c>
      <c r="AC45" s="142"/>
      <c r="AD45" s="142"/>
      <c r="AE45" s="126" t="str">
        <f>IFERROR(__xludf.DUMMYFUNCTION("GOOGLETRANSLATE(A45,""zh-tw"",""ru"")"),"Котлеты для гамбургеров")</f>
        <v>Котлеты для гамбургеров</v>
      </c>
      <c r="AF45" s="371"/>
      <c r="AG45" s="167" t="str">
        <f>IFERROR(__xludf.DUMMYFUNCTION("GOOGLETRANSLATE(C45,""zh-tw"",""ru"")"),"Большие куски мяса")</f>
        <v>Большие куски мяса</v>
      </c>
      <c r="AH45" s="167"/>
      <c r="AI45" s="167"/>
      <c r="AJ45" s="375" t="s">
        <v>8119</v>
      </c>
      <c r="AK45" s="372"/>
      <c r="AL45" s="136" t="s">
        <v>7797</v>
      </c>
      <c r="AM45" s="142"/>
      <c r="AN45" s="142"/>
      <c r="AO45" s="138" t="s">
        <v>8120</v>
      </c>
      <c r="AP45" s="189"/>
      <c r="AQ45" s="142" t="s">
        <v>7798</v>
      </c>
      <c r="AR45" s="124"/>
      <c r="AS45" s="124"/>
      <c r="AT45" s="126" t="s">
        <v>8121</v>
      </c>
      <c r="AU45" s="190"/>
      <c r="AV45" s="142" t="s">
        <v>7799</v>
      </c>
      <c r="AW45" s="28"/>
      <c r="AX45" s="28"/>
      <c r="AY45" s="124"/>
      <c r="AZ45" s="124"/>
      <c r="BA45" s="124"/>
      <c r="BB45" s="124"/>
      <c r="BC45" s="124"/>
    </row>
    <row r="46">
      <c r="A46" s="126" t="s">
        <v>8122</v>
      </c>
      <c r="B46" s="362" t="s">
        <v>931</v>
      </c>
      <c r="C46" s="167" t="s">
        <v>5485</v>
      </c>
      <c r="D46" s="167" t="s">
        <v>5506</v>
      </c>
      <c r="E46" s="124"/>
      <c r="F46" s="126" t="s">
        <v>8123</v>
      </c>
      <c r="G46" s="362" t="s">
        <v>931</v>
      </c>
      <c r="H46" s="167" t="s">
        <v>7910</v>
      </c>
      <c r="I46" s="167" t="s">
        <v>8124</v>
      </c>
      <c r="J46" s="124"/>
      <c r="K46" s="116" t="s">
        <v>8125</v>
      </c>
      <c r="L46" s="362" t="s">
        <v>931</v>
      </c>
      <c r="M46" s="136" t="s">
        <v>5487</v>
      </c>
      <c r="N46" s="136" t="s">
        <v>5508</v>
      </c>
      <c r="O46" s="142"/>
      <c r="P46" s="116" t="str">
        <f>IFERROR(__xludf.DUMMYFUNCTION("GOOGLETRANSLATE(A46,""zh-tw"",""zh"")"),"辣味土豆泥")</f>
        <v>辣味土豆泥</v>
      </c>
      <c r="Q46" s="362" t="str">
        <f>IFERROR(__xludf.DUMMYFUNCTION("GOOGLETRANSLATE(B46,""zh-tw"",""zh"")"),"B")</f>
        <v>B</v>
      </c>
      <c r="R46" s="167" t="str">
        <f>IFERROR(__xludf.DUMMYFUNCTION("GOOGLETRANSLATE(C46,""zh-tw"",""zh"")"),"土豆")</f>
        <v>土豆</v>
      </c>
      <c r="S46" s="167" t="str">
        <f>IFERROR(__xludf.DUMMYFUNCTION("GOOGLETRANSLATE(D46,""zh-tw"",""zh"")"),"辣椒")</f>
        <v>辣椒</v>
      </c>
      <c r="T46" s="167"/>
      <c r="U46" s="126" t="str">
        <f>IFERROR(__xludf.DUMMYFUNCTION("GOOGLETRANSLATE(A46,""zh-tw"",""es-MX"")"),"Puré de papas picante")</f>
        <v>Puré de papas picante</v>
      </c>
      <c r="V46" s="371" t="str">
        <f>IFERROR(__xludf.DUMMYFUNCTION("GOOGLETRANSLATE(B46,""zh-tw"",""es-MX"")"),"B")</f>
        <v>B</v>
      </c>
      <c r="W46" s="167" t="str">
        <f>IFERROR(__xludf.DUMMYFUNCTION("GOOGLETRANSLATE(C46,""zh-tw"",""es-MX"")"),"Papa")</f>
        <v>Papa</v>
      </c>
      <c r="X46" s="167" t="str">
        <f>IFERROR(__xludf.DUMMYFUNCTION("GOOGLETRANSLATE(D46,""zh-tw"",""es-MX"")"),"chile")</f>
        <v>chile</v>
      </c>
      <c r="Y46" s="167"/>
      <c r="Z46" s="375" t="s">
        <v>8126</v>
      </c>
      <c r="AA46" s="372" t="s">
        <v>931</v>
      </c>
      <c r="AB46" s="142" t="str">
        <f>IFERROR(__xludf.DUMMYFUNCTION("GOOGLETRANSLATE(C46,""zh-tw"",""KO"")"),"감자")</f>
        <v>감자</v>
      </c>
      <c r="AC46" s="315" t="s">
        <v>8127</v>
      </c>
      <c r="AD46" s="142"/>
      <c r="AE46" s="126" t="str">
        <f>IFERROR(__xludf.DUMMYFUNCTION("GOOGLETRANSLATE(A46,""zh-tw"",""ru"")"),"Острое картофельное пюре")</f>
        <v>Острое картофельное пюре</v>
      </c>
      <c r="AF46" s="371" t="str">
        <f>IFERROR(__xludf.DUMMYFUNCTION("GOOGLETRANSLATE(L46,""zh-tw"",""es-MX"")"),"B")</f>
        <v>B</v>
      </c>
      <c r="AG46" s="167" t="str">
        <f>IFERROR(__xludf.DUMMYFUNCTION("GOOGLETRANSLATE(C46,""zh-tw"",""ru"")"),"Картофель")</f>
        <v>Картофель</v>
      </c>
      <c r="AH46" s="167" t="str">
        <f>IFERROR(__xludf.DUMMYFUNCTION("GOOGLETRANSLATE(D46,""zh-tw"",""ru"")"),"чили")</f>
        <v>чили</v>
      </c>
      <c r="AI46" s="167"/>
      <c r="AJ46" s="375" t="s">
        <v>8128</v>
      </c>
      <c r="AK46" s="372" t="s">
        <v>931</v>
      </c>
      <c r="AL46" s="136" t="s">
        <v>5490</v>
      </c>
      <c r="AM46" s="136" t="s">
        <v>8129</v>
      </c>
      <c r="AN46" s="142"/>
      <c r="AO46" s="138" t="s">
        <v>8130</v>
      </c>
      <c r="AP46" s="362" t="s">
        <v>931</v>
      </c>
      <c r="AQ46" s="142" t="s">
        <v>5492</v>
      </c>
      <c r="AR46" s="142" t="s">
        <v>5512</v>
      </c>
      <c r="AS46" s="124"/>
      <c r="AT46" s="126" t="s">
        <v>8131</v>
      </c>
      <c r="AU46" s="362" t="s">
        <v>931</v>
      </c>
      <c r="AV46" s="142" t="s">
        <v>5494</v>
      </c>
      <c r="AW46" s="142" t="s">
        <v>5508</v>
      </c>
      <c r="AX46" s="28"/>
      <c r="AY46" s="124"/>
      <c r="AZ46" s="124"/>
      <c r="BA46" s="124"/>
      <c r="BB46" s="124"/>
      <c r="BC46" s="124"/>
    </row>
    <row r="47">
      <c r="A47" s="126" t="s">
        <v>8132</v>
      </c>
      <c r="B47" s="362" t="s">
        <v>931</v>
      </c>
      <c r="C47" s="167" t="s">
        <v>5506</v>
      </c>
      <c r="D47" s="124"/>
      <c r="E47" s="124"/>
      <c r="F47" s="126" t="s">
        <v>8133</v>
      </c>
      <c r="G47" s="362" t="s">
        <v>931</v>
      </c>
      <c r="H47" s="167" t="s">
        <v>8124</v>
      </c>
      <c r="I47" s="124"/>
      <c r="J47" s="124"/>
      <c r="K47" s="116" t="s">
        <v>8134</v>
      </c>
      <c r="L47" s="362" t="s">
        <v>931</v>
      </c>
      <c r="M47" s="136" t="s">
        <v>5508</v>
      </c>
      <c r="N47" s="142"/>
      <c r="O47" s="142"/>
      <c r="P47" s="116" t="str">
        <f>IFERROR(__xludf.DUMMYFUNCTION("GOOGLETRANSLATE(A47,""zh-tw"",""zh"")"),"辣椒水")</f>
        <v>辣椒水</v>
      </c>
      <c r="Q47" s="362" t="str">
        <f>IFERROR(__xludf.DUMMYFUNCTION("GOOGLETRANSLATE(B47,""zh-tw"",""zh"")"),"B")</f>
        <v>B</v>
      </c>
      <c r="R47" s="167" t="str">
        <f>IFERROR(__xludf.DUMMYFUNCTION("GOOGLETRANSLATE(C47,""zh-tw"",""zh"")"),"辣椒")</f>
        <v>辣椒</v>
      </c>
      <c r="S47" s="167"/>
      <c r="T47" s="167"/>
      <c r="U47" s="126" t="str">
        <f>IFERROR(__xludf.DUMMYFUNCTION("GOOGLETRANSLATE(A47,""zh-tw"",""es-MX"")"),"Agua de chile")</f>
        <v>Agua de chile</v>
      </c>
      <c r="V47" s="371" t="str">
        <f>IFERROR(__xludf.DUMMYFUNCTION("GOOGLETRANSLATE(B47,""zh-tw"",""es-MX"")"),"B")</f>
        <v>B</v>
      </c>
      <c r="W47" s="167" t="str">
        <f>IFERROR(__xludf.DUMMYFUNCTION("GOOGLETRANSLATE(C47,""zh-tw"",""es-MX"")"),"chile")</f>
        <v>chile</v>
      </c>
      <c r="X47" s="167"/>
      <c r="Y47" s="167"/>
      <c r="Z47" s="375" t="s">
        <v>8135</v>
      </c>
      <c r="AA47" s="372" t="s">
        <v>931</v>
      </c>
      <c r="AB47" s="315" t="s">
        <v>8127</v>
      </c>
      <c r="AC47" s="142"/>
      <c r="AD47" s="142"/>
      <c r="AE47" s="126" t="str">
        <f>IFERROR(__xludf.DUMMYFUNCTION("GOOGLETRANSLATE(A47,""zh-tw"",""ru"")"),"Вода чили")</f>
        <v>Вода чили</v>
      </c>
      <c r="AF47" s="371" t="str">
        <f>IFERROR(__xludf.DUMMYFUNCTION("GOOGLETRANSLATE(L47,""zh-tw"",""es-MX"")"),"B")</f>
        <v>B</v>
      </c>
      <c r="AG47" s="167" t="str">
        <f>IFERROR(__xludf.DUMMYFUNCTION("GOOGLETRANSLATE(C47,""zh-tw"",""ru"")"),"чили")</f>
        <v>чили</v>
      </c>
      <c r="AH47" s="167"/>
      <c r="AI47" s="167"/>
      <c r="AJ47" s="375" t="s">
        <v>8136</v>
      </c>
      <c r="AK47" s="372" t="s">
        <v>931</v>
      </c>
      <c r="AL47" s="136" t="s">
        <v>8129</v>
      </c>
      <c r="AM47" s="142"/>
      <c r="AN47" s="142"/>
      <c r="AO47" s="138" t="s">
        <v>8137</v>
      </c>
      <c r="AP47" s="362" t="s">
        <v>931</v>
      </c>
      <c r="AQ47" s="142" t="s">
        <v>5512</v>
      </c>
      <c r="AR47" s="124"/>
      <c r="AS47" s="124"/>
      <c r="AT47" s="126" t="s">
        <v>8138</v>
      </c>
      <c r="AU47" s="362" t="s">
        <v>931</v>
      </c>
      <c r="AV47" s="142" t="s">
        <v>5508</v>
      </c>
      <c r="AW47" s="28"/>
      <c r="AX47" s="28"/>
      <c r="AY47" s="124"/>
      <c r="AZ47" s="124"/>
      <c r="BA47" s="124"/>
      <c r="BB47" s="124"/>
      <c r="BC47" s="124"/>
    </row>
    <row r="48">
      <c r="A48" s="126" t="s">
        <v>8139</v>
      </c>
      <c r="B48" s="377"/>
      <c r="C48" s="167" t="s">
        <v>7703</v>
      </c>
      <c r="D48" s="167" t="s">
        <v>7852</v>
      </c>
      <c r="E48" s="124"/>
      <c r="F48" s="126" t="s">
        <v>8140</v>
      </c>
      <c r="G48" s="377"/>
      <c r="H48" s="167" t="s">
        <v>7705</v>
      </c>
      <c r="I48" s="167" t="s">
        <v>7854</v>
      </c>
      <c r="J48" s="124"/>
      <c r="K48" s="116" t="s">
        <v>8141</v>
      </c>
      <c r="L48" s="189"/>
      <c r="M48" s="136" t="s">
        <v>7707</v>
      </c>
      <c r="N48" s="136" t="s">
        <v>7856</v>
      </c>
      <c r="O48" s="142"/>
      <c r="P48" s="116" t="str">
        <f>IFERROR(__xludf.DUMMYFUNCTION("GOOGLETRANSLATE(A48,""zh-tw"",""zh"")"),"水怪软糖")</f>
        <v>水怪软糖</v>
      </c>
      <c r="Q48" s="362"/>
      <c r="R48" s="167" t="str">
        <f>IFERROR(__xludf.DUMMYFUNCTION("GOOGLETRANSLATE(C48,""zh-tw"",""zh"")"),"史莱姆黏液")</f>
        <v>史莱姆黏液</v>
      </c>
      <c r="S48" s="167" t="str">
        <f>IFERROR(__xludf.DUMMYFUNCTION("GOOGLETRANSLATE(D48,""zh-tw"",""zh"")"),"水怪黏液")</f>
        <v>水怪黏液</v>
      </c>
      <c r="T48" s="167"/>
      <c r="U48" s="126" t="str">
        <f>IFERROR(__xludf.DUMMYFUNCTION("GOOGLETRANSLATE(A48,""zh-tw"",""es-MX"")"),"Gomitas de monstruo de agua")</f>
        <v>Gomitas de monstruo de agua</v>
      </c>
      <c r="V48" s="371"/>
      <c r="W48" s="167" t="str">
        <f>IFERROR(__xludf.DUMMYFUNCTION("GOOGLETRANSLATE(C48,""zh-tw"",""es-MX"")"),"limo")</f>
        <v>limo</v>
      </c>
      <c r="X48" s="167" t="str">
        <f>IFERROR(__xludf.DUMMYFUNCTION("GOOGLETRANSLATE(D48,""zh-tw"",""es-MX"")"),"Slime de monstruo de agua")</f>
        <v>Slime de monstruo de agua</v>
      </c>
      <c r="Y48" s="167"/>
      <c r="Z48" s="375" t="s">
        <v>8142</v>
      </c>
      <c r="AA48" s="372"/>
      <c r="AB48" s="315" t="s">
        <v>7708</v>
      </c>
      <c r="AC48" s="136" t="s">
        <v>7857</v>
      </c>
      <c r="AD48" s="142"/>
      <c r="AE48" s="126" t="str">
        <f>IFERROR(__xludf.DUMMYFUNCTION("GOOGLETRANSLATE(A48,""zh-tw"",""ru"")"),"Водный монстр жевательная резинка")</f>
        <v>Водный монстр жевательная резинка</v>
      </c>
      <c r="AF48" s="371"/>
      <c r="AG48" s="167" t="str">
        <f>IFERROR(__xludf.DUMMYFUNCTION("GOOGLETRANSLATE(C48,""zh-tw"",""ru"")"),"слизь")</f>
        <v>слизь</v>
      </c>
      <c r="AH48" s="167" t="str">
        <f>IFERROR(__xludf.DUMMYFUNCTION("GOOGLETRANSLATE(D48,""zh-tw"",""ru"")"),"Водяной монстр-слизь")</f>
        <v>Водяной монстр-слизь</v>
      </c>
      <c r="AI48" s="167"/>
      <c r="AJ48" s="375" t="s">
        <v>8143</v>
      </c>
      <c r="AK48" s="372"/>
      <c r="AL48" s="136" t="s">
        <v>7710</v>
      </c>
      <c r="AM48" s="136" t="s">
        <v>7859</v>
      </c>
      <c r="AN48" s="142"/>
      <c r="AO48" s="138" t="s">
        <v>8144</v>
      </c>
      <c r="AP48" s="189"/>
      <c r="AQ48" s="142" t="s">
        <v>7712</v>
      </c>
      <c r="AR48" s="142" t="s">
        <v>7861</v>
      </c>
      <c r="AS48" s="124"/>
      <c r="AT48" s="126" t="s">
        <v>8145</v>
      </c>
      <c r="AU48" s="190"/>
      <c r="AV48" s="142" t="s">
        <v>7713</v>
      </c>
      <c r="AW48" s="142" t="s">
        <v>8146</v>
      </c>
      <c r="AX48" s="28"/>
      <c r="AY48" s="124"/>
      <c r="AZ48" s="124"/>
      <c r="BA48" s="124"/>
      <c r="BB48" s="124"/>
      <c r="BC48" s="124"/>
    </row>
    <row r="49">
      <c r="A49" s="126" t="s">
        <v>8147</v>
      </c>
      <c r="B49" s="377"/>
      <c r="C49" s="167" t="s">
        <v>7703</v>
      </c>
      <c r="D49" s="167" t="s">
        <v>7852</v>
      </c>
      <c r="E49" s="124"/>
      <c r="F49" s="126" t="s">
        <v>8148</v>
      </c>
      <c r="G49" s="377"/>
      <c r="H49" s="167" t="s">
        <v>7705</v>
      </c>
      <c r="I49" s="167" t="s">
        <v>7854</v>
      </c>
      <c r="J49" s="124"/>
      <c r="K49" s="116" t="s">
        <v>8149</v>
      </c>
      <c r="L49" s="189"/>
      <c r="M49" s="136" t="s">
        <v>7707</v>
      </c>
      <c r="N49" s="136" t="s">
        <v>7856</v>
      </c>
      <c r="O49" s="142"/>
      <c r="P49" s="116" t="str">
        <f>IFERROR(__xludf.DUMMYFUNCTION("GOOGLETRANSLATE(A49,""zh-tw"",""zh"")"),"水怪刨冰")</f>
        <v>水怪刨冰</v>
      </c>
      <c r="Q49" s="362"/>
      <c r="R49" s="167" t="str">
        <f>IFERROR(__xludf.DUMMYFUNCTION("GOOGLETRANSLATE(C49,""zh-tw"",""zh"")"),"史莱姆黏液")</f>
        <v>史莱姆黏液</v>
      </c>
      <c r="S49" s="167" t="str">
        <f>IFERROR(__xludf.DUMMYFUNCTION("GOOGLETRANSLATE(D49,""zh-tw"",""zh"")"),"水怪黏液")</f>
        <v>水怪黏液</v>
      </c>
      <c r="T49" s="167"/>
      <c r="U49" s="126" t="str">
        <f>IFERROR(__xludf.DUMMYFUNCTION("GOOGLETRANSLATE(A49,""zh-tw"",""es-MX"")"),"Hielo raspado Water Monster")</f>
        <v>Hielo raspado Water Monster</v>
      </c>
      <c r="V49" s="371"/>
      <c r="W49" s="167" t="str">
        <f>IFERROR(__xludf.DUMMYFUNCTION("GOOGLETRANSLATE(C49,""zh-tw"",""es-MX"")"),"limo")</f>
        <v>limo</v>
      </c>
      <c r="X49" s="167" t="str">
        <f>IFERROR(__xludf.DUMMYFUNCTION("GOOGLETRANSLATE(D49,""zh-tw"",""es-MX"")"),"Slime de monstruo de agua")</f>
        <v>Slime de monstruo de agua</v>
      </c>
      <c r="Y49" s="167"/>
      <c r="Z49" s="375" t="s">
        <v>8150</v>
      </c>
      <c r="AA49" s="372"/>
      <c r="AB49" s="315" t="s">
        <v>7708</v>
      </c>
      <c r="AC49" s="315" t="s">
        <v>7857</v>
      </c>
      <c r="AD49" s="142"/>
      <c r="AE49" s="126" t="str">
        <f>IFERROR(__xludf.DUMMYFUNCTION("GOOGLETRANSLATE(A49,""zh-tw"",""ru"")"),"Водяной монстр, строганный лед")</f>
        <v>Водяной монстр, строганный лед</v>
      </c>
      <c r="AF49" s="371"/>
      <c r="AG49" s="167" t="str">
        <f>IFERROR(__xludf.DUMMYFUNCTION("GOOGLETRANSLATE(C49,""zh-tw"",""ru"")"),"слизь")</f>
        <v>слизь</v>
      </c>
      <c r="AH49" s="167" t="str">
        <f>IFERROR(__xludf.DUMMYFUNCTION("GOOGLETRANSLATE(D49,""zh-tw"",""ru"")"),"Водяной монстр-слизь")</f>
        <v>Водяной монстр-слизь</v>
      </c>
      <c r="AI49" s="167"/>
      <c r="AJ49" s="375" t="s">
        <v>8151</v>
      </c>
      <c r="AK49" s="372"/>
      <c r="AL49" s="136" t="s">
        <v>7710</v>
      </c>
      <c r="AM49" s="136" t="s">
        <v>7859</v>
      </c>
      <c r="AN49" s="142"/>
      <c r="AO49" s="138" t="s">
        <v>8152</v>
      </c>
      <c r="AP49" s="189"/>
      <c r="AQ49" s="142" t="s">
        <v>7712</v>
      </c>
      <c r="AR49" s="142" t="s">
        <v>7861</v>
      </c>
      <c r="AS49" s="124"/>
      <c r="AT49" s="126" t="s">
        <v>8153</v>
      </c>
      <c r="AU49" s="190"/>
      <c r="AV49" s="142" t="s">
        <v>7713</v>
      </c>
      <c r="AW49" s="142" t="s">
        <v>8146</v>
      </c>
      <c r="AX49" s="28"/>
      <c r="AY49" s="124"/>
      <c r="AZ49" s="124"/>
      <c r="BA49" s="124"/>
      <c r="BB49" s="124"/>
      <c r="BC49" s="124"/>
    </row>
    <row r="50">
      <c r="A50" s="126" t="s">
        <v>8154</v>
      </c>
      <c r="B50" s="378" t="s">
        <v>8155</v>
      </c>
      <c r="C50" s="167" t="s">
        <v>7703</v>
      </c>
      <c r="D50" s="167" t="s">
        <v>7852</v>
      </c>
      <c r="E50" s="167" t="s">
        <v>8156</v>
      </c>
      <c r="F50" s="126" t="s">
        <v>8157</v>
      </c>
      <c r="G50" s="378" t="s">
        <v>8158</v>
      </c>
      <c r="H50" s="167" t="s">
        <v>7705</v>
      </c>
      <c r="I50" s="167" t="s">
        <v>7854</v>
      </c>
      <c r="J50" s="167" t="s">
        <v>8159</v>
      </c>
      <c r="K50" s="116" t="s">
        <v>8160</v>
      </c>
      <c r="L50" s="173" t="s">
        <v>8161</v>
      </c>
      <c r="M50" s="136" t="s">
        <v>7707</v>
      </c>
      <c r="N50" s="136" t="s">
        <v>7856</v>
      </c>
      <c r="O50" s="136" t="s">
        <v>8162</v>
      </c>
      <c r="P50" s="116" t="str">
        <f>IFERROR(__xludf.DUMMYFUNCTION("GOOGLETRANSLATE(A50,""zh-tw"",""zh"")"),"水怪软糖(红)")</f>
        <v>水怪软糖(红)</v>
      </c>
      <c r="Q50" s="378" t="s">
        <v>8155</v>
      </c>
      <c r="R50" s="167" t="str">
        <f>IFERROR(__xludf.DUMMYFUNCTION("GOOGLETRANSLATE(C50,""zh-tw"",""zh"")"),"史莱姆黏液")</f>
        <v>史莱姆黏液</v>
      </c>
      <c r="S50" s="167" t="str">
        <f>IFERROR(__xludf.DUMMYFUNCTION("GOOGLETRANSLATE(D50,""zh-tw"",""zh"")"),"水怪黏液")</f>
        <v>水怪黏液</v>
      </c>
      <c r="T50" s="167" t="str">
        <f>IFERROR(__xludf.DUMMYFUNCTION("GOOGLETRANSLATE(E50,""zh-tw"",""zh"")"),"番茄/辣椒")</f>
        <v>番茄/辣椒</v>
      </c>
      <c r="U50" s="126" t="str">
        <f>IFERROR(__xludf.DUMMYFUNCTION("GOOGLETRANSLATE(A50,""zh-tw"",""es-MX"")"),"Gomitas Water Monster (rojas)")</f>
        <v>Gomitas Water Monster (rojas)</v>
      </c>
      <c r="V50" s="371" t="str">
        <f>IFERROR(__xludf.DUMMYFUNCTION("GOOGLETRANSLATE(B50,""zh-tw"",""es-MX"")"),"(B) Chiles")</f>
        <v>(B) Chiles</v>
      </c>
      <c r="W50" s="167" t="str">
        <f>IFERROR(__xludf.DUMMYFUNCTION("GOOGLETRANSLATE(C50,""zh-tw"",""es-MX"")"),"limo")</f>
        <v>limo</v>
      </c>
      <c r="X50" s="167" t="str">
        <f>IFERROR(__xludf.DUMMYFUNCTION("GOOGLETRANSLATE(D50,""zh-tw"",""es-MX"")"),"Slime de monstruo de agua")</f>
        <v>Slime de monstruo de agua</v>
      </c>
      <c r="Y50" s="167" t="str">
        <f>IFERROR(__xludf.DUMMYFUNCTION("GOOGLETRANSLATE(E50,""zh-tw"",""es-MX"")"),"Tomates/Pimientos")</f>
        <v>Tomates/Pimientos</v>
      </c>
      <c r="Z50" s="375" t="s">
        <v>8163</v>
      </c>
      <c r="AA50" s="372" t="s">
        <v>8164</v>
      </c>
      <c r="AB50" s="136" t="s">
        <v>7708</v>
      </c>
      <c r="AC50" s="315" t="s">
        <v>7857</v>
      </c>
      <c r="AD50" s="142" t="str">
        <f>IFERROR(__xludf.DUMMYFUNCTION("GOOGLETRANSLATE(E50,""zh-tw"",""KO"")"),"토마토/고추")</f>
        <v>토마토/고추</v>
      </c>
      <c r="AE50" s="126" t="str">
        <f>IFERROR(__xludf.DUMMYFUNCTION("GOOGLETRANSLATE(A50,""zh-tw"",""ru"")"),"Жевательные конфеты Water Monster (красные)")</f>
        <v>Жевательные конфеты Water Monster (красные)</v>
      </c>
      <c r="AF50" s="371" t="str">
        <f>IFERROR(__xludf.DUMMYFUNCTION("GOOGLETRANSLATE(L50,""zh-tw"",""es-MX"")"),"B (Con chile)")</f>
        <v>B (Con chile)</v>
      </c>
      <c r="AG50" s="167" t="str">
        <f>IFERROR(__xludf.DUMMYFUNCTION("GOOGLETRANSLATE(C50,""zh-tw"",""ru"")"),"слизь")</f>
        <v>слизь</v>
      </c>
      <c r="AH50" s="167" t="str">
        <f>IFERROR(__xludf.DUMMYFUNCTION("GOOGLETRANSLATE(D50,""zh-tw"",""ru"")"),"Водяной монстр-слизь")</f>
        <v>Водяной монстр-слизь</v>
      </c>
      <c r="AI50" s="167" t="str">
        <f>IFERROR(__xludf.DUMMYFUNCTION("GOOGLETRANSLATE(E50,""zh-tw"",""ru"")"),"Помидоры/Перцы")</f>
        <v>Помидоры/Перцы</v>
      </c>
      <c r="AJ50" s="375" t="s">
        <v>8165</v>
      </c>
      <c r="AK50" s="372" t="s">
        <v>931</v>
      </c>
      <c r="AL50" s="136" t="s">
        <v>7710</v>
      </c>
      <c r="AM50" s="136" t="s">
        <v>7859</v>
      </c>
      <c r="AN50" s="142" t="str">
        <f>IFERROR(__xludf.DUMMYFUNCTION("GOOGLETRANSLATE(E50,""zh-tw"",""de"")"),"Tomaten/Paprika")</f>
        <v>Tomaten/Paprika</v>
      </c>
      <c r="AO50" s="138" t="s">
        <v>8166</v>
      </c>
      <c r="AP50" s="88" t="s">
        <v>8167</v>
      </c>
      <c r="AQ50" s="142" t="s">
        <v>7712</v>
      </c>
      <c r="AR50" s="142" t="s">
        <v>7861</v>
      </c>
      <c r="AS50" s="142" t="s">
        <v>8168</v>
      </c>
      <c r="AT50" s="126" t="s">
        <v>8169</v>
      </c>
      <c r="AU50" s="161" t="s">
        <v>8170</v>
      </c>
      <c r="AV50" s="142" t="s">
        <v>7713</v>
      </c>
      <c r="AW50" s="142" t="s">
        <v>8146</v>
      </c>
      <c r="AX50" s="142" t="s">
        <v>8171</v>
      </c>
      <c r="AY50" s="142"/>
      <c r="AZ50" s="142"/>
      <c r="BA50" s="142"/>
      <c r="BB50" s="142"/>
      <c r="BC50" s="142"/>
    </row>
    <row r="51">
      <c r="A51" s="126" t="s">
        <v>8172</v>
      </c>
      <c r="B51" s="377"/>
      <c r="C51" s="167" t="s">
        <v>7734</v>
      </c>
      <c r="D51" s="124"/>
      <c r="E51" s="124"/>
      <c r="F51" s="126" t="s">
        <v>8173</v>
      </c>
      <c r="G51" s="377"/>
      <c r="H51" s="167" t="s">
        <v>7736</v>
      </c>
      <c r="I51" s="124"/>
      <c r="J51" s="124"/>
      <c r="K51" s="116" t="s">
        <v>8174</v>
      </c>
      <c r="L51" s="189"/>
      <c r="M51" s="136" t="s">
        <v>7738</v>
      </c>
      <c r="N51" s="142"/>
      <c r="O51" s="142"/>
      <c r="P51" s="116" t="str">
        <f>IFERROR(__xludf.DUMMYFUNCTION("GOOGLETRANSLATE(A51,""zh-tw"",""zh"")"),"煎薄饼")</f>
        <v>煎薄饼</v>
      </c>
      <c r="Q51" s="362"/>
      <c r="R51" s="167" t="str">
        <f>IFERROR(__xludf.DUMMYFUNCTION("GOOGLETRANSLATE(C51,""zh-tw"",""zh"")"),"小麦粉")</f>
        <v>小麦粉</v>
      </c>
      <c r="S51" s="167"/>
      <c r="T51" s="167"/>
      <c r="U51" s="126" t="str">
        <f>IFERROR(__xludf.DUMMYFUNCTION("GOOGLETRANSLATE(A51,""zh-tw"",""es-MX"")"),"Panqueques")</f>
        <v>Panqueques</v>
      </c>
      <c r="V51" s="371"/>
      <c r="W51" s="167" t="str">
        <f>IFERROR(__xludf.DUMMYFUNCTION("GOOGLETRANSLATE(C51,""zh-tw"",""es-MX"")"),"harina de trigo")</f>
        <v>harina de trigo</v>
      </c>
      <c r="X51" s="167"/>
      <c r="Y51" s="167"/>
      <c r="Z51" s="374" t="str">
        <f>IFERROR(__xludf.DUMMYFUNCTION("GOOGLETRANSLATE(A51,""zh-tw"",""KO"")"),"팬케이크")</f>
        <v>팬케이크</v>
      </c>
      <c r="AA51" s="372"/>
      <c r="AB51" s="142" t="str">
        <f>IFERROR(__xludf.DUMMYFUNCTION("GOOGLETRANSLATE(C51,""zh-tw"",""KO"")"),"밀가루")</f>
        <v>밀가루</v>
      </c>
      <c r="AC51" s="142"/>
      <c r="AD51" s="142"/>
      <c r="AE51" s="126" t="str">
        <f>IFERROR(__xludf.DUMMYFUNCTION("GOOGLETRANSLATE(A51,""zh-tw"",""ru"")"),"Блины")</f>
        <v>Блины</v>
      </c>
      <c r="AF51" s="371"/>
      <c r="AG51" s="167" t="str">
        <f>IFERROR(__xludf.DUMMYFUNCTION("GOOGLETRANSLATE(C51,""zh-tw"",""ru"")"),"пшеничная мука")</f>
        <v>пшеничная мука</v>
      </c>
      <c r="AH51" s="167"/>
      <c r="AI51" s="167"/>
      <c r="AJ51" s="375" t="s">
        <v>8175</v>
      </c>
      <c r="AK51" s="372"/>
      <c r="AL51" s="136" t="s">
        <v>7740</v>
      </c>
      <c r="AM51" s="142"/>
      <c r="AN51" s="142"/>
      <c r="AO51" s="138" t="s">
        <v>8176</v>
      </c>
      <c r="AP51" s="189"/>
      <c r="AQ51" s="142" t="s">
        <v>7742</v>
      </c>
      <c r="AR51" s="124"/>
      <c r="AS51" s="124"/>
      <c r="AT51" s="126" t="s">
        <v>8177</v>
      </c>
      <c r="AU51" s="190"/>
      <c r="AV51" s="142" t="s">
        <v>7744</v>
      </c>
      <c r="AW51" s="28"/>
      <c r="AX51" s="28"/>
      <c r="AY51" s="124"/>
      <c r="AZ51" s="124"/>
      <c r="BA51" s="124"/>
      <c r="BB51" s="124"/>
      <c r="BC51" s="124"/>
    </row>
    <row r="52">
      <c r="A52" s="126" t="s">
        <v>8178</v>
      </c>
      <c r="B52" s="377"/>
      <c r="C52" s="167" t="s">
        <v>5469</v>
      </c>
      <c r="D52" s="167" t="s">
        <v>7734</v>
      </c>
      <c r="E52" s="124"/>
      <c r="F52" s="126" t="s">
        <v>8179</v>
      </c>
      <c r="G52" s="377"/>
      <c r="H52" s="167" t="s">
        <v>8180</v>
      </c>
      <c r="I52" s="167" t="s">
        <v>7736</v>
      </c>
      <c r="J52" s="124"/>
      <c r="K52" s="116" t="s">
        <v>8181</v>
      </c>
      <c r="L52" s="189"/>
      <c r="M52" s="136" t="s">
        <v>5473</v>
      </c>
      <c r="N52" s="136" t="s">
        <v>7738</v>
      </c>
      <c r="O52" s="142"/>
      <c r="P52" s="116" t="str">
        <f>IFERROR(__xludf.DUMMYFUNCTION("GOOGLETRANSLATE(A52,""zh-tw"",""zh"")"),"草莓煎薄饼")</f>
        <v>草莓煎薄饼</v>
      </c>
      <c r="Q52" s="362"/>
      <c r="R52" s="167" t="str">
        <f>IFERROR(__xludf.DUMMYFUNCTION("GOOGLETRANSLATE(C52,""zh-tw"",""zh"")"),"草莓")</f>
        <v>草莓</v>
      </c>
      <c r="S52" s="167" t="str">
        <f>IFERROR(__xludf.DUMMYFUNCTION("GOOGLETRANSLATE(D52,""zh-tw"",""zh"")"),"小麦粉")</f>
        <v>小麦粉</v>
      </c>
      <c r="T52" s="167"/>
      <c r="U52" s="126" t="str">
        <f>IFERROR(__xludf.DUMMYFUNCTION("GOOGLETRANSLATE(A52,""zh-tw"",""es-MX"")"),"Panqueques de fresa")</f>
        <v>Panqueques de fresa</v>
      </c>
      <c r="V52" s="371"/>
      <c r="W52" s="167" t="str">
        <f>IFERROR(__xludf.DUMMYFUNCTION("GOOGLETRANSLATE(C52,""zh-tw"",""es-MX"")"),"fresa")</f>
        <v>fresa</v>
      </c>
      <c r="X52" s="167" t="str">
        <f>IFERROR(__xludf.DUMMYFUNCTION("GOOGLETRANSLATE(D52,""zh-tw"",""es-MX"")"),"harina de trigo")</f>
        <v>harina de trigo</v>
      </c>
      <c r="Y52" s="167"/>
      <c r="Z52" s="374" t="str">
        <f>IFERROR(__xludf.DUMMYFUNCTION("GOOGLETRANSLATE(A52,""zh-tw"",""KO"")"),"딸기 팬케이크")</f>
        <v>딸기 팬케이크</v>
      </c>
      <c r="AA52" s="372"/>
      <c r="AB52" s="142" t="str">
        <f>IFERROR(__xludf.DUMMYFUNCTION("GOOGLETRANSLATE(C52,""zh-tw"",""KO"")"),"딸기")</f>
        <v>딸기</v>
      </c>
      <c r="AC52" s="142" t="str">
        <f>IFERROR(__xludf.DUMMYFUNCTION("GOOGLETRANSLATE(D52,""zh-tw"",""KO"")"),"밀가루")</f>
        <v>밀가루</v>
      </c>
      <c r="AD52" s="142"/>
      <c r="AE52" s="126" t="str">
        <f>IFERROR(__xludf.DUMMYFUNCTION("GOOGLETRANSLATE(A52,""zh-tw"",""ru"")"),"Клубничные блинчики")</f>
        <v>Клубничные блинчики</v>
      </c>
      <c r="AF52" s="371"/>
      <c r="AG52" s="167" t="str">
        <f>IFERROR(__xludf.DUMMYFUNCTION("GOOGLETRANSLATE(C52,""zh-tw"",""ru"")"),"клубника")</f>
        <v>клубника</v>
      </c>
      <c r="AH52" s="167" t="str">
        <f>IFERROR(__xludf.DUMMYFUNCTION("GOOGLETRANSLATE(D52,""zh-tw"",""ru"")"),"пшеничная мука")</f>
        <v>пшеничная мука</v>
      </c>
      <c r="AI52" s="167"/>
      <c r="AJ52" s="375" t="s">
        <v>8182</v>
      </c>
      <c r="AK52" s="372"/>
      <c r="AL52" s="136" t="s">
        <v>8183</v>
      </c>
      <c r="AM52" s="136" t="s">
        <v>7740</v>
      </c>
      <c r="AN52" s="142"/>
      <c r="AO52" s="138" t="s">
        <v>8184</v>
      </c>
      <c r="AP52" s="189"/>
      <c r="AQ52" s="142" t="s">
        <v>5479</v>
      </c>
      <c r="AR52" s="142" t="s">
        <v>7742</v>
      </c>
      <c r="AS52" s="124"/>
      <c r="AT52" s="126" t="s">
        <v>8185</v>
      </c>
      <c r="AU52" s="190"/>
      <c r="AV52" s="142" t="s">
        <v>5482</v>
      </c>
      <c r="AW52" s="142" t="s">
        <v>7744</v>
      </c>
      <c r="AX52" s="28"/>
      <c r="AY52" s="124"/>
      <c r="AZ52" s="124"/>
      <c r="BA52" s="124"/>
      <c r="BB52" s="124"/>
      <c r="BC52" s="124"/>
    </row>
    <row r="53">
      <c r="A53" s="126" t="s">
        <v>8186</v>
      </c>
      <c r="B53" s="377"/>
      <c r="C53" s="167" t="s">
        <v>5496</v>
      </c>
      <c r="D53" s="124"/>
      <c r="E53" s="124"/>
      <c r="F53" s="126" t="s">
        <v>8187</v>
      </c>
      <c r="G53" s="377"/>
      <c r="H53" s="167" t="s">
        <v>8010</v>
      </c>
      <c r="I53" s="124"/>
      <c r="J53" s="124"/>
      <c r="K53" s="116" t="s">
        <v>8188</v>
      </c>
      <c r="L53" s="189"/>
      <c r="M53" s="136" t="s">
        <v>5498</v>
      </c>
      <c r="N53" s="142"/>
      <c r="O53" s="142"/>
      <c r="P53" s="116" t="str">
        <f>IFERROR(__xludf.DUMMYFUNCTION("GOOGLETRANSLATE(A53,""zh-tw"",""zh"")"),"番茄汤")</f>
        <v>番茄汤</v>
      </c>
      <c r="Q53" s="362"/>
      <c r="R53" s="167" t="str">
        <f>IFERROR(__xludf.DUMMYFUNCTION("GOOGLETRANSLATE(C53,""zh-tw"",""zh"")"),"番茄")</f>
        <v>番茄</v>
      </c>
      <c r="S53" s="167"/>
      <c r="T53" s="167"/>
      <c r="U53" s="126" t="str">
        <f>IFERROR(__xludf.DUMMYFUNCTION("GOOGLETRANSLATE(A53,""zh-tw"",""es-MX"")"),"Sopa de tomate")</f>
        <v>Sopa de tomate</v>
      </c>
      <c r="V53" s="371"/>
      <c r="W53" s="167" t="str">
        <f>IFERROR(__xludf.DUMMYFUNCTION("GOOGLETRANSLATE(C53,""zh-tw"",""es-MX"")"),"tomate")</f>
        <v>tomate</v>
      </c>
      <c r="X53" s="167"/>
      <c r="Y53" s="167"/>
      <c r="Z53" s="374" t="str">
        <f>IFERROR(__xludf.DUMMYFUNCTION("GOOGLETRANSLATE(A53,""zh-tw"",""KO"")"),"토마토 수프")</f>
        <v>토마토 수프</v>
      </c>
      <c r="AA53" s="372"/>
      <c r="AB53" s="142" t="str">
        <f>IFERROR(__xludf.DUMMYFUNCTION("GOOGLETRANSLATE(C53,""zh-tw"",""KO"")"),"토마토")</f>
        <v>토마토</v>
      </c>
      <c r="AC53" s="142"/>
      <c r="AD53" s="142"/>
      <c r="AE53" s="126" t="str">
        <f>IFERROR(__xludf.DUMMYFUNCTION("GOOGLETRANSLATE(A53,""zh-tw"",""ru"")"),"Томатный суп")</f>
        <v>Томатный суп</v>
      </c>
      <c r="AF53" s="371"/>
      <c r="AG53" s="167" t="str">
        <f>IFERROR(__xludf.DUMMYFUNCTION("GOOGLETRANSLATE(C53,""zh-tw"",""ru"")"),"помидор")</f>
        <v>помидор</v>
      </c>
      <c r="AH53" s="167"/>
      <c r="AI53" s="167"/>
      <c r="AJ53" s="375" t="s">
        <v>8189</v>
      </c>
      <c r="AK53" s="372"/>
      <c r="AL53" s="136" t="s">
        <v>5504</v>
      </c>
      <c r="AM53" s="142"/>
      <c r="AN53" s="142"/>
      <c r="AO53" s="138" t="s">
        <v>8190</v>
      </c>
      <c r="AP53" s="189"/>
      <c r="AQ53" s="142" t="s">
        <v>5492</v>
      </c>
      <c r="AR53" s="124"/>
      <c r="AS53" s="124"/>
      <c r="AT53" s="126" t="s">
        <v>8191</v>
      </c>
      <c r="AU53" s="190"/>
      <c r="AV53" s="142" t="s">
        <v>5504</v>
      </c>
      <c r="AW53" s="28"/>
      <c r="AX53" s="28"/>
      <c r="AY53" s="124"/>
      <c r="AZ53" s="124"/>
      <c r="BA53" s="124"/>
      <c r="BB53" s="124"/>
      <c r="BC53" s="124"/>
    </row>
    <row r="54">
      <c r="A54" s="126" t="s">
        <v>5469</v>
      </c>
      <c r="B54" s="377"/>
      <c r="C54" s="167" t="s">
        <v>5469</v>
      </c>
      <c r="D54" s="124"/>
      <c r="E54" s="124"/>
      <c r="F54" s="126" t="s">
        <v>8192</v>
      </c>
      <c r="G54" s="377"/>
      <c r="H54" s="167" t="s">
        <v>8180</v>
      </c>
      <c r="I54" s="124"/>
      <c r="J54" s="124"/>
      <c r="K54" s="116" t="s">
        <v>5473</v>
      </c>
      <c r="L54" s="189"/>
      <c r="M54" s="136" t="s">
        <v>5473</v>
      </c>
      <c r="N54" s="142"/>
      <c r="O54" s="142"/>
      <c r="P54" s="116" t="str">
        <f>IFERROR(__xludf.DUMMYFUNCTION("GOOGLETRANSLATE(A54,""zh-tw"",""zh"")"),"草莓")</f>
        <v>草莓</v>
      </c>
      <c r="Q54" s="362"/>
      <c r="R54" s="167" t="str">
        <f>IFERROR(__xludf.DUMMYFUNCTION("GOOGLETRANSLATE(C54,""zh-tw"",""zh"")"),"草莓")</f>
        <v>草莓</v>
      </c>
      <c r="S54" s="167"/>
      <c r="T54" s="167"/>
      <c r="U54" s="126" t="str">
        <f>IFERROR(__xludf.DUMMYFUNCTION("GOOGLETRANSLATE(A54,""zh-tw"",""es-MX"")"),"fresa")</f>
        <v>fresa</v>
      </c>
      <c r="V54" s="371"/>
      <c r="W54" s="167" t="str">
        <f>IFERROR(__xludf.DUMMYFUNCTION("GOOGLETRANSLATE(C54,""zh-tw"",""es-MX"")"),"fresa")</f>
        <v>fresa</v>
      </c>
      <c r="X54" s="167"/>
      <c r="Y54" s="167"/>
      <c r="Z54" s="374" t="str">
        <f>IFERROR(__xludf.DUMMYFUNCTION("GOOGLETRANSLATE(A54,""zh-tw"",""KO"")"),"딸기")</f>
        <v>딸기</v>
      </c>
      <c r="AA54" s="372"/>
      <c r="AB54" s="142" t="str">
        <f>IFERROR(__xludf.DUMMYFUNCTION("GOOGLETRANSLATE(C54,""zh-tw"",""KO"")"),"딸기")</f>
        <v>딸기</v>
      </c>
      <c r="AC54" s="142"/>
      <c r="AD54" s="142"/>
      <c r="AE54" s="126" t="str">
        <f>IFERROR(__xludf.DUMMYFUNCTION("GOOGLETRANSLATE(A54,""zh-tw"",""ru"")"),"клубника")</f>
        <v>клубника</v>
      </c>
      <c r="AF54" s="371"/>
      <c r="AG54" s="167" t="str">
        <f>IFERROR(__xludf.DUMMYFUNCTION("GOOGLETRANSLATE(C54,""zh-tw"",""ru"")"),"клубника")</f>
        <v>клубника</v>
      </c>
      <c r="AH54" s="167"/>
      <c r="AI54" s="167"/>
      <c r="AJ54" s="375" t="s">
        <v>8183</v>
      </c>
      <c r="AK54" s="372"/>
      <c r="AL54" s="136" t="s">
        <v>8183</v>
      </c>
      <c r="AM54" s="142"/>
      <c r="AN54" s="142"/>
      <c r="AO54" s="138" t="s">
        <v>5479</v>
      </c>
      <c r="AP54" s="189"/>
      <c r="AQ54" s="142" t="s">
        <v>5479</v>
      </c>
      <c r="AR54" s="124"/>
      <c r="AS54" s="124"/>
      <c r="AT54" s="126" t="s">
        <v>5482</v>
      </c>
      <c r="AU54" s="190"/>
      <c r="AV54" s="142" t="s">
        <v>5482</v>
      </c>
      <c r="AW54" s="28"/>
      <c r="AX54" s="28"/>
      <c r="AY54" s="124"/>
      <c r="AZ54" s="124"/>
      <c r="BA54" s="124"/>
      <c r="BB54" s="124"/>
      <c r="BC54" s="124"/>
    </row>
    <row r="55">
      <c r="A55" s="133" t="s">
        <v>8193</v>
      </c>
      <c r="B55" s="189"/>
      <c r="C55" s="379" t="s">
        <v>8051</v>
      </c>
      <c r="D55" s="379" t="s">
        <v>8194</v>
      </c>
      <c r="E55" s="379" t="s">
        <v>8195</v>
      </c>
      <c r="F55" s="125"/>
      <c r="G55" s="377"/>
      <c r="H55" s="124"/>
      <c r="I55" s="124"/>
      <c r="J55" s="124"/>
      <c r="K55" s="113" t="s">
        <v>8196</v>
      </c>
      <c r="L55" s="161"/>
      <c r="M55" s="136" t="s">
        <v>8055</v>
      </c>
      <c r="N55" s="136" t="s">
        <v>8197</v>
      </c>
      <c r="O55" s="136" t="s">
        <v>7721</v>
      </c>
      <c r="P55" s="116" t="str">
        <f>IFERROR(__xludf.DUMMYFUNCTION("GOOGLETRANSLATE(A55,""zh-tw"",""zh"")"),"烟熏鸡饭团")</f>
        <v>烟熏鸡饭团</v>
      </c>
      <c r="Q55" s="362"/>
      <c r="R55" s="167" t="str">
        <f>IFERROR(__xludf.DUMMYFUNCTION("GOOGLETRANSLATE(C55,""zh-tw"",""zh"")"),"鸡腿肉")</f>
        <v>鸡腿肉</v>
      </c>
      <c r="S55" s="167" t="str">
        <f>IFERROR(__xludf.DUMMYFUNCTION("GOOGLETRANSLATE(D55,""zh-tw"",""zh"")"),"鸡腿肉/白饭")</f>
        <v>鸡腿肉/白饭</v>
      </c>
      <c r="T55" s="167" t="str">
        <f>IFERROR(__xludf.DUMMYFUNCTION("GOOGLETRANSLATE(E55,""zh-tw"",""zh"")"),"白饭")</f>
        <v>白饭</v>
      </c>
      <c r="U55" s="125"/>
      <c r="V55" s="189"/>
      <c r="W55" s="124"/>
      <c r="X55" s="124"/>
      <c r="Y55" s="124"/>
      <c r="Z55" s="374" t="str">
        <f>IFERROR(__xludf.DUMMYFUNCTION("GOOGLETRANSLATE(A55,""zh-tw"",""KO"")"),"훈제 치킨 라이스볼")</f>
        <v>훈제 치킨 라이스볼</v>
      </c>
      <c r="AA55" s="189"/>
      <c r="AB55" s="142" t="str">
        <f>IFERROR(__xludf.DUMMYFUNCTION("GOOGLETRANSLATE(C55,""zh-tw"",""KO"")"),"닭다리살")</f>
        <v>닭다리살</v>
      </c>
      <c r="AC55" s="142" t="str">
        <f>IFERROR(__xludf.DUMMYFUNCTION("GOOGLETRANSLATE(D55,""zh-tw"",""KO"")"),"닭다리살/흰쌀밥")</f>
        <v>닭다리살/흰쌀밥</v>
      </c>
      <c r="AD55" s="142" t="str">
        <f>IFERROR(__xludf.DUMMYFUNCTION("GOOGLETRANSLATE(E55,""zh-tw"",""KO"")"),"흰쌀")</f>
        <v>흰쌀</v>
      </c>
      <c r="AE55" s="125"/>
      <c r="AF55" s="189"/>
      <c r="AG55" s="124"/>
      <c r="AH55" s="124"/>
      <c r="AI55" s="124"/>
      <c r="AJ55" s="125"/>
      <c r="AK55" s="189"/>
      <c r="AL55" s="124"/>
      <c r="AM55" s="124"/>
      <c r="AN55" s="124"/>
      <c r="AO55" s="118" t="s">
        <v>8198</v>
      </c>
      <c r="AP55" s="161"/>
      <c r="AQ55" s="136" t="s">
        <v>8061</v>
      </c>
      <c r="AR55" s="136" t="s">
        <v>8199</v>
      </c>
      <c r="AS55" s="136" t="s">
        <v>7728</v>
      </c>
      <c r="AT55" s="133" t="s">
        <v>8200</v>
      </c>
      <c r="AU55" s="190"/>
      <c r="AV55" s="136" t="s">
        <v>8063</v>
      </c>
      <c r="AW55" s="136" t="s">
        <v>8201</v>
      </c>
      <c r="AX55" s="142" t="s">
        <v>7731</v>
      </c>
      <c r="AY55" s="124"/>
      <c r="AZ55" s="124"/>
      <c r="BA55" s="124"/>
      <c r="BB55" s="124"/>
      <c r="BC55" s="124"/>
    </row>
    <row r="56">
      <c r="A56" s="133" t="s">
        <v>8202</v>
      </c>
      <c r="B56" s="189"/>
      <c r="C56" s="379" t="s">
        <v>8051</v>
      </c>
      <c r="D56" s="379" t="s">
        <v>8203</v>
      </c>
      <c r="E56" s="379" t="s">
        <v>8195</v>
      </c>
      <c r="F56" s="125"/>
      <c r="G56" s="377"/>
      <c r="H56" s="124"/>
      <c r="I56" s="124"/>
      <c r="J56" s="124"/>
      <c r="K56" s="113" t="s">
        <v>8204</v>
      </c>
      <c r="L56" s="189"/>
      <c r="M56" s="136" t="s">
        <v>8055</v>
      </c>
      <c r="N56" s="136" t="s">
        <v>7722</v>
      </c>
      <c r="O56" s="136" t="s">
        <v>7721</v>
      </c>
      <c r="P56" s="116" t="str">
        <f>IFERROR(__xludf.DUMMYFUNCTION("GOOGLETRANSLATE(A56,""zh-tw"",""zh"")"),"鸡肉咖喱饭")</f>
        <v>鸡肉咖喱饭</v>
      </c>
      <c r="Q56" s="362"/>
      <c r="R56" s="167" t="str">
        <f>IFERROR(__xludf.DUMMYFUNCTION("GOOGLETRANSLATE(C56,""zh-tw"",""zh"")"),"鸡腿肉")</f>
        <v>鸡腿肉</v>
      </c>
      <c r="S56" s="167" t="str">
        <f>IFERROR(__xludf.DUMMYFUNCTION("GOOGLETRANSLATE(D56,""zh-tw"",""zh"")"),"咖喱块")</f>
        <v>咖喱块</v>
      </c>
      <c r="T56" s="167" t="str">
        <f>IFERROR(__xludf.DUMMYFUNCTION("GOOGLETRANSLATE(E56,""zh-tw"",""zh"")"),"白饭")</f>
        <v>白饭</v>
      </c>
      <c r="U56" s="125"/>
      <c r="V56" s="189"/>
      <c r="W56" s="124"/>
      <c r="X56" s="124"/>
      <c r="Y56" s="124"/>
      <c r="Z56" s="374" t="str">
        <f>IFERROR(__xludf.DUMMYFUNCTION("GOOGLETRANSLATE(A56,""zh-tw"",""KO"")"),"치킨 카레 라이스")</f>
        <v>치킨 카레 라이스</v>
      </c>
      <c r="AA56" s="189"/>
      <c r="AB56" s="142" t="str">
        <f>IFERROR(__xludf.DUMMYFUNCTION("GOOGLETRANSLATE(C56,""zh-tw"",""KO"")"),"닭다리살")</f>
        <v>닭다리살</v>
      </c>
      <c r="AC56" s="142" t="str">
        <f>IFERROR(__xludf.DUMMYFUNCTION("GOOGLETRANSLATE(D56,""zh-tw"",""KO"")"),"카레 큐브")</f>
        <v>카레 큐브</v>
      </c>
      <c r="AD56" s="142" t="str">
        <f>IFERROR(__xludf.DUMMYFUNCTION("GOOGLETRANSLATE(E56,""zh-tw"",""KO"")"),"흰쌀")</f>
        <v>흰쌀</v>
      </c>
      <c r="AE56" s="125"/>
      <c r="AF56" s="189"/>
      <c r="AG56" s="124"/>
      <c r="AH56" s="124"/>
      <c r="AI56" s="124"/>
      <c r="AJ56" s="125"/>
      <c r="AK56" s="189"/>
      <c r="AL56" s="124"/>
      <c r="AM56" s="124"/>
      <c r="AN56" s="124"/>
      <c r="AO56" s="118" t="s">
        <v>8205</v>
      </c>
      <c r="AP56" s="161"/>
      <c r="AQ56" s="136" t="s">
        <v>8061</v>
      </c>
      <c r="AR56" s="136" t="s">
        <v>7729</v>
      </c>
      <c r="AS56" s="136" t="s">
        <v>7728</v>
      </c>
      <c r="AT56" s="133" t="s">
        <v>8206</v>
      </c>
      <c r="AU56" s="190"/>
      <c r="AV56" s="136" t="s">
        <v>8063</v>
      </c>
      <c r="AW56" s="380" t="s">
        <v>7732</v>
      </c>
      <c r="AX56" s="142" t="s">
        <v>7731</v>
      </c>
      <c r="AY56" s="124"/>
      <c r="AZ56" s="124"/>
      <c r="BA56" s="124"/>
      <c r="BB56" s="124"/>
      <c r="BC56" s="124"/>
    </row>
    <row r="57">
      <c r="A57" s="133" t="s">
        <v>8207</v>
      </c>
      <c r="B57" s="189"/>
      <c r="C57" s="379" t="s">
        <v>7908</v>
      </c>
      <c r="D57" s="379" t="s">
        <v>7908</v>
      </c>
      <c r="E57" s="379" t="s">
        <v>7908</v>
      </c>
      <c r="F57" s="125"/>
      <c r="G57" s="189"/>
      <c r="H57" s="124"/>
      <c r="I57" s="124"/>
      <c r="J57" s="124"/>
      <c r="K57" s="113" t="s">
        <v>8208</v>
      </c>
      <c r="L57" s="189"/>
      <c r="M57" s="136" t="s">
        <v>7913</v>
      </c>
      <c r="N57" s="136" t="s">
        <v>7913</v>
      </c>
      <c r="O57" s="136" t="s">
        <v>7913</v>
      </c>
      <c r="P57" s="116" t="str">
        <f>IFERROR(__xludf.DUMMYFUNCTION("GOOGLETRANSLATE(A57,""zh-tw"",""zh"")"),"烤胡萝卜串")</f>
        <v>烤胡萝卜串</v>
      </c>
      <c r="Q57" s="362"/>
      <c r="R57" s="167" t="str">
        <f>IFERROR(__xludf.DUMMYFUNCTION("GOOGLETRANSLATE(C57,""zh-tw"",""zh"")"),"胡萝卜")</f>
        <v>胡萝卜</v>
      </c>
      <c r="S57" s="167" t="str">
        <f>IFERROR(__xludf.DUMMYFUNCTION("GOOGLETRANSLATE(D57,""zh-tw"",""zh"")"),"胡萝卜")</f>
        <v>胡萝卜</v>
      </c>
      <c r="T57" s="167" t="str">
        <f>IFERROR(__xludf.DUMMYFUNCTION("GOOGLETRANSLATE(E57,""zh-tw"",""zh"")"),"胡萝卜")</f>
        <v>胡萝卜</v>
      </c>
      <c r="U57" s="125"/>
      <c r="V57" s="189"/>
      <c r="W57" s="124"/>
      <c r="X57" s="124"/>
      <c r="Y57" s="124"/>
      <c r="Z57" s="374" t="str">
        <f>IFERROR(__xludf.DUMMYFUNCTION("GOOGLETRANSLATE(A57,""zh-tw"",""KO"")"),"구운 당근꼬치")</f>
        <v>구운 당근꼬치</v>
      </c>
      <c r="AA57" s="189"/>
      <c r="AB57" s="142" t="str">
        <f>IFERROR(__xludf.DUMMYFUNCTION("GOOGLETRANSLATE(C57,""zh-tw"",""KO"")"),"당근")</f>
        <v>당근</v>
      </c>
      <c r="AC57" s="142" t="str">
        <f>IFERROR(__xludf.DUMMYFUNCTION("GOOGLETRANSLATE(D57,""zh-tw"",""KO"")"),"당근")</f>
        <v>당근</v>
      </c>
      <c r="AD57" s="142" t="str">
        <f>IFERROR(__xludf.DUMMYFUNCTION("GOOGLETRANSLATE(E57,""zh-tw"",""KO"")"),"당근")</f>
        <v>당근</v>
      </c>
      <c r="AE57" s="125"/>
      <c r="AF57" s="189"/>
      <c r="AG57" s="124"/>
      <c r="AH57" s="124"/>
      <c r="AI57" s="124"/>
      <c r="AJ57" s="125"/>
      <c r="AK57" s="189"/>
      <c r="AL57" s="124"/>
      <c r="AM57" s="124"/>
      <c r="AN57" s="124"/>
      <c r="AO57" s="118" t="s">
        <v>8209</v>
      </c>
      <c r="AP57" s="161"/>
      <c r="AQ57" s="136" t="s">
        <v>7916</v>
      </c>
      <c r="AR57" s="136" t="s">
        <v>7916</v>
      </c>
      <c r="AS57" s="136" t="s">
        <v>7916</v>
      </c>
      <c r="AT57" s="133" t="s">
        <v>8210</v>
      </c>
      <c r="AU57" s="190"/>
      <c r="AV57" s="136" t="s">
        <v>7917</v>
      </c>
      <c r="AW57" s="136" t="s">
        <v>7917</v>
      </c>
      <c r="AX57" s="136" t="s">
        <v>7917</v>
      </c>
      <c r="AY57" s="124"/>
      <c r="AZ57" s="124"/>
      <c r="BA57" s="124"/>
      <c r="BB57" s="124"/>
      <c r="BC57" s="124"/>
    </row>
    <row r="58">
      <c r="A58" s="126"/>
      <c r="B58" s="189"/>
      <c r="C58" s="124"/>
      <c r="D58" s="124"/>
      <c r="E58" s="124"/>
      <c r="F58" s="125"/>
      <c r="G58" s="189"/>
      <c r="H58" s="124"/>
      <c r="I58" s="124"/>
      <c r="J58" s="124"/>
      <c r="K58" s="102"/>
      <c r="L58" s="189"/>
      <c r="M58" s="124"/>
      <c r="N58" s="124"/>
      <c r="O58" s="124"/>
      <c r="P58" s="102"/>
      <c r="Q58" s="161"/>
      <c r="R58" s="124"/>
      <c r="S58" s="124"/>
      <c r="T58" s="124"/>
      <c r="U58" s="125"/>
      <c r="V58" s="189"/>
      <c r="W58" s="124"/>
      <c r="X58" s="124"/>
      <c r="Y58" s="124"/>
      <c r="Z58" s="125"/>
      <c r="AA58" s="189"/>
      <c r="AB58" s="142"/>
      <c r="AC58" s="142"/>
      <c r="AD58" s="142"/>
      <c r="AE58" s="125"/>
      <c r="AF58" s="189"/>
      <c r="AG58" s="124"/>
      <c r="AH58" s="124"/>
      <c r="AI58" s="124"/>
      <c r="AJ58" s="125"/>
      <c r="AK58" s="189"/>
      <c r="AL58" s="124"/>
      <c r="AM58" s="124"/>
      <c r="AN58" s="124"/>
      <c r="AO58" s="138"/>
      <c r="AP58" s="161"/>
      <c r="AQ58" s="142"/>
      <c r="AR58" s="142"/>
      <c r="AS58" s="142"/>
      <c r="AT58" s="124"/>
      <c r="AU58" s="124"/>
      <c r="AV58" s="124"/>
      <c r="AW58" s="124"/>
      <c r="AX58" s="124"/>
      <c r="AY58" s="124"/>
      <c r="AZ58" s="124"/>
      <c r="BA58" s="124"/>
      <c r="BB58" s="124"/>
      <c r="BC58" s="124"/>
    </row>
    <row r="59">
      <c r="A59" s="126"/>
      <c r="B59" s="189"/>
      <c r="C59" s="124"/>
      <c r="D59" s="124"/>
      <c r="E59" s="124"/>
      <c r="F59" s="125"/>
      <c r="G59" s="189"/>
      <c r="H59" s="124"/>
      <c r="I59" s="124"/>
      <c r="J59" s="124"/>
      <c r="K59" s="102"/>
      <c r="L59" s="189"/>
      <c r="M59" s="124"/>
      <c r="N59" s="124"/>
      <c r="O59" s="124"/>
      <c r="P59" s="102"/>
      <c r="Q59" s="161"/>
      <c r="R59" s="124"/>
      <c r="S59" s="124"/>
      <c r="T59" s="124"/>
      <c r="U59" s="125"/>
      <c r="V59" s="189"/>
      <c r="W59" s="124"/>
      <c r="X59" s="124"/>
      <c r="Y59" s="124"/>
      <c r="Z59" s="125"/>
      <c r="AA59" s="189"/>
      <c r="AB59" s="124"/>
      <c r="AC59" s="124"/>
      <c r="AD59" s="124"/>
      <c r="AE59" s="125"/>
      <c r="AF59" s="189"/>
      <c r="AG59" s="124"/>
      <c r="AH59" s="124"/>
      <c r="AI59" s="124"/>
      <c r="AJ59" s="125"/>
      <c r="AK59" s="189"/>
      <c r="AL59" s="124"/>
      <c r="AM59" s="124"/>
      <c r="AN59" s="124"/>
      <c r="AO59" s="138"/>
      <c r="AP59" s="161"/>
      <c r="AQ59" s="142"/>
      <c r="AR59" s="142"/>
      <c r="AS59" s="142"/>
      <c r="AT59" s="124"/>
      <c r="AU59" s="124"/>
      <c r="AV59" s="124"/>
      <c r="AW59" s="124"/>
      <c r="AX59" s="124"/>
      <c r="AY59" s="124"/>
      <c r="AZ59" s="124"/>
      <c r="BA59" s="124"/>
      <c r="BB59" s="124"/>
      <c r="BC59" s="124"/>
    </row>
    <row r="60">
      <c r="A60" s="125"/>
      <c r="B60" s="189"/>
      <c r="C60" s="124"/>
      <c r="D60" s="124"/>
      <c r="E60" s="124"/>
      <c r="F60" s="125"/>
      <c r="G60" s="189"/>
      <c r="H60" s="124"/>
      <c r="I60" s="124"/>
      <c r="J60" s="124"/>
      <c r="K60" s="102"/>
      <c r="L60" s="189"/>
      <c r="M60" s="124"/>
      <c r="N60" s="124"/>
      <c r="O60" s="124"/>
      <c r="P60" s="102"/>
      <c r="Q60" s="161"/>
      <c r="R60" s="124"/>
      <c r="S60" s="124"/>
      <c r="T60" s="124"/>
      <c r="U60" s="125"/>
      <c r="V60" s="189"/>
      <c r="W60" s="124"/>
      <c r="X60" s="124"/>
      <c r="Y60" s="124"/>
      <c r="Z60" s="125"/>
      <c r="AA60" s="189"/>
      <c r="AB60" s="124"/>
      <c r="AC60" s="124"/>
      <c r="AD60" s="124"/>
      <c r="AE60" s="125"/>
      <c r="AF60" s="189"/>
      <c r="AG60" s="124"/>
      <c r="AH60" s="124"/>
      <c r="AI60" s="124"/>
      <c r="AJ60" s="125"/>
      <c r="AK60" s="189"/>
      <c r="AL60" s="124"/>
      <c r="AM60" s="124"/>
      <c r="AN60" s="124"/>
      <c r="AO60" s="125"/>
      <c r="AP60" s="189"/>
      <c r="AQ60" s="124"/>
      <c r="AR60" s="124"/>
      <c r="AS60" s="124"/>
      <c r="AT60" s="124"/>
      <c r="AU60" s="124"/>
      <c r="AV60" s="124"/>
      <c r="AW60" s="124"/>
      <c r="AX60" s="124"/>
      <c r="AY60" s="124"/>
      <c r="AZ60" s="124"/>
      <c r="BA60" s="124"/>
      <c r="BB60" s="124"/>
      <c r="BC60" s="124"/>
    </row>
    <row r="61">
      <c r="A61" s="125"/>
      <c r="B61" s="189"/>
      <c r="C61" s="124"/>
      <c r="D61" s="124"/>
      <c r="E61" s="124"/>
      <c r="F61" s="125"/>
      <c r="G61" s="189"/>
      <c r="H61" s="124"/>
      <c r="I61" s="124"/>
      <c r="J61" s="124"/>
      <c r="K61" s="102"/>
      <c r="L61" s="189"/>
      <c r="M61" s="124"/>
      <c r="N61" s="124"/>
      <c r="O61" s="124"/>
      <c r="P61" s="102"/>
      <c r="Q61" s="161"/>
      <c r="R61" s="124"/>
      <c r="S61" s="124"/>
      <c r="T61" s="124"/>
      <c r="U61" s="125"/>
      <c r="V61" s="189"/>
      <c r="W61" s="124"/>
      <c r="X61" s="124"/>
      <c r="Y61" s="124"/>
      <c r="Z61" s="125"/>
      <c r="AA61" s="189"/>
      <c r="AB61" s="124"/>
      <c r="AC61" s="124"/>
      <c r="AD61" s="124"/>
      <c r="AE61" s="125"/>
      <c r="AF61" s="189"/>
      <c r="AG61" s="124"/>
      <c r="AH61" s="124"/>
      <c r="AI61" s="124"/>
      <c r="AJ61" s="125"/>
      <c r="AK61" s="189"/>
      <c r="AL61" s="124"/>
      <c r="AM61" s="124"/>
      <c r="AN61" s="124"/>
      <c r="AO61" s="125"/>
      <c r="AP61" s="189"/>
      <c r="AQ61" s="124"/>
      <c r="AR61" s="124"/>
      <c r="AS61" s="124"/>
      <c r="AT61" s="124"/>
      <c r="AU61" s="124"/>
      <c r="AV61" s="124"/>
      <c r="AW61" s="124"/>
      <c r="AX61" s="124"/>
      <c r="AY61" s="124"/>
      <c r="AZ61" s="124"/>
      <c r="BA61" s="124"/>
      <c r="BB61" s="124"/>
      <c r="BC61" s="124"/>
    </row>
    <row r="62">
      <c r="A62" s="125"/>
      <c r="B62" s="189"/>
      <c r="C62" s="124"/>
      <c r="D62" s="124"/>
      <c r="E62" s="124"/>
      <c r="F62" s="125"/>
      <c r="G62" s="189"/>
      <c r="H62" s="124"/>
      <c r="I62" s="124"/>
      <c r="J62" s="124"/>
      <c r="K62" s="102"/>
      <c r="L62" s="189"/>
      <c r="M62" s="124"/>
      <c r="N62" s="124"/>
      <c r="O62" s="124"/>
      <c r="P62" s="102"/>
      <c r="Q62" s="161"/>
      <c r="R62" s="124"/>
      <c r="S62" s="124"/>
      <c r="T62" s="124"/>
      <c r="U62" s="125"/>
      <c r="V62" s="189"/>
      <c r="W62" s="124"/>
      <c r="X62" s="124"/>
      <c r="Y62" s="124"/>
      <c r="Z62" s="125"/>
      <c r="AA62" s="189"/>
      <c r="AB62" s="124"/>
      <c r="AC62" s="124"/>
      <c r="AD62" s="124"/>
      <c r="AE62" s="125"/>
      <c r="AF62" s="189"/>
      <c r="AG62" s="124"/>
      <c r="AH62" s="124"/>
      <c r="AI62" s="124"/>
      <c r="AJ62" s="125"/>
      <c r="AK62" s="189"/>
      <c r="AL62" s="124"/>
      <c r="AM62" s="124"/>
      <c r="AN62" s="124"/>
      <c r="AO62" s="125"/>
      <c r="AP62" s="189"/>
      <c r="AQ62" s="124"/>
      <c r="AR62" s="124"/>
      <c r="AS62" s="124"/>
      <c r="AT62" s="124"/>
      <c r="AU62" s="124"/>
      <c r="AV62" s="124"/>
      <c r="AW62" s="124"/>
      <c r="AX62" s="124"/>
      <c r="AY62" s="124"/>
      <c r="AZ62" s="124"/>
      <c r="BA62" s="124"/>
      <c r="BB62" s="124"/>
      <c r="BC62" s="124"/>
    </row>
    <row r="63">
      <c r="A63" s="125"/>
      <c r="B63" s="189"/>
      <c r="C63" s="124"/>
      <c r="D63" s="124"/>
      <c r="E63" s="124"/>
      <c r="F63" s="125"/>
      <c r="G63" s="189"/>
      <c r="H63" s="124"/>
      <c r="I63" s="124"/>
      <c r="J63" s="124"/>
      <c r="K63" s="102"/>
      <c r="L63" s="189"/>
      <c r="M63" s="124"/>
      <c r="N63" s="124"/>
      <c r="O63" s="124"/>
      <c r="P63" s="102"/>
      <c r="Q63" s="161"/>
      <c r="R63" s="124"/>
      <c r="S63" s="124"/>
      <c r="T63" s="124"/>
      <c r="U63" s="125"/>
      <c r="V63" s="189"/>
      <c r="W63" s="124"/>
      <c r="X63" s="124"/>
      <c r="Y63" s="124"/>
      <c r="Z63" s="125"/>
      <c r="AA63" s="189"/>
      <c r="AB63" s="124"/>
      <c r="AC63" s="124"/>
      <c r="AD63" s="124"/>
      <c r="AE63" s="125"/>
      <c r="AF63" s="189"/>
      <c r="AG63" s="124"/>
      <c r="AH63" s="124"/>
      <c r="AI63" s="124"/>
      <c r="AJ63" s="125"/>
      <c r="AK63" s="189"/>
      <c r="AL63" s="124"/>
      <c r="AM63" s="124"/>
      <c r="AN63" s="124"/>
      <c r="AO63" s="125"/>
      <c r="AP63" s="189"/>
      <c r="AQ63" s="124"/>
      <c r="AR63" s="124"/>
      <c r="AS63" s="124"/>
      <c r="AT63" s="124"/>
      <c r="AU63" s="124"/>
      <c r="AV63" s="124"/>
      <c r="AW63" s="124"/>
      <c r="AX63" s="124"/>
      <c r="AY63" s="124"/>
      <c r="AZ63" s="124"/>
      <c r="BA63" s="124"/>
      <c r="BB63" s="124"/>
      <c r="BC63" s="124"/>
    </row>
    <row r="64">
      <c r="A64" s="125"/>
      <c r="B64" s="189"/>
      <c r="C64" s="124"/>
      <c r="D64" s="124"/>
      <c r="E64" s="124"/>
      <c r="F64" s="125"/>
      <c r="G64" s="189"/>
      <c r="H64" s="124"/>
      <c r="I64" s="124"/>
      <c r="J64" s="124"/>
      <c r="K64" s="102"/>
      <c r="L64" s="189"/>
      <c r="M64" s="124"/>
      <c r="N64" s="124"/>
      <c r="O64" s="124"/>
      <c r="P64" s="102"/>
      <c r="Q64" s="161"/>
      <c r="R64" s="124"/>
      <c r="S64" s="124"/>
      <c r="T64" s="124"/>
      <c r="U64" s="125"/>
      <c r="V64" s="189"/>
      <c r="W64" s="124"/>
      <c r="X64" s="124"/>
      <c r="Y64" s="124"/>
      <c r="Z64" s="125"/>
      <c r="AA64" s="189"/>
      <c r="AB64" s="124"/>
      <c r="AC64" s="124"/>
      <c r="AD64" s="124"/>
      <c r="AE64" s="125"/>
      <c r="AF64" s="189"/>
      <c r="AG64" s="124"/>
      <c r="AH64" s="124"/>
      <c r="AI64" s="124"/>
      <c r="AJ64" s="125"/>
      <c r="AK64" s="189"/>
      <c r="AL64" s="124"/>
      <c r="AM64" s="124"/>
      <c r="AN64" s="124"/>
      <c r="AO64" s="125"/>
      <c r="AP64" s="189"/>
      <c r="AQ64" s="124"/>
      <c r="AR64" s="124"/>
      <c r="AS64" s="124"/>
      <c r="AT64" s="124"/>
      <c r="AU64" s="124"/>
      <c r="AV64" s="124"/>
      <c r="AW64" s="124"/>
      <c r="AX64" s="124"/>
      <c r="AY64" s="124"/>
      <c r="AZ64" s="124"/>
      <c r="BA64" s="124"/>
      <c r="BB64" s="124"/>
      <c r="BC64" s="124"/>
    </row>
    <row r="65">
      <c r="A65" s="125"/>
      <c r="B65" s="189"/>
      <c r="C65" s="124"/>
      <c r="D65" s="124"/>
      <c r="E65" s="124"/>
      <c r="F65" s="125"/>
      <c r="G65" s="189"/>
      <c r="H65" s="124"/>
      <c r="I65" s="124"/>
      <c r="J65" s="124"/>
      <c r="K65" s="102"/>
      <c r="L65" s="189"/>
      <c r="M65" s="124"/>
      <c r="N65" s="124"/>
      <c r="O65" s="124"/>
      <c r="P65" s="102"/>
      <c r="Q65" s="161"/>
      <c r="R65" s="124"/>
      <c r="S65" s="124"/>
      <c r="T65" s="124"/>
      <c r="U65" s="125"/>
      <c r="V65" s="189"/>
      <c r="W65" s="124"/>
      <c r="X65" s="124"/>
      <c r="Y65" s="124"/>
      <c r="Z65" s="125"/>
      <c r="AA65" s="189"/>
      <c r="AB65" s="124"/>
      <c r="AC65" s="124"/>
      <c r="AD65" s="124"/>
      <c r="AE65" s="125"/>
      <c r="AF65" s="189"/>
      <c r="AG65" s="124"/>
      <c r="AH65" s="124"/>
      <c r="AI65" s="124"/>
      <c r="AJ65" s="125"/>
      <c r="AK65" s="189"/>
      <c r="AL65" s="124"/>
      <c r="AM65" s="124"/>
      <c r="AN65" s="124"/>
      <c r="AO65" s="125"/>
      <c r="AP65" s="189"/>
      <c r="AQ65" s="124"/>
      <c r="AR65" s="124"/>
      <c r="AS65" s="124"/>
      <c r="AT65" s="124"/>
      <c r="AU65" s="124"/>
      <c r="AV65" s="124"/>
      <c r="AW65" s="124"/>
      <c r="AX65" s="124"/>
      <c r="AY65" s="124"/>
      <c r="AZ65" s="124"/>
      <c r="BA65" s="124"/>
      <c r="BB65" s="124"/>
      <c r="BC65" s="124"/>
    </row>
    <row r="66">
      <c r="A66" s="125"/>
      <c r="B66" s="189"/>
      <c r="C66" s="124"/>
      <c r="D66" s="124"/>
      <c r="E66" s="124"/>
      <c r="F66" s="125"/>
      <c r="G66" s="189"/>
      <c r="H66" s="124"/>
      <c r="I66" s="124"/>
      <c r="J66" s="124"/>
      <c r="K66" s="102"/>
      <c r="L66" s="189"/>
      <c r="M66" s="124"/>
      <c r="N66" s="124"/>
      <c r="O66" s="124"/>
      <c r="P66" s="102"/>
      <c r="Q66" s="161"/>
      <c r="R66" s="124"/>
      <c r="S66" s="124"/>
      <c r="T66" s="124"/>
      <c r="U66" s="125"/>
      <c r="V66" s="189"/>
      <c r="W66" s="124"/>
      <c r="X66" s="124"/>
      <c r="Y66" s="124"/>
      <c r="Z66" s="125"/>
      <c r="AA66" s="189"/>
      <c r="AB66" s="124"/>
      <c r="AC66" s="124"/>
      <c r="AD66" s="124"/>
      <c r="AE66" s="125"/>
      <c r="AF66" s="189"/>
      <c r="AG66" s="124"/>
      <c r="AH66" s="124"/>
      <c r="AI66" s="124"/>
      <c r="AJ66" s="125"/>
      <c r="AK66" s="189"/>
      <c r="AL66" s="124"/>
      <c r="AM66" s="124"/>
      <c r="AN66" s="124"/>
      <c r="AO66" s="125"/>
      <c r="AP66" s="189"/>
      <c r="AQ66" s="124"/>
      <c r="AR66" s="124"/>
      <c r="AS66" s="124"/>
      <c r="AT66" s="124"/>
      <c r="AU66" s="124"/>
      <c r="AV66" s="124"/>
      <c r="AW66" s="124"/>
      <c r="AX66" s="124"/>
      <c r="AY66" s="124"/>
      <c r="AZ66" s="124"/>
      <c r="BA66" s="124"/>
      <c r="BB66" s="124"/>
      <c r="BC66" s="124"/>
    </row>
    <row r="67">
      <c r="A67" s="125"/>
      <c r="B67" s="189"/>
      <c r="C67" s="124"/>
      <c r="D67" s="124"/>
      <c r="E67" s="124"/>
      <c r="F67" s="125"/>
      <c r="G67" s="189"/>
      <c r="H67" s="124"/>
      <c r="I67" s="124"/>
      <c r="J67" s="124"/>
      <c r="K67" s="102"/>
      <c r="L67" s="189"/>
      <c r="M67" s="124"/>
      <c r="N67" s="124"/>
      <c r="O67" s="124"/>
      <c r="P67" s="102"/>
      <c r="Q67" s="161"/>
      <c r="R67" s="124"/>
      <c r="S67" s="124"/>
      <c r="T67" s="124"/>
      <c r="U67" s="125"/>
      <c r="V67" s="189"/>
      <c r="W67" s="124"/>
      <c r="X67" s="124"/>
      <c r="Y67" s="124"/>
      <c r="Z67" s="125"/>
      <c r="AA67" s="189"/>
      <c r="AB67" s="124"/>
      <c r="AC67" s="124"/>
      <c r="AD67" s="124"/>
      <c r="AE67" s="125"/>
      <c r="AF67" s="189"/>
      <c r="AG67" s="124"/>
      <c r="AH67" s="124"/>
      <c r="AI67" s="124"/>
      <c r="AJ67" s="125"/>
      <c r="AK67" s="189"/>
      <c r="AL67" s="124"/>
      <c r="AM67" s="124"/>
      <c r="AN67" s="124"/>
      <c r="AO67" s="125"/>
      <c r="AP67" s="189"/>
      <c r="AQ67" s="124"/>
      <c r="AR67" s="124"/>
      <c r="AS67" s="124"/>
      <c r="AT67" s="124"/>
      <c r="AU67" s="124"/>
      <c r="AV67" s="124"/>
      <c r="AW67" s="124"/>
      <c r="AX67" s="124"/>
      <c r="AY67" s="124"/>
      <c r="AZ67" s="124"/>
      <c r="BA67" s="124"/>
      <c r="BB67" s="124"/>
      <c r="BC67" s="124"/>
    </row>
    <row r="68">
      <c r="A68" s="125"/>
      <c r="B68" s="189"/>
      <c r="C68" s="124"/>
      <c r="D68" s="124"/>
      <c r="E68" s="124"/>
      <c r="F68" s="125"/>
      <c r="G68" s="189"/>
      <c r="H68" s="124"/>
      <c r="I68" s="124"/>
      <c r="J68" s="124"/>
      <c r="K68" s="102"/>
      <c r="L68" s="189"/>
      <c r="M68" s="124"/>
      <c r="N68" s="124"/>
      <c r="O68" s="124"/>
      <c r="P68" s="102"/>
      <c r="Q68" s="161"/>
      <c r="R68" s="124"/>
      <c r="S68" s="124"/>
      <c r="T68" s="124"/>
      <c r="U68" s="125"/>
      <c r="V68" s="189"/>
      <c r="W68" s="124"/>
      <c r="X68" s="124"/>
      <c r="Y68" s="124"/>
      <c r="Z68" s="125"/>
      <c r="AA68" s="189"/>
      <c r="AB68" s="124"/>
      <c r="AC68" s="124"/>
      <c r="AD68" s="124"/>
      <c r="AE68" s="125"/>
      <c r="AF68" s="189"/>
      <c r="AG68" s="124"/>
      <c r="AH68" s="124"/>
      <c r="AI68" s="124"/>
      <c r="AJ68" s="125"/>
      <c r="AK68" s="189"/>
      <c r="AL68" s="124"/>
      <c r="AM68" s="124"/>
      <c r="AN68" s="124"/>
      <c r="AO68" s="125"/>
      <c r="AP68" s="189"/>
      <c r="AQ68" s="124"/>
      <c r="AR68" s="124"/>
      <c r="AS68" s="124"/>
      <c r="AT68" s="124"/>
      <c r="AU68" s="124"/>
      <c r="AV68" s="124"/>
      <c r="AW68" s="124"/>
      <c r="AX68" s="124"/>
      <c r="AY68" s="124"/>
      <c r="AZ68" s="124"/>
      <c r="BA68" s="124"/>
      <c r="BB68" s="124"/>
      <c r="BC68" s="124"/>
    </row>
    <row r="69">
      <c r="A69" s="125"/>
      <c r="B69" s="189"/>
      <c r="C69" s="124"/>
      <c r="D69" s="124"/>
      <c r="E69" s="124"/>
      <c r="F69" s="125"/>
      <c r="G69" s="189"/>
      <c r="H69" s="124"/>
      <c r="I69" s="124"/>
      <c r="J69" s="124"/>
      <c r="K69" s="102"/>
      <c r="L69" s="189"/>
      <c r="M69" s="124"/>
      <c r="N69" s="124"/>
      <c r="O69" s="124"/>
      <c r="P69" s="102"/>
      <c r="Q69" s="161"/>
      <c r="R69" s="124"/>
      <c r="S69" s="124"/>
      <c r="T69" s="124"/>
      <c r="U69" s="125"/>
      <c r="V69" s="189"/>
      <c r="W69" s="124"/>
      <c r="X69" s="124"/>
      <c r="Y69" s="124"/>
      <c r="Z69" s="125"/>
      <c r="AA69" s="189"/>
      <c r="AB69" s="124"/>
      <c r="AC69" s="124"/>
      <c r="AD69" s="124"/>
      <c r="AE69" s="125"/>
      <c r="AF69" s="189"/>
      <c r="AG69" s="124"/>
      <c r="AH69" s="124"/>
      <c r="AI69" s="124"/>
      <c r="AJ69" s="125"/>
      <c r="AK69" s="189"/>
      <c r="AL69" s="124"/>
      <c r="AM69" s="124"/>
      <c r="AN69" s="124"/>
      <c r="AO69" s="125"/>
      <c r="AP69" s="189"/>
      <c r="AQ69" s="124"/>
      <c r="AR69" s="124"/>
      <c r="AS69" s="124"/>
      <c r="AT69" s="124"/>
      <c r="AU69" s="124"/>
      <c r="AV69" s="124"/>
      <c r="AW69" s="124"/>
      <c r="AX69" s="124"/>
      <c r="AY69" s="124"/>
      <c r="AZ69" s="124"/>
      <c r="BA69" s="124"/>
      <c r="BB69" s="124"/>
      <c r="BC69" s="124"/>
    </row>
    <row r="70">
      <c r="A70" s="125"/>
      <c r="B70" s="189"/>
      <c r="C70" s="124"/>
      <c r="D70" s="124"/>
      <c r="E70" s="124"/>
      <c r="F70" s="125"/>
      <c r="G70" s="189"/>
      <c r="H70" s="124"/>
      <c r="I70" s="124"/>
      <c r="J70" s="124"/>
      <c r="K70" s="102"/>
      <c r="L70" s="189"/>
      <c r="M70" s="124"/>
      <c r="N70" s="124"/>
      <c r="O70" s="124"/>
      <c r="P70" s="102"/>
      <c r="Q70" s="161"/>
      <c r="R70" s="124"/>
      <c r="S70" s="124"/>
      <c r="T70" s="124"/>
      <c r="U70" s="125"/>
      <c r="V70" s="189"/>
      <c r="W70" s="124"/>
      <c r="X70" s="124"/>
      <c r="Y70" s="124"/>
      <c r="Z70" s="125"/>
      <c r="AA70" s="189"/>
      <c r="AB70" s="124"/>
      <c r="AC70" s="124"/>
      <c r="AD70" s="124"/>
      <c r="AE70" s="125"/>
      <c r="AF70" s="189"/>
      <c r="AG70" s="124"/>
      <c r="AH70" s="124"/>
      <c r="AI70" s="124"/>
      <c r="AJ70" s="125"/>
      <c r="AK70" s="189"/>
      <c r="AL70" s="124"/>
      <c r="AM70" s="124"/>
      <c r="AN70" s="124"/>
      <c r="AO70" s="125"/>
      <c r="AP70" s="189"/>
      <c r="AQ70" s="124"/>
      <c r="AR70" s="124"/>
      <c r="AS70" s="124"/>
      <c r="AT70" s="124"/>
      <c r="AU70" s="124"/>
      <c r="AV70" s="124"/>
      <c r="AW70" s="124"/>
      <c r="AX70" s="124"/>
      <c r="AY70" s="124"/>
      <c r="AZ70" s="124"/>
      <c r="BA70" s="124"/>
      <c r="BB70" s="124"/>
      <c r="BC70" s="124"/>
    </row>
    <row r="71">
      <c r="A71" s="125"/>
      <c r="B71" s="189"/>
      <c r="C71" s="124"/>
      <c r="D71" s="124"/>
      <c r="E71" s="124"/>
      <c r="F71" s="125"/>
      <c r="G71" s="189"/>
      <c r="H71" s="124"/>
      <c r="I71" s="124"/>
      <c r="J71" s="124"/>
      <c r="K71" s="102"/>
      <c r="L71" s="189"/>
      <c r="M71" s="124"/>
      <c r="N71" s="124"/>
      <c r="O71" s="124"/>
      <c r="P71" s="102"/>
      <c r="Q71" s="161"/>
      <c r="R71" s="124"/>
      <c r="S71" s="124"/>
      <c r="T71" s="124"/>
      <c r="U71" s="125"/>
      <c r="V71" s="189"/>
      <c r="W71" s="124"/>
      <c r="X71" s="124"/>
      <c r="Y71" s="124"/>
      <c r="Z71" s="125"/>
      <c r="AA71" s="189"/>
      <c r="AB71" s="124"/>
      <c r="AC71" s="124"/>
      <c r="AD71" s="124"/>
      <c r="AE71" s="125"/>
      <c r="AF71" s="189"/>
      <c r="AG71" s="124"/>
      <c r="AH71" s="124"/>
      <c r="AI71" s="124"/>
      <c r="AJ71" s="125"/>
      <c r="AK71" s="189"/>
      <c r="AL71" s="124"/>
      <c r="AM71" s="124"/>
      <c r="AN71" s="124"/>
      <c r="AO71" s="125"/>
      <c r="AP71" s="189"/>
      <c r="AQ71" s="124"/>
      <c r="AR71" s="124"/>
      <c r="AS71" s="124"/>
      <c r="AT71" s="124"/>
      <c r="AU71" s="124"/>
      <c r="AV71" s="124"/>
      <c r="AW71" s="124"/>
      <c r="AX71" s="124"/>
      <c r="AY71" s="124"/>
      <c r="AZ71" s="124"/>
      <c r="BA71" s="124"/>
      <c r="BB71" s="124"/>
      <c r="BC71" s="124"/>
    </row>
    <row r="72">
      <c r="A72" s="125"/>
      <c r="B72" s="189"/>
      <c r="C72" s="124"/>
      <c r="D72" s="124"/>
      <c r="E72" s="124"/>
      <c r="F72" s="125"/>
      <c r="G72" s="189"/>
      <c r="H72" s="124"/>
      <c r="I72" s="124"/>
      <c r="J72" s="124"/>
      <c r="K72" s="102"/>
      <c r="L72" s="189"/>
      <c r="M72" s="124"/>
      <c r="N72" s="124"/>
      <c r="O72" s="124"/>
      <c r="P72" s="102"/>
      <c r="Q72" s="161"/>
      <c r="R72" s="124"/>
      <c r="S72" s="124"/>
      <c r="T72" s="124"/>
      <c r="U72" s="125"/>
      <c r="V72" s="189"/>
      <c r="W72" s="124"/>
      <c r="X72" s="124"/>
      <c r="Y72" s="124"/>
      <c r="Z72" s="125"/>
      <c r="AA72" s="189"/>
      <c r="AB72" s="124"/>
      <c r="AC72" s="124"/>
      <c r="AD72" s="124"/>
      <c r="AE72" s="125"/>
      <c r="AF72" s="189"/>
      <c r="AG72" s="124"/>
      <c r="AH72" s="124"/>
      <c r="AI72" s="124"/>
      <c r="AJ72" s="125"/>
      <c r="AK72" s="189"/>
      <c r="AL72" s="124"/>
      <c r="AM72" s="124"/>
      <c r="AN72" s="124"/>
      <c r="AO72" s="125"/>
      <c r="AP72" s="189"/>
      <c r="AQ72" s="124"/>
      <c r="AR72" s="124"/>
      <c r="AS72" s="124"/>
      <c r="AT72" s="124"/>
      <c r="AU72" s="124"/>
      <c r="AV72" s="124"/>
      <c r="AW72" s="124"/>
      <c r="AX72" s="124"/>
      <c r="AY72" s="124"/>
      <c r="AZ72" s="124"/>
      <c r="BA72" s="124"/>
      <c r="BB72" s="124"/>
      <c r="BC72" s="124"/>
    </row>
    <row r="73">
      <c r="A73" s="125"/>
      <c r="B73" s="189"/>
      <c r="C73" s="124"/>
      <c r="D73" s="124"/>
      <c r="E73" s="124"/>
      <c r="F73" s="125"/>
      <c r="G73" s="189"/>
      <c r="H73" s="124"/>
      <c r="I73" s="124"/>
      <c r="J73" s="124"/>
      <c r="K73" s="102"/>
      <c r="L73" s="189"/>
      <c r="M73" s="124"/>
      <c r="N73" s="124"/>
      <c r="O73" s="124"/>
      <c r="P73" s="102"/>
      <c r="Q73" s="161"/>
      <c r="R73" s="124"/>
      <c r="S73" s="124"/>
      <c r="T73" s="124"/>
      <c r="U73" s="125"/>
      <c r="V73" s="189"/>
      <c r="W73" s="124"/>
      <c r="X73" s="124"/>
      <c r="Y73" s="124"/>
      <c r="Z73" s="125"/>
      <c r="AA73" s="189"/>
      <c r="AB73" s="124"/>
      <c r="AC73" s="124"/>
      <c r="AD73" s="124"/>
      <c r="AE73" s="125"/>
      <c r="AF73" s="189"/>
      <c r="AG73" s="124"/>
      <c r="AH73" s="124"/>
      <c r="AI73" s="124"/>
      <c r="AJ73" s="125"/>
      <c r="AK73" s="189"/>
      <c r="AL73" s="124"/>
      <c r="AM73" s="124"/>
      <c r="AN73" s="124"/>
      <c r="AO73" s="125"/>
      <c r="AP73" s="189"/>
      <c r="AQ73" s="124"/>
      <c r="AR73" s="124"/>
      <c r="AS73" s="124"/>
      <c r="AT73" s="124"/>
      <c r="AU73" s="124"/>
      <c r="AV73" s="124"/>
      <c r="AW73" s="124"/>
      <c r="AX73" s="124"/>
      <c r="AY73" s="124"/>
      <c r="AZ73" s="124"/>
      <c r="BA73" s="124"/>
      <c r="BB73" s="124"/>
      <c r="BC73" s="124"/>
    </row>
    <row r="74">
      <c r="A74" s="125"/>
      <c r="B74" s="189"/>
      <c r="C74" s="124"/>
      <c r="D74" s="124"/>
      <c r="E74" s="124"/>
      <c r="F74" s="125"/>
      <c r="G74" s="189"/>
      <c r="H74" s="124"/>
      <c r="I74" s="124"/>
      <c r="J74" s="124"/>
      <c r="K74" s="102"/>
      <c r="L74" s="189"/>
      <c r="M74" s="124"/>
      <c r="N74" s="124"/>
      <c r="O74" s="124"/>
      <c r="P74" s="102"/>
      <c r="Q74" s="161"/>
      <c r="R74" s="124"/>
      <c r="S74" s="124"/>
      <c r="T74" s="124"/>
      <c r="U74" s="125"/>
      <c r="V74" s="189"/>
      <c r="W74" s="124"/>
      <c r="X74" s="124"/>
      <c r="Y74" s="124"/>
      <c r="Z74" s="125"/>
      <c r="AA74" s="189"/>
      <c r="AB74" s="124"/>
      <c r="AC74" s="124"/>
      <c r="AD74" s="124"/>
      <c r="AE74" s="125"/>
      <c r="AF74" s="189"/>
      <c r="AG74" s="124"/>
      <c r="AH74" s="124"/>
      <c r="AI74" s="124"/>
      <c r="AJ74" s="125"/>
      <c r="AK74" s="189"/>
      <c r="AL74" s="124"/>
      <c r="AM74" s="124"/>
      <c r="AN74" s="124"/>
      <c r="AO74" s="125"/>
      <c r="AP74" s="189"/>
      <c r="AQ74" s="124"/>
      <c r="AR74" s="124"/>
      <c r="AS74" s="124"/>
      <c r="AT74" s="124"/>
      <c r="AU74" s="124"/>
      <c r="AV74" s="124"/>
      <c r="AW74" s="124"/>
      <c r="AX74" s="124"/>
      <c r="AY74" s="124"/>
      <c r="AZ74" s="124"/>
      <c r="BA74" s="124"/>
      <c r="BB74" s="124"/>
      <c r="BC74" s="124"/>
    </row>
    <row r="75">
      <c r="A75" s="125"/>
      <c r="B75" s="189"/>
      <c r="C75" s="124"/>
      <c r="D75" s="124"/>
      <c r="E75" s="124"/>
      <c r="F75" s="125"/>
      <c r="G75" s="189"/>
      <c r="H75" s="124"/>
      <c r="I75" s="124"/>
      <c r="J75" s="124"/>
      <c r="K75" s="102"/>
      <c r="L75" s="189"/>
      <c r="M75" s="124"/>
      <c r="N75" s="124"/>
      <c r="O75" s="124"/>
      <c r="P75" s="102"/>
      <c r="Q75" s="161"/>
      <c r="R75" s="124"/>
      <c r="S75" s="124"/>
      <c r="T75" s="124"/>
      <c r="U75" s="125"/>
      <c r="V75" s="189"/>
      <c r="W75" s="124"/>
      <c r="X75" s="124"/>
      <c r="Y75" s="124"/>
      <c r="Z75" s="125"/>
      <c r="AA75" s="189"/>
      <c r="AB75" s="124"/>
      <c r="AC75" s="124"/>
      <c r="AD75" s="124"/>
      <c r="AE75" s="125"/>
      <c r="AF75" s="189"/>
      <c r="AG75" s="124"/>
      <c r="AH75" s="124"/>
      <c r="AI75" s="124"/>
      <c r="AJ75" s="125"/>
      <c r="AK75" s="189"/>
      <c r="AL75" s="124"/>
      <c r="AM75" s="124"/>
      <c r="AN75" s="124"/>
      <c r="AO75" s="125"/>
      <c r="AP75" s="189"/>
      <c r="AQ75" s="124"/>
      <c r="AR75" s="124"/>
      <c r="AS75" s="124"/>
      <c r="AT75" s="124"/>
      <c r="AU75" s="124"/>
      <c r="AV75" s="124"/>
      <c r="AW75" s="124"/>
      <c r="AX75" s="124"/>
      <c r="AY75" s="124"/>
      <c r="AZ75" s="124"/>
      <c r="BA75" s="124"/>
      <c r="BB75" s="124"/>
      <c r="BC75" s="124"/>
    </row>
    <row r="76">
      <c r="A76" s="125"/>
      <c r="B76" s="189"/>
      <c r="C76" s="124"/>
      <c r="D76" s="124"/>
      <c r="E76" s="124"/>
      <c r="F76" s="125"/>
      <c r="G76" s="189"/>
      <c r="H76" s="124"/>
      <c r="I76" s="124"/>
      <c r="J76" s="124"/>
      <c r="K76" s="102"/>
      <c r="L76" s="189"/>
      <c r="M76" s="124"/>
      <c r="N76" s="124"/>
      <c r="O76" s="124"/>
      <c r="P76" s="102"/>
      <c r="Q76" s="161"/>
      <c r="R76" s="124"/>
      <c r="S76" s="124"/>
      <c r="T76" s="124"/>
      <c r="U76" s="125"/>
      <c r="V76" s="189"/>
      <c r="W76" s="124"/>
      <c r="X76" s="124"/>
      <c r="Y76" s="124"/>
      <c r="Z76" s="125"/>
      <c r="AA76" s="189"/>
      <c r="AB76" s="124"/>
      <c r="AC76" s="124"/>
      <c r="AD76" s="124"/>
      <c r="AE76" s="125"/>
      <c r="AF76" s="189"/>
      <c r="AG76" s="124"/>
      <c r="AH76" s="124"/>
      <c r="AI76" s="124"/>
      <c r="AJ76" s="125"/>
      <c r="AK76" s="189"/>
      <c r="AL76" s="124"/>
      <c r="AM76" s="124"/>
      <c r="AN76" s="124"/>
      <c r="AO76" s="125"/>
      <c r="AP76" s="189"/>
      <c r="AQ76" s="124"/>
      <c r="AR76" s="124"/>
      <c r="AS76" s="124"/>
      <c r="AT76" s="124"/>
      <c r="AU76" s="124"/>
      <c r="AV76" s="124"/>
      <c r="AW76" s="124"/>
      <c r="AX76" s="124"/>
      <c r="AY76" s="124"/>
      <c r="AZ76" s="124"/>
      <c r="BA76" s="124"/>
      <c r="BB76" s="124"/>
      <c r="BC76" s="124"/>
    </row>
    <row r="77">
      <c r="A77" s="125"/>
      <c r="B77" s="189"/>
      <c r="C77" s="124"/>
      <c r="D77" s="124"/>
      <c r="E77" s="124"/>
      <c r="F77" s="125"/>
      <c r="G77" s="189"/>
      <c r="H77" s="124"/>
      <c r="I77" s="124"/>
      <c r="J77" s="124"/>
      <c r="K77" s="102"/>
      <c r="L77" s="189"/>
      <c r="M77" s="124"/>
      <c r="N77" s="124"/>
      <c r="O77" s="124"/>
      <c r="P77" s="102"/>
      <c r="Q77" s="161"/>
      <c r="R77" s="124"/>
      <c r="S77" s="124"/>
      <c r="T77" s="124"/>
      <c r="U77" s="125"/>
      <c r="V77" s="189"/>
      <c r="W77" s="124"/>
      <c r="X77" s="124"/>
      <c r="Y77" s="124"/>
      <c r="Z77" s="125"/>
      <c r="AA77" s="189"/>
      <c r="AB77" s="124"/>
      <c r="AC77" s="124"/>
      <c r="AD77" s="124"/>
      <c r="AE77" s="125"/>
      <c r="AF77" s="189"/>
      <c r="AG77" s="124"/>
      <c r="AH77" s="124"/>
      <c r="AI77" s="124"/>
      <c r="AJ77" s="125"/>
      <c r="AK77" s="189"/>
      <c r="AL77" s="124"/>
      <c r="AM77" s="124"/>
      <c r="AN77" s="124"/>
      <c r="AO77" s="125"/>
      <c r="AP77" s="189"/>
      <c r="AQ77" s="124"/>
      <c r="AR77" s="124"/>
      <c r="AS77" s="124"/>
      <c r="AT77" s="124"/>
      <c r="AU77" s="124"/>
      <c r="AV77" s="124"/>
      <c r="AW77" s="124"/>
      <c r="AX77" s="124"/>
      <c r="AY77" s="124"/>
      <c r="AZ77" s="124"/>
      <c r="BA77" s="124"/>
      <c r="BB77" s="124"/>
      <c r="BC77" s="124"/>
    </row>
    <row r="78">
      <c r="A78" s="125"/>
      <c r="B78" s="189"/>
      <c r="C78" s="124"/>
      <c r="D78" s="124"/>
      <c r="E78" s="124"/>
      <c r="F78" s="125"/>
      <c r="G78" s="189"/>
      <c r="H78" s="124"/>
      <c r="I78" s="124"/>
      <c r="J78" s="124"/>
      <c r="K78" s="102"/>
      <c r="L78" s="189"/>
      <c r="M78" s="124"/>
      <c r="N78" s="124"/>
      <c r="O78" s="124"/>
      <c r="P78" s="102"/>
      <c r="Q78" s="161"/>
      <c r="R78" s="124"/>
      <c r="S78" s="124"/>
      <c r="T78" s="124"/>
      <c r="U78" s="125"/>
      <c r="V78" s="189"/>
      <c r="W78" s="124"/>
      <c r="X78" s="124"/>
      <c r="Y78" s="124"/>
      <c r="Z78" s="125"/>
      <c r="AA78" s="189"/>
      <c r="AB78" s="124"/>
      <c r="AC78" s="124"/>
      <c r="AD78" s="124"/>
      <c r="AE78" s="125"/>
      <c r="AF78" s="189"/>
      <c r="AG78" s="124"/>
      <c r="AH78" s="124"/>
      <c r="AI78" s="124"/>
      <c r="AJ78" s="125"/>
      <c r="AK78" s="189"/>
      <c r="AL78" s="124"/>
      <c r="AM78" s="124"/>
      <c r="AN78" s="124"/>
      <c r="AO78" s="125"/>
      <c r="AP78" s="189"/>
      <c r="AQ78" s="124"/>
      <c r="AR78" s="124"/>
      <c r="AS78" s="124"/>
      <c r="AT78" s="124"/>
      <c r="AU78" s="124"/>
      <c r="AV78" s="124"/>
      <c r="AW78" s="124"/>
      <c r="AX78" s="124"/>
      <c r="AY78" s="124"/>
      <c r="AZ78" s="124"/>
      <c r="BA78" s="124"/>
      <c r="BB78" s="124"/>
      <c r="BC78" s="124"/>
    </row>
    <row r="79">
      <c r="A79" s="125"/>
      <c r="B79" s="189"/>
      <c r="C79" s="124"/>
      <c r="D79" s="124"/>
      <c r="E79" s="124"/>
      <c r="F79" s="125"/>
      <c r="G79" s="189"/>
      <c r="H79" s="124"/>
      <c r="I79" s="124"/>
      <c r="J79" s="124"/>
      <c r="K79" s="102"/>
      <c r="L79" s="189"/>
      <c r="M79" s="124"/>
      <c r="N79" s="124"/>
      <c r="O79" s="124"/>
      <c r="P79" s="102"/>
      <c r="Q79" s="161"/>
      <c r="R79" s="124"/>
      <c r="S79" s="124"/>
      <c r="T79" s="124"/>
      <c r="U79" s="125"/>
      <c r="V79" s="189"/>
      <c r="W79" s="124"/>
      <c r="X79" s="124"/>
      <c r="Y79" s="124"/>
      <c r="Z79" s="125"/>
      <c r="AA79" s="189"/>
      <c r="AB79" s="124"/>
      <c r="AC79" s="124"/>
      <c r="AD79" s="124"/>
      <c r="AE79" s="125"/>
      <c r="AF79" s="189"/>
      <c r="AG79" s="124"/>
      <c r="AH79" s="124"/>
      <c r="AI79" s="124"/>
      <c r="AJ79" s="125"/>
      <c r="AK79" s="189"/>
      <c r="AL79" s="124"/>
      <c r="AM79" s="124"/>
      <c r="AN79" s="124"/>
      <c r="AO79" s="125"/>
      <c r="AP79" s="189"/>
      <c r="AQ79" s="124"/>
      <c r="AR79" s="124"/>
      <c r="AS79" s="124"/>
      <c r="AT79" s="124"/>
      <c r="AU79" s="124"/>
      <c r="AV79" s="124"/>
      <c r="AW79" s="124"/>
      <c r="AX79" s="124"/>
      <c r="AY79" s="124"/>
      <c r="AZ79" s="124"/>
      <c r="BA79" s="124"/>
      <c r="BB79" s="124"/>
      <c r="BC79" s="124"/>
    </row>
    <row r="80">
      <c r="A80" s="125"/>
      <c r="B80" s="189"/>
      <c r="C80" s="124"/>
      <c r="D80" s="124"/>
      <c r="E80" s="124"/>
      <c r="F80" s="125"/>
      <c r="G80" s="189"/>
      <c r="H80" s="124"/>
      <c r="I80" s="124"/>
      <c r="J80" s="124"/>
      <c r="K80" s="102"/>
      <c r="L80" s="189"/>
      <c r="M80" s="124"/>
      <c r="N80" s="124"/>
      <c r="O80" s="124"/>
      <c r="P80" s="102"/>
      <c r="Q80" s="161"/>
      <c r="R80" s="124"/>
      <c r="S80" s="124"/>
      <c r="T80" s="124"/>
      <c r="U80" s="125"/>
      <c r="V80" s="189"/>
      <c r="W80" s="124"/>
      <c r="X80" s="124"/>
      <c r="Y80" s="124"/>
      <c r="Z80" s="125"/>
      <c r="AA80" s="189"/>
      <c r="AB80" s="124"/>
      <c r="AC80" s="124"/>
      <c r="AD80" s="124"/>
      <c r="AE80" s="125"/>
      <c r="AF80" s="189"/>
      <c r="AG80" s="124"/>
      <c r="AH80" s="124"/>
      <c r="AI80" s="124"/>
      <c r="AJ80" s="125"/>
      <c r="AK80" s="189"/>
      <c r="AL80" s="124"/>
      <c r="AM80" s="124"/>
      <c r="AN80" s="124"/>
      <c r="AO80" s="125"/>
      <c r="AP80" s="189"/>
      <c r="AQ80" s="124"/>
      <c r="AR80" s="124"/>
      <c r="AS80" s="124"/>
      <c r="AT80" s="124"/>
      <c r="AU80" s="124"/>
      <c r="AV80" s="124"/>
      <c r="AW80" s="124"/>
      <c r="AX80" s="124"/>
      <c r="AY80" s="124"/>
      <c r="AZ80" s="124"/>
      <c r="BA80" s="124"/>
      <c r="BB80" s="124"/>
      <c r="BC80" s="124"/>
    </row>
    <row r="81">
      <c r="A81" s="125"/>
      <c r="B81" s="189"/>
      <c r="C81" s="124"/>
      <c r="D81" s="124"/>
      <c r="E81" s="124"/>
      <c r="F81" s="125"/>
      <c r="G81" s="189"/>
      <c r="H81" s="124"/>
      <c r="I81" s="124"/>
      <c r="J81" s="124"/>
      <c r="K81" s="102"/>
      <c r="L81" s="189"/>
      <c r="M81" s="124"/>
      <c r="N81" s="124"/>
      <c r="O81" s="124"/>
      <c r="P81" s="102"/>
      <c r="Q81" s="161"/>
      <c r="R81" s="124"/>
      <c r="S81" s="124"/>
      <c r="T81" s="124"/>
      <c r="U81" s="125"/>
      <c r="V81" s="189"/>
      <c r="W81" s="124"/>
      <c r="X81" s="124"/>
      <c r="Y81" s="124"/>
      <c r="Z81" s="125"/>
      <c r="AA81" s="189"/>
      <c r="AB81" s="124"/>
      <c r="AC81" s="124"/>
      <c r="AD81" s="124"/>
      <c r="AE81" s="125"/>
      <c r="AF81" s="189"/>
      <c r="AG81" s="124"/>
      <c r="AH81" s="124"/>
      <c r="AI81" s="124"/>
      <c r="AJ81" s="125"/>
      <c r="AK81" s="189"/>
      <c r="AL81" s="124"/>
      <c r="AM81" s="124"/>
      <c r="AN81" s="124"/>
      <c r="AO81" s="125"/>
      <c r="AP81" s="189"/>
      <c r="AQ81" s="124"/>
      <c r="AR81" s="124"/>
      <c r="AS81" s="124"/>
      <c r="AT81" s="124"/>
      <c r="AU81" s="124"/>
      <c r="AV81" s="124"/>
      <c r="AW81" s="124"/>
      <c r="AX81" s="124"/>
      <c r="AY81" s="124"/>
      <c r="AZ81" s="124"/>
      <c r="BA81" s="124"/>
      <c r="BB81" s="124"/>
      <c r="BC81" s="124"/>
    </row>
    <row r="82">
      <c r="A82" s="125"/>
      <c r="B82" s="189"/>
      <c r="C82" s="124"/>
      <c r="D82" s="124"/>
      <c r="E82" s="124"/>
      <c r="F82" s="125"/>
      <c r="G82" s="189"/>
      <c r="H82" s="124"/>
      <c r="I82" s="124"/>
      <c r="J82" s="124"/>
      <c r="K82" s="102"/>
      <c r="L82" s="189"/>
      <c r="M82" s="124"/>
      <c r="N82" s="124"/>
      <c r="O82" s="124"/>
      <c r="P82" s="102"/>
      <c r="Q82" s="161"/>
      <c r="R82" s="124"/>
      <c r="S82" s="124"/>
      <c r="T82" s="124"/>
      <c r="U82" s="125"/>
      <c r="V82" s="189"/>
      <c r="W82" s="124"/>
      <c r="X82" s="124"/>
      <c r="Y82" s="124"/>
      <c r="Z82" s="125"/>
      <c r="AA82" s="189"/>
      <c r="AB82" s="124"/>
      <c r="AC82" s="124"/>
      <c r="AD82" s="124"/>
      <c r="AE82" s="125"/>
      <c r="AF82" s="189"/>
      <c r="AG82" s="124"/>
      <c r="AH82" s="124"/>
      <c r="AI82" s="124"/>
      <c r="AJ82" s="125"/>
      <c r="AK82" s="189"/>
      <c r="AL82" s="124"/>
      <c r="AM82" s="124"/>
      <c r="AN82" s="124"/>
      <c r="AO82" s="125"/>
      <c r="AP82" s="189"/>
      <c r="AQ82" s="124"/>
      <c r="AR82" s="124"/>
      <c r="AS82" s="124"/>
      <c r="AT82" s="124"/>
      <c r="AU82" s="124"/>
      <c r="AV82" s="124"/>
      <c r="AW82" s="124"/>
      <c r="AX82" s="124"/>
      <c r="AY82" s="124"/>
      <c r="AZ82" s="124"/>
      <c r="BA82" s="124"/>
      <c r="BB82" s="124"/>
      <c r="BC82" s="124"/>
    </row>
    <row r="83">
      <c r="A83" s="125"/>
      <c r="B83" s="189"/>
      <c r="C83" s="124"/>
      <c r="D83" s="124"/>
      <c r="E83" s="124"/>
      <c r="F83" s="125"/>
      <c r="G83" s="189"/>
      <c r="H83" s="124"/>
      <c r="I83" s="124"/>
      <c r="J83" s="124"/>
      <c r="K83" s="102"/>
      <c r="L83" s="189"/>
      <c r="M83" s="124"/>
      <c r="N83" s="124"/>
      <c r="O83" s="124"/>
      <c r="P83" s="102"/>
      <c r="Q83" s="161"/>
      <c r="R83" s="124"/>
      <c r="S83" s="124"/>
      <c r="T83" s="124"/>
      <c r="U83" s="125"/>
      <c r="V83" s="189"/>
      <c r="W83" s="124"/>
      <c r="X83" s="124"/>
      <c r="Y83" s="124"/>
      <c r="Z83" s="125"/>
      <c r="AA83" s="189"/>
      <c r="AB83" s="124"/>
      <c r="AC83" s="124"/>
      <c r="AD83" s="124"/>
      <c r="AE83" s="125"/>
      <c r="AF83" s="189"/>
      <c r="AG83" s="124"/>
      <c r="AH83" s="124"/>
      <c r="AI83" s="124"/>
      <c r="AJ83" s="125"/>
      <c r="AK83" s="189"/>
      <c r="AL83" s="124"/>
      <c r="AM83" s="124"/>
      <c r="AN83" s="124"/>
      <c r="AO83" s="125"/>
      <c r="AP83" s="189"/>
      <c r="AQ83" s="124"/>
      <c r="AR83" s="124"/>
      <c r="AS83" s="124"/>
      <c r="AT83" s="124"/>
      <c r="AU83" s="124"/>
      <c r="AV83" s="124"/>
      <c r="AW83" s="124"/>
      <c r="AX83" s="124"/>
      <c r="AY83" s="124"/>
      <c r="AZ83" s="124"/>
      <c r="BA83" s="124"/>
      <c r="BB83" s="124"/>
      <c r="BC83" s="124"/>
    </row>
    <row r="84">
      <c r="A84" s="125"/>
      <c r="B84" s="189"/>
      <c r="C84" s="124"/>
      <c r="D84" s="124"/>
      <c r="E84" s="124"/>
      <c r="F84" s="125"/>
      <c r="G84" s="189"/>
      <c r="H84" s="124"/>
      <c r="I84" s="124"/>
      <c r="J84" s="124"/>
      <c r="K84" s="102"/>
      <c r="L84" s="189"/>
      <c r="M84" s="124"/>
      <c r="N84" s="124"/>
      <c r="O84" s="124"/>
      <c r="P84" s="102"/>
      <c r="Q84" s="161"/>
      <c r="R84" s="124"/>
      <c r="S84" s="124"/>
      <c r="T84" s="124"/>
      <c r="U84" s="125"/>
      <c r="V84" s="189"/>
      <c r="W84" s="124"/>
      <c r="X84" s="124"/>
      <c r="Y84" s="124"/>
      <c r="Z84" s="125"/>
      <c r="AA84" s="189"/>
      <c r="AB84" s="124"/>
      <c r="AC84" s="124"/>
      <c r="AD84" s="124"/>
      <c r="AE84" s="125"/>
      <c r="AF84" s="189"/>
      <c r="AG84" s="124"/>
      <c r="AH84" s="124"/>
      <c r="AI84" s="124"/>
      <c r="AJ84" s="125"/>
      <c r="AK84" s="189"/>
      <c r="AL84" s="124"/>
      <c r="AM84" s="124"/>
      <c r="AN84" s="124"/>
      <c r="AO84" s="125"/>
      <c r="AP84" s="189"/>
      <c r="AQ84" s="124"/>
      <c r="AR84" s="124"/>
      <c r="AS84" s="124"/>
      <c r="AT84" s="124"/>
      <c r="AU84" s="124"/>
      <c r="AV84" s="124"/>
      <c r="AW84" s="124"/>
      <c r="AX84" s="124"/>
      <c r="AY84" s="124"/>
      <c r="AZ84" s="124"/>
      <c r="BA84" s="124"/>
      <c r="BB84" s="124"/>
      <c r="BC84" s="124"/>
    </row>
    <row r="85">
      <c r="A85" s="125"/>
      <c r="B85" s="189"/>
      <c r="C85" s="124"/>
      <c r="D85" s="124"/>
      <c r="E85" s="124"/>
      <c r="F85" s="125"/>
      <c r="G85" s="189"/>
      <c r="H85" s="124"/>
      <c r="I85" s="124"/>
      <c r="J85" s="124"/>
      <c r="K85" s="102"/>
      <c r="L85" s="189"/>
      <c r="M85" s="124"/>
      <c r="N85" s="124"/>
      <c r="O85" s="124"/>
      <c r="P85" s="102"/>
      <c r="Q85" s="161"/>
      <c r="R85" s="124"/>
      <c r="S85" s="124"/>
      <c r="T85" s="124"/>
      <c r="U85" s="125"/>
      <c r="V85" s="189"/>
      <c r="W85" s="124"/>
      <c r="X85" s="124"/>
      <c r="Y85" s="124"/>
      <c r="Z85" s="125"/>
      <c r="AA85" s="189"/>
      <c r="AB85" s="124"/>
      <c r="AC85" s="124"/>
      <c r="AD85" s="124"/>
      <c r="AE85" s="125"/>
      <c r="AF85" s="189"/>
      <c r="AG85" s="124"/>
      <c r="AH85" s="124"/>
      <c r="AI85" s="124"/>
      <c r="AJ85" s="125"/>
      <c r="AK85" s="189"/>
      <c r="AL85" s="124"/>
      <c r="AM85" s="124"/>
      <c r="AN85" s="124"/>
      <c r="AO85" s="125"/>
      <c r="AP85" s="189"/>
      <c r="AQ85" s="124"/>
      <c r="AR85" s="124"/>
      <c r="AS85" s="124"/>
      <c r="AT85" s="124"/>
      <c r="AU85" s="124"/>
      <c r="AV85" s="124"/>
      <c r="AW85" s="124"/>
      <c r="AX85" s="124"/>
      <c r="AY85" s="124"/>
      <c r="AZ85" s="124"/>
      <c r="BA85" s="124"/>
      <c r="BB85" s="124"/>
      <c r="BC85" s="124"/>
    </row>
    <row r="86">
      <c r="A86" s="125"/>
      <c r="B86" s="189"/>
      <c r="C86" s="124"/>
      <c r="D86" s="124"/>
      <c r="E86" s="124"/>
      <c r="F86" s="125"/>
      <c r="G86" s="189"/>
      <c r="H86" s="124"/>
      <c r="I86" s="124"/>
      <c r="J86" s="124"/>
      <c r="K86" s="102"/>
      <c r="L86" s="189"/>
      <c r="M86" s="124"/>
      <c r="N86" s="124"/>
      <c r="O86" s="124"/>
      <c r="P86" s="102"/>
      <c r="Q86" s="161"/>
      <c r="R86" s="124"/>
      <c r="S86" s="124"/>
      <c r="T86" s="124"/>
      <c r="U86" s="125"/>
      <c r="V86" s="189"/>
      <c r="W86" s="124"/>
      <c r="X86" s="124"/>
      <c r="Y86" s="124"/>
      <c r="Z86" s="125"/>
      <c r="AA86" s="189"/>
      <c r="AB86" s="124"/>
      <c r="AC86" s="124"/>
      <c r="AD86" s="124"/>
      <c r="AE86" s="125"/>
      <c r="AF86" s="189"/>
      <c r="AG86" s="124"/>
      <c r="AH86" s="124"/>
      <c r="AI86" s="124"/>
      <c r="AJ86" s="125"/>
      <c r="AK86" s="189"/>
      <c r="AL86" s="124"/>
      <c r="AM86" s="124"/>
      <c r="AN86" s="124"/>
      <c r="AO86" s="125"/>
      <c r="AP86" s="189"/>
      <c r="AQ86" s="124"/>
      <c r="AR86" s="124"/>
      <c r="AS86" s="124"/>
      <c r="AT86" s="124"/>
      <c r="AU86" s="124"/>
      <c r="AV86" s="124"/>
      <c r="AW86" s="124"/>
      <c r="AX86" s="124"/>
      <c r="AY86" s="124"/>
      <c r="AZ86" s="124"/>
      <c r="BA86" s="124"/>
      <c r="BB86" s="124"/>
      <c r="BC86" s="124"/>
    </row>
    <row r="87">
      <c r="A87" s="125"/>
      <c r="B87" s="189"/>
      <c r="C87" s="124"/>
      <c r="D87" s="124"/>
      <c r="E87" s="124"/>
      <c r="F87" s="125"/>
      <c r="G87" s="189"/>
      <c r="H87" s="124"/>
      <c r="I87" s="124"/>
      <c r="J87" s="124"/>
      <c r="K87" s="102"/>
      <c r="L87" s="189"/>
      <c r="M87" s="124"/>
      <c r="N87" s="124"/>
      <c r="O87" s="124"/>
      <c r="P87" s="102"/>
      <c r="Q87" s="161"/>
      <c r="R87" s="124"/>
      <c r="S87" s="124"/>
      <c r="T87" s="124"/>
      <c r="U87" s="125"/>
      <c r="V87" s="189"/>
      <c r="W87" s="124"/>
      <c r="X87" s="124"/>
      <c r="Y87" s="124"/>
      <c r="Z87" s="125"/>
      <c r="AA87" s="189"/>
      <c r="AB87" s="124"/>
      <c r="AC87" s="124"/>
      <c r="AD87" s="124"/>
      <c r="AE87" s="125"/>
      <c r="AF87" s="189"/>
      <c r="AG87" s="124"/>
      <c r="AH87" s="124"/>
      <c r="AI87" s="124"/>
      <c r="AJ87" s="125"/>
      <c r="AK87" s="189"/>
      <c r="AL87" s="124"/>
      <c r="AM87" s="124"/>
      <c r="AN87" s="124"/>
      <c r="AO87" s="125"/>
      <c r="AP87" s="189"/>
      <c r="AQ87" s="124"/>
      <c r="AR87" s="124"/>
      <c r="AS87" s="124"/>
      <c r="AT87" s="124"/>
      <c r="AU87" s="124"/>
      <c r="AV87" s="124"/>
      <c r="AW87" s="124"/>
      <c r="AX87" s="124"/>
      <c r="AY87" s="124"/>
      <c r="AZ87" s="124"/>
      <c r="BA87" s="124"/>
      <c r="BB87" s="124"/>
      <c r="BC87" s="124"/>
    </row>
    <row r="88">
      <c r="A88" s="125"/>
      <c r="B88" s="189"/>
      <c r="C88" s="124"/>
      <c r="D88" s="124"/>
      <c r="E88" s="124"/>
      <c r="F88" s="125"/>
      <c r="G88" s="189"/>
      <c r="H88" s="124"/>
      <c r="I88" s="124"/>
      <c r="J88" s="124"/>
      <c r="K88" s="102"/>
      <c r="L88" s="189"/>
      <c r="M88" s="124"/>
      <c r="N88" s="124"/>
      <c r="O88" s="124"/>
      <c r="P88" s="102"/>
      <c r="Q88" s="161"/>
      <c r="R88" s="124"/>
      <c r="S88" s="124"/>
      <c r="T88" s="124"/>
      <c r="U88" s="125"/>
      <c r="V88" s="189"/>
      <c r="W88" s="124"/>
      <c r="X88" s="124"/>
      <c r="Y88" s="124"/>
      <c r="Z88" s="125"/>
      <c r="AA88" s="189"/>
      <c r="AB88" s="124"/>
      <c r="AC88" s="124"/>
      <c r="AD88" s="124"/>
      <c r="AE88" s="125"/>
      <c r="AF88" s="189"/>
      <c r="AG88" s="124"/>
      <c r="AH88" s="124"/>
      <c r="AI88" s="124"/>
      <c r="AJ88" s="125"/>
      <c r="AK88" s="189"/>
      <c r="AL88" s="124"/>
      <c r="AM88" s="124"/>
      <c r="AN88" s="124"/>
      <c r="AO88" s="125"/>
      <c r="AP88" s="189"/>
      <c r="AQ88" s="124"/>
      <c r="AR88" s="124"/>
      <c r="AS88" s="124"/>
      <c r="AT88" s="124"/>
      <c r="AU88" s="124"/>
      <c r="AV88" s="124"/>
      <c r="AW88" s="124"/>
      <c r="AX88" s="124"/>
      <c r="AY88" s="124"/>
      <c r="AZ88" s="124"/>
      <c r="BA88" s="124"/>
      <c r="BB88" s="124"/>
      <c r="BC88" s="124"/>
    </row>
    <row r="89">
      <c r="A89" s="125"/>
      <c r="B89" s="189"/>
      <c r="C89" s="124"/>
      <c r="D89" s="124"/>
      <c r="E89" s="124"/>
      <c r="F89" s="125"/>
      <c r="G89" s="189"/>
      <c r="H89" s="124"/>
      <c r="I89" s="124"/>
      <c r="J89" s="124"/>
      <c r="K89" s="102"/>
      <c r="L89" s="189"/>
      <c r="M89" s="124"/>
      <c r="N89" s="124"/>
      <c r="O89" s="124"/>
      <c r="P89" s="102"/>
      <c r="Q89" s="161"/>
      <c r="R89" s="124"/>
      <c r="S89" s="124"/>
      <c r="T89" s="124"/>
      <c r="U89" s="125"/>
      <c r="V89" s="189"/>
      <c r="W89" s="124"/>
      <c r="X89" s="124"/>
      <c r="Y89" s="124"/>
      <c r="Z89" s="125"/>
      <c r="AA89" s="189"/>
      <c r="AB89" s="124"/>
      <c r="AC89" s="124"/>
      <c r="AD89" s="124"/>
      <c r="AE89" s="125"/>
      <c r="AF89" s="189"/>
      <c r="AG89" s="124"/>
      <c r="AH89" s="124"/>
      <c r="AI89" s="124"/>
      <c r="AJ89" s="125"/>
      <c r="AK89" s="189"/>
      <c r="AL89" s="124"/>
      <c r="AM89" s="124"/>
      <c r="AN89" s="124"/>
      <c r="AO89" s="125"/>
      <c r="AP89" s="189"/>
      <c r="AQ89" s="124"/>
      <c r="AR89" s="124"/>
      <c r="AS89" s="124"/>
      <c r="AT89" s="124"/>
      <c r="AU89" s="124"/>
      <c r="AV89" s="124"/>
      <c r="AW89" s="124"/>
      <c r="AX89" s="124"/>
      <c r="AY89" s="124"/>
      <c r="AZ89" s="124"/>
      <c r="BA89" s="124"/>
      <c r="BB89" s="124"/>
      <c r="BC89" s="124"/>
    </row>
    <row r="90">
      <c r="A90" s="125"/>
      <c r="B90" s="189"/>
      <c r="C90" s="124"/>
      <c r="D90" s="124"/>
      <c r="E90" s="124"/>
      <c r="F90" s="125"/>
      <c r="G90" s="189"/>
      <c r="H90" s="124"/>
      <c r="I90" s="124"/>
      <c r="J90" s="124"/>
      <c r="K90" s="102"/>
      <c r="L90" s="189"/>
      <c r="M90" s="124"/>
      <c r="N90" s="124"/>
      <c r="O90" s="124"/>
      <c r="P90" s="102"/>
      <c r="Q90" s="161"/>
      <c r="R90" s="124"/>
      <c r="S90" s="124"/>
      <c r="T90" s="124"/>
      <c r="U90" s="125"/>
      <c r="V90" s="189"/>
      <c r="W90" s="124"/>
      <c r="X90" s="124"/>
      <c r="Y90" s="124"/>
      <c r="Z90" s="125"/>
      <c r="AA90" s="189"/>
      <c r="AB90" s="124"/>
      <c r="AC90" s="124"/>
      <c r="AD90" s="124"/>
      <c r="AE90" s="125"/>
      <c r="AF90" s="189"/>
      <c r="AG90" s="124"/>
      <c r="AH90" s="124"/>
      <c r="AI90" s="124"/>
      <c r="AJ90" s="125"/>
      <c r="AK90" s="189"/>
      <c r="AL90" s="124"/>
      <c r="AM90" s="124"/>
      <c r="AN90" s="124"/>
      <c r="AO90" s="125"/>
      <c r="AP90" s="189"/>
      <c r="AQ90" s="124"/>
      <c r="AR90" s="124"/>
      <c r="AS90" s="124"/>
      <c r="AT90" s="124"/>
      <c r="AU90" s="124"/>
      <c r="AV90" s="124"/>
      <c r="AW90" s="124"/>
      <c r="AX90" s="124"/>
      <c r="AY90" s="124"/>
      <c r="AZ90" s="124"/>
      <c r="BA90" s="124"/>
      <c r="BB90" s="124"/>
      <c r="BC90" s="124"/>
    </row>
    <row r="91">
      <c r="A91" s="125"/>
      <c r="B91" s="189"/>
      <c r="C91" s="124"/>
      <c r="D91" s="124"/>
      <c r="E91" s="124"/>
      <c r="F91" s="125"/>
      <c r="G91" s="189"/>
      <c r="H91" s="124"/>
      <c r="I91" s="124"/>
      <c r="J91" s="124"/>
      <c r="K91" s="102"/>
      <c r="L91" s="189"/>
      <c r="M91" s="124"/>
      <c r="N91" s="124"/>
      <c r="O91" s="124"/>
      <c r="P91" s="102"/>
      <c r="Q91" s="161"/>
      <c r="R91" s="124"/>
      <c r="S91" s="124"/>
      <c r="T91" s="124"/>
      <c r="U91" s="125"/>
      <c r="V91" s="189"/>
      <c r="W91" s="124"/>
      <c r="X91" s="124"/>
      <c r="Y91" s="124"/>
      <c r="Z91" s="125"/>
      <c r="AA91" s="189"/>
      <c r="AB91" s="124"/>
      <c r="AC91" s="124"/>
      <c r="AD91" s="124"/>
      <c r="AE91" s="125"/>
      <c r="AF91" s="189"/>
      <c r="AG91" s="124"/>
      <c r="AH91" s="124"/>
      <c r="AI91" s="124"/>
      <c r="AJ91" s="125"/>
      <c r="AK91" s="189"/>
      <c r="AL91" s="124"/>
      <c r="AM91" s="124"/>
      <c r="AN91" s="124"/>
      <c r="AO91" s="125"/>
      <c r="AP91" s="189"/>
      <c r="AQ91" s="124"/>
      <c r="AR91" s="124"/>
      <c r="AS91" s="124"/>
      <c r="AT91" s="124"/>
      <c r="AU91" s="124"/>
      <c r="AV91" s="124"/>
      <c r="AW91" s="124"/>
      <c r="AX91" s="124"/>
      <c r="AY91" s="124"/>
      <c r="AZ91" s="124"/>
      <c r="BA91" s="124"/>
      <c r="BB91" s="124"/>
      <c r="BC91" s="124"/>
    </row>
    <row r="92">
      <c r="A92" s="125"/>
      <c r="B92" s="189"/>
      <c r="C92" s="124"/>
      <c r="D92" s="124"/>
      <c r="E92" s="124"/>
      <c r="F92" s="125"/>
      <c r="G92" s="189"/>
      <c r="H92" s="124"/>
      <c r="I92" s="124"/>
      <c r="J92" s="124"/>
      <c r="K92" s="102"/>
      <c r="L92" s="189"/>
      <c r="M92" s="124"/>
      <c r="N92" s="124"/>
      <c r="O92" s="124"/>
      <c r="P92" s="102"/>
      <c r="Q92" s="161"/>
      <c r="R92" s="124"/>
      <c r="S92" s="124"/>
      <c r="T92" s="124"/>
      <c r="U92" s="125"/>
      <c r="V92" s="189"/>
      <c r="W92" s="124"/>
      <c r="X92" s="124"/>
      <c r="Y92" s="124"/>
      <c r="Z92" s="125"/>
      <c r="AA92" s="189"/>
      <c r="AB92" s="124"/>
      <c r="AC92" s="124"/>
      <c r="AD92" s="124"/>
      <c r="AE92" s="125"/>
      <c r="AF92" s="189"/>
      <c r="AG92" s="124"/>
      <c r="AH92" s="124"/>
      <c r="AI92" s="124"/>
      <c r="AJ92" s="125"/>
      <c r="AK92" s="189"/>
      <c r="AL92" s="124"/>
      <c r="AM92" s="124"/>
      <c r="AN92" s="124"/>
      <c r="AO92" s="125"/>
      <c r="AP92" s="189"/>
      <c r="AQ92" s="124"/>
      <c r="AR92" s="124"/>
      <c r="AS92" s="124"/>
      <c r="AT92" s="124"/>
      <c r="AU92" s="124"/>
      <c r="AV92" s="124"/>
      <c r="AW92" s="124"/>
      <c r="AX92" s="124"/>
      <c r="AY92" s="124"/>
      <c r="AZ92" s="124"/>
      <c r="BA92" s="124"/>
      <c r="BB92" s="124"/>
      <c r="BC92" s="124"/>
    </row>
    <row r="93">
      <c r="A93" s="125"/>
      <c r="B93" s="189"/>
      <c r="C93" s="124"/>
      <c r="D93" s="124"/>
      <c r="E93" s="124"/>
      <c r="F93" s="125"/>
      <c r="G93" s="189"/>
      <c r="H93" s="124"/>
      <c r="I93" s="124"/>
      <c r="J93" s="124"/>
      <c r="K93" s="102"/>
      <c r="L93" s="189"/>
      <c r="M93" s="124"/>
      <c r="N93" s="124"/>
      <c r="O93" s="124"/>
      <c r="P93" s="102"/>
      <c r="Q93" s="161"/>
      <c r="R93" s="124"/>
      <c r="S93" s="124"/>
      <c r="T93" s="124"/>
      <c r="U93" s="125"/>
      <c r="V93" s="189"/>
      <c r="W93" s="124"/>
      <c r="X93" s="124"/>
      <c r="Y93" s="124"/>
      <c r="Z93" s="125"/>
      <c r="AA93" s="189"/>
      <c r="AB93" s="124"/>
      <c r="AC93" s="124"/>
      <c r="AD93" s="124"/>
      <c r="AE93" s="125"/>
      <c r="AF93" s="189"/>
      <c r="AG93" s="124"/>
      <c r="AH93" s="124"/>
      <c r="AI93" s="124"/>
      <c r="AJ93" s="125"/>
      <c r="AK93" s="189"/>
      <c r="AL93" s="124"/>
      <c r="AM93" s="124"/>
      <c r="AN93" s="124"/>
      <c r="AO93" s="125"/>
      <c r="AP93" s="189"/>
      <c r="AQ93" s="124"/>
      <c r="AR93" s="124"/>
      <c r="AS93" s="124"/>
      <c r="AT93" s="124"/>
      <c r="AU93" s="124"/>
      <c r="AV93" s="124"/>
      <c r="AW93" s="124"/>
      <c r="AX93" s="124"/>
      <c r="AY93" s="124"/>
      <c r="AZ93" s="124"/>
      <c r="BA93" s="124"/>
      <c r="BB93" s="124"/>
      <c r="BC93" s="124"/>
    </row>
    <row r="94">
      <c r="A94" s="125"/>
      <c r="B94" s="189"/>
      <c r="C94" s="124"/>
      <c r="D94" s="124"/>
      <c r="E94" s="124"/>
      <c r="F94" s="125"/>
      <c r="G94" s="189"/>
      <c r="H94" s="124"/>
      <c r="I94" s="124"/>
      <c r="J94" s="124"/>
      <c r="K94" s="102"/>
      <c r="L94" s="189"/>
      <c r="M94" s="124"/>
      <c r="N94" s="124"/>
      <c r="O94" s="124"/>
      <c r="P94" s="102"/>
      <c r="Q94" s="161"/>
      <c r="R94" s="124"/>
      <c r="S94" s="124"/>
      <c r="T94" s="124"/>
      <c r="U94" s="125"/>
      <c r="V94" s="189"/>
      <c r="W94" s="124"/>
      <c r="X94" s="124"/>
      <c r="Y94" s="124"/>
      <c r="Z94" s="125"/>
      <c r="AA94" s="189"/>
      <c r="AB94" s="124"/>
      <c r="AC94" s="124"/>
      <c r="AD94" s="124"/>
      <c r="AE94" s="125"/>
      <c r="AF94" s="189"/>
      <c r="AG94" s="124"/>
      <c r="AH94" s="124"/>
      <c r="AI94" s="124"/>
      <c r="AJ94" s="125"/>
      <c r="AK94" s="189"/>
      <c r="AL94" s="124"/>
      <c r="AM94" s="124"/>
      <c r="AN94" s="124"/>
      <c r="AO94" s="125"/>
      <c r="AP94" s="189"/>
      <c r="AQ94" s="124"/>
      <c r="AR94" s="124"/>
      <c r="AS94" s="124"/>
      <c r="AT94" s="124"/>
      <c r="AU94" s="124"/>
      <c r="AV94" s="124"/>
      <c r="AW94" s="124"/>
      <c r="AX94" s="124"/>
      <c r="AY94" s="124"/>
      <c r="AZ94" s="124"/>
      <c r="BA94" s="124"/>
      <c r="BB94" s="124"/>
      <c r="BC94" s="124"/>
    </row>
    <row r="95">
      <c r="A95" s="125"/>
      <c r="B95" s="189"/>
      <c r="C95" s="124"/>
      <c r="D95" s="124"/>
      <c r="E95" s="124"/>
      <c r="F95" s="125"/>
      <c r="G95" s="189"/>
      <c r="H95" s="124"/>
      <c r="I95" s="124"/>
      <c r="J95" s="124"/>
      <c r="K95" s="102"/>
      <c r="L95" s="189"/>
      <c r="M95" s="124"/>
      <c r="N95" s="124"/>
      <c r="O95" s="124"/>
      <c r="P95" s="102"/>
      <c r="Q95" s="161"/>
      <c r="R95" s="124"/>
      <c r="S95" s="124"/>
      <c r="T95" s="124"/>
      <c r="U95" s="125"/>
      <c r="V95" s="189"/>
      <c r="W95" s="124"/>
      <c r="X95" s="124"/>
      <c r="Y95" s="124"/>
      <c r="Z95" s="125"/>
      <c r="AA95" s="189"/>
      <c r="AB95" s="124"/>
      <c r="AC95" s="124"/>
      <c r="AD95" s="124"/>
      <c r="AE95" s="125"/>
      <c r="AF95" s="189"/>
      <c r="AG95" s="124"/>
      <c r="AH95" s="124"/>
      <c r="AI95" s="124"/>
      <c r="AJ95" s="125"/>
      <c r="AK95" s="189"/>
      <c r="AL95" s="124"/>
      <c r="AM95" s="124"/>
      <c r="AN95" s="124"/>
      <c r="AO95" s="125"/>
      <c r="AP95" s="189"/>
      <c r="AQ95" s="124"/>
      <c r="AR95" s="124"/>
      <c r="AS95" s="124"/>
      <c r="AT95" s="124"/>
      <c r="AU95" s="124"/>
      <c r="AV95" s="124"/>
      <c r="AW95" s="124"/>
      <c r="AX95" s="124"/>
      <c r="AY95" s="124"/>
      <c r="AZ95" s="124"/>
      <c r="BA95" s="124"/>
      <c r="BB95" s="124"/>
      <c r="BC95" s="124"/>
    </row>
    <row r="96">
      <c r="A96" s="125"/>
      <c r="B96" s="189"/>
      <c r="C96" s="124"/>
      <c r="D96" s="124"/>
      <c r="E96" s="124"/>
      <c r="F96" s="125"/>
      <c r="G96" s="189"/>
      <c r="H96" s="124"/>
      <c r="I96" s="124"/>
      <c r="J96" s="124"/>
      <c r="K96" s="102"/>
      <c r="L96" s="189"/>
      <c r="M96" s="124"/>
      <c r="N96" s="124"/>
      <c r="O96" s="124"/>
      <c r="P96" s="102"/>
      <c r="Q96" s="161"/>
      <c r="R96" s="124"/>
      <c r="S96" s="124"/>
      <c r="T96" s="124"/>
      <c r="U96" s="125"/>
      <c r="V96" s="189"/>
      <c r="W96" s="124"/>
      <c r="X96" s="124"/>
      <c r="Y96" s="124"/>
      <c r="Z96" s="125"/>
      <c r="AA96" s="189"/>
      <c r="AB96" s="124"/>
      <c r="AC96" s="124"/>
      <c r="AD96" s="124"/>
      <c r="AE96" s="125"/>
      <c r="AF96" s="189"/>
      <c r="AG96" s="124"/>
      <c r="AH96" s="124"/>
      <c r="AI96" s="124"/>
      <c r="AJ96" s="125"/>
      <c r="AK96" s="189"/>
      <c r="AL96" s="124"/>
      <c r="AM96" s="124"/>
      <c r="AN96" s="124"/>
      <c r="AO96" s="125"/>
      <c r="AP96" s="189"/>
      <c r="AQ96" s="124"/>
      <c r="AR96" s="124"/>
      <c r="AS96" s="124"/>
      <c r="AT96" s="124"/>
      <c r="AU96" s="124"/>
      <c r="AV96" s="124"/>
      <c r="AW96" s="124"/>
      <c r="AX96" s="124"/>
      <c r="AY96" s="124"/>
      <c r="AZ96" s="124"/>
      <c r="BA96" s="124"/>
      <c r="BB96" s="124"/>
      <c r="BC96" s="124"/>
    </row>
    <row r="97">
      <c r="A97" s="125"/>
      <c r="B97" s="189"/>
      <c r="C97" s="124"/>
      <c r="D97" s="124"/>
      <c r="E97" s="124"/>
      <c r="F97" s="125"/>
      <c r="G97" s="189"/>
      <c r="H97" s="124"/>
      <c r="I97" s="124"/>
      <c r="J97" s="124"/>
      <c r="K97" s="102"/>
      <c r="L97" s="189"/>
      <c r="M97" s="124"/>
      <c r="N97" s="124"/>
      <c r="O97" s="124"/>
      <c r="P97" s="102"/>
      <c r="Q97" s="161"/>
      <c r="R97" s="124"/>
      <c r="S97" s="124"/>
      <c r="T97" s="124"/>
      <c r="U97" s="125"/>
      <c r="V97" s="189"/>
      <c r="W97" s="124"/>
      <c r="X97" s="124"/>
      <c r="Y97" s="124"/>
      <c r="Z97" s="125"/>
      <c r="AA97" s="189"/>
      <c r="AB97" s="124"/>
      <c r="AC97" s="124"/>
      <c r="AD97" s="124"/>
      <c r="AE97" s="125"/>
      <c r="AF97" s="189"/>
      <c r="AG97" s="124"/>
      <c r="AH97" s="124"/>
      <c r="AI97" s="124"/>
      <c r="AJ97" s="125"/>
      <c r="AK97" s="189"/>
      <c r="AL97" s="124"/>
      <c r="AM97" s="124"/>
      <c r="AN97" s="124"/>
      <c r="AO97" s="125"/>
      <c r="AP97" s="189"/>
      <c r="AQ97" s="124"/>
      <c r="AR97" s="124"/>
      <c r="AS97" s="124"/>
      <c r="AT97" s="124"/>
      <c r="AU97" s="124"/>
      <c r="AV97" s="124"/>
      <c r="AW97" s="124"/>
      <c r="AX97" s="124"/>
      <c r="AY97" s="124"/>
      <c r="AZ97" s="124"/>
      <c r="BA97" s="124"/>
      <c r="BB97" s="124"/>
      <c r="BC97" s="124"/>
    </row>
    <row r="98">
      <c r="A98" s="125"/>
      <c r="B98" s="189"/>
      <c r="C98" s="124"/>
      <c r="D98" s="124"/>
      <c r="E98" s="124"/>
      <c r="F98" s="125"/>
      <c r="G98" s="189"/>
      <c r="H98" s="124"/>
      <c r="I98" s="124"/>
      <c r="J98" s="124"/>
      <c r="K98" s="102"/>
      <c r="L98" s="189"/>
      <c r="M98" s="124"/>
      <c r="N98" s="124"/>
      <c r="O98" s="124"/>
      <c r="P98" s="102"/>
      <c r="Q98" s="161"/>
      <c r="R98" s="124"/>
      <c r="S98" s="124"/>
      <c r="T98" s="124"/>
      <c r="U98" s="125"/>
      <c r="V98" s="189"/>
      <c r="W98" s="124"/>
      <c r="X98" s="124"/>
      <c r="Y98" s="124"/>
      <c r="Z98" s="125"/>
      <c r="AA98" s="189"/>
      <c r="AB98" s="124"/>
      <c r="AC98" s="124"/>
      <c r="AD98" s="124"/>
      <c r="AE98" s="125"/>
      <c r="AF98" s="189"/>
      <c r="AG98" s="124"/>
      <c r="AH98" s="124"/>
      <c r="AI98" s="124"/>
      <c r="AJ98" s="125"/>
      <c r="AK98" s="189"/>
      <c r="AL98" s="124"/>
      <c r="AM98" s="124"/>
      <c r="AN98" s="124"/>
      <c r="AO98" s="125"/>
      <c r="AP98" s="189"/>
      <c r="AQ98" s="124"/>
      <c r="AR98" s="124"/>
      <c r="AS98" s="124"/>
      <c r="AT98" s="124"/>
      <c r="AU98" s="124"/>
      <c r="AV98" s="124"/>
      <c r="AW98" s="124"/>
      <c r="AX98" s="124"/>
      <c r="AY98" s="124"/>
      <c r="AZ98" s="124"/>
      <c r="BA98" s="124"/>
      <c r="BB98" s="124"/>
      <c r="BC98" s="124"/>
    </row>
    <row r="99">
      <c r="A99" s="125"/>
      <c r="B99" s="189"/>
      <c r="C99" s="124"/>
      <c r="D99" s="124"/>
      <c r="E99" s="124"/>
      <c r="F99" s="125"/>
      <c r="G99" s="189"/>
      <c r="H99" s="124"/>
      <c r="I99" s="124"/>
      <c r="J99" s="124"/>
      <c r="K99" s="102"/>
      <c r="L99" s="189"/>
      <c r="M99" s="124"/>
      <c r="N99" s="124"/>
      <c r="O99" s="124"/>
      <c r="P99" s="102"/>
      <c r="Q99" s="161"/>
      <c r="R99" s="124"/>
      <c r="S99" s="124"/>
      <c r="T99" s="124"/>
      <c r="U99" s="125"/>
      <c r="V99" s="189"/>
      <c r="W99" s="124"/>
      <c r="X99" s="124"/>
      <c r="Y99" s="124"/>
      <c r="Z99" s="125"/>
      <c r="AA99" s="189"/>
      <c r="AB99" s="124"/>
      <c r="AC99" s="124"/>
      <c r="AD99" s="124"/>
      <c r="AE99" s="125"/>
      <c r="AF99" s="189"/>
      <c r="AG99" s="124"/>
      <c r="AH99" s="124"/>
      <c r="AI99" s="124"/>
      <c r="AJ99" s="125"/>
      <c r="AK99" s="189"/>
      <c r="AL99" s="124"/>
      <c r="AM99" s="124"/>
      <c r="AN99" s="124"/>
      <c r="AO99" s="125"/>
      <c r="AP99" s="189"/>
      <c r="AQ99" s="124"/>
      <c r="AR99" s="124"/>
      <c r="AS99" s="124"/>
      <c r="AT99" s="124"/>
      <c r="AU99" s="124"/>
      <c r="AV99" s="124"/>
      <c r="AW99" s="124"/>
      <c r="AX99" s="124"/>
      <c r="AY99" s="124"/>
      <c r="AZ99" s="124"/>
      <c r="BA99" s="124"/>
      <c r="BB99" s="124"/>
      <c r="BC99" s="124"/>
    </row>
    <row r="100">
      <c r="A100" s="125"/>
      <c r="B100" s="189"/>
      <c r="C100" s="124"/>
      <c r="D100" s="124"/>
      <c r="E100" s="124"/>
      <c r="F100" s="125"/>
      <c r="G100" s="189"/>
      <c r="H100" s="124"/>
      <c r="I100" s="124"/>
      <c r="J100" s="124"/>
      <c r="K100" s="102"/>
      <c r="L100" s="189"/>
      <c r="M100" s="124"/>
      <c r="N100" s="124"/>
      <c r="O100" s="124"/>
      <c r="P100" s="102"/>
      <c r="Q100" s="161"/>
      <c r="R100" s="124"/>
      <c r="S100" s="124"/>
      <c r="T100" s="124"/>
      <c r="U100" s="125"/>
      <c r="V100" s="189"/>
      <c r="W100" s="124"/>
      <c r="X100" s="124"/>
      <c r="Y100" s="124"/>
      <c r="Z100" s="125"/>
      <c r="AA100" s="189"/>
      <c r="AB100" s="124"/>
      <c r="AC100" s="124"/>
      <c r="AD100" s="124"/>
      <c r="AE100" s="125"/>
      <c r="AF100" s="189"/>
      <c r="AG100" s="124"/>
      <c r="AH100" s="124"/>
      <c r="AI100" s="124"/>
      <c r="AJ100" s="125"/>
      <c r="AK100" s="189"/>
      <c r="AL100" s="124"/>
      <c r="AM100" s="124"/>
      <c r="AN100" s="124"/>
      <c r="AO100" s="125"/>
      <c r="AP100" s="189"/>
      <c r="AQ100" s="124"/>
      <c r="AR100" s="124"/>
      <c r="AS100" s="124"/>
      <c r="AT100" s="124"/>
      <c r="AU100" s="124"/>
      <c r="AV100" s="124"/>
      <c r="AW100" s="124"/>
      <c r="AX100" s="124"/>
      <c r="AY100" s="124"/>
      <c r="AZ100" s="124"/>
      <c r="BA100" s="124"/>
      <c r="BB100" s="124"/>
      <c r="BC100" s="124"/>
    </row>
    <row r="101">
      <c r="A101" s="125"/>
      <c r="B101" s="189"/>
      <c r="C101" s="124"/>
      <c r="D101" s="124"/>
      <c r="E101" s="124"/>
      <c r="F101" s="125"/>
      <c r="G101" s="189"/>
      <c r="H101" s="124"/>
      <c r="I101" s="124"/>
      <c r="J101" s="124"/>
      <c r="K101" s="102"/>
      <c r="L101" s="189"/>
      <c r="M101" s="124"/>
      <c r="N101" s="124"/>
      <c r="O101" s="124"/>
      <c r="P101" s="102"/>
      <c r="Q101" s="161"/>
      <c r="R101" s="124"/>
      <c r="S101" s="124"/>
      <c r="T101" s="124"/>
      <c r="U101" s="125"/>
      <c r="V101" s="189"/>
      <c r="W101" s="124"/>
      <c r="X101" s="124"/>
      <c r="Y101" s="124"/>
      <c r="Z101" s="125"/>
      <c r="AA101" s="189"/>
      <c r="AB101" s="124"/>
      <c r="AC101" s="124"/>
      <c r="AD101" s="124"/>
      <c r="AE101" s="125"/>
      <c r="AF101" s="189"/>
      <c r="AG101" s="124"/>
      <c r="AH101" s="124"/>
      <c r="AI101" s="124"/>
      <c r="AJ101" s="125"/>
      <c r="AK101" s="189"/>
      <c r="AL101" s="124"/>
      <c r="AM101" s="124"/>
      <c r="AN101" s="124"/>
      <c r="AO101" s="125"/>
      <c r="AP101" s="189"/>
      <c r="AQ101" s="124"/>
      <c r="AR101" s="124"/>
      <c r="AS101" s="124"/>
      <c r="AT101" s="124"/>
      <c r="AU101" s="124"/>
      <c r="AV101" s="124"/>
      <c r="AW101" s="124"/>
      <c r="AX101" s="124"/>
      <c r="AY101" s="124"/>
      <c r="AZ101" s="124"/>
      <c r="BA101" s="124"/>
      <c r="BB101" s="124"/>
      <c r="BC101" s="124"/>
    </row>
    <row r="102">
      <c r="A102" s="125"/>
      <c r="B102" s="189"/>
      <c r="C102" s="124"/>
      <c r="D102" s="124"/>
      <c r="E102" s="124"/>
      <c r="F102" s="125"/>
      <c r="G102" s="189"/>
      <c r="H102" s="124"/>
      <c r="I102" s="124"/>
      <c r="J102" s="124"/>
      <c r="K102" s="102"/>
      <c r="L102" s="189"/>
      <c r="M102" s="124"/>
      <c r="N102" s="124"/>
      <c r="O102" s="124"/>
      <c r="P102" s="102"/>
      <c r="Q102" s="161"/>
      <c r="R102" s="124"/>
      <c r="S102" s="124"/>
      <c r="T102" s="124"/>
      <c r="U102" s="125"/>
      <c r="V102" s="189"/>
      <c r="W102" s="124"/>
      <c r="X102" s="124"/>
      <c r="Y102" s="124"/>
      <c r="Z102" s="125"/>
      <c r="AA102" s="189"/>
      <c r="AB102" s="124"/>
      <c r="AC102" s="124"/>
      <c r="AD102" s="124"/>
      <c r="AE102" s="125"/>
      <c r="AF102" s="189"/>
      <c r="AG102" s="124"/>
      <c r="AH102" s="124"/>
      <c r="AI102" s="124"/>
      <c r="AJ102" s="125"/>
      <c r="AK102" s="189"/>
      <c r="AL102" s="124"/>
      <c r="AM102" s="124"/>
      <c r="AN102" s="124"/>
      <c r="AO102" s="125"/>
      <c r="AP102" s="189"/>
      <c r="AQ102" s="124"/>
      <c r="AR102" s="124"/>
      <c r="AS102" s="124"/>
      <c r="AT102" s="124"/>
      <c r="AU102" s="124"/>
      <c r="AV102" s="124"/>
      <c r="AW102" s="124"/>
      <c r="AX102" s="124"/>
      <c r="AY102" s="124"/>
      <c r="AZ102" s="124"/>
      <c r="BA102" s="124"/>
      <c r="BB102" s="124"/>
      <c r="BC102" s="124"/>
    </row>
    <row r="103">
      <c r="A103" s="125"/>
      <c r="B103" s="189"/>
      <c r="C103" s="124"/>
      <c r="D103" s="124"/>
      <c r="E103" s="124"/>
      <c r="F103" s="125"/>
      <c r="G103" s="189"/>
      <c r="H103" s="124"/>
      <c r="I103" s="124"/>
      <c r="J103" s="124"/>
      <c r="K103" s="102"/>
      <c r="L103" s="189"/>
      <c r="M103" s="124"/>
      <c r="N103" s="124"/>
      <c r="O103" s="124"/>
      <c r="P103" s="102"/>
      <c r="Q103" s="161"/>
      <c r="R103" s="124"/>
      <c r="S103" s="124"/>
      <c r="T103" s="124"/>
      <c r="U103" s="125"/>
      <c r="V103" s="189"/>
      <c r="W103" s="124"/>
      <c r="X103" s="124"/>
      <c r="Y103" s="124"/>
      <c r="Z103" s="125"/>
      <c r="AA103" s="189"/>
      <c r="AB103" s="124"/>
      <c r="AC103" s="124"/>
      <c r="AD103" s="124"/>
      <c r="AE103" s="125"/>
      <c r="AF103" s="189"/>
      <c r="AG103" s="124"/>
      <c r="AH103" s="124"/>
      <c r="AI103" s="124"/>
      <c r="AJ103" s="125"/>
      <c r="AK103" s="189"/>
      <c r="AL103" s="124"/>
      <c r="AM103" s="124"/>
      <c r="AN103" s="124"/>
      <c r="AO103" s="125"/>
      <c r="AP103" s="189"/>
      <c r="AQ103" s="124"/>
      <c r="AR103" s="124"/>
      <c r="AS103" s="124"/>
      <c r="AT103" s="124"/>
      <c r="AU103" s="124"/>
      <c r="AV103" s="124"/>
      <c r="AW103" s="124"/>
      <c r="AX103" s="124"/>
      <c r="AY103" s="124"/>
      <c r="AZ103" s="124"/>
      <c r="BA103" s="124"/>
      <c r="BB103" s="124"/>
      <c r="BC103" s="124"/>
    </row>
    <row r="104">
      <c r="A104" s="125"/>
      <c r="B104" s="189"/>
      <c r="C104" s="124"/>
      <c r="D104" s="124"/>
      <c r="E104" s="124"/>
      <c r="F104" s="125"/>
      <c r="G104" s="189"/>
      <c r="H104" s="124"/>
      <c r="I104" s="124"/>
      <c r="J104" s="124"/>
      <c r="K104" s="102"/>
      <c r="L104" s="189"/>
      <c r="M104" s="124"/>
      <c r="N104" s="124"/>
      <c r="O104" s="124"/>
      <c r="P104" s="102"/>
      <c r="Q104" s="161"/>
      <c r="R104" s="124"/>
      <c r="S104" s="124"/>
      <c r="T104" s="124"/>
      <c r="U104" s="125"/>
      <c r="V104" s="189"/>
      <c r="W104" s="124"/>
      <c r="X104" s="124"/>
      <c r="Y104" s="124"/>
      <c r="Z104" s="125"/>
      <c r="AA104" s="189"/>
      <c r="AB104" s="124"/>
      <c r="AC104" s="124"/>
      <c r="AD104" s="124"/>
      <c r="AE104" s="125"/>
      <c r="AF104" s="189"/>
      <c r="AG104" s="124"/>
      <c r="AH104" s="124"/>
      <c r="AI104" s="124"/>
      <c r="AJ104" s="125"/>
      <c r="AK104" s="189"/>
      <c r="AL104" s="124"/>
      <c r="AM104" s="124"/>
      <c r="AN104" s="124"/>
      <c r="AO104" s="125"/>
      <c r="AP104" s="189"/>
      <c r="AQ104" s="124"/>
      <c r="AR104" s="124"/>
      <c r="AS104" s="124"/>
      <c r="AT104" s="124"/>
      <c r="AU104" s="124"/>
      <c r="AV104" s="124"/>
      <c r="AW104" s="124"/>
      <c r="AX104" s="124"/>
      <c r="AY104" s="124"/>
      <c r="AZ104" s="124"/>
      <c r="BA104" s="124"/>
      <c r="BB104" s="124"/>
      <c r="BC104" s="124"/>
    </row>
    <row r="105">
      <c r="A105" s="125"/>
      <c r="B105" s="189"/>
      <c r="C105" s="124"/>
      <c r="D105" s="124"/>
      <c r="E105" s="124"/>
      <c r="F105" s="125"/>
      <c r="G105" s="189"/>
      <c r="H105" s="124"/>
      <c r="I105" s="124"/>
      <c r="J105" s="124"/>
      <c r="K105" s="102"/>
      <c r="L105" s="189"/>
      <c r="M105" s="124"/>
      <c r="N105" s="124"/>
      <c r="O105" s="124"/>
      <c r="P105" s="102"/>
      <c r="Q105" s="161"/>
      <c r="R105" s="124"/>
      <c r="S105" s="124"/>
      <c r="T105" s="124"/>
      <c r="U105" s="125"/>
      <c r="V105" s="189"/>
      <c r="W105" s="124"/>
      <c r="X105" s="124"/>
      <c r="Y105" s="124"/>
      <c r="Z105" s="125"/>
      <c r="AA105" s="189"/>
      <c r="AB105" s="124"/>
      <c r="AC105" s="124"/>
      <c r="AD105" s="124"/>
      <c r="AE105" s="125"/>
      <c r="AF105" s="189"/>
      <c r="AG105" s="124"/>
      <c r="AH105" s="124"/>
      <c r="AI105" s="124"/>
      <c r="AJ105" s="125"/>
      <c r="AK105" s="189"/>
      <c r="AL105" s="124"/>
      <c r="AM105" s="124"/>
      <c r="AN105" s="124"/>
      <c r="AO105" s="125"/>
      <c r="AP105" s="189"/>
      <c r="AQ105" s="124"/>
      <c r="AR105" s="124"/>
      <c r="AS105" s="124"/>
      <c r="AT105" s="124"/>
      <c r="AU105" s="124"/>
      <c r="AV105" s="124"/>
      <c r="AW105" s="124"/>
      <c r="AX105" s="124"/>
      <c r="AY105" s="124"/>
      <c r="AZ105" s="124"/>
      <c r="BA105" s="124"/>
      <c r="BB105" s="124"/>
      <c r="BC105" s="124"/>
    </row>
    <row r="106">
      <c r="A106" s="125"/>
      <c r="B106" s="189"/>
      <c r="C106" s="124"/>
      <c r="D106" s="124"/>
      <c r="E106" s="124"/>
      <c r="F106" s="125"/>
      <c r="G106" s="189"/>
      <c r="H106" s="124"/>
      <c r="I106" s="124"/>
      <c r="J106" s="124"/>
      <c r="K106" s="102"/>
      <c r="L106" s="189"/>
      <c r="M106" s="124"/>
      <c r="N106" s="124"/>
      <c r="O106" s="124"/>
      <c r="P106" s="102"/>
      <c r="Q106" s="161"/>
      <c r="R106" s="124"/>
      <c r="S106" s="124"/>
      <c r="T106" s="124"/>
      <c r="U106" s="125"/>
      <c r="V106" s="189"/>
      <c r="W106" s="124"/>
      <c r="X106" s="124"/>
      <c r="Y106" s="124"/>
      <c r="Z106" s="125"/>
      <c r="AA106" s="189"/>
      <c r="AB106" s="124"/>
      <c r="AC106" s="124"/>
      <c r="AD106" s="124"/>
      <c r="AE106" s="125"/>
      <c r="AF106" s="189"/>
      <c r="AG106" s="124"/>
      <c r="AH106" s="124"/>
      <c r="AI106" s="124"/>
      <c r="AJ106" s="125"/>
      <c r="AK106" s="189"/>
      <c r="AL106" s="124"/>
      <c r="AM106" s="124"/>
      <c r="AN106" s="124"/>
      <c r="AO106" s="125"/>
      <c r="AP106" s="189"/>
      <c r="AQ106" s="124"/>
      <c r="AR106" s="124"/>
      <c r="AS106" s="124"/>
      <c r="AT106" s="124"/>
      <c r="AU106" s="124"/>
      <c r="AV106" s="124"/>
      <c r="AW106" s="124"/>
      <c r="AX106" s="124"/>
      <c r="AY106" s="124"/>
      <c r="AZ106" s="124"/>
      <c r="BA106" s="124"/>
      <c r="BB106" s="124"/>
      <c r="BC106" s="124"/>
    </row>
    <row r="107">
      <c r="A107" s="125"/>
      <c r="B107" s="189"/>
      <c r="C107" s="124"/>
      <c r="D107" s="124"/>
      <c r="E107" s="124"/>
      <c r="F107" s="125"/>
      <c r="G107" s="189"/>
      <c r="H107" s="124"/>
      <c r="I107" s="124"/>
      <c r="J107" s="124"/>
      <c r="K107" s="102"/>
      <c r="L107" s="189"/>
      <c r="M107" s="124"/>
      <c r="N107" s="124"/>
      <c r="O107" s="124"/>
      <c r="P107" s="102"/>
      <c r="Q107" s="161"/>
      <c r="R107" s="124"/>
      <c r="S107" s="124"/>
      <c r="T107" s="124"/>
      <c r="U107" s="125"/>
      <c r="V107" s="189"/>
      <c r="W107" s="124"/>
      <c r="X107" s="124"/>
      <c r="Y107" s="124"/>
      <c r="Z107" s="125"/>
      <c r="AA107" s="189"/>
      <c r="AB107" s="124"/>
      <c r="AC107" s="124"/>
      <c r="AD107" s="124"/>
      <c r="AE107" s="125"/>
      <c r="AF107" s="189"/>
      <c r="AG107" s="124"/>
      <c r="AH107" s="124"/>
      <c r="AI107" s="124"/>
      <c r="AJ107" s="125"/>
      <c r="AK107" s="189"/>
      <c r="AL107" s="124"/>
      <c r="AM107" s="124"/>
      <c r="AN107" s="124"/>
      <c r="AO107" s="125"/>
      <c r="AP107" s="189"/>
      <c r="AQ107" s="124"/>
      <c r="AR107" s="124"/>
      <c r="AS107" s="124"/>
      <c r="AT107" s="124"/>
      <c r="AU107" s="124"/>
      <c r="AV107" s="124"/>
      <c r="AW107" s="124"/>
      <c r="AX107" s="124"/>
      <c r="AY107" s="124"/>
      <c r="AZ107" s="124"/>
      <c r="BA107" s="124"/>
      <c r="BB107" s="124"/>
      <c r="BC107" s="124"/>
    </row>
    <row r="108">
      <c r="A108" s="125"/>
      <c r="B108" s="189"/>
      <c r="C108" s="124"/>
      <c r="D108" s="124"/>
      <c r="E108" s="124"/>
      <c r="F108" s="125"/>
      <c r="G108" s="189"/>
      <c r="H108" s="124"/>
      <c r="I108" s="124"/>
      <c r="J108" s="124"/>
      <c r="K108" s="102"/>
      <c r="L108" s="189"/>
      <c r="M108" s="124"/>
      <c r="N108" s="124"/>
      <c r="O108" s="124"/>
      <c r="P108" s="102"/>
      <c r="Q108" s="161"/>
      <c r="R108" s="124"/>
      <c r="S108" s="124"/>
      <c r="T108" s="124"/>
      <c r="U108" s="125"/>
      <c r="V108" s="189"/>
      <c r="W108" s="124"/>
      <c r="X108" s="124"/>
      <c r="Y108" s="124"/>
      <c r="Z108" s="125"/>
      <c r="AA108" s="189"/>
      <c r="AB108" s="124"/>
      <c r="AC108" s="124"/>
      <c r="AD108" s="124"/>
      <c r="AE108" s="125"/>
      <c r="AF108" s="189"/>
      <c r="AG108" s="124"/>
      <c r="AH108" s="124"/>
      <c r="AI108" s="124"/>
      <c r="AJ108" s="125"/>
      <c r="AK108" s="189"/>
      <c r="AL108" s="124"/>
      <c r="AM108" s="124"/>
      <c r="AN108" s="124"/>
      <c r="AO108" s="125"/>
      <c r="AP108" s="189"/>
      <c r="AQ108" s="124"/>
      <c r="AR108" s="124"/>
      <c r="AS108" s="124"/>
      <c r="AT108" s="124"/>
      <c r="AU108" s="124"/>
      <c r="AV108" s="124"/>
      <c r="AW108" s="124"/>
      <c r="AX108" s="124"/>
      <c r="AY108" s="124"/>
      <c r="AZ108" s="124"/>
      <c r="BA108" s="124"/>
      <c r="BB108" s="124"/>
      <c r="BC108" s="124"/>
    </row>
    <row r="109">
      <c r="A109" s="125"/>
      <c r="B109" s="189"/>
      <c r="C109" s="124"/>
      <c r="D109" s="124"/>
      <c r="E109" s="124"/>
      <c r="F109" s="125"/>
      <c r="G109" s="189"/>
      <c r="H109" s="124"/>
      <c r="I109" s="124"/>
      <c r="J109" s="124"/>
      <c r="K109" s="102"/>
      <c r="L109" s="189"/>
      <c r="M109" s="124"/>
      <c r="N109" s="124"/>
      <c r="O109" s="124"/>
      <c r="P109" s="102"/>
      <c r="Q109" s="161"/>
      <c r="R109" s="124"/>
      <c r="S109" s="124"/>
      <c r="T109" s="124"/>
      <c r="U109" s="125"/>
      <c r="V109" s="189"/>
      <c r="W109" s="124"/>
      <c r="X109" s="124"/>
      <c r="Y109" s="124"/>
      <c r="Z109" s="125"/>
      <c r="AA109" s="189"/>
      <c r="AB109" s="124"/>
      <c r="AC109" s="124"/>
      <c r="AD109" s="124"/>
      <c r="AE109" s="125"/>
      <c r="AF109" s="189"/>
      <c r="AG109" s="124"/>
      <c r="AH109" s="124"/>
      <c r="AI109" s="124"/>
      <c r="AJ109" s="125"/>
      <c r="AK109" s="189"/>
      <c r="AL109" s="124"/>
      <c r="AM109" s="124"/>
      <c r="AN109" s="124"/>
      <c r="AO109" s="125"/>
      <c r="AP109" s="189"/>
      <c r="AQ109" s="124"/>
      <c r="AR109" s="124"/>
      <c r="AS109" s="124"/>
      <c r="AT109" s="124"/>
      <c r="AU109" s="124"/>
      <c r="AV109" s="124"/>
      <c r="AW109" s="124"/>
      <c r="AX109" s="124"/>
      <c r="AY109" s="124"/>
      <c r="AZ109" s="124"/>
      <c r="BA109" s="124"/>
      <c r="BB109" s="124"/>
      <c r="BC109" s="124"/>
    </row>
    <row r="110">
      <c r="A110" s="125"/>
      <c r="B110" s="189"/>
      <c r="C110" s="124"/>
      <c r="D110" s="124"/>
      <c r="E110" s="124"/>
      <c r="F110" s="125"/>
      <c r="G110" s="189"/>
      <c r="H110" s="124"/>
      <c r="I110" s="124"/>
      <c r="J110" s="124"/>
      <c r="K110" s="102"/>
      <c r="L110" s="189"/>
      <c r="M110" s="124"/>
      <c r="N110" s="124"/>
      <c r="O110" s="124"/>
      <c r="P110" s="102"/>
      <c r="Q110" s="161"/>
      <c r="R110" s="124"/>
      <c r="S110" s="124"/>
      <c r="T110" s="124"/>
      <c r="U110" s="125"/>
      <c r="V110" s="189"/>
      <c r="W110" s="124"/>
      <c r="X110" s="124"/>
      <c r="Y110" s="124"/>
      <c r="Z110" s="125"/>
      <c r="AA110" s="189"/>
      <c r="AB110" s="124"/>
      <c r="AC110" s="124"/>
      <c r="AD110" s="124"/>
      <c r="AE110" s="125"/>
      <c r="AF110" s="189"/>
      <c r="AG110" s="124"/>
      <c r="AH110" s="124"/>
      <c r="AI110" s="124"/>
      <c r="AJ110" s="125"/>
      <c r="AK110" s="189"/>
      <c r="AL110" s="124"/>
      <c r="AM110" s="124"/>
      <c r="AN110" s="124"/>
      <c r="AO110" s="125"/>
      <c r="AP110" s="189"/>
      <c r="AQ110" s="124"/>
      <c r="AR110" s="124"/>
      <c r="AS110" s="124"/>
      <c r="AT110" s="124"/>
      <c r="AU110" s="124"/>
      <c r="AV110" s="124"/>
      <c r="AW110" s="124"/>
      <c r="AX110" s="124"/>
      <c r="AY110" s="124"/>
      <c r="AZ110" s="124"/>
      <c r="BA110" s="124"/>
      <c r="BB110" s="124"/>
      <c r="BC110" s="124"/>
    </row>
    <row r="111">
      <c r="A111" s="125"/>
      <c r="B111" s="189"/>
      <c r="C111" s="124"/>
      <c r="D111" s="124"/>
      <c r="E111" s="124"/>
      <c r="F111" s="125"/>
      <c r="G111" s="189"/>
      <c r="H111" s="124"/>
      <c r="I111" s="124"/>
      <c r="J111" s="124"/>
      <c r="K111" s="102"/>
      <c r="L111" s="189"/>
      <c r="M111" s="124"/>
      <c r="N111" s="124"/>
      <c r="O111" s="124"/>
      <c r="P111" s="102"/>
      <c r="Q111" s="161"/>
      <c r="R111" s="124"/>
      <c r="S111" s="124"/>
      <c r="T111" s="124"/>
      <c r="U111" s="125"/>
      <c r="V111" s="189"/>
      <c r="W111" s="124"/>
      <c r="X111" s="124"/>
      <c r="Y111" s="124"/>
      <c r="Z111" s="125"/>
      <c r="AA111" s="189"/>
      <c r="AB111" s="124"/>
      <c r="AC111" s="124"/>
      <c r="AD111" s="124"/>
      <c r="AE111" s="125"/>
      <c r="AF111" s="189"/>
      <c r="AG111" s="124"/>
      <c r="AH111" s="124"/>
      <c r="AI111" s="124"/>
      <c r="AJ111" s="125"/>
      <c r="AK111" s="189"/>
      <c r="AL111" s="124"/>
      <c r="AM111" s="124"/>
      <c r="AN111" s="124"/>
      <c r="AO111" s="125"/>
      <c r="AP111" s="189"/>
      <c r="AQ111" s="124"/>
      <c r="AR111" s="124"/>
      <c r="AS111" s="124"/>
      <c r="AT111" s="124"/>
      <c r="AU111" s="124"/>
      <c r="AV111" s="124"/>
      <c r="AW111" s="124"/>
      <c r="AX111" s="124"/>
      <c r="AY111" s="124"/>
      <c r="AZ111" s="124"/>
      <c r="BA111" s="124"/>
      <c r="BB111" s="124"/>
      <c r="BC111" s="124"/>
    </row>
    <row r="112">
      <c r="A112" s="125"/>
      <c r="B112" s="189"/>
      <c r="C112" s="124"/>
      <c r="D112" s="124"/>
      <c r="E112" s="124"/>
      <c r="F112" s="125"/>
      <c r="G112" s="189"/>
      <c r="H112" s="124"/>
      <c r="I112" s="124"/>
      <c r="J112" s="124"/>
      <c r="K112" s="102"/>
      <c r="L112" s="189"/>
      <c r="M112" s="124"/>
      <c r="N112" s="124"/>
      <c r="O112" s="124"/>
      <c r="P112" s="102"/>
      <c r="Q112" s="161"/>
      <c r="R112" s="124"/>
      <c r="S112" s="124"/>
      <c r="T112" s="124"/>
      <c r="U112" s="125"/>
      <c r="V112" s="189"/>
      <c r="W112" s="124"/>
      <c r="X112" s="124"/>
      <c r="Y112" s="124"/>
      <c r="Z112" s="125"/>
      <c r="AA112" s="189"/>
      <c r="AB112" s="124"/>
      <c r="AC112" s="124"/>
      <c r="AD112" s="124"/>
      <c r="AE112" s="125"/>
      <c r="AF112" s="189"/>
      <c r="AG112" s="124"/>
      <c r="AH112" s="124"/>
      <c r="AI112" s="124"/>
      <c r="AJ112" s="125"/>
      <c r="AK112" s="189"/>
      <c r="AL112" s="124"/>
      <c r="AM112" s="124"/>
      <c r="AN112" s="124"/>
      <c r="AO112" s="125"/>
      <c r="AP112" s="189"/>
      <c r="AQ112" s="124"/>
      <c r="AR112" s="124"/>
      <c r="AS112" s="124"/>
      <c r="AT112" s="124"/>
      <c r="AU112" s="124"/>
      <c r="AV112" s="124"/>
      <c r="AW112" s="124"/>
      <c r="AX112" s="124"/>
      <c r="AY112" s="124"/>
      <c r="AZ112" s="124"/>
      <c r="BA112" s="124"/>
      <c r="BB112" s="124"/>
      <c r="BC112" s="124"/>
    </row>
    <row r="113">
      <c r="A113" s="125"/>
      <c r="B113" s="189"/>
      <c r="C113" s="124"/>
      <c r="D113" s="124"/>
      <c r="E113" s="124"/>
      <c r="F113" s="125"/>
      <c r="G113" s="189"/>
      <c r="H113" s="124"/>
      <c r="I113" s="124"/>
      <c r="J113" s="124"/>
      <c r="K113" s="102"/>
      <c r="L113" s="189"/>
      <c r="M113" s="124"/>
      <c r="N113" s="124"/>
      <c r="O113" s="124"/>
      <c r="P113" s="102"/>
      <c r="Q113" s="161"/>
      <c r="R113" s="124"/>
      <c r="S113" s="124"/>
      <c r="T113" s="124"/>
      <c r="U113" s="125"/>
      <c r="V113" s="189"/>
      <c r="W113" s="124"/>
      <c r="X113" s="124"/>
      <c r="Y113" s="124"/>
      <c r="Z113" s="125"/>
      <c r="AA113" s="189"/>
      <c r="AB113" s="124"/>
      <c r="AC113" s="124"/>
      <c r="AD113" s="124"/>
      <c r="AE113" s="125"/>
      <c r="AF113" s="189"/>
      <c r="AG113" s="124"/>
      <c r="AH113" s="124"/>
      <c r="AI113" s="124"/>
      <c r="AJ113" s="125"/>
      <c r="AK113" s="189"/>
      <c r="AL113" s="124"/>
      <c r="AM113" s="124"/>
      <c r="AN113" s="124"/>
      <c r="AO113" s="125"/>
      <c r="AP113" s="189"/>
      <c r="AQ113" s="124"/>
      <c r="AR113" s="124"/>
      <c r="AS113" s="124"/>
      <c r="AT113" s="124"/>
      <c r="AU113" s="124"/>
      <c r="AV113" s="124"/>
      <c r="AW113" s="124"/>
      <c r="AX113" s="124"/>
      <c r="AY113" s="124"/>
      <c r="AZ113" s="124"/>
      <c r="BA113" s="124"/>
      <c r="BB113" s="124"/>
      <c r="BC113" s="124"/>
    </row>
    <row r="114">
      <c r="A114" s="125"/>
      <c r="B114" s="189"/>
      <c r="C114" s="124"/>
      <c r="D114" s="124"/>
      <c r="E114" s="124"/>
      <c r="F114" s="125"/>
      <c r="G114" s="189"/>
      <c r="H114" s="124"/>
      <c r="I114" s="124"/>
      <c r="J114" s="124"/>
      <c r="K114" s="102"/>
      <c r="L114" s="189"/>
      <c r="M114" s="124"/>
      <c r="N114" s="124"/>
      <c r="O114" s="124"/>
      <c r="P114" s="102"/>
      <c r="Q114" s="161"/>
      <c r="R114" s="124"/>
      <c r="S114" s="124"/>
      <c r="T114" s="124"/>
      <c r="U114" s="125"/>
      <c r="V114" s="189"/>
      <c r="W114" s="124"/>
      <c r="X114" s="124"/>
      <c r="Y114" s="124"/>
      <c r="Z114" s="125"/>
      <c r="AA114" s="189"/>
      <c r="AB114" s="124"/>
      <c r="AC114" s="124"/>
      <c r="AD114" s="124"/>
      <c r="AE114" s="125"/>
      <c r="AF114" s="189"/>
      <c r="AG114" s="124"/>
      <c r="AH114" s="124"/>
      <c r="AI114" s="124"/>
      <c r="AJ114" s="125"/>
      <c r="AK114" s="189"/>
      <c r="AL114" s="124"/>
      <c r="AM114" s="124"/>
      <c r="AN114" s="124"/>
      <c r="AO114" s="125"/>
      <c r="AP114" s="189"/>
      <c r="AQ114" s="124"/>
      <c r="AR114" s="124"/>
      <c r="AS114" s="124"/>
      <c r="AT114" s="124"/>
      <c r="AU114" s="124"/>
      <c r="AV114" s="124"/>
      <c r="AW114" s="124"/>
      <c r="AX114" s="124"/>
      <c r="AY114" s="124"/>
      <c r="AZ114" s="124"/>
      <c r="BA114" s="124"/>
      <c r="BB114" s="124"/>
      <c r="BC114" s="124"/>
    </row>
    <row r="115">
      <c r="A115" s="125"/>
      <c r="B115" s="189"/>
      <c r="C115" s="124"/>
      <c r="D115" s="124"/>
      <c r="E115" s="124"/>
      <c r="F115" s="125"/>
      <c r="G115" s="189"/>
      <c r="H115" s="124"/>
      <c r="I115" s="124"/>
      <c r="J115" s="124"/>
      <c r="K115" s="102"/>
      <c r="L115" s="189"/>
      <c r="M115" s="124"/>
      <c r="N115" s="124"/>
      <c r="O115" s="124"/>
      <c r="P115" s="102"/>
      <c r="Q115" s="161"/>
      <c r="R115" s="124"/>
      <c r="S115" s="124"/>
      <c r="T115" s="124"/>
      <c r="U115" s="125"/>
      <c r="V115" s="189"/>
      <c r="W115" s="124"/>
      <c r="X115" s="124"/>
      <c r="Y115" s="124"/>
      <c r="Z115" s="125"/>
      <c r="AA115" s="189"/>
      <c r="AB115" s="124"/>
      <c r="AC115" s="124"/>
      <c r="AD115" s="124"/>
      <c r="AE115" s="125"/>
      <c r="AF115" s="189"/>
      <c r="AG115" s="124"/>
      <c r="AH115" s="124"/>
      <c r="AI115" s="124"/>
      <c r="AJ115" s="125"/>
      <c r="AK115" s="189"/>
      <c r="AL115" s="124"/>
      <c r="AM115" s="124"/>
      <c r="AN115" s="124"/>
      <c r="AO115" s="125"/>
      <c r="AP115" s="189"/>
      <c r="AQ115" s="124"/>
      <c r="AR115" s="124"/>
      <c r="AS115" s="124"/>
      <c r="AT115" s="124"/>
      <c r="AU115" s="124"/>
      <c r="AV115" s="124"/>
      <c r="AW115" s="124"/>
      <c r="AX115" s="124"/>
      <c r="AY115" s="124"/>
      <c r="AZ115" s="124"/>
      <c r="BA115" s="124"/>
      <c r="BB115" s="124"/>
      <c r="BC115" s="124"/>
    </row>
    <row r="116">
      <c r="A116" s="125"/>
      <c r="B116" s="189"/>
      <c r="C116" s="124"/>
      <c r="D116" s="124"/>
      <c r="E116" s="124"/>
      <c r="F116" s="125"/>
      <c r="G116" s="189"/>
      <c r="H116" s="124"/>
      <c r="I116" s="124"/>
      <c r="J116" s="124"/>
      <c r="K116" s="102"/>
      <c r="L116" s="189"/>
      <c r="M116" s="124"/>
      <c r="N116" s="124"/>
      <c r="O116" s="124"/>
      <c r="P116" s="102"/>
      <c r="Q116" s="161"/>
      <c r="R116" s="124"/>
      <c r="S116" s="124"/>
      <c r="T116" s="124"/>
      <c r="U116" s="125"/>
      <c r="V116" s="189"/>
      <c r="W116" s="124"/>
      <c r="X116" s="124"/>
      <c r="Y116" s="124"/>
      <c r="Z116" s="125"/>
      <c r="AA116" s="189"/>
      <c r="AB116" s="124"/>
      <c r="AC116" s="124"/>
      <c r="AD116" s="124"/>
      <c r="AE116" s="125"/>
      <c r="AF116" s="189"/>
      <c r="AG116" s="124"/>
      <c r="AH116" s="124"/>
      <c r="AI116" s="124"/>
      <c r="AJ116" s="125"/>
      <c r="AK116" s="189"/>
      <c r="AL116" s="124"/>
      <c r="AM116" s="124"/>
      <c r="AN116" s="124"/>
      <c r="AO116" s="125"/>
      <c r="AP116" s="189"/>
      <c r="AQ116" s="124"/>
      <c r="AR116" s="124"/>
      <c r="AS116" s="124"/>
      <c r="AT116" s="124"/>
      <c r="AU116" s="124"/>
      <c r="AV116" s="124"/>
      <c r="AW116" s="124"/>
      <c r="AX116" s="124"/>
      <c r="AY116" s="124"/>
      <c r="AZ116" s="124"/>
      <c r="BA116" s="124"/>
      <c r="BB116" s="124"/>
      <c r="BC116" s="124"/>
    </row>
    <row r="117">
      <c r="A117" s="125"/>
      <c r="B117" s="189"/>
      <c r="C117" s="124"/>
      <c r="D117" s="124"/>
      <c r="E117" s="124"/>
      <c r="F117" s="125"/>
      <c r="G117" s="189"/>
      <c r="H117" s="124"/>
      <c r="I117" s="124"/>
      <c r="J117" s="124"/>
      <c r="K117" s="102"/>
      <c r="L117" s="189"/>
      <c r="M117" s="124"/>
      <c r="N117" s="124"/>
      <c r="O117" s="124"/>
      <c r="P117" s="102"/>
      <c r="Q117" s="161"/>
      <c r="R117" s="124"/>
      <c r="S117" s="124"/>
      <c r="T117" s="124"/>
      <c r="U117" s="125"/>
      <c r="V117" s="189"/>
      <c r="W117" s="124"/>
      <c r="X117" s="124"/>
      <c r="Y117" s="124"/>
      <c r="Z117" s="125"/>
      <c r="AA117" s="189"/>
      <c r="AB117" s="124"/>
      <c r="AC117" s="124"/>
      <c r="AD117" s="124"/>
      <c r="AE117" s="125"/>
      <c r="AF117" s="189"/>
      <c r="AG117" s="124"/>
      <c r="AH117" s="124"/>
      <c r="AI117" s="124"/>
      <c r="AJ117" s="125"/>
      <c r="AK117" s="189"/>
      <c r="AL117" s="124"/>
      <c r="AM117" s="124"/>
      <c r="AN117" s="124"/>
      <c r="AO117" s="125"/>
      <c r="AP117" s="189"/>
      <c r="AQ117" s="124"/>
      <c r="AR117" s="124"/>
      <c r="AS117" s="124"/>
      <c r="AT117" s="124"/>
      <c r="AU117" s="124"/>
      <c r="AV117" s="124"/>
      <c r="AW117" s="124"/>
      <c r="AX117" s="124"/>
      <c r="AY117" s="124"/>
      <c r="AZ117" s="124"/>
      <c r="BA117" s="124"/>
      <c r="BB117" s="124"/>
      <c r="BC117" s="124"/>
    </row>
    <row r="118">
      <c r="A118" s="125"/>
      <c r="B118" s="189"/>
      <c r="C118" s="124"/>
      <c r="D118" s="124"/>
      <c r="E118" s="124"/>
      <c r="F118" s="125"/>
      <c r="G118" s="189"/>
      <c r="H118" s="124"/>
      <c r="I118" s="124"/>
      <c r="J118" s="124"/>
      <c r="K118" s="102"/>
      <c r="L118" s="189"/>
      <c r="M118" s="124"/>
      <c r="N118" s="124"/>
      <c r="O118" s="124"/>
      <c r="P118" s="102"/>
      <c r="Q118" s="161"/>
      <c r="R118" s="124"/>
      <c r="S118" s="124"/>
      <c r="T118" s="124"/>
      <c r="U118" s="125"/>
      <c r="V118" s="189"/>
      <c r="W118" s="124"/>
      <c r="X118" s="124"/>
      <c r="Y118" s="124"/>
      <c r="Z118" s="125"/>
      <c r="AA118" s="189"/>
      <c r="AB118" s="124"/>
      <c r="AC118" s="124"/>
      <c r="AD118" s="124"/>
      <c r="AE118" s="125"/>
      <c r="AF118" s="189"/>
      <c r="AG118" s="124"/>
      <c r="AH118" s="124"/>
      <c r="AI118" s="124"/>
      <c r="AJ118" s="125"/>
      <c r="AK118" s="189"/>
      <c r="AL118" s="124"/>
      <c r="AM118" s="124"/>
      <c r="AN118" s="124"/>
      <c r="AO118" s="125"/>
      <c r="AP118" s="189"/>
      <c r="AQ118" s="124"/>
      <c r="AR118" s="124"/>
      <c r="AS118" s="124"/>
      <c r="AT118" s="124"/>
      <c r="AU118" s="124"/>
      <c r="AV118" s="124"/>
      <c r="AW118" s="124"/>
      <c r="AX118" s="124"/>
      <c r="AY118" s="124"/>
      <c r="AZ118" s="124"/>
      <c r="BA118" s="124"/>
      <c r="BB118" s="124"/>
      <c r="BC118" s="124"/>
    </row>
    <row r="119">
      <c r="A119" s="125"/>
      <c r="B119" s="189"/>
      <c r="C119" s="124"/>
      <c r="D119" s="124"/>
      <c r="E119" s="124"/>
      <c r="F119" s="125"/>
      <c r="G119" s="189"/>
      <c r="H119" s="124"/>
      <c r="I119" s="124"/>
      <c r="J119" s="124"/>
      <c r="K119" s="102"/>
      <c r="L119" s="189"/>
      <c r="M119" s="124"/>
      <c r="N119" s="124"/>
      <c r="O119" s="124"/>
      <c r="P119" s="102"/>
      <c r="Q119" s="161"/>
      <c r="R119" s="124"/>
      <c r="S119" s="124"/>
      <c r="T119" s="124"/>
      <c r="U119" s="125"/>
      <c r="V119" s="189"/>
      <c r="W119" s="124"/>
      <c r="X119" s="124"/>
      <c r="Y119" s="124"/>
      <c r="Z119" s="125"/>
      <c r="AA119" s="189"/>
      <c r="AB119" s="124"/>
      <c r="AC119" s="124"/>
      <c r="AD119" s="124"/>
      <c r="AE119" s="125"/>
      <c r="AF119" s="189"/>
      <c r="AG119" s="124"/>
      <c r="AH119" s="124"/>
      <c r="AI119" s="124"/>
      <c r="AJ119" s="125"/>
      <c r="AK119" s="189"/>
      <c r="AL119" s="124"/>
      <c r="AM119" s="124"/>
      <c r="AN119" s="124"/>
      <c r="AO119" s="125"/>
      <c r="AP119" s="189"/>
      <c r="AQ119" s="124"/>
      <c r="AR119" s="124"/>
      <c r="AS119" s="124"/>
      <c r="AT119" s="124"/>
      <c r="AU119" s="124"/>
      <c r="AV119" s="124"/>
      <c r="AW119" s="124"/>
      <c r="AX119" s="124"/>
      <c r="AY119" s="124"/>
      <c r="AZ119" s="124"/>
      <c r="BA119" s="124"/>
      <c r="BB119" s="124"/>
      <c r="BC119" s="124"/>
    </row>
    <row r="120">
      <c r="A120" s="125"/>
      <c r="B120" s="189"/>
      <c r="C120" s="124"/>
      <c r="D120" s="124"/>
      <c r="E120" s="124"/>
      <c r="F120" s="125"/>
      <c r="G120" s="189"/>
      <c r="H120" s="124"/>
      <c r="I120" s="124"/>
      <c r="J120" s="124"/>
      <c r="K120" s="102"/>
      <c r="L120" s="189"/>
      <c r="M120" s="124"/>
      <c r="N120" s="124"/>
      <c r="O120" s="124"/>
      <c r="P120" s="102"/>
      <c r="Q120" s="161"/>
      <c r="R120" s="124"/>
      <c r="S120" s="124"/>
      <c r="T120" s="124"/>
      <c r="U120" s="125"/>
      <c r="V120" s="189"/>
      <c r="W120" s="124"/>
      <c r="X120" s="124"/>
      <c r="Y120" s="124"/>
      <c r="Z120" s="125"/>
      <c r="AA120" s="189"/>
      <c r="AB120" s="124"/>
      <c r="AC120" s="124"/>
      <c r="AD120" s="124"/>
      <c r="AE120" s="125"/>
      <c r="AF120" s="189"/>
      <c r="AG120" s="124"/>
      <c r="AH120" s="124"/>
      <c r="AI120" s="124"/>
      <c r="AJ120" s="125"/>
      <c r="AK120" s="189"/>
      <c r="AL120" s="124"/>
      <c r="AM120" s="124"/>
      <c r="AN120" s="124"/>
      <c r="AO120" s="125"/>
      <c r="AP120" s="189"/>
      <c r="AQ120" s="124"/>
      <c r="AR120" s="124"/>
      <c r="AS120" s="124"/>
      <c r="AT120" s="124"/>
      <c r="AU120" s="124"/>
      <c r="AV120" s="124"/>
      <c r="AW120" s="124"/>
      <c r="AX120" s="124"/>
      <c r="AY120" s="124"/>
      <c r="AZ120" s="124"/>
      <c r="BA120" s="124"/>
      <c r="BB120" s="124"/>
      <c r="BC120" s="124"/>
    </row>
    <row r="121">
      <c r="A121" s="125"/>
      <c r="B121" s="189"/>
      <c r="C121" s="124"/>
      <c r="D121" s="124"/>
      <c r="E121" s="124"/>
      <c r="F121" s="125"/>
      <c r="G121" s="189"/>
      <c r="H121" s="124"/>
      <c r="I121" s="124"/>
      <c r="J121" s="124"/>
      <c r="K121" s="102"/>
      <c r="L121" s="189"/>
      <c r="M121" s="124"/>
      <c r="N121" s="124"/>
      <c r="O121" s="124"/>
      <c r="P121" s="102"/>
      <c r="Q121" s="161"/>
      <c r="R121" s="124"/>
      <c r="S121" s="124"/>
      <c r="T121" s="124"/>
      <c r="U121" s="125"/>
      <c r="V121" s="189"/>
      <c r="W121" s="124"/>
      <c r="X121" s="124"/>
      <c r="Y121" s="124"/>
      <c r="Z121" s="125"/>
      <c r="AA121" s="189"/>
      <c r="AB121" s="124"/>
      <c r="AC121" s="124"/>
      <c r="AD121" s="124"/>
      <c r="AE121" s="125"/>
      <c r="AF121" s="189"/>
      <c r="AG121" s="124"/>
      <c r="AH121" s="124"/>
      <c r="AI121" s="124"/>
      <c r="AJ121" s="125"/>
      <c r="AK121" s="189"/>
      <c r="AL121" s="124"/>
      <c r="AM121" s="124"/>
      <c r="AN121" s="124"/>
      <c r="AO121" s="125"/>
      <c r="AP121" s="189"/>
      <c r="AQ121" s="124"/>
      <c r="AR121" s="124"/>
      <c r="AS121" s="124"/>
      <c r="AT121" s="124"/>
      <c r="AU121" s="124"/>
      <c r="AV121" s="124"/>
      <c r="AW121" s="124"/>
      <c r="AX121" s="124"/>
      <c r="AY121" s="124"/>
      <c r="AZ121" s="124"/>
      <c r="BA121" s="124"/>
      <c r="BB121" s="124"/>
      <c r="BC121" s="124"/>
    </row>
    <row r="122">
      <c r="A122" s="125"/>
      <c r="B122" s="189"/>
      <c r="C122" s="124"/>
      <c r="D122" s="124"/>
      <c r="E122" s="124"/>
      <c r="F122" s="125"/>
      <c r="G122" s="189"/>
      <c r="H122" s="124"/>
      <c r="I122" s="124"/>
      <c r="J122" s="124"/>
      <c r="K122" s="102"/>
      <c r="L122" s="189"/>
      <c r="M122" s="124"/>
      <c r="N122" s="124"/>
      <c r="O122" s="124"/>
      <c r="P122" s="102"/>
      <c r="Q122" s="161"/>
      <c r="R122" s="124"/>
      <c r="S122" s="124"/>
      <c r="T122" s="124"/>
      <c r="U122" s="125"/>
      <c r="V122" s="189"/>
      <c r="W122" s="124"/>
      <c r="X122" s="124"/>
      <c r="Y122" s="124"/>
      <c r="Z122" s="125"/>
      <c r="AA122" s="189"/>
      <c r="AB122" s="124"/>
      <c r="AC122" s="124"/>
      <c r="AD122" s="124"/>
      <c r="AE122" s="125"/>
      <c r="AF122" s="189"/>
      <c r="AG122" s="124"/>
      <c r="AH122" s="124"/>
      <c r="AI122" s="124"/>
      <c r="AJ122" s="125"/>
      <c r="AK122" s="189"/>
      <c r="AL122" s="124"/>
      <c r="AM122" s="124"/>
      <c r="AN122" s="124"/>
      <c r="AO122" s="125"/>
      <c r="AP122" s="189"/>
      <c r="AQ122" s="124"/>
      <c r="AR122" s="124"/>
      <c r="AS122" s="124"/>
      <c r="AT122" s="124"/>
      <c r="AU122" s="124"/>
      <c r="AV122" s="124"/>
      <c r="AW122" s="124"/>
      <c r="AX122" s="124"/>
      <c r="AY122" s="124"/>
      <c r="AZ122" s="124"/>
      <c r="BA122" s="124"/>
      <c r="BB122" s="124"/>
      <c r="BC122" s="124"/>
    </row>
    <row r="123">
      <c r="A123" s="125"/>
      <c r="B123" s="189"/>
      <c r="C123" s="124"/>
      <c r="D123" s="124"/>
      <c r="E123" s="124"/>
      <c r="F123" s="125"/>
      <c r="G123" s="189"/>
      <c r="H123" s="124"/>
      <c r="I123" s="124"/>
      <c r="J123" s="124"/>
      <c r="K123" s="102"/>
      <c r="L123" s="189"/>
      <c r="M123" s="124"/>
      <c r="N123" s="124"/>
      <c r="O123" s="124"/>
      <c r="P123" s="102"/>
      <c r="Q123" s="161"/>
      <c r="R123" s="124"/>
      <c r="S123" s="124"/>
      <c r="T123" s="124"/>
      <c r="U123" s="125"/>
      <c r="V123" s="189"/>
      <c r="W123" s="124"/>
      <c r="X123" s="124"/>
      <c r="Y123" s="124"/>
      <c r="Z123" s="125"/>
      <c r="AA123" s="189"/>
      <c r="AB123" s="124"/>
      <c r="AC123" s="124"/>
      <c r="AD123" s="124"/>
      <c r="AE123" s="125"/>
      <c r="AF123" s="189"/>
      <c r="AG123" s="124"/>
      <c r="AH123" s="124"/>
      <c r="AI123" s="124"/>
      <c r="AJ123" s="125"/>
      <c r="AK123" s="189"/>
      <c r="AL123" s="124"/>
      <c r="AM123" s="124"/>
      <c r="AN123" s="124"/>
      <c r="AO123" s="125"/>
      <c r="AP123" s="189"/>
      <c r="AQ123" s="124"/>
      <c r="AR123" s="124"/>
      <c r="AS123" s="124"/>
      <c r="AT123" s="124"/>
      <c r="AU123" s="124"/>
      <c r="AV123" s="124"/>
      <c r="AW123" s="124"/>
      <c r="AX123" s="124"/>
      <c r="AY123" s="124"/>
      <c r="AZ123" s="124"/>
      <c r="BA123" s="124"/>
      <c r="BB123" s="124"/>
      <c r="BC123" s="124"/>
    </row>
    <row r="124">
      <c r="A124" s="125"/>
      <c r="B124" s="189"/>
      <c r="C124" s="124"/>
      <c r="D124" s="124"/>
      <c r="E124" s="124"/>
      <c r="F124" s="125"/>
      <c r="G124" s="189"/>
      <c r="H124" s="124"/>
      <c r="I124" s="124"/>
      <c r="J124" s="124"/>
      <c r="K124" s="102"/>
      <c r="L124" s="189"/>
      <c r="M124" s="124"/>
      <c r="N124" s="124"/>
      <c r="O124" s="124"/>
      <c r="P124" s="102"/>
      <c r="Q124" s="161"/>
      <c r="R124" s="124"/>
      <c r="S124" s="124"/>
      <c r="T124" s="124"/>
      <c r="U124" s="125"/>
      <c r="V124" s="189"/>
      <c r="W124" s="124"/>
      <c r="X124" s="124"/>
      <c r="Y124" s="124"/>
      <c r="Z124" s="125"/>
      <c r="AA124" s="189"/>
      <c r="AB124" s="124"/>
      <c r="AC124" s="124"/>
      <c r="AD124" s="124"/>
      <c r="AE124" s="125"/>
      <c r="AF124" s="189"/>
      <c r="AG124" s="124"/>
      <c r="AH124" s="124"/>
      <c r="AI124" s="124"/>
      <c r="AJ124" s="125"/>
      <c r="AK124" s="189"/>
      <c r="AL124" s="124"/>
      <c r="AM124" s="124"/>
      <c r="AN124" s="124"/>
      <c r="AO124" s="125"/>
      <c r="AP124" s="189"/>
      <c r="AQ124" s="124"/>
      <c r="AR124" s="124"/>
      <c r="AS124" s="124"/>
      <c r="AT124" s="124"/>
      <c r="AU124" s="124"/>
      <c r="AV124" s="124"/>
      <c r="AW124" s="124"/>
      <c r="AX124" s="124"/>
      <c r="AY124" s="124"/>
      <c r="AZ124" s="124"/>
      <c r="BA124" s="124"/>
      <c r="BB124" s="124"/>
      <c r="BC124" s="124"/>
    </row>
    <row r="125">
      <c r="A125" s="125"/>
      <c r="B125" s="189"/>
      <c r="C125" s="124"/>
      <c r="D125" s="124"/>
      <c r="E125" s="124"/>
      <c r="F125" s="125"/>
      <c r="G125" s="189"/>
      <c r="H125" s="124"/>
      <c r="I125" s="124"/>
      <c r="J125" s="124"/>
      <c r="K125" s="102"/>
      <c r="L125" s="189"/>
      <c r="M125" s="124"/>
      <c r="N125" s="124"/>
      <c r="O125" s="124"/>
      <c r="P125" s="102"/>
      <c r="Q125" s="161"/>
      <c r="R125" s="124"/>
      <c r="S125" s="124"/>
      <c r="T125" s="124"/>
      <c r="U125" s="125"/>
      <c r="V125" s="189"/>
      <c r="W125" s="124"/>
      <c r="X125" s="124"/>
      <c r="Y125" s="124"/>
      <c r="Z125" s="125"/>
      <c r="AA125" s="189"/>
      <c r="AB125" s="124"/>
      <c r="AC125" s="124"/>
      <c r="AD125" s="124"/>
      <c r="AE125" s="125"/>
      <c r="AF125" s="189"/>
      <c r="AG125" s="124"/>
      <c r="AH125" s="124"/>
      <c r="AI125" s="124"/>
      <c r="AJ125" s="125"/>
      <c r="AK125" s="189"/>
      <c r="AL125" s="124"/>
      <c r="AM125" s="124"/>
      <c r="AN125" s="124"/>
      <c r="AO125" s="125"/>
      <c r="AP125" s="189"/>
      <c r="AQ125" s="124"/>
      <c r="AR125" s="124"/>
      <c r="AS125" s="124"/>
      <c r="AT125" s="124"/>
      <c r="AU125" s="124"/>
      <c r="AV125" s="124"/>
      <c r="AW125" s="124"/>
      <c r="AX125" s="124"/>
      <c r="AY125" s="124"/>
      <c r="AZ125" s="124"/>
      <c r="BA125" s="124"/>
      <c r="BB125" s="124"/>
      <c r="BC125" s="124"/>
    </row>
    <row r="126">
      <c r="A126" s="125"/>
      <c r="B126" s="189"/>
      <c r="C126" s="124"/>
      <c r="D126" s="124"/>
      <c r="E126" s="124"/>
      <c r="F126" s="125"/>
      <c r="G126" s="189"/>
      <c r="H126" s="124"/>
      <c r="I126" s="124"/>
      <c r="J126" s="124"/>
      <c r="K126" s="102"/>
      <c r="L126" s="189"/>
      <c r="M126" s="124"/>
      <c r="N126" s="124"/>
      <c r="O126" s="124"/>
      <c r="P126" s="102"/>
      <c r="Q126" s="161"/>
      <c r="R126" s="124"/>
      <c r="S126" s="124"/>
      <c r="T126" s="124"/>
      <c r="U126" s="125"/>
      <c r="V126" s="189"/>
      <c r="W126" s="124"/>
      <c r="X126" s="124"/>
      <c r="Y126" s="124"/>
      <c r="Z126" s="125"/>
      <c r="AA126" s="189"/>
      <c r="AB126" s="124"/>
      <c r="AC126" s="124"/>
      <c r="AD126" s="124"/>
      <c r="AE126" s="125"/>
      <c r="AF126" s="189"/>
      <c r="AG126" s="124"/>
      <c r="AH126" s="124"/>
      <c r="AI126" s="124"/>
      <c r="AJ126" s="125"/>
      <c r="AK126" s="189"/>
      <c r="AL126" s="124"/>
      <c r="AM126" s="124"/>
      <c r="AN126" s="124"/>
      <c r="AO126" s="125"/>
      <c r="AP126" s="189"/>
      <c r="AQ126" s="124"/>
      <c r="AR126" s="124"/>
      <c r="AS126" s="124"/>
      <c r="AT126" s="124"/>
      <c r="AU126" s="124"/>
      <c r="AV126" s="124"/>
      <c r="AW126" s="124"/>
      <c r="AX126" s="124"/>
      <c r="AY126" s="124"/>
      <c r="AZ126" s="124"/>
      <c r="BA126" s="124"/>
      <c r="BB126" s="124"/>
      <c r="BC126" s="124"/>
    </row>
    <row r="127">
      <c r="A127" s="125"/>
      <c r="B127" s="189"/>
      <c r="C127" s="124"/>
      <c r="D127" s="124"/>
      <c r="E127" s="124"/>
      <c r="F127" s="125"/>
      <c r="G127" s="189"/>
      <c r="H127" s="124"/>
      <c r="I127" s="124"/>
      <c r="J127" s="124"/>
      <c r="K127" s="102"/>
      <c r="L127" s="189"/>
      <c r="M127" s="124"/>
      <c r="N127" s="124"/>
      <c r="O127" s="124"/>
      <c r="P127" s="102"/>
      <c r="Q127" s="161"/>
      <c r="R127" s="124"/>
      <c r="S127" s="124"/>
      <c r="T127" s="124"/>
      <c r="U127" s="125"/>
      <c r="V127" s="189"/>
      <c r="W127" s="124"/>
      <c r="X127" s="124"/>
      <c r="Y127" s="124"/>
      <c r="Z127" s="125"/>
      <c r="AA127" s="189"/>
      <c r="AB127" s="124"/>
      <c r="AC127" s="124"/>
      <c r="AD127" s="124"/>
      <c r="AE127" s="125"/>
      <c r="AF127" s="189"/>
      <c r="AG127" s="124"/>
      <c r="AH127" s="124"/>
      <c r="AI127" s="124"/>
      <c r="AJ127" s="125"/>
      <c r="AK127" s="189"/>
      <c r="AL127" s="124"/>
      <c r="AM127" s="124"/>
      <c r="AN127" s="124"/>
      <c r="AO127" s="125"/>
      <c r="AP127" s="189"/>
      <c r="AQ127" s="124"/>
      <c r="AR127" s="124"/>
      <c r="AS127" s="124"/>
      <c r="AT127" s="124"/>
      <c r="AU127" s="124"/>
      <c r="AV127" s="124"/>
      <c r="AW127" s="124"/>
      <c r="AX127" s="124"/>
      <c r="AY127" s="124"/>
      <c r="AZ127" s="124"/>
      <c r="BA127" s="124"/>
      <c r="BB127" s="124"/>
      <c r="BC127" s="124"/>
    </row>
    <row r="128">
      <c r="A128" s="125"/>
      <c r="B128" s="189"/>
      <c r="C128" s="124"/>
      <c r="D128" s="124"/>
      <c r="E128" s="124"/>
      <c r="F128" s="125"/>
      <c r="G128" s="189"/>
      <c r="H128" s="124"/>
      <c r="I128" s="124"/>
      <c r="J128" s="124"/>
      <c r="K128" s="102"/>
      <c r="L128" s="189"/>
      <c r="M128" s="124"/>
      <c r="N128" s="124"/>
      <c r="O128" s="124"/>
      <c r="P128" s="102"/>
      <c r="Q128" s="161"/>
      <c r="R128" s="124"/>
      <c r="S128" s="124"/>
      <c r="T128" s="124"/>
      <c r="U128" s="125"/>
      <c r="V128" s="189"/>
      <c r="W128" s="124"/>
      <c r="X128" s="124"/>
      <c r="Y128" s="124"/>
      <c r="Z128" s="125"/>
      <c r="AA128" s="189"/>
      <c r="AB128" s="124"/>
      <c r="AC128" s="124"/>
      <c r="AD128" s="124"/>
      <c r="AE128" s="125"/>
      <c r="AF128" s="189"/>
      <c r="AG128" s="124"/>
      <c r="AH128" s="124"/>
      <c r="AI128" s="124"/>
      <c r="AJ128" s="125"/>
      <c r="AK128" s="189"/>
      <c r="AL128" s="124"/>
      <c r="AM128" s="124"/>
      <c r="AN128" s="124"/>
      <c r="AO128" s="125"/>
      <c r="AP128" s="189"/>
      <c r="AQ128" s="124"/>
      <c r="AR128" s="124"/>
      <c r="AS128" s="124"/>
      <c r="AT128" s="124"/>
      <c r="AU128" s="124"/>
      <c r="AV128" s="124"/>
      <c r="AW128" s="124"/>
      <c r="AX128" s="124"/>
      <c r="AY128" s="124"/>
      <c r="AZ128" s="124"/>
      <c r="BA128" s="124"/>
      <c r="BB128" s="124"/>
      <c r="BC128" s="124"/>
    </row>
    <row r="129">
      <c r="A129" s="125"/>
      <c r="B129" s="189"/>
      <c r="C129" s="124"/>
      <c r="D129" s="124"/>
      <c r="E129" s="124"/>
      <c r="F129" s="125"/>
      <c r="G129" s="189"/>
      <c r="H129" s="124"/>
      <c r="I129" s="124"/>
      <c r="J129" s="124"/>
      <c r="K129" s="102"/>
      <c r="L129" s="189"/>
      <c r="M129" s="124"/>
      <c r="N129" s="124"/>
      <c r="O129" s="124"/>
      <c r="P129" s="102"/>
      <c r="Q129" s="161"/>
      <c r="R129" s="124"/>
      <c r="S129" s="124"/>
      <c r="T129" s="124"/>
      <c r="U129" s="125"/>
      <c r="V129" s="189"/>
      <c r="W129" s="124"/>
      <c r="X129" s="124"/>
      <c r="Y129" s="124"/>
      <c r="Z129" s="125"/>
      <c r="AA129" s="189"/>
      <c r="AB129" s="124"/>
      <c r="AC129" s="124"/>
      <c r="AD129" s="124"/>
      <c r="AE129" s="125"/>
      <c r="AF129" s="189"/>
      <c r="AG129" s="124"/>
      <c r="AH129" s="124"/>
      <c r="AI129" s="124"/>
      <c r="AJ129" s="125"/>
      <c r="AK129" s="189"/>
      <c r="AL129" s="124"/>
      <c r="AM129" s="124"/>
      <c r="AN129" s="124"/>
      <c r="AO129" s="125"/>
      <c r="AP129" s="189"/>
      <c r="AQ129" s="124"/>
      <c r="AR129" s="124"/>
      <c r="AS129" s="124"/>
      <c r="AT129" s="124"/>
      <c r="AU129" s="124"/>
      <c r="AV129" s="124"/>
      <c r="AW129" s="124"/>
      <c r="AX129" s="124"/>
      <c r="AY129" s="124"/>
      <c r="AZ129" s="124"/>
      <c r="BA129" s="124"/>
      <c r="BB129" s="124"/>
      <c r="BC129" s="124"/>
    </row>
    <row r="130">
      <c r="A130" s="125"/>
      <c r="B130" s="189"/>
      <c r="C130" s="124"/>
      <c r="D130" s="124"/>
      <c r="E130" s="124"/>
      <c r="F130" s="125"/>
      <c r="G130" s="189"/>
      <c r="H130" s="124"/>
      <c r="I130" s="124"/>
      <c r="J130" s="124"/>
      <c r="K130" s="102"/>
      <c r="L130" s="189"/>
      <c r="M130" s="124"/>
      <c r="N130" s="124"/>
      <c r="O130" s="124"/>
      <c r="P130" s="102"/>
      <c r="Q130" s="161"/>
      <c r="R130" s="124"/>
      <c r="S130" s="124"/>
      <c r="T130" s="124"/>
      <c r="U130" s="125"/>
      <c r="V130" s="189"/>
      <c r="W130" s="124"/>
      <c r="X130" s="124"/>
      <c r="Y130" s="124"/>
      <c r="Z130" s="125"/>
      <c r="AA130" s="189"/>
      <c r="AB130" s="124"/>
      <c r="AC130" s="124"/>
      <c r="AD130" s="124"/>
      <c r="AE130" s="125"/>
      <c r="AF130" s="189"/>
      <c r="AG130" s="124"/>
      <c r="AH130" s="124"/>
      <c r="AI130" s="124"/>
      <c r="AJ130" s="125"/>
      <c r="AK130" s="189"/>
      <c r="AL130" s="124"/>
      <c r="AM130" s="124"/>
      <c r="AN130" s="124"/>
      <c r="AO130" s="125"/>
      <c r="AP130" s="189"/>
      <c r="AQ130" s="124"/>
      <c r="AR130" s="124"/>
      <c r="AS130" s="124"/>
      <c r="AT130" s="124"/>
      <c r="AU130" s="124"/>
      <c r="AV130" s="124"/>
      <c r="AW130" s="124"/>
      <c r="AX130" s="124"/>
      <c r="AY130" s="124"/>
      <c r="AZ130" s="124"/>
      <c r="BA130" s="124"/>
      <c r="BB130" s="124"/>
      <c r="BC130" s="124"/>
    </row>
    <row r="131">
      <c r="A131" s="125"/>
      <c r="B131" s="189"/>
      <c r="C131" s="124"/>
      <c r="D131" s="124"/>
      <c r="E131" s="124"/>
      <c r="F131" s="125"/>
      <c r="G131" s="189"/>
      <c r="H131" s="124"/>
      <c r="I131" s="124"/>
      <c r="J131" s="124"/>
      <c r="K131" s="102"/>
      <c r="L131" s="189"/>
      <c r="M131" s="124"/>
      <c r="N131" s="124"/>
      <c r="O131" s="124"/>
      <c r="P131" s="102"/>
      <c r="Q131" s="161"/>
      <c r="R131" s="124"/>
      <c r="S131" s="124"/>
      <c r="T131" s="124"/>
      <c r="U131" s="125"/>
      <c r="V131" s="189"/>
      <c r="W131" s="124"/>
      <c r="X131" s="124"/>
      <c r="Y131" s="124"/>
      <c r="Z131" s="125"/>
      <c r="AA131" s="189"/>
      <c r="AB131" s="124"/>
      <c r="AC131" s="124"/>
      <c r="AD131" s="124"/>
      <c r="AE131" s="125"/>
      <c r="AF131" s="189"/>
      <c r="AG131" s="124"/>
      <c r="AH131" s="124"/>
      <c r="AI131" s="124"/>
      <c r="AJ131" s="125"/>
      <c r="AK131" s="189"/>
      <c r="AL131" s="124"/>
      <c r="AM131" s="124"/>
      <c r="AN131" s="124"/>
      <c r="AO131" s="125"/>
      <c r="AP131" s="189"/>
      <c r="AQ131" s="124"/>
      <c r="AR131" s="124"/>
      <c r="AS131" s="124"/>
      <c r="AT131" s="124"/>
      <c r="AU131" s="124"/>
      <c r="AV131" s="124"/>
      <c r="AW131" s="124"/>
      <c r="AX131" s="124"/>
      <c r="AY131" s="124"/>
      <c r="AZ131" s="124"/>
      <c r="BA131" s="124"/>
      <c r="BB131" s="124"/>
      <c r="BC131" s="124"/>
    </row>
    <row r="132">
      <c r="A132" s="125"/>
      <c r="B132" s="189"/>
      <c r="C132" s="124"/>
      <c r="D132" s="124"/>
      <c r="E132" s="124"/>
      <c r="F132" s="125"/>
      <c r="G132" s="189"/>
      <c r="H132" s="124"/>
      <c r="I132" s="124"/>
      <c r="J132" s="124"/>
      <c r="K132" s="102"/>
      <c r="L132" s="189"/>
      <c r="M132" s="124"/>
      <c r="N132" s="124"/>
      <c r="O132" s="124"/>
      <c r="P132" s="102"/>
      <c r="Q132" s="161"/>
      <c r="R132" s="124"/>
      <c r="S132" s="124"/>
      <c r="T132" s="124"/>
      <c r="U132" s="125"/>
      <c r="V132" s="189"/>
      <c r="W132" s="124"/>
      <c r="X132" s="124"/>
      <c r="Y132" s="124"/>
      <c r="Z132" s="125"/>
      <c r="AA132" s="189"/>
      <c r="AB132" s="124"/>
      <c r="AC132" s="124"/>
      <c r="AD132" s="124"/>
      <c r="AE132" s="125"/>
      <c r="AF132" s="189"/>
      <c r="AG132" s="124"/>
      <c r="AH132" s="124"/>
      <c r="AI132" s="124"/>
      <c r="AJ132" s="125"/>
      <c r="AK132" s="189"/>
      <c r="AL132" s="124"/>
      <c r="AM132" s="124"/>
      <c r="AN132" s="124"/>
      <c r="AO132" s="125"/>
      <c r="AP132" s="189"/>
      <c r="AQ132" s="124"/>
      <c r="AR132" s="124"/>
      <c r="AS132" s="124"/>
      <c r="AT132" s="124"/>
      <c r="AU132" s="124"/>
      <c r="AV132" s="124"/>
      <c r="AW132" s="124"/>
      <c r="AX132" s="124"/>
      <c r="AY132" s="124"/>
      <c r="AZ132" s="124"/>
      <c r="BA132" s="124"/>
      <c r="BB132" s="124"/>
      <c r="BC132" s="124"/>
    </row>
    <row r="133">
      <c r="A133" s="125"/>
      <c r="B133" s="189"/>
      <c r="C133" s="124"/>
      <c r="D133" s="124"/>
      <c r="E133" s="124"/>
      <c r="F133" s="125"/>
      <c r="G133" s="189"/>
      <c r="H133" s="124"/>
      <c r="I133" s="124"/>
      <c r="J133" s="124"/>
      <c r="K133" s="102"/>
      <c r="L133" s="189"/>
      <c r="M133" s="124"/>
      <c r="N133" s="124"/>
      <c r="O133" s="124"/>
      <c r="P133" s="102"/>
      <c r="Q133" s="161"/>
      <c r="R133" s="124"/>
      <c r="S133" s="124"/>
      <c r="T133" s="124"/>
      <c r="U133" s="125"/>
      <c r="V133" s="189"/>
      <c r="W133" s="124"/>
      <c r="X133" s="124"/>
      <c r="Y133" s="124"/>
      <c r="Z133" s="125"/>
      <c r="AA133" s="189"/>
      <c r="AB133" s="124"/>
      <c r="AC133" s="124"/>
      <c r="AD133" s="124"/>
      <c r="AE133" s="125"/>
      <c r="AF133" s="189"/>
      <c r="AG133" s="124"/>
      <c r="AH133" s="124"/>
      <c r="AI133" s="124"/>
      <c r="AJ133" s="125"/>
      <c r="AK133" s="189"/>
      <c r="AL133" s="124"/>
      <c r="AM133" s="124"/>
      <c r="AN133" s="124"/>
      <c r="AO133" s="125"/>
      <c r="AP133" s="189"/>
      <c r="AQ133" s="124"/>
      <c r="AR133" s="124"/>
      <c r="AS133" s="124"/>
      <c r="AT133" s="124"/>
      <c r="AU133" s="124"/>
      <c r="AV133" s="124"/>
      <c r="AW133" s="124"/>
      <c r="AX133" s="124"/>
      <c r="AY133" s="124"/>
      <c r="AZ133" s="124"/>
      <c r="BA133" s="124"/>
      <c r="BB133" s="124"/>
      <c r="BC133" s="124"/>
    </row>
    <row r="134">
      <c r="A134" s="125"/>
      <c r="B134" s="189"/>
      <c r="C134" s="124"/>
      <c r="D134" s="124"/>
      <c r="E134" s="124"/>
      <c r="F134" s="125"/>
      <c r="G134" s="189"/>
      <c r="H134" s="124"/>
      <c r="I134" s="124"/>
      <c r="J134" s="124"/>
      <c r="K134" s="102"/>
      <c r="L134" s="189"/>
      <c r="M134" s="124"/>
      <c r="N134" s="124"/>
      <c r="O134" s="124"/>
      <c r="P134" s="102"/>
      <c r="Q134" s="161"/>
      <c r="R134" s="124"/>
      <c r="S134" s="124"/>
      <c r="T134" s="124"/>
      <c r="U134" s="125"/>
      <c r="V134" s="189"/>
      <c r="W134" s="124"/>
      <c r="X134" s="124"/>
      <c r="Y134" s="124"/>
      <c r="Z134" s="125"/>
      <c r="AA134" s="189"/>
      <c r="AB134" s="124"/>
      <c r="AC134" s="124"/>
      <c r="AD134" s="124"/>
      <c r="AE134" s="125"/>
      <c r="AF134" s="189"/>
      <c r="AG134" s="124"/>
      <c r="AH134" s="124"/>
      <c r="AI134" s="124"/>
      <c r="AJ134" s="125"/>
      <c r="AK134" s="189"/>
      <c r="AL134" s="124"/>
      <c r="AM134" s="124"/>
      <c r="AN134" s="124"/>
      <c r="AO134" s="125"/>
      <c r="AP134" s="189"/>
      <c r="AQ134" s="124"/>
      <c r="AR134" s="124"/>
      <c r="AS134" s="124"/>
      <c r="AT134" s="124"/>
      <c r="AU134" s="124"/>
      <c r="AV134" s="124"/>
      <c r="AW134" s="124"/>
      <c r="AX134" s="124"/>
      <c r="AY134" s="124"/>
      <c r="AZ134" s="124"/>
      <c r="BA134" s="124"/>
      <c r="BB134" s="124"/>
      <c r="BC134" s="124"/>
    </row>
    <row r="135">
      <c r="A135" s="125"/>
      <c r="B135" s="189"/>
      <c r="C135" s="124"/>
      <c r="D135" s="124"/>
      <c r="E135" s="124"/>
      <c r="F135" s="125"/>
      <c r="G135" s="189"/>
      <c r="H135" s="124"/>
      <c r="I135" s="124"/>
      <c r="J135" s="124"/>
      <c r="K135" s="102"/>
      <c r="L135" s="189"/>
      <c r="M135" s="124"/>
      <c r="N135" s="124"/>
      <c r="O135" s="124"/>
      <c r="P135" s="102"/>
      <c r="Q135" s="161"/>
      <c r="R135" s="124"/>
      <c r="S135" s="124"/>
      <c r="T135" s="124"/>
      <c r="U135" s="125"/>
      <c r="V135" s="189"/>
      <c r="W135" s="124"/>
      <c r="X135" s="124"/>
      <c r="Y135" s="124"/>
      <c r="Z135" s="125"/>
      <c r="AA135" s="189"/>
      <c r="AB135" s="124"/>
      <c r="AC135" s="124"/>
      <c r="AD135" s="124"/>
      <c r="AE135" s="125"/>
      <c r="AF135" s="189"/>
      <c r="AG135" s="124"/>
      <c r="AH135" s="124"/>
      <c r="AI135" s="124"/>
      <c r="AJ135" s="125"/>
      <c r="AK135" s="189"/>
      <c r="AL135" s="124"/>
      <c r="AM135" s="124"/>
      <c r="AN135" s="124"/>
      <c r="AO135" s="125"/>
      <c r="AP135" s="189"/>
      <c r="AQ135" s="124"/>
      <c r="AR135" s="124"/>
      <c r="AS135" s="124"/>
      <c r="AT135" s="124"/>
      <c r="AU135" s="124"/>
      <c r="AV135" s="124"/>
      <c r="AW135" s="124"/>
      <c r="AX135" s="124"/>
      <c r="AY135" s="124"/>
      <c r="AZ135" s="124"/>
      <c r="BA135" s="124"/>
      <c r="BB135" s="124"/>
      <c r="BC135" s="124"/>
    </row>
    <row r="136">
      <c r="A136" s="125"/>
      <c r="B136" s="189"/>
      <c r="C136" s="124"/>
      <c r="D136" s="124"/>
      <c r="E136" s="124"/>
      <c r="F136" s="125"/>
      <c r="G136" s="189"/>
      <c r="H136" s="124"/>
      <c r="I136" s="124"/>
      <c r="J136" s="124"/>
      <c r="K136" s="102"/>
      <c r="L136" s="189"/>
      <c r="M136" s="124"/>
      <c r="N136" s="124"/>
      <c r="O136" s="124"/>
      <c r="P136" s="102"/>
      <c r="Q136" s="161"/>
      <c r="R136" s="124"/>
      <c r="S136" s="124"/>
      <c r="T136" s="124"/>
      <c r="U136" s="125"/>
      <c r="V136" s="189"/>
      <c r="W136" s="124"/>
      <c r="X136" s="124"/>
      <c r="Y136" s="124"/>
      <c r="Z136" s="125"/>
      <c r="AA136" s="189"/>
      <c r="AB136" s="124"/>
      <c r="AC136" s="124"/>
      <c r="AD136" s="124"/>
      <c r="AE136" s="125"/>
      <c r="AF136" s="189"/>
      <c r="AG136" s="124"/>
      <c r="AH136" s="124"/>
      <c r="AI136" s="124"/>
      <c r="AJ136" s="125"/>
      <c r="AK136" s="189"/>
      <c r="AL136" s="124"/>
      <c r="AM136" s="124"/>
      <c r="AN136" s="124"/>
      <c r="AO136" s="125"/>
      <c r="AP136" s="189"/>
      <c r="AQ136" s="124"/>
      <c r="AR136" s="124"/>
      <c r="AS136" s="124"/>
      <c r="AT136" s="124"/>
      <c r="AU136" s="124"/>
      <c r="AV136" s="124"/>
      <c r="AW136" s="124"/>
      <c r="AX136" s="124"/>
      <c r="AY136" s="124"/>
      <c r="AZ136" s="124"/>
      <c r="BA136" s="124"/>
      <c r="BB136" s="124"/>
      <c r="BC136" s="124"/>
    </row>
    <row r="137">
      <c r="A137" s="125"/>
      <c r="B137" s="189"/>
      <c r="C137" s="124"/>
      <c r="D137" s="124"/>
      <c r="E137" s="124"/>
      <c r="F137" s="125"/>
      <c r="G137" s="189"/>
      <c r="H137" s="124"/>
      <c r="I137" s="124"/>
      <c r="J137" s="124"/>
      <c r="K137" s="102"/>
      <c r="L137" s="189"/>
      <c r="M137" s="124"/>
      <c r="N137" s="124"/>
      <c r="O137" s="124"/>
      <c r="P137" s="102"/>
      <c r="Q137" s="161"/>
      <c r="R137" s="124"/>
      <c r="S137" s="124"/>
      <c r="T137" s="124"/>
      <c r="U137" s="125"/>
      <c r="V137" s="189"/>
      <c r="W137" s="124"/>
      <c r="X137" s="124"/>
      <c r="Y137" s="124"/>
      <c r="Z137" s="125"/>
      <c r="AA137" s="189"/>
      <c r="AB137" s="124"/>
      <c r="AC137" s="124"/>
      <c r="AD137" s="124"/>
      <c r="AE137" s="125"/>
      <c r="AF137" s="189"/>
      <c r="AG137" s="124"/>
      <c r="AH137" s="124"/>
      <c r="AI137" s="124"/>
      <c r="AJ137" s="125"/>
      <c r="AK137" s="189"/>
      <c r="AL137" s="124"/>
      <c r="AM137" s="124"/>
      <c r="AN137" s="124"/>
      <c r="AO137" s="125"/>
      <c r="AP137" s="189"/>
      <c r="AQ137" s="124"/>
      <c r="AR137" s="124"/>
      <c r="AS137" s="124"/>
      <c r="AT137" s="124"/>
      <c r="AU137" s="124"/>
      <c r="AV137" s="124"/>
      <c r="AW137" s="124"/>
      <c r="AX137" s="124"/>
      <c r="AY137" s="124"/>
      <c r="AZ137" s="124"/>
      <c r="BA137" s="124"/>
      <c r="BB137" s="124"/>
      <c r="BC137" s="124"/>
    </row>
    <row r="138">
      <c r="A138" s="125"/>
      <c r="B138" s="189"/>
      <c r="C138" s="124"/>
      <c r="D138" s="124"/>
      <c r="E138" s="124"/>
      <c r="F138" s="125"/>
      <c r="G138" s="189"/>
      <c r="H138" s="124"/>
      <c r="I138" s="124"/>
      <c r="J138" s="124"/>
      <c r="K138" s="102"/>
      <c r="L138" s="189"/>
      <c r="M138" s="124"/>
      <c r="N138" s="124"/>
      <c r="O138" s="124"/>
      <c r="P138" s="102"/>
      <c r="Q138" s="161"/>
      <c r="R138" s="124"/>
      <c r="S138" s="124"/>
      <c r="T138" s="124"/>
      <c r="U138" s="125"/>
      <c r="V138" s="189"/>
      <c r="W138" s="124"/>
      <c r="X138" s="124"/>
      <c r="Y138" s="124"/>
      <c r="Z138" s="125"/>
      <c r="AA138" s="189"/>
      <c r="AB138" s="124"/>
      <c r="AC138" s="124"/>
      <c r="AD138" s="124"/>
      <c r="AE138" s="125"/>
      <c r="AF138" s="189"/>
      <c r="AG138" s="124"/>
      <c r="AH138" s="124"/>
      <c r="AI138" s="124"/>
      <c r="AJ138" s="125"/>
      <c r="AK138" s="189"/>
      <c r="AL138" s="124"/>
      <c r="AM138" s="124"/>
      <c r="AN138" s="124"/>
      <c r="AO138" s="125"/>
      <c r="AP138" s="189"/>
      <c r="AQ138" s="124"/>
      <c r="AR138" s="124"/>
      <c r="AS138" s="124"/>
      <c r="AT138" s="124"/>
      <c r="AU138" s="124"/>
      <c r="AV138" s="124"/>
      <c r="AW138" s="124"/>
      <c r="AX138" s="124"/>
      <c r="AY138" s="124"/>
      <c r="AZ138" s="124"/>
      <c r="BA138" s="124"/>
      <c r="BB138" s="124"/>
      <c r="BC138" s="124"/>
    </row>
    <row r="139">
      <c r="A139" s="125"/>
      <c r="B139" s="189"/>
      <c r="C139" s="124"/>
      <c r="D139" s="124"/>
      <c r="E139" s="124"/>
      <c r="F139" s="125"/>
      <c r="G139" s="189"/>
      <c r="H139" s="124"/>
      <c r="I139" s="124"/>
      <c r="J139" s="124"/>
      <c r="K139" s="102"/>
      <c r="L139" s="189"/>
      <c r="M139" s="124"/>
      <c r="N139" s="124"/>
      <c r="O139" s="124"/>
      <c r="P139" s="102"/>
      <c r="Q139" s="161"/>
      <c r="R139" s="124"/>
      <c r="S139" s="124"/>
      <c r="T139" s="124"/>
      <c r="U139" s="125"/>
      <c r="V139" s="189"/>
      <c r="W139" s="124"/>
      <c r="X139" s="124"/>
      <c r="Y139" s="124"/>
      <c r="Z139" s="125"/>
      <c r="AA139" s="189"/>
      <c r="AB139" s="124"/>
      <c r="AC139" s="124"/>
      <c r="AD139" s="124"/>
      <c r="AE139" s="125"/>
      <c r="AF139" s="189"/>
      <c r="AG139" s="124"/>
      <c r="AH139" s="124"/>
      <c r="AI139" s="124"/>
      <c r="AJ139" s="125"/>
      <c r="AK139" s="189"/>
      <c r="AL139" s="124"/>
      <c r="AM139" s="124"/>
      <c r="AN139" s="124"/>
      <c r="AO139" s="125"/>
      <c r="AP139" s="189"/>
      <c r="AQ139" s="124"/>
      <c r="AR139" s="124"/>
      <c r="AS139" s="124"/>
      <c r="AT139" s="124"/>
      <c r="AU139" s="124"/>
      <c r="AV139" s="124"/>
      <c r="AW139" s="124"/>
      <c r="AX139" s="124"/>
      <c r="AY139" s="124"/>
      <c r="AZ139" s="124"/>
      <c r="BA139" s="124"/>
      <c r="BB139" s="124"/>
      <c r="BC139" s="124"/>
    </row>
    <row r="140">
      <c r="A140" s="125"/>
      <c r="B140" s="189"/>
      <c r="C140" s="124"/>
      <c r="D140" s="124"/>
      <c r="E140" s="124"/>
      <c r="F140" s="125"/>
      <c r="G140" s="189"/>
      <c r="H140" s="124"/>
      <c r="I140" s="124"/>
      <c r="J140" s="124"/>
      <c r="K140" s="102"/>
      <c r="L140" s="189"/>
      <c r="M140" s="124"/>
      <c r="N140" s="124"/>
      <c r="O140" s="124"/>
      <c r="P140" s="102"/>
      <c r="Q140" s="161"/>
      <c r="R140" s="124"/>
      <c r="S140" s="124"/>
      <c r="T140" s="124"/>
      <c r="U140" s="125"/>
      <c r="V140" s="189"/>
      <c r="W140" s="124"/>
      <c r="X140" s="124"/>
      <c r="Y140" s="124"/>
      <c r="Z140" s="125"/>
      <c r="AA140" s="189"/>
      <c r="AB140" s="124"/>
      <c r="AC140" s="124"/>
      <c r="AD140" s="124"/>
      <c r="AE140" s="125"/>
      <c r="AF140" s="189"/>
      <c r="AG140" s="124"/>
      <c r="AH140" s="124"/>
      <c r="AI140" s="124"/>
      <c r="AJ140" s="125"/>
      <c r="AK140" s="189"/>
      <c r="AL140" s="124"/>
      <c r="AM140" s="124"/>
      <c r="AN140" s="124"/>
      <c r="AO140" s="125"/>
      <c r="AP140" s="189"/>
      <c r="AQ140" s="124"/>
      <c r="AR140" s="124"/>
      <c r="AS140" s="124"/>
      <c r="AT140" s="124"/>
      <c r="AU140" s="124"/>
      <c r="AV140" s="124"/>
      <c r="AW140" s="124"/>
      <c r="AX140" s="124"/>
      <c r="AY140" s="124"/>
      <c r="AZ140" s="124"/>
      <c r="BA140" s="124"/>
      <c r="BB140" s="124"/>
      <c r="BC140" s="124"/>
    </row>
    <row r="141">
      <c r="A141" s="125"/>
      <c r="B141" s="189"/>
      <c r="C141" s="124"/>
      <c r="D141" s="124"/>
      <c r="E141" s="124"/>
      <c r="F141" s="125"/>
      <c r="G141" s="189"/>
      <c r="H141" s="124"/>
      <c r="I141" s="124"/>
      <c r="J141" s="124"/>
      <c r="K141" s="102"/>
      <c r="L141" s="189"/>
      <c r="M141" s="124"/>
      <c r="N141" s="124"/>
      <c r="O141" s="124"/>
      <c r="P141" s="102"/>
      <c r="Q141" s="161"/>
      <c r="R141" s="124"/>
      <c r="S141" s="124"/>
      <c r="T141" s="124"/>
      <c r="U141" s="125"/>
      <c r="V141" s="189"/>
      <c r="W141" s="124"/>
      <c r="X141" s="124"/>
      <c r="Y141" s="124"/>
      <c r="Z141" s="125"/>
      <c r="AA141" s="189"/>
      <c r="AB141" s="124"/>
      <c r="AC141" s="124"/>
      <c r="AD141" s="124"/>
      <c r="AE141" s="125"/>
      <c r="AF141" s="189"/>
      <c r="AG141" s="124"/>
      <c r="AH141" s="124"/>
      <c r="AI141" s="124"/>
      <c r="AJ141" s="125"/>
      <c r="AK141" s="189"/>
      <c r="AL141" s="124"/>
      <c r="AM141" s="124"/>
      <c r="AN141" s="124"/>
      <c r="AO141" s="125"/>
      <c r="AP141" s="189"/>
      <c r="AQ141" s="124"/>
      <c r="AR141" s="124"/>
      <c r="AS141" s="124"/>
      <c r="AT141" s="124"/>
      <c r="AU141" s="124"/>
      <c r="AV141" s="124"/>
      <c r="AW141" s="124"/>
      <c r="AX141" s="124"/>
      <c r="AY141" s="124"/>
      <c r="AZ141" s="124"/>
      <c r="BA141" s="124"/>
      <c r="BB141" s="124"/>
      <c r="BC141" s="124"/>
    </row>
    <row r="142">
      <c r="A142" s="125"/>
      <c r="B142" s="189"/>
      <c r="C142" s="124"/>
      <c r="D142" s="124"/>
      <c r="E142" s="124"/>
      <c r="F142" s="125"/>
      <c r="G142" s="189"/>
      <c r="H142" s="124"/>
      <c r="I142" s="124"/>
      <c r="J142" s="124"/>
      <c r="K142" s="102"/>
      <c r="L142" s="189"/>
      <c r="M142" s="124"/>
      <c r="N142" s="124"/>
      <c r="O142" s="124"/>
      <c r="P142" s="102"/>
      <c r="Q142" s="161"/>
      <c r="R142" s="124"/>
      <c r="S142" s="124"/>
      <c r="T142" s="124"/>
      <c r="U142" s="125"/>
      <c r="V142" s="189"/>
      <c r="W142" s="124"/>
      <c r="X142" s="124"/>
      <c r="Y142" s="124"/>
      <c r="Z142" s="125"/>
      <c r="AA142" s="189"/>
      <c r="AB142" s="124"/>
      <c r="AC142" s="124"/>
      <c r="AD142" s="124"/>
      <c r="AE142" s="125"/>
      <c r="AF142" s="189"/>
      <c r="AG142" s="124"/>
      <c r="AH142" s="124"/>
      <c r="AI142" s="124"/>
      <c r="AJ142" s="125"/>
      <c r="AK142" s="189"/>
      <c r="AL142" s="124"/>
      <c r="AM142" s="124"/>
      <c r="AN142" s="124"/>
      <c r="AO142" s="125"/>
      <c r="AP142" s="189"/>
      <c r="AQ142" s="124"/>
      <c r="AR142" s="124"/>
      <c r="AS142" s="124"/>
      <c r="AT142" s="124"/>
      <c r="AU142" s="124"/>
      <c r="AV142" s="124"/>
      <c r="AW142" s="124"/>
      <c r="AX142" s="124"/>
      <c r="AY142" s="124"/>
      <c r="AZ142" s="124"/>
      <c r="BA142" s="124"/>
      <c r="BB142" s="124"/>
      <c r="BC142" s="124"/>
    </row>
    <row r="143">
      <c r="A143" s="125"/>
      <c r="B143" s="189"/>
      <c r="C143" s="124"/>
      <c r="D143" s="124"/>
      <c r="E143" s="124"/>
      <c r="F143" s="125"/>
      <c r="G143" s="189"/>
      <c r="H143" s="124"/>
      <c r="I143" s="124"/>
      <c r="J143" s="124"/>
      <c r="K143" s="102"/>
      <c r="L143" s="189"/>
      <c r="M143" s="124"/>
      <c r="N143" s="124"/>
      <c r="O143" s="124"/>
      <c r="P143" s="102"/>
      <c r="Q143" s="161"/>
      <c r="R143" s="124"/>
      <c r="S143" s="124"/>
      <c r="T143" s="124"/>
      <c r="U143" s="125"/>
      <c r="V143" s="189"/>
      <c r="W143" s="124"/>
      <c r="X143" s="124"/>
      <c r="Y143" s="124"/>
      <c r="Z143" s="125"/>
      <c r="AA143" s="189"/>
      <c r="AB143" s="124"/>
      <c r="AC143" s="124"/>
      <c r="AD143" s="124"/>
      <c r="AE143" s="125"/>
      <c r="AF143" s="189"/>
      <c r="AG143" s="124"/>
      <c r="AH143" s="124"/>
      <c r="AI143" s="124"/>
      <c r="AJ143" s="125"/>
      <c r="AK143" s="189"/>
      <c r="AL143" s="124"/>
      <c r="AM143" s="124"/>
      <c r="AN143" s="124"/>
      <c r="AO143" s="125"/>
      <c r="AP143" s="189"/>
      <c r="AQ143" s="124"/>
      <c r="AR143" s="124"/>
      <c r="AS143" s="124"/>
      <c r="AT143" s="124"/>
      <c r="AU143" s="124"/>
      <c r="AV143" s="124"/>
      <c r="AW143" s="124"/>
      <c r="AX143" s="124"/>
      <c r="AY143" s="124"/>
      <c r="AZ143" s="124"/>
      <c r="BA143" s="124"/>
      <c r="BB143" s="124"/>
      <c r="BC143" s="124"/>
    </row>
    <row r="144">
      <c r="A144" s="125"/>
      <c r="B144" s="189"/>
      <c r="C144" s="124"/>
      <c r="D144" s="124"/>
      <c r="E144" s="124"/>
      <c r="F144" s="125"/>
      <c r="G144" s="189"/>
      <c r="H144" s="124"/>
      <c r="I144" s="124"/>
      <c r="J144" s="124"/>
      <c r="K144" s="102"/>
      <c r="L144" s="189"/>
      <c r="M144" s="124"/>
      <c r="N144" s="124"/>
      <c r="O144" s="124"/>
      <c r="P144" s="102"/>
      <c r="Q144" s="161"/>
      <c r="R144" s="124"/>
      <c r="S144" s="124"/>
      <c r="T144" s="124"/>
      <c r="U144" s="125"/>
      <c r="V144" s="189"/>
      <c r="W144" s="124"/>
      <c r="X144" s="124"/>
      <c r="Y144" s="124"/>
      <c r="Z144" s="125"/>
      <c r="AA144" s="189"/>
      <c r="AB144" s="124"/>
      <c r="AC144" s="124"/>
      <c r="AD144" s="124"/>
      <c r="AE144" s="125"/>
      <c r="AF144" s="189"/>
      <c r="AG144" s="124"/>
      <c r="AH144" s="124"/>
      <c r="AI144" s="124"/>
      <c r="AJ144" s="125"/>
      <c r="AK144" s="189"/>
      <c r="AL144" s="124"/>
      <c r="AM144" s="124"/>
      <c r="AN144" s="124"/>
      <c r="AO144" s="125"/>
      <c r="AP144" s="189"/>
      <c r="AQ144" s="124"/>
      <c r="AR144" s="124"/>
      <c r="AS144" s="124"/>
      <c r="AT144" s="124"/>
      <c r="AU144" s="124"/>
      <c r="AV144" s="124"/>
      <c r="AW144" s="124"/>
      <c r="AX144" s="124"/>
      <c r="AY144" s="124"/>
      <c r="AZ144" s="124"/>
      <c r="BA144" s="124"/>
      <c r="BB144" s="124"/>
      <c r="BC144" s="124"/>
    </row>
    <row r="145">
      <c r="A145" s="125"/>
      <c r="B145" s="189"/>
      <c r="C145" s="124"/>
      <c r="D145" s="124"/>
      <c r="E145" s="124"/>
      <c r="F145" s="125"/>
      <c r="G145" s="189"/>
      <c r="H145" s="124"/>
      <c r="I145" s="124"/>
      <c r="J145" s="124"/>
      <c r="K145" s="102"/>
      <c r="L145" s="189"/>
      <c r="M145" s="124"/>
      <c r="N145" s="124"/>
      <c r="O145" s="124"/>
      <c r="P145" s="102"/>
      <c r="Q145" s="161"/>
      <c r="R145" s="124"/>
      <c r="S145" s="124"/>
      <c r="T145" s="124"/>
      <c r="U145" s="125"/>
      <c r="V145" s="189"/>
      <c r="W145" s="124"/>
      <c r="X145" s="124"/>
      <c r="Y145" s="124"/>
      <c r="Z145" s="125"/>
      <c r="AA145" s="189"/>
      <c r="AB145" s="124"/>
      <c r="AC145" s="124"/>
      <c r="AD145" s="124"/>
      <c r="AE145" s="125"/>
      <c r="AF145" s="189"/>
      <c r="AG145" s="124"/>
      <c r="AH145" s="124"/>
      <c r="AI145" s="124"/>
      <c r="AJ145" s="125"/>
      <c r="AK145" s="189"/>
      <c r="AL145" s="124"/>
      <c r="AM145" s="124"/>
      <c r="AN145" s="124"/>
      <c r="AO145" s="125"/>
      <c r="AP145" s="189"/>
      <c r="AQ145" s="124"/>
      <c r="AR145" s="124"/>
      <c r="AS145" s="124"/>
      <c r="AT145" s="124"/>
      <c r="AU145" s="124"/>
      <c r="AV145" s="124"/>
      <c r="AW145" s="124"/>
      <c r="AX145" s="124"/>
      <c r="AY145" s="124"/>
      <c r="AZ145" s="124"/>
      <c r="BA145" s="124"/>
      <c r="BB145" s="124"/>
      <c r="BC145" s="124"/>
    </row>
    <row r="146">
      <c r="A146" s="125"/>
      <c r="B146" s="189"/>
      <c r="C146" s="124"/>
      <c r="D146" s="124"/>
      <c r="E146" s="124"/>
      <c r="F146" s="125"/>
      <c r="G146" s="189"/>
      <c r="H146" s="124"/>
      <c r="I146" s="124"/>
      <c r="J146" s="124"/>
      <c r="K146" s="102"/>
      <c r="L146" s="189"/>
      <c r="M146" s="124"/>
      <c r="N146" s="124"/>
      <c r="O146" s="124"/>
      <c r="P146" s="102"/>
      <c r="Q146" s="161"/>
      <c r="R146" s="124"/>
      <c r="S146" s="124"/>
      <c r="T146" s="124"/>
      <c r="U146" s="125"/>
      <c r="V146" s="189"/>
      <c r="W146" s="124"/>
      <c r="X146" s="124"/>
      <c r="Y146" s="124"/>
      <c r="Z146" s="125"/>
      <c r="AA146" s="189"/>
      <c r="AB146" s="124"/>
      <c r="AC146" s="124"/>
      <c r="AD146" s="124"/>
      <c r="AE146" s="125"/>
      <c r="AF146" s="189"/>
      <c r="AG146" s="124"/>
      <c r="AH146" s="124"/>
      <c r="AI146" s="124"/>
      <c r="AJ146" s="125"/>
      <c r="AK146" s="189"/>
      <c r="AL146" s="124"/>
      <c r="AM146" s="124"/>
      <c r="AN146" s="124"/>
      <c r="AO146" s="125"/>
      <c r="AP146" s="189"/>
      <c r="AQ146" s="124"/>
      <c r="AR146" s="124"/>
      <c r="AS146" s="124"/>
      <c r="AT146" s="124"/>
      <c r="AU146" s="124"/>
      <c r="AV146" s="124"/>
      <c r="AW146" s="124"/>
      <c r="AX146" s="124"/>
      <c r="AY146" s="124"/>
      <c r="AZ146" s="124"/>
      <c r="BA146" s="124"/>
      <c r="BB146" s="124"/>
      <c r="BC146" s="124"/>
    </row>
    <row r="147">
      <c r="A147" s="125"/>
      <c r="B147" s="189"/>
      <c r="C147" s="124"/>
      <c r="D147" s="124"/>
      <c r="E147" s="124"/>
      <c r="F147" s="125"/>
      <c r="G147" s="189"/>
      <c r="H147" s="124"/>
      <c r="I147" s="124"/>
      <c r="J147" s="124"/>
      <c r="K147" s="102"/>
      <c r="L147" s="189"/>
      <c r="M147" s="124"/>
      <c r="N147" s="124"/>
      <c r="O147" s="124"/>
      <c r="P147" s="102"/>
      <c r="Q147" s="161"/>
      <c r="R147" s="124"/>
      <c r="S147" s="124"/>
      <c r="T147" s="124"/>
      <c r="U147" s="125"/>
      <c r="V147" s="189"/>
      <c r="W147" s="124"/>
      <c r="X147" s="124"/>
      <c r="Y147" s="124"/>
      <c r="Z147" s="125"/>
      <c r="AA147" s="189"/>
      <c r="AB147" s="124"/>
      <c r="AC147" s="124"/>
      <c r="AD147" s="124"/>
      <c r="AE147" s="125"/>
      <c r="AF147" s="189"/>
      <c r="AG147" s="124"/>
      <c r="AH147" s="124"/>
      <c r="AI147" s="124"/>
      <c r="AJ147" s="125"/>
      <c r="AK147" s="189"/>
      <c r="AL147" s="124"/>
      <c r="AM147" s="124"/>
      <c r="AN147" s="124"/>
      <c r="AO147" s="125"/>
      <c r="AP147" s="189"/>
      <c r="AQ147" s="124"/>
      <c r="AR147" s="124"/>
      <c r="AS147" s="124"/>
      <c r="AT147" s="124"/>
      <c r="AU147" s="124"/>
      <c r="AV147" s="124"/>
      <c r="AW147" s="124"/>
      <c r="AX147" s="124"/>
      <c r="AY147" s="124"/>
      <c r="AZ147" s="124"/>
      <c r="BA147" s="124"/>
      <c r="BB147" s="124"/>
      <c r="BC147" s="124"/>
    </row>
    <row r="148">
      <c r="A148" s="125"/>
      <c r="B148" s="189"/>
      <c r="C148" s="124"/>
      <c r="D148" s="124"/>
      <c r="E148" s="124"/>
      <c r="F148" s="125"/>
      <c r="G148" s="189"/>
      <c r="H148" s="124"/>
      <c r="I148" s="124"/>
      <c r="J148" s="124"/>
      <c r="K148" s="102"/>
      <c r="L148" s="189"/>
      <c r="M148" s="124"/>
      <c r="N148" s="124"/>
      <c r="O148" s="124"/>
      <c r="P148" s="102"/>
      <c r="Q148" s="161"/>
      <c r="R148" s="124"/>
      <c r="S148" s="124"/>
      <c r="T148" s="124"/>
      <c r="U148" s="125"/>
      <c r="V148" s="189"/>
      <c r="W148" s="124"/>
      <c r="X148" s="124"/>
      <c r="Y148" s="124"/>
      <c r="Z148" s="125"/>
      <c r="AA148" s="189"/>
      <c r="AB148" s="124"/>
      <c r="AC148" s="124"/>
      <c r="AD148" s="124"/>
      <c r="AE148" s="125"/>
      <c r="AF148" s="189"/>
      <c r="AG148" s="124"/>
      <c r="AH148" s="124"/>
      <c r="AI148" s="124"/>
      <c r="AJ148" s="125"/>
      <c r="AK148" s="189"/>
      <c r="AL148" s="124"/>
      <c r="AM148" s="124"/>
      <c r="AN148" s="124"/>
      <c r="AO148" s="125"/>
      <c r="AP148" s="189"/>
      <c r="AQ148" s="124"/>
      <c r="AR148" s="124"/>
      <c r="AS148" s="124"/>
      <c r="AT148" s="124"/>
      <c r="AU148" s="124"/>
      <c r="AV148" s="124"/>
      <c r="AW148" s="124"/>
      <c r="AX148" s="124"/>
      <c r="AY148" s="124"/>
      <c r="AZ148" s="124"/>
      <c r="BA148" s="124"/>
      <c r="BB148" s="124"/>
      <c r="BC148" s="124"/>
    </row>
    <row r="149">
      <c r="A149" s="125"/>
      <c r="B149" s="189"/>
      <c r="C149" s="124"/>
      <c r="D149" s="124"/>
      <c r="E149" s="124"/>
      <c r="F149" s="125"/>
      <c r="G149" s="189"/>
      <c r="H149" s="124"/>
      <c r="I149" s="124"/>
      <c r="J149" s="124"/>
      <c r="K149" s="102"/>
      <c r="L149" s="189"/>
      <c r="M149" s="124"/>
      <c r="N149" s="124"/>
      <c r="O149" s="124"/>
      <c r="P149" s="102"/>
      <c r="Q149" s="161"/>
      <c r="R149" s="124"/>
      <c r="S149" s="124"/>
      <c r="T149" s="124"/>
      <c r="U149" s="125"/>
      <c r="V149" s="189"/>
      <c r="W149" s="124"/>
      <c r="X149" s="124"/>
      <c r="Y149" s="124"/>
      <c r="Z149" s="125"/>
      <c r="AA149" s="189"/>
      <c r="AB149" s="124"/>
      <c r="AC149" s="124"/>
      <c r="AD149" s="124"/>
      <c r="AE149" s="125"/>
      <c r="AF149" s="189"/>
      <c r="AG149" s="124"/>
      <c r="AH149" s="124"/>
      <c r="AI149" s="124"/>
      <c r="AJ149" s="125"/>
      <c r="AK149" s="189"/>
      <c r="AL149" s="124"/>
      <c r="AM149" s="124"/>
      <c r="AN149" s="124"/>
      <c r="AO149" s="125"/>
      <c r="AP149" s="189"/>
      <c r="AQ149" s="124"/>
      <c r="AR149" s="124"/>
      <c r="AS149" s="124"/>
      <c r="AT149" s="124"/>
      <c r="AU149" s="124"/>
      <c r="AV149" s="124"/>
      <c r="AW149" s="124"/>
      <c r="AX149" s="124"/>
      <c r="AY149" s="124"/>
      <c r="AZ149" s="124"/>
      <c r="BA149" s="124"/>
      <c r="BB149" s="124"/>
      <c r="BC149" s="124"/>
    </row>
    <row r="150">
      <c r="A150" s="125"/>
      <c r="B150" s="189"/>
      <c r="C150" s="124"/>
      <c r="D150" s="124"/>
      <c r="E150" s="124"/>
      <c r="F150" s="125"/>
      <c r="G150" s="189"/>
      <c r="H150" s="124"/>
      <c r="I150" s="124"/>
      <c r="J150" s="124"/>
      <c r="K150" s="102"/>
      <c r="L150" s="189"/>
      <c r="M150" s="124"/>
      <c r="N150" s="124"/>
      <c r="O150" s="124"/>
      <c r="P150" s="102"/>
      <c r="Q150" s="161"/>
      <c r="R150" s="124"/>
      <c r="S150" s="124"/>
      <c r="T150" s="124"/>
      <c r="U150" s="125"/>
      <c r="V150" s="189"/>
      <c r="W150" s="124"/>
      <c r="X150" s="124"/>
      <c r="Y150" s="124"/>
      <c r="Z150" s="125"/>
      <c r="AA150" s="189"/>
      <c r="AB150" s="124"/>
      <c r="AC150" s="124"/>
      <c r="AD150" s="124"/>
      <c r="AE150" s="125"/>
      <c r="AF150" s="189"/>
      <c r="AG150" s="124"/>
      <c r="AH150" s="124"/>
      <c r="AI150" s="124"/>
      <c r="AJ150" s="125"/>
      <c r="AK150" s="189"/>
      <c r="AL150" s="124"/>
      <c r="AM150" s="124"/>
      <c r="AN150" s="124"/>
      <c r="AO150" s="125"/>
      <c r="AP150" s="189"/>
      <c r="AQ150" s="124"/>
      <c r="AR150" s="124"/>
      <c r="AS150" s="124"/>
      <c r="AT150" s="124"/>
      <c r="AU150" s="124"/>
      <c r="AV150" s="124"/>
      <c r="AW150" s="124"/>
      <c r="AX150" s="124"/>
      <c r="AY150" s="124"/>
      <c r="AZ150" s="124"/>
      <c r="BA150" s="124"/>
      <c r="BB150" s="124"/>
      <c r="BC150" s="124"/>
    </row>
    <row r="151">
      <c r="A151" s="125"/>
      <c r="B151" s="189"/>
      <c r="C151" s="124"/>
      <c r="D151" s="124"/>
      <c r="E151" s="124"/>
      <c r="F151" s="125"/>
      <c r="G151" s="189"/>
      <c r="H151" s="124"/>
      <c r="I151" s="124"/>
      <c r="J151" s="124"/>
      <c r="K151" s="102"/>
      <c r="L151" s="189"/>
      <c r="M151" s="124"/>
      <c r="N151" s="124"/>
      <c r="O151" s="124"/>
      <c r="P151" s="102"/>
      <c r="Q151" s="161"/>
      <c r="R151" s="124"/>
      <c r="S151" s="124"/>
      <c r="T151" s="124"/>
      <c r="U151" s="125"/>
      <c r="V151" s="189"/>
      <c r="W151" s="124"/>
      <c r="X151" s="124"/>
      <c r="Y151" s="124"/>
      <c r="Z151" s="125"/>
      <c r="AA151" s="189"/>
      <c r="AB151" s="124"/>
      <c r="AC151" s="124"/>
      <c r="AD151" s="124"/>
      <c r="AE151" s="125"/>
      <c r="AF151" s="189"/>
      <c r="AG151" s="124"/>
      <c r="AH151" s="124"/>
      <c r="AI151" s="124"/>
      <c r="AJ151" s="125"/>
      <c r="AK151" s="189"/>
      <c r="AL151" s="124"/>
      <c r="AM151" s="124"/>
      <c r="AN151" s="124"/>
      <c r="AO151" s="125"/>
      <c r="AP151" s="189"/>
      <c r="AQ151" s="124"/>
      <c r="AR151" s="124"/>
      <c r="AS151" s="124"/>
      <c r="AT151" s="124"/>
      <c r="AU151" s="124"/>
      <c r="AV151" s="124"/>
      <c r="AW151" s="124"/>
      <c r="AX151" s="124"/>
      <c r="AY151" s="124"/>
      <c r="AZ151" s="124"/>
      <c r="BA151" s="124"/>
      <c r="BB151" s="124"/>
      <c r="BC151" s="124"/>
    </row>
    <row r="152">
      <c r="A152" s="125"/>
      <c r="B152" s="189"/>
      <c r="C152" s="124"/>
      <c r="D152" s="124"/>
      <c r="E152" s="124"/>
      <c r="F152" s="125"/>
      <c r="G152" s="189"/>
      <c r="H152" s="124"/>
      <c r="I152" s="124"/>
      <c r="J152" s="124"/>
      <c r="K152" s="102"/>
      <c r="L152" s="189"/>
      <c r="M152" s="124"/>
      <c r="N152" s="124"/>
      <c r="O152" s="124"/>
      <c r="P152" s="102"/>
      <c r="Q152" s="161"/>
      <c r="R152" s="124"/>
      <c r="S152" s="124"/>
      <c r="T152" s="124"/>
      <c r="U152" s="125"/>
      <c r="V152" s="189"/>
      <c r="W152" s="124"/>
      <c r="X152" s="124"/>
      <c r="Y152" s="124"/>
      <c r="Z152" s="125"/>
      <c r="AA152" s="189"/>
      <c r="AB152" s="124"/>
      <c r="AC152" s="124"/>
      <c r="AD152" s="124"/>
      <c r="AE152" s="125"/>
      <c r="AF152" s="189"/>
      <c r="AG152" s="124"/>
      <c r="AH152" s="124"/>
      <c r="AI152" s="124"/>
      <c r="AJ152" s="125"/>
      <c r="AK152" s="189"/>
      <c r="AL152" s="124"/>
      <c r="AM152" s="124"/>
      <c r="AN152" s="124"/>
      <c r="AO152" s="125"/>
      <c r="AP152" s="189"/>
      <c r="AQ152" s="124"/>
      <c r="AR152" s="124"/>
      <c r="AS152" s="124"/>
      <c r="AT152" s="124"/>
      <c r="AU152" s="124"/>
      <c r="AV152" s="124"/>
      <c r="AW152" s="124"/>
      <c r="AX152" s="124"/>
      <c r="AY152" s="124"/>
      <c r="AZ152" s="124"/>
      <c r="BA152" s="124"/>
      <c r="BB152" s="124"/>
      <c r="BC152" s="124"/>
    </row>
    <row r="153">
      <c r="A153" s="125"/>
      <c r="B153" s="189"/>
      <c r="C153" s="124"/>
      <c r="D153" s="124"/>
      <c r="E153" s="124"/>
      <c r="F153" s="125"/>
      <c r="G153" s="189"/>
      <c r="H153" s="124"/>
      <c r="I153" s="124"/>
      <c r="J153" s="124"/>
      <c r="K153" s="102"/>
      <c r="L153" s="189"/>
      <c r="M153" s="124"/>
      <c r="N153" s="124"/>
      <c r="O153" s="124"/>
      <c r="P153" s="102"/>
      <c r="Q153" s="161"/>
      <c r="R153" s="124"/>
      <c r="S153" s="124"/>
      <c r="T153" s="124"/>
      <c r="U153" s="125"/>
      <c r="V153" s="189"/>
      <c r="W153" s="124"/>
      <c r="X153" s="124"/>
      <c r="Y153" s="124"/>
      <c r="Z153" s="125"/>
      <c r="AA153" s="189"/>
      <c r="AB153" s="124"/>
      <c r="AC153" s="124"/>
      <c r="AD153" s="124"/>
      <c r="AE153" s="125"/>
      <c r="AF153" s="189"/>
      <c r="AG153" s="124"/>
      <c r="AH153" s="124"/>
      <c r="AI153" s="124"/>
      <c r="AJ153" s="125"/>
      <c r="AK153" s="189"/>
      <c r="AL153" s="124"/>
      <c r="AM153" s="124"/>
      <c r="AN153" s="124"/>
      <c r="AO153" s="125"/>
      <c r="AP153" s="189"/>
      <c r="AQ153" s="124"/>
      <c r="AR153" s="124"/>
      <c r="AS153" s="124"/>
      <c r="AT153" s="124"/>
      <c r="AU153" s="124"/>
      <c r="AV153" s="124"/>
      <c r="AW153" s="124"/>
      <c r="AX153" s="124"/>
      <c r="AY153" s="124"/>
      <c r="AZ153" s="124"/>
      <c r="BA153" s="124"/>
      <c r="BB153" s="124"/>
      <c r="BC153" s="124"/>
    </row>
    <row r="154">
      <c r="A154" s="125"/>
      <c r="B154" s="189"/>
      <c r="C154" s="124"/>
      <c r="D154" s="124"/>
      <c r="E154" s="124"/>
      <c r="F154" s="125"/>
      <c r="G154" s="189"/>
      <c r="H154" s="124"/>
      <c r="I154" s="124"/>
      <c r="J154" s="124"/>
      <c r="K154" s="102"/>
      <c r="L154" s="189"/>
      <c r="M154" s="124"/>
      <c r="N154" s="124"/>
      <c r="O154" s="124"/>
      <c r="P154" s="102"/>
      <c r="Q154" s="161"/>
      <c r="R154" s="124"/>
      <c r="S154" s="124"/>
      <c r="T154" s="124"/>
      <c r="U154" s="125"/>
      <c r="V154" s="189"/>
      <c r="W154" s="124"/>
      <c r="X154" s="124"/>
      <c r="Y154" s="124"/>
      <c r="Z154" s="125"/>
      <c r="AA154" s="189"/>
      <c r="AB154" s="124"/>
      <c r="AC154" s="124"/>
      <c r="AD154" s="124"/>
      <c r="AE154" s="125"/>
      <c r="AF154" s="189"/>
      <c r="AG154" s="124"/>
      <c r="AH154" s="124"/>
      <c r="AI154" s="124"/>
      <c r="AJ154" s="125"/>
      <c r="AK154" s="189"/>
      <c r="AL154" s="124"/>
      <c r="AM154" s="124"/>
      <c r="AN154" s="124"/>
      <c r="AO154" s="125"/>
      <c r="AP154" s="189"/>
      <c r="AQ154" s="124"/>
      <c r="AR154" s="124"/>
      <c r="AS154" s="124"/>
      <c r="AT154" s="124"/>
      <c r="AU154" s="124"/>
      <c r="AV154" s="124"/>
      <c r="AW154" s="124"/>
      <c r="AX154" s="124"/>
      <c r="AY154" s="124"/>
      <c r="AZ154" s="124"/>
      <c r="BA154" s="124"/>
      <c r="BB154" s="124"/>
      <c r="BC154" s="124"/>
    </row>
    <row r="155">
      <c r="A155" s="125"/>
      <c r="B155" s="189"/>
      <c r="C155" s="124"/>
      <c r="D155" s="124"/>
      <c r="E155" s="124"/>
      <c r="F155" s="125"/>
      <c r="G155" s="189"/>
      <c r="H155" s="124"/>
      <c r="I155" s="124"/>
      <c r="J155" s="124"/>
      <c r="K155" s="102"/>
      <c r="L155" s="189"/>
      <c r="M155" s="124"/>
      <c r="N155" s="124"/>
      <c r="O155" s="124"/>
      <c r="P155" s="102"/>
      <c r="Q155" s="161"/>
      <c r="R155" s="124"/>
      <c r="S155" s="124"/>
      <c r="T155" s="124"/>
      <c r="U155" s="125"/>
      <c r="V155" s="189"/>
      <c r="W155" s="124"/>
      <c r="X155" s="124"/>
      <c r="Y155" s="124"/>
      <c r="Z155" s="125"/>
      <c r="AA155" s="189"/>
      <c r="AB155" s="124"/>
      <c r="AC155" s="124"/>
      <c r="AD155" s="124"/>
      <c r="AE155" s="125"/>
      <c r="AF155" s="189"/>
      <c r="AG155" s="124"/>
      <c r="AH155" s="124"/>
      <c r="AI155" s="124"/>
      <c r="AJ155" s="125"/>
      <c r="AK155" s="189"/>
      <c r="AL155" s="124"/>
      <c r="AM155" s="124"/>
      <c r="AN155" s="124"/>
      <c r="AO155" s="125"/>
      <c r="AP155" s="189"/>
      <c r="AQ155" s="124"/>
      <c r="AR155" s="124"/>
      <c r="AS155" s="124"/>
      <c r="AT155" s="124"/>
      <c r="AU155" s="124"/>
      <c r="AV155" s="124"/>
      <c r="AW155" s="124"/>
      <c r="AX155" s="124"/>
      <c r="AY155" s="124"/>
      <c r="AZ155" s="124"/>
      <c r="BA155" s="124"/>
      <c r="BB155" s="124"/>
      <c r="BC155" s="124"/>
    </row>
    <row r="156">
      <c r="A156" s="125"/>
      <c r="B156" s="189"/>
      <c r="C156" s="124"/>
      <c r="D156" s="124"/>
      <c r="E156" s="124"/>
      <c r="F156" s="125"/>
      <c r="G156" s="189"/>
      <c r="H156" s="124"/>
      <c r="I156" s="124"/>
      <c r="J156" s="124"/>
      <c r="K156" s="102"/>
      <c r="L156" s="189"/>
      <c r="M156" s="124"/>
      <c r="N156" s="124"/>
      <c r="O156" s="124"/>
      <c r="P156" s="102"/>
      <c r="Q156" s="161"/>
      <c r="R156" s="124"/>
      <c r="S156" s="124"/>
      <c r="T156" s="124"/>
      <c r="U156" s="125"/>
      <c r="V156" s="189"/>
      <c r="W156" s="124"/>
      <c r="X156" s="124"/>
      <c r="Y156" s="124"/>
      <c r="Z156" s="125"/>
      <c r="AA156" s="189"/>
      <c r="AB156" s="124"/>
      <c r="AC156" s="124"/>
      <c r="AD156" s="124"/>
      <c r="AE156" s="125"/>
      <c r="AF156" s="189"/>
      <c r="AG156" s="124"/>
      <c r="AH156" s="124"/>
      <c r="AI156" s="124"/>
      <c r="AJ156" s="125"/>
      <c r="AK156" s="189"/>
      <c r="AL156" s="124"/>
      <c r="AM156" s="124"/>
      <c r="AN156" s="124"/>
      <c r="AO156" s="125"/>
      <c r="AP156" s="189"/>
      <c r="AQ156" s="124"/>
      <c r="AR156" s="124"/>
      <c r="AS156" s="124"/>
      <c r="AT156" s="124"/>
      <c r="AU156" s="124"/>
      <c r="AV156" s="124"/>
      <c r="AW156" s="124"/>
      <c r="AX156" s="124"/>
      <c r="AY156" s="124"/>
      <c r="AZ156" s="124"/>
      <c r="BA156" s="124"/>
      <c r="BB156" s="124"/>
      <c r="BC156" s="124"/>
    </row>
    <row r="157">
      <c r="A157" s="125"/>
      <c r="B157" s="189"/>
      <c r="C157" s="124"/>
      <c r="D157" s="124"/>
      <c r="E157" s="124"/>
      <c r="F157" s="125"/>
      <c r="G157" s="189"/>
      <c r="H157" s="124"/>
      <c r="I157" s="124"/>
      <c r="J157" s="124"/>
      <c r="K157" s="102"/>
      <c r="L157" s="189"/>
      <c r="M157" s="124"/>
      <c r="N157" s="124"/>
      <c r="O157" s="124"/>
      <c r="P157" s="102"/>
      <c r="Q157" s="161"/>
      <c r="R157" s="124"/>
      <c r="S157" s="124"/>
      <c r="T157" s="124"/>
      <c r="U157" s="125"/>
      <c r="V157" s="189"/>
      <c r="W157" s="124"/>
      <c r="X157" s="124"/>
      <c r="Y157" s="124"/>
      <c r="Z157" s="125"/>
      <c r="AA157" s="189"/>
      <c r="AB157" s="124"/>
      <c r="AC157" s="124"/>
      <c r="AD157" s="124"/>
      <c r="AE157" s="125"/>
      <c r="AF157" s="189"/>
      <c r="AG157" s="124"/>
      <c r="AH157" s="124"/>
      <c r="AI157" s="124"/>
      <c r="AJ157" s="125"/>
      <c r="AK157" s="189"/>
      <c r="AL157" s="124"/>
      <c r="AM157" s="124"/>
      <c r="AN157" s="124"/>
      <c r="AO157" s="125"/>
      <c r="AP157" s="189"/>
      <c r="AQ157" s="124"/>
      <c r="AR157" s="124"/>
      <c r="AS157" s="124"/>
      <c r="AT157" s="124"/>
      <c r="AU157" s="124"/>
      <c r="AV157" s="124"/>
      <c r="AW157" s="124"/>
      <c r="AX157" s="124"/>
      <c r="AY157" s="124"/>
      <c r="AZ157" s="124"/>
      <c r="BA157" s="124"/>
      <c r="BB157" s="124"/>
      <c r="BC157" s="124"/>
    </row>
    <row r="158">
      <c r="A158" s="125"/>
      <c r="B158" s="189"/>
      <c r="C158" s="124"/>
      <c r="D158" s="124"/>
      <c r="E158" s="124"/>
      <c r="F158" s="125"/>
      <c r="G158" s="189"/>
      <c r="H158" s="124"/>
      <c r="I158" s="124"/>
      <c r="J158" s="124"/>
      <c r="K158" s="102"/>
      <c r="L158" s="189"/>
      <c r="M158" s="124"/>
      <c r="N158" s="124"/>
      <c r="O158" s="124"/>
      <c r="P158" s="102"/>
      <c r="Q158" s="161"/>
      <c r="R158" s="124"/>
      <c r="S158" s="124"/>
      <c r="T158" s="124"/>
      <c r="U158" s="125"/>
      <c r="V158" s="189"/>
      <c r="W158" s="124"/>
      <c r="X158" s="124"/>
      <c r="Y158" s="124"/>
      <c r="Z158" s="125"/>
      <c r="AA158" s="189"/>
      <c r="AB158" s="124"/>
      <c r="AC158" s="124"/>
      <c r="AD158" s="124"/>
      <c r="AE158" s="125"/>
      <c r="AF158" s="189"/>
      <c r="AG158" s="124"/>
      <c r="AH158" s="124"/>
      <c r="AI158" s="124"/>
      <c r="AJ158" s="125"/>
      <c r="AK158" s="189"/>
      <c r="AL158" s="124"/>
      <c r="AM158" s="124"/>
      <c r="AN158" s="124"/>
      <c r="AO158" s="125"/>
      <c r="AP158" s="189"/>
      <c r="AQ158" s="124"/>
      <c r="AR158" s="124"/>
      <c r="AS158" s="124"/>
      <c r="AT158" s="124"/>
      <c r="AU158" s="124"/>
      <c r="AV158" s="124"/>
      <c r="AW158" s="124"/>
      <c r="AX158" s="124"/>
      <c r="AY158" s="124"/>
      <c r="AZ158" s="124"/>
      <c r="BA158" s="124"/>
      <c r="BB158" s="124"/>
      <c r="BC158" s="124"/>
    </row>
    <row r="159">
      <c r="A159" s="125"/>
      <c r="B159" s="189"/>
      <c r="C159" s="124"/>
      <c r="D159" s="124"/>
      <c r="E159" s="124"/>
      <c r="F159" s="125"/>
      <c r="G159" s="189"/>
      <c r="H159" s="124"/>
      <c r="I159" s="124"/>
      <c r="J159" s="124"/>
      <c r="K159" s="102"/>
      <c r="L159" s="189"/>
      <c r="M159" s="124"/>
      <c r="N159" s="124"/>
      <c r="O159" s="124"/>
      <c r="P159" s="102"/>
      <c r="Q159" s="161"/>
      <c r="R159" s="124"/>
      <c r="S159" s="124"/>
      <c r="T159" s="124"/>
      <c r="U159" s="125"/>
      <c r="V159" s="189"/>
      <c r="W159" s="124"/>
      <c r="X159" s="124"/>
      <c r="Y159" s="124"/>
      <c r="Z159" s="125"/>
      <c r="AA159" s="189"/>
      <c r="AB159" s="124"/>
      <c r="AC159" s="124"/>
      <c r="AD159" s="124"/>
      <c r="AE159" s="125"/>
      <c r="AF159" s="189"/>
      <c r="AG159" s="124"/>
      <c r="AH159" s="124"/>
      <c r="AI159" s="124"/>
      <c r="AJ159" s="125"/>
      <c r="AK159" s="189"/>
      <c r="AL159" s="124"/>
      <c r="AM159" s="124"/>
      <c r="AN159" s="124"/>
      <c r="AO159" s="125"/>
      <c r="AP159" s="189"/>
      <c r="AQ159" s="124"/>
      <c r="AR159" s="124"/>
      <c r="AS159" s="124"/>
      <c r="AT159" s="124"/>
      <c r="AU159" s="124"/>
      <c r="AV159" s="124"/>
      <c r="AW159" s="124"/>
      <c r="AX159" s="124"/>
      <c r="AY159" s="124"/>
      <c r="AZ159" s="124"/>
      <c r="BA159" s="124"/>
      <c r="BB159" s="124"/>
      <c r="BC159" s="124"/>
    </row>
    <row r="160">
      <c r="A160" s="125"/>
      <c r="B160" s="189"/>
      <c r="C160" s="124"/>
      <c r="D160" s="124"/>
      <c r="E160" s="124"/>
      <c r="F160" s="125"/>
      <c r="G160" s="189"/>
      <c r="H160" s="124"/>
      <c r="I160" s="124"/>
      <c r="J160" s="124"/>
      <c r="K160" s="102"/>
      <c r="L160" s="189"/>
      <c r="M160" s="124"/>
      <c r="N160" s="124"/>
      <c r="O160" s="124"/>
      <c r="P160" s="102"/>
      <c r="Q160" s="161"/>
      <c r="R160" s="124"/>
      <c r="S160" s="124"/>
      <c r="T160" s="124"/>
      <c r="U160" s="125"/>
      <c r="V160" s="189"/>
      <c r="W160" s="124"/>
      <c r="X160" s="124"/>
      <c r="Y160" s="124"/>
      <c r="Z160" s="125"/>
      <c r="AA160" s="189"/>
      <c r="AB160" s="124"/>
      <c r="AC160" s="124"/>
      <c r="AD160" s="124"/>
      <c r="AE160" s="125"/>
      <c r="AF160" s="189"/>
      <c r="AG160" s="124"/>
      <c r="AH160" s="124"/>
      <c r="AI160" s="124"/>
      <c r="AJ160" s="125"/>
      <c r="AK160" s="189"/>
      <c r="AL160" s="124"/>
      <c r="AM160" s="124"/>
      <c r="AN160" s="124"/>
      <c r="AO160" s="125"/>
      <c r="AP160" s="189"/>
      <c r="AQ160" s="124"/>
      <c r="AR160" s="124"/>
      <c r="AS160" s="124"/>
      <c r="AT160" s="124"/>
      <c r="AU160" s="124"/>
      <c r="AV160" s="124"/>
      <c r="AW160" s="124"/>
      <c r="AX160" s="124"/>
      <c r="AY160" s="124"/>
      <c r="AZ160" s="124"/>
      <c r="BA160" s="124"/>
      <c r="BB160" s="124"/>
      <c r="BC160" s="124"/>
    </row>
    <row r="161">
      <c r="A161" s="125"/>
      <c r="B161" s="189"/>
      <c r="C161" s="124"/>
      <c r="D161" s="124"/>
      <c r="E161" s="124"/>
      <c r="F161" s="125"/>
      <c r="G161" s="189"/>
      <c r="H161" s="124"/>
      <c r="I161" s="124"/>
      <c r="J161" s="124"/>
      <c r="K161" s="102"/>
      <c r="L161" s="189"/>
      <c r="M161" s="124"/>
      <c r="N161" s="124"/>
      <c r="O161" s="124"/>
      <c r="P161" s="102"/>
      <c r="Q161" s="161"/>
      <c r="R161" s="124"/>
      <c r="S161" s="124"/>
      <c r="T161" s="124"/>
      <c r="U161" s="125"/>
      <c r="V161" s="189"/>
      <c r="W161" s="124"/>
      <c r="X161" s="124"/>
      <c r="Y161" s="124"/>
      <c r="Z161" s="125"/>
      <c r="AA161" s="189"/>
      <c r="AB161" s="124"/>
      <c r="AC161" s="124"/>
      <c r="AD161" s="124"/>
      <c r="AE161" s="125"/>
      <c r="AF161" s="189"/>
      <c r="AG161" s="124"/>
      <c r="AH161" s="124"/>
      <c r="AI161" s="124"/>
      <c r="AJ161" s="125"/>
      <c r="AK161" s="189"/>
      <c r="AL161" s="124"/>
      <c r="AM161" s="124"/>
      <c r="AN161" s="124"/>
      <c r="AO161" s="125"/>
      <c r="AP161" s="189"/>
      <c r="AQ161" s="124"/>
      <c r="AR161" s="124"/>
      <c r="AS161" s="124"/>
      <c r="AT161" s="124"/>
      <c r="AU161" s="124"/>
      <c r="AV161" s="124"/>
      <c r="AW161" s="124"/>
      <c r="AX161" s="124"/>
      <c r="AY161" s="124"/>
      <c r="AZ161" s="124"/>
      <c r="BA161" s="124"/>
      <c r="BB161" s="124"/>
      <c r="BC161" s="124"/>
    </row>
    <row r="162">
      <c r="A162" s="125"/>
      <c r="B162" s="189"/>
      <c r="C162" s="124"/>
      <c r="D162" s="124"/>
      <c r="E162" s="124"/>
      <c r="F162" s="125"/>
      <c r="G162" s="189"/>
      <c r="H162" s="124"/>
      <c r="I162" s="124"/>
      <c r="J162" s="124"/>
      <c r="K162" s="102"/>
      <c r="L162" s="189"/>
      <c r="M162" s="124"/>
      <c r="N162" s="124"/>
      <c r="O162" s="124"/>
      <c r="P162" s="102"/>
      <c r="Q162" s="161"/>
      <c r="R162" s="124"/>
      <c r="S162" s="124"/>
      <c r="T162" s="124"/>
      <c r="U162" s="125"/>
      <c r="V162" s="189"/>
      <c r="W162" s="124"/>
      <c r="X162" s="124"/>
      <c r="Y162" s="124"/>
      <c r="Z162" s="125"/>
      <c r="AA162" s="189"/>
      <c r="AB162" s="124"/>
      <c r="AC162" s="124"/>
      <c r="AD162" s="124"/>
      <c r="AE162" s="125"/>
      <c r="AF162" s="189"/>
      <c r="AG162" s="124"/>
      <c r="AH162" s="124"/>
      <c r="AI162" s="124"/>
      <c r="AJ162" s="125"/>
      <c r="AK162" s="189"/>
      <c r="AL162" s="124"/>
      <c r="AM162" s="124"/>
      <c r="AN162" s="124"/>
      <c r="AO162" s="125"/>
      <c r="AP162" s="189"/>
      <c r="AQ162" s="124"/>
      <c r="AR162" s="124"/>
      <c r="AS162" s="124"/>
      <c r="AT162" s="124"/>
      <c r="AU162" s="124"/>
      <c r="AV162" s="124"/>
      <c r="AW162" s="124"/>
      <c r="AX162" s="124"/>
      <c r="AY162" s="124"/>
      <c r="AZ162" s="124"/>
      <c r="BA162" s="124"/>
      <c r="BB162" s="124"/>
      <c r="BC162" s="124"/>
    </row>
    <row r="163">
      <c r="A163" s="125"/>
      <c r="B163" s="189"/>
      <c r="C163" s="124"/>
      <c r="D163" s="124"/>
      <c r="E163" s="124"/>
      <c r="F163" s="125"/>
      <c r="G163" s="189"/>
      <c r="H163" s="124"/>
      <c r="I163" s="124"/>
      <c r="J163" s="124"/>
      <c r="K163" s="102"/>
      <c r="L163" s="189"/>
      <c r="M163" s="124"/>
      <c r="N163" s="124"/>
      <c r="O163" s="124"/>
      <c r="P163" s="102"/>
      <c r="Q163" s="161"/>
      <c r="R163" s="124"/>
      <c r="S163" s="124"/>
      <c r="T163" s="124"/>
      <c r="U163" s="125"/>
      <c r="V163" s="189"/>
      <c r="W163" s="124"/>
      <c r="X163" s="124"/>
      <c r="Y163" s="124"/>
      <c r="Z163" s="125"/>
      <c r="AA163" s="189"/>
      <c r="AB163" s="124"/>
      <c r="AC163" s="124"/>
      <c r="AD163" s="124"/>
      <c r="AE163" s="125"/>
      <c r="AF163" s="189"/>
      <c r="AG163" s="124"/>
      <c r="AH163" s="124"/>
      <c r="AI163" s="124"/>
      <c r="AJ163" s="125"/>
      <c r="AK163" s="189"/>
      <c r="AL163" s="124"/>
      <c r="AM163" s="124"/>
      <c r="AN163" s="124"/>
      <c r="AO163" s="125"/>
      <c r="AP163" s="189"/>
      <c r="AQ163" s="124"/>
      <c r="AR163" s="124"/>
      <c r="AS163" s="124"/>
      <c r="AT163" s="124"/>
      <c r="AU163" s="124"/>
      <c r="AV163" s="124"/>
      <c r="AW163" s="124"/>
      <c r="AX163" s="124"/>
      <c r="AY163" s="124"/>
      <c r="AZ163" s="124"/>
      <c r="BA163" s="124"/>
      <c r="BB163" s="124"/>
      <c r="BC163" s="124"/>
    </row>
    <row r="164">
      <c r="A164" s="125"/>
      <c r="B164" s="189"/>
      <c r="C164" s="124"/>
      <c r="D164" s="124"/>
      <c r="E164" s="124"/>
      <c r="F164" s="125"/>
      <c r="G164" s="189"/>
      <c r="H164" s="124"/>
      <c r="I164" s="124"/>
      <c r="J164" s="124"/>
      <c r="K164" s="102"/>
      <c r="L164" s="189"/>
      <c r="M164" s="124"/>
      <c r="N164" s="124"/>
      <c r="O164" s="124"/>
      <c r="P164" s="102"/>
      <c r="Q164" s="161"/>
      <c r="R164" s="124"/>
      <c r="S164" s="124"/>
      <c r="T164" s="124"/>
      <c r="U164" s="125"/>
      <c r="V164" s="189"/>
      <c r="W164" s="124"/>
      <c r="X164" s="124"/>
      <c r="Y164" s="124"/>
      <c r="Z164" s="125"/>
      <c r="AA164" s="189"/>
      <c r="AB164" s="124"/>
      <c r="AC164" s="124"/>
      <c r="AD164" s="124"/>
      <c r="AE164" s="125"/>
      <c r="AF164" s="189"/>
      <c r="AG164" s="124"/>
      <c r="AH164" s="124"/>
      <c r="AI164" s="124"/>
      <c r="AJ164" s="125"/>
      <c r="AK164" s="189"/>
      <c r="AL164" s="124"/>
      <c r="AM164" s="124"/>
      <c r="AN164" s="124"/>
      <c r="AO164" s="125"/>
      <c r="AP164" s="189"/>
      <c r="AQ164" s="124"/>
      <c r="AR164" s="124"/>
      <c r="AS164" s="124"/>
      <c r="AT164" s="124"/>
      <c r="AU164" s="124"/>
      <c r="AV164" s="124"/>
      <c r="AW164" s="124"/>
      <c r="AX164" s="124"/>
      <c r="AY164" s="124"/>
      <c r="AZ164" s="124"/>
      <c r="BA164" s="124"/>
      <c r="BB164" s="124"/>
      <c r="BC164" s="124"/>
    </row>
    <row r="165">
      <c r="A165" s="125"/>
      <c r="B165" s="189"/>
      <c r="C165" s="124"/>
      <c r="D165" s="124"/>
      <c r="E165" s="124"/>
      <c r="F165" s="125"/>
      <c r="G165" s="189"/>
      <c r="H165" s="124"/>
      <c r="I165" s="124"/>
      <c r="J165" s="124"/>
      <c r="K165" s="102"/>
      <c r="L165" s="189"/>
      <c r="M165" s="124"/>
      <c r="N165" s="124"/>
      <c r="O165" s="124"/>
      <c r="P165" s="102"/>
      <c r="Q165" s="161"/>
      <c r="R165" s="124"/>
      <c r="S165" s="124"/>
      <c r="T165" s="124"/>
      <c r="U165" s="125"/>
      <c r="V165" s="189"/>
      <c r="W165" s="124"/>
      <c r="X165" s="124"/>
      <c r="Y165" s="124"/>
      <c r="Z165" s="125"/>
      <c r="AA165" s="189"/>
      <c r="AB165" s="124"/>
      <c r="AC165" s="124"/>
      <c r="AD165" s="124"/>
      <c r="AE165" s="125"/>
      <c r="AF165" s="189"/>
      <c r="AG165" s="124"/>
      <c r="AH165" s="124"/>
      <c r="AI165" s="124"/>
      <c r="AJ165" s="125"/>
      <c r="AK165" s="189"/>
      <c r="AL165" s="124"/>
      <c r="AM165" s="124"/>
      <c r="AN165" s="124"/>
      <c r="AO165" s="125"/>
      <c r="AP165" s="189"/>
      <c r="AQ165" s="124"/>
      <c r="AR165" s="124"/>
      <c r="AS165" s="124"/>
      <c r="AT165" s="124"/>
      <c r="AU165" s="124"/>
      <c r="AV165" s="124"/>
      <c r="AW165" s="124"/>
      <c r="AX165" s="124"/>
      <c r="AY165" s="124"/>
      <c r="AZ165" s="124"/>
      <c r="BA165" s="124"/>
      <c r="BB165" s="124"/>
      <c r="BC165" s="124"/>
    </row>
    <row r="166">
      <c r="A166" s="125"/>
      <c r="B166" s="189"/>
      <c r="C166" s="124"/>
      <c r="D166" s="124"/>
      <c r="E166" s="124"/>
      <c r="F166" s="125"/>
      <c r="G166" s="189"/>
      <c r="H166" s="124"/>
      <c r="I166" s="124"/>
      <c r="J166" s="124"/>
      <c r="K166" s="102"/>
      <c r="L166" s="189"/>
      <c r="M166" s="124"/>
      <c r="N166" s="124"/>
      <c r="O166" s="124"/>
      <c r="P166" s="102"/>
      <c r="Q166" s="161"/>
      <c r="R166" s="124"/>
      <c r="S166" s="124"/>
      <c r="T166" s="124"/>
      <c r="U166" s="125"/>
      <c r="V166" s="189"/>
      <c r="W166" s="124"/>
      <c r="X166" s="124"/>
      <c r="Y166" s="124"/>
      <c r="Z166" s="125"/>
      <c r="AA166" s="189"/>
      <c r="AB166" s="124"/>
      <c r="AC166" s="124"/>
      <c r="AD166" s="124"/>
      <c r="AE166" s="125"/>
      <c r="AF166" s="189"/>
      <c r="AG166" s="124"/>
      <c r="AH166" s="124"/>
      <c r="AI166" s="124"/>
      <c r="AJ166" s="125"/>
      <c r="AK166" s="189"/>
      <c r="AL166" s="124"/>
      <c r="AM166" s="124"/>
      <c r="AN166" s="124"/>
      <c r="AO166" s="125"/>
      <c r="AP166" s="189"/>
      <c r="AQ166" s="124"/>
      <c r="AR166" s="124"/>
      <c r="AS166" s="124"/>
      <c r="AT166" s="124"/>
      <c r="AU166" s="124"/>
      <c r="AV166" s="124"/>
      <c r="AW166" s="124"/>
      <c r="AX166" s="124"/>
      <c r="AY166" s="124"/>
      <c r="AZ166" s="124"/>
      <c r="BA166" s="124"/>
      <c r="BB166" s="124"/>
      <c r="BC166" s="124"/>
    </row>
    <row r="167">
      <c r="A167" s="125"/>
      <c r="B167" s="189"/>
      <c r="C167" s="124"/>
      <c r="D167" s="124"/>
      <c r="E167" s="124"/>
      <c r="F167" s="125"/>
      <c r="G167" s="189"/>
      <c r="H167" s="124"/>
      <c r="I167" s="124"/>
      <c r="J167" s="124"/>
      <c r="K167" s="102"/>
      <c r="L167" s="189"/>
      <c r="M167" s="124"/>
      <c r="N167" s="124"/>
      <c r="O167" s="124"/>
      <c r="P167" s="102"/>
      <c r="Q167" s="161"/>
      <c r="R167" s="124"/>
      <c r="S167" s="124"/>
      <c r="T167" s="124"/>
      <c r="U167" s="125"/>
      <c r="V167" s="189"/>
      <c r="W167" s="124"/>
      <c r="X167" s="124"/>
      <c r="Y167" s="124"/>
      <c r="Z167" s="125"/>
      <c r="AA167" s="189"/>
      <c r="AB167" s="124"/>
      <c r="AC167" s="124"/>
      <c r="AD167" s="124"/>
      <c r="AE167" s="125"/>
      <c r="AF167" s="189"/>
      <c r="AG167" s="124"/>
      <c r="AH167" s="124"/>
      <c r="AI167" s="124"/>
      <c r="AJ167" s="125"/>
      <c r="AK167" s="189"/>
      <c r="AL167" s="124"/>
      <c r="AM167" s="124"/>
      <c r="AN167" s="124"/>
      <c r="AO167" s="125"/>
      <c r="AP167" s="189"/>
      <c r="AQ167" s="124"/>
      <c r="AR167" s="124"/>
      <c r="AS167" s="124"/>
      <c r="AT167" s="124"/>
      <c r="AU167" s="124"/>
      <c r="AV167" s="124"/>
      <c r="AW167" s="124"/>
      <c r="AX167" s="124"/>
      <c r="AY167" s="124"/>
      <c r="AZ167" s="124"/>
      <c r="BA167" s="124"/>
      <c r="BB167" s="124"/>
      <c r="BC167" s="124"/>
    </row>
    <row r="168">
      <c r="A168" s="125"/>
      <c r="B168" s="189"/>
      <c r="C168" s="124"/>
      <c r="D168" s="124"/>
      <c r="E168" s="124"/>
      <c r="F168" s="125"/>
      <c r="G168" s="189"/>
      <c r="H168" s="124"/>
      <c r="I168" s="124"/>
      <c r="J168" s="124"/>
      <c r="K168" s="102"/>
      <c r="L168" s="189"/>
      <c r="M168" s="124"/>
      <c r="N168" s="124"/>
      <c r="O168" s="124"/>
      <c r="P168" s="102"/>
      <c r="Q168" s="161"/>
      <c r="R168" s="124"/>
      <c r="S168" s="124"/>
      <c r="T168" s="124"/>
      <c r="U168" s="125"/>
      <c r="V168" s="189"/>
      <c r="W168" s="124"/>
      <c r="X168" s="124"/>
      <c r="Y168" s="124"/>
      <c r="Z168" s="125"/>
      <c r="AA168" s="189"/>
      <c r="AB168" s="124"/>
      <c r="AC168" s="124"/>
      <c r="AD168" s="124"/>
      <c r="AE168" s="125"/>
      <c r="AF168" s="189"/>
      <c r="AG168" s="124"/>
      <c r="AH168" s="124"/>
      <c r="AI168" s="124"/>
      <c r="AJ168" s="125"/>
      <c r="AK168" s="189"/>
      <c r="AL168" s="124"/>
      <c r="AM168" s="124"/>
      <c r="AN168" s="124"/>
      <c r="AO168" s="125"/>
      <c r="AP168" s="189"/>
      <c r="AQ168" s="124"/>
      <c r="AR168" s="124"/>
      <c r="AS168" s="124"/>
      <c r="AT168" s="124"/>
      <c r="AU168" s="124"/>
      <c r="AV168" s="124"/>
      <c r="AW168" s="124"/>
      <c r="AX168" s="124"/>
      <c r="AY168" s="124"/>
      <c r="AZ168" s="124"/>
      <c r="BA168" s="124"/>
      <c r="BB168" s="124"/>
      <c r="BC168" s="124"/>
    </row>
    <row r="169">
      <c r="A169" s="125"/>
      <c r="B169" s="189"/>
      <c r="C169" s="124"/>
      <c r="D169" s="124"/>
      <c r="E169" s="124"/>
      <c r="F169" s="125"/>
      <c r="G169" s="189"/>
      <c r="H169" s="124"/>
      <c r="I169" s="124"/>
      <c r="J169" s="124"/>
      <c r="K169" s="102"/>
      <c r="L169" s="189"/>
      <c r="M169" s="124"/>
      <c r="N169" s="124"/>
      <c r="O169" s="124"/>
      <c r="P169" s="102"/>
      <c r="Q169" s="161"/>
      <c r="R169" s="124"/>
      <c r="S169" s="124"/>
      <c r="T169" s="124"/>
      <c r="U169" s="125"/>
      <c r="V169" s="189"/>
      <c r="W169" s="124"/>
      <c r="X169" s="124"/>
      <c r="Y169" s="124"/>
      <c r="Z169" s="125"/>
      <c r="AA169" s="189"/>
      <c r="AB169" s="124"/>
      <c r="AC169" s="124"/>
      <c r="AD169" s="124"/>
      <c r="AE169" s="125"/>
      <c r="AF169" s="189"/>
      <c r="AG169" s="124"/>
      <c r="AH169" s="124"/>
      <c r="AI169" s="124"/>
      <c r="AJ169" s="125"/>
      <c r="AK169" s="189"/>
      <c r="AL169" s="124"/>
      <c r="AM169" s="124"/>
      <c r="AN169" s="124"/>
      <c r="AO169" s="125"/>
      <c r="AP169" s="189"/>
      <c r="AQ169" s="124"/>
      <c r="AR169" s="124"/>
      <c r="AS169" s="124"/>
      <c r="AT169" s="124"/>
      <c r="AU169" s="124"/>
      <c r="AV169" s="124"/>
      <c r="AW169" s="124"/>
      <c r="AX169" s="124"/>
      <c r="AY169" s="124"/>
      <c r="AZ169" s="124"/>
      <c r="BA169" s="124"/>
      <c r="BB169" s="124"/>
      <c r="BC169" s="124"/>
    </row>
    <row r="170">
      <c r="A170" s="125"/>
      <c r="B170" s="189"/>
      <c r="C170" s="124"/>
      <c r="D170" s="124"/>
      <c r="E170" s="124"/>
      <c r="F170" s="125"/>
      <c r="G170" s="189"/>
      <c r="H170" s="124"/>
      <c r="I170" s="124"/>
      <c r="J170" s="124"/>
      <c r="K170" s="102"/>
      <c r="L170" s="189"/>
      <c r="M170" s="124"/>
      <c r="N170" s="124"/>
      <c r="O170" s="124"/>
      <c r="P170" s="102"/>
      <c r="Q170" s="161"/>
      <c r="R170" s="124"/>
      <c r="S170" s="124"/>
      <c r="T170" s="124"/>
      <c r="U170" s="125"/>
      <c r="V170" s="189"/>
      <c r="W170" s="124"/>
      <c r="X170" s="124"/>
      <c r="Y170" s="124"/>
      <c r="Z170" s="125"/>
      <c r="AA170" s="189"/>
      <c r="AB170" s="124"/>
      <c r="AC170" s="124"/>
      <c r="AD170" s="124"/>
      <c r="AE170" s="125"/>
      <c r="AF170" s="189"/>
      <c r="AG170" s="124"/>
      <c r="AH170" s="124"/>
      <c r="AI170" s="124"/>
      <c r="AJ170" s="125"/>
      <c r="AK170" s="189"/>
      <c r="AL170" s="124"/>
      <c r="AM170" s="124"/>
      <c r="AN170" s="124"/>
      <c r="AO170" s="125"/>
      <c r="AP170" s="189"/>
      <c r="AQ170" s="124"/>
      <c r="AR170" s="124"/>
      <c r="AS170" s="124"/>
      <c r="AT170" s="124"/>
      <c r="AU170" s="124"/>
      <c r="AV170" s="124"/>
      <c r="AW170" s="124"/>
      <c r="AX170" s="124"/>
      <c r="AY170" s="124"/>
      <c r="AZ170" s="124"/>
      <c r="BA170" s="124"/>
      <c r="BB170" s="124"/>
      <c r="BC170" s="124"/>
    </row>
    <row r="171">
      <c r="A171" s="125"/>
      <c r="B171" s="189"/>
      <c r="C171" s="124"/>
      <c r="D171" s="124"/>
      <c r="E171" s="124"/>
      <c r="F171" s="125"/>
      <c r="G171" s="189"/>
      <c r="H171" s="124"/>
      <c r="I171" s="124"/>
      <c r="J171" s="124"/>
      <c r="K171" s="102"/>
      <c r="L171" s="189"/>
      <c r="M171" s="124"/>
      <c r="N171" s="124"/>
      <c r="O171" s="124"/>
      <c r="P171" s="102"/>
      <c r="Q171" s="161"/>
      <c r="R171" s="124"/>
      <c r="S171" s="124"/>
      <c r="T171" s="124"/>
      <c r="U171" s="125"/>
      <c r="V171" s="189"/>
      <c r="W171" s="124"/>
      <c r="X171" s="124"/>
      <c r="Y171" s="124"/>
      <c r="Z171" s="125"/>
      <c r="AA171" s="189"/>
      <c r="AB171" s="124"/>
      <c r="AC171" s="124"/>
      <c r="AD171" s="124"/>
      <c r="AE171" s="125"/>
      <c r="AF171" s="189"/>
      <c r="AG171" s="124"/>
      <c r="AH171" s="124"/>
      <c r="AI171" s="124"/>
      <c r="AJ171" s="125"/>
      <c r="AK171" s="189"/>
      <c r="AL171" s="124"/>
      <c r="AM171" s="124"/>
      <c r="AN171" s="124"/>
      <c r="AO171" s="125"/>
      <c r="AP171" s="189"/>
      <c r="AQ171" s="124"/>
      <c r="AR171" s="124"/>
      <c r="AS171" s="124"/>
      <c r="AT171" s="124"/>
      <c r="AU171" s="124"/>
      <c r="AV171" s="124"/>
      <c r="AW171" s="124"/>
      <c r="AX171" s="124"/>
      <c r="AY171" s="124"/>
      <c r="AZ171" s="124"/>
      <c r="BA171" s="124"/>
      <c r="BB171" s="124"/>
      <c r="BC171" s="124"/>
    </row>
    <row r="172">
      <c r="A172" s="125"/>
      <c r="B172" s="189"/>
      <c r="C172" s="124"/>
      <c r="D172" s="124"/>
      <c r="E172" s="124"/>
      <c r="F172" s="125"/>
      <c r="G172" s="189"/>
      <c r="H172" s="124"/>
      <c r="I172" s="124"/>
      <c r="J172" s="124"/>
      <c r="K172" s="102"/>
      <c r="L172" s="189"/>
      <c r="M172" s="124"/>
      <c r="N172" s="124"/>
      <c r="O172" s="124"/>
      <c r="P172" s="102"/>
      <c r="Q172" s="161"/>
      <c r="R172" s="124"/>
      <c r="S172" s="124"/>
      <c r="T172" s="124"/>
      <c r="U172" s="125"/>
      <c r="V172" s="189"/>
      <c r="W172" s="124"/>
      <c r="X172" s="124"/>
      <c r="Y172" s="124"/>
      <c r="Z172" s="125"/>
      <c r="AA172" s="189"/>
      <c r="AB172" s="124"/>
      <c r="AC172" s="124"/>
      <c r="AD172" s="124"/>
      <c r="AE172" s="125"/>
      <c r="AF172" s="189"/>
      <c r="AG172" s="124"/>
      <c r="AH172" s="124"/>
      <c r="AI172" s="124"/>
      <c r="AJ172" s="125"/>
      <c r="AK172" s="189"/>
      <c r="AL172" s="124"/>
      <c r="AM172" s="124"/>
      <c r="AN172" s="124"/>
      <c r="AO172" s="125"/>
      <c r="AP172" s="189"/>
      <c r="AQ172" s="124"/>
      <c r="AR172" s="124"/>
      <c r="AS172" s="124"/>
      <c r="AT172" s="124"/>
      <c r="AU172" s="124"/>
      <c r="AV172" s="124"/>
      <c r="AW172" s="124"/>
      <c r="AX172" s="124"/>
      <c r="AY172" s="124"/>
      <c r="AZ172" s="124"/>
      <c r="BA172" s="124"/>
      <c r="BB172" s="124"/>
      <c r="BC172" s="124"/>
    </row>
    <row r="173">
      <c r="A173" s="125"/>
      <c r="B173" s="189"/>
      <c r="C173" s="124"/>
      <c r="D173" s="124"/>
      <c r="E173" s="124"/>
      <c r="F173" s="125"/>
      <c r="G173" s="189"/>
      <c r="H173" s="124"/>
      <c r="I173" s="124"/>
      <c r="J173" s="124"/>
      <c r="K173" s="102"/>
      <c r="L173" s="189"/>
      <c r="M173" s="124"/>
      <c r="N173" s="124"/>
      <c r="O173" s="124"/>
      <c r="P173" s="102"/>
      <c r="Q173" s="161"/>
      <c r="R173" s="124"/>
      <c r="S173" s="124"/>
      <c r="T173" s="124"/>
      <c r="U173" s="125"/>
      <c r="V173" s="189"/>
      <c r="W173" s="124"/>
      <c r="X173" s="124"/>
      <c r="Y173" s="124"/>
      <c r="Z173" s="125"/>
      <c r="AA173" s="189"/>
      <c r="AB173" s="124"/>
      <c r="AC173" s="124"/>
      <c r="AD173" s="124"/>
      <c r="AE173" s="125"/>
      <c r="AF173" s="189"/>
      <c r="AG173" s="124"/>
      <c r="AH173" s="124"/>
      <c r="AI173" s="124"/>
      <c r="AJ173" s="125"/>
      <c r="AK173" s="189"/>
      <c r="AL173" s="124"/>
      <c r="AM173" s="124"/>
      <c r="AN173" s="124"/>
      <c r="AO173" s="125"/>
      <c r="AP173" s="189"/>
      <c r="AQ173" s="124"/>
      <c r="AR173" s="124"/>
      <c r="AS173" s="124"/>
      <c r="AT173" s="124"/>
      <c r="AU173" s="124"/>
      <c r="AV173" s="124"/>
      <c r="AW173" s="124"/>
      <c r="AX173" s="124"/>
      <c r="AY173" s="124"/>
      <c r="AZ173" s="124"/>
      <c r="BA173" s="124"/>
      <c r="BB173" s="124"/>
      <c r="BC173" s="124"/>
    </row>
    <row r="174">
      <c r="A174" s="125"/>
      <c r="B174" s="189"/>
      <c r="C174" s="124"/>
      <c r="D174" s="124"/>
      <c r="E174" s="124"/>
      <c r="F174" s="125"/>
      <c r="G174" s="189"/>
      <c r="H174" s="124"/>
      <c r="I174" s="124"/>
      <c r="J174" s="124"/>
      <c r="K174" s="102"/>
      <c r="L174" s="189"/>
      <c r="M174" s="124"/>
      <c r="N174" s="124"/>
      <c r="O174" s="124"/>
      <c r="P174" s="102"/>
      <c r="Q174" s="161"/>
      <c r="R174" s="124"/>
      <c r="S174" s="124"/>
      <c r="T174" s="124"/>
      <c r="U174" s="125"/>
      <c r="V174" s="189"/>
      <c r="W174" s="124"/>
      <c r="X174" s="124"/>
      <c r="Y174" s="124"/>
      <c r="Z174" s="125"/>
      <c r="AA174" s="189"/>
      <c r="AB174" s="124"/>
      <c r="AC174" s="124"/>
      <c r="AD174" s="124"/>
      <c r="AE174" s="125"/>
      <c r="AF174" s="189"/>
      <c r="AG174" s="124"/>
      <c r="AH174" s="124"/>
      <c r="AI174" s="124"/>
      <c r="AJ174" s="125"/>
      <c r="AK174" s="189"/>
      <c r="AL174" s="124"/>
      <c r="AM174" s="124"/>
      <c r="AN174" s="124"/>
      <c r="AO174" s="125"/>
      <c r="AP174" s="189"/>
      <c r="AQ174" s="124"/>
      <c r="AR174" s="124"/>
      <c r="AS174" s="124"/>
      <c r="AT174" s="124"/>
      <c r="AU174" s="124"/>
      <c r="AV174" s="124"/>
      <c r="AW174" s="124"/>
      <c r="AX174" s="124"/>
      <c r="AY174" s="124"/>
      <c r="AZ174" s="124"/>
      <c r="BA174" s="124"/>
      <c r="BB174" s="124"/>
      <c r="BC174" s="124"/>
    </row>
    <row r="175">
      <c r="A175" s="125"/>
      <c r="B175" s="189"/>
      <c r="C175" s="124"/>
      <c r="D175" s="124"/>
      <c r="E175" s="124"/>
      <c r="F175" s="125"/>
      <c r="G175" s="189"/>
      <c r="H175" s="124"/>
      <c r="I175" s="124"/>
      <c r="J175" s="124"/>
      <c r="K175" s="102"/>
      <c r="L175" s="189"/>
      <c r="M175" s="124"/>
      <c r="N175" s="124"/>
      <c r="O175" s="124"/>
      <c r="P175" s="102"/>
      <c r="Q175" s="161"/>
      <c r="R175" s="124"/>
      <c r="S175" s="124"/>
      <c r="T175" s="124"/>
      <c r="U175" s="125"/>
      <c r="V175" s="189"/>
      <c r="W175" s="124"/>
      <c r="X175" s="124"/>
      <c r="Y175" s="124"/>
      <c r="Z175" s="125"/>
      <c r="AA175" s="189"/>
      <c r="AB175" s="124"/>
      <c r="AC175" s="124"/>
      <c r="AD175" s="124"/>
      <c r="AE175" s="125"/>
      <c r="AF175" s="189"/>
      <c r="AG175" s="124"/>
      <c r="AH175" s="124"/>
      <c r="AI175" s="124"/>
      <c r="AJ175" s="125"/>
      <c r="AK175" s="189"/>
      <c r="AL175" s="124"/>
      <c r="AM175" s="124"/>
      <c r="AN175" s="124"/>
      <c r="AO175" s="125"/>
      <c r="AP175" s="189"/>
      <c r="AQ175" s="124"/>
      <c r="AR175" s="124"/>
      <c r="AS175" s="124"/>
      <c r="AT175" s="124"/>
      <c r="AU175" s="124"/>
      <c r="AV175" s="124"/>
      <c r="AW175" s="124"/>
      <c r="AX175" s="124"/>
      <c r="AY175" s="124"/>
      <c r="AZ175" s="124"/>
      <c r="BA175" s="124"/>
      <c r="BB175" s="124"/>
      <c r="BC175" s="124"/>
    </row>
    <row r="176">
      <c r="A176" s="125"/>
      <c r="B176" s="189"/>
      <c r="C176" s="124"/>
      <c r="D176" s="124"/>
      <c r="E176" s="124"/>
      <c r="F176" s="125"/>
      <c r="G176" s="189"/>
      <c r="H176" s="124"/>
      <c r="I176" s="124"/>
      <c r="J176" s="124"/>
      <c r="K176" s="102"/>
      <c r="L176" s="189"/>
      <c r="M176" s="124"/>
      <c r="N176" s="124"/>
      <c r="O176" s="124"/>
      <c r="P176" s="102"/>
      <c r="Q176" s="161"/>
      <c r="R176" s="124"/>
      <c r="S176" s="124"/>
      <c r="T176" s="124"/>
      <c r="U176" s="125"/>
      <c r="V176" s="189"/>
      <c r="W176" s="124"/>
      <c r="X176" s="124"/>
      <c r="Y176" s="124"/>
      <c r="Z176" s="125"/>
      <c r="AA176" s="189"/>
      <c r="AB176" s="124"/>
      <c r="AC176" s="124"/>
      <c r="AD176" s="124"/>
      <c r="AE176" s="125"/>
      <c r="AF176" s="189"/>
      <c r="AG176" s="124"/>
      <c r="AH176" s="124"/>
      <c r="AI176" s="124"/>
      <c r="AJ176" s="125"/>
      <c r="AK176" s="189"/>
      <c r="AL176" s="124"/>
      <c r="AM176" s="124"/>
      <c r="AN176" s="124"/>
      <c r="AO176" s="125"/>
      <c r="AP176" s="189"/>
      <c r="AQ176" s="124"/>
      <c r="AR176" s="124"/>
      <c r="AS176" s="124"/>
      <c r="AT176" s="124"/>
      <c r="AU176" s="124"/>
      <c r="AV176" s="124"/>
      <c r="AW176" s="124"/>
      <c r="AX176" s="124"/>
      <c r="AY176" s="124"/>
      <c r="AZ176" s="124"/>
      <c r="BA176" s="124"/>
      <c r="BB176" s="124"/>
      <c r="BC176" s="124"/>
    </row>
    <row r="177">
      <c r="A177" s="125"/>
      <c r="B177" s="189"/>
      <c r="C177" s="124"/>
      <c r="D177" s="124"/>
      <c r="E177" s="124"/>
      <c r="F177" s="125"/>
      <c r="G177" s="189"/>
      <c r="H177" s="124"/>
      <c r="I177" s="124"/>
      <c r="J177" s="124"/>
      <c r="K177" s="102"/>
      <c r="L177" s="189"/>
      <c r="M177" s="124"/>
      <c r="N177" s="124"/>
      <c r="O177" s="124"/>
      <c r="P177" s="102"/>
      <c r="Q177" s="161"/>
      <c r="R177" s="124"/>
      <c r="S177" s="124"/>
      <c r="T177" s="124"/>
      <c r="U177" s="125"/>
      <c r="V177" s="189"/>
      <c r="W177" s="124"/>
      <c r="X177" s="124"/>
      <c r="Y177" s="124"/>
      <c r="Z177" s="125"/>
      <c r="AA177" s="189"/>
      <c r="AB177" s="124"/>
      <c r="AC177" s="124"/>
      <c r="AD177" s="124"/>
      <c r="AE177" s="125"/>
      <c r="AF177" s="189"/>
      <c r="AG177" s="124"/>
      <c r="AH177" s="124"/>
      <c r="AI177" s="124"/>
      <c r="AJ177" s="125"/>
      <c r="AK177" s="189"/>
      <c r="AL177" s="124"/>
      <c r="AM177" s="124"/>
      <c r="AN177" s="124"/>
      <c r="AO177" s="125"/>
      <c r="AP177" s="189"/>
      <c r="AQ177" s="124"/>
      <c r="AR177" s="124"/>
      <c r="AS177" s="124"/>
      <c r="AT177" s="124"/>
      <c r="AU177" s="124"/>
      <c r="AV177" s="124"/>
      <c r="AW177" s="124"/>
      <c r="AX177" s="124"/>
      <c r="AY177" s="124"/>
      <c r="AZ177" s="124"/>
      <c r="BA177" s="124"/>
      <c r="BB177" s="124"/>
      <c r="BC177" s="124"/>
    </row>
    <row r="178">
      <c r="A178" s="125"/>
      <c r="B178" s="189"/>
      <c r="C178" s="124"/>
      <c r="D178" s="124"/>
      <c r="E178" s="124"/>
      <c r="F178" s="125"/>
      <c r="G178" s="189"/>
      <c r="H178" s="124"/>
      <c r="I178" s="124"/>
      <c r="J178" s="124"/>
      <c r="K178" s="102"/>
      <c r="L178" s="189"/>
      <c r="M178" s="124"/>
      <c r="N178" s="124"/>
      <c r="O178" s="124"/>
      <c r="P178" s="102"/>
      <c r="Q178" s="161"/>
      <c r="R178" s="124"/>
      <c r="S178" s="124"/>
      <c r="T178" s="124"/>
      <c r="U178" s="125"/>
      <c r="V178" s="189"/>
      <c r="W178" s="124"/>
      <c r="X178" s="124"/>
      <c r="Y178" s="124"/>
      <c r="Z178" s="125"/>
      <c r="AA178" s="189"/>
      <c r="AB178" s="124"/>
      <c r="AC178" s="124"/>
      <c r="AD178" s="124"/>
      <c r="AE178" s="125"/>
      <c r="AF178" s="189"/>
      <c r="AG178" s="124"/>
      <c r="AH178" s="124"/>
      <c r="AI178" s="124"/>
      <c r="AJ178" s="125"/>
      <c r="AK178" s="189"/>
      <c r="AL178" s="124"/>
      <c r="AM178" s="124"/>
      <c r="AN178" s="124"/>
      <c r="AO178" s="125"/>
      <c r="AP178" s="189"/>
      <c r="AQ178" s="124"/>
      <c r="AR178" s="124"/>
      <c r="AS178" s="124"/>
      <c r="AT178" s="124"/>
      <c r="AU178" s="124"/>
      <c r="AV178" s="124"/>
      <c r="AW178" s="124"/>
      <c r="AX178" s="124"/>
      <c r="AY178" s="124"/>
      <c r="AZ178" s="124"/>
      <c r="BA178" s="124"/>
      <c r="BB178" s="124"/>
      <c r="BC178" s="124"/>
    </row>
    <row r="179">
      <c r="A179" s="125"/>
      <c r="B179" s="189"/>
      <c r="C179" s="124"/>
      <c r="D179" s="124"/>
      <c r="E179" s="124"/>
      <c r="F179" s="125"/>
      <c r="G179" s="189"/>
      <c r="H179" s="124"/>
      <c r="I179" s="124"/>
      <c r="J179" s="124"/>
      <c r="K179" s="102"/>
      <c r="L179" s="189"/>
      <c r="M179" s="124"/>
      <c r="N179" s="124"/>
      <c r="O179" s="124"/>
      <c r="P179" s="102"/>
      <c r="Q179" s="161"/>
      <c r="R179" s="124"/>
      <c r="S179" s="124"/>
      <c r="T179" s="124"/>
      <c r="U179" s="125"/>
      <c r="V179" s="189"/>
      <c r="W179" s="124"/>
      <c r="X179" s="124"/>
      <c r="Y179" s="124"/>
      <c r="Z179" s="125"/>
      <c r="AA179" s="189"/>
      <c r="AB179" s="124"/>
      <c r="AC179" s="124"/>
      <c r="AD179" s="124"/>
      <c r="AE179" s="125"/>
      <c r="AF179" s="189"/>
      <c r="AG179" s="124"/>
      <c r="AH179" s="124"/>
      <c r="AI179" s="124"/>
      <c r="AJ179" s="125"/>
      <c r="AK179" s="189"/>
      <c r="AL179" s="124"/>
      <c r="AM179" s="124"/>
      <c r="AN179" s="124"/>
      <c r="AO179" s="125"/>
      <c r="AP179" s="189"/>
      <c r="AQ179" s="124"/>
      <c r="AR179" s="124"/>
      <c r="AS179" s="124"/>
      <c r="AT179" s="124"/>
      <c r="AU179" s="124"/>
      <c r="AV179" s="124"/>
      <c r="AW179" s="124"/>
      <c r="AX179" s="124"/>
      <c r="AY179" s="124"/>
      <c r="AZ179" s="124"/>
      <c r="BA179" s="124"/>
      <c r="BB179" s="124"/>
      <c r="BC179" s="124"/>
    </row>
    <row r="180">
      <c r="A180" s="125"/>
      <c r="B180" s="189"/>
      <c r="C180" s="124"/>
      <c r="D180" s="124"/>
      <c r="E180" s="124"/>
      <c r="F180" s="125"/>
      <c r="G180" s="189"/>
      <c r="H180" s="124"/>
      <c r="I180" s="124"/>
      <c r="J180" s="124"/>
      <c r="K180" s="102"/>
      <c r="L180" s="189"/>
      <c r="M180" s="124"/>
      <c r="N180" s="124"/>
      <c r="O180" s="124"/>
      <c r="P180" s="102"/>
      <c r="Q180" s="161"/>
      <c r="R180" s="124"/>
      <c r="S180" s="124"/>
      <c r="T180" s="124"/>
      <c r="U180" s="125"/>
      <c r="V180" s="189"/>
      <c r="W180" s="124"/>
      <c r="X180" s="124"/>
      <c r="Y180" s="124"/>
      <c r="Z180" s="125"/>
      <c r="AA180" s="189"/>
      <c r="AB180" s="124"/>
      <c r="AC180" s="124"/>
      <c r="AD180" s="124"/>
      <c r="AE180" s="125"/>
      <c r="AF180" s="189"/>
      <c r="AG180" s="124"/>
      <c r="AH180" s="124"/>
      <c r="AI180" s="124"/>
      <c r="AJ180" s="125"/>
      <c r="AK180" s="189"/>
      <c r="AL180" s="124"/>
      <c r="AM180" s="124"/>
      <c r="AN180" s="124"/>
      <c r="AO180" s="125"/>
      <c r="AP180" s="189"/>
      <c r="AQ180" s="124"/>
      <c r="AR180" s="124"/>
      <c r="AS180" s="124"/>
      <c r="AT180" s="124"/>
      <c r="AU180" s="124"/>
      <c r="AV180" s="124"/>
      <c r="AW180" s="124"/>
      <c r="AX180" s="124"/>
      <c r="AY180" s="124"/>
      <c r="AZ180" s="124"/>
      <c r="BA180" s="124"/>
      <c r="BB180" s="124"/>
      <c r="BC180" s="124"/>
    </row>
    <row r="181">
      <c r="A181" s="125"/>
      <c r="B181" s="189"/>
      <c r="C181" s="124"/>
      <c r="D181" s="124"/>
      <c r="E181" s="124"/>
      <c r="F181" s="125"/>
      <c r="G181" s="189"/>
      <c r="H181" s="124"/>
      <c r="I181" s="124"/>
      <c r="J181" s="124"/>
      <c r="K181" s="102"/>
      <c r="L181" s="189"/>
      <c r="M181" s="124"/>
      <c r="N181" s="124"/>
      <c r="O181" s="124"/>
      <c r="P181" s="102"/>
      <c r="Q181" s="161"/>
      <c r="R181" s="124"/>
      <c r="S181" s="124"/>
      <c r="T181" s="124"/>
      <c r="U181" s="125"/>
      <c r="V181" s="189"/>
      <c r="W181" s="124"/>
      <c r="X181" s="124"/>
      <c r="Y181" s="124"/>
      <c r="Z181" s="125"/>
      <c r="AA181" s="189"/>
      <c r="AB181" s="124"/>
      <c r="AC181" s="124"/>
      <c r="AD181" s="124"/>
      <c r="AE181" s="125"/>
      <c r="AF181" s="189"/>
      <c r="AG181" s="124"/>
      <c r="AH181" s="124"/>
      <c r="AI181" s="124"/>
      <c r="AJ181" s="125"/>
      <c r="AK181" s="189"/>
      <c r="AL181" s="124"/>
      <c r="AM181" s="124"/>
      <c r="AN181" s="124"/>
      <c r="AO181" s="125"/>
      <c r="AP181" s="189"/>
      <c r="AQ181" s="124"/>
      <c r="AR181" s="124"/>
      <c r="AS181" s="124"/>
      <c r="AT181" s="124"/>
      <c r="AU181" s="124"/>
      <c r="AV181" s="124"/>
      <c r="AW181" s="124"/>
      <c r="AX181" s="124"/>
      <c r="AY181" s="124"/>
      <c r="AZ181" s="124"/>
      <c r="BA181" s="124"/>
      <c r="BB181" s="124"/>
      <c r="BC181" s="124"/>
    </row>
    <row r="182">
      <c r="A182" s="125"/>
      <c r="B182" s="189"/>
      <c r="C182" s="124"/>
      <c r="D182" s="124"/>
      <c r="E182" s="124"/>
      <c r="F182" s="125"/>
      <c r="G182" s="189"/>
      <c r="H182" s="124"/>
      <c r="I182" s="124"/>
      <c r="J182" s="124"/>
      <c r="K182" s="102"/>
      <c r="L182" s="189"/>
      <c r="M182" s="124"/>
      <c r="N182" s="124"/>
      <c r="O182" s="124"/>
      <c r="P182" s="102"/>
      <c r="Q182" s="161"/>
      <c r="R182" s="124"/>
      <c r="S182" s="124"/>
      <c r="T182" s="124"/>
      <c r="U182" s="125"/>
      <c r="V182" s="189"/>
      <c r="W182" s="124"/>
      <c r="X182" s="124"/>
      <c r="Y182" s="124"/>
      <c r="Z182" s="125"/>
      <c r="AA182" s="189"/>
      <c r="AB182" s="124"/>
      <c r="AC182" s="124"/>
      <c r="AD182" s="124"/>
      <c r="AE182" s="125"/>
      <c r="AF182" s="189"/>
      <c r="AG182" s="124"/>
      <c r="AH182" s="124"/>
      <c r="AI182" s="124"/>
      <c r="AJ182" s="125"/>
      <c r="AK182" s="189"/>
      <c r="AL182" s="124"/>
      <c r="AM182" s="124"/>
      <c r="AN182" s="124"/>
      <c r="AO182" s="125"/>
      <c r="AP182" s="189"/>
      <c r="AQ182" s="124"/>
      <c r="AR182" s="124"/>
      <c r="AS182" s="124"/>
      <c r="AT182" s="124"/>
      <c r="AU182" s="124"/>
      <c r="AV182" s="124"/>
      <c r="AW182" s="124"/>
      <c r="AX182" s="124"/>
      <c r="AY182" s="124"/>
      <c r="AZ182" s="124"/>
      <c r="BA182" s="124"/>
      <c r="BB182" s="124"/>
      <c r="BC182" s="124"/>
    </row>
    <row r="183">
      <c r="A183" s="125"/>
      <c r="B183" s="189"/>
      <c r="C183" s="124"/>
      <c r="D183" s="124"/>
      <c r="E183" s="124"/>
      <c r="F183" s="125"/>
      <c r="G183" s="189"/>
      <c r="H183" s="124"/>
      <c r="I183" s="124"/>
      <c r="J183" s="124"/>
      <c r="K183" s="102"/>
      <c r="L183" s="189"/>
      <c r="M183" s="124"/>
      <c r="N183" s="124"/>
      <c r="O183" s="124"/>
      <c r="P183" s="102"/>
      <c r="Q183" s="161"/>
      <c r="R183" s="124"/>
      <c r="S183" s="124"/>
      <c r="T183" s="124"/>
      <c r="U183" s="125"/>
      <c r="V183" s="189"/>
      <c r="W183" s="124"/>
      <c r="X183" s="124"/>
      <c r="Y183" s="124"/>
      <c r="Z183" s="125"/>
      <c r="AA183" s="189"/>
      <c r="AB183" s="124"/>
      <c r="AC183" s="124"/>
      <c r="AD183" s="124"/>
      <c r="AE183" s="125"/>
      <c r="AF183" s="189"/>
      <c r="AG183" s="124"/>
      <c r="AH183" s="124"/>
      <c r="AI183" s="124"/>
      <c r="AJ183" s="125"/>
      <c r="AK183" s="189"/>
      <c r="AL183" s="124"/>
      <c r="AM183" s="124"/>
      <c r="AN183" s="124"/>
      <c r="AO183" s="125"/>
      <c r="AP183" s="189"/>
      <c r="AQ183" s="124"/>
      <c r="AR183" s="124"/>
      <c r="AS183" s="124"/>
      <c r="AT183" s="124"/>
      <c r="AU183" s="124"/>
      <c r="AV183" s="124"/>
      <c r="AW183" s="124"/>
      <c r="AX183" s="124"/>
      <c r="AY183" s="124"/>
      <c r="AZ183" s="124"/>
      <c r="BA183" s="124"/>
      <c r="BB183" s="124"/>
      <c r="BC183" s="124"/>
    </row>
    <row r="184">
      <c r="A184" s="125"/>
      <c r="B184" s="189"/>
      <c r="C184" s="124"/>
      <c r="D184" s="124"/>
      <c r="E184" s="124"/>
      <c r="F184" s="125"/>
      <c r="G184" s="189"/>
      <c r="H184" s="124"/>
      <c r="I184" s="124"/>
      <c r="J184" s="124"/>
      <c r="K184" s="102"/>
      <c r="L184" s="189"/>
      <c r="M184" s="124"/>
      <c r="N184" s="124"/>
      <c r="O184" s="124"/>
      <c r="P184" s="102"/>
      <c r="Q184" s="161"/>
      <c r="R184" s="124"/>
      <c r="S184" s="124"/>
      <c r="T184" s="124"/>
      <c r="U184" s="125"/>
      <c r="V184" s="189"/>
      <c r="W184" s="124"/>
      <c r="X184" s="124"/>
      <c r="Y184" s="124"/>
      <c r="Z184" s="125"/>
      <c r="AA184" s="189"/>
      <c r="AB184" s="124"/>
      <c r="AC184" s="124"/>
      <c r="AD184" s="124"/>
      <c r="AE184" s="125"/>
      <c r="AF184" s="189"/>
      <c r="AG184" s="124"/>
      <c r="AH184" s="124"/>
      <c r="AI184" s="124"/>
      <c r="AJ184" s="125"/>
      <c r="AK184" s="189"/>
      <c r="AL184" s="124"/>
      <c r="AM184" s="124"/>
      <c r="AN184" s="124"/>
      <c r="AO184" s="125"/>
      <c r="AP184" s="189"/>
      <c r="AQ184" s="124"/>
      <c r="AR184" s="124"/>
      <c r="AS184" s="124"/>
      <c r="AT184" s="124"/>
      <c r="AU184" s="124"/>
      <c r="AV184" s="124"/>
      <c r="AW184" s="124"/>
      <c r="AX184" s="124"/>
      <c r="AY184" s="124"/>
      <c r="AZ184" s="124"/>
      <c r="BA184" s="124"/>
      <c r="BB184" s="124"/>
      <c r="BC184" s="124"/>
    </row>
    <row r="185">
      <c r="A185" s="125"/>
      <c r="B185" s="189"/>
      <c r="C185" s="124"/>
      <c r="D185" s="124"/>
      <c r="E185" s="124"/>
      <c r="F185" s="125"/>
      <c r="G185" s="189"/>
      <c r="H185" s="124"/>
      <c r="I185" s="124"/>
      <c r="J185" s="124"/>
      <c r="K185" s="102"/>
      <c r="L185" s="189"/>
      <c r="M185" s="124"/>
      <c r="N185" s="124"/>
      <c r="O185" s="124"/>
      <c r="P185" s="102"/>
      <c r="Q185" s="161"/>
      <c r="R185" s="124"/>
      <c r="S185" s="124"/>
      <c r="T185" s="124"/>
      <c r="U185" s="125"/>
      <c r="V185" s="189"/>
      <c r="W185" s="124"/>
      <c r="X185" s="124"/>
      <c r="Y185" s="124"/>
      <c r="Z185" s="125"/>
      <c r="AA185" s="189"/>
      <c r="AB185" s="124"/>
      <c r="AC185" s="124"/>
      <c r="AD185" s="124"/>
      <c r="AE185" s="125"/>
      <c r="AF185" s="189"/>
      <c r="AG185" s="124"/>
      <c r="AH185" s="124"/>
      <c r="AI185" s="124"/>
      <c r="AJ185" s="125"/>
      <c r="AK185" s="189"/>
      <c r="AL185" s="124"/>
      <c r="AM185" s="124"/>
      <c r="AN185" s="124"/>
      <c r="AO185" s="125"/>
      <c r="AP185" s="189"/>
      <c r="AQ185" s="124"/>
      <c r="AR185" s="124"/>
      <c r="AS185" s="124"/>
      <c r="AT185" s="124"/>
      <c r="AU185" s="124"/>
      <c r="AV185" s="124"/>
      <c r="AW185" s="124"/>
      <c r="AX185" s="124"/>
      <c r="AY185" s="124"/>
      <c r="AZ185" s="124"/>
      <c r="BA185" s="124"/>
      <c r="BB185" s="124"/>
      <c r="BC185" s="124"/>
    </row>
    <row r="186">
      <c r="A186" s="125"/>
      <c r="B186" s="189"/>
      <c r="C186" s="124"/>
      <c r="D186" s="124"/>
      <c r="E186" s="124"/>
      <c r="F186" s="125"/>
      <c r="G186" s="189"/>
      <c r="H186" s="124"/>
      <c r="I186" s="124"/>
      <c r="J186" s="124"/>
      <c r="K186" s="102"/>
      <c r="L186" s="189"/>
      <c r="M186" s="124"/>
      <c r="N186" s="124"/>
      <c r="O186" s="124"/>
      <c r="P186" s="102"/>
      <c r="Q186" s="161"/>
      <c r="R186" s="124"/>
      <c r="S186" s="124"/>
      <c r="T186" s="124"/>
      <c r="U186" s="125"/>
      <c r="V186" s="189"/>
      <c r="W186" s="124"/>
      <c r="X186" s="124"/>
      <c r="Y186" s="124"/>
      <c r="Z186" s="125"/>
      <c r="AA186" s="189"/>
      <c r="AB186" s="124"/>
      <c r="AC186" s="124"/>
      <c r="AD186" s="124"/>
      <c r="AE186" s="125"/>
      <c r="AF186" s="189"/>
      <c r="AG186" s="124"/>
      <c r="AH186" s="124"/>
      <c r="AI186" s="124"/>
      <c r="AJ186" s="125"/>
      <c r="AK186" s="189"/>
      <c r="AL186" s="124"/>
      <c r="AM186" s="124"/>
      <c r="AN186" s="124"/>
      <c r="AO186" s="125"/>
      <c r="AP186" s="189"/>
      <c r="AQ186" s="124"/>
      <c r="AR186" s="124"/>
      <c r="AS186" s="124"/>
      <c r="AT186" s="124"/>
      <c r="AU186" s="124"/>
      <c r="AV186" s="124"/>
      <c r="AW186" s="124"/>
      <c r="AX186" s="124"/>
      <c r="AY186" s="124"/>
      <c r="AZ186" s="124"/>
      <c r="BA186" s="124"/>
      <c r="BB186" s="124"/>
      <c r="BC186" s="124"/>
    </row>
    <row r="187">
      <c r="A187" s="125"/>
      <c r="B187" s="189"/>
      <c r="C187" s="124"/>
      <c r="D187" s="124"/>
      <c r="E187" s="124"/>
      <c r="F187" s="125"/>
      <c r="G187" s="189"/>
      <c r="H187" s="124"/>
      <c r="I187" s="124"/>
      <c r="J187" s="124"/>
      <c r="K187" s="102"/>
      <c r="L187" s="189"/>
      <c r="M187" s="124"/>
      <c r="N187" s="124"/>
      <c r="O187" s="124"/>
      <c r="P187" s="102"/>
      <c r="Q187" s="161"/>
      <c r="R187" s="124"/>
      <c r="S187" s="124"/>
      <c r="T187" s="124"/>
      <c r="U187" s="125"/>
      <c r="V187" s="189"/>
      <c r="W187" s="124"/>
      <c r="X187" s="124"/>
      <c r="Y187" s="124"/>
      <c r="Z187" s="125"/>
      <c r="AA187" s="189"/>
      <c r="AB187" s="124"/>
      <c r="AC187" s="124"/>
      <c r="AD187" s="124"/>
      <c r="AE187" s="125"/>
      <c r="AF187" s="189"/>
      <c r="AG187" s="124"/>
      <c r="AH187" s="124"/>
      <c r="AI187" s="124"/>
      <c r="AJ187" s="125"/>
      <c r="AK187" s="189"/>
      <c r="AL187" s="124"/>
      <c r="AM187" s="124"/>
      <c r="AN187" s="124"/>
      <c r="AO187" s="125"/>
      <c r="AP187" s="189"/>
      <c r="AQ187" s="124"/>
      <c r="AR187" s="124"/>
      <c r="AS187" s="124"/>
      <c r="AT187" s="124"/>
      <c r="AU187" s="124"/>
      <c r="AV187" s="124"/>
      <c r="AW187" s="124"/>
      <c r="AX187" s="124"/>
      <c r="AY187" s="124"/>
      <c r="AZ187" s="124"/>
      <c r="BA187" s="124"/>
      <c r="BB187" s="124"/>
      <c r="BC187" s="124"/>
    </row>
    <row r="188">
      <c r="A188" s="125"/>
      <c r="B188" s="189"/>
      <c r="C188" s="124"/>
      <c r="D188" s="124"/>
      <c r="E188" s="124"/>
      <c r="F188" s="125"/>
      <c r="G188" s="189"/>
      <c r="H188" s="124"/>
      <c r="I188" s="124"/>
      <c r="J188" s="124"/>
      <c r="K188" s="102"/>
      <c r="L188" s="189"/>
      <c r="M188" s="124"/>
      <c r="N188" s="124"/>
      <c r="O188" s="124"/>
      <c r="P188" s="102"/>
      <c r="Q188" s="161"/>
      <c r="R188" s="124"/>
      <c r="S188" s="124"/>
      <c r="T188" s="124"/>
      <c r="U188" s="125"/>
      <c r="V188" s="189"/>
      <c r="W188" s="124"/>
      <c r="X188" s="124"/>
      <c r="Y188" s="124"/>
      <c r="Z188" s="125"/>
      <c r="AA188" s="189"/>
      <c r="AB188" s="124"/>
      <c r="AC188" s="124"/>
      <c r="AD188" s="124"/>
      <c r="AE188" s="125"/>
      <c r="AF188" s="189"/>
      <c r="AG188" s="124"/>
      <c r="AH188" s="124"/>
      <c r="AI188" s="124"/>
      <c r="AJ188" s="125"/>
      <c r="AK188" s="189"/>
      <c r="AL188" s="124"/>
      <c r="AM188" s="124"/>
      <c r="AN188" s="124"/>
      <c r="AO188" s="125"/>
      <c r="AP188" s="189"/>
      <c r="AQ188" s="124"/>
      <c r="AR188" s="124"/>
      <c r="AS188" s="124"/>
      <c r="AT188" s="124"/>
      <c r="AU188" s="124"/>
      <c r="AV188" s="124"/>
      <c r="AW188" s="124"/>
      <c r="AX188" s="124"/>
      <c r="AY188" s="124"/>
      <c r="AZ188" s="124"/>
      <c r="BA188" s="124"/>
      <c r="BB188" s="124"/>
      <c r="BC188" s="124"/>
    </row>
    <row r="189">
      <c r="A189" s="125"/>
      <c r="B189" s="189"/>
      <c r="C189" s="124"/>
      <c r="D189" s="124"/>
      <c r="E189" s="124"/>
      <c r="F189" s="125"/>
      <c r="G189" s="189"/>
      <c r="H189" s="124"/>
      <c r="I189" s="124"/>
      <c r="J189" s="124"/>
      <c r="K189" s="102"/>
      <c r="L189" s="189"/>
      <c r="M189" s="124"/>
      <c r="N189" s="124"/>
      <c r="O189" s="124"/>
      <c r="P189" s="102"/>
      <c r="Q189" s="161"/>
      <c r="R189" s="124"/>
      <c r="S189" s="124"/>
      <c r="T189" s="124"/>
      <c r="U189" s="125"/>
      <c r="V189" s="189"/>
      <c r="W189" s="124"/>
      <c r="X189" s="124"/>
      <c r="Y189" s="124"/>
      <c r="Z189" s="125"/>
      <c r="AA189" s="189"/>
      <c r="AB189" s="124"/>
      <c r="AC189" s="124"/>
      <c r="AD189" s="124"/>
      <c r="AE189" s="125"/>
      <c r="AF189" s="189"/>
      <c r="AG189" s="124"/>
      <c r="AH189" s="124"/>
      <c r="AI189" s="124"/>
      <c r="AJ189" s="125"/>
      <c r="AK189" s="189"/>
      <c r="AL189" s="124"/>
      <c r="AM189" s="124"/>
      <c r="AN189" s="124"/>
      <c r="AO189" s="125"/>
      <c r="AP189" s="189"/>
      <c r="AQ189" s="124"/>
      <c r="AR189" s="124"/>
      <c r="AS189" s="124"/>
      <c r="AT189" s="124"/>
      <c r="AU189" s="124"/>
      <c r="AV189" s="124"/>
      <c r="AW189" s="124"/>
      <c r="AX189" s="124"/>
      <c r="AY189" s="124"/>
      <c r="AZ189" s="124"/>
      <c r="BA189" s="124"/>
      <c r="BB189" s="124"/>
      <c r="BC189" s="124"/>
    </row>
    <row r="190">
      <c r="A190" s="125"/>
      <c r="B190" s="189"/>
      <c r="C190" s="124"/>
      <c r="D190" s="124"/>
      <c r="E190" s="124"/>
      <c r="F190" s="125"/>
      <c r="G190" s="189"/>
      <c r="H190" s="124"/>
      <c r="I190" s="124"/>
      <c r="J190" s="124"/>
      <c r="K190" s="102"/>
      <c r="L190" s="189"/>
      <c r="M190" s="124"/>
      <c r="N190" s="124"/>
      <c r="O190" s="124"/>
      <c r="P190" s="102"/>
      <c r="Q190" s="161"/>
      <c r="R190" s="124"/>
      <c r="S190" s="124"/>
      <c r="T190" s="124"/>
      <c r="U190" s="125"/>
      <c r="V190" s="189"/>
      <c r="W190" s="124"/>
      <c r="X190" s="124"/>
      <c r="Y190" s="124"/>
      <c r="Z190" s="125"/>
      <c r="AA190" s="189"/>
      <c r="AB190" s="124"/>
      <c r="AC190" s="124"/>
      <c r="AD190" s="124"/>
      <c r="AE190" s="125"/>
      <c r="AF190" s="189"/>
      <c r="AG190" s="124"/>
      <c r="AH190" s="124"/>
      <c r="AI190" s="124"/>
      <c r="AJ190" s="125"/>
      <c r="AK190" s="189"/>
      <c r="AL190" s="124"/>
      <c r="AM190" s="124"/>
      <c r="AN190" s="124"/>
      <c r="AO190" s="125"/>
      <c r="AP190" s="189"/>
      <c r="AQ190" s="124"/>
      <c r="AR190" s="124"/>
      <c r="AS190" s="124"/>
      <c r="AT190" s="124"/>
      <c r="AU190" s="124"/>
      <c r="AV190" s="124"/>
      <c r="AW190" s="124"/>
      <c r="AX190" s="124"/>
      <c r="AY190" s="124"/>
      <c r="AZ190" s="124"/>
      <c r="BA190" s="124"/>
      <c r="BB190" s="124"/>
      <c r="BC190" s="124"/>
    </row>
    <row r="191">
      <c r="A191" s="125"/>
      <c r="B191" s="189"/>
      <c r="C191" s="124"/>
      <c r="D191" s="124"/>
      <c r="E191" s="124"/>
      <c r="F191" s="125"/>
      <c r="G191" s="189"/>
      <c r="H191" s="124"/>
      <c r="I191" s="124"/>
      <c r="J191" s="124"/>
      <c r="K191" s="102"/>
      <c r="L191" s="189"/>
      <c r="M191" s="124"/>
      <c r="N191" s="124"/>
      <c r="O191" s="124"/>
      <c r="P191" s="102"/>
      <c r="Q191" s="161"/>
      <c r="R191" s="124"/>
      <c r="S191" s="124"/>
      <c r="T191" s="124"/>
      <c r="U191" s="125"/>
      <c r="V191" s="189"/>
      <c r="W191" s="124"/>
      <c r="X191" s="124"/>
      <c r="Y191" s="124"/>
      <c r="Z191" s="125"/>
      <c r="AA191" s="189"/>
      <c r="AB191" s="124"/>
      <c r="AC191" s="124"/>
      <c r="AD191" s="124"/>
      <c r="AE191" s="125"/>
      <c r="AF191" s="189"/>
      <c r="AG191" s="124"/>
      <c r="AH191" s="124"/>
      <c r="AI191" s="124"/>
      <c r="AJ191" s="125"/>
      <c r="AK191" s="189"/>
      <c r="AL191" s="124"/>
      <c r="AM191" s="124"/>
      <c r="AN191" s="124"/>
      <c r="AO191" s="125"/>
      <c r="AP191" s="189"/>
      <c r="AQ191" s="124"/>
      <c r="AR191" s="124"/>
      <c r="AS191" s="124"/>
      <c r="AT191" s="124"/>
      <c r="AU191" s="124"/>
      <c r="AV191" s="124"/>
      <c r="AW191" s="124"/>
      <c r="AX191" s="124"/>
      <c r="AY191" s="124"/>
      <c r="AZ191" s="124"/>
      <c r="BA191" s="124"/>
      <c r="BB191" s="124"/>
      <c r="BC191" s="124"/>
    </row>
    <row r="192">
      <c r="A192" s="125"/>
      <c r="B192" s="189"/>
      <c r="C192" s="124"/>
      <c r="D192" s="124"/>
      <c r="E192" s="124"/>
      <c r="F192" s="125"/>
      <c r="G192" s="189"/>
      <c r="H192" s="124"/>
      <c r="I192" s="124"/>
      <c r="J192" s="124"/>
      <c r="K192" s="102"/>
      <c r="L192" s="189"/>
      <c r="M192" s="124"/>
      <c r="N192" s="124"/>
      <c r="O192" s="124"/>
      <c r="P192" s="102"/>
      <c r="Q192" s="161"/>
      <c r="R192" s="124"/>
      <c r="S192" s="124"/>
      <c r="T192" s="124"/>
      <c r="U192" s="125"/>
      <c r="V192" s="189"/>
      <c r="W192" s="124"/>
      <c r="X192" s="124"/>
      <c r="Y192" s="124"/>
      <c r="Z192" s="125"/>
      <c r="AA192" s="189"/>
      <c r="AB192" s="124"/>
      <c r="AC192" s="124"/>
      <c r="AD192" s="124"/>
      <c r="AE192" s="125"/>
      <c r="AF192" s="189"/>
      <c r="AG192" s="124"/>
      <c r="AH192" s="124"/>
      <c r="AI192" s="124"/>
      <c r="AJ192" s="125"/>
      <c r="AK192" s="189"/>
      <c r="AL192" s="124"/>
      <c r="AM192" s="124"/>
      <c r="AN192" s="124"/>
      <c r="AO192" s="125"/>
      <c r="AP192" s="189"/>
      <c r="AQ192" s="124"/>
      <c r="AR192" s="124"/>
      <c r="AS192" s="124"/>
      <c r="AT192" s="124"/>
      <c r="AU192" s="124"/>
      <c r="AV192" s="124"/>
      <c r="AW192" s="124"/>
      <c r="AX192" s="124"/>
      <c r="AY192" s="124"/>
      <c r="AZ192" s="124"/>
      <c r="BA192" s="124"/>
      <c r="BB192" s="124"/>
      <c r="BC192" s="124"/>
    </row>
    <row r="193">
      <c r="A193" s="125"/>
      <c r="B193" s="189"/>
      <c r="C193" s="124"/>
      <c r="D193" s="124"/>
      <c r="E193" s="124"/>
      <c r="F193" s="125"/>
      <c r="G193" s="189"/>
      <c r="H193" s="124"/>
      <c r="I193" s="124"/>
      <c r="J193" s="124"/>
      <c r="K193" s="102"/>
      <c r="L193" s="189"/>
      <c r="M193" s="124"/>
      <c r="N193" s="124"/>
      <c r="O193" s="124"/>
      <c r="P193" s="102"/>
      <c r="Q193" s="161"/>
      <c r="R193" s="124"/>
      <c r="S193" s="124"/>
      <c r="T193" s="124"/>
      <c r="U193" s="125"/>
      <c r="V193" s="189"/>
      <c r="W193" s="124"/>
      <c r="X193" s="124"/>
      <c r="Y193" s="124"/>
      <c r="Z193" s="125"/>
      <c r="AA193" s="189"/>
      <c r="AB193" s="124"/>
      <c r="AC193" s="124"/>
      <c r="AD193" s="124"/>
      <c r="AE193" s="125"/>
      <c r="AF193" s="189"/>
      <c r="AG193" s="124"/>
      <c r="AH193" s="124"/>
      <c r="AI193" s="124"/>
      <c r="AJ193" s="125"/>
      <c r="AK193" s="189"/>
      <c r="AL193" s="124"/>
      <c r="AM193" s="124"/>
      <c r="AN193" s="124"/>
      <c r="AO193" s="125"/>
      <c r="AP193" s="189"/>
      <c r="AQ193" s="124"/>
      <c r="AR193" s="124"/>
      <c r="AS193" s="124"/>
      <c r="AT193" s="124"/>
      <c r="AU193" s="124"/>
      <c r="AV193" s="124"/>
      <c r="AW193" s="124"/>
      <c r="AX193" s="124"/>
      <c r="AY193" s="124"/>
      <c r="AZ193" s="124"/>
      <c r="BA193" s="124"/>
      <c r="BB193" s="124"/>
      <c r="BC193" s="124"/>
    </row>
    <row r="194">
      <c r="A194" s="125"/>
      <c r="B194" s="189"/>
      <c r="C194" s="124"/>
      <c r="D194" s="124"/>
      <c r="E194" s="124"/>
      <c r="F194" s="125"/>
      <c r="G194" s="189"/>
      <c r="H194" s="124"/>
      <c r="I194" s="124"/>
      <c r="J194" s="124"/>
      <c r="K194" s="102"/>
      <c r="L194" s="189"/>
      <c r="M194" s="124"/>
      <c r="N194" s="124"/>
      <c r="O194" s="124"/>
      <c r="P194" s="102"/>
      <c r="Q194" s="161"/>
      <c r="R194" s="124"/>
      <c r="S194" s="124"/>
      <c r="T194" s="124"/>
      <c r="U194" s="125"/>
      <c r="V194" s="189"/>
      <c r="W194" s="124"/>
      <c r="X194" s="124"/>
      <c r="Y194" s="124"/>
      <c r="Z194" s="125"/>
      <c r="AA194" s="189"/>
      <c r="AB194" s="124"/>
      <c r="AC194" s="124"/>
      <c r="AD194" s="124"/>
      <c r="AE194" s="125"/>
      <c r="AF194" s="189"/>
      <c r="AG194" s="124"/>
      <c r="AH194" s="124"/>
      <c r="AI194" s="124"/>
      <c r="AJ194" s="125"/>
      <c r="AK194" s="189"/>
      <c r="AL194" s="124"/>
      <c r="AM194" s="124"/>
      <c r="AN194" s="124"/>
      <c r="AO194" s="125"/>
      <c r="AP194" s="189"/>
      <c r="AQ194" s="124"/>
      <c r="AR194" s="124"/>
      <c r="AS194" s="124"/>
      <c r="AT194" s="124"/>
      <c r="AU194" s="124"/>
      <c r="AV194" s="124"/>
      <c r="AW194" s="124"/>
      <c r="AX194" s="124"/>
      <c r="AY194" s="124"/>
      <c r="AZ194" s="124"/>
      <c r="BA194" s="124"/>
      <c r="BB194" s="124"/>
      <c r="BC194" s="124"/>
    </row>
    <row r="195">
      <c r="A195" s="125"/>
      <c r="B195" s="189"/>
      <c r="C195" s="124"/>
      <c r="D195" s="124"/>
      <c r="E195" s="124"/>
      <c r="F195" s="125"/>
      <c r="G195" s="189"/>
      <c r="H195" s="124"/>
      <c r="I195" s="124"/>
      <c r="J195" s="124"/>
      <c r="K195" s="102"/>
      <c r="L195" s="189"/>
      <c r="M195" s="124"/>
      <c r="N195" s="124"/>
      <c r="O195" s="124"/>
      <c r="P195" s="102"/>
      <c r="Q195" s="161"/>
      <c r="R195" s="124"/>
      <c r="S195" s="124"/>
      <c r="T195" s="124"/>
      <c r="U195" s="125"/>
      <c r="V195" s="189"/>
      <c r="W195" s="124"/>
      <c r="X195" s="124"/>
      <c r="Y195" s="124"/>
      <c r="Z195" s="125"/>
      <c r="AA195" s="189"/>
      <c r="AB195" s="124"/>
      <c r="AC195" s="124"/>
      <c r="AD195" s="124"/>
      <c r="AE195" s="125"/>
      <c r="AF195" s="189"/>
      <c r="AG195" s="124"/>
      <c r="AH195" s="124"/>
      <c r="AI195" s="124"/>
      <c r="AJ195" s="125"/>
      <c r="AK195" s="189"/>
      <c r="AL195" s="124"/>
      <c r="AM195" s="124"/>
      <c r="AN195" s="124"/>
      <c r="AO195" s="125"/>
      <c r="AP195" s="189"/>
      <c r="AQ195" s="124"/>
      <c r="AR195" s="124"/>
      <c r="AS195" s="124"/>
      <c r="AT195" s="124"/>
      <c r="AU195" s="124"/>
      <c r="AV195" s="124"/>
      <c r="AW195" s="124"/>
      <c r="AX195" s="124"/>
      <c r="AY195" s="124"/>
      <c r="AZ195" s="124"/>
      <c r="BA195" s="124"/>
      <c r="BB195" s="124"/>
      <c r="BC195" s="124"/>
    </row>
    <row r="196">
      <c r="A196" s="125"/>
      <c r="B196" s="189"/>
      <c r="C196" s="124"/>
      <c r="D196" s="124"/>
      <c r="E196" s="124"/>
      <c r="F196" s="125"/>
      <c r="G196" s="189"/>
      <c r="H196" s="124"/>
      <c r="I196" s="124"/>
      <c r="J196" s="124"/>
      <c r="K196" s="102"/>
      <c r="L196" s="189"/>
      <c r="M196" s="124"/>
      <c r="N196" s="124"/>
      <c r="O196" s="124"/>
      <c r="P196" s="102"/>
      <c r="Q196" s="161"/>
      <c r="R196" s="124"/>
      <c r="S196" s="124"/>
      <c r="T196" s="124"/>
      <c r="U196" s="125"/>
      <c r="V196" s="189"/>
      <c r="W196" s="124"/>
      <c r="X196" s="124"/>
      <c r="Y196" s="124"/>
      <c r="Z196" s="125"/>
      <c r="AA196" s="189"/>
      <c r="AB196" s="124"/>
      <c r="AC196" s="124"/>
      <c r="AD196" s="124"/>
      <c r="AE196" s="125"/>
      <c r="AF196" s="189"/>
      <c r="AG196" s="124"/>
      <c r="AH196" s="124"/>
      <c r="AI196" s="124"/>
      <c r="AJ196" s="125"/>
      <c r="AK196" s="189"/>
      <c r="AL196" s="124"/>
      <c r="AM196" s="124"/>
      <c r="AN196" s="124"/>
      <c r="AO196" s="125"/>
      <c r="AP196" s="189"/>
      <c r="AQ196" s="124"/>
      <c r="AR196" s="124"/>
      <c r="AS196" s="124"/>
      <c r="AT196" s="124"/>
      <c r="AU196" s="124"/>
      <c r="AV196" s="124"/>
      <c r="AW196" s="124"/>
      <c r="AX196" s="124"/>
      <c r="AY196" s="124"/>
      <c r="AZ196" s="124"/>
      <c r="BA196" s="124"/>
      <c r="BB196" s="124"/>
      <c r="BC196" s="124"/>
    </row>
    <row r="197">
      <c r="A197" s="125"/>
      <c r="B197" s="189"/>
      <c r="C197" s="124"/>
      <c r="D197" s="124"/>
      <c r="E197" s="124"/>
      <c r="F197" s="125"/>
      <c r="G197" s="189"/>
      <c r="H197" s="124"/>
      <c r="I197" s="124"/>
      <c r="J197" s="124"/>
      <c r="K197" s="102"/>
      <c r="L197" s="189"/>
      <c r="M197" s="124"/>
      <c r="N197" s="124"/>
      <c r="O197" s="124"/>
      <c r="P197" s="102"/>
      <c r="Q197" s="161"/>
      <c r="R197" s="124"/>
      <c r="S197" s="124"/>
      <c r="T197" s="124"/>
      <c r="U197" s="125"/>
      <c r="V197" s="189"/>
      <c r="W197" s="124"/>
      <c r="X197" s="124"/>
      <c r="Y197" s="124"/>
      <c r="Z197" s="125"/>
      <c r="AA197" s="189"/>
      <c r="AB197" s="124"/>
      <c r="AC197" s="124"/>
      <c r="AD197" s="124"/>
      <c r="AE197" s="125"/>
      <c r="AF197" s="189"/>
      <c r="AG197" s="124"/>
      <c r="AH197" s="124"/>
      <c r="AI197" s="124"/>
      <c r="AJ197" s="125"/>
      <c r="AK197" s="189"/>
      <c r="AL197" s="124"/>
      <c r="AM197" s="124"/>
      <c r="AN197" s="124"/>
      <c r="AO197" s="125"/>
      <c r="AP197" s="189"/>
      <c r="AQ197" s="124"/>
      <c r="AR197" s="124"/>
      <c r="AS197" s="124"/>
      <c r="AT197" s="124"/>
      <c r="AU197" s="124"/>
      <c r="AV197" s="124"/>
      <c r="AW197" s="124"/>
      <c r="AX197" s="124"/>
      <c r="AY197" s="124"/>
      <c r="AZ197" s="124"/>
      <c r="BA197" s="124"/>
      <c r="BB197" s="124"/>
      <c r="BC197" s="124"/>
    </row>
    <row r="198">
      <c r="A198" s="125"/>
      <c r="B198" s="189"/>
      <c r="C198" s="124"/>
      <c r="D198" s="124"/>
      <c r="E198" s="124"/>
      <c r="F198" s="125"/>
      <c r="G198" s="189"/>
      <c r="H198" s="124"/>
      <c r="I198" s="124"/>
      <c r="J198" s="124"/>
      <c r="K198" s="102"/>
      <c r="L198" s="189"/>
      <c r="M198" s="124"/>
      <c r="N198" s="124"/>
      <c r="O198" s="124"/>
      <c r="P198" s="102"/>
      <c r="Q198" s="161"/>
      <c r="R198" s="124"/>
      <c r="S198" s="124"/>
      <c r="T198" s="124"/>
      <c r="U198" s="125"/>
      <c r="V198" s="189"/>
      <c r="W198" s="124"/>
      <c r="X198" s="124"/>
      <c r="Y198" s="124"/>
      <c r="Z198" s="125"/>
      <c r="AA198" s="189"/>
      <c r="AB198" s="124"/>
      <c r="AC198" s="124"/>
      <c r="AD198" s="124"/>
      <c r="AE198" s="125"/>
      <c r="AF198" s="189"/>
      <c r="AG198" s="124"/>
      <c r="AH198" s="124"/>
      <c r="AI198" s="124"/>
      <c r="AJ198" s="125"/>
      <c r="AK198" s="189"/>
      <c r="AL198" s="124"/>
      <c r="AM198" s="124"/>
      <c r="AN198" s="124"/>
      <c r="AO198" s="125"/>
      <c r="AP198" s="189"/>
      <c r="AQ198" s="124"/>
      <c r="AR198" s="124"/>
      <c r="AS198" s="124"/>
      <c r="AT198" s="124"/>
      <c r="AU198" s="124"/>
      <c r="AV198" s="124"/>
      <c r="AW198" s="124"/>
      <c r="AX198" s="124"/>
      <c r="AY198" s="124"/>
      <c r="AZ198" s="124"/>
      <c r="BA198" s="124"/>
      <c r="BB198" s="124"/>
      <c r="BC198" s="124"/>
    </row>
    <row r="199">
      <c r="A199" s="125"/>
      <c r="B199" s="189"/>
      <c r="C199" s="124"/>
      <c r="D199" s="124"/>
      <c r="E199" s="124"/>
      <c r="F199" s="125"/>
      <c r="G199" s="189"/>
      <c r="H199" s="124"/>
      <c r="I199" s="124"/>
      <c r="J199" s="124"/>
      <c r="K199" s="102"/>
      <c r="L199" s="189"/>
      <c r="M199" s="124"/>
      <c r="N199" s="124"/>
      <c r="O199" s="124"/>
      <c r="P199" s="102"/>
      <c r="Q199" s="161"/>
      <c r="R199" s="124"/>
      <c r="S199" s="124"/>
      <c r="T199" s="124"/>
      <c r="U199" s="125"/>
      <c r="V199" s="189"/>
      <c r="W199" s="124"/>
      <c r="X199" s="124"/>
      <c r="Y199" s="124"/>
      <c r="Z199" s="125"/>
      <c r="AA199" s="189"/>
      <c r="AB199" s="124"/>
      <c r="AC199" s="124"/>
      <c r="AD199" s="124"/>
      <c r="AE199" s="125"/>
      <c r="AF199" s="189"/>
      <c r="AG199" s="124"/>
      <c r="AH199" s="124"/>
      <c r="AI199" s="124"/>
      <c r="AJ199" s="125"/>
      <c r="AK199" s="189"/>
      <c r="AL199" s="124"/>
      <c r="AM199" s="124"/>
      <c r="AN199" s="124"/>
      <c r="AO199" s="125"/>
      <c r="AP199" s="189"/>
      <c r="AQ199" s="124"/>
      <c r="AR199" s="124"/>
      <c r="AS199" s="124"/>
      <c r="AT199" s="124"/>
      <c r="AU199" s="124"/>
      <c r="AV199" s="124"/>
      <c r="AW199" s="124"/>
      <c r="AX199" s="124"/>
      <c r="AY199" s="124"/>
      <c r="AZ199" s="124"/>
      <c r="BA199" s="124"/>
      <c r="BB199" s="124"/>
      <c r="BC199" s="124"/>
    </row>
    <row r="200">
      <c r="A200" s="125"/>
      <c r="B200" s="189"/>
      <c r="C200" s="124"/>
      <c r="D200" s="124"/>
      <c r="E200" s="124"/>
      <c r="F200" s="125"/>
      <c r="G200" s="189"/>
      <c r="H200" s="124"/>
      <c r="I200" s="124"/>
      <c r="J200" s="124"/>
      <c r="K200" s="102"/>
      <c r="L200" s="189"/>
      <c r="M200" s="124"/>
      <c r="N200" s="124"/>
      <c r="O200" s="124"/>
      <c r="P200" s="102"/>
      <c r="Q200" s="161"/>
      <c r="R200" s="124"/>
      <c r="S200" s="124"/>
      <c r="T200" s="124"/>
      <c r="U200" s="125"/>
      <c r="V200" s="189"/>
      <c r="W200" s="124"/>
      <c r="X200" s="124"/>
      <c r="Y200" s="124"/>
      <c r="Z200" s="125"/>
      <c r="AA200" s="189"/>
      <c r="AB200" s="124"/>
      <c r="AC200" s="124"/>
      <c r="AD200" s="124"/>
      <c r="AE200" s="125"/>
      <c r="AF200" s="189"/>
      <c r="AG200" s="124"/>
      <c r="AH200" s="124"/>
      <c r="AI200" s="124"/>
      <c r="AJ200" s="125"/>
      <c r="AK200" s="189"/>
      <c r="AL200" s="124"/>
      <c r="AM200" s="124"/>
      <c r="AN200" s="124"/>
      <c r="AO200" s="125"/>
      <c r="AP200" s="189"/>
      <c r="AQ200" s="124"/>
      <c r="AR200" s="124"/>
      <c r="AS200" s="124"/>
      <c r="AT200" s="124"/>
      <c r="AU200" s="124"/>
      <c r="AV200" s="124"/>
      <c r="AW200" s="124"/>
      <c r="AX200" s="124"/>
      <c r="AY200" s="124"/>
      <c r="AZ200" s="124"/>
      <c r="BA200" s="124"/>
      <c r="BB200" s="124"/>
      <c r="BC200" s="124"/>
    </row>
    <row r="201">
      <c r="A201" s="125"/>
      <c r="B201" s="189"/>
      <c r="C201" s="124"/>
      <c r="D201" s="124"/>
      <c r="E201" s="124"/>
      <c r="F201" s="125"/>
      <c r="G201" s="189"/>
      <c r="H201" s="124"/>
      <c r="I201" s="124"/>
      <c r="J201" s="124"/>
      <c r="K201" s="102"/>
      <c r="L201" s="189"/>
      <c r="M201" s="124"/>
      <c r="N201" s="124"/>
      <c r="O201" s="124"/>
      <c r="P201" s="102"/>
      <c r="Q201" s="161"/>
      <c r="R201" s="124"/>
      <c r="S201" s="124"/>
      <c r="T201" s="124"/>
      <c r="U201" s="125"/>
      <c r="V201" s="189"/>
      <c r="W201" s="124"/>
      <c r="X201" s="124"/>
      <c r="Y201" s="124"/>
      <c r="Z201" s="125"/>
      <c r="AA201" s="189"/>
      <c r="AB201" s="124"/>
      <c r="AC201" s="124"/>
      <c r="AD201" s="124"/>
      <c r="AE201" s="125"/>
      <c r="AF201" s="189"/>
      <c r="AG201" s="124"/>
      <c r="AH201" s="124"/>
      <c r="AI201" s="124"/>
      <c r="AJ201" s="125"/>
      <c r="AK201" s="189"/>
      <c r="AL201" s="124"/>
      <c r="AM201" s="124"/>
      <c r="AN201" s="124"/>
      <c r="AO201" s="125"/>
      <c r="AP201" s="189"/>
      <c r="AQ201" s="124"/>
      <c r="AR201" s="124"/>
      <c r="AS201" s="124"/>
      <c r="AT201" s="124"/>
      <c r="AU201" s="124"/>
      <c r="AV201" s="124"/>
      <c r="AW201" s="124"/>
      <c r="AX201" s="124"/>
      <c r="AY201" s="124"/>
      <c r="AZ201" s="124"/>
      <c r="BA201" s="124"/>
      <c r="BB201" s="124"/>
      <c r="BC201" s="124"/>
    </row>
    <row r="202">
      <c r="A202" s="125"/>
      <c r="B202" s="189"/>
      <c r="C202" s="124"/>
      <c r="D202" s="124"/>
      <c r="E202" s="124"/>
      <c r="F202" s="125"/>
      <c r="G202" s="189"/>
      <c r="H202" s="124"/>
      <c r="I202" s="124"/>
      <c r="J202" s="124"/>
      <c r="K202" s="102"/>
      <c r="L202" s="189"/>
      <c r="M202" s="124"/>
      <c r="N202" s="124"/>
      <c r="O202" s="124"/>
      <c r="P202" s="102"/>
      <c r="Q202" s="161"/>
      <c r="R202" s="124"/>
      <c r="S202" s="124"/>
      <c r="T202" s="124"/>
      <c r="U202" s="125"/>
      <c r="V202" s="189"/>
      <c r="W202" s="124"/>
      <c r="X202" s="124"/>
      <c r="Y202" s="124"/>
      <c r="Z202" s="125"/>
      <c r="AA202" s="189"/>
      <c r="AB202" s="124"/>
      <c r="AC202" s="124"/>
      <c r="AD202" s="124"/>
      <c r="AE202" s="125"/>
      <c r="AF202" s="189"/>
      <c r="AG202" s="124"/>
      <c r="AH202" s="124"/>
      <c r="AI202" s="124"/>
      <c r="AJ202" s="125"/>
      <c r="AK202" s="189"/>
      <c r="AL202" s="124"/>
      <c r="AM202" s="124"/>
      <c r="AN202" s="124"/>
      <c r="AO202" s="125"/>
      <c r="AP202" s="189"/>
      <c r="AQ202" s="124"/>
      <c r="AR202" s="124"/>
      <c r="AS202" s="124"/>
      <c r="AT202" s="124"/>
      <c r="AU202" s="124"/>
      <c r="AV202" s="124"/>
      <c r="AW202" s="124"/>
      <c r="AX202" s="124"/>
      <c r="AY202" s="124"/>
      <c r="AZ202" s="124"/>
      <c r="BA202" s="124"/>
      <c r="BB202" s="124"/>
      <c r="BC202" s="124"/>
    </row>
    <row r="203">
      <c r="A203" s="125"/>
      <c r="B203" s="189"/>
      <c r="C203" s="124"/>
      <c r="D203" s="124"/>
      <c r="E203" s="124"/>
      <c r="F203" s="125"/>
      <c r="G203" s="189"/>
      <c r="H203" s="124"/>
      <c r="I203" s="124"/>
      <c r="J203" s="124"/>
      <c r="K203" s="102"/>
      <c r="L203" s="189"/>
      <c r="M203" s="124"/>
      <c r="N203" s="124"/>
      <c r="O203" s="124"/>
      <c r="P203" s="102"/>
      <c r="Q203" s="161"/>
      <c r="R203" s="124"/>
      <c r="S203" s="124"/>
      <c r="T203" s="124"/>
      <c r="U203" s="125"/>
      <c r="V203" s="189"/>
      <c r="W203" s="124"/>
      <c r="X203" s="124"/>
      <c r="Y203" s="124"/>
      <c r="Z203" s="125"/>
      <c r="AA203" s="189"/>
      <c r="AB203" s="124"/>
      <c r="AC203" s="124"/>
      <c r="AD203" s="124"/>
      <c r="AE203" s="125"/>
      <c r="AF203" s="189"/>
      <c r="AG203" s="124"/>
      <c r="AH203" s="124"/>
      <c r="AI203" s="124"/>
      <c r="AJ203" s="125"/>
      <c r="AK203" s="189"/>
      <c r="AL203" s="124"/>
      <c r="AM203" s="124"/>
      <c r="AN203" s="124"/>
      <c r="AO203" s="125"/>
      <c r="AP203" s="189"/>
      <c r="AQ203" s="124"/>
      <c r="AR203" s="124"/>
      <c r="AS203" s="124"/>
      <c r="AT203" s="124"/>
      <c r="AU203" s="124"/>
      <c r="AV203" s="124"/>
      <c r="AW203" s="124"/>
      <c r="AX203" s="124"/>
      <c r="AY203" s="124"/>
      <c r="AZ203" s="124"/>
      <c r="BA203" s="124"/>
      <c r="BB203" s="124"/>
      <c r="BC203" s="124"/>
    </row>
    <row r="204">
      <c r="A204" s="125"/>
      <c r="B204" s="189"/>
      <c r="C204" s="124"/>
      <c r="D204" s="124"/>
      <c r="E204" s="124"/>
      <c r="F204" s="125"/>
      <c r="G204" s="189"/>
      <c r="H204" s="124"/>
      <c r="I204" s="124"/>
      <c r="J204" s="124"/>
      <c r="K204" s="102"/>
      <c r="L204" s="189"/>
      <c r="M204" s="124"/>
      <c r="N204" s="124"/>
      <c r="O204" s="124"/>
      <c r="P204" s="102"/>
      <c r="Q204" s="161"/>
      <c r="R204" s="124"/>
      <c r="S204" s="124"/>
      <c r="T204" s="124"/>
      <c r="U204" s="125"/>
      <c r="V204" s="189"/>
      <c r="W204" s="124"/>
      <c r="X204" s="124"/>
      <c r="Y204" s="124"/>
      <c r="Z204" s="125"/>
      <c r="AA204" s="189"/>
      <c r="AB204" s="124"/>
      <c r="AC204" s="124"/>
      <c r="AD204" s="124"/>
      <c r="AE204" s="125"/>
      <c r="AF204" s="189"/>
      <c r="AG204" s="124"/>
      <c r="AH204" s="124"/>
      <c r="AI204" s="124"/>
      <c r="AJ204" s="125"/>
      <c r="AK204" s="189"/>
      <c r="AL204" s="124"/>
      <c r="AM204" s="124"/>
      <c r="AN204" s="124"/>
      <c r="AO204" s="125"/>
      <c r="AP204" s="189"/>
      <c r="AQ204" s="124"/>
      <c r="AR204" s="124"/>
      <c r="AS204" s="124"/>
      <c r="AT204" s="124"/>
      <c r="AU204" s="124"/>
      <c r="AV204" s="124"/>
      <c r="AW204" s="124"/>
      <c r="AX204" s="124"/>
      <c r="AY204" s="124"/>
      <c r="AZ204" s="124"/>
      <c r="BA204" s="124"/>
      <c r="BB204" s="124"/>
      <c r="BC204" s="124"/>
    </row>
    <row r="205">
      <c r="A205" s="125"/>
      <c r="B205" s="189"/>
      <c r="C205" s="124"/>
      <c r="D205" s="124"/>
      <c r="E205" s="124"/>
      <c r="F205" s="125"/>
      <c r="G205" s="189"/>
      <c r="H205" s="124"/>
      <c r="I205" s="124"/>
      <c r="J205" s="124"/>
      <c r="K205" s="102"/>
      <c r="L205" s="189"/>
      <c r="M205" s="124"/>
      <c r="N205" s="124"/>
      <c r="O205" s="124"/>
      <c r="P205" s="102"/>
      <c r="Q205" s="161"/>
      <c r="R205" s="124"/>
      <c r="S205" s="124"/>
      <c r="T205" s="124"/>
      <c r="U205" s="125"/>
      <c r="V205" s="189"/>
      <c r="W205" s="124"/>
      <c r="X205" s="124"/>
      <c r="Y205" s="124"/>
      <c r="Z205" s="125"/>
      <c r="AA205" s="189"/>
      <c r="AB205" s="124"/>
      <c r="AC205" s="124"/>
      <c r="AD205" s="124"/>
      <c r="AE205" s="125"/>
      <c r="AF205" s="189"/>
      <c r="AG205" s="124"/>
      <c r="AH205" s="124"/>
      <c r="AI205" s="124"/>
      <c r="AJ205" s="125"/>
      <c r="AK205" s="189"/>
      <c r="AL205" s="124"/>
      <c r="AM205" s="124"/>
      <c r="AN205" s="124"/>
      <c r="AO205" s="125"/>
      <c r="AP205" s="189"/>
      <c r="AQ205" s="124"/>
      <c r="AR205" s="124"/>
      <c r="AS205" s="124"/>
      <c r="AT205" s="124"/>
      <c r="AU205" s="124"/>
      <c r="AV205" s="124"/>
      <c r="AW205" s="124"/>
      <c r="AX205" s="124"/>
      <c r="AY205" s="124"/>
      <c r="AZ205" s="124"/>
      <c r="BA205" s="124"/>
      <c r="BB205" s="124"/>
      <c r="BC205" s="124"/>
    </row>
    <row r="206">
      <c r="A206" s="125"/>
      <c r="B206" s="189"/>
      <c r="C206" s="124"/>
      <c r="D206" s="124"/>
      <c r="E206" s="124"/>
      <c r="F206" s="125"/>
      <c r="G206" s="189"/>
      <c r="H206" s="124"/>
      <c r="I206" s="124"/>
      <c r="J206" s="124"/>
      <c r="K206" s="102"/>
      <c r="L206" s="189"/>
      <c r="M206" s="124"/>
      <c r="N206" s="124"/>
      <c r="O206" s="124"/>
      <c r="P206" s="102"/>
      <c r="Q206" s="161"/>
      <c r="R206" s="124"/>
      <c r="S206" s="124"/>
      <c r="T206" s="124"/>
      <c r="U206" s="125"/>
      <c r="V206" s="189"/>
      <c r="W206" s="124"/>
      <c r="X206" s="124"/>
      <c r="Y206" s="124"/>
      <c r="Z206" s="125"/>
      <c r="AA206" s="189"/>
      <c r="AB206" s="124"/>
      <c r="AC206" s="124"/>
      <c r="AD206" s="124"/>
      <c r="AE206" s="125"/>
      <c r="AF206" s="189"/>
      <c r="AG206" s="124"/>
      <c r="AH206" s="124"/>
      <c r="AI206" s="124"/>
      <c r="AJ206" s="125"/>
      <c r="AK206" s="189"/>
      <c r="AL206" s="124"/>
      <c r="AM206" s="124"/>
      <c r="AN206" s="124"/>
      <c r="AO206" s="125"/>
      <c r="AP206" s="189"/>
      <c r="AQ206" s="124"/>
      <c r="AR206" s="124"/>
      <c r="AS206" s="124"/>
      <c r="AT206" s="124"/>
      <c r="AU206" s="124"/>
      <c r="AV206" s="124"/>
      <c r="AW206" s="124"/>
      <c r="AX206" s="124"/>
      <c r="AY206" s="124"/>
      <c r="AZ206" s="124"/>
      <c r="BA206" s="124"/>
      <c r="BB206" s="124"/>
      <c r="BC206" s="124"/>
    </row>
    <row r="207">
      <c r="A207" s="125"/>
      <c r="B207" s="189"/>
      <c r="C207" s="124"/>
      <c r="D207" s="124"/>
      <c r="E207" s="124"/>
      <c r="F207" s="125"/>
      <c r="G207" s="189"/>
      <c r="H207" s="124"/>
      <c r="I207" s="124"/>
      <c r="J207" s="124"/>
      <c r="K207" s="102"/>
      <c r="L207" s="189"/>
      <c r="M207" s="124"/>
      <c r="N207" s="124"/>
      <c r="O207" s="124"/>
      <c r="P207" s="102"/>
      <c r="Q207" s="161"/>
      <c r="R207" s="124"/>
      <c r="S207" s="124"/>
      <c r="T207" s="124"/>
      <c r="U207" s="125"/>
      <c r="V207" s="189"/>
      <c r="W207" s="124"/>
      <c r="X207" s="124"/>
      <c r="Y207" s="124"/>
      <c r="Z207" s="125"/>
      <c r="AA207" s="189"/>
      <c r="AB207" s="124"/>
      <c r="AC207" s="124"/>
      <c r="AD207" s="124"/>
      <c r="AE207" s="125"/>
      <c r="AF207" s="189"/>
      <c r="AG207" s="124"/>
      <c r="AH207" s="124"/>
      <c r="AI207" s="124"/>
      <c r="AJ207" s="125"/>
      <c r="AK207" s="189"/>
      <c r="AL207" s="124"/>
      <c r="AM207" s="124"/>
      <c r="AN207" s="124"/>
      <c r="AO207" s="125"/>
      <c r="AP207" s="189"/>
      <c r="AQ207" s="124"/>
      <c r="AR207" s="124"/>
      <c r="AS207" s="124"/>
      <c r="AT207" s="124"/>
      <c r="AU207" s="124"/>
      <c r="AV207" s="124"/>
      <c r="AW207" s="124"/>
      <c r="AX207" s="124"/>
      <c r="AY207" s="124"/>
      <c r="AZ207" s="124"/>
      <c r="BA207" s="124"/>
      <c r="BB207" s="124"/>
      <c r="BC207" s="124"/>
    </row>
    <row r="208">
      <c r="A208" s="125"/>
      <c r="B208" s="189"/>
      <c r="C208" s="124"/>
      <c r="D208" s="124"/>
      <c r="E208" s="124"/>
      <c r="F208" s="125"/>
      <c r="G208" s="189"/>
      <c r="H208" s="124"/>
      <c r="I208" s="124"/>
      <c r="J208" s="124"/>
      <c r="K208" s="102"/>
      <c r="L208" s="189"/>
      <c r="M208" s="124"/>
      <c r="N208" s="124"/>
      <c r="O208" s="124"/>
      <c r="P208" s="102"/>
      <c r="Q208" s="161"/>
      <c r="R208" s="124"/>
      <c r="S208" s="124"/>
      <c r="T208" s="124"/>
      <c r="U208" s="125"/>
      <c r="V208" s="189"/>
      <c r="W208" s="124"/>
      <c r="X208" s="124"/>
      <c r="Y208" s="124"/>
      <c r="Z208" s="125"/>
      <c r="AA208" s="189"/>
      <c r="AB208" s="124"/>
      <c r="AC208" s="124"/>
      <c r="AD208" s="124"/>
      <c r="AE208" s="125"/>
      <c r="AF208" s="189"/>
      <c r="AG208" s="124"/>
      <c r="AH208" s="124"/>
      <c r="AI208" s="124"/>
      <c r="AJ208" s="125"/>
      <c r="AK208" s="189"/>
      <c r="AL208" s="124"/>
      <c r="AM208" s="124"/>
      <c r="AN208" s="124"/>
      <c r="AO208" s="125"/>
      <c r="AP208" s="189"/>
      <c r="AQ208" s="124"/>
      <c r="AR208" s="124"/>
      <c r="AS208" s="124"/>
      <c r="AT208" s="124"/>
      <c r="AU208" s="124"/>
      <c r="AV208" s="124"/>
      <c r="AW208" s="124"/>
      <c r="AX208" s="124"/>
      <c r="AY208" s="124"/>
      <c r="AZ208" s="124"/>
      <c r="BA208" s="124"/>
      <c r="BB208" s="124"/>
      <c r="BC208" s="124"/>
    </row>
    <row r="209">
      <c r="A209" s="125"/>
      <c r="B209" s="189"/>
      <c r="C209" s="124"/>
      <c r="D209" s="124"/>
      <c r="E209" s="124"/>
      <c r="F209" s="125"/>
      <c r="G209" s="189"/>
      <c r="H209" s="124"/>
      <c r="I209" s="124"/>
      <c r="J209" s="124"/>
      <c r="K209" s="102"/>
      <c r="L209" s="189"/>
      <c r="M209" s="124"/>
      <c r="N209" s="124"/>
      <c r="O209" s="124"/>
      <c r="P209" s="102"/>
      <c r="Q209" s="161"/>
      <c r="R209" s="124"/>
      <c r="S209" s="124"/>
      <c r="T209" s="124"/>
      <c r="U209" s="125"/>
      <c r="V209" s="189"/>
      <c r="W209" s="124"/>
      <c r="X209" s="124"/>
      <c r="Y209" s="124"/>
      <c r="Z209" s="125"/>
      <c r="AA209" s="189"/>
      <c r="AB209" s="124"/>
      <c r="AC209" s="124"/>
      <c r="AD209" s="124"/>
      <c r="AE209" s="125"/>
      <c r="AF209" s="189"/>
      <c r="AG209" s="124"/>
      <c r="AH209" s="124"/>
      <c r="AI209" s="124"/>
      <c r="AJ209" s="125"/>
      <c r="AK209" s="189"/>
      <c r="AL209" s="124"/>
      <c r="AM209" s="124"/>
      <c r="AN209" s="124"/>
      <c r="AO209" s="125"/>
      <c r="AP209" s="189"/>
      <c r="AQ209" s="124"/>
      <c r="AR209" s="124"/>
      <c r="AS209" s="124"/>
      <c r="AT209" s="124"/>
      <c r="AU209" s="124"/>
      <c r="AV209" s="124"/>
      <c r="AW209" s="124"/>
      <c r="AX209" s="124"/>
      <c r="AY209" s="124"/>
      <c r="AZ209" s="124"/>
      <c r="BA209" s="124"/>
      <c r="BB209" s="124"/>
      <c r="BC209" s="124"/>
    </row>
    <row r="210">
      <c r="A210" s="125"/>
      <c r="B210" s="189"/>
      <c r="C210" s="124"/>
      <c r="D210" s="124"/>
      <c r="E210" s="124"/>
      <c r="F210" s="125"/>
      <c r="G210" s="189"/>
      <c r="H210" s="124"/>
      <c r="I210" s="124"/>
      <c r="J210" s="124"/>
      <c r="K210" s="102"/>
      <c r="L210" s="189"/>
      <c r="M210" s="124"/>
      <c r="N210" s="124"/>
      <c r="O210" s="124"/>
      <c r="P210" s="102"/>
      <c r="Q210" s="161"/>
      <c r="R210" s="124"/>
      <c r="S210" s="124"/>
      <c r="T210" s="124"/>
      <c r="U210" s="125"/>
      <c r="V210" s="189"/>
      <c r="W210" s="124"/>
      <c r="X210" s="124"/>
      <c r="Y210" s="124"/>
      <c r="Z210" s="125"/>
      <c r="AA210" s="189"/>
      <c r="AB210" s="124"/>
      <c r="AC210" s="124"/>
      <c r="AD210" s="124"/>
      <c r="AE210" s="125"/>
      <c r="AF210" s="189"/>
      <c r="AG210" s="124"/>
      <c r="AH210" s="124"/>
      <c r="AI210" s="124"/>
      <c r="AJ210" s="125"/>
      <c r="AK210" s="189"/>
      <c r="AL210" s="124"/>
      <c r="AM210" s="124"/>
      <c r="AN210" s="124"/>
      <c r="AO210" s="125"/>
      <c r="AP210" s="189"/>
      <c r="AQ210" s="124"/>
      <c r="AR210" s="124"/>
      <c r="AS210" s="124"/>
      <c r="AT210" s="124"/>
      <c r="AU210" s="124"/>
      <c r="AV210" s="124"/>
      <c r="AW210" s="124"/>
      <c r="AX210" s="124"/>
      <c r="AY210" s="124"/>
      <c r="AZ210" s="124"/>
      <c r="BA210" s="124"/>
      <c r="BB210" s="124"/>
      <c r="BC210" s="124"/>
    </row>
    <row r="211">
      <c r="A211" s="125"/>
      <c r="B211" s="189"/>
      <c r="C211" s="124"/>
      <c r="D211" s="124"/>
      <c r="E211" s="124"/>
      <c r="F211" s="125"/>
      <c r="G211" s="189"/>
      <c r="H211" s="124"/>
      <c r="I211" s="124"/>
      <c r="J211" s="124"/>
      <c r="K211" s="102"/>
      <c r="L211" s="189"/>
      <c r="M211" s="124"/>
      <c r="N211" s="124"/>
      <c r="O211" s="124"/>
      <c r="P211" s="102"/>
      <c r="Q211" s="161"/>
      <c r="R211" s="124"/>
      <c r="S211" s="124"/>
      <c r="T211" s="124"/>
      <c r="U211" s="125"/>
      <c r="V211" s="189"/>
      <c r="W211" s="124"/>
      <c r="X211" s="124"/>
      <c r="Y211" s="124"/>
      <c r="Z211" s="125"/>
      <c r="AA211" s="189"/>
      <c r="AB211" s="124"/>
      <c r="AC211" s="124"/>
      <c r="AD211" s="124"/>
      <c r="AE211" s="125"/>
      <c r="AF211" s="189"/>
      <c r="AG211" s="124"/>
      <c r="AH211" s="124"/>
      <c r="AI211" s="124"/>
      <c r="AJ211" s="125"/>
      <c r="AK211" s="189"/>
      <c r="AL211" s="124"/>
      <c r="AM211" s="124"/>
      <c r="AN211" s="124"/>
      <c r="AO211" s="125"/>
      <c r="AP211" s="189"/>
      <c r="AQ211" s="124"/>
      <c r="AR211" s="124"/>
      <c r="AS211" s="124"/>
      <c r="AT211" s="124"/>
      <c r="AU211" s="124"/>
      <c r="AV211" s="124"/>
      <c r="AW211" s="124"/>
      <c r="AX211" s="124"/>
      <c r="AY211" s="124"/>
      <c r="AZ211" s="124"/>
      <c r="BA211" s="124"/>
      <c r="BB211" s="124"/>
      <c r="BC211" s="124"/>
    </row>
    <row r="212">
      <c r="A212" s="125"/>
      <c r="B212" s="189"/>
      <c r="C212" s="124"/>
      <c r="D212" s="124"/>
      <c r="E212" s="124"/>
      <c r="F212" s="125"/>
      <c r="G212" s="189"/>
      <c r="H212" s="124"/>
      <c r="I212" s="124"/>
      <c r="J212" s="124"/>
      <c r="K212" s="102"/>
      <c r="L212" s="189"/>
      <c r="M212" s="124"/>
      <c r="N212" s="124"/>
      <c r="O212" s="124"/>
      <c r="P212" s="102"/>
      <c r="Q212" s="161"/>
      <c r="R212" s="124"/>
      <c r="S212" s="124"/>
      <c r="T212" s="124"/>
      <c r="U212" s="125"/>
      <c r="V212" s="189"/>
      <c r="W212" s="124"/>
      <c r="X212" s="124"/>
      <c r="Y212" s="124"/>
      <c r="Z212" s="125"/>
      <c r="AA212" s="189"/>
      <c r="AB212" s="124"/>
      <c r="AC212" s="124"/>
      <c r="AD212" s="124"/>
      <c r="AE212" s="125"/>
      <c r="AF212" s="189"/>
      <c r="AG212" s="124"/>
      <c r="AH212" s="124"/>
      <c r="AI212" s="124"/>
      <c r="AJ212" s="125"/>
      <c r="AK212" s="189"/>
      <c r="AL212" s="124"/>
      <c r="AM212" s="124"/>
      <c r="AN212" s="124"/>
      <c r="AO212" s="125"/>
      <c r="AP212" s="189"/>
      <c r="AQ212" s="124"/>
      <c r="AR212" s="124"/>
      <c r="AS212" s="124"/>
      <c r="AT212" s="124"/>
      <c r="AU212" s="124"/>
      <c r="AV212" s="124"/>
      <c r="AW212" s="124"/>
      <c r="AX212" s="124"/>
      <c r="AY212" s="124"/>
      <c r="AZ212" s="124"/>
      <c r="BA212" s="124"/>
      <c r="BB212" s="124"/>
      <c r="BC212" s="124"/>
    </row>
    <row r="213">
      <c r="A213" s="125"/>
      <c r="B213" s="189"/>
      <c r="C213" s="124"/>
      <c r="D213" s="124"/>
      <c r="E213" s="124"/>
      <c r="F213" s="125"/>
      <c r="G213" s="189"/>
      <c r="H213" s="124"/>
      <c r="I213" s="124"/>
      <c r="J213" s="124"/>
      <c r="K213" s="102"/>
      <c r="L213" s="189"/>
      <c r="M213" s="124"/>
      <c r="N213" s="124"/>
      <c r="O213" s="124"/>
      <c r="P213" s="102"/>
      <c r="Q213" s="161"/>
      <c r="R213" s="124"/>
      <c r="S213" s="124"/>
      <c r="T213" s="124"/>
      <c r="U213" s="125"/>
      <c r="V213" s="189"/>
      <c r="W213" s="124"/>
      <c r="X213" s="124"/>
      <c r="Y213" s="124"/>
      <c r="Z213" s="125"/>
      <c r="AA213" s="189"/>
      <c r="AB213" s="124"/>
      <c r="AC213" s="124"/>
      <c r="AD213" s="124"/>
      <c r="AE213" s="125"/>
      <c r="AF213" s="189"/>
      <c r="AG213" s="124"/>
      <c r="AH213" s="124"/>
      <c r="AI213" s="124"/>
      <c r="AJ213" s="125"/>
      <c r="AK213" s="189"/>
      <c r="AL213" s="124"/>
      <c r="AM213" s="124"/>
      <c r="AN213" s="124"/>
      <c r="AO213" s="125"/>
      <c r="AP213" s="189"/>
      <c r="AQ213" s="124"/>
      <c r="AR213" s="124"/>
      <c r="AS213" s="124"/>
      <c r="AT213" s="124"/>
      <c r="AU213" s="124"/>
      <c r="AV213" s="124"/>
      <c r="AW213" s="124"/>
      <c r="AX213" s="124"/>
      <c r="AY213" s="124"/>
      <c r="AZ213" s="124"/>
      <c r="BA213" s="124"/>
      <c r="BB213" s="124"/>
      <c r="BC213" s="124"/>
    </row>
    <row r="214">
      <c r="A214" s="125"/>
      <c r="B214" s="189"/>
      <c r="C214" s="124"/>
      <c r="D214" s="124"/>
      <c r="E214" s="124"/>
      <c r="F214" s="125"/>
      <c r="G214" s="189"/>
      <c r="H214" s="124"/>
      <c r="I214" s="124"/>
      <c r="J214" s="124"/>
      <c r="K214" s="102"/>
      <c r="L214" s="189"/>
      <c r="M214" s="124"/>
      <c r="N214" s="124"/>
      <c r="O214" s="124"/>
      <c r="P214" s="102"/>
      <c r="Q214" s="161"/>
      <c r="R214" s="124"/>
      <c r="S214" s="124"/>
      <c r="T214" s="124"/>
      <c r="U214" s="125"/>
      <c r="V214" s="189"/>
      <c r="W214" s="124"/>
      <c r="X214" s="124"/>
      <c r="Y214" s="124"/>
      <c r="Z214" s="125"/>
      <c r="AA214" s="189"/>
      <c r="AB214" s="124"/>
      <c r="AC214" s="124"/>
      <c r="AD214" s="124"/>
      <c r="AE214" s="125"/>
      <c r="AF214" s="189"/>
      <c r="AG214" s="124"/>
      <c r="AH214" s="124"/>
      <c r="AI214" s="124"/>
      <c r="AJ214" s="125"/>
      <c r="AK214" s="189"/>
      <c r="AL214" s="124"/>
      <c r="AM214" s="124"/>
      <c r="AN214" s="124"/>
      <c r="AO214" s="125"/>
      <c r="AP214" s="189"/>
      <c r="AQ214" s="124"/>
      <c r="AR214" s="124"/>
      <c r="AS214" s="124"/>
      <c r="AT214" s="124"/>
      <c r="AU214" s="124"/>
      <c r="AV214" s="124"/>
      <c r="AW214" s="124"/>
      <c r="AX214" s="124"/>
      <c r="AY214" s="124"/>
      <c r="AZ214" s="124"/>
      <c r="BA214" s="124"/>
      <c r="BB214" s="124"/>
      <c r="BC214" s="124"/>
    </row>
    <row r="215">
      <c r="A215" s="125"/>
      <c r="B215" s="189"/>
      <c r="C215" s="124"/>
      <c r="D215" s="124"/>
      <c r="E215" s="124"/>
      <c r="F215" s="125"/>
      <c r="G215" s="189"/>
      <c r="H215" s="124"/>
      <c r="I215" s="124"/>
      <c r="J215" s="124"/>
      <c r="K215" s="102"/>
      <c r="L215" s="189"/>
      <c r="M215" s="124"/>
      <c r="N215" s="124"/>
      <c r="O215" s="124"/>
      <c r="P215" s="102"/>
      <c r="Q215" s="161"/>
      <c r="R215" s="124"/>
      <c r="S215" s="124"/>
      <c r="T215" s="124"/>
      <c r="U215" s="125"/>
      <c r="V215" s="189"/>
      <c r="W215" s="124"/>
      <c r="X215" s="124"/>
      <c r="Y215" s="124"/>
      <c r="Z215" s="125"/>
      <c r="AA215" s="189"/>
      <c r="AB215" s="124"/>
      <c r="AC215" s="124"/>
      <c r="AD215" s="124"/>
      <c r="AE215" s="125"/>
      <c r="AF215" s="189"/>
      <c r="AG215" s="124"/>
      <c r="AH215" s="124"/>
      <c r="AI215" s="124"/>
      <c r="AJ215" s="125"/>
      <c r="AK215" s="189"/>
      <c r="AL215" s="124"/>
      <c r="AM215" s="124"/>
      <c r="AN215" s="124"/>
      <c r="AO215" s="125"/>
      <c r="AP215" s="189"/>
      <c r="AQ215" s="124"/>
      <c r="AR215" s="124"/>
      <c r="AS215" s="124"/>
      <c r="AT215" s="124"/>
      <c r="AU215" s="124"/>
      <c r="AV215" s="124"/>
      <c r="AW215" s="124"/>
      <c r="AX215" s="124"/>
      <c r="AY215" s="124"/>
      <c r="AZ215" s="124"/>
      <c r="BA215" s="124"/>
      <c r="BB215" s="124"/>
      <c r="BC215" s="124"/>
    </row>
    <row r="216">
      <c r="A216" s="125"/>
      <c r="B216" s="189"/>
      <c r="C216" s="124"/>
      <c r="D216" s="124"/>
      <c r="E216" s="124"/>
      <c r="F216" s="125"/>
      <c r="G216" s="189"/>
      <c r="H216" s="124"/>
      <c r="I216" s="124"/>
      <c r="J216" s="124"/>
      <c r="K216" s="102"/>
      <c r="L216" s="189"/>
      <c r="M216" s="124"/>
      <c r="N216" s="124"/>
      <c r="O216" s="124"/>
      <c r="P216" s="102"/>
      <c r="Q216" s="161"/>
      <c r="R216" s="124"/>
      <c r="S216" s="124"/>
      <c r="T216" s="124"/>
      <c r="U216" s="125"/>
      <c r="V216" s="189"/>
      <c r="W216" s="124"/>
      <c r="X216" s="124"/>
      <c r="Y216" s="124"/>
      <c r="Z216" s="125"/>
      <c r="AA216" s="189"/>
      <c r="AB216" s="124"/>
      <c r="AC216" s="124"/>
      <c r="AD216" s="124"/>
      <c r="AE216" s="125"/>
      <c r="AF216" s="189"/>
      <c r="AG216" s="124"/>
      <c r="AH216" s="124"/>
      <c r="AI216" s="124"/>
      <c r="AJ216" s="125"/>
      <c r="AK216" s="189"/>
      <c r="AL216" s="124"/>
      <c r="AM216" s="124"/>
      <c r="AN216" s="124"/>
      <c r="AO216" s="125"/>
      <c r="AP216" s="189"/>
      <c r="AQ216" s="124"/>
      <c r="AR216" s="124"/>
      <c r="AS216" s="124"/>
      <c r="AT216" s="124"/>
      <c r="AU216" s="124"/>
      <c r="AV216" s="124"/>
      <c r="AW216" s="124"/>
      <c r="AX216" s="124"/>
      <c r="AY216" s="124"/>
      <c r="AZ216" s="124"/>
      <c r="BA216" s="124"/>
      <c r="BB216" s="124"/>
      <c r="BC216" s="124"/>
    </row>
    <row r="217">
      <c r="A217" s="125"/>
      <c r="B217" s="189"/>
      <c r="C217" s="124"/>
      <c r="D217" s="124"/>
      <c r="E217" s="124"/>
      <c r="F217" s="125"/>
      <c r="G217" s="189"/>
      <c r="H217" s="124"/>
      <c r="I217" s="124"/>
      <c r="J217" s="124"/>
      <c r="K217" s="102"/>
      <c r="L217" s="189"/>
      <c r="M217" s="124"/>
      <c r="N217" s="124"/>
      <c r="O217" s="124"/>
      <c r="P217" s="102"/>
      <c r="Q217" s="161"/>
      <c r="R217" s="124"/>
      <c r="S217" s="124"/>
      <c r="T217" s="124"/>
      <c r="U217" s="125"/>
      <c r="V217" s="189"/>
      <c r="W217" s="124"/>
      <c r="X217" s="124"/>
      <c r="Y217" s="124"/>
      <c r="Z217" s="125"/>
      <c r="AA217" s="189"/>
      <c r="AB217" s="124"/>
      <c r="AC217" s="124"/>
      <c r="AD217" s="124"/>
      <c r="AE217" s="125"/>
      <c r="AF217" s="189"/>
      <c r="AG217" s="124"/>
      <c r="AH217" s="124"/>
      <c r="AI217" s="124"/>
      <c r="AJ217" s="125"/>
      <c r="AK217" s="189"/>
      <c r="AL217" s="124"/>
      <c r="AM217" s="124"/>
      <c r="AN217" s="124"/>
      <c r="AO217" s="125"/>
      <c r="AP217" s="189"/>
      <c r="AQ217" s="124"/>
      <c r="AR217" s="124"/>
      <c r="AS217" s="124"/>
      <c r="AT217" s="124"/>
      <c r="AU217" s="124"/>
      <c r="AV217" s="124"/>
      <c r="AW217" s="124"/>
      <c r="AX217" s="124"/>
      <c r="AY217" s="124"/>
      <c r="AZ217" s="124"/>
      <c r="BA217" s="124"/>
      <c r="BB217" s="124"/>
      <c r="BC217" s="124"/>
    </row>
    <row r="218">
      <c r="A218" s="125"/>
      <c r="B218" s="189"/>
      <c r="C218" s="124"/>
      <c r="D218" s="124"/>
      <c r="E218" s="124"/>
      <c r="F218" s="125"/>
      <c r="G218" s="189"/>
      <c r="H218" s="124"/>
      <c r="I218" s="124"/>
      <c r="J218" s="124"/>
      <c r="K218" s="102"/>
      <c r="L218" s="189"/>
      <c r="M218" s="124"/>
      <c r="N218" s="124"/>
      <c r="O218" s="124"/>
      <c r="P218" s="102"/>
      <c r="Q218" s="161"/>
      <c r="R218" s="124"/>
      <c r="S218" s="124"/>
      <c r="T218" s="124"/>
      <c r="U218" s="125"/>
      <c r="V218" s="189"/>
      <c r="W218" s="124"/>
      <c r="X218" s="124"/>
      <c r="Y218" s="124"/>
      <c r="Z218" s="125"/>
      <c r="AA218" s="189"/>
      <c r="AB218" s="124"/>
      <c r="AC218" s="124"/>
      <c r="AD218" s="124"/>
      <c r="AE218" s="125"/>
      <c r="AF218" s="189"/>
      <c r="AG218" s="124"/>
      <c r="AH218" s="124"/>
      <c r="AI218" s="124"/>
      <c r="AJ218" s="125"/>
      <c r="AK218" s="189"/>
      <c r="AL218" s="124"/>
      <c r="AM218" s="124"/>
      <c r="AN218" s="124"/>
      <c r="AO218" s="125"/>
      <c r="AP218" s="189"/>
      <c r="AQ218" s="124"/>
      <c r="AR218" s="124"/>
      <c r="AS218" s="124"/>
      <c r="AT218" s="124"/>
      <c r="AU218" s="124"/>
      <c r="AV218" s="124"/>
      <c r="AW218" s="124"/>
      <c r="AX218" s="124"/>
      <c r="AY218" s="124"/>
      <c r="AZ218" s="124"/>
      <c r="BA218" s="124"/>
      <c r="BB218" s="124"/>
      <c r="BC218" s="124"/>
    </row>
    <row r="219">
      <c r="A219" s="125"/>
      <c r="B219" s="189"/>
      <c r="C219" s="124"/>
      <c r="D219" s="124"/>
      <c r="E219" s="124"/>
      <c r="F219" s="125"/>
      <c r="G219" s="189"/>
      <c r="H219" s="124"/>
      <c r="I219" s="124"/>
      <c r="J219" s="124"/>
      <c r="K219" s="102"/>
      <c r="L219" s="189"/>
      <c r="M219" s="124"/>
      <c r="N219" s="124"/>
      <c r="O219" s="124"/>
      <c r="P219" s="102"/>
      <c r="Q219" s="161"/>
      <c r="R219" s="124"/>
      <c r="S219" s="124"/>
      <c r="T219" s="124"/>
      <c r="U219" s="125"/>
      <c r="V219" s="189"/>
      <c r="W219" s="124"/>
      <c r="X219" s="124"/>
      <c r="Y219" s="124"/>
      <c r="Z219" s="125"/>
      <c r="AA219" s="189"/>
      <c r="AB219" s="124"/>
      <c r="AC219" s="124"/>
      <c r="AD219" s="124"/>
      <c r="AE219" s="125"/>
      <c r="AF219" s="189"/>
      <c r="AG219" s="124"/>
      <c r="AH219" s="124"/>
      <c r="AI219" s="124"/>
      <c r="AJ219" s="125"/>
      <c r="AK219" s="189"/>
      <c r="AL219" s="124"/>
      <c r="AM219" s="124"/>
      <c r="AN219" s="124"/>
      <c r="AO219" s="125"/>
      <c r="AP219" s="189"/>
      <c r="AQ219" s="124"/>
      <c r="AR219" s="124"/>
      <c r="AS219" s="124"/>
      <c r="AT219" s="124"/>
      <c r="AU219" s="124"/>
      <c r="AV219" s="124"/>
      <c r="AW219" s="124"/>
      <c r="AX219" s="124"/>
      <c r="AY219" s="124"/>
      <c r="AZ219" s="124"/>
      <c r="BA219" s="124"/>
      <c r="BB219" s="124"/>
      <c r="BC219" s="124"/>
    </row>
    <row r="220">
      <c r="A220" s="125"/>
      <c r="B220" s="189"/>
      <c r="C220" s="124"/>
      <c r="D220" s="124"/>
      <c r="E220" s="124"/>
      <c r="F220" s="125"/>
      <c r="G220" s="189"/>
      <c r="H220" s="124"/>
      <c r="I220" s="124"/>
      <c r="J220" s="124"/>
      <c r="K220" s="102"/>
      <c r="L220" s="189"/>
      <c r="M220" s="124"/>
      <c r="N220" s="124"/>
      <c r="O220" s="124"/>
      <c r="P220" s="102"/>
      <c r="Q220" s="161"/>
      <c r="R220" s="124"/>
      <c r="S220" s="124"/>
      <c r="T220" s="124"/>
      <c r="U220" s="125"/>
      <c r="V220" s="189"/>
      <c r="W220" s="124"/>
      <c r="X220" s="124"/>
      <c r="Y220" s="124"/>
      <c r="Z220" s="125"/>
      <c r="AA220" s="189"/>
      <c r="AB220" s="124"/>
      <c r="AC220" s="124"/>
      <c r="AD220" s="124"/>
      <c r="AE220" s="125"/>
      <c r="AF220" s="189"/>
      <c r="AG220" s="124"/>
      <c r="AH220" s="124"/>
      <c r="AI220" s="124"/>
      <c r="AJ220" s="125"/>
      <c r="AK220" s="189"/>
      <c r="AL220" s="124"/>
      <c r="AM220" s="124"/>
      <c r="AN220" s="124"/>
      <c r="AO220" s="125"/>
      <c r="AP220" s="189"/>
      <c r="AQ220" s="124"/>
      <c r="AR220" s="124"/>
      <c r="AS220" s="124"/>
      <c r="AT220" s="124"/>
      <c r="AU220" s="124"/>
      <c r="AV220" s="124"/>
      <c r="AW220" s="124"/>
      <c r="AX220" s="124"/>
      <c r="AY220" s="124"/>
      <c r="AZ220" s="124"/>
      <c r="BA220" s="124"/>
      <c r="BB220" s="124"/>
      <c r="BC220" s="124"/>
    </row>
    <row r="221">
      <c r="A221" s="125"/>
      <c r="B221" s="189"/>
      <c r="C221" s="124"/>
      <c r="D221" s="124"/>
      <c r="E221" s="124"/>
      <c r="F221" s="125"/>
      <c r="G221" s="189"/>
      <c r="H221" s="124"/>
      <c r="I221" s="124"/>
      <c r="J221" s="124"/>
      <c r="K221" s="102"/>
      <c r="L221" s="189"/>
      <c r="M221" s="124"/>
      <c r="N221" s="124"/>
      <c r="O221" s="124"/>
      <c r="P221" s="102"/>
      <c r="Q221" s="161"/>
      <c r="R221" s="124"/>
      <c r="S221" s="124"/>
      <c r="T221" s="124"/>
      <c r="U221" s="125"/>
      <c r="V221" s="189"/>
      <c r="W221" s="124"/>
      <c r="X221" s="124"/>
      <c r="Y221" s="124"/>
      <c r="Z221" s="125"/>
      <c r="AA221" s="189"/>
      <c r="AB221" s="124"/>
      <c r="AC221" s="124"/>
      <c r="AD221" s="124"/>
      <c r="AE221" s="125"/>
      <c r="AF221" s="189"/>
      <c r="AG221" s="124"/>
      <c r="AH221" s="124"/>
      <c r="AI221" s="124"/>
      <c r="AJ221" s="125"/>
      <c r="AK221" s="189"/>
      <c r="AL221" s="124"/>
      <c r="AM221" s="124"/>
      <c r="AN221" s="124"/>
      <c r="AO221" s="125"/>
      <c r="AP221" s="189"/>
      <c r="AQ221" s="124"/>
      <c r="AR221" s="124"/>
      <c r="AS221" s="124"/>
      <c r="AT221" s="124"/>
      <c r="AU221" s="124"/>
      <c r="AV221" s="124"/>
      <c r="AW221" s="124"/>
      <c r="AX221" s="124"/>
      <c r="AY221" s="124"/>
      <c r="AZ221" s="124"/>
      <c r="BA221" s="124"/>
      <c r="BB221" s="124"/>
      <c r="BC221" s="124"/>
    </row>
    <row r="222">
      <c r="A222" s="125"/>
      <c r="B222" s="189"/>
      <c r="C222" s="124"/>
      <c r="D222" s="124"/>
      <c r="E222" s="124"/>
      <c r="F222" s="125"/>
      <c r="G222" s="189"/>
      <c r="H222" s="124"/>
      <c r="I222" s="124"/>
      <c r="J222" s="124"/>
      <c r="K222" s="102"/>
      <c r="L222" s="189"/>
      <c r="M222" s="124"/>
      <c r="N222" s="124"/>
      <c r="O222" s="124"/>
      <c r="P222" s="102"/>
      <c r="Q222" s="161"/>
      <c r="R222" s="124"/>
      <c r="S222" s="124"/>
      <c r="T222" s="124"/>
      <c r="U222" s="125"/>
      <c r="V222" s="189"/>
      <c r="W222" s="124"/>
      <c r="X222" s="124"/>
      <c r="Y222" s="124"/>
      <c r="Z222" s="125"/>
      <c r="AA222" s="189"/>
      <c r="AB222" s="124"/>
      <c r="AC222" s="124"/>
      <c r="AD222" s="124"/>
      <c r="AE222" s="125"/>
      <c r="AF222" s="189"/>
      <c r="AG222" s="124"/>
      <c r="AH222" s="124"/>
      <c r="AI222" s="124"/>
      <c r="AJ222" s="125"/>
      <c r="AK222" s="189"/>
      <c r="AL222" s="124"/>
      <c r="AM222" s="124"/>
      <c r="AN222" s="124"/>
      <c r="AO222" s="125"/>
      <c r="AP222" s="189"/>
      <c r="AQ222" s="124"/>
      <c r="AR222" s="124"/>
      <c r="AS222" s="124"/>
      <c r="AT222" s="124"/>
      <c r="AU222" s="124"/>
      <c r="AV222" s="124"/>
      <c r="AW222" s="124"/>
      <c r="AX222" s="124"/>
      <c r="AY222" s="124"/>
      <c r="AZ222" s="124"/>
      <c r="BA222" s="124"/>
      <c r="BB222" s="124"/>
      <c r="BC222" s="124"/>
    </row>
    <row r="223">
      <c r="A223" s="125"/>
      <c r="B223" s="189"/>
      <c r="C223" s="124"/>
      <c r="D223" s="124"/>
      <c r="E223" s="124"/>
      <c r="F223" s="125"/>
      <c r="G223" s="189"/>
      <c r="H223" s="124"/>
      <c r="I223" s="124"/>
      <c r="J223" s="124"/>
      <c r="K223" s="102"/>
      <c r="L223" s="189"/>
      <c r="M223" s="124"/>
      <c r="N223" s="124"/>
      <c r="O223" s="124"/>
      <c r="P223" s="102"/>
      <c r="Q223" s="161"/>
      <c r="R223" s="124"/>
      <c r="S223" s="124"/>
      <c r="T223" s="124"/>
      <c r="U223" s="125"/>
      <c r="V223" s="189"/>
      <c r="W223" s="124"/>
      <c r="X223" s="124"/>
      <c r="Y223" s="124"/>
      <c r="Z223" s="125"/>
      <c r="AA223" s="189"/>
      <c r="AB223" s="124"/>
      <c r="AC223" s="124"/>
      <c r="AD223" s="124"/>
      <c r="AE223" s="125"/>
      <c r="AF223" s="189"/>
      <c r="AG223" s="124"/>
      <c r="AH223" s="124"/>
      <c r="AI223" s="124"/>
      <c r="AJ223" s="125"/>
      <c r="AK223" s="189"/>
      <c r="AL223" s="124"/>
      <c r="AM223" s="124"/>
      <c r="AN223" s="124"/>
      <c r="AO223" s="125"/>
      <c r="AP223" s="189"/>
      <c r="AQ223" s="124"/>
      <c r="AR223" s="124"/>
      <c r="AS223" s="124"/>
      <c r="AT223" s="124"/>
      <c r="AU223" s="124"/>
      <c r="AV223" s="124"/>
      <c r="AW223" s="124"/>
      <c r="AX223" s="124"/>
      <c r="AY223" s="124"/>
      <c r="AZ223" s="124"/>
      <c r="BA223" s="124"/>
      <c r="BB223" s="124"/>
      <c r="BC223" s="124"/>
    </row>
    <row r="224">
      <c r="A224" s="125"/>
      <c r="B224" s="189"/>
      <c r="C224" s="124"/>
      <c r="D224" s="124"/>
      <c r="E224" s="124"/>
      <c r="F224" s="125"/>
      <c r="G224" s="189"/>
      <c r="H224" s="124"/>
      <c r="I224" s="124"/>
      <c r="J224" s="124"/>
      <c r="K224" s="102"/>
      <c r="L224" s="189"/>
      <c r="M224" s="124"/>
      <c r="N224" s="124"/>
      <c r="O224" s="124"/>
      <c r="P224" s="102"/>
      <c r="Q224" s="161"/>
      <c r="R224" s="124"/>
      <c r="S224" s="124"/>
      <c r="T224" s="124"/>
      <c r="U224" s="125"/>
      <c r="V224" s="189"/>
      <c r="W224" s="124"/>
      <c r="X224" s="124"/>
      <c r="Y224" s="124"/>
      <c r="Z224" s="125"/>
      <c r="AA224" s="189"/>
      <c r="AB224" s="124"/>
      <c r="AC224" s="124"/>
      <c r="AD224" s="124"/>
      <c r="AE224" s="125"/>
      <c r="AF224" s="189"/>
      <c r="AG224" s="124"/>
      <c r="AH224" s="124"/>
      <c r="AI224" s="124"/>
      <c r="AJ224" s="125"/>
      <c r="AK224" s="189"/>
      <c r="AL224" s="124"/>
      <c r="AM224" s="124"/>
      <c r="AN224" s="124"/>
      <c r="AO224" s="125"/>
      <c r="AP224" s="189"/>
      <c r="AQ224" s="124"/>
      <c r="AR224" s="124"/>
      <c r="AS224" s="124"/>
      <c r="AT224" s="124"/>
      <c r="AU224" s="124"/>
      <c r="AV224" s="124"/>
      <c r="AW224" s="124"/>
      <c r="AX224" s="124"/>
      <c r="AY224" s="124"/>
      <c r="AZ224" s="124"/>
      <c r="BA224" s="124"/>
      <c r="BB224" s="124"/>
      <c r="BC224" s="124"/>
    </row>
    <row r="225">
      <c r="A225" s="125"/>
      <c r="B225" s="189"/>
      <c r="C225" s="124"/>
      <c r="D225" s="124"/>
      <c r="E225" s="124"/>
      <c r="F225" s="125"/>
      <c r="G225" s="189"/>
      <c r="H225" s="124"/>
      <c r="I225" s="124"/>
      <c r="J225" s="124"/>
      <c r="K225" s="102"/>
      <c r="L225" s="189"/>
      <c r="M225" s="124"/>
      <c r="N225" s="124"/>
      <c r="O225" s="124"/>
      <c r="P225" s="102"/>
      <c r="Q225" s="161"/>
      <c r="R225" s="124"/>
      <c r="S225" s="124"/>
      <c r="T225" s="124"/>
      <c r="U225" s="125"/>
      <c r="V225" s="189"/>
      <c r="W225" s="124"/>
      <c r="X225" s="124"/>
      <c r="Y225" s="124"/>
      <c r="Z225" s="125"/>
      <c r="AA225" s="189"/>
      <c r="AB225" s="124"/>
      <c r="AC225" s="124"/>
      <c r="AD225" s="124"/>
      <c r="AE225" s="125"/>
      <c r="AF225" s="189"/>
      <c r="AG225" s="124"/>
      <c r="AH225" s="124"/>
      <c r="AI225" s="124"/>
      <c r="AJ225" s="125"/>
      <c r="AK225" s="189"/>
      <c r="AL225" s="124"/>
      <c r="AM225" s="124"/>
      <c r="AN225" s="124"/>
      <c r="AO225" s="125"/>
      <c r="AP225" s="189"/>
      <c r="AQ225" s="124"/>
      <c r="AR225" s="124"/>
      <c r="AS225" s="124"/>
      <c r="AT225" s="124"/>
      <c r="AU225" s="124"/>
      <c r="AV225" s="124"/>
      <c r="AW225" s="124"/>
      <c r="AX225" s="124"/>
      <c r="AY225" s="124"/>
      <c r="AZ225" s="124"/>
      <c r="BA225" s="124"/>
      <c r="BB225" s="124"/>
      <c r="BC225" s="124"/>
    </row>
    <row r="226">
      <c r="A226" s="125"/>
      <c r="B226" s="189"/>
      <c r="C226" s="124"/>
      <c r="D226" s="124"/>
      <c r="E226" s="124"/>
      <c r="F226" s="125"/>
      <c r="G226" s="189"/>
      <c r="H226" s="124"/>
      <c r="I226" s="124"/>
      <c r="J226" s="124"/>
      <c r="K226" s="102"/>
      <c r="L226" s="189"/>
      <c r="M226" s="124"/>
      <c r="N226" s="124"/>
      <c r="O226" s="124"/>
      <c r="P226" s="102"/>
      <c r="Q226" s="161"/>
      <c r="R226" s="124"/>
      <c r="S226" s="124"/>
      <c r="T226" s="124"/>
      <c r="U226" s="125"/>
      <c r="V226" s="189"/>
      <c r="W226" s="124"/>
      <c r="X226" s="124"/>
      <c r="Y226" s="124"/>
      <c r="Z226" s="125"/>
      <c r="AA226" s="189"/>
      <c r="AB226" s="124"/>
      <c r="AC226" s="124"/>
      <c r="AD226" s="124"/>
      <c r="AE226" s="125"/>
      <c r="AF226" s="189"/>
      <c r="AG226" s="124"/>
      <c r="AH226" s="124"/>
      <c r="AI226" s="124"/>
      <c r="AJ226" s="125"/>
      <c r="AK226" s="189"/>
      <c r="AL226" s="124"/>
      <c r="AM226" s="124"/>
      <c r="AN226" s="124"/>
      <c r="AO226" s="125"/>
      <c r="AP226" s="189"/>
      <c r="AQ226" s="124"/>
      <c r="AR226" s="124"/>
      <c r="AS226" s="124"/>
      <c r="AT226" s="124"/>
      <c r="AU226" s="124"/>
      <c r="AV226" s="124"/>
      <c r="AW226" s="124"/>
      <c r="AX226" s="124"/>
      <c r="AY226" s="124"/>
      <c r="AZ226" s="124"/>
      <c r="BA226" s="124"/>
      <c r="BB226" s="124"/>
      <c r="BC226" s="124"/>
    </row>
    <row r="227">
      <c r="A227" s="125"/>
      <c r="B227" s="189"/>
      <c r="C227" s="124"/>
      <c r="D227" s="124"/>
      <c r="E227" s="124"/>
      <c r="F227" s="125"/>
      <c r="G227" s="189"/>
      <c r="H227" s="124"/>
      <c r="I227" s="124"/>
      <c r="J227" s="124"/>
      <c r="K227" s="102"/>
      <c r="L227" s="189"/>
      <c r="M227" s="124"/>
      <c r="N227" s="124"/>
      <c r="O227" s="124"/>
      <c r="P227" s="102"/>
      <c r="Q227" s="161"/>
      <c r="R227" s="124"/>
      <c r="S227" s="124"/>
      <c r="T227" s="124"/>
      <c r="U227" s="125"/>
      <c r="V227" s="189"/>
      <c r="W227" s="124"/>
      <c r="X227" s="124"/>
      <c r="Y227" s="124"/>
      <c r="Z227" s="125"/>
      <c r="AA227" s="189"/>
      <c r="AB227" s="124"/>
      <c r="AC227" s="124"/>
      <c r="AD227" s="124"/>
      <c r="AE227" s="125"/>
      <c r="AF227" s="189"/>
      <c r="AG227" s="124"/>
      <c r="AH227" s="124"/>
      <c r="AI227" s="124"/>
      <c r="AJ227" s="125"/>
      <c r="AK227" s="189"/>
      <c r="AL227" s="124"/>
      <c r="AM227" s="124"/>
      <c r="AN227" s="124"/>
      <c r="AO227" s="125"/>
      <c r="AP227" s="189"/>
      <c r="AQ227" s="124"/>
      <c r="AR227" s="124"/>
      <c r="AS227" s="124"/>
      <c r="AT227" s="124"/>
      <c r="AU227" s="124"/>
      <c r="AV227" s="124"/>
      <c r="AW227" s="124"/>
      <c r="AX227" s="124"/>
      <c r="AY227" s="124"/>
      <c r="AZ227" s="124"/>
      <c r="BA227" s="124"/>
      <c r="BB227" s="124"/>
      <c r="BC227" s="124"/>
    </row>
    <row r="228">
      <c r="A228" s="125"/>
      <c r="B228" s="189"/>
      <c r="C228" s="124"/>
      <c r="D228" s="124"/>
      <c r="E228" s="124"/>
      <c r="F228" s="125"/>
      <c r="G228" s="189"/>
      <c r="H228" s="124"/>
      <c r="I228" s="124"/>
      <c r="J228" s="124"/>
      <c r="K228" s="102"/>
      <c r="L228" s="189"/>
      <c r="M228" s="124"/>
      <c r="N228" s="124"/>
      <c r="O228" s="124"/>
      <c r="P228" s="102"/>
      <c r="Q228" s="161"/>
      <c r="R228" s="124"/>
      <c r="S228" s="124"/>
      <c r="T228" s="124"/>
      <c r="U228" s="125"/>
      <c r="V228" s="189"/>
      <c r="W228" s="124"/>
      <c r="X228" s="124"/>
      <c r="Y228" s="124"/>
      <c r="Z228" s="125"/>
      <c r="AA228" s="189"/>
      <c r="AB228" s="124"/>
      <c r="AC228" s="124"/>
      <c r="AD228" s="124"/>
      <c r="AE228" s="125"/>
      <c r="AF228" s="189"/>
      <c r="AG228" s="124"/>
      <c r="AH228" s="124"/>
      <c r="AI228" s="124"/>
      <c r="AJ228" s="125"/>
      <c r="AK228" s="189"/>
      <c r="AL228" s="124"/>
      <c r="AM228" s="124"/>
      <c r="AN228" s="124"/>
      <c r="AO228" s="125"/>
      <c r="AP228" s="189"/>
      <c r="AQ228" s="124"/>
      <c r="AR228" s="124"/>
      <c r="AS228" s="124"/>
      <c r="AT228" s="124"/>
      <c r="AU228" s="124"/>
      <c r="AV228" s="124"/>
      <c r="AW228" s="124"/>
      <c r="AX228" s="124"/>
      <c r="AY228" s="124"/>
      <c r="AZ228" s="124"/>
      <c r="BA228" s="124"/>
      <c r="BB228" s="124"/>
      <c r="BC228" s="124"/>
    </row>
    <row r="229">
      <c r="A229" s="125"/>
      <c r="B229" s="189"/>
      <c r="C229" s="124"/>
      <c r="D229" s="124"/>
      <c r="E229" s="124"/>
      <c r="F229" s="125"/>
      <c r="G229" s="189"/>
      <c r="H229" s="124"/>
      <c r="I229" s="124"/>
      <c r="J229" s="124"/>
      <c r="K229" s="102"/>
      <c r="L229" s="189"/>
      <c r="M229" s="124"/>
      <c r="N229" s="124"/>
      <c r="O229" s="124"/>
      <c r="P229" s="102"/>
      <c r="Q229" s="161"/>
      <c r="R229" s="124"/>
      <c r="S229" s="124"/>
      <c r="T229" s="124"/>
      <c r="U229" s="125"/>
      <c r="V229" s="189"/>
      <c r="W229" s="124"/>
      <c r="X229" s="124"/>
      <c r="Y229" s="124"/>
      <c r="Z229" s="125"/>
      <c r="AA229" s="189"/>
      <c r="AB229" s="124"/>
      <c r="AC229" s="124"/>
      <c r="AD229" s="124"/>
      <c r="AE229" s="125"/>
      <c r="AF229" s="189"/>
      <c r="AG229" s="124"/>
      <c r="AH229" s="124"/>
      <c r="AI229" s="124"/>
      <c r="AJ229" s="125"/>
      <c r="AK229" s="189"/>
      <c r="AL229" s="124"/>
      <c r="AM229" s="124"/>
      <c r="AN229" s="124"/>
      <c r="AO229" s="125"/>
      <c r="AP229" s="189"/>
      <c r="AQ229" s="124"/>
      <c r="AR229" s="124"/>
      <c r="AS229" s="124"/>
      <c r="AT229" s="124"/>
      <c r="AU229" s="124"/>
      <c r="AV229" s="124"/>
      <c r="AW229" s="124"/>
      <c r="AX229" s="124"/>
      <c r="AY229" s="124"/>
      <c r="AZ229" s="124"/>
      <c r="BA229" s="124"/>
      <c r="BB229" s="124"/>
      <c r="BC229" s="124"/>
    </row>
    <row r="230">
      <c r="A230" s="125"/>
      <c r="B230" s="189"/>
      <c r="C230" s="124"/>
      <c r="D230" s="124"/>
      <c r="E230" s="124"/>
      <c r="F230" s="125"/>
      <c r="G230" s="189"/>
      <c r="H230" s="124"/>
      <c r="I230" s="124"/>
      <c r="J230" s="124"/>
      <c r="K230" s="102"/>
      <c r="L230" s="189"/>
      <c r="M230" s="124"/>
      <c r="N230" s="124"/>
      <c r="O230" s="124"/>
      <c r="P230" s="102"/>
      <c r="Q230" s="161"/>
      <c r="R230" s="124"/>
      <c r="S230" s="124"/>
      <c r="T230" s="124"/>
      <c r="U230" s="125"/>
      <c r="V230" s="189"/>
      <c r="W230" s="124"/>
      <c r="X230" s="124"/>
      <c r="Y230" s="124"/>
      <c r="Z230" s="125"/>
      <c r="AA230" s="189"/>
      <c r="AB230" s="124"/>
      <c r="AC230" s="124"/>
      <c r="AD230" s="124"/>
      <c r="AE230" s="125"/>
      <c r="AF230" s="189"/>
      <c r="AG230" s="124"/>
      <c r="AH230" s="124"/>
      <c r="AI230" s="124"/>
      <c r="AJ230" s="125"/>
      <c r="AK230" s="189"/>
      <c r="AL230" s="124"/>
      <c r="AM230" s="124"/>
      <c r="AN230" s="124"/>
      <c r="AO230" s="125"/>
      <c r="AP230" s="189"/>
      <c r="AQ230" s="124"/>
      <c r="AR230" s="124"/>
      <c r="AS230" s="124"/>
      <c r="AT230" s="124"/>
      <c r="AU230" s="124"/>
      <c r="AV230" s="124"/>
      <c r="AW230" s="124"/>
      <c r="AX230" s="124"/>
      <c r="AY230" s="124"/>
      <c r="AZ230" s="124"/>
      <c r="BA230" s="124"/>
      <c r="BB230" s="124"/>
      <c r="BC230" s="124"/>
    </row>
    <row r="231">
      <c r="A231" s="125"/>
      <c r="B231" s="189"/>
      <c r="C231" s="124"/>
      <c r="D231" s="124"/>
      <c r="E231" s="124"/>
      <c r="F231" s="125"/>
      <c r="G231" s="189"/>
      <c r="H231" s="124"/>
      <c r="I231" s="124"/>
      <c r="J231" s="124"/>
      <c r="K231" s="102"/>
      <c r="L231" s="189"/>
      <c r="M231" s="124"/>
      <c r="N231" s="124"/>
      <c r="O231" s="124"/>
      <c r="P231" s="102"/>
      <c r="Q231" s="161"/>
      <c r="R231" s="124"/>
      <c r="S231" s="124"/>
      <c r="T231" s="124"/>
      <c r="U231" s="125"/>
      <c r="V231" s="189"/>
      <c r="W231" s="124"/>
      <c r="X231" s="124"/>
      <c r="Y231" s="124"/>
      <c r="Z231" s="125"/>
      <c r="AA231" s="189"/>
      <c r="AB231" s="124"/>
      <c r="AC231" s="124"/>
      <c r="AD231" s="124"/>
      <c r="AE231" s="125"/>
      <c r="AF231" s="189"/>
      <c r="AG231" s="124"/>
      <c r="AH231" s="124"/>
      <c r="AI231" s="124"/>
      <c r="AJ231" s="125"/>
      <c r="AK231" s="189"/>
      <c r="AL231" s="124"/>
      <c r="AM231" s="124"/>
      <c r="AN231" s="124"/>
      <c r="AO231" s="125"/>
      <c r="AP231" s="189"/>
      <c r="AQ231" s="124"/>
      <c r="AR231" s="124"/>
      <c r="AS231" s="124"/>
      <c r="AT231" s="124"/>
      <c r="AU231" s="124"/>
      <c r="AV231" s="124"/>
      <c r="AW231" s="124"/>
      <c r="AX231" s="124"/>
      <c r="AY231" s="124"/>
      <c r="AZ231" s="124"/>
      <c r="BA231" s="124"/>
      <c r="BB231" s="124"/>
      <c r="BC231" s="124"/>
    </row>
    <row r="232">
      <c r="A232" s="125"/>
      <c r="B232" s="189"/>
      <c r="C232" s="124"/>
      <c r="D232" s="124"/>
      <c r="E232" s="124"/>
      <c r="F232" s="125"/>
      <c r="G232" s="189"/>
      <c r="H232" s="124"/>
      <c r="I232" s="124"/>
      <c r="J232" s="124"/>
      <c r="K232" s="102"/>
      <c r="L232" s="189"/>
      <c r="M232" s="124"/>
      <c r="N232" s="124"/>
      <c r="O232" s="124"/>
      <c r="P232" s="102"/>
      <c r="Q232" s="161"/>
      <c r="R232" s="124"/>
      <c r="S232" s="124"/>
      <c r="T232" s="124"/>
      <c r="U232" s="125"/>
      <c r="V232" s="189"/>
      <c r="W232" s="124"/>
      <c r="X232" s="124"/>
      <c r="Y232" s="124"/>
      <c r="Z232" s="125"/>
      <c r="AA232" s="189"/>
      <c r="AB232" s="124"/>
      <c r="AC232" s="124"/>
      <c r="AD232" s="124"/>
      <c r="AE232" s="125"/>
      <c r="AF232" s="189"/>
      <c r="AG232" s="124"/>
      <c r="AH232" s="124"/>
      <c r="AI232" s="124"/>
      <c r="AJ232" s="125"/>
      <c r="AK232" s="189"/>
      <c r="AL232" s="124"/>
      <c r="AM232" s="124"/>
      <c r="AN232" s="124"/>
      <c r="AO232" s="125"/>
      <c r="AP232" s="189"/>
      <c r="AQ232" s="124"/>
      <c r="AR232" s="124"/>
      <c r="AS232" s="124"/>
      <c r="AT232" s="124"/>
      <c r="AU232" s="124"/>
      <c r="AV232" s="124"/>
      <c r="AW232" s="124"/>
      <c r="AX232" s="124"/>
      <c r="AY232" s="124"/>
      <c r="AZ232" s="124"/>
      <c r="BA232" s="124"/>
      <c r="BB232" s="124"/>
      <c r="BC232" s="124"/>
    </row>
    <row r="233">
      <c r="A233" s="125"/>
      <c r="B233" s="189"/>
      <c r="C233" s="124"/>
      <c r="D233" s="124"/>
      <c r="E233" s="124"/>
      <c r="F233" s="125"/>
      <c r="G233" s="189"/>
      <c r="H233" s="124"/>
      <c r="I233" s="124"/>
      <c r="J233" s="124"/>
      <c r="K233" s="102"/>
      <c r="L233" s="189"/>
      <c r="M233" s="124"/>
      <c r="N233" s="124"/>
      <c r="O233" s="124"/>
      <c r="P233" s="102"/>
      <c r="Q233" s="161"/>
      <c r="R233" s="124"/>
      <c r="S233" s="124"/>
      <c r="T233" s="124"/>
      <c r="U233" s="125"/>
      <c r="V233" s="189"/>
      <c r="W233" s="124"/>
      <c r="X233" s="124"/>
      <c r="Y233" s="124"/>
      <c r="Z233" s="125"/>
      <c r="AA233" s="189"/>
      <c r="AB233" s="124"/>
      <c r="AC233" s="124"/>
      <c r="AD233" s="124"/>
      <c r="AE233" s="125"/>
      <c r="AF233" s="189"/>
      <c r="AG233" s="124"/>
      <c r="AH233" s="124"/>
      <c r="AI233" s="124"/>
      <c r="AJ233" s="125"/>
      <c r="AK233" s="189"/>
      <c r="AL233" s="124"/>
      <c r="AM233" s="124"/>
      <c r="AN233" s="124"/>
      <c r="AO233" s="125"/>
      <c r="AP233" s="189"/>
      <c r="AQ233" s="124"/>
      <c r="AR233" s="124"/>
      <c r="AS233" s="124"/>
      <c r="AT233" s="124"/>
      <c r="AU233" s="124"/>
      <c r="AV233" s="124"/>
      <c r="AW233" s="124"/>
      <c r="AX233" s="124"/>
      <c r="AY233" s="124"/>
      <c r="AZ233" s="124"/>
      <c r="BA233" s="124"/>
      <c r="BB233" s="124"/>
      <c r="BC233" s="124"/>
    </row>
    <row r="234">
      <c r="A234" s="125"/>
      <c r="B234" s="189"/>
      <c r="C234" s="124"/>
      <c r="D234" s="124"/>
      <c r="E234" s="124"/>
      <c r="F234" s="125"/>
      <c r="G234" s="189"/>
      <c r="H234" s="124"/>
      <c r="I234" s="124"/>
      <c r="J234" s="124"/>
      <c r="K234" s="102"/>
      <c r="L234" s="189"/>
      <c r="M234" s="124"/>
      <c r="N234" s="124"/>
      <c r="O234" s="124"/>
      <c r="P234" s="102"/>
      <c r="Q234" s="161"/>
      <c r="R234" s="124"/>
      <c r="S234" s="124"/>
      <c r="T234" s="124"/>
      <c r="U234" s="125"/>
      <c r="V234" s="189"/>
      <c r="W234" s="124"/>
      <c r="X234" s="124"/>
      <c r="Y234" s="124"/>
      <c r="Z234" s="125"/>
      <c r="AA234" s="189"/>
      <c r="AB234" s="124"/>
      <c r="AC234" s="124"/>
      <c r="AD234" s="124"/>
      <c r="AE234" s="125"/>
      <c r="AF234" s="189"/>
      <c r="AG234" s="124"/>
      <c r="AH234" s="124"/>
      <c r="AI234" s="124"/>
      <c r="AJ234" s="125"/>
      <c r="AK234" s="189"/>
      <c r="AL234" s="124"/>
      <c r="AM234" s="124"/>
      <c r="AN234" s="124"/>
      <c r="AO234" s="125"/>
      <c r="AP234" s="189"/>
      <c r="AQ234" s="124"/>
      <c r="AR234" s="124"/>
      <c r="AS234" s="124"/>
      <c r="AT234" s="124"/>
      <c r="AU234" s="124"/>
      <c r="AV234" s="124"/>
      <c r="AW234" s="124"/>
      <c r="AX234" s="124"/>
      <c r="AY234" s="124"/>
      <c r="AZ234" s="124"/>
      <c r="BA234" s="124"/>
      <c r="BB234" s="124"/>
      <c r="BC234" s="124"/>
    </row>
    <row r="235">
      <c r="A235" s="125"/>
      <c r="B235" s="189"/>
      <c r="C235" s="124"/>
      <c r="D235" s="124"/>
      <c r="E235" s="124"/>
      <c r="F235" s="125"/>
      <c r="G235" s="189"/>
      <c r="H235" s="124"/>
      <c r="I235" s="124"/>
      <c r="J235" s="124"/>
      <c r="K235" s="102"/>
      <c r="L235" s="189"/>
      <c r="M235" s="124"/>
      <c r="N235" s="124"/>
      <c r="O235" s="124"/>
      <c r="P235" s="102"/>
      <c r="Q235" s="161"/>
      <c r="R235" s="124"/>
      <c r="S235" s="124"/>
      <c r="T235" s="124"/>
      <c r="U235" s="125"/>
      <c r="V235" s="189"/>
      <c r="W235" s="124"/>
      <c r="X235" s="124"/>
      <c r="Y235" s="124"/>
      <c r="Z235" s="125"/>
      <c r="AA235" s="189"/>
      <c r="AB235" s="124"/>
      <c r="AC235" s="124"/>
      <c r="AD235" s="124"/>
      <c r="AE235" s="125"/>
      <c r="AF235" s="189"/>
      <c r="AG235" s="124"/>
      <c r="AH235" s="124"/>
      <c r="AI235" s="124"/>
      <c r="AJ235" s="125"/>
      <c r="AK235" s="189"/>
      <c r="AL235" s="124"/>
      <c r="AM235" s="124"/>
      <c r="AN235" s="124"/>
      <c r="AO235" s="125"/>
      <c r="AP235" s="189"/>
      <c r="AQ235" s="124"/>
      <c r="AR235" s="124"/>
      <c r="AS235" s="124"/>
      <c r="AT235" s="124"/>
      <c r="AU235" s="124"/>
      <c r="AV235" s="124"/>
      <c r="AW235" s="124"/>
      <c r="AX235" s="124"/>
      <c r="AY235" s="124"/>
      <c r="AZ235" s="124"/>
      <c r="BA235" s="124"/>
      <c r="BB235" s="124"/>
      <c r="BC235" s="124"/>
    </row>
    <row r="236">
      <c r="A236" s="125"/>
      <c r="B236" s="189"/>
      <c r="C236" s="124"/>
      <c r="D236" s="124"/>
      <c r="E236" s="124"/>
      <c r="F236" s="125"/>
      <c r="G236" s="189"/>
      <c r="H236" s="124"/>
      <c r="I236" s="124"/>
      <c r="J236" s="124"/>
      <c r="K236" s="102"/>
      <c r="L236" s="189"/>
      <c r="M236" s="124"/>
      <c r="N236" s="124"/>
      <c r="O236" s="124"/>
      <c r="P236" s="102"/>
      <c r="Q236" s="161"/>
      <c r="R236" s="124"/>
      <c r="S236" s="124"/>
      <c r="T236" s="124"/>
      <c r="U236" s="125"/>
      <c r="V236" s="189"/>
      <c r="W236" s="124"/>
      <c r="X236" s="124"/>
      <c r="Y236" s="124"/>
      <c r="Z236" s="125"/>
      <c r="AA236" s="189"/>
      <c r="AB236" s="124"/>
      <c r="AC236" s="124"/>
      <c r="AD236" s="124"/>
      <c r="AE236" s="125"/>
      <c r="AF236" s="189"/>
      <c r="AG236" s="124"/>
      <c r="AH236" s="124"/>
      <c r="AI236" s="124"/>
      <c r="AJ236" s="125"/>
      <c r="AK236" s="189"/>
      <c r="AL236" s="124"/>
      <c r="AM236" s="124"/>
      <c r="AN236" s="124"/>
      <c r="AO236" s="125"/>
      <c r="AP236" s="189"/>
      <c r="AQ236" s="124"/>
      <c r="AR236" s="124"/>
      <c r="AS236" s="124"/>
      <c r="AT236" s="124"/>
      <c r="AU236" s="124"/>
      <c r="AV236" s="124"/>
      <c r="AW236" s="124"/>
      <c r="AX236" s="124"/>
      <c r="AY236" s="124"/>
      <c r="AZ236" s="124"/>
      <c r="BA236" s="124"/>
      <c r="BB236" s="124"/>
      <c r="BC236" s="124"/>
    </row>
    <row r="237">
      <c r="A237" s="125"/>
      <c r="B237" s="189"/>
      <c r="C237" s="124"/>
      <c r="D237" s="124"/>
      <c r="E237" s="124"/>
      <c r="F237" s="125"/>
      <c r="G237" s="189"/>
      <c r="H237" s="124"/>
      <c r="I237" s="124"/>
      <c r="J237" s="124"/>
      <c r="K237" s="102"/>
      <c r="L237" s="189"/>
      <c r="M237" s="124"/>
      <c r="N237" s="124"/>
      <c r="O237" s="124"/>
      <c r="P237" s="102"/>
      <c r="Q237" s="161"/>
      <c r="R237" s="124"/>
      <c r="S237" s="124"/>
      <c r="T237" s="124"/>
      <c r="U237" s="125"/>
      <c r="V237" s="189"/>
      <c r="W237" s="124"/>
      <c r="X237" s="124"/>
      <c r="Y237" s="124"/>
      <c r="Z237" s="125"/>
      <c r="AA237" s="189"/>
      <c r="AB237" s="124"/>
      <c r="AC237" s="124"/>
      <c r="AD237" s="124"/>
      <c r="AE237" s="125"/>
      <c r="AF237" s="189"/>
      <c r="AG237" s="124"/>
      <c r="AH237" s="124"/>
      <c r="AI237" s="124"/>
      <c r="AJ237" s="125"/>
      <c r="AK237" s="189"/>
      <c r="AL237" s="124"/>
      <c r="AM237" s="124"/>
      <c r="AN237" s="124"/>
      <c r="AO237" s="125"/>
      <c r="AP237" s="189"/>
      <c r="AQ237" s="124"/>
      <c r="AR237" s="124"/>
      <c r="AS237" s="124"/>
      <c r="AT237" s="124"/>
      <c r="AU237" s="124"/>
      <c r="AV237" s="124"/>
      <c r="AW237" s="124"/>
      <c r="AX237" s="124"/>
      <c r="AY237" s="124"/>
      <c r="AZ237" s="124"/>
      <c r="BA237" s="124"/>
      <c r="BB237" s="124"/>
      <c r="BC237" s="124"/>
    </row>
    <row r="238">
      <c r="A238" s="125"/>
      <c r="B238" s="189"/>
      <c r="C238" s="124"/>
      <c r="D238" s="124"/>
      <c r="E238" s="124"/>
      <c r="F238" s="125"/>
      <c r="G238" s="189"/>
      <c r="H238" s="124"/>
      <c r="I238" s="124"/>
      <c r="J238" s="124"/>
      <c r="K238" s="102"/>
      <c r="L238" s="189"/>
      <c r="M238" s="124"/>
      <c r="N238" s="124"/>
      <c r="O238" s="124"/>
      <c r="P238" s="102"/>
      <c r="Q238" s="161"/>
      <c r="R238" s="124"/>
      <c r="S238" s="124"/>
      <c r="T238" s="124"/>
      <c r="U238" s="125"/>
      <c r="V238" s="189"/>
      <c r="W238" s="124"/>
      <c r="X238" s="124"/>
      <c r="Y238" s="124"/>
      <c r="Z238" s="125"/>
      <c r="AA238" s="189"/>
      <c r="AB238" s="124"/>
      <c r="AC238" s="124"/>
      <c r="AD238" s="124"/>
      <c r="AE238" s="125"/>
      <c r="AF238" s="189"/>
      <c r="AG238" s="124"/>
      <c r="AH238" s="124"/>
      <c r="AI238" s="124"/>
      <c r="AJ238" s="125"/>
      <c r="AK238" s="189"/>
      <c r="AL238" s="124"/>
      <c r="AM238" s="124"/>
      <c r="AN238" s="124"/>
      <c r="AO238" s="125"/>
      <c r="AP238" s="189"/>
      <c r="AQ238" s="124"/>
      <c r="AR238" s="124"/>
      <c r="AS238" s="124"/>
      <c r="AT238" s="124"/>
      <c r="AU238" s="124"/>
      <c r="AV238" s="124"/>
      <c r="AW238" s="124"/>
      <c r="AX238" s="124"/>
      <c r="AY238" s="124"/>
      <c r="AZ238" s="124"/>
      <c r="BA238" s="124"/>
      <c r="BB238" s="124"/>
      <c r="BC238" s="124"/>
    </row>
    <row r="239">
      <c r="A239" s="125"/>
      <c r="B239" s="189"/>
      <c r="C239" s="124"/>
      <c r="D239" s="124"/>
      <c r="E239" s="124"/>
      <c r="F239" s="125"/>
      <c r="G239" s="189"/>
      <c r="H239" s="124"/>
      <c r="I239" s="124"/>
      <c r="J239" s="124"/>
      <c r="K239" s="102"/>
      <c r="L239" s="189"/>
      <c r="M239" s="124"/>
      <c r="N239" s="124"/>
      <c r="O239" s="124"/>
      <c r="P239" s="102"/>
      <c r="Q239" s="161"/>
      <c r="R239" s="124"/>
      <c r="S239" s="124"/>
      <c r="T239" s="124"/>
      <c r="U239" s="125"/>
      <c r="V239" s="189"/>
      <c r="W239" s="124"/>
      <c r="X239" s="124"/>
      <c r="Y239" s="124"/>
      <c r="Z239" s="125"/>
      <c r="AA239" s="189"/>
      <c r="AB239" s="124"/>
      <c r="AC239" s="124"/>
      <c r="AD239" s="124"/>
      <c r="AE239" s="125"/>
      <c r="AF239" s="189"/>
      <c r="AG239" s="124"/>
      <c r="AH239" s="124"/>
      <c r="AI239" s="124"/>
      <c r="AJ239" s="125"/>
      <c r="AK239" s="189"/>
      <c r="AL239" s="124"/>
      <c r="AM239" s="124"/>
      <c r="AN239" s="124"/>
      <c r="AO239" s="125"/>
      <c r="AP239" s="189"/>
      <c r="AQ239" s="124"/>
      <c r="AR239" s="124"/>
      <c r="AS239" s="124"/>
      <c r="AT239" s="124"/>
      <c r="AU239" s="124"/>
      <c r="AV239" s="124"/>
      <c r="AW239" s="124"/>
      <c r="AX239" s="124"/>
      <c r="AY239" s="124"/>
      <c r="AZ239" s="124"/>
      <c r="BA239" s="124"/>
      <c r="BB239" s="124"/>
      <c r="BC239" s="124"/>
    </row>
    <row r="240">
      <c r="A240" s="125"/>
      <c r="B240" s="189"/>
      <c r="C240" s="124"/>
      <c r="D240" s="124"/>
      <c r="E240" s="124"/>
      <c r="F240" s="125"/>
      <c r="G240" s="189"/>
      <c r="H240" s="124"/>
      <c r="I240" s="124"/>
      <c r="J240" s="124"/>
      <c r="K240" s="102"/>
      <c r="L240" s="189"/>
      <c r="M240" s="124"/>
      <c r="N240" s="124"/>
      <c r="O240" s="124"/>
      <c r="P240" s="102"/>
      <c r="Q240" s="161"/>
      <c r="R240" s="124"/>
      <c r="S240" s="124"/>
      <c r="T240" s="124"/>
      <c r="U240" s="125"/>
      <c r="V240" s="189"/>
      <c r="W240" s="124"/>
      <c r="X240" s="124"/>
      <c r="Y240" s="124"/>
      <c r="Z240" s="125"/>
      <c r="AA240" s="189"/>
      <c r="AB240" s="124"/>
      <c r="AC240" s="124"/>
      <c r="AD240" s="124"/>
      <c r="AE240" s="125"/>
      <c r="AF240" s="189"/>
      <c r="AG240" s="124"/>
      <c r="AH240" s="124"/>
      <c r="AI240" s="124"/>
      <c r="AJ240" s="125"/>
      <c r="AK240" s="189"/>
      <c r="AL240" s="124"/>
      <c r="AM240" s="124"/>
      <c r="AN240" s="124"/>
      <c r="AO240" s="125"/>
      <c r="AP240" s="189"/>
      <c r="AQ240" s="124"/>
      <c r="AR240" s="124"/>
      <c r="AS240" s="124"/>
      <c r="AT240" s="124"/>
      <c r="AU240" s="124"/>
      <c r="AV240" s="124"/>
      <c r="AW240" s="124"/>
      <c r="AX240" s="124"/>
      <c r="AY240" s="124"/>
      <c r="AZ240" s="124"/>
      <c r="BA240" s="124"/>
      <c r="BB240" s="124"/>
      <c r="BC240" s="124"/>
    </row>
    <row r="241">
      <c r="A241" s="125"/>
      <c r="B241" s="189"/>
      <c r="C241" s="124"/>
      <c r="D241" s="124"/>
      <c r="E241" s="124"/>
      <c r="F241" s="125"/>
      <c r="G241" s="189"/>
      <c r="H241" s="124"/>
      <c r="I241" s="124"/>
      <c r="J241" s="124"/>
      <c r="K241" s="102"/>
      <c r="L241" s="189"/>
      <c r="M241" s="124"/>
      <c r="N241" s="124"/>
      <c r="O241" s="124"/>
      <c r="P241" s="102"/>
      <c r="Q241" s="161"/>
      <c r="R241" s="124"/>
      <c r="S241" s="124"/>
      <c r="T241" s="124"/>
      <c r="U241" s="125"/>
      <c r="V241" s="189"/>
      <c r="W241" s="124"/>
      <c r="X241" s="124"/>
      <c r="Y241" s="124"/>
      <c r="Z241" s="125"/>
      <c r="AA241" s="189"/>
      <c r="AB241" s="124"/>
      <c r="AC241" s="124"/>
      <c r="AD241" s="124"/>
      <c r="AE241" s="125"/>
      <c r="AF241" s="189"/>
      <c r="AG241" s="124"/>
      <c r="AH241" s="124"/>
      <c r="AI241" s="124"/>
      <c r="AJ241" s="125"/>
      <c r="AK241" s="189"/>
      <c r="AL241" s="124"/>
      <c r="AM241" s="124"/>
      <c r="AN241" s="124"/>
      <c r="AO241" s="125"/>
      <c r="AP241" s="189"/>
      <c r="AQ241" s="124"/>
      <c r="AR241" s="124"/>
      <c r="AS241" s="124"/>
      <c r="AT241" s="124"/>
      <c r="AU241" s="124"/>
      <c r="AV241" s="124"/>
      <c r="AW241" s="124"/>
      <c r="AX241" s="124"/>
      <c r="AY241" s="124"/>
      <c r="AZ241" s="124"/>
      <c r="BA241" s="124"/>
      <c r="BB241" s="124"/>
      <c r="BC241" s="124"/>
    </row>
    <row r="242">
      <c r="A242" s="125"/>
      <c r="B242" s="189"/>
      <c r="C242" s="124"/>
      <c r="D242" s="124"/>
      <c r="E242" s="124"/>
      <c r="F242" s="125"/>
      <c r="G242" s="189"/>
      <c r="H242" s="124"/>
      <c r="I242" s="124"/>
      <c r="J242" s="124"/>
      <c r="K242" s="102"/>
      <c r="L242" s="189"/>
      <c r="M242" s="124"/>
      <c r="N242" s="124"/>
      <c r="O242" s="124"/>
      <c r="P242" s="102"/>
      <c r="Q242" s="161"/>
      <c r="R242" s="124"/>
      <c r="S242" s="124"/>
      <c r="T242" s="124"/>
      <c r="U242" s="125"/>
      <c r="V242" s="189"/>
      <c r="W242" s="124"/>
      <c r="X242" s="124"/>
      <c r="Y242" s="124"/>
      <c r="Z242" s="125"/>
      <c r="AA242" s="189"/>
      <c r="AB242" s="124"/>
      <c r="AC242" s="124"/>
      <c r="AD242" s="124"/>
      <c r="AE242" s="125"/>
      <c r="AF242" s="189"/>
      <c r="AG242" s="124"/>
      <c r="AH242" s="124"/>
      <c r="AI242" s="124"/>
      <c r="AJ242" s="125"/>
      <c r="AK242" s="189"/>
      <c r="AL242" s="124"/>
      <c r="AM242" s="124"/>
      <c r="AN242" s="124"/>
      <c r="AO242" s="125"/>
      <c r="AP242" s="189"/>
      <c r="AQ242" s="124"/>
      <c r="AR242" s="124"/>
      <c r="AS242" s="124"/>
      <c r="AT242" s="124"/>
      <c r="AU242" s="124"/>
      <c r="AV242" s="124"/>
      <c r="AW242" s="124"/>
      <c r="AX242" s="124"/>
      <c r="AY242" s="124"/>
      <c r="AZ242" s="124"/>
      <c r="BA242" s="124"/>
      <c r="BB242" s="124"/>
      <c r="BC242" s="124"/>
    </row>
    <row r="243">
      <c r="A243" s="125"/>
      <c r="B243" s="189"/>
      <c r="C243" s="124"/>
      <c r="D243" s="124"/>
      <c r="E243" s="124"/>
      <c r="F243" s="125"/>
      <c r="G243" s="189"/>
      <c r="H243" s="124"/>
      <c r="I243" s="124"/>
      <c r="J243" s="124"/>
      <c r="K243" s="102"/>
      <c r="L243" s="189"/>
      <c r="M243" s="124"/>
      <c r="N243" s="124"/>
      <c r="O243" s="124"/>
      <c r="P243" s="102"/>
      <c r="Q243" s="161"/>
      <c r="R243" s="124"/>
      <c r="S243" s="124"/>
      <c r="T243" s="124"/>
      <c r="U243" s="125"/>
      <c r="V243" s="189"/>
      <c r="W243" s="124"/>
      <c r="X243" s="124"/>
      <c r="Y243" s="124"/>
      <c r="Z243" s="125"/>
      <c r="AA243" s="189"/>
      <c r="AB243" s="124"/>
      <c r="AC243" s="124"/>
      <c r="AD243" s="124"/>
      <c r="AE243" s="125"/>
      <c r="AF243" s="189"/>
      <c r="AG243" s="124"/>
      <c r="AH243" s="124"/>
      <c r="AI243" s="124"/>
      <c r="AJ243" s="125"/>
      <c r="AK243" s="189"/>
      <c r="AL243" s="124"/>
      <c r="AM243" s="124"/>
      <c r="AN243" s="124"/>
      <c r="AO243" s="125"/>
      <c r="AP243" s="189"/>
      <c r="AQ243" s="124"/>
      <c r="AR243" s="124"/>
      <c r="AS243" s="124"/>
      <c r="AT243" s="124"/>
      <c r="AU243" s="124"/>
      <c r="AV243" s="124"/>
      <c r="AW243" s="124"/>
      <c r="AX243" s="124"/>
      <c r="AY243" s="124"/>
      <c r="AZ243" s="124"/>
      <c r="BA243" s="124"/>
      <c r="BB243" s="124"/>
      <c r="BC243" s="124"/>
    </row>
    <row r="244">
      <c r="A244" s="125"/>
      <c r="B244" s="189"/>
      <c r="C244" s="124"/>
      <c r="D244" s="124"/>
      <c r="E244" s="124"/>
      <c r="F244" s="125"/>
      <c r="G244" s="189"/>
      <c r="H244" s="124"/>
      <c r="I244" s="124"/>
      <c r="J244" s="124"/>
      <c r="K244" s="102"/>
      <c r="L244" s="189"/>
      <c r="M244" s="124"/>
      <c r="N244" s="124"/>
      <c r="O244" s="124"/>
      <c r="P244" s="102"/>
      <c r="Q244" s="161"/>
      <c r="R244" s="124"/>
      <c r="S244" s="124"/>
      <c r="T244" s="124"/>
      <c r="U244" s="125"/>
      <c r="V244" s="189"/>
      <c r="W244" s="124"/>
      <c r="X244" s="124"/>
      <c r="Y244" s="124"/>
      <c r="Z244" s="125"/>
      <c r="AA244" s="189"/>
      <c r="AB244" s="124"/>
      <c r="AC244" s="124"/>
      <c r="AD244" s="124"/>
      <c r="AE244" s="125"/>
      <c r="AF244" s="189"/>
      <c r="AG244" s="124"/>
      <c r="AH244" s="124"/>
      <c r="AI244" s="124"/>
      <c r="AJ244" s="125"/>
      <c r="AK244" s="189"/>
      <c r="AL244" s="124"/>
      <c r="AM244" s="124"/>
      <c r="AN244" s="124"/>
      <c r="AO244" s="125"/>
      <c r="AP244" s="189"/>
      <c r="AQ244" s="124"/>
      <c r="AR244" s="124"/>
      <c r="AS244" s="124"/>
      <c r="AT244" s="124"/>
      <c r="AU244" s="124"/>
      <c r="AV244" s="124"/>
      <c r="AW244" s="124"/>
      <c r="AX244" s="124"/>
      <c r="AY244" s="124"/>
      <c r="AZ244" s="124"/>
      <c r="BA244" s="124"/>
      <c r="BB244" s="124"/>
      <c r="BC244" s="124"/>
    </row>
    <row r="245">
      <c r="A245" s="125"/>
      <c r="B245" s="189"/>
      <c r="C245" s="124"/>
      <c r="D245" s="124"/>
      <c r="E245" s="124"/>
      <c r="F245" s="125"/>
      <c r="G245" s="189"/>
      <c r="H245" s="124"/>
      <c r="I245" s="124"/>
      <c r="J245" s="124"/>
      <c r="K245" s="102"/>
      <c r="L245" s="189"/>
      <c r="M245" s="124"/>
      <c r="N245" s="124"/>
      <c r="O245" s="124"/>
      <c r="P245" s="102"/>
      <c r="Q245" s="161"/>
      <c r="R245" s="124"/>
      <c r="S245" s="124"/>
      <c r="T245" s="124"/>
      <c r="U245" s="125"/>
      <c r="V245" s="189"/>
      <c r="W245" s="124"/>
      <c r="X245" s="124"/>
      <c r="Y245" s="124"/>
      <c r="Z245" s="125"/>
      <c r="AA245" s="189"/>
      <c r="AB245" s="124"/>
      <c r="AC245" s="124"/>
      <c r="AD245" s="124"/>
      <c r="AE245" s="125"/>
      <c r="AF245" s="189"/>
      <c r="AG245" s="124"/>
      <c r="AH245" s="124"/>
      <c r="AI245" s="124"/>
      <c r="AJ245" s="125"/>
      <c r="AK245" s="189"/>
      <c r="AL245" s="124"/>
      <c r="AM245" s="124"/>
      <c r="AN245" s="124"/>
      <c r="AO245" s="125"/>
      <c r="AP245" s="189"/>
      <c r="AQ245" s="124"/>
      <c r="AR245" s="124"/>
      <c r="AS245" s="124"/>
      <c r="AT245" s="124"/>
      <c r="AU245" s="124"/>
      <c r="AV245" s="124"/>
      <c r="AW245" s="124"/>
      <c r="AX245" s="124"/>
      <c r="AY245" s="124"/>
      <c r="AZ245" s="124"/>
      <c r="BA245" s="124"/>
      <c r="BB245" s="124"/>
      <c r="BC245" s="124"/>
    </row>
    <row r="246">
      <c r="A246" s="125"/>
      <c r="B246" s="189"/>
      <c r="C246" s="124"/>
      <c r="D246" s="124"/>
      <c r="E246" s="124"/>
      <c r="F246" s="125"/>
      <c r="G246" s="189"/>
      <c r="H246" s="124"/>
      <c r="I246" s="124"/>
      <c r="J246" s="124"/>
      <c r="K246" s="102"/>
      <c r="L246" s="189"/>
      <c r="M246" s="124"/>
      <c r="N246" s="124"/>
      <c r="O246" s="124"/>
      <c r="P246" s="102"/>
      <c r="Q246" s="161"/>
      <c r="R246" s="124"/>
      <c r="S246" s="124"/>
      <c r="T246" s="124"/>
      <c r="U246" s="125"/>
      <c r="V246" s="189"/>
      <c r="W246" s="124"/>
      <c r="X246" s="124"/>
      <c r="Y246" s="124"/>
      <c r="Z246" s="125"/>
      <c r="AA246" s="189"/>
      <c r="AB246" s="124"/>
      <c r="AC246" s="124"/>
      <c r="AD246" s="124"/>
      <c r="AE246" s="125"/>
      <c r="AF246" s="189"/>
      <c r="AG246" s="124"/>
      <c r="AH246" s="124"/>
      <c r="AI246" s="124"/>
      <c r="AJ246" s="125"/>
      <c r="AK246" s="189"/>
      <c r="AL246" s="124"/>
      <c r="AM246" s="124"/>
      <c r="AN246" s="124"/>
      <c r="AO246" s="125"/>
      <c r="AP246" s="189"/>
      <c r="AQ246" s="124"/>
      <c r="AR246" s="124"/>
      <c r="AS246" s="124"/>
      <c r="AT246" s="124"/>
      <c r="AU246" s="124"/>
      <c r="AV246" s="124"/>
      <c r="AW246" s="124"/>
      <c r="AX246" s="124"/>
      <c r="AY246" s="124"/>
      <c r="AZ246" s="124"/>
      <c r="BA246" s="124"/>
      <c r="BB246" s="124"/>
      <c r="BC246" s="124"/>
    </row>
    <row r="247">
      <c r="A247" s="125"/>
      <c r="B247" s="189"/>
      <c r="C247" s="124"/>
      <c r="D247" s="124"/>
      <c r="E247" s="124"/>
      <c r="F247" s="125"/>
      <c r="G247" s="189"/>
      <c r="H247" s="124"/>
      <c r="I247" s="124"/>
      <c r="J247" s="124"/>
      <c r="K247" s="102"/>
      <c r="L247" s="189"/>
      <c r="M247" s="124"/>
      <c r="N247" s="124"/>
      <c r="O247" s="124"/>
      <c r="P247" s="102"/>
      <c r="Q247" s="161"/>
      <c r="R247" s="124"/>
      <c r="S247" s="124"/>
      <c r="T247" s="124"/>
      <c r="U247" s="125"/>
      <c r="V247" s="189"/>
      <c r="W247" s="124"/>
      <c r="X247" s="124"/>
      <c r="Y247" s="124"/>
      <c r="Z247" s="125"/>
      <c r="AA247" s="189"/>
      <c r="AB247" s="124"/>
      <c r="AC247" s="124"/>
      <c r="AD247" s="124"/>
      <c r="AE247" s="125"/>
      <c r="AF247" s="189"/>
      <c r="AG247" s="124"/>
      <c r="AH247" s="124"/>
      <c r="AI247" s="124"/>
      <c r="AJ247" s="125"/>
      <c r="AK247" s="189"/>
      <c r="AL247" s="124"/>
      <c r="AM247" s="124"/>
      <c r="AN247" s="124"/>
      <c r="AO247" s="125"/>
      <c r="AP247" s="189"/>
      <c r="AQ247" s="124"/>
      <c r="AR247" s="124"/>
      <c r="AS247" s="124"/>
      <c r="AT247" s="124"/>
      <c r="AU247" s="124"/>
      <c r="AV247" s="124"/>
      <c r="AW247" s="124"/>
      <c r="AX247" s="124"/>
      <c r="AY247" s="124"/>
      <c r="AZ247" s="124"/>
      <c r="BA247" s="124"/>
      <c r="BB247" s="124"/>
      <c r="BC247" s="124"/>
    </row>
    <row r="248">
      <c r="A248" s="125"/>
      <c r="B248" s="189"/>
      <c r="C248" s="124"/>
      <c r="D248" s="124"/>
      <c r="E248" s="124"/>
      <c r="F248" s="125"/>
      <c r="G248" s="189"/>
      <c r="H248" s="124"/>
      <c r="I248" s="124"/>
      <c r="J248" s="124"/>
      <c r="K248" s="102"/>
      <c r="L248" s="189"/>
      <c r="M248" s="124"/>
      <c r="N248" s="124"/>
      <c r="O248" s="124"/>
      <c r="P248" s="102"/>
      <c r="Q248" s="161"/>
      <c r="R248" s="124"/>
      <c r="S248" s="124"/>
      <c r="T248" s="124"/>
      <c r="U248" s="125"/>
      <c r="V248" s="189"/>
      <c r="W248" s="124"/>
      <c r="X248" s="124"/>
      <c r="Y248" s="124"/>
      <c r="Z248" s="125"/>
      <c r="AA248" s="189"/>
      <c r="AB248" s="124"/>
      <c r="AC248" s="124"/>
      <c r="AD248" s="124"/>
      <c r="AE248" s="125"/>
      <c r="AF248" s="189"/>
      <c r="AG248" s="124"/>
      <c r="AH248" s="124"/>
      <c r="AI248" s="124"/>
      <c r="AJ248" s="125"/>
      <c r="AK248" s="189"/>
      <c r="AL248" s="124"/>
      <c r="AM248" s="124"/>
      <c r="AN248" s="124"/>
      <c r="AO248" s="125"/>
      <c r="AP248" s="189"/>
      <c r="AQ248" s="124"/>
      <c r="AR248" s="124"/>
      <c r="AS248" s="124"/>
      <c r="AT248" s="124"/>
      <c r="AU248" s="124"/>
      <c r="AV248" s="124"/>
      <c r="AW248" s="124"/>
      <c r="AX248" s="124"/>
      <c r="AY248" s="124"/>
      <c r="AZ248" s="124"/>
      <c r="BA248" s="124"/>
      <c r="BB248" s="124"/>
      <c r="BC248" s="124"/>
    </row>
    <row r="249">
      <c r="A249" s="125"/>
      <c r="B249" s="189"/>
      <c r="C249" s="124"/>
      <c r="D249" s="124"/>
      <c r="E249" s="124"/>
      <c r="F249" s="125"/>
      <c r="G249" s="189"/>
      <c r="H249" s="124"/>
      <c r="I249" s="124"/>
      <c r="J249" s="124"/>
      <c r="K249" s="102"/>
      <c r="L249" s="189"/>
      <c r="M249" s="124"/>
      <c r="N249" s="124"/>
      <c r="O249" s="124"/>
      <c r="P249" s="102"/>
      <c r="Q249" s="161"/>
      <c r="R249" s="124"/>
      <c r="S249" s="124"/>
      <c r="T249" s="124"/>
      <c r="U249" s="125"/>
      <c r="V249" s="189"/>
      <c r="W249" s="124"/>
      <c r="X249" s="124"/>
      <c r="Y249" s="124"/>
      <c r="Z249" s="125"/>
      <c r="AA249" s="189"/>
      <c r="AB249" s="124"/>
      <c r="AC249" s="124"/>
      <c r="AD249" s="124"/>
      <c r="AE249" s="125"/>
      <c r="AF249" s="189"/>
      <c r="AG249" s="124"/>
      <c r="AH249" s="124"/>
      <c r="AI249" s="124"/>
      <c r="AJ249" s="125"/>
      <c r="AK249" s="189"/>
      <c r="AL249" s="124"/>
      <c r="AM249" s="124"/>
      <c r="AN249" s="124"/>
      <c r="AO249" s="125"/>
      <c r="AP249" s="189"/>
      <c r="AQ249" s="124"/>
      <c r="AR249" s="124"/>
      <c r="AS249" s="124"/>
      <c r="AT249" s="124"/>
      <c r="AU249" s="124"/>
      <c r="AV249" s="124"/>
      <c r="AW249" s="124"/>
      <c r="AX249" s="124"/>
      <c r="AY249" s="124"/>
      <c r="AZ249" s="124"/>
      <c r="BA249" s="124"/>
      <c r="BB249" s="124"/>
      <c r="BC249" s="124"/>
    </row>
    <row r="250">
      <c r="A250" s="125"/>
      <c r="B250" s="189"/>
      <c r="C250" s="124"/>
      <c r="D250" s="124"/>
      <c r="E250" s="124"/>
      <c r="F250" s="125"/>
      <c r="G250" s="189"/>
      <c r="H250" s="124"/>
      <c r="I250" s="124"/>
      <c r="J250" s="124"/>
      <c r="K250" s="102"/>
      <c r="L250" s="189"/>
      <c r="M250" s="124"/>
      <c r="N250" s="124"/>
      <c r="O250" s="124"/>
      <c r="P250" s="102"/>
      <c r="Q250" s="161"/>
      <c r="R250" s="124"/>
      <c r="S250" s="124"/>
      <c r="T250" s="124"/>
      <c r="U250" s="125"/>
      <c r="V250" s="189"/>
      <c r="W250" s="124"/>
      <c r="X250" s="124"/>
      <c r="Y250" s="124"/>
      <c r="Z250" s="125"/>
      <c r="AA250" s="189"/>
      <c r="AB250" s="124"/>
      <c r="AC250" s="124"/>
      <c r="AD250" s="124"/>
      <c r="AE250" s="125"/>
      <c r="AF250" s="189"/>
      <c r="AG250" s="124"/>
      <c r="AH250" s="124"/>
      <c r="AI250" s="124"/>
      <c r="AJ250" s="125"/>
      <c r="AK250" s="189"/>
      <c r="AL250" s="124"/>
      <c r="AM250" s="124"/>
      <c r="AN250" s="124"/>
      <c r="AO250" s="125"/>
      <c r="AP250" s="189"/>
      <c r="AQ250" s="124"/>
      <c r="AR250" s="124"/>
      <c r="AS250" s="124"/>
      <c r="AT250" s="124"/>
      <c r="AU250" s="124"/>
      <c r="AV250" s="124"/>
      <c r="AW250" s="124"/>
      <c r="AX250" s="124"/>
      <c r="AY250" s="124"/>
      <c r="AZ250" s="124"/>
      <c r="BA250" s="124"/>
      <c r="BB250" s="124"/>
      <c r="BC250" s="124"/>
    </row>
    <row r="251">
      <c r="A251" s="125"/>
      <c r="B251" s="189"/>
      <c r="C251" s="124"/>
      <c r="D251" s="124"/>
      <c r="E251" s="124"/>
      <c r="F251" s="125"/>
      <c r="G251" s="189"/>
      <c r="H251" s="124"/>
      <c r="I251" s="124"/>
      <c r="J251" s="124"/>
      <c r="K251" s="102"/>
      <c r="L251" s="189"/>
      <c r="M251" s="124"/>
      <c r="N251" s="124"/>
      <c r="O251" s="124"/>
      <c r="P251" s="102"/>
      <c r="Q251" s="161"/>
      <c r="R251" s="124"/>
      <c r="S251" s="124"/>
      <c r="T251" s="124"/>
      <c r="U251" s="125"/>
      <c r="V251" s="189"/>
      <c r="W251" s="124"/>
      <c r="X251" s="124"/>
      <c r="Y251" s="124"/>
      <c r="Z251" s="125"/>
      <c r="AA251" s="189"/>
      <c r="AB251" s="124"/>
      <c r="AC251" s="124"/>
      <c r="AD251" s="124"/>
      <c r="AE251" s="125"/>
      <c r="AF251" s="189"/>
      <c r="AG251" s="124"/>
      <c r="AH251" s="124"/>
      <c r="AI251" s="124"/>
      <c r="AJ251" s="125"/>
      <c r="AK251" s="189"/>
      <c r="AL251" s="124"/>
      <c r="AM251" s="124"/>
      <c r="AN251" s="124"/>
      <c r="AO251" s="125"/>
      <c r="AP251" s="189"/>
      <c r="AQ251" s="124"/>
      <c r="AR251" s="124"/>
      <c r="AS251" s="124"/>
      <c r="AT251" s="124"/>
      <c r="AU251" s="124"/>
      <c r="AV251" s="124"/>
      <c r="AW251" s="124"/>
      <c r="AX251" s="124"/>
      <c r="AY251" s="124"/>
      <c r="AZ251" s="124"/>
      <c r="BA251" s="124"/>
      <c r="BB251" s="124"/>
      <c r="BC251" s="124"/>
    </row>
    <row r="252">
      <c r="A252" s="125"/>
      <c r="B252" s="189"/>
      <c r="C252" s="124"/>
      <c r="D252" s="124"/>
      <c r="E252" s="124"/>
      <c r="F252" s="125"/>
      <c r="G252" s="189"/>
      <c r="H252" s="124"/>
      <c r="I252" s="124"/>
      <c r="J252" s="124"/>
      <c r="K252" s="102"/>
      <c r="L252" s="189"/>
      <c r="M252" s="124"/>
      <c r="N252" s="124"/>
      <c r="O252" s="124"/>
      <c r="P252" s="102"/>
      <c r="Q252" s="161"/>
      <c r="R252" s="124"/>
      <c r="S252" s="124"/>
      <c r="T252" s="124"/>
      <c r="U252" s="125"/>
      <c r="V252" s="189"/>
      <c r="W252" s="124"/>
      <c r="X252" s="124"/>
      <c r="Y252" s="124"/>
      <c r="Z252" s="125"/>
      <c r="AA252" s="189"/>
      <c r="AB252" s="124"/>
      <c r="AC252" s="124"/>
      <c r="AD252" s="124"/>
      <c r="AE252" s="125"/>
      <c r="AF252" s="189"/>
      <c r="AG252" s="124"/>
      <c r="AH252" s="124"/>
      <c r="AI252" s="124"/>
      <c r="AJ252" s="125"/>
      <c r="AK252" s="189"/>
      <c r="AL252" s="124"/>
      <c r="AM252" s="124"/>
      <c r="AN252" s="124"/>
      <c r="AO252" s="125"/>
      <c r="AP252" s="189"/>
      <c r="AQ252" s="124"/>
      <c r="AR252" s="124"/>
      <c r="AS252" s="124"/>
      <c r="AT252" s="124"/>
      <c r="AU252" s="124"/>
      <c r="AV252" s="124"/>
      <c r="AW252" s="124"/>
      <c r="AX252" s="124"/>
      <c r="AY252" s="124"/>
      <c r="AZ252" s="124"/>
      <c r="BA252" s="124"/>
      <c r="BB252" s="124"/>
      <c r="BC252" s="124"/>
    </row>
    <row r="253">
      <c r="A253" s="125"/>
      <c r="B253" s="189"/>
      <c r="C253" s="124"/>
      <c r="D253" s="124"/>
      <c r="E253" s="124"/>
      <c r="F253" s="125"/>
      <c r="G253" s="189"/>
      <c r="H253" s="124"/>
      <c r="I253" s="124"/>
      <c r="J253" s="124"/>
      <c r="K253" s="102"/>
      <c r="L253" s="189"/>
      <c r="M253" s="124"/>
      <c r="N253" s="124"/>
      <c r="O253" s="124"/>
      <c r="P253" s="102"/>
      <c r="Q253" s="161"/>
      <c r="R253" s="124"/>
      <c r="S253" s="124"/>
      <c r="T253" s="124"/>
      <c r="U253" s="125"/>
      <c r="V253" s="189"/>
      <c r="W253" s="124"/>
      <c r="X253" s="124"/>
      <c r="Y253" s="124"/>
      <c r="Z253" s="125"/>
      <c r="AA253" s="189"/>
      <c r="AB253" s="124"/>
      <c r="AC253" s="124"/>
      <c r="AD253" s="124"/>
      <c r="AE253" s="125"/>
      <c r="AF253" s="189"/>
      <c r="AG253" s="124"/>
      <c r="AH253" s="124"/>
      <c r="AI253" s="124"/>
      <c r="AJ253" s="125"/>
      <c r="AK253" s="189"/>
      <c r="AL253" s="124"/>
      <c r="AM253" s="124"/>
      <c r="AN253" s="124"/>
      <c r="AO253" s="125"/>
      <c r="AP253" s="189"/>
      <c r="AQ253" s="124"/>
      <c r="AR253" s="124"/>
      <c r="AS253" s="124"/>
      <c r="AT253" s="124"/>
      <c r="AU253" s="124"/>
      <c r="AV253" s="124"/>
      <c r="AW253" s="124"/>
      <c r="AX253" s="124"/>
      <c r="AY253" s="124"/>
      <c r="AZ253" s="124"/>
      <c r="BA253" s="124"/>
      <c r="BB253" s="124"/>
      <c r="BC253" s="124"/>
    </row>
    <row r="254">
      <c r="A254" s="125"/>
      <c r="B254" s="189"/>
      <c r="C254" s="124"/>
      <c r="D254" s="124"/>
      <c r="E254" s="124"/>
      <c r="F254" s="125"/>
      <c r="G254" s="189"/>
      <c r="H254" s="124"/>
      <c r="I254" s="124"/>
      <c r="J254" s="124"/>
      <c r="K254" s="102"/>
      <c r="L254" s="189"/>
      <c r="M254" s="124"/>
      <c r="N254" s="124"/>
      <c r="O254" s="124"/>
      <c r="P254" s="102"/>
      <c r="Q254" s="161"/>
      <c r="R254" s="124"/>
      <c r="S254" s="124"/>
      <c r="T254" s="124"/>
      <c r="U254" s="125"/>
      <c r="V254" s="189"/>
      <c r="W254" s="124"/>
      <c r="X254" s="124"/>
      <c r="Y254" s="124"/>
      <c r="Z254" s="125"/>
      <c r="AA254" s="189"/>
      <c r="AB254" s="124"/>
      <c r="AC254" s="124"/>
      <c r="AD254" s="124"/>
      <c r="AE254" s="125"/>
      <c r="AF254" s="189"/>
      <c r="AG254" s="124"/>
      <c r="AH254" s="124"/>
      <c r="AI254" s="124"/>
      <c r="AJ254" s="125"/>
      <c r="AK254" s="189"/>
      <c r="AL254" s="124"/>
      <c r="AM254" s="124"/>
      <c r="AN254" s="124"/>
      <c r="AO254" s="125"/>
      <c r="AP254" s="189"/>
      <c r="AQ254" s="124"/>
      <c r="AR254" s="124"/>
      <c r="AS254" s="124"/>
      <c r="AT254" s="124"/>
      <c r="AU254" s="124"/>
      <c r="AV254" s="124"/>
      <c r="AW254" s="124"/>
      <c r="AX254" s="124"/>
      <c r="AY254" s="124"/>
      <c r="AZ254" s="124"/>
      <c r="BA254" s="124"/>
      <c r="BB254" s="124"/>
      <c r="BC254" s="124"/>
    </row>
    <row r="255">
      <c r="A255" s="125"/>
      <c r="B255" s="189"/>
      <c r="C255" s="124"/>
      <c r="D255" s="124"/>
      <c r="E255" s="124"/>
      <c r="F255" s="125"/>
      <c r="G255" s="189"/>
      <c r="H255" s="124"/>
      <c r="I255" s="124"/>
      <c r="J255" s="124"/>
      <c r="K255" s="102"/>
      <c r="L255" s="189"/>
      <c r="M255" s="124"/>
      <c r="N255" s="124"/>
      <c r="O255" s="124"/>
      <c r="P255" s="102"/>
      <c r="Q255" s="161"/>
      <c r="R255" s="124"/>
      <c r="S255" s="124"/>
      <c r="T255" s="124"/>
      <c r="U255" s="125"/>
      <c r="V255" s="189"/>
      <c r="W255" s="124"/>
      <c r="X255" s="124"/>
      <c r="Y255" s="124"/>
      <c r="Z255" s="125"/>
      <c r="AA255" s="189"/>
      <c r="AB255" s="124"/>
      <c r="AC255" s="124"/>
      <c r="AD255" s="124"/>
      <c r="AE255" s="125"/>
      <c r="AF255" s="189"/>
      <c r="AG255" s="124"/>
      <c r="AH255" s="124"/>
      <c r="AI255" s="124"/>
      <c r="AJ255" s="125"/>
      <c r="AK255" s="189"/>
      <c r="AL255" s="124"/>
      <c r="AM255" s="124"/>
      <c r="AN255" s="124"/>
      <c r="AO255" s="125"/>
      <c r="AP255" s="189"/>
      <c r="AQ255" s="124"/>
      <c r="AR255" s="124"/>
      <c r="AS255" s="124"/>
      <c r="AT255" s="124"/>
      <c r="AU255" s="124"/>
      <c r="AV255" s="124"/>
      <c r="AW255" s="124"/>
      <c r="AX255" s="124"/>
      <c r="AY255" s="124"/>
      <c r="AZ255" s="124"/>
      <c r="BA255" s="124"/>
      <c r="BB255" s="124"/>
      <c r="BC255" s="124"/>
    </row>
    <row r="256">
      <c r="A256" s="125"/>
      <c r="B256" s="189"/>
      <c r="C256" s="124"/>
      <c r="D256" s="124"/>
      <c r="E256" s="124"/>
      <c r="F256" s="125"/>
      <c r="G256" s="189"/>
      <c r="H256" s="124"/>
      <c r="I256" s="124"/>
      <c r="J256" s="124"/>
      <c r="K256" s="102"/>
      <c r="L256" s="189"/>
      <c r="M256" s="124"/>
      <c r="N256" s="124"/>
      <c r="O256" s="124"/>
      <c r="P256" s="102"/>
      <c r="Q256" s="161"/>
      <c r="R256" s="124"/>
      <c r="S256" s="124"/>
      <c r="T256" s="124"/>
      <c r="U256" s="125"/>
      <c r="V256" s="189"/>
      <c r="W256" s="124"/>
      <c r="X256" s="124"/>
      <c r="Y256" s="124"/>
      <c r="Z256" s="125"/>
      <c r="AA256" s="189"/>
      <c r="AB256" s="124"/>
      <c r="AC256" s="124"/>
      <c r="AD256" s="124"/>
      <c r="AE256" s="125"/>
      <c r="AF256" s="189"/>
      <c r="AG256" s="124"/>
      <c r="AH256" s="124"/>
      <c r="AI256" s="124"/>
      <c r="AJ256" s="125"/>
      <c r="AK256" s="189"/>
      <c r="AL256" s="124"/>
      <c r="AM256" s="124"/>
      <c r="AN256" s="124"/>
      <c r="AO256" s="125"/>
      <c r="AP256" s="189"/>
      <c r="AQ256" s="124"/>
      <c r="AR256" s="124"/>
      <c r="AS256" s="124"/>
      <c r="AT256" s="124"/>
      <c r="AU256" s="124"/>
      <c r="AV256" s="124"/>
      <c r="AW256" s="124"/>
      <c r="AX256" s="124"/>
      <c r="AY256" s="124"/>
      <c r="AZ256" s="124"/>
      <c r="BA256" s="124"/>
      <c r="BB256" s="124"/>
      <c r="BC256" s="124"/>
    </row>
    <row r="257">
      <c r="A257" s="125"/>
      <c r="B257" s="189"/>
      <c r="C257" s="124"/>
      <c r="D257" s="124"/>
      <c r="E257" s="124"/>
      <c r="F257" s="125"/>
      <c r="G257" s="189"/>
      <c r="H257" s="124"/>
      <c r="I257" s="124"/>
      <c r="J257" s="124"/>
      <c r="K257" s="102"/>
      <c r="L257" s="189"/>
      <c r="M257" s="124"/>
      <c r="N257" s="124"/>
      <c r="O257" s="124"/>
      <c r="P257" s="102"/>
      <c r="Q257" s="161"/>
      <c r="R257" s="124"/>
      <c r="S257" s="124"/>
      <c r="T257" s="124"/>
      <c r="U257" s="125"/>
      <c r="V257" s="189"/>
      <c r="W257" s="124"/>
      <c r="X257" s="124"/>
      <c r="Y257" s="124"/>
      <c r="Z257" s="125"/>
      <c r="AA257" s="189"/>
      <c r="AB257" s="124"/>
      <c r="AC257" s="124"/>
      <c r="AD257" s="124"/>
      <c r="AE257" s="125"/>
      <c r="AF257" s="189"/>
      <c r="AG257" s="124"/>
      <c r="AH257" s="124"/>
      <c r="AI257" s="124"/>
      <c r="AJ257" s="125"/>
      <c r="AK257" s="189"/>
      <c r="AL257" s="124"/>
      <c r="AM257" s="124"/>
      <c r="AN257" s="124"/>
      <c r="AO257" s="125"/>
      <c r="AP257" s="189"/>
      <c r="AQ257" s="124"/>
      <c r="AR257" s="124"/>
      <c r="AS257" s="124"/>
      <c r="AT257" s="124"/>
      <c r="AU257" s="124"/>
      <c r="AV257" s="124"/>
      <c r="AW257" s="124"/>
      <c r="AX257" s="124"/>
      <c r="AY257" s="124"/>
      <c r="AZ257" s="124"/>
      <c r="BA257" s="124"/>
      <c r="BB257" s="124"/>
      <c r="BC257" s="124"/>
    </row>
    <row r="258">
      <c r="A258" s="125"/>
      <c r="B258" s="189"/>
      <c r="C258" s="124"/>
      <c r="D258" s="124"/>
      <c r="E258" s="124"/>
      <c r="F258" s="125"/>
      <c r="G258" s="189"/>
      <c r="H258" s="124"/>
      <c r="I258" s="124"/>
      <c r="J258" s="124"/>
      <c r="K258" s="102"/>
      <c r="L258" s="189"/>
      <c r="M258" s="124"/>
      <c r="N258" s="124"/>
      <c r="O258" s="124"/>
      <c r="P258" s="102"/>
      <c r="Q258" s="161"/>
      <c r="R258" s="124"/>
      <c r="S258" s="124"/>
      <c r="T258" s="124"/>
      <c r="U258" s="125"/>
      <c r="V258" s="189"/>
      <c r="W258" s="124"/>
      <c r="X258" s="124"/>
      <c r="Y258" s="124"/>
      <c r="Z258" s="125"/>
      <c r="AA258" s="189"/>
      <c r="AB258" s="124"/>
      <c r="AC258" s="124"/>
      <c r="AD258" s="124"/>
      <c r="AE258" s="125"/>
      <c r="AF258" s="189"/>
      <c r="AG258" s="124"/>
      <c r="AH258" s="124"/>
      <c r="AI258" s="124"/>
      <c r="AJ258" s="125"/>
      <c r="AK258" s="189"/>
      <c r="AL258" s="124"/>
      <c r="AM258" s="124"/>
      <c r="AN258" s="124"/>
      <c r="AO258" s="125"/>
      <c r="AP258" s="189"/>
      <c r="AQ258" s="124"/>
      <c r="AR258" s="124"/>
      <c r="AS258" s="124"/>
      <c r="AT258" s="124"/>
      <c r="AU258" s="124"/>
      <c r="AV258" s="124"/>
      <c r="AW258" s="124"/>
      <c r="AX258" s="124"/>
      <c r="AY258" s="124"/>
      <c r="AZ258" s="124"/>
      <c r="BA258" s="124"/>
      <c r="BB258" s="124"/>
      <c r="BC258" s="124"/>
    </row>
    <row r="259">
      <c r="A259" s="125"/>
      <c r="B259" s="189"/>
      <c r="C259" s="124"/>
      <c r="D259" s="124"/>
      <c r="E259" s="124"/>
      <c r="F259" s="125"/>
      <c r="G259" s="189"/>
      <c r="H259" s="124"/>
      <c r="I259" s="124"/>
      <c r="J259" s="124"/>
      <c r="K259" s="102"/>
      <c r="L259" s="189"/>
      <c r="M259" s="124"/>
      <c r="N259" s="124"/>
      <c r="O259" s="124"/>
      <c r="P259" s="102"/>
      <c r="Q259" s="161"/>
      <c r="R259" s="124"/>
      <c r="S259" s="124"/>
      <c r="T259" s="124"/>
      <c r="U259" s="125"/>
      <c r="V259" s="189"/>
      <c r="W259" s="124"/>
      <c r="X259" s="124"/>
      <c r="Y259" s="124"/>
      <c r="Z259" s="125"/>
      <c r="AA259" s="189"/>
      <c r="AB259" s="124"/>
      <c r="AC259" s="124"/>
      <c r="AD259" s="124"/>
      <c r="AE259" s="125"/>
      <c r="AF259" s="189"/>
      <c r="AG259" s="124"/>
      <c r="AH259" s="124"/>
      <c r="AI259" s="124"/>
      <c r="AJ259" s="125"/>
      <c r="AK259" s="189"/>
      <c r="AL259" s="124"/>
      <c r="AM259" s="124"/>
      <c r="AN259" s="124"/>
      <c r="AO259" s="125"/>
      <c r="AP259" s="189"/>
      <c r="AQ259" s="124"/>
      <c r="AR259" s="124"/>
      <c r="AS259" s="124"/>
      <c r="AT259" s="124"/>
      <c r="AU259" s="124"/>
      <c r="AV259" s="124"/>
      <c r="AW259" s="124"/>
      <c r="AX259" s="124"/>
      <c r="AY259" s="124"/>
      <c r="AZ259" s="124"/>
      <c r="BA259" s="124"/>
      <c r="BB259" s="124"/>
      <c r="BC259" s="124"/>
    </row>
    <row r="260">
      <c r="A260" s="125"/>
      <c r="B260" s="189"/>
      <c r="C260" s="124"/>
      <c r="D260" s="124"/>
      <c r="E260" s="124"/>
      <c r="F260" s="125"/>
      <c r="G260" s="189"/>
      <c r="H260" s="124"/>
      <c r="I260" s="124"/>
      <c r="J260" s="124"/>
      <c r="K260" s="102"/>
      <c r="L260" s="189"/>
      <c r="M260" s="124"/>
      <c r="N260" s="124"/>
      <c r="O260" s="124"/>
      <c r="P260" s="102"/>
      <c r="Q260" s="161"/>
      <c r="R260" s="124"/>
      <c r="S260" s="124"/>
      <c r="T260" s="124"/>
      <c r="U260" s="125"/>
      <c r="V260" s="189"/>
      <c r="W260" s="124"/>
      <c r="X260" s="124"/>
      <c r="Y260" s="124"/>
      <c r="Z260" s="125"/>
      <c r="AA260" s="189"/>
      <c r="AB260" s="124"/>
      <c r="AC260" s="124"/>
      <c r="AD260" s="124"/>
      <c r="AE260" s="125"/>
      <c r="AF260" s="189"/>
      <c r="AG260" s="124"/>
      <c r="AH260" s="124"/>
      <c r="AI260" s="124"/>
      <c r="AJ260" s="125"/>
      <c r="AK260" s="189"/>
      <c r="AL260" s="124"/>
      <c r="AM260" s="124"/>
      <c r="AN260" s="124"/>
      <c r="AO260" s="125"/>
      <c r="AP260" s="189"/>
      <c r="AQ260" s="124"/>
      <c r="AR260" s="124"/>
      <c r="AS260" s="124"/>
      <c r="AT260" s="124"/>
      <c r="AU260" s="124"/>
      <c r="AV260" s="124"/>
      <c r="AW260" s="124"/>
      <c r="AX260" s="124"/>
      <c r="AY260" s="124"/>
      <c r="AZ260" s="124"/>
      <c r="BA260" s="124"/>
      <c r="BB260" s="124"/>
      <c r="BC260" s="124"/>
    </row>
    <row r="261">
      <c r="A261" s="125"/>
      <c r="B261" s="189"/>
      <c r="C261" s="124"/>
      <c r="D261" s="124"/>
      <c r="E261" s="124"/>
      <c r="F261" s="125"/>
      <c r="G261" s="189"/>
      <c r="H261" s="124"/>
      <c r="I261" s="124"/>
      <c r="J261" s="124"/>
      <c r="K261" s="102"/>
      <c r="L261" s="189"/>
      <c r="M261" s="124"/>
      <c r="N261" s="124"/>
      <c r="O261" s="124"/>
      <c r="P261" s="102"/>
      <c r="Q261" s="161"/>
      <c r="R261" s="124"/>
      <c r="S261" s="124"/>
      <c r="T261" s="124"/>
      <c r="U261" s="125"/>
      <c r="V261" s="189"/>
      <c r="W261" s="124"/>
      <c r="X261" s="124"/>
      <c r="Y261" s="124"/>
      <c r="Z261" s="125"/>
      <c r="AA261" s="189"/>
      <c r="AB261" s="124"/>
      <c r="AC261" s="124"/>
      <c r="AD261" s="124"/>
      <c r="AE261" s="125"/>
      <c r="AF261" s="189"/>
      <c r="AG261" s="124"/>
      <c r="AH261" s="124"/>
      <c r="AI261" s="124"/>
      <c r="AJ261" s="125"/>
      <c r="AK261" s="189"/>
      <c r="AL261" s="124"/>
      <c r="AM261" s="124"/>
      <c r="AN261" s="124"/>
      <c r="AO261" s="125"/>
      <c r="AP261" s="189"/>
      <c r="AQ261" s="124"/>
      <c r="AR261" s="124"/>
      <c r="AS261" s="124"/>
      <c r="AT261" s="124"/>
      <c r="AU261" s="124"/>
      <c r="AV261" s="124"/>
      <c r="AW261" s="124"/>
      <c r="AX261" s="124"/>
      <c r="AY261" s="124"/>
      <c r="AZ261" s="124"/>
      <c r="BA261" s="124"/>
      <c r="BB261" s="124"/>
      <c r="BC261" s="124"/>
    </row>
    <row r="262">
      <c r="A262" s="125"/>
      <c r="B262" s="189"/>
      <c r="C262" s="124"/>
      <c r="D262" s="124"/>
      <c r="E262" s="124"/>
      <c r="F262" s="125"/>
      <c r="G262" s="189"/>
      <c r="H262" s="124"/>
      <c r="I262" s="124"/>
      <c r="J262" s="124"/>
      <c r="K262" s="102"/>
      <c r="L262" s="189"/>
      <c r="M262" s="124"/>
      <c r="N262" s="124"/>
      <c r="O262" s="124"/>
      <c r="P262" s="102"/>
      <c r="Q262" s="161"/>
      <c r="R262" s="124"/>
      <c r="S262" s="124"/>
      <c r="T262" s="124"/>
      <c r="U262" s="125"/>
      <c r="V262" s="189"/>
      <c r="W262" s="124"/>
      <c r="X262" s="124"/>
      <c r="Y262" s="124"/>
      <c r="Z262" s="125"/>
      <c r="AA262" s="189"/>
      <c r="AB262" s="124"/>
      <c r="AC262" s="124"/>
      <c r="AD262" s="124"/>
      <c r="AE262" s="125"/>
      <c r="AF262" s="189"/>
      <c r="AG262" s="124"/>
      <c r="AH262" s="124"/>
      <c r="AI262" s="124"/>
      <c r="AJ262" s="125"/>
      <c r="AK262" s="189"/>
      <c r="AL262" s="124"/>
      <c r="AM262" s="124"/>
      <c r="AN262" s="124"/>
      <c r="AO262" s="125"/>
      <c r="AP262" s="189"/>
      <c r="AQ262" s="124"/>
      <c r="AR262" s="124"/>
      <c r="AS262" s="124"/>
      <c r="AT262" s="124"/>
      <c r="AU262" s="124"/>
      <c r="AV262" s="124"/>
      <c r="AW262" s="124"/>
      <c r="AX262" s="124"/>
      <c r="AY262" s="124"/>
      <c r="AZ262" s="124"/>
      <c r="BA262" s="124"/>
      <c r="BB262" s="124"/>
      <c r="BC262" s="124"/>
    </row>
    <row r="263">
      <c r="A263" s="125"/>
      <c r="B263" s="189"/>
      <c r="C263" s="124"/>
      <c r="D263" s="124"/>
      <c r="E263" s="124"/>
      <c r="F263" s="125"/>
      <c r="G263" s="189"/>
      <c r="H263" s="124"/>
      <c r="I263" s="124"/>
      <c r="J263" s="124"/>
      <c r="K263" s="102"/>
      <c r="L263" s="189"/>
      <c r="M263" s="124"/>
      <c r="N263" s="124"/>
      <c r="O263" s="124"/>
      <c r="P263" s="102"/>
      <c r="Q263" s="161"/>
      <c r="R263" s="124"/>
      <c r="S263" s="124"/>
      <c r="T263" s="124"/>
      <c r="U263" s="125"/>
      <c r="V263" s="189"/>
      <c r="W263" s="124"/>
      <c r="X263" s="124"/>
      <c r="Y263" s="124"/>
      <c r="Z263" s="125"/>
      <c r="AA263" s="189"/>
      <c r="AB263" s="124"/>
      <c r="AC263" s="124"/>
      <c r="AD263" s="124"/>
      <c r="AE263" s="125"/>
      <c r="AF263" s="189"/>
      <c r="AG263" s="124"/>
      <c r="AH263" s="124"/>
      <c r="AI263" s="124"/>
      <c r="AJ263" s="125"/>
      <c r="AK263" s="189"/>
      <c r="AL263" s="124"/>
      <c r="AM263" s="124"/>
      <c r="AN263" s="124"/>
      <c r="AO263" s="125"/>
      <c r="AP263" s="189"/>
      <c r="AQ263" s="124"/>
      <c r="AR263" s="124"/>
      <c r="AS263" s="124"/>
      <c r="AT263" s="124"/>
      <c r="AU263" s="124"/>
      <c r="AV263" s="124"/>
      <c r="AW263" s="124"/>
      <c r="AX263" s="124"/>
      <c r="AY263" s="124"/>
      <c r="AZ263" s="124"/>
      <c r="BA263" s="124"/>
      <c r="BB263" s="124"/>
      <c r="BC263" s="124"/>
    </row>
    <row r="264">
      <c r="A264" s="125"/>
      <c r="B264" s="189"/>
      <c r="C264" s="124"/>
      <c r="D264" s="124"/>
      <c r="E264" s="124"/>
      <c r="F264" s="125"/>
      <c r="G264" s="189"/>
      <c r="H264" s="124"/>
      <c r="I264" s="124"/>
      <c r="J264" s="124"/>
      <c r="K264" s="102"/>
      <c r="L264" s="189"/>
      <c r="M264" s="124"/>
      <c r="N264" s="124"/>
      <c r="O264" s="124"/>
      <c r="P264" s="102"/>
      <c r="Q264" s="161"/>
      <c r="R264" s="124"/>
      <c r="S264" s="124"/>
      <c r="T264" s="124"/>
      <c r="U264" s="125"/>
      <c r="V264" s="189"/>
      <c r="W264" s="124"/>
      <c r="X264" s="124"/>
      <c r="Y264" s="124"/>
      <c r="Z264" s="125"/>
      <c r="AA264" s="189"/>
      <c r="AB264" s="124"/>
      <c r="AC264" s="124"/>
      <c r="AD264" s="124"/>
      <c r="AE264" s="125"/>
      <c r="AF264" s="189"/>
      <c r="AG264" s="124"/>
      <c r="AH264" s="124"/>
      <c r="AI264" s="124"/>
      <c r="AJ264" s="125"/>
      <c r="AK264" s="189"/>
      <c r="AL264" s="124"/>
      <c r="AM264" s="124"/>
      <c r="AN264" s="124"/>
      <c r="AO264" s="125"/>
      <c r="AP264" s="189"/>
      <c r="AQ264" s="124"/>
      <c r="AR264" s="124"/>
      <c r="AS264" s="124"/>
      <c r="AT264" s="124"/>
      <c r="AU264" s="124"/>
      <c r="AV264" s="124"/>
      <c r="AW264" s="124"/>
      <c r="AX264" s="124"/>
      <c r="AY264" s="124"/>
      <c r="AZ264" s="124"/>
      <c r="BA264" s="124"/>
      <c r="BB264" s="124"/>
      <c r="BC264" s="124"/>
    </row>
    <row r="265">
      <c r="A265" s="125"/>
      <c r="B265" s="189"/>
      <c r="C265" s="124"/>
      <c r="D265" s="124"/>
      <c r="E265" s="124"/>
      <c r="F265" s="125"/>
      <c r="G265" s="189"/>
      <c r="H265" s="124"/>
      <c r="I265" s="124"/>
      <c r="J265" s="124"/>
      <c r="K265" s="102"/>
      <c r="L265" s="189"/>
      <c r="M265" s="124"/>
      <c r="N265" s="124"/>
      <c r="O265" s="124"/>
      <c r="P265" s="102"/>
      <c r="Q265" s="161"/>
      <c r="R265" s="124"/>
      <c r="S265" s="124"/>
      <c r="T265" s="124"/>
      <c r="U265" s="125"/>
      <c r="V265" s="189"/>
      <c r="W265" s="124"/>
      <c r="X265" s="124"/>
      <c r="Y265" s="124"/>
      <c r="Z265" s="125"/>
      <c r="AA265" s="189"/>
      <c r="AB265" s="124"/>
      <c r="AC265" s="124"/>
      <c r="AD265" s="124"/>
      <c r="AE265" s="125"/>
      <c r="AF265" s="189"/>
      <c r="AG265" s="124"/>
      <c r="AH265" s="124"/>
      <c r="AI265" s="124"/>
      <c r="AJ265" s="125"/>
      <c r="AK265" s="189"/>
      <c r="AL265" s="124"/>
      <c r="AM265" s="124"/>
      <c r="AN265" s="124"/>
      <c r="AO265" s="125"/>
      <c r="AP265" s="189"/>
      <c r="AQ265" s="124"/>
      <c r="AR265" s="124"/>
      <c r="AS265" s="124"/>
      <c r="AT265" s="124"/>
      <c r="AU265" s="124"/>
      <c r="AV265" s="124"/>
      <c r="AW265" s="124"/>
      <c r="AX265" s="124"/>
      <c r="AY265" s="124"/>
      <c r="AZ265" s="124"/>
      <c r="BA265" s="124"/>
      <c r="BB265" s="124"/>
      <c r="BC265" s="124"/>
    </row>
    <row r="266">
      <c r="A266" s="125"/>
      <c r="B266" s="189"/>
      <c r="C266" s="124"/>
      <c r="D266" s="124"/>
      <c r="E266" s="124"/>
      <c r="F266" s="125"/>
      <c r="G266" s="189"/>
      <c r="H266" s="124"/>
      <c r="I266" s="124"/>
      <c r="J266" s="124"/>
      <c r="K266" s="102"/>
      <c r="L266" s="189"/>
      <c r="M266" s="124"/>
      <c r="N266" s="124"/>
      <c r="O266" s="124"/>
      <c r="P266" s="102"/>
      <c r="Q266" s="161"/>
      <c r="R266" s="124"/>
      <c r="S266" s="124"/>
      <c r="T266" s="124"/>
      <c r="U266" s="125"/>
      <c r="V266" s="189"/>
      <c r="W266" s="124"/>
      <c r="X266" s="124"/>
      <c r="Y266" s="124"/>
      <c r="Z266" s="125"/>
      <c r="AA266" s="189"/>
      <c r="AB266" s="124"/>
      <c r="AC266" s="124"/>
      <c r="AD266" s="124"/>
      <c r="AE266" s="125"/>
      <c r="AF266" s="189"/>
      <c r="AG266" s="124"/>
      <c r="AH266" s="124"/>
      <c r="AI266" s="124"/>
      <c r="AJ266" s="125"/>
      <c r="AK266" s="189"/>
      <c r="AL266" s="124"/>
      <c r="AM266" s="124"/>
      <c r="AN266" s="124"/>
      <c r="AO266" s="360"/>
      <c r="AP266" s="360"/>
      <c r="AQ266" s="360"/>
      <c r="AR266" s="360"/>
      <c r="AS266" s="360"/>
      <c r="AT266" s="360"/>
      <c r="AU266" s="360"/>
      <c r="AV266" s="360"/>
      <c r="AW266" s="360"/>
      <c r="AX266" s="360"/>
      <c r="AY266" s="360"/>
      <c r="AZ266" s="360"/>
      <c r="BA266" s="360"/>
      <c r="BB266" s="360"/>
      <c r="BC266" s="360"/>
    </row>
    <row r="267">
      <c r="A267" s="125"/>
      <c r="B267" s="189"/>
      <c r="C267" s="124"/>
      <c r="D267" s="124"/>
      <c r="E267" s="124"/>
      <c r="F267" s="125"/>
      <c r="G267" s="189"/>
      <c r="H267" s="124"/>
      <c r="I267" s="124"/>
      <c r="J267" s="124"/>
      <c r="K267" s="102"/>
      <c r="L267" s="189"/>
      <c r="M267" s="124"/>
      <c r="N267" s="124"/>
      <c r="O267" s="124"/>
      <c r="P267" s="102"/>
      <c r="Q267" s="161"/>
      <c r="R267" s="124"/>
      <c r="S267" s="124"/>
      <c r="T267" s="124"/>
      <c r="U267" s="125"/>
      <c r="V267" s="189"/>
      <c r="W267" s="124"/>
      <c r="X267" s="124"/>
      <c r="Y267" s="124"/>
      <c r="Z267" s="125"/>
      <c r="AA267" s="189"/>
      <c r="AB267" s="124"/>
      <c r="AC267" s="124"/>
      <c r="AD267" s="124"/>
      <c r="AE267" s="125"/>
      <c r="AF267" s="189"/>
      <c r="AG267" s="124"/>
      <c r="AH267" s="124"/>
      <c r="AI267" s="124"/>
      <c r="AJ267" s="125"/>
      <c r="AK267" s="189"/>
      <c r="AL267" s="124"/>
      <c r="AM267" s="124"/>
      <c r="AN267" s="124"/>
      <c r="AO267" s="360"/>
      <c r="AP267" s="360"/>
      <c r="AQ267" s="360"/>
      <c r="AR267" s="360"/>
      <c r="AS267" s="360"/>
      <c r="AT267" s="360"/>
      <c r="AU267" s="360"/>
      <c r="AV267" s="360"/>
      <c r="AW267" s="360"/>
      <c r="AX267" s="360"/>
      <c r="AY267" s="360"/>
      <c r="AZ267" s="360"/>
      <c r="BA267" s="360"/>
      <c r="BB267" s="360"/>
      <c r="BC267" s="360"/>
    </row>
    <row r="268">
      <c r="A268" s="125"/>
      <c r="B268" s="189"/>
      <c r="C268" s="124"/>
      <c r="D268" s="124"/>
      <c r="E268" s="124"/>
      <c r="F268" s="125"/>
      <c r="G268" s="189"/>
      <c r="H268" s="124"/>
      <c r="I268" s="124"/>
      <c r="J268" s="124"/>
      <c r="K268" s="102"/>
      <c r="L268" s="189"/>
      <c r="M268" s="124"/>
      <c r="N268" s="124"/>
      <c r="O268" s="124"/>
      <c r="P268" s="102"/>
      <c r="Q268" s="161"/>
      <c r="R268" s="124"/>
      <c r="S268" s="124"/>
      <c r="T268" s="124"/>
      <c r="U268" s="125"/>
      <c r="V268" s="189"/>
      <c r="W268" s="124"/>
      <c r="X268" s="124"/>
      <c r="Y268" s="124"/>
      <c r="Z268" s="125"/>
      <c r="AA268" s="189"/>
      <c r="AB268" s="124"/>
      <c r="AC268" s="124"/>
      <c r="AD268" s="124"/>
      <c r="AE268" s="125"/>
      <c r="AF268" s="189"/>
      <c r="AG268" s="124"/>
      <c r="AH268" s="124"/>
      <c r="AI268" s="124"/>
      <c r="AJ268" s="125"/>
      <c r="AK268" s="189"/>
      <c r="AL268" s="124"/>
      <c r="AM268" s="124"/>
      <c r="AN268" s="124"/>
      <c r="AO268" s="360"/>
      <c r="AP268" s="360"/>
      <c r="AQ268" s="360"/>
      <c r="AR268" s="360"/>
      <c r="AS268" s="360"/>
      <c r="AT268" s="360"/>
      <c r="AU268" s="360"/>
      <c r="AV268" s="360"/>
      <c r="AW268" s="360"/>
      <c r="AX268" s="360"/>
      <c r="AY268" s="360"/>
      <c r="AZ268" s="360"/>
      <c r="BA268" s="360"/>
      <c r="BB268" s="360"/>
      <c r="BC268" s="360"/>
    </row>
    <row r="269">
      <c r="A269" s="125"/>
      <c r="B269" s="189"/>
      <c r="C269" s="124"/>
      <c r="D269" s="124"/>
      <c r="E269" s="124"/>
      <c r="F269" s="125"/>
      <c r="G269" s="189"/>
      <c r="H269" s="124"/>
      <c r="I269" s="124"/>
      <c r="J269" s="124"/>
      <c r="K269" s="102"/>
      <c r="L269" s="189"/>
      <c r="M269" s="124"/>
      <c r="N269" s="124"/>
      <c r="O269" s="124"/>
      <c r="P269" s="102"/>
      <c r="Q269" s="161"/>
      <c r="R269" s="124"/>
      <c r="S269" s="124"/>
      <c r="T269" s="124"/>
      <c r="U269" s="125"/>
      <c r="V269" s="189"/>
      <c r="W269" s="124"/>
      <c r="X269" s="124"/>
      <c r="Y269" s="124"/>
      <c r="Z269" s="125"/>
      <c r="AA269" s="189"/>
      <c r="AB269" s="124"/>
      <c r="AC269" s="124"/>
      <c r="AD269" s="124"/>
      <c r="AE269" s="125"/>
      <c r="AF269" s="189"/>
      <c r="AG269" s="124"/>
      <c r="AH269" s="124"/>
      <c r="AI269" s="124"/>
      <c r="AJ269" s="125"/>
      <c r="AK269" s="189"/>
      <c r="AL269" s="124"/>
      <c r="AM269" s="124"/>
      <c r="AN269" s="124"/>
      <c r="AO269" s="360"/>
      <c r="AP269" s="360"/>
      <c r="AQ269" s="360"/>
      <c r="AR269" s="360"/>
      <c r="AS269" s="360"/>
      <c r="AT269" s="360"/>
      <c r="AU269" s="360"/>
      <c r="AV269" s="360"/>
      <c r="AW269" s="360"/>
      <c r="AX269" s="360"/>
      <c r="AY269" s="360"/>
      <c r="AZ269" s="360"/>
      <c r="BA269" s="360"/>
      <c r="BB269" s="360"/>
      <c r="BC269" s="360"/>
    </row>
    <row r="270">
      <c r="A270" s="125"/>
      <c r="B270" s="189"/>
      <c r="C270" s="124"/>
      <c r="D270" s="124"/>
      <c r="E270" s="124"/>
      <c r="F270" s="125"/>
      <c r="G270" s="189"/>
      <c r="H270" s="124"/>
      <c r="I270" s="124"/>
      <c r="J270" s="124"/>
      <c r="K270" s="102"/>
      <c r="L270" s="189"/>
      <c r="M270" s="124"/>
      <c r="N270" s="124"/>
      <c r="O270" s="124"/>
      <c r="P270" s="102"/>
      <c r="Q270" s="161"/>
      <c r="R270" s="124"/>
      <c r="S270" s="124"/>
      <c r="T270" s="124"/>
      <c r="U270" s="125"/>
      <c r="V270" s="189"/>
      <c r="W270" s="124"/>
      <c r="X270" s="124"/>
      <c r="Y270" s="124"/>
      <c r="Z270" s="125"/>
      <c r="AA270" s="189"/>
      <c r="AB270" s="124"/>
      <c r="AC270" s="124"/>
      <c r="AD270" s="124"/>
      <c r="AE270" s="125"/>
      <c r="AF270" s="189"/>
      <c r="AG270" s="124"/>
      <c r="AH270" s="124"/>
      <c r="AI270" s="124"/>
      <c r="AJ270" s="125"/>
      <c r="AK270" s="189"/>
      <c r="AL270" s="124"/>
      <c r="AM270" s="124"/>
      <c r="AN270" s="124"/>
      <c r="AO270" s="360"/>
      <c r="AP270" s="360"/>
      <c r="AQ270" s="360"/>
      <c r="AR270" s="360"/>
      <c r="AS270" s="360"/>
      <c r="AT270" s="360"/>
      <c r="AU270" s="360"/>
      <c r="AV270" s="360"/>
      <c r="AW270" s="360"/>
      <c r="AX270" s="360"/>
      <c r="AY270" s="360"/>
      <c r="AZ270" s="360"/>
      <c r="BA270" s="360"/>
      <c r="BB270" s="360"/>
      <c r="BC270" s="360"/>
    </row>
    <row r="271">
      <c r="A271" s="125"/>
      <c r="B271" s="189"/>
      <c r="C271" s="124"/>
      <c r="D271" s="124"/>
      <c r="E271" s="124"/>
      <c r="F271" s="125"/>
      <c r="G271" s="189"/>
      <c r="H271" s="124"/>
      <c r="I271" s="124"/>
      <c r="J271" s="124"/>
      <c r="K271" s="102"/>
      <c r="L271" s="189"/>
      <c r="M271" s="124"/>
      <c r="N271" s="124"/>
      <c r="O271" s="124"/>
      <c r="P271" s="102"/>
      <c r="Q271" s="161"/>
      <c r="R271" s="124"/>
      <c r="S271" s="124"/>
      <c r="T271" s="124"/>
      <c r="U271" s="125"/>
      <c r="V271" s="189"/>
      <c r="W271" s="124"/>
      <c r="X271" s="124"/>
      <c r="Y271" s="124"/>
      <c r="Z271" s="125"/>
      <c r="AA271" s="189"/>
      <c r="AB271" s="124"/>
      <c r="AC271" s="124"/>
      <c r="AD271" s="124"/>
      <c r="AE271" s="125"/>
      <c r="AF271" s="189"/>
      <c r="AG271" s="124"/>
      <c r="AH271" s="124"/>
      <c r="AI271" s="124"/>
      <c r="AJ271" s="125"/>
      <c r="AK271" s="189"/>
      <c r="AL271" s="124"/>
      <c r="AM271" s="124"/>
      <c r="AN271" s="124"/>
      <c r="AO271" s="360"/>
      <c r="AP271" s="360"/>
      <c r="AQ271" s="360"/>
      <c r="AR271" s="360"/>
      <c r="AS271" s="360"/>
      <c r="AT271" s="360"/>
      <c r="AU271" s="360"/>
      <c r="AV271" s="360"/>
      <c r="AW271" s="360"/>
      <c r="AX271" s="360"/>
      <c r="AY271" s="360"/>
      <c r="AZ271" s="360"/>
      <c r="BA271" s="360"/>
      <c r="BB271" s="360"/>
      <c r="BC271" s="360"/>
    </row>
    <row r="272">
      <c r="A272" s="125"/>
      <c r="B272" s="189"/>
      <c r="C272" s="124"/>
      <c r="D272" s="124"/>
      <c r="E272" s="124"/>
      <c r="F272" s="125"/>
      <c r="G272" s="189"/>
      <c r="H272" s="124"/>
      <c r="I272" s="124"/>
      <c r="J272" s="124"/>
      <c r="K272" s="102"/>
      <c r="L272" s="189"/>
      <c r="M272" s="124"/>
      <c r="N272" s="124"/>
      <c r="O272" s="124"/>
      <c r="P272" s="102"/>
      <c r="Q272" s="161"/>
      <c r="R272" s="124"/>
      <c r="S272" s="124"/>
      <c r="T272" s="124"/>
      <c r="U272" s="125"/>
      <c r="V272" s="189"/>
      <c r="W272" s="124"/>
      <c r="X272" s="124"/>
      <c r="Y272" s="124"/>
      <c r="Z272" s="125"/>
      <c r="AA272" s="189"/>
      <c r="AB272" s="124"/>
      <c r="AC272" s="124"/>
      <c r="AD272" s="124"/>
      <c r="AE272" s="125"/>
      <c r="AF272" s="189"/>
      <c r="AG272" s="124"/>
      <c r="AH272" s="124"/>
      <c r="AI272" s="124"/>
      <c r="AJ272" s="125"/>
      <c r="AK272" s="189"/>
      <c r="AL272" s="124"/>
      <c r="AM272" s="124"/>
      <c r="AN272" s="124"/>
      <c r="AO272" s="360"/>
      <c r="AP272" s="360"/>
      <c r="AQ272" s="360"/>
      <c r="AR272" s="360"/>
      <c r="AS272" s="360"/>
      <c r="AT272" s="360"/>
      <c r="AU272" s="360"/>
      <c r="AV272" s="360"/>
      <c r="AW272" s="360"/>
      <c r="AX272" s="360"/>
      <c r="AY272" s="360"/>
      <c r="AZ272" s="360"/>
      <c r="BA272" s="360"/>
      <c r="BB272" s="360"/>
      <c r="BC272" s="360"/>
    </row>
    <row r="273">
      <c r="A273" s="125"/>
      <c r="B273" s="189"/>
      <c r="C273" s="124"/>
      <c r="D273" s="124"/>
      <c r="E273" s="124"/>
      <c r="F273" s="125"/>
      <c r="G273" s="189"/>
      <c r="H273" s="124"/>
      <c r="I273" s="124"/>
      <c r="J273" s="124"/>
      <c r="K273" s="102"/>
      <c r="L273" s="189"/>
      <c r="M273" s="124"/>
      <c r="N273" s="124"/>
      <c r="O273" s="124"/>
      <c r="P273" s="102"/>
      <c r="Q273" s="161"/>
      <c r="R273" s="124"/>
      <c r="S273" s="124"/>
      <c r="T273" s="124"/>
      <c r="U273" s="125"/>
      <c r="V273" s="189"/>
      <c r="W273" s="124"/>
      <c r="X273" s="124"/>
      <c r="Y273" s="124"/>
      <c r="Z273" s="125"/>
      <c r="AA273" s="189"/>
      <c r="AB273" s="124"/>
      <c r="AC273" s="124"/>
      <c r="AD273" s="124"/>
      <c r="AE273" s="125"/>
      <c r="AF273" s="189"/>
      <c r="AG273" s="124"/>
      <c r="AH273" s="124"/>
      <c r="AI273" s="124"/>
      <c r="AJ273" s="125"/>
      <c r="AK273" s="189"/>
      <c r="AL273" s="124"/>
      <c r="AM273" s="124"/>
      <c r="AN273" s="124"/>
      <c r="AO273" s="360"/>
      <c r="AP273" s="360"/>
      <c r="AQ273" s="360"/>
      <c r="AR273" s="360"/>
      <c r="AS273" s="360"/>
      <c r="AT273" s="360"/>
      <c r="AU273" s="360"/>
      <c r="AV273" s="360"/>
      <c r="AW273" s="360"/>
      <c r="AX273" s="360"/>
      <c r="AY273" s="360"/>
      <c r="AZ273" s="360"/>
      <c r="BA273" s="360"/>
      <c r="BB273" s="360"/>
      <c r="BC273" s="360"/>
    </row>
    <row r="274">
      <c r="A274" s="125"/>
      <c r="B274" s="189"/>
      <c r="C274" s="124"/>
      <c r="D274" s="124"/>
      <c r="E274" s="124"/>
      <c r="F274" s="125"/>
      <c r="G274" s="189"/>
      <c r="H274" s="124"/>
      <c r="I274" s="124"/>
      <c r="J274" s="124"/>
      <c r="K274" s="102"/>
      <c r="L274" s="189"/>
      <c r="M274" s="124"/>
      <c r="N274" s="124"/>
      <c r="O274" s="124"/>
      <c r="P274" s="102"/>
      <c r="Q274" s="161"/>
      <c r="R274" s="124"/>
      <c r="S274" s="124"/>
      <c r="T274" s="124"/>
      <c r="U274" s="125"/>
      <c r="V274" s="189"/>
      <c r="W274" s="124"/>
      <c r="X274" s="124"/>
      <c r="Y274" s="124"/>
      <c r="Z274" s="125"/>
      <c r="AA274" s="189"/>
      <c r="AB274" s="124"/>
      <c r="AC274" s="124"/>
      <c r="AD274" s="124"/>
      <c r="AE274" s="125"/>
      <c r="AF274" s="189"/>
      <c r="AG274" s="124"/>
      <c r="AH274" s="124"/>
      <c r="AI274" s="124"/>
      <c r="AJ274" s="125"/>
      <c r="AK274" s="189"/>
      <c r="AL274" s="124"/>
      <c r="AM274" s="124"/>
      <c r="AN274" s="124"/>
      <c r="AO274" s="360"/>
      <c r="AP274" s="360"/>
      <c r="AQ274" s="360"/>
      <c r="AR274" s="360"/>
      <c r="AS274" s="360"/>
      <c r="AT274" s="360"/>
      <c r="AU274" s="360"/>
      <c r="AV274" s="360"/>
      <c r="AW274" s="360"/>
      <c r="AX274" s="360"/>
      <c r="AY274" s="360"/>
      <c r="AZ274" s="360"/>
      <c r="BA274" s="360"/>
      <c r="BB274" s="360"/>
      <c r="BC274" s="360"/>
    </row>
    <row r="275">
      <c r="A275" s="125"/>
      <c r="B275" s="189"/>
      <c r="C275" s="124"/>
      <c r="D275" s="124"/>
      <c r="E275" s="124"/>
      <c r="F275" s="125"/>
      <c r="G275" s="189"/>
      <c r="H275" s="124"/>
      <c r="I275" s="124"/>
      <c r="J275" s="124"/>
      <c r="K275" s="102"/>
      <c r="L275" s="189"/>
      <c r="M275" s="124"/>
      <c r="N275" s="124"/>
      <c r="O275" s="124"/>
      <c r="P275" s="102"/>
      <c r="Q275" s="161"/>
      <c r="R275" s="124"/>
      <c r="S275" s="124"/>
      <c r="T275" s="124"/>
      <c r="U275" s="125"/>
      <c r="V275" s="189"/>
      <c r="W275" s="124"/>
      <c r="X275" s="124"/>
      <c r="Y275" s="124"/>
      <c r="Z275" s="125"/>
      <c r="AA275" s="189"/>
      <c r="AB275" s="124"/>
      <c r="AC275" s="124"/>
      <c r="AD275" s="124"/>
      <c r="AE275" s="125"/>
      <c r="AF275" s="189"/>
      <c r="AG275" s="124"/>
      <c r="AH275" s="124"/>
      <c r="AI275" s="124"/>
      <c r="AJ275" s="125"/>
      <c r="AK275" s="189"/>
      <c r="AL275" s="124"/>
      <c r="AM275" s="124"/>
      <c r="AN275" s="124"/>
      <c r="AO275" s="360"/>
      <c r="AP275" s="360"/>
      <c r="AQ275" s="360"/>
      <c r="AR275" s="360"/>
      <c r="AS275" s="360"/>
      <c r="AT275" s="360"/>
      <c r="AU275" s="360"/>
      <c r="AV275" s="360"/>
      <c r="AW275" s="360"/>
      <c r="AX275" s="360"/>
      <c r="AY275" s="360"/>
      <c r="AZ275" s="360"/>
      <c r="BA275" s="360"/>
      <c r="BB275" s="360"/>
      <c r="BC275" s="360"/>
    </row>
    <row r="276">
      <c r="A276" s="125"/>
      <c r="B276" s="189"/>
      <c r="C276" s="124"/>
      <c r="D276" s="124"/>
      <c r="E276" s="124"/>
      <c r="F276" s="125"/>
      <c r="G276" s="189"/>
      <c r="H276" s="124"/>
      <c r="I276" s="124"/>
      <c r="J276" s="124"/>
      <c r="K276" s="102"/>
      <c r="L276" s="189"/>
      <c r="M276" s="124"/>
      <c r="N276" s="124"/>
      <c r="O276" s="124"/>
      <c r="P276" s="102"/>
      <c r="Q276" s="161"/>
      <c r="R276" s="124"/>
      <c r="S276" s="124"/>
      <c r="T276" s="124"/>
      <c r="U276" s="125"/>
      <c r="V276" s="189"/>
      <c r="W276" s="124"/>
      <c r="X276" s="124"/>
      <c r="Y276" s="124"/>
      <c r="Z276" s="125"/>
      <c r="AA276" s="189"/>
      <c r="AB276" s="124"/>
      <c r="AC276" s="124"/>
      <c r="AD276" s="124"/>
      <c r="AE276" s="125"/>
      <c r="AF276" s="189"/>
      <c r="AG276" s="124"/>
      <c r="AH276" s="124"/>
      <c r="AI276" s="124"/>
      <c r="AJ276" s="125"/>
      <c r="AK276" s="189"/>
      <c r="AL276" s="124"/>
      <c r="AM276" s="124"/>
      <c r="AN276" s="124"/>
      <c r="AO276" s="360"/>
      <c r="AP276" s="360"/>
      <c r="AQ276" s="360"/>
      <c r="AR276" s="360"/>
      <c r="AS276" s="360"/>
      <c r="AT276" s="360"/>
      <c r="AU276" s="360"/>
      <c r="AV276" s="360"/>
      <c r="AW276" s="360"/>
      <c r="AX276" s="360"/>
      <c r="AY276" s="360"/>
      <c r="AZ276" s="360"/>
      <c r="BA276" s="360"/>
      <c r="BB276" s="360"/>
      <c r="BC276" s="360"/>
    </row>
    <row r="277">
      <c r="A277" s="125"/>
      <c r="B277" s="189"/>
      <c r="C277" s="124"/>
      <c r="D277" s="124"/>
      <c r="E277" s="124"/>
      <c r="F277" s="125"/>
      <c r="G277" s="189"/>
      <c r="H277" s="124"/>
      <c r="I277" s="124"/>
      <c r="J277" s="124"/>
      <c r="K277" s="102"/>
      <c r="L277" s="189"/>
      <c r="M277" s="124"/>
      <c r="N277" s="124"/>
      <c r="O277" s="124"/>
      <c r="P277" s="102"/>
      <c r="Q277" s="161"/>
      <c r="R277" s="124"/>
      <c r="S277" s="124"/>
      <c r="T277" s="124"/>
      <c r="U277" s="125"/>
      <c r="V277" s="189"/>
      <c r="W277" s="124"/>
      <c r="X277" s="124"/>
      <c r="Y277" s="124"/>
      <c r="Z277" s="125"/>
      <c r="AA277" s="189"/>
      <c r="AB277" s="124"/>
      <c r="AC277" s="124"/>
      <c r="AD277" s="124"/>
      <c r="AE277" s="125"/>
      <c r="AF277" s="189"/>
      <c r="AG277" s="124"/>
      <c r="AH277" s="124"/>
      <c r="AI277" s="124"/>
      <c r="AJ277" s="125"/>
      <c r="AK277" s="189"/>
      <c r="AL277" s="124"/>
      <c r="AM277" s="124"/>
      <c r="AN277" s="124"/>
      <c r="AO277" s="360"/>
      <c r="AP277" s="360"/>
      <c r="AQ277" s="360"/>
      <c r="AR277" s="360"/>
      <c r="AS277" s="360"/>
      <c r="AT277" s="360"/>
      <c r="AU277" s="360"/>
      <c r="AV277" s="360"/>
      <c r="AW277" s="360"/>
      <c r="AX277" s="360"/>
      <c r="AY277" s="360"/>
      <c r="AZ277" s="360"/>
      <c r="BA277" s="360"/>
      <c r="BB277" s="360"/>
      <c r="BC277" s="360"/>
    </row>
    <row r="278">
      <c r="A278" s="125"/>
      <c r="B278" s="189"/>
      <c r="C278" s="124"/>
      <c r="D278" s="124"/>
      <c r="E278" s="124"/>
      <c r="F278" s="125"/>
      <c r="G278" s="189"/>
      <c r="H278" s="124"/>
      <c r="I278" s="124"/>
      <c r="J278" s="124"/>
      <c r="K278" s="102"/>
      <c r="L278" s="189"/>
      <c r="M278" s="124"/>
      <c r="N278" s="124"/>
      <c r="O278" s="124"/>
      <c r="P278" s="102"/>
      <c r="Q278" s="161"/>
      <c r="R278" s="124"/>
      <c r="S278" s="124"/>
      <c r="T278" s="124"/>
      <c r="U278" s="125"/>
      <c r="V278" s="189"/>
      <c r="W278" s="124"/>
      <c r="X278" s="124"/>
      <c r="Y278" s="124"/>
      <c r="Z278" s="125"/>
      <c r="AA278" s="189"/>
      <c r="AB278" s="124"/>
      <c r="AC278" s="124"/>
      <c r="AD278" s="124"/>
      <c r="AE278" s="125"/>
      <c r="AF278" s="189"/>
      <c r="AG278" s="124"/>
      <c r="AH278" s="124"/>
      <c r="AI278" s="124"/>
      <c r="AJ278" s="125"/>
      <c r="AK278" s="189"/>
      <c r="AL278" s="124"/>
      <c r="AM278" s="124"/>
      <c r="AN278" s="124"/>
      <c r="AO278" s="360"/>
      <c r="AP278" s="360"/>
      <c r="AQ278" s="360"/>
      <c r="AR278" s="360"/>
      <c r="AS278" s="360"/>
      <c r="AT278" s="360"/>
      <c r="AU278" s="360"/>
      <c r="AV278" s="360"/>
      <c r="AW278" s="360"/>
      <c r="AX278" s="360"/>
      <c r="AY278" s="360"/>
      <c r="AZ278" s="360"/>
      <c r="BA278" s="360"/>
      <c r="BB278" s="360"/>
      <c r="BC278" s="360"/>
    </row>
    <row r="279">
      <c r="A279" s="125"/>
      <c r="B279" s="189"/>
      <c r="C279" s="124"/>
      <c r="D279" s="124"/>
      <c r="E279" s="124"/>
      <c r="F279" s="125"/>
      <c r="G279" s="189"/>
      <c r="H279" s="124"/>
      <c r="I279" s="124"/>
      <c r="J279" s="124"/>
      <c r="K279" s="102"/>
      <c r="L279" s="189"/>
      <c r="M279" s="124"/>
      <c r="N279" s="124"/>
      <c r="O279" s="124"/>
      <c r="P279" s="102"/>
      <c r="Q279" s="161"/>
      <c r="R279" s="124"/>
      <c r="S279" s="124"/>
      <c r="T279" s="124"/>
      <c r="U279" s="125"/>
      <c r="V279" s="189"/>
      <c r="W279" s="124"/>
      <c r="X279" s="124"/>
      <c r="Y279" s="124"/>
      <c r="Z279" s="125"/>
      <c r="AA279" s="189"/>
      <c r="AB279" s="124"/>
      <c r="AC279" s="124"/>
      <c r="AD279" s="124"/>
      <c r="AE279" s="125"/>
      <c r="AF279" s="189"/>
      <c r="AG279" s="124"/>
      <c r="AH279" s="124"/>
      <c r="AI279" s="124"/>
      <c r="AJ279" s="125"/>
      <c r="AK279" s="189"/>
      <c r="AL279" s="124"/>
      <c r="AM279" s="124"/>
      <c r="AN279" s="124"/>
      <c r="AO279" s="360"/>
      <c r="AP279" s="360"/>
      <c r="AQ279" s="360"/>
      <c r="AR279" s="360"/>
      <c r="AS279" s="360"/>
      <c r="AT279" s="360"/>
      <c r="AU279" s="360"/>
      <c r="AV279" s="360"/>
      <c r="AW279" s="360"/>
      <c r="AX279" s="360"/>
      <c r="AY279" s="360"/>
      <c r="AZ279" s="360"/>
      <c r="BA279" s="360"/>
      <c r="BB279" s="360"/>
      <c r="BC279" s="360"/>
    </row>
    <row r="280">
      <c r="A280" s="125"/>
      <c r="B280" s="189"/>
      <c r="C280" s="124"/>
      <c r="D280" s="124"/>
      <c r="E280" s="124"/>
      <c r="F280" s="125"/>
      <c r="G280" s="189"/>
      <c r="H280" s="124"/>
      <c r="I280" s="124"/>
      <c r="J280" s="124"/>
      <c r="K280" s="102"/>
      <c r="L280" s="189"/>
      <c r="M280" s="124"/>
      <c r="N280" s="124"/>
      <c r="O280" s="124"/>
      <c r="P280" s="102"/>
      <c r="Q280" s="161"/>
      <c r="R280" s="124"/>
      <c r="S280" s="124"/>
      <c r="T280" s="124"/>
      <c r="U280" s="125"/>
      <c r="V280" s="189"/>
      <c r="W280" s="124"/>
      <c r="X280" s="124"/>
      <c r="Y280" s="124"/>
      <c r="Z280" s="125"/>
      <c r="AA280" s="189"/>
      <c r="AB280" s="124"/>
      <c r="AC280" s="124"/>
      <c r="AD280" s="124"/>
      <c r="AE280" s="125"/>
      <c r="AF280" s="189"/>
      <c r="AG280" s="124"/>
      <c r="AH280" s="124"/>
      <c r="AI280" s="124"/>
      <c r="AJ280" s="125"/>
      <c r="AK280" s="189"/>
      <c r="AL280" s="124"/>
      <c r="AM280" s="124"/>
      <c r="AN280" s="124"/>
      <c r="AO280" s="360"/>
      <c r="AP280" s="360"/>
      <c r="AQ280" s="360"/>
      <c r="AR280" s="360"/>
      <c r="AS280" s="360"/>
      <c r="AT280" s="360"/>
      <c r="AU280" s="360"/>
      <c r="AV280" s="360"/>
      <c r="AW280" s="360"/>
      <c r="AX280" s="360"/>
      <c r="AY280" s="360"/>
      <c r="AZ280" s="360"/>
      <c r="BA280" s="360"/>
      <c r="BB280" s="360"/>
      <c r="BC280" s="360"/>
    </row>
    <row r="281">
      <c r="A281" s="125"/>
      <c r="B281" s="189"/>
      <c r="C281" s="124"/>
      <c r="D281" s="124"/>
      <c r="E281" s="124"/>
      <c r="F281" s="125"/>
      <c r="G281" s="189"/>
      <c r="H281" s="124"/>
      <c r="I281" s="124"/>
      <c r="J281" s="124"/>
      <c r="K281" s="102"/>
      <c r="L281" s="189"/>
      <c r="M281" s="124"/>
      <c r="N281" s="124"/>
      <c r="O281" s="124"/>
      <c r="P281" s="102"/>
      <c r="Q281" s="161"/>
      <c r="R281" s="124"/>
      <c r="S281" s="124"/>
      <c r="T281" s="124"/>
      <c r="U281" s="125"/>
      <c r="V281" s="189"/>
      <c r="W281" s="124"/>
      <c r="X281" s="124"/>
      <c r="Y281" s="124"/>
      <c r="Z281" s="125"/>
      <c r="AA281" s="189"/>
      <c r="AB281" s="124"/>
      <c r="AC281" s="124"/>
      <c r="AD281" s="124"/>
      <c r="AE281" s="125"/>
      <c r="AF281" s="189"/>
      <c r="AG281" s="124"/>
      <c r="AH281" s="124"/>
      <c r="AI281" s="124"/>
      <c r="AJ281" s="125"/>
      <c r="AK281" s="189"/>
      <c r="AL281" s="124"/>
      <c r="AM281" s="124"/>
      <c r="AN281" s="124"/>
      <c r="AO281" s="360"/>
      <c r="AP281" s="360"/>
      <c r="AQ281" s="360"/>
      <c r="AR281" s="360"/>
      <c r="AS281" s="360"/>
      <c r="AT281" s="360"/>
      <c r="AU281" s="360"/>
      <c r="AV281" s="360"/>
      <c r="AW281" s="360"/>
      <c r="AX281" s="360"/>
      <c r="AY281" s="360"/>
      <c r="AZ281" s="360"/>
      <c r="BA281" s="360"/>
      <c r="BB281" s="360"/>
      <c r="BC281" s="360"/>
    </row>
    <row r="282">
      <c r="A282" s="125"/>
      <c r="B282" s="189"/>
      <c r="C282" s="124"/>
      <c r="D282" s="124"/>
      <c r="E282" s="124"/>
      <c r="F282" s="125"/>
      <c r="G282" s="189"/>
      <c r="H282" s="124"/>
      <c r="I282" s="124"/>
      <c r="J282" s="124"/>
      <c r="K282" s="102"/>
      <c r="L282" s="189"/>
      <c r="M282" s="124"/>
      <c r="N282" s="124"/>
      <c r="O282" s="124"/>
      <c r="P282" s="102"/>
      <c r="Q282" s="161"/>
      <c r="R282" s="124"/>
      <c r="S282" s="124"/>
      <c r="T282" s="124"/>
      <c r="U282" s="125"/>
      <c r="V282" s="189"/>
      <c r="W282" s="124"/>
      <c r="X282" s="124"/>
      <c r="Y282" s="124"/>
      <c r="Z282" s="125"/>
      <c r="AA282" s="189"/>
      <c r="AB282" s="124"/>
      <c r="AC282" s="124"/>
      <c r="AD282" s="124"/>
      <c r="AE282" s="125"/>
      <c r="AF282" s="189"/>
      <c r="AG282" s="124"/>
      <c r="AH282" s="124"/>
      <c r="AI282" s="124"/>
      <c r="AJ282" s="125"/>
      <c r="AK282" s="189"/>
      <c r="AL282" s="124"/>
      <c r="AM282" s="124"/>
      <c r="AN282" s="124"/>
      <c r="AO282" s="360"/>
      <c r="AP282" s="360"/>
      <c r="AQ282" s="360"/>
      <c r="AR282" s="360"/>
      <c r="AS282" s="360"/>
      <c r="AT282" s="360"/>
      <c r="AU282" s="360"/>
      <c r="AV282" s="360"/>
      <c r="AW282" s="360"/>
      <c r="AX282" s="360"/>
      <c r="AY282" s="360"/>
      <c r="AZ282" s="360"/>
      <c r="BA282" s="360"/>
      <c r="BB282" s="360"/>
      <c r="BC282" s="360"/>
    </row>
    <row r="283">
      <c r="A283" s="125"/>
      <c r="B283" s="189"/>
      <c r="C283" s="124"/>
      <c r="D283" s="124"/>
      <c r="E283" s="124"/>
      <c r="F283" s="125"/>
      <c r="G283" s="189"/>
      <c r="H283" s="124"/>
      <c r="I283" s="124"/>
      <c r="J283" s="124"/>
      <c r="K283" s="102"/>
      <c r="L283" s="189"/>
      <c r="M283" s="124"/>
      <c r="N283" s="124"/>
      <c r="O283" s="124"/>
      <c r="P283" s="102"/>
      <c r="Q283" s="161"/>
      <c r="R283" s="124"/>
      <c r="S283" s="124"/>
      <c r="T283" s="124"/>
      <c r="U283" s="125"/>
      <c r="V283" s="189"/>
      <c r="W283" s="124"/>
      <c r="X283" s="124"/>
      <c r="Y283" s="124"/>
      <c r="Z283" s="125"/>
      <c r="AA283" s="189"/>
      <c r="AB283" s="124"/>
      <c r="AC283" s="124"/>
      <c r="AD283" s="124"/>
      <c r="AE283" s="125"/>
      <c r="AF283" s="189"/>
      <c r="AG283" s="124"/>
      <c r="AH283" s="124"/>
      <c r="AI283" s="124"/>
      <c r="AJ283" s="125"/>
      <c r="AK283" s="189"/>
      <c r="AL283" s="124"/>
      <c r="AM283" s="124"/>
      <c r="AN283" s="124"/>
      <c r="AO283" s="360"/>
      <c r="AP283" s="360"/>
      <c r="AQ283" s="360"/>
      <c r="AR283" s="360"/>
      <c r="AS283" s="360"/>
      <c r="AT283" s="360"/>
      <c r="AU283" s="360"/>
      <c r="AV283" s="360"/>
      <c r="AW283" s="360"/>
      <c r="AX283" s="360"/>
      <c r="AY283" s="360"/>
      <c r="AZ283" s="360"/>
      <c r="BA283" s="360"/>
      <c r="BB283" s="360"/>
      <c r="BC283" s="360"/>
    </row>
    <row r="284">
      <c r="A284" s="125"/>
      <c r="B284" s="189"/>
      <c r="C284" s="124"/>
      <c r="D284" s="124"/>
      <c r="E284" s="124"/>
      <c r="F284" s="125"/>
      <c r="G284" s="189"/>
      <c r="H284" s="124"/>
      <c r="I284" s="124"/>
      <c r="J284" s="124"/>
      <c r="K284" s="102"/>
      <c r="L284" s="189"/>
      <c r="M284" s="124"/>
      <c r="N284" s="124"/>
      <c r="O284" s="124"/>
      <c r="P284" s="102"/>
      <c r="Q284" s="161"/>
      <c r="R284" s="124"/>
      <c r="S284" s="124"/>
      <c r="T284" s="124"/>
      <c r="U284" s="125"/>
      <c r="V284" s="189"/>
      <c r="W284" s="124"/>
      <c r="X284" s="124"/>
      <c r="Y284" s="124"/>
      <c r="Z284" s="125"/>
      <c r="AA284" s="189"/>
      <c r="AB284" s="124"/>
      <c r="AC284" s="124"/>
      <c r="AD284" s="124"/>
      <c r="AE284" s="125"/>
      <c r="AF284" s="189"/>
      <c r="AG284" s="124"/>
      <c r="AH284" s="124"/>
      <c r="AI284" s="124"/>
      <c r="AJ284" s="125"/>
      <c r="AK284" s="189"/>
      <c r="AL284" s="124"/>
      <c r="AM284" s="124"/>
      <c r="AN284" s="124"/>
      <c r="AO284" s="360"/>
      <c r="AP284" s="360"/>
      <c r="AQ284" s="360"/>
      <c r="AR284" s="360"/>
      <c r="AS284" s="360"/>
      <c r="AT284" s="360"/>
      <c r="AU284" s="360"/>
      <c r="AV284" s="360"/>
      <c r="AW284" s="360"/>
      <c r="AX284" s="360"/>
      <c r="AY284" s="360"/>
      <c r="AZ284" s="360"/>
      <c r="BA284" s="360"/>
      <c r="BB284" s="360"/>
      <c r="BC284" s="360"/>
    </row>
    <row r="285">
      <c r="A285" s="125"/>
      <c r="B285" s="189"/>
      <c r="C285" s="124"/>
      <c r="D285" s="124"/>
      <c r="E285" s="124"/>
      <c r="F285" s="125"/>
      <c r="G285" s="189"/>
      <c r="H285" s="124"/>
      <c r="I285" s="124"/>
      <c r="J285" s="124"/>
      <c r="K285" s="102"/>
      <c r="L285" s="189"/>
      <c r="M285" s="124"/>
      <c r="N285" s="124"/>
      <c r="O285" s="124"/>
      <c r="P285" s="102"/>
      <c r="Q285" s="161"/>
      <c r="R285" s="124"/>
      <c r="S285" s="124"/>
      <c r="T285" s="124"/>
      <c r="U285" s="125"/>
      <c r="V285" s="189"/>
      <c r="W285" s="124"/>
      <c r="X285" s="124"/>
      <c r="Y285" s="124"/>
      <c r="Z285" s="125"/>
      <c r="AA285" s="189"/>
      <c r="AB285" s="124"/>
      <c r="AC285" s="124"/>
      <c r="AD285" s="124"/>
      <c r="AE285" s="125"/>
      <c r="AF285" s="189"/>
      <c r="AG285" s="124"/>
      <c r="AH285" s="124"/>
      <c r="AI285" s="124"/>
      <c r="AJ285" s="125"/>
      <c r="AK285" s="189"/>
      <c r="AL285" s="124"/>
      <c r="AM285" s="124"/>
      <c r="AN285" s="124"/>
      <c r="AO285" s="360"/>
      <c r="AP285" s="360"/>
      <c r="AQ285" s="360"/>
      <c r="AR285" s="360"/>
      <c r="AS285" s="360"/>
      <c r="AT285" s="360"/>
      <c r="AU285" s="360"/>
      <c r="AV285" s="360"/>
      <c r="AW285" s="360"/>
      <c r="AX285" s="360"/>
      <c r="AY285" s="360"/>
      <c r="AZ285" s="360"/>
      <c r="BA285" s="360"/>
      <c r="BB285" s="360"/>
      <c r="BC285" s="360"/>
    </row>
    <row r="286">
      <c r="A286" s="125"/>
      <c r="B286" s="189"/>
      <c r="C286" s="124"/>
      <c r="D286" s="124"/>
      <c r="E286" s="124"/>
      <c r="F286" s="125"/>
      <c r="G286" s="189"/>
      <c r="H286" s="124"/>
      <c r="I286" s="124"/>
      <c r="J286" s="124"/>
      <c r="K286" s="102"/>
      <c r="L286" s="189"/>
      <c r="M286" s="124"/>
      <c r="N286" s="124"/>
      <c r="O286" s="124"/>
      <c r="P286" s="102"/>
      <c r="Q286" s="161"/>
      <c r="R286" s="124"/>
      <c r="S286" s="124"/>
      <c r="T286" s="124"/>
      <c r="U286" s="125"/>
      <c r="V286" s="189"/>
      <c r="W286" s="124"/>
      <c r="X286" s="124"/>
      <c r="Y286" s="124"/>
      <c r="Z286" s="125"/>
      <c r="AA286" s="189"/>
      <c r="AB286" s="124"/>
      <c r="AC286" s="124"/>
      <c r="AD286" s="124"/>
      <c r="AE286" s="125"/>
      <c r="AF286" s="189"/>
      <c r="AG286" s="124"/>
      <c r="AH286" s="124"/>
      <c r="AI286" s="124"/>
      <c r="AJ286" s="125"/>
      <c r="AK286" s="189"/>
      <c r="AL286" s="124"/>
      <c r="AM286" s="124"/>
      <c r="AN286" s="124"/>
      <c r="AO286" s="360"/>
      <c r="AP286" s="360"/>
      <c r="AQ286" s="360"/>
      <c r="AR286" s="360"/>
      <c r="AS286" s="360"/>
      <c r="AT286" s="360"/>
      <c r="AU286" s="360"/>
      <c r="AV286" s="360"/>
      <c r="AW286" s="360"/>
      <c r="AX286" s="360"/>
      <c r="AY286" s="360"/>
      <c r="AZ286" s="360"/>
      <c r="BA286" s="360"/>
      <c r="BB286" s="360"/>
      <c r="BC286" s="360"/>
    </row>
    <row r="287">
      <c r="A287" s="125"/>
      <c r="B287" s="189"/>
      <c r="C287" s="124"/>
      <c r="D287" s="124"/>
      <c r="E287" s="124"/>
      <c r="F287" s="125"/>
      <c r="G287" s="189"/>
      <c r="H287" s="124"/>
      <c r="I287" s="124"/>
      <c r="J287" s="124"/>
      <c r="K287" s="102"/>
      <c r="L287" s="189"/>
      <c r="M287" s="124"/>
      <c r="N287" s="124"/>
      <c r="O287" s="124"/>
      <c r="P287" s="102"/>
      <c r="Q287" s="161"/>
      <c r="R287" s="124"/>
      <c r="S287" s="124"/>
      <c r="T287" s="124"/>
      <c r="U287" s="125"/>
      <c r="V287" s="189"/>
      <c r="W287" s="124"/>
      <c r="X287" s="124"/>
      <c r="Y287" s="124"/>
      <c r="Z287" s="125"/>
      <c r="AA287" s="189"/>
      <c r="AB287" s="124"/>
      <c r="AC287" s="124"/>
      <c r="AD287" s="124"/>
      <c r="AE287" s="125"/>
      <c r="AF287" s="189"/>
      <c r="AG287" s="124"/>
      <c r="AH287" s="124"/>
      <c r="AI287" s="124"/>
      <c r="AJ287" s="125"/>
      <c r="AK287" s="189"/>
      <c r="AL287" s="124"/>
      <c r="AM287" s="124"/>
      <c r="AN287" s="124"/>
      <c r="AO287" s="360"/>
      <c r="AP287" s="360"/>
      <c r="AQ287" s="360"/>
      <c r="AR287" s="360"/>
      <c r="AS287" s="360"/>
      <c r="AT287" s="360"/>
      <c r="AU287" s="360"/>
      <c r="AV287" s="360"/>
      <c r="AW287" s="360"/>
      <c r="AX287" s="360"/>
      <c r="AY287" s="360"/>
      <c r="AZ287" s="360"/>
      <c r="BA287" s="360"/>
      <c r="BB287" s="360"/>
      <c r="BC287" s="360"/>
    </row>
    <row r="288">
      <c r="A288" s="125"/>
      <c r="B288" s="189"/>
      <c r="C288" s="124"/>
      <c r="D288" s="124"/>
      <c r="E288" s="124"/>
      <c r="F288" s="125"/>
      <c r="G288" s="189"/>
      <c r="H288" s="124"/>
      <c r="I288" s="124"/>
      <c r="J288" s="124"/>
      <c r="K288" s="102"/>
      <c r="L288" s="189"/>
      <c r="M288" s="124"/>
      <c r="N288" s="124"/>
      <c r="O288" s="124"/>
      <c r="P288" s="102"/>
      <c r="Q288" s="161"/>
      <c r="R288" s="124"/>
      <c r="S288" s="124"/>
      <c r="T288" s="124"/>
      <c r="U288" s="125"/>
      <c r="V288" s="189"/>
      <c r="W288" s="124"/>
      <c r="X288" s="124"/>
      <c r="Y288" s="124"/>
      <c r="Z288" s="125"/>
      <c r="AA288" s="189"/>
      <c r="AB288" s="124"/>
      <c r="AC288" s="124"/>
      <c r="AD288" s="124"/>
      <c r="AE288" s="125"/>
      <c r="AF288" s="189"/>
      <c r="AG288" s="124"/>
      <c r="AH288" s="124"/>
      <c r="AI288" s="124"/>
      <c r="AJ288" s="125"/>
      <c r="AK288" s="189"/>
      <c r="AL288" s="124"/>
      <c r="AM288" s="124"/>
      <c r="AN288" s="124"/>
      <c r="AO288" s="360"/>
      <c r="AP288" s="360"/>
      <c r="AQ288" s="360"/>
      <c r="AR288" s="360"/>
      <c r="AS288" s="360"/>
      <c r="AT288" s="360"/>
      <c r="AU288" s="360"/>
      <c r="AV288" s="360"/>
      <c r="AW288" s="360"/>
      <c r="AX288" s="360"/>
      <c r="AY288" s="360"/>
      <c r="AZ288" s="360"/>
      <c r="BA288" s="360"/>
      <c r="BB288" s="360"/>
      <c r="BC288" s="360"/>
    </row>
    <row r="289">
      <c r="A289" s="125"/>
      <c r="B289" s="189"/>
      <c r="C289" s="124"/>
      <c r="D289" s="124"/>
      <c r="E289" s="124"/>
      <c r="F289" s="125"/>
      <c r="G289" s="189"/>
      <c r="H289" s="124"/>
      <c r="I289" s="124"/>
      <c r="J289" s="124"/>
      <c r="K289" s="102"/>
      <c r="L289" s="189"/>
      <c r="M289" s="124"/>
      <c r="N289" s="124"/>
      <c r="O289" s="124"/>
      <c r="P289" s="102"/>
      <c r="Q289" s="161"/>
      <c r="R289" s="124"/>
      <c r="S289" s="124"/>
      <c r="T289" s="124"/>
      <c r="U289" s="125"/>
      <c r="V289" s="189"/>
      <c r="W289" s="124"/>
      <c r="X289" s="124"/>
      <c r="Y289" s="124"/>
      <c r="Z289" s="125"/>
      <c r="AA289" s="189"/>
      <c r="AB289" s="124"/>
      <c r="AC289" s="124"/>
      <c r="AD289" s="124"/>
      <c r="AE289" s="125"/>
      <c r="AF289" s="189"/>
      <c r="AG289" s="124"/>
      <c r="AH289" s="124"/>
      <c r="AI289" s="124"/>
      <c r="AJ289" s="125"/>
      <c r="AK289" s="189"/>
      <c r="AL289" s="124"/>
      <c r="AM289" s="124"/>
      <c r="AN289" s="124"/>
      <c r="AO289" s="360"/>
      <c r="AP289" s="360"/>
      <c r="AQ289" s="360"/>
      <c r="AR289" s="360"/>
      <c r="AS289" s="360"/>
      <c r="AT289" s="360"/>
      <c r="AU289" s="360"/>
      <c r="AV289" s="360"/>
      <c r="AW289" s="360"/>
      <c r="AX289" s="360"/>
      <c r="AY289" s="360"/>
      <c r="AZ289" s="360"/>
      <c r="BA289" s="360"/>
      <c r="BB289" s="360"/>
      <c r="BC289" s="360"/>
    </row>
    <row r="290">
      <c r="A290" s="125"/>
      <c r="B290" s="189"/>
      <c r="C290" s="124"/>
      <c r="D290" s="124"/>
      <c r="E290" s="124"/>
      <c r="F290" s="125"/>
      <c r="G290" s="189"/>
      <c r="H290" s="124"/>
      <c r="I290" s="124"/>
      <c r="J290" s="124"/>
      <c r="K290" s="102"/>
      <c r="L290" s="189"/>
      <c r="M290" s="124"/>
      <c r="N290" s="124"/>
      <c r="O290" s="124"/>
      <c r="P290" s="102"/>
      <c r="Q290" s="161"/>
      <c r="R290" s="124"/>
      <c r="S290" s="124"/>
      <c r="T290" s="124"/>
      <c r="U290" s="125"/>
      <c r="V290" s="189"/>
      <c r="W290" s="124"/>
      <c r="X290" s="124"/>
      <c r="Y290" s="124"/>
      <c r="Z290" s="125"/>
      <c r="AA290" s="189"/>
      <c r="AB290" s="124"/>
      <c r="AC290" s="124"/>
      <c r="AD290" s="124"/>
      <c r="AE290" s="125"/>
      <c r="AF290" s="189"/>
      <c r="AG290" s="124"/>
      <c r="AH290" s="124"/>
      <c r="AI290" s="124"/>
      <c r="AJ290" s="125"/>
      <c r="AK290" s="189"/>
      <c r="AL290" s="124"/>
      <c r="AM290" s="124"/>
      <c r="AN290" s="124"/>
      <c r="AO290" s="360"/>
      <c r="AP290" s="360"/>
      <c r="AQ290" s="360"/>
      <c r="AR290" s="360"/>
      <c r="AS290" s="360"/>
      <c r="AT290" s="360"/>
      <c r="AU290" s="360"/>
      <c r="AV290" s="360"/>
      <c r="AW290" s="360"/>
      <c r="AX290" s="360"/>
      <c r="AY290" s="360"/>
      <c r="AZ290" s="360"/>
      <c r="BA290" s="360"/>
      <c r="BB290" s="360"/>
      <c r="BC290" s="360"/>
    </row>
    <row r="291">
      <c r="A291" s="125"/>
      <c r="B291" s="189"/>
      <c r="C291" s="124"/>
      <c r="D291" s="124"/>
      <c r="E291" s="124"/>
      <c r="F291" s="125"/>
      <c r="G291" s="189"/>
      <c r="H291" s="124"/>
      <c r="I291" s="124"/>
      <c r="J291" s="124"/>
      <c r="K291" s="102"/>
      <c r="L291" s="189"/>
      <c r="M291" s="124"/>
      <c r="N291" s="124"/>
      <c r="O291" s="124"/>
      <c r="P291" s="102"/>
      <c r="Q291" s="161"/>
      <c r="R291" s="124"/>
      <c r="S291" s="124"/>
      <c r="T291" s="124"/>
      <c r="U291" s="125"/>
      <c r="V291" s="189"/>
      <c r="W291" s="124"/>
      <c r="X291" s="124"/>
      <c r="Y291" s="124"/>
      <c r="Z291" s="125"/>
      <c r="AA291" s="189"/>
      <c r="AB291" s="124"/>
      <c r="AC291" s="124"/>
      <c r="AD291" s="124"/>
      <c r="AE291" s="125"/>
      <c r="AF291" s="189"/>
      <c r="AG291" s="124"/>
      <c r="AH291" s="124"/>
      <c r="AI291" s="124"/>
      <c r="AJ291" s="125"/>
      <c r="AK291" s="189"/>
      <c r="AL291" s="124"/>
      <c r="AM291" s="124"/>
      <c r="AN291" s="124"/>
      <c r="AO291" s="360"/>
      <c r="AP291" s="360"/>
      <c r="AQ291" s="360"/>
      <c r="AR291" s="360"/>
      <c r="AS291" s="360"/>
      <c r="AT291" s="360"/>
      <c r="AU291" s="360"/>
      <c r="AV291" s="360"/>
      <c r="AW291" s="360"/>
      <c r="AX291" s="360"/>
      <c r="AY291" s="360"/>
      <c r="AZ291" s="360"/>
      <c r="BA291" s="360"/>
      <c r="BB291" s="360"/>
      <c r="BC291" s="360"/>
    </row>
    <row r="292">
      <c r="A292" s="125"/>
      <c r="B292" s="189"/>
      <c r="C292" s="124"/>
      <c r="D292" s="124"/>
      <c r="E292" s="124"/>
      <c r="F292" s="125"/>
      <c r="G292" s="189"/>
      <c r="H292" s="124"/>
      <c r="I292" s="124"/>
      <c r="J292" s="124"/>
      <c r="K292" s="102"/>
      <c r="L292" s="189"/>
      <c r="M292" s="124"/>
      <c r="N292" s="124"/>
      <c r="O292" s="124"/>
      <c r="P292" s="102"/>
      <c r="Q292" s="161"/>
      <c r="R292" s="124"/>
      <c r="S292" s="124"/>
      <c r="T292" s="124"/>
      <c r="U292" s="125"/>
      <c r="V292" s="189"/>
      <c r="W292" s="124"/>
      <c r="X292" s="124"/>
      <c r="Y292" s="124"/>
      <c r="Z292" s="125"/>
      <c r="AA292" s="189"/>
      <c r="AB292" s="124"/>
      <c r="AC292" s="124"/>
      <c r="AD292" s="124"/>
      <c r="AE292" s="125"/>
      <c r="AF292" s="189"/>
      <c r="AG292" s="124"/>
      <c r="AH292" s="124"/>
      <c r="AI292" s="124"/>
      <c r="AJ292" s="125"/>
      <c r="AK292" s="189"/>
      <c r="AL292" s="124"/>
      <c r="AM292" s="124"/>
      <c r="AN292" s="124"/>
      <c r="AO292" s="360"/>
      <c r="AP292" s="360"/>
      <c r="AQ292" s="360"/>
      <c r="AR292" s="360"/>
      <c r="AS292" s="360"/>
      <c r="AT292" s="360"/>
      <c r="AU292" s="360"/>
      <c r="AV292" s="360"/>
      <c r="AW292" s="360"/>
      <c r="AX292" s="360"/>
      <c r="AY292" s="360"/>
      <c r="AZ292" s="360"/>
      <c r="BA292" s="360"/>
      <c r="BB292" s="360"/>
      <c r="BC292" s="360"/>
    </row>
    <row r="293">
      <c r="A293" s="125"/>
      <c r="B293" s="189"/>
      <c r="C293" s="124"/>
      <c r="D293" s="124"/>
      <c r="E293" s="124"/>
      <c r="F293" s="125"/>
      <c r="G293" s="189"/>
      <c r="H293" s="124"/>
      <c r="I293" s="124"/>
      <c r="J293" s="124"/>
      <c r="K293" s="102"/>
      <c r="L293" s="189"/>
      <c r="M293" s="124"/>
      <c r="N293" s="124"/>
      <c r="O293" s="124"/>
      <c r="P293" s="102"/>
      <c r="Q293" s="161"/>
      <c r="R293" s="124"/>
      <c r="S293" s="124"/>
      <c r="T293" s="124"/>
      <c r="U293" s="125"/>
      <c r="V293" s="189"/>
      <c r="W293" s="124"/>
      <c r="X293" s="124"/>
      <c r="Y293" s="124"/>
      <c r="Z293" s="125"/>
      <c r="AA293" s="189"/>
      <c r="AB293" s="124"/>
      <c r="AC293" s="124"/>
      <c r="AD293" s="124"/>
      <c r="AE293" s="125"/>
      <c r="AF293" s="189"/>
      <c r="AG293" s="124"/>
      <c r="AH293" s="124"/>
      <c r="AI293" s="124"/>
      <c r="AJ293" s="125"/>
      <c r="AK293" s="189"/>
      <c r="AL293" s="124"/>
      <c r="AM293" s="124"/>
      <c r="AN293" s="124"/>
      <c r="AO293" s="360"/>
      <c r="AP293" s="360"/>
      <c r="AQ293" s="360"/>
      <c r="AR293" s="360"/>
      <c r="AS293" s="360"/>
      <c r="AT293" s="360"/>
      <c r="AU293" s="360"/>
      <c r="AV293" s="360"/>
      <c r="AW293" s="360"/>
      <c r="AX293" s="360"/>
      <c r="AY293" s="360"/>
      <c r="AZ293" s="360"/>
      <c r="BA293" s="360"/>
      <c r="BB293" s="360"/>
      <c r="BC293" s="360"/>
    </row>
    <row r="294">
      <c r="A294" s="125"/>
      <c r="B294" s="189"/>
      <c r="C294" s="124"/>
      <c r="D294" s="124"/>
      <c r="E294" s="124"/>
      <c r="F294" s="125"/>
      <c r="G294" s="189"/>
      <c r="H294" s="124"/>
      <c r="I294" s="124"/>
      <c r="J294" s="124"/>
      <c r="K294" s="102"/>
      <c r="L294" s="189"/>
      <c r="M294" s="124"/>
      <c r="N294" s="124"/>
      <c r="O294" s="124"/>
      <c r="P294" s="102"/>
      <c r="Q294" s="161"/>
      <c r="R294" s="124"/>
      <c r="S294" s="124"/>
      <c r="T294" s="124"/>
      <c r="U294" s="125"/>
      <c r="V294" s="189"/>
      <c r="W294" s="124"/>
      <c r="X294" s="124"/>
      <c r="Y294" s="124"/>
      <c r="Z294" s="125"/>
      <c r="AA294" s="189"/>
      <c r="AB294" s="124"/>
      <c r="AC294" s="124"/>
      <c r="AD294" s="124"/>
      <c r="AE294" s="125"/>
      <c r="AF294" s="189"/>
      <c r="AG294" s="124"/>
      <c r="AH294" s="124"/>
      <c r="AI294" s="124"/>
      <c r="AJ294" s="125"/>
      <c r="AK294" s="189"/>
      <c r="AL294" s="124"/>
      <c r="AM294" s="124"/>
      <c r="AN294" s="124"/>
      <c r="AO294" s="360"/>
      <c r="AP294" s="360"/>
      <c r="AQ294" s="360"/>
      <c r="AR294" s="360"/>
      <c r="AS294" s="360"/>
      <c r="AT294" s="360"/>
      <c r="AU294" s="360"/>
      <c r="AV294" s="360"/>
      <c r="AW294" s="360"/>
      <c r="AX294" s="360"/>
      <c r="AY294" s="360"/>
      <c r="AZ294" s="360"/>
      <c r="BA294" s="360"/>
      <c r="BB294" s="360"/>
      <c r="BC294" s="360"/>
    </row>
    <row r="295">
      <c r="A295" s="125"/>
      <c r="B295" s="189"/>
      <c r="C295" s="124"/>
      <c r="D295" s="124"/>
      <c r="E295" s="124"/>
      <c r="F295" s="125"/>
      <c r="G295" s="189"/>
      <c r="H295" s="124"/>
      <c r="I295" s="124"/>
      <c r="J295" s="124"/>
      <c r="K295" s="102"/>
      <c r="L295" s="189"/>
      <c r="M295" s="124"/>
      <c r="N295" s="124"/>
      <c r="O295" s="124"/>
      <c r="P295" s="102"/>
      <c r="Q295" s="161"/>
      <c r="R295" s="124"/>
      <c r="S295" s="124"/>
      <c r="T295" s="124"/>
      <c r="U295" s="125"/>
      <c r="V295" s="189"/>
      <c r="W295" s="124"/>
      <c r="X295" s="124"/>
      <c r="Y295" s="124"/>
      <c r="Z295" s="125"/>
      <c r="AA295" s="189"/>
      <c r="AB295" s="124"/>
      <c r="AC295" s="124"/>
      <c r="AD295" s="124"/>
      <c r="AE295" s="125"/>
      <c r="AF295" s="189"/>
      <c r="AG295" s="124"/>
      <c r="AH295" s="124"/>
      <c r="AI295" s="124"/>
      <c r="AJ295" s="125"/>
      <c r="AK295" s="189"/>
      <c r="AL295" s="124"/>
      <c r="AM295" s="124"/>
      <c r="AN295" s="124"/>
      <c r="AO295" s="360"/>
      <c r="AP295" s="360"/>
      <c r="AQ295" s="360"/>
      <c r="AR295" s="360"/>
      <c r="AS295" s="360"/>
      <c r="AT295" s="360"/>
      <c r="AU295" s="360"/>
      <c r="AV295" s="360"/>
      <c r="AW295" s="360"/>
      <c r="AX295" s="360"/>
      <c r="AY295" s="360"/>
      <c r="AZ295" s="360"/>
      <c r="BA295" s="360"/>
      <c r="BB295" s="360"/>
      <c r="BC295" s="360"/>
    </row>
    <row r="296">
      <c r="A296" s="125"/>
      <c r="B296" s="189"/>
      <c r="C296" s="124"/>
      <c r="D296" s="124"/>
      <c r="E296" s="124"/>
      <c r="F296" s="125"/>
      <c r="G296" s="189"/>
      <c r="H296" s="124"/>
      <c r="I296" s="124"/>
      <c r="J296" s="124"/>
      <c r="K296" s="102"/>
      <c r="L296" s="189"/>
      <c r="M296" s="124"/>
      <c r="N296" s="124"/>
      <c r="O296" s="124"/>
      <c r="P296" s="102"/>
      <c r="Q296" s="161"/>
      <c r="R296" s="124"/>
      <c r="S296" s="124"/>
      <c r="T296" s="124"/>
      <c r="U296" s="125"/>
      <c r="V296" s="189"/>
      <c r="W296" s="124"/>
      <c r="X296" s="124"/>
      <c r="Y296" s="124"/>
      <c r="Z296" s="125"/>
      <c r="AA296" s="189"/>
      <c r="AB296" s="124"/>
      <c r="AC296" s="124"/>
      <c r="AD296" s="124"/>
      <c r="AE296" s="125"/>
      <c r="AF296" s="189"/>
      <c r="AG296" s="124"/>
      <c r="AH296" s="124"/>
      <c r="AI296" s="124"/>
      <c r="AJ296" s="125"/>
      <c r="AK296" s="189"/>
      <c r="AL296" s="124"/>
      <c r="AM296" s="124"/>
      <c r="AN296" s="124"/>
      <c r="AO296" s="360"/>
      <c r="AP296" s="360"/>
      <c r="AQ296" s="360"/>
      <c r="AR296" s="360"/>
      <c r="AS296" s="360"/>
      <c r="AT296" s="360"/>
      <c r="AU296" s="360"/>
      <c r="AV296" s="360"/>
      <c r="AW296" s="360"/>
      <c r="AX296" s="360"/>
      <c r="AY296" s="360"/>
      <c r="AZ296" s="360"/>
      <c r="BA296" s="360"/>
      <c r="BB296" s="360"/>
      <c r="BC296" s="360"/>
    </row>
    <row r="297">
      <c r="A297" s="125"/>
      <c r="B297" s="189"/>
      <c r="C297" s="124"/>
      <c r="D297" s="124"/>
      <c r="E297" s="124"/>
      <c r="F297" s="125"/>
      <c r="G297" s="189"/>
      <c r="H297" s="124"/>
      <c r="I297" s="124"/>
      <c r="J297" s="124"/>
      <c r="K297" s="102"/>
      <c r="L297" s="189"/>
      <c r="M297" s="124"/>
      <c r="N297" s="124"/>
      <c r="O297" s="124"/>
      <c r="P297" s="102"/>
      <c r="Q297" s="161"/>
      <c r="R297" s="124"/>
      <c r="S297" s="124"/>
      <c r="T297" s="124"/>
      <c r="U297" s="125"/>
      <c r="V297" s="189"/>
      <c r="W297" s="124"/>
      <c r="X297" s="124"/>
      <c r="Y297" s="124"/>
      <c r="Z297" s="125"/>
      <c r="AA297" s="189"/>
      <c r="AB297" s="124"/>
      <c r="AC297" s="124"/>
      <c r="AD297" s="124"/>
      <c r="AE297" s="125"/>
      <c r="AF297" s="189"/>
      <c r="AG297" s="124"/>
      <c r="AH297" s="124"/>
      <c r="AI297" s="124"/>
      <c r="AJ297" s="125"/>
      <c r="AK297" s="189"/>
      <c r="AL297" s="124"/>
      <c r="AM297" s="124"/>
      <c r="AN297" s="124"/>
      <c r="AO297" s="360"/>
      <c r="AP297" s="360"/>
      <c r="AQ297" s="360"/>
      <c r="AR297" s="360"/>
      <c r="AS297" s="360"/>
      <c r="AT297" s="360"/>
      <c r="AU297" s="360"/>
      <c r="AV297" s="360"/>
      <c r="AW297" s="360"/>
      <c r="AX297" s="360"/>
      <c r="AY297" s="360"/>
      <c r="AZ297" s="360"/>
      <c r="BA297" s="360"/>
      <c r="BB297" s="360"/>
      <c r="BC297" s="360"/>
    </row>
    <row r="298">
      <c r="A298" s="125"/>
      <c r="B298" s="189"/>
      <c r="C298" s="124"/>
      <c r="D298" s="124"/>
      <c r="E298" s="124"/>
      <c r="F298" s="125"/>
      <c r="G298" s="189"/>
      <c r="H298" s="124"/>
      <c r="I298" s="124"/>
      <c r="J298" s="124"/>
      <c r="K298" s="102"/>
      <c r="L298" s="189"/>
      <c r="M298" s="124"/>
      <c r="N298" s="124"/>
      <c r="O298" s="124"/>
      <c r="P298" s="102"/>
      <c r="Q298" s="161"/>
      <c r="R298" s="124"/>
      <c r="S298" s="124"/>
      <c r="T298" s="124"/>
      <c r="U298" s="125"/>
      <c r="V298" s="189"/>
      <c r="W298" s="124"/>
      <c r="X298" s="124"/>
      <c r="Y298" s="124"/>
      <c r="Z298" s="125"/>
      <c r="AA298" s="189"/>
      <c r="AB298" s="124"/>
      <c r="AC298" s="124"/>
      <c r="AD298" s="124"/>
      <c r="AE298" s="125"/>
      <c r="AF298" s="189"/>
      <c r="AG298" s="124"/>
      <c r="AH298" s="124"/>
      <c r="AI298" s="124"/>
      <c r="AJ298" s="125"/>
      <c r="AK298" s="189"/>
      <c r="AL298" s="124"/>
      <c r="AM298" s="124"/>
      <c r="AN298" s="124"/>
      <c r="AO298" s="360"/>
      <c r="AP298" s="360"/>
      <c r="AQ298" s="360"/>
      <c r="AR298" s="360"/>
      <c r="AS298" s="360"/>
      <c r="AT298" s="360"/>
      <c r="AU298" s="360"/>
      <c r="AV298" s="360"/>
      <c r="AW298" s="360"/>
      <c r="AX298" s="360"/>
      <c r="AY298" s="360"/>
      <c r="AZ298" s="360"/>
      <c r="BA298" s="360"/>
      <c r="BB298" s="360"/>
      <c r="BC298" s="360"/>
    </row>
    <row r="299">
      <c r="A299" s="125"/>
      <c r="B299" s="189"/>
      <c r="C299" s="124"/>
      <c r="D299" s="124"/>
      <c r="E299" s="124"/>
      <c r="F299" s="125"/>
      <c r="G299" s="189"/>
      <c r="H299" s="124"/>
      <c r="I299" s="124"/>
      <c r="J299" s="124"/>
      <c r="K299" s="102"/>
      <c r="L299" s="189"/>
      <c r="M299" s="124"/>
      <c r="N299" s="124"/>
      <c r="O299" s="124"/>
      <c r="P299" s="102"/>
      <c r="Q299" s="161"/>
      <c r="R299" s="124"/>
      <c r="S299" s="124"/>
      <c r="T299" s="124"/>
      <c r="U299" s="125"/>
      <c r="V299" s="189"/>
      <c r="W299" s="124"/>
      <c r="X299" s="124"/>
      <c r="Y299" s="124"/>
      <c r="Z299" s="125"/>
      <c r="AA299" s="189"/>
      <c r="AB299" s="124"/>
      <c r="AC299" s="124"/>
      <c r="AD299" s="124"/>
      <c r="AE299" s="125"/>
      <c r="AF299" s="189"/>
      <c r="AG299" s="124"/>
      <c r="AH299" s="124"/>
      <c r="AI299" s="124"/>
      <c r="AJ299" s="125"/>
      <c r="AK299" s="189"/>
      <c r="AL299" s="124"/>
      <c r="AM299" s="124"/>
      <c r="AN299" s="124"/>
      <c r="AO299" s="360"/>
      <c r="AP299" s="360"/>
      <c r="AQ299" s="360"/>
      <c r="AR299" s="360"/>
      <c r="AS299" s="360"/>
      <c r="AT299" s="360"/>
      <c r="AU299" s="360"/>
      <c r="AV299" s="360"/>
      <c r="AW299" s="360"/>
      <c r="AX299" s="360"/>
      <c r="AY299" s="360"/>
      <c r="AZ299" s="360"/>
      <c r="BA299" s="360"/>
      <c r="BB299" s="360"/>
      <c r="BC299" s="360"/>
    </row>
    <row r="300">
      <c r="A300" s="125"/>
      <c r="B300" s="189"/>
      <c r="C300" s="124"/>
      <c r="D300" s="124"/>
      <c r="E300" s="124"/>
      <c r="F300" s="125"/>
      <c r="G300" s="189"/>
      <c r="H300" s="124"/>
      <c r="I300" s="124"/>
      <c r="J300" s="124"/>
      <c r="K300" s="102"/>
      <c r="L300" s="189"/>
      <c r="M300" s="124"/>
      <c r="N300" s="124"/>
      <c r="O300" s="124"/>
      <c r="P300" s="102"/>
      <c r="Q300" s="161"/>
      <c r="R300" s="124"/>
      <c r="S300" s="124"/>
      <c r="T300" s="124"/>
      <c r="U300" s="125"/>
      <c r="V300" s="189"/>
      <c r="W300" s="124"/>
      <c r="X300" s="124"/>
      <c r="Y300" s="124"/>
      <c r="Z300" s="125"/>
      <c r="AA300" s="189"/>
      <c r="AB300" s="124"/>
      <c r="AC300" s="124"/>
      <c r="AD300" s="124"/>
      <c r="AE300" s="125"/>
      <c r="AF300" s="189"/>
      <c r="AG300" s="124"/>
      <c r="AH300" s="124"/>
      <c r="AI300" s="124"/>
      <c r="AJ300" s="125"/>
      <c r="AK300" s="189"/>
      <c r="AL300" s="124"/>
      <c r="AM300" s="124"/>
      <c r="AN300" s="124"/>
      <c r="AO300" s="360"/>
      <c r="AP300" s="360"/>
      <c r="AQ300" s="360"/>
      <c r="AR300" s="360"/>
      <c r="AS300" s="360"/>
      <c r="AT300" s="360"/>
      <c r="AU300" s="360"/>
      <c r="AV300" s="360"/>
      <c r="AW300" s="360"/>
      <c r="AX300" s="360"/>
      <c r="AY300" s="360"/>
      <c r="AZ300" s="360"/>
      <c r="BA300" s="360"/>
      <c r="BB300" s="360"/>
      <c r="BC300" s="360"/>
    </row>
    <row r="301">
      <c r="A301" s="125"/>
      <c r="B301" s="189"/>
      <c r="C301" s="124"/>
      <c r="D301" s="124"/>
      <c r="E301" s="124"/>
      <c r="F301" s="125"/>
      <c r="G301" s="189"/>
      <c r="H301" s="124"/>
      <c r="I301" s="124"/>
      <c r="J301" s="124"/>
      <c r="K301" s="102"/>
      <c r="L301" s="189"/>
      <c r="M301" s="124"/>
      <c r="N301" s="124"/>
      <c r="O301" s="124"/>
      <c r="P301" s="102"/>
      <c r="Q301" s="161"/>
      <c r="R301" s="124"/>
      <c r="S301" s="124"/>
      <c r="T301" s="124"/>
      <c r="U301" s="125"/>
      <c r="V301" s="189"/>
      <c r="W301" s="124"/>
      <c r="X301" s="124"/>
      <c r="Y301" s="124"/>
      <c r="Z301" s="125"/>
      <c r="AA301" s="189"/>
      <c r="AB301" s="124"/>
      <c r="AC301" s="124"/>
      <c r="AD301" s="124"/>
      <c r="AE301" s="125"/>
      <c r="AF301" s="189"/>
      <c r="AG301" s="124"/>
      <c r="AH301" s="124"/>
      <c r="AI301" s="124"/>
      <c r="AJ301" s="125"/>
      <c r="AK301" s="189"/>
      <c r="AL301" s="124"/>
      <c r="AM301" s="124"/>
      <c r="AN301" s="124"/>
      <c r="AO301" s="360"/>
      <c r="AP301" s="360"/>
      <c r="AQ301" s="360"/>
      <c r="AR301" s="360"/>
      <c r="AS301" s="360"/>
      <c r="AT301" s="360"/>
      <c r="AU301" s="360"/>
      <c r="AV301" s="360"/>
      <c r="AW301" s="360"/>
      <c r="AX301" s="360"/>
      <c r="AY301" s="360"/>
      <c r="AZ301" s="360"/>
      <c r="BA301" s="360"/>
      <c r="BB301" s="360"/>
      <c r="BC301" s="360"/>
    </row>
    <row r="302">
      <c r="A302" s="125"/>
      <c r="B302" s="189"/>
      <c r="C302" s="124"/>
      <c r="D302" s="124"/>
      <c r="E302" s="124"/>
      <c r="F302" s="125"/>
      <c r="G302" s="189"/>
      <c r="H302" s="124"/>
      <c r="I302" s="124"/>
      <c r="J302" s="124"/>
      <c r="K302" s="102"/>
      <c r="L302" s="189"/>
      <c r="M302" s="124"/>
      <c r="N302" s="124"/>
      <c r="O302" s="124"/>
      <c r="P302" s="102"/>
      <c r="Q302" s="161"/>
      <c r="R302" s="124"/>
      <c r="S302" s="124"/>
      <c r="T302" s="124"/>
      <c r="U302" s="125"/>
      <c r="V302" s="189"/>
      <c r="W302" s="124"/>
      <c r="X302" s="124"/>
      <c r="Y302" s="124"/>
      <c r="Z302" s="125"/>
      <c r="AA302" s="189"/>
      <c r="AB302" s="124"/>
      <c r="AC302" s="124"/>
      <c r="AD302" s="124"/>
      <c r="AE302" s="125"/>
      <c r="AF302" s="189"/>
      <c r="AG302" s="124"/>
      <c r="AH302" s="124"/>
      <c r="AI302" s="124"/>
      <c r="AJ302" s="125"/>
      <c r="AK302" s="189"/>
      <c r="AL302" s="124"/>
      <c r="AM302" s="124"/>
      <c r="AN302" s="124"/>
      <c r="AO302" s="360"/>
      <c r="AP302" s="360"/>
      <c r="AQ302" s="360"/>
      <c r="AR302" s="360"/>
      <c r="AS302" s="360"/>
      <c r="AT302" s="360"/>
      <c r="AU302" s="360"/>
      <c r="AV302" s="360"/>
      <c r="AW302" s="360"/>
      <c r="AX302" s="360"/>
      <c r="AY302" s="360"/>
      <c r="AZ302" s="360"/>
      <c r="BA302" s="360"/>
      <c r="BB302" s="360"/>
      <c r="BC302" s="360"/>
    </row>
    <row r="303">
      <c r="A303" s="125"/>
      <c r="B303" s="189"/>
      <c r="C303" s="124"/>
      <c r="D303" s="124"/>
      <c r="E303" s="124"/>
      <c r="F303" s="125"/>
      <c r="G303" s="189"/>
      <c r="H303" s="124"/>
      <c r="I303" s="124"/>
      <c r="J303" s="124"/>
      <c r="K303" s="102"/>
      <c r="L303" s="189"/>
      <c r="M303" s="124"/>
      <c r="N303" s="124"/>
      <c r="O303" s="124"/>
      <c r="P303" s="102"/>
      <c r="Q303" s="161"/>
      <c r="R303" s="124"/>
      <c r="S303" s="124"/>
      <c r="T303" s="124"/>
      <c r="U303" s="125"/>
      <c r="V303" s="189"/>
      <c r="W303" s="124"/>
      <c r="X303" s="124"/>
      <c r="Y303" s="124"/>
      <c r="Z303" s="125"/>
      <c r="AA303" s="189"/>
      <c r="AB303" s="124"/>
      <c r="AC303" s="124"/>
      <c r="AD303" s="124"/>
      <c r="AE303" s="125"/>
      <c r="AF303" s="189"/>
      <c r="AG303" s="124"/>
      <c r="AH303" s="124"/>
      <c r="AI303" s="124"/>
      <c r="AJ303" s="125"/>
      <c r="AK303" s="189"/>
      <c r="AL303" s="124"/>
      <c r="AM303" s="124"/>
      <c r="AN303" s="124"/>
      <c r="AO303" s="360"/>
      <c r="AP303" s="360"/>
      <c r="AQ303" s="360"/>
      <c r="AR303" s="360"/>
      <c r="AS303" s="360"/>
      <c r="AT303" s="360"/>
      <c r="AU303" s="360"/>
      <c r="AV303" s="360"/>
      <c r="AW303" s="360"/>
      <c r="AX303" s="360"/>
      <c r="AY303" s="360"/>
      <c r="AZ303" s="360"/>
      <c r="BA303" s="360"/>
      <c r="BB303" s="360"/>
      <c r="BC303" s="360"/>
    </row>
    <row r="304">
      <c r="A304" s="125"/>
      <c r="B304" s="189"/>
      <c r="C304" s="124"/>
      <c r="D304" s="124"/>
      <c r="E304" s="124"/>
      <c r="F304" s="125"/>
      <c r="G304" s="189"/>
      <c r="H304" s="124"/>
      <c r="I304" s="124"/>
      <c r="J304" s="124"/>
      <c r="K304" s="102"/>
      <c r="L304" s="189"/>
      <c r="M304" s="124"/>
      <c r="N304" s="124"/>
      <c r="O304" s="124"/>
      <c r="P304" s="102"/>
      <c r="Q304" s="161"/>
      <c r="R304" s="124"/>
      <c r="S304" s="124"/>
      <c r="T304" s="124"/>
      <c r="U304" s="125"/>
      <c r="V304" s="189"/>
      <c r="W304" s="124"/>
      <c r="X304" s="124"/>
      <c r="Y304" s="124"/>
      <c r="Z304" s="125"/>
      <c r="AA304" s="189"/>
      <c r="AB304" s="124"/>
      <c r="AC304" s="124"/>
      <c r="AD304" s="124"/>
      <c r="AE304" s="125"/>
      <c r="AF304" s="189"/>
      <c r="AG304" s="124"/>
      <c r="AH304" s="124"/>
      <c r="AI304" s="124"/>
      <c r="AJ304" s="125"/>
      <c r="AK304" s="189"/>
      <c r="AL304" s="124"/>
      <c r="AM304" s="124"/>
      <c r="AN304" s="124"/>
      <c r="AO304" s="360"/>
      <c r="AP304" s="360"/>
      <c r="AQ304" s="360"/>
      <c r="AR304" s="360"/>
      <c r="AS304" s="360"/>
      <c r="AT304" s="360"/>
      <c r="AU304" s="360"/>
      <c r="AV304" s="360"/>
      <c r="AW304" s="360"/>
      <c r="AX304" s="360"/>
      <c r="AY304" s="360"/>
      <c r="AZ304" s="360"/>
      <c r="BA304" s="360"/>
      <c r="BB304" s="360"/>
      <c r="BC304" s="360"/>
    </row>
    <row r="305">
      <c r="A305" s="125"/>
      <c r="B305" s="189"/>
      <c r="C305" s="124"/>
      <c r="D305" s="124"/>
      <c r="E305" s="124"/>
      <c r="F305" s="125"/>
      <c r="G305" s="189"/>
      <c r="H305" s="124"/>
      <c r="I305" s="124"/>
      <c r="J305" s="124"/>
      <c r="K305" s="102"/>
      <c r="L305" s="189"/>
      <c r="M305" s="124"/>
      <c r="N305" s="124"/>
      <c r="O305" s="124"/>
      <c r="P305" s="102"/>
      <c r="Q305" s="161"/>
      <c r="R305" s="124"/>
      <c r="S305" s="124"/>
      <c r="T305" s="124"/>
      <c r="U305" s="125"/>
      <c r="V305" s="189"/>
      <c r="W305" s="124"/>
      <c r="X305" s="124"/>
      <c r="Y305" s="124"/>
      <c r="Z305" s="125"/>
      <c r="AA305" s="189"/>
      <c r="AB305" s="124"/>
      <c r="AC305" s="124"/>
      <c r="AD305" s="124"/>
      <c r="AE305" s="125"/>
      <c r="AF305" s="189"/>
      <c r="AG305" s="124"/>
      <c r="AH305" s="124"/>
      <c r="AI305" s="124"/>
      <c r="AJ305" s="125"/>
      <c r="AK305" s="189"/>
      <c r="AL305" s="124"/>
      <c r="AM305" s="124"/>
      <c r="AN305" s="124"/>
      <c r="AO305" s="360"/>
      <c r="AP305" s="360"/>
      <c r="AQ305" s="360"/>
      <c r="AR305" s="360"/>
      <c r="AS305" s="360"/>
      <c r="AT305" s="360"/>
      <c r="AU305" s="360"/>
      <c r="AV305" s="360"/>
      <c r="AW305" s="360"/>
      <c r="AX305" s="360"/>
      <c r="AY305" s="360"/>
      <c r="AZ305" s="360"/>
      <c r="BA305" s="360"/>
      <c r="BB305" s="360"/>
      <c r="BC305" s="360"/>
    </row>
    <row r="306">
      <c r="A306" s="125"/>
      <c r="B306" s="189"/>
      <c r="C306" s="124"/>
      <c r="D306" s="124"/>
      <c r="E306" s="124"/>
      <c r="F306" s="125"/>
      <c r="G306" s="189"/>
      <c r="H306" s="124"/>
      <c r="I306" s="124"/>
      <c r="J306" s="124"/>
      <c r="K306" s="102"/>
      <c r="L306" s="189"/>
      <c r="M306" s="124"/>
      <c r="N306" s="124"/>
      <c r="O306" s="124"/>
      <c r="P306" s="102"/>
      <c r="Q306" s="161"/>
      <c r="R306" s="124"/>
      <c r="S306" s="124"/>
      <c r="T306" s="124"/>
      <c r="U306" s="125"/>
      <c r="V306" s="189"/>
      <c r="W306" s="124"/>
      <c r="X306" s="124"/>
      <c r="Y306" s="124"/>
      <c r="Z306" s="125"/>
      <c r="AA306" s="189"/>
      <c r="AB306" s="124"/>
      <c r="AC306" s="124"/>
      <c r="AD306" s="124"/>
      <c r="AE306" s="125"/>
      <c r="AF306" s="189"/>
      <c r="AG306" s="124"/>
      <c r="AH306" s="124"/>
      <c r="AI306" s="124"/>
      <c r="AJ306" s="125"/>
      <c r="AK306" s="189"/>
      <c r="AL306" s="124"/>
      <c r="AM306" s="124"/>
      <c r="AN306" s="124"/>
      <c r="AO306" s="360"/>
      <c r="AP306" s="360"/>
      <c r="AQ306" s="360"/>
      <c r="AR306" s="360"/>
      <c r="AS306" s="360"/>
      <c r="AT306" s="360"/>
      <c r="AU306" s="360"/>
      <c r="AV306" s="360"/>
      <c r="AW306" s="360"/>
      <c r="AX306" s="360"/>
      <c r="AY306" s="360"/>
      <c r="AZ306" s="360"/>
      <c r="BA306" s="360"/>
      <c r="BB306" s="360"/>
      <c r="BC306" s="360"/>
    </row>
    <row r="307">
      <c r="A307" s="125"/>
      <c r="B307" s="189"/>
      <c r="C307" s="124"/>
      <c r="D307" s="124"/>
      <c r="E307" s="124"/>
      <c r="F307" s="125"/>
      <c r="G307" s="189"/>
      <c r="H307" s="124"/>
      <c r="I307" s="124"/>
      <c r="J307" s="124"/>
      <c r="K307" s="102"/>
      <c r="L307" s="189"/>
      <c r="M307" s="124"/>
      <c r="N307" s="124"/>
      <c r="O307" s="124"/>
      <c r="P307" s="102"/>
      <c r="Q307" s="161"/>
      <c r="R307" s="124"/>
      <c r="S307" s="124"/>
      <c r="T307" s="124"/>
      <c r="U307" s="125"/>
      <c r="V307" s="189"/>
      <c r="W307" s="124"/>
      <c r="X307" s="124"/>
      <c r="Y307" s="124"/>
      <c r="Z307" s="125"/>
      <c r="AA307" s="189"/>
      <c r="AB307" s="124"/>
      <c r="AC307" s="124"/>
      <c r="AD307" s="124"/>
      <c r="AE307" s="125"/>
      <c r="AF307" s="189"/>
      <c r="AG307" s="124"/>
      <c r="AH307" s="124"/>
      <c r="AI307" s="124"/>
      <c r="AJ307" s="125"/>
      <c r="AK307" s="189"/>
      <c r="AL307" s="124"/>
      <c r="AM307" s="124"/>
      <c r="AN307" s="124"/>
      <c r="AO307" s="360"/>
      <c r="AP307" s="360"/>
      <c r="AQ307" s="360"/>
      <c r="AR307" s="360"/>
      <c r="AS307" s="360"/>
      <c r="AT307" s="360"/>
      <c r="AU307" s="360"/>
      <c r="AV307" s="360"/>
      <c r="AW307" s="360"/>
      <c r="AX307" s="360"/>
      <c r="AY307" s="360"/>
      <c r="AZ307" s="360"/>
      <c r="BA307" s="360"/>
      <c r="BB307" s="360"/>
      <c r="BC307" s="360"/>
    </row>
    <row r="308">
      <c r="A308" s="125"/>
      <c r="B308" s="189"/>
      <c r="C308" s="124"/>
      <c r="D308" s="124"/>
      <c r="E308" s="124"/>
      <c r="F308" s="125"/>
      <c r="G308" s="189"/>
      <c r="H308" s="124"/>
      <c r="I308" s="124"/>
      <c r="J308" s="124"/>
      <c r="K308" s="102"/>
      <c r="L308" s="189"/>
      <c r="M308" s="124"/>
      <c r="N308" s="124"/>
      <c r="O308" s="124"/>
      <c r="P308" s="102"/>
      <c r="Q308" s="161"/>
      <c r="R308" s="124"/>
      <c r="S308" s="124"/>
      <c r="T308" s="124"/>
      <c r="U308" s="125"/>
      <c r="V308" s="189"/>
      <c r="W308" s="124"/>
      <c r="X308" s="124"/>
      <c r="Y308" s="124"/>
      <c r="Z308" s="125"/>
      <c r="AA308" s="189"/>
      <c r="AB308" s="124"/>
      <c r="AC308" s="124"/>
      <c r="AD308" s="124"/>
      <c r="AE308" s="125"/>
      <c r="AF308" s="189"/>
      <c r="AG308" s="124"/>
      <c r="AH308" s="124"/>
      <c r="AI308" s="124"/>
      <c r="AJ308" s="125"/>
      <c r="AK308" s="189"/>
      <c r="AL308" s="124"/>
      <c r="AM308" s="124"/>
      <c r="AN308" s="124"/>
      <c r="AO308" s="360"/>
      <c r="AP308" s="360"/>
      <c r="AQ308" s="360"/>
      <c r="AR308" s="360"/>
      <c r="AS308" s="360"/>
      <c r="AT308" s="360"/>
      <c r="AU308" s="360"/>
      <c r="AV308" s="360"/>
      <c r="AW308" s="360"/>
      <c r="AX308" s="360"/>
      <c r="AY308" s="360"/>
      <c r="AZ308" s="360"/>
      <c r="BA308" s="360"/>
      <c r="BB308" s="360"/>
      <c r="BC308" s="360"/>
    </row>
    <row r="309">
      <c r="A309" s="125"/>
      <c r="B309" s="189"/>
      <c r="C309" s="124"/>
      <c r="D309" s="124"/>
      <c r="E309" s="124"/>
      <c r="F309" s="125"/>
      <c r="G309" s="189"/>
      <c r="H309" s="124"/>
      <c r="I309" s="124"/>
      <c r="J309" s="124"/>
      <c r="K309" s="102"/>
      <c r="L309" s="189"/>
      <c r="M309" s="124"/>
      <c r="N309" s="124"/>
      <c r="O309" s="124"/>
      <c r="P309" s="102"/>
      <c r="Q309" s="161"/>
      <c r="R309" s="124"/>
      <c r="S309" s="124"/>
      <c r="T309" s="124"/>
      <c r="U309" s="125"/>
      <c r="V309" s="189"/>
      <c r="W309" s="124"/>
      <c r="X309" s="124"/>
      <c r="Y309" s="124"/>
      <c r="Z309" s="125"/>
      <c r="AA309" s="189"/>
      <c r="AB309" s="124"/>
      <c r="AC309" s="124"/>
      <c r="AD309" s="124"/>
      <c r="AE309" s="125"/>
      <c r="AF309" s="189"/>
      <c r="AG309" s="124"/>
      <c r="AH309" s="124"/>
      <c r="AI309" s="124"/>
      <c r="AJ309" s="125"/>
      <c r="AK309" s="189"/>
      <c r="AL309" s="124"/>
      <c r="AM309" s="124"/>
      <c r="AN309" s="124"/>
      <c r="AO309" s="360"/>
      <c r="AP309" s="360"/>
      <c r="AQ309" s="360"/>
      <c r="AR309" s="360"/>
      <c r="AS309" s="360"/>
      <c r="AT309" s="360"/>
      <c r="AU309" s="360"/>
      <c r="AV309" s="360"/>
      <c r="AW309" s="360"/>
      <c r="AX309" s="360"/>
      <c r="AY309" s="360"/>
      <c r="AZ309" s="360"/>
      <c r="BA309" s="360"/>
      <c r="BB309" s="360"/>
      <c r="BC309" s="360"/>
    </row>
    <row r="310">
      <c r="A310" s="125"/>
      <c r="B310" s="189"/>
      <c r="C310" s="124"/>
      <c r="D310" s="124"/>
      <c r="E310" s="124"/>
      <c r="F310" s="125"/>
      <c r="G310" s="189"/>
      <c r="H310" s="124"/>
      <c r="I310" s="124"/>
      <c r="J310" s="124"/>
      <c r="K310" s="102"/>
      <c r="L310" s="189"/>
      <c r="M310" s="124"/>
      <c r="N310" s="124"/>
      <c r="O310" s="124"/>
      <c r="P310" s="102"/>
      <c r="Q310" s="161"/>
      <c r="R310" s="124"/>
      <c r="S310" s="124"/>
      <c r="T310" s="124"/>
      <c r="U310" s="125"/>
      <c r="V310" s="189"/>
      <c r="W310" s="124"/>
      <c r="X310" s="124"/>
      <c r="Y310" s="124"/>
      <c r="Z310" s="125"/>
      <c r="AA310" s="189"/>
      <c r="AB310" s="124"/>
      <c r="AC310" s="124"/>
      <c r="AD310" s="124"/>
      <c r="AE310" s="125"/>
      <c r="AF310" s="189"/>
      <c r="AG310" s="124"/>
      <c r="AH310" s="124"/>
      <c r="AI310" s="124"/>
      <c r="AJ310" s="125"/>
      <c r="AK310" s="189"/>
      <c r="AL310" s="124"/>
      <c r="AM310" s="124"/>
      <c r="AN310" s="124"/>
      <c r="AO310" s="360"/>
      <c r="AP310" s="360"/>
      <c r="AQ310" s="360"/>
      <c r="AR310" s="360"/>
      <c r="AS310" s="360"/>
      <c r="AT310" s="360"/>
      <c r="AU310" s="360"/>
      <c r="AV310" s="360"/>
      <c r="AW310" s="360"/>
      <c r="AX310" s="360"/>
      <c r="AY310" s="360"/>
      <c r="AZ310" s="360"/>
      <c r="BA310" s="360"/>
      <c r="BB310" s="360"/>
      <c r="BC310" s="360"/>
    </row>
    <row r="311">
      <c r="A311" s="125"/>
      <c r="B311" s="189"/>
      <c r="C311" s="124"/>
      <c r="D311" s="124"/>
      <c r="E311" s="124"/>
      <c r="F311" s="125"/>
      <c r="G311" s="189"/>
      <c r="H311" s="124"/>
      <c r="I311" s="124"/>
      <c r="J311" s="124"/>
      <c r="K311" s="102"/>
      <c r="L311" s="189"/>
      <c r="M311" s="124"/>
      <c r="N311" s="124"/>
      <c r="O311" s="124"/>
      <c r="P311" s="102"/>
      <c r="Q311" s="161"/>
      <c r="R311" s="124"/>
      <c r="S311" s="124"/>
      <c r="T311" s="124"/>
      <c r="U311" s="125"/>
      <c r="V311" s="189"/>
      <c r="W311" s="124"/>
      <c r="X311" s="124"/>
      <c r="Y311" s="124"/>
      <c r="Z311" s="125"/>
      <c r="AA311" s="189"/>
      <c r="AB311" s="124"/>
      <c r="AC311" s="124"/>
      <c r="AD311" s="124"/>
      <c r="AE311" s="125"/>
      <c r="AF311" s="189"/>
      <c r="AG311" s="124"/>
      <c r="AH311" s="124"/>
      <c r="AI311" s="124"/>
      <c r="AJ311" s="125"/>
      <c r="AK311" s="189"/>
      <c r="AL311" s="124"/>
      <c r="AM311" s="124"/>
      <c r="AN311" s="124"/>
      <c r="AO311" s="360"/>
      <c r="AP311" s="360"/>
      <c r="AQ311" s="360"/>
      <c r="AR311" s="360"/>
      <c r="AS311" s="360"/>
      <c r="AT311" s="360"/>
      <c r="AU311" s="360"/>
      <c r="AV311" s="360"/>
      <c r="AW311" s="360"/>
      <c r="AX311" s="360"/>
      <c r="AY311" s="360"/>
      <c r="AZ311" s="360"/>
      <c r="BA311" s="360"/>
      <c r="BB311" s="360"/>
      <c r="BC311" s="360"/>
    </row>
    <row r="312">
      <c r="A312" s="125"/>
      <c r="B312" s="189"/>
      <c r="C312" s="124"/>
      <c r="D312" s="124"/>
      <c r="E312" s="124"/>
      <c r="F312" s="125"/>
      <c r="G312" s="189"/>
      <c r="H312" s="124"/>
      <c r="I312" s="124"/>
      <c r="J312" s="124"/>
      <c r="K312" s="102"/>
      <c r="L312" s="189"/>
      <c r="M312" s="124"/>
      <c r="N312" s="124"/>
      <c r="O312" s="124"/>
      <c r="P312" s="102"/>
      <c r="Q312" s="161"/>
      <c r="R312" s="124"/>
      <c r="S312" s="124"/>
      <c r="T312" s="124"/>
      <c r="U312" s="125"/>
      <c r="V312" s="189"/>
      <c r="W312" s="124"/>
      <c r="X312" s="124"/>
      <c r="Y312" s="124"/>
      <c r="Z312" s="125"/>
      <c r="AA312" s="189"/>
      <c r="AB312" s="124"/>
      <c r="AC312" s="124"/>
      <c r="AD312" s="124"/>
      <c r="AE312" s="125"/>
      <c r="AF312" s="189"/>
      <c r="AG312" s="124"/>
      <c r="AH312" s="124"/>
      <c r="AI312" s="124"/>
      <c r="AJ312" s="125"/>
      <c r="AK312" s="189"/>
      <c r="AL312" s="124"/>
      <c r="AM312" s="124"/>
      <c r="AN312" s="124"/>
      <c r="AO312" s="360"/>
      <c r="AP312" s="360"/>
      <c r="AQ312" s="360"/>
      <c r="AR312" s="360"/>
      <c r="AS312" s="360"/>
      <c r="AT312" s="360"/>
      <c r="AU312" s="360"/>
      <c r="AV312" s="360"/>
      <c r="AW312" s="360"/>
      <c r="AX312" s="360"/>
      <c r="AY312" s="360"/>
      <c r="AZ312" s="360"/>
      <c r="BA312" s="360"/>
      <c r="BB312" s="360"/>
      <c r="BC312" s="360"/>
    </row>
    <row r="313">
      <c r="A313" s="125"/>
      <c r="B313" s="189"/>
      <c r="C313" s="124"/>
      <c r="D313" s="124"/>
      <c r="E313" s="124"/>
      <c r="F313" s="125"/>
      <c r="G313" s="189"/>
      <c r="H313" s="124"/>
      <c r="I313" s="124"/>
      <c r="J313" s="124"/>
      <c r="K313" s="102"/>
      <c r="L313" s="189"/>
      <c r="M313" s="124"/>
      <c r="N313" s="124"/>
      <c r="O313" s="124"/>
      <c r="P313" s="102"/>
      <c r="Q313" s="161"/>
      <c r="R313" s="124"/>
      <c r="S313" s="124"/>
      <c r="T313" s="124"/>
      <c r="U313" s="125"/>
      <c r="V313" s="189"/>
      <c r="W313" s="124"/>
      <c r="X313" s="124"/>
      <c r="Y313" s="124"/>
      <c r="Z313" s="125"/>
      <c r="AA313" s="189"/>
      <c r="AB313" s="124"/>
      <c r="AC313" s="124"/>
      <c r="AD313" s="124"/>
      <c r="AE313" s="125"/>
      <c r="AF313" s="189"/>
      <c r="AG313" s="124"/>
      <c r="AH313" s="124"/>
      <c r="AI313" s="124"/>
      <c r="AJ313" s="125"/>
      <c r="AK313" s="189"/>
      <c r="AL313" s="124"/>
      <c r="AM313" s="124"/>
      <c r="AN313" s="124"/>
      <c r="AO313" s="360"/>
      <c r="AP313" s="360"/>
      <c r="AQ313" s="360"/>
      <c r="AR313" s="360"/>
      <c r="AS313" s="360"/>
      <c r="AT313" s="360"/>
      <c r="AU313" s="360"/>
      <c r="AV313" s="360"/>
      <c r="AW313" s="360"/>
      <c r="AX313" s="360"/>
      <c r="AY313" s="360"/>
      <c r="AZ313" s="360"/>
      <c r="BA313" s="360"/>
      <c r="BB313" s="360"/>
      <c r="BC313" s="360"/>
    </row>
    <row r="314">
      <c r="A314" s="125"/>
      <c r="B314" s="189"/>
      <c r="C314" s="124"/>
      <c r="D314" s="124"/>
      <c r="E314" s="124"/>
      <c r="F314" s="125"/>
      <c r="G314" s="189"/>
      <c r="H314" s="124"/>
      <c r="I314" s="124"/>
      <c r="J314" s="124"/>
      <c r="K314" s="102"/>
      <c r="L314" s="189"/>
      <c r="M314" s="124"/>
      <c r="N314" s="124"/>
      <c r="O314" s="124"/>
      <c r="P314" s="102"/>
      <c r="Q314" s="161"/>
      <c r="R314" s="124"/>
      <c r="S314" s="124"/>
      <c r="T314" s="124"/>
      <c r="U314" s="125"/>
      <c r="V314" s="189"/>
      <c r="W314" s="124"/>
      <c r="X314" s="124"/>
      <c r="Y314" s="124"/>
      <c r="Z314" s="125"/>
      <c r="AA314" s="189"/>
      <c r="AB314" s="124"/>
      <c r="AC314" s="124"/>
      <c r="AD314" s="124"/>
      <c r="AE314" s="125"/>
      <c r="AF314" s="189"/>
      <c r="AG314" s="124"/>
      <c r="AH314" s="124"/>
      <c r="AI314" s="124"/>
      <c r="AJ314" s="125"/>
      <c r="AK314" s="189"/>
      <c r="AL314" s="124"/>
      <c r="AM314" s="124"/>
      <c r="AN314" s="124"/>
      <c r="AO314" s="360"/>
      <c r="AP314" s="360"/>
      <c r="AQ314" s="360"/>
      <c r="AR314" s="360"/>
      <c r="AS314" s="360"/>
      <c r="AT314" s="360"/>
      <c r="AU314" s="360"/>
      <c r="AV314" s="360"/>
      <c r="AW314" s="360"/>
      <c r="AX314" s="360"/>
      <c r="AY314" s="360"/>
      <c r="AZ314" s="360"/>
      <c r="BA314" s="360"/>
      <c r="BB314" s="360"/>
      <c r="BC314" s="360"/>
    </row>
    <row r="315">
      <c r="A315" s="125"/>
      <c r="B315" s="189"/>
      <c r="C315" s="124"/>
      <c r="D315" s="124"/>
      <c r="E315" s="124"/>
      <c r="F315" s="125"/>
      <c r="G315" s="189"/>
      <c r="H315" s="124"/>
      <c r="I315" s="124"/>
      <c r="J315" s="124"/>
      <c r="K315" s="102"/>
      <c r="L315" s="189"/>
      <c r="M315" s="124"/>
      <c r="N315" s="124"/>
      <c r="O315" s="124"/>
      <c r="P315" s="102"/>
      <c r="Q315" s="161"/>
      <c r="R315" s="124"/>
      <c r="S315" s="124"/>
      <c r="T315" s="124"/>
      <c r="U315" s="125"/>
      <c r="V315" s="189"/>
      <c r="W315" s="124"/>
      <c r="X315" s="124"/>
      <c r="Y315" s="124"/>
      <c r="Z315" s="125"/>
      <c r="AA315" s="189"/>
      <c r="AB315" s="124"/>
      <c r="AC315" s="124"/>
      <c r="AD315" s="124"/>
      <c r="AE315" s="125"/>
      <c r="AF315" s="189"/>
      <c r="AG315" s="124"/>
      <c r="AH315" s="124"/>
      <c r="AI315" s="124"/>
      <c r="AJ315" s="125"/>
      <c r="AK315" s="189"/>
      <c r="AL315" s="124"/>
      <c r="AM315" s="124"/>
      <c r="AN315" s="124"/>
      <c r="AO315" s="360"/>
      <c r="AP315" s="360"/>
      <c r="AQ315" s="360"/>
      <c r="AR315" s="360"/>
      <c r="AS315" s="360"/>
      <c r="AT315" s="360"/>
      <c r="AU315" s="360"/>
      <c r="AV315" s="360"/>
      <c r="AW315" s="360"/>
      <c r="AX315" s="360"/>
      <c r="AY315" s="360"/>
      <c r="AZ315" s="360"/>
      <c r="BA315" s="360"/>
      <c r="BB315" s="360"/>
      <c r="BC315" s="360"/>
    </row>
    <row r="316">
      <c r="A316" s="125"/>
      <c r="B316" s="189"/>
      <c r="C316" s="124"/>
      <c r="D316" s="124"/>
      <c r="E316" s="124"/>
      <c r="F316" s="125"/>
      <c r="G316" s="189"/>
      <c r="H316" s="124"/>
      <c r="I316" s="124"/>
      <c r="J316" s="124"/>
      <c r="K316" s="102"/>
      <c r="L316" s="189"/>
      <c r="M316" s="124"/>
      <c r="N316" s="124"/>
      <c r="O316" s="124"/>
      <c r="P316" s="102"/>
      <c r="Q316" s="161"/>
      <c r="R316" s="124"/>
      <c r="S316" s="124"/>
      <c r="T316" s="124"/>
      <c r="U316" s="125"/>
      <c r="V316" s="189"/>
      <c r="W316" s="124"/>
      <c r="X316" s="124"/>
      <c r="Y316" s="124"/>
      <c r="Z316" s="125"/>
      <c r="AA316" s="189"/>
      <c r="AB316" s="124"/>
      <c r="AC316" s="124"/>
      <c r="AD316" s="124"/>
      <c r="AE316" s="125"/>
      <c r="AF316" s="189"/>
      <c r="AG316" s="124"/>
      <c r="AH316" s="124"/>
      <c r="AI316" s="124"/>
      <c r="AJ316" s="125"/>
      <c r="AK316" s="189"/>
      <c r="AL316" s="124"/>
      <c r="AM316" s="124"/>
      <c r="AN316" s="124"/>
      <c r="AO316" s="360"/>
      <c r="AP316" s="360"/>
      <c r="AQ316" s="360"/>
      <c r="AR316" s="360"/>
      <c r="AS316" s="360"/>
      <c r="AT316" s="360"/>
      <c r="AU316" s="360"/>
      <c r="AV316" s="360"/>
      <c r="AW316" s="360"/>
      <c r="AX316" s="360"/>
      <c r="AY316" s="360"/>
      <c r="AZ316" s="360"/>
      <c r="BA316" s="360"/>
      <c r="BB316" s="360"/>
      <c r="BC316" s="360"/>
    </row>
    <row r="317">
      <c r="A317" s="125"/>
      <c r="B317" s="189"/>
      <c r="C317" s="124"/>
      <c r="D317" s="124"/>
      <c r="E317" s="124"/>
      <c r="F317" s="125"/>
      <c r="G317" s="189"/>
      <c r="H317" s="124"/>
      <c r="I317" s="124"/>
      <c r="J317" s="124"/>
      <c r="K317" s="102"/>
      <c r="L317" s="189"/>
      <c r="M317" s="124"/>
      <c r="N317" s="124"/>
      <c r="O317" s="124"/>
      <c r="P317" s="102"/>
      <c r="Q317" s="161"/>
      <c r="R317" s="124"/>
      <c r="S317" s="124"/>
      <c r="T317" s="124"/>
      <c r="U317" s="125"/>
      <c r="V317" s="189"/>
      <c r="W317" s="124"/>
      <c r="X317" s="124"/>
      <c r="Y317" s="124"/>
      <c r="Z317" s="125"/>
      <c r="AA317" s="189"/>
      <c r="AB317" s="124"/>
      <c r="AC317" s="124"/>
      <c r="AD317" s="124"/>
      <c r="AE317" s="125"/>
      <c r="AF317" s="189"/>
      <c r="AG317" s="124"/>
      <c r="AH317" s="124"/>
      <c r="AI317" s="124"/>
      <c r="AJ317" s="125"/>
      <c r="AK317" s="189"/>
      <c r="AL317" s="124"/>
      <c r="AM317" s="124"/>
      <c r="AN317" s="124"/>
      <c r="AO317" s="360"/>
      <c r="AP317" s="360"/>
      <c r="AQ317" s="360"/>
      <c r="AR317" s="360"/>
      <c r="AS317" s="360"/>
      <c r="AT317" s="360"/>
      <c r="AU317" s="360"/>
      <c r="AV317" s="360"/>
      <c r="AW317" s="360"/>
      <c r="AX317" s="360"/>
      <c r="AY317" s="360"/>
      <c r="AZ317" s="360"/>
      <c r="BA317" s="360"/>
      <c r="BB317" s="360"/>
      <c r="BC317" s="360"/>
    </row>
    <row r="318">
      <c r="A318" s="125"/>
      <c r="B318" s="189"/>
      <c r="C318" s="124"/>
      <c r="D318" s="124"/>
      <c r="E318" s="124"/>
      <c r="F318" s="125"/>
      <c r="G318" s="189"/>
      <c r="H318" s="124"/>
      <c r="I318" s="124"/>
      <c r="J318" s="124"/>
      <c r="K318" s="102"/>
      <c r="L318" s="189"/>
      <c r="M318" s="124"/>
      <c r="N318" s="124"/>
      <c r="O318" s="124"/>
      <c r="P318" s="102"/>
      <c r="Q318" s="161"/>
      <c r="R318" s="124"/>
      <c r="S318" s="124"/>
      <c r="T318" s="124"/>
      <c r="U318" s="125"/>
      <c r="V318" s="189"/>
      <c r="W318" s="124"/>
      <c r="X318" s="124"/>
      <c r="Y318" s="124"/>
      <c r="Z318" s="125"/>
      <c r="AA318" s="189"/>
      <c r="AB318" s="124"/>
      <c r="AC318" s="124"/>
      <c r="AD318" s="124"/>
      <c r="AE318" s="125"/>
      <c r="AF318" s="189"/>
      <c r="AG318" s="124"/>
      <c r="AH318" s="124"/>
      <c r="AI318" s="124"/>
      <c r="AJ318" s="125"/>
      <c r="AK318" s="189"/>
      <c r="AL318" s="124"/>
      <c r="AM318" s="124"/>
      <c r="AN318" s="124"/>
      <c r="AO318" s="360"/>
      <c r="AP318" s="360"/>
      <c r="AQ318" s="360"/>
      <c r="AR318" s="360"/>
      <c r="AS318" s="360"/>
      <c r="AT318" s="360"/>
      <c r="AU318" s="360"/>
      <c r="AV318" s="360"/>
      <c r="AW318" s="360"/>
      <c r="AX318" s="360"/>
      <c r="AY318" s="360"/>
      <c r="AZ318" s="360"/>
      <c r="BA318" s="360"/>
      <c r="BB318" s="360"/>
      <c r="BC318" s="360"/>
    </row>
    <row r="319">
      <c r="A319" s="125"/>
      <c r="B319" s="189"/>
      <c r="C319" s="124"/>
      <c r="D319" s="124"/>
      <c r="E319" s="124"/>
      <c r="F319" s="125"/>
      <c r="G319" s="189"/>
      <c r="H319" s="124"/>
      <c r="I319" s="124"/>
      <c r="J319" s="124"/>
      <c r="K319" s="102"/>
      <c r="L319" s="189"/>
      <c r="M319" s="124"/>
      <c r="N319" s="124"/>
      <c r="O319" s="124"/>
      <c r="P319" s="102"/>
      <c r="Q319" s="161"/>
      <c r="R319" s="124"/>
      <c r="S319" s="124"/>
      <c r="T319" s="124"/>
      <c r="U319" s="125"/>
      <c r="V319" s="189"/>
      <c r="W319" s="124"/>
      <c r="X319" s="124"/>
      <c r="Y319" s="124"/>
      <c r="Z319" s="125"/>
      <c r="AA319" s="189"/>
      <c r="AB319" s="124"/>
      <c r="AC319" s="124"/>
      <c r="AD319" s="124"/>
      <c r="AE319" s="125"/>
      <c r="AF319" s="189"/>
      <c r="AG319" s="124"/>
      <c r="AH319" s="124"/>
      <c r="AI319" s="124"/>
      <c r="AJ319" s="125"/>
      <c r="AK319" s="189"/>
      <c r="AL319" s="124"/>
      <c r="AM319" s="124"/>
      <c r="AN319" s="124"/>
      <c r="AO319" s="360"/>
      <c r="AP319" s="360"/>
      <c r="AQ319" s="360"/>
      <c r="AR319" s="360"/>
      <c r="AS319" s="360"/>
      <c r="AT319" s="360"/>
      <c r="AU319" s="360"/>
      <c r="AV319" s="360"/>
      <c r="AW319" s="360"/>
      <c r="AX319" s="360"/>
      <c r="AY319" s="360"/>
      <c r="AZ319" s="360"/>
      <c r="BA319" s="360"/>
      <c r="BB319" s="360"/>
      <c r="BC319" s="360"/>
    </row>
    <row r="320">
      <c r="A320" s="125"/>
      <c r="B320" s="189"/>
      <c r="C320" s="124"/>
      <c r="D320" s="124"/>
      <c r="E320" s="124"/>
      <c r="F320" s="125"/>
      <c r="G320" s="189"/>
      <c r="H320" s="124"/>
      <c r="I320" s="124"/>
      <c r="J320" s="124"/>
      <c r="K320" s="102"/>
      <c r="L320" s="189"/>
      <c r="M320" s="124"/>
      <c r="N320" s="124"/>
      <c r="O320" s="124"/>
      <c r="P320" s="102"/>
      <c r="Q320" s="161"/>
      <c r="R320" s="124"/>
      <c r="S320" s="124"/>
      <c r="T320" s="124"/>
      <c r="U320" s="125"/>
      <c r="V320" s="189"/>
      <c r="W320" s="124"/>
      <c r="X320" s="124"/>
      <c r="Y320" s="124"/>
      <c r="Z320" s="125"/>
      <c r="AA320" s="189"/>
      <c r="AB320" s="124"/>
      <c r="AC320" s="124"/>
      <c r="AD320" s="124"/>
      <c r="AE320" s="125"/>
      <c r="AF320" s="189"/>
      <c r="AG320" s="124"/>
      <c r="AH320" s="124"/>
      <c r="AI320" s="124"/>
      <c r="AJ320" s="125"/>
      <c r="AK320" s="189"/>
      <c r="AL320" s="124"/>
      <c r="AM320" s="124"/>
      <c r="AN320" s="124"/>
      <c r="AO320" s="360"/>
      <c r="AP320" s="360"/>
      <c r="AQ320" s="360"/>
      <c r="AR320" s="360"/>
      <c r="AS320" s="360"/>
      <c r="AT320" s="360"/>
      <c r="AU320" s="360"/>
      <c r="AV320" s="360"/>
      <c r="AW320" s="360"/>
      <c r="AX320" s="360"/>
      <c r="AY320" s="360"/>
      <c r="AZ320" s="360"/>
      <c r="BA320" s="360"/>
      <c r="BB320" s="360"/>
      <c r="BC320" s="360"/>
    </row>
    <row r="321">
      <c r="A321" s="125"/>
      <c r="B321" s="189"/>
      <c r="C321" s="124"/>
      <c r="D321" s="124"/>
      <c r="E321" s="124"/>
      <c r="F321" s="125"/>
      <c r="G321" s="189"/>
      <c r="H321" s="124"/>
      <c r="I321" s="124"/>
      <c r="J321" s="124"/>
      <c r="K321" s="102"/>
      <c r="L321" s="189"/>
      <c r="M321" s="124"/>
      <c r="N321" s="124"/>
      <c r="O321" s="124"/>
      <c r="P321" s="102"/>
      <c r="Q321" s="161"/>
      <c r="R321" s="124"/>
      <c r="S321" s="124"/>
      <c r="T321" s="124"/>
      <c r="U321" s="125"/>
      <c r="V321" s="189"/>
      <c r="W321" s="124"/>
      <c r="X321" s="124"/>
      <c r="Y321" s="124"/>
      <c r="Z321" s="125"/>
      <c r="AA321" s="189"/>
      <c r="AB321" s="124"/>
      <c r="AC321" s="124"/>
      <c r="AD321" s="124"/>
      <c r="AE321" s="125"/>
      <c r="AF321" s="189"/>
      <c r="AG321" s="124"/>
      <c r="AH321" s="124"/>
      <c r="AI321" s="124"/>
      <c r="AJ321" s="125"/>
      <c r="AK321" s="189"/>
      <c r="AL321" s="124"/>
      <c r="AM321" s="124"/>
      <c r="AN321" s="124"/>
      <c r="AO321" s="360"/>
      <c r="AP321" s="360"/>
      <c r="AQ321" s="360"/>
      <c r="AR321" s="360"/>
      <c r="AS321" s="360"/>
      <c r="AT321" s="360"/>
      <c r="AU321" s="360"/>
      <c r="AV321" s="360"/>
      <c r="AW321" s="360"/>
      <c r="AX321" s="360"/>
      <c r="AY321" s="360"/>
      <c r="AZ321" s="360"/>
      <c r="BA321" s="360"/>
      <c r="BB321" s="360"/>
      <c r="BC321" s="360"/>
    </row>
    <row r="322">
      <c r="A322" s="125"/>
      <c r="B322" s="189"/>
      <c r="C322" s="124"/>
      <c r="D322" s="124"/>
      <c r="E322" s="124"/>
      <c r="F322" s="125"/>
      <c r="G322" s="189"/>
      <c r="H322" s="124"/>
      <c r="I322" s="124"/>
      <c r="J322" s="124"/>
      <c r="K322" s="102"/>
      <c r="L322" s="189"/>
      <c r="M322" s="124"/>
      <c r="N322" s="124"/>
      <c r="O322" s="124"/>
      <c r="P322" s="102"/>
      <c r="Q322" s="161"/>
      <c r="R322" s="124"/>
      <c r="S322" s="124"/>
      <c r="T322" s="124"/>
      <c r="U322" s="125"/>
      <c r="V322" s="189"/>
      <c r="W322" s="124"/>
      <c r="X322" s="124"/>
      <c r="Y322" s="124"/>
      <c r="Z322" s="125"/>
      <c r="AA322" s="189"/>
      <c r="AB322" s="124"/>
      <c r="AC322" s="124"/>
      <c r="AD322" s="124"/>
      <c r="AE322" s="125"/>
      <c r="AF322" s="189"/>
      <c r="AG322" s="124"/>
      <c r="AH322" s="124"/>
      <c r="AI322" s="124"/>
      <c r="AJ322" s="125"/>
      <c r="AK322" s="189"/>
      <c r="AL322" s="124"/>
      <c r="AM322" s="124"/>
      <c r="AN322" s="124"/>
      <c r="AO322" s="360"/>
      <c r="AP322" s="360"/>
      <c r="AQ322" s="360"/>
      <c r="AR322" s="360"/>
      <c r="AS322" s="360"/>
      <c r="AT322" s="360"/>
      <c r="AU322" s="360"/>
      <c r="AV322" s="360"/>
      <c r="AW322" s="360"/>
      <c r="AX322" s="360"/>
      <c r="AY322" s="360"/>
      <c r="AZ322" s="360"/>
      <c r="BA322" s="360"/>
      <c r="BB322" s="360"/>
      <c r="BC322" s="360"/>
    </row>
    <row r="323">
      <c r="A323" s="125"/>
      <c r="B323" s="189"/>
      <c r="C323" s="124"/>
      <c r="D323" s="124"/>
      <c r="E323" s="124"/>
      <c r="F323" s="125"/>
      <c r="G323" s="189"/>
      <c r="H323" s="124"/>
      <c r="I323" s="124"/>
      <c r="J323" s="124"/>
      <c r="K323" s="102"/>
      <c r="L323" s="189"/>
      <c r="M323" s="124"/>
      <c r="N323" s="124"/>
      <c r="O323" s="124"/>
      <c r="P323" s="102"/>
      <c r="Q323" s="161"/>
      <c r="R323" s="124"/>
      <c r="S323" s="124"/>
      <c r="T323" s="124"/>
      <c r="U323" s="125"/>
      <c r="V323" s="189"/>
      <c r="W323" s="124"/>
      <c r="X323" s="124"/>
      <c r="Y323" s="124"/>
      <c r="Z323" s="125"/>
      <c r="AA323" s="189"/>
      <c r="AB323" s="124"/>
      <c r="AC323" s="124"/>
      <c r="AD323" s="124"/>
      <c r="AE323" s="125"/>
      <c r="AF323" s="189"/>
      <c r="AG323" s="124"/>
      <c r="AH323" s="124"/>
      <c r="AI323" s="124"/>
      <c r="AJ323" s="125"/>
      <c r="AK323" s="189"/>
      <c r="AL323" s="124"/>
      <c r="AM323" s="124"/>
      <c r="AN323" s="124"/>
      <c r="AO323" s="360"/>
      <c r="AP323" s="360"/>
      <c r="AQ323" s="360"/>
      <c r="AR323" s="360"/>
      <c r="AS323" s="360"/>
      <c r="AT323" s="360"/>
      <c r="AU323" s="360"/>
      <c r="AV323" s="360"/>
      <c r="AW323" s="360"/>
      <c r="AX323" s="360"/>
      <c r="AY323" s="360"/>
      <c r="AZ323" s="360"/>
      <c r="BA323" s="360"/>
      <c r="BB323" s="360"/>
      <c r="BC323" s="360"/>
    </row>
    <row r="324">
      <c r="A324" s="125"/>
      <c r="B324" s="189"/>
      <c r="C324" s="124"/>
      <c r="D324" s="124"/>
      <c r="E324" s="124"/>
      <c r="F324" s="125"/>
      <c r="G324" s="189"/>
      <c r="H324" s="124"/>
      <c r="I324" s="124"/>
      <c r="J324" s="124"/>
      <c r="K324" s="102"/>
      <c r="L324" s="189"/>
      <c r="M324" s="124"/>
      <c r="N324" s="124"/>
      <c r="O324" s="124"/>
      <c r="P324" s="102"/>
      <c r="Q324" s="161"/>
      <c r="R324" s="124"/>
      <c r="S324" s="124"/>
      <c r="T324" s="124"/>
      <c r="U324" s="125"/>
      <c r="V324" s="189"/>
      <c r="W324" s="124"/>
      <c r="X324" s="124"/>
      <c r="Y324" s="124"/>
      <c r="Z324" s="125"/>
      <c r="AA324" s="189"/>
      <c r="AB324" s="124"/>
      <c r="AC324" s="124"/>
      <c r="AD324" s="124"/>
      <c r="AE324" s="125"/>
      <c r="AF324" s="189"/>
      <c r="AG324" s="124"/>
      <c r="AH324" s="124"/>
      <c r="AI324" s="124"/>
      <c r="AJ324" s="125"/>
      <c r="AK324" s="189"/>
      <c r="AL324" s="124"/>
      <c r="AM324" s="124"/>
      <c r="AN324" s="124"/>
      <c r="AO324" s="360"/>
      <c r="AP324" s="360"/>
      <c r="AQ324" s="360"/>
      <c r="AR324" s="360"/>
      <c r="AS324" s="360"/>
      <c r="AT324" s="360"/>
      <c r="AU324" s="360"/>
      <c r="AV324" s="360"/>
      <c r="AW324" s="360"/>
      <c r="AX324" s="360"/>
      <c r="AY324" s="360"/>
      <c r="AZ324" s="360"/>
      <c r="BA324" s="360"/>
      <c r="BB324" s="360"/>
      <c r="BC324" s="360"/>
    </row>
    <row r="325">
      <c r="A325" s="125"/>
      <c r="B325" s="189"/>
      <c r="C325" s="124"/>
      <c r="D325" s="124"/>
      <c r="E325" s="124"/>
      <c r="F325" s="125"/>
      <c r="G325" s="189"/>
      <c r="H325" s="124"/>
      <c r="I325" s="124"/>
      <c r="J325" s="124"/>
      <c r="K325" s="102"/>
      <c r="L325" s="189"/>
      <c r="M325" s="124"/>
      <c r="N325" s="124"/>
      <c r="O325" s="124"/>
      <c r="P325" s="102"/>
      <c r="Q325" s="161"/>
      <c r="R325" s="124"/>
      <c r="S325" s="124"/>
      <c r="T325" s="124"/>
      <c r="U325" s="125"/>
      <c r="V325" s="189"/>
      <c r="W325" s="124"/>
      <c r="X325" s="124"/>
      <c r="Y325" s="124"/>
      <c r="Z325" s="125"/>
      <c r="AA325" s="189"/>
      <c r="AB325" s="124"/>
      <c r="AC325" s="124"/>
      <c r="AD325" s="124"/>
      <c r="AE325" s="125"/>
      <c r="AF325" s="189"/>
      <c r="AG325" s="124"/>
      <c r="AH325" s="124"/>
      <c r="AI325" s="124"/>
      <c r="AJ325" s="125"/>
      <c r="AK325" s="189"/>
      <c r="AL325" s="124"/>
      <c r="AM325" s="124"/>
      <c r="AN325" s="124"/>
      <c r="AO325" s="360"/>
      <c r="AP325" s="360"/>
      <c r="AQ325" s="360"/>
      <c r="AR325" s="360"/>
      <c r="AS325" s="360"/>
      <c r="AT325" s="360"/>
      <c r="AU325" s="360"/>
      <c r="AV325" s="360"/>
      <c r="AW325" s="360"/>
      <c r="AX325" s="360"/>
      <c r="AY325" s="360"/>
      <c r="AZ325" s="360"/>
      <c r="BA325" s="360"/>
      <c r="BB325" s="360"/>
      <c r="BC325" s="360"/>
    </row>
    <row r="326">
      <c r="A326" s="125"/>
      <c r="B326" s="189"/>
      <c r="C326" s="124"/>
      <c r="D326" s="124"/>
      <c r="E326" s="124"/>
      <c r="F326" s="125"/>
      <c r="G326" s="189"/>
      <c r="H326" s="124"/>
      <c r="I326" s="124"/>
      <c r="J326" s="124"/>
      <c r="K326" s="102"/>
      <c r="L326" s="189"/>
      <c r="M326" s="124"/>
      <c r="N326" s="124"/>
      <c r="O326" s="124"/>
      <c r="P326" s="102"/>
      <c r="Q326" s="161"/>
      <c r="R326" s="124"/>
      <c r="S326" s="124"/>
      <c r="T326" s="124"/>
      <c r="U326" s="125"/>
      <c r="V326" s="189"/>
      <c r="W326" s="124"/>
      <c r="X326" s="124"/>
      <c r="Y326" s="124"/>
      <c r="Z326" s="125"/>
      <c r="AA326" s="189"/>
      <c r="AB326" s="124"/>
      <c r="AC326" s="124"/>
      <c r="AD326" s="124"/>
      <c r="AE326" s="125"/>
      <c r="AF326" s="189"/>
      <c r="AG326" s="124"/>
      <c r="AH326" s="124"/>
      <c r="AI326" s="124"/>
      <c r="AJ326" s="125"/>
      <c r="AK326" s="189"/>
      <c r="AL326" s="124"/>
      <c r="AM326" s="124"/>
      <c r="AN326" s="124"/>
      <c r="AO326" s="360"/>
      <c r="AP326" s="360"/>
      <c r="AQ326" s="360"/>
      <c r="AR326" s="360"/>
      <c r="AS326" s="360"/>
      <c r="AT326" s="360"/>
      <c r="AU326" s="360"/>
      <c r="AV326" s="360"/>
      <c r="AW326" s="360"/>
      <c r="AX326" s="360"/>
      <c r="AY326" s="360"/>
      <c r="AZ326" s="360"/>
      <c r="BA326" s="360"/>
      <c r="BB326" s="360"/>
      <c r="BC326" s="360"/>
    </row>
    <row r="327">
      <c r="A327" s="125"/>
      <c r="B327" s="189"/>
      <c r="C327" s="124"/>
      <c r="D327" s="124"/>
      <c r="E327" s="124"/>
      <c r="F327" s="125"/>
      <c r="G327" s="189"/>
      <c r="H327" s="124"/>
      <c r="I327" s="124"/>
      <c r="J327" s="124"/>
      <c r="K327" s="102"/>
      <c r="L327" s="189"/>
      <c r="M327" s="124"/>
      <c r="N327" s="124"/>
      <c r="O327" s="124"/>
      <c r="P327" s="102"/>
      <c r="Q327" s="161"/>
      <c r="R327" s="124"/>
      <c r="S327" s="124"/>
      <c r="T327" s="124"/>
      <c r="U327" s="125"/>
      <c r="V327" s="189"/>
      <c r="W327" s="124"/>
      <c r="X327" s="124"/>
      <c r="Y327" s="124"/>
      <c r="Z327" s="125"/>
      <c r="AA327" s="189"/>
      <c r="AB327" s="124"/>
      <c r="AC327" s="124"/>
      <c r="AD327" s="124"/>
      <c r="AE327" s="125"/>
      <c r="AF327" s="189"/>
      <c r="AG327" s="124"/>
      <c r="AH327" s="124"/>
      <c r="AI327" s="124"/>
      <c r="AJ327" s="125"/>
      <c r="AK327" s="189"/>
      <c r="AL327" s="124"/>
      <c r="AM327" s="124"/>
      <c r="AN327" s="124"/>
      <c r="AO327" s="360"/>
      <c r="AP327" s="360"/>
      <c r="AQ327" s="360"/>
      <c r="AR327" s="360"/>
      <c r="AS327" s="360"/>
      <c r="AT327" s="360"/>
      <c r="AU327" s="360"/>
      <c r="AV327" s="360"/>
      <c r="AW327" s="360"/>
      <c r="AX327" s="360"/>
      <c r="AY327" s="360"/>
      <c r="AZ327" s="360"/>
      <c r="BA327" s="360"/>
      <c r="BB327" s="360"/>
      <c r="BC327" s="360"/>
    </row>
    <row r="328">
      <c r="A328" s="125"/>
      <c r="B328" s="189"/>
      <c r="C328" s="124"/>
      <c r="D328" s="124"/>
      <c r="E328" s="124"/>
      <c r="F328" s="125"/>
      <c r="G328" s="189"/>
      <c r="H328" s="124"/>
      <c r="I328" s="124"/>
      <c r="J328" s="124"/>
      <c r="K328" s="102"/>
      <c r="L328" s="189"/>
      <c r="M328" s="124"/>
      <c r="N328" s="124"/>
      <c r="O328" s="124"/>
      <c r="P328" s="102"/>
      <c r="Q328" s="161"/>
      <c r="R328" s="124"/>
      <c r="S328" s="124"/>
      <c r="T328" s="124"/>
      <c r="U328" s="125"/>
      <c r="V328" s="189"/>
      <c r="W328" s="124"/>
      <c r="X328" s="124"/>
      <c r="Y328" s="124"/>
      <c r="Z328" s="125"/>
      <c r="AA328" s="189"/>
      <c r="AB328" s="124"/>
      <c r="AC328" s="124"/>
      <c r="AD328" s="124"/>
      <c r="AE328" s="125"/>
      <c r="AF328" s="189"/>
      <c r="AG328" s="124"/>
      <c r="AH328" s="124"/>
      <c r="AI328" s="124"/>
      <c r="AJ328" s="125"/>
      <c r="AK328" s="189"/>
      <c r="AL328" s="124"/>
      <c r="AM328" s="124"/>
      <c r="AN328" s="124"/>
      <c r="AO328" s="360"/>
      <c r="AP328" s="360"/>
      <c r="AQ328" s="360"/>
      <c r="AR328" s="360"/>
      <c r="AS328" s="360"/>
      <c r="AT328" s="360"/>
      <c r="AU328" s="360"/>
      <c r="AV328" s="360"/>
      <c r="AW328" s="360"/>
      <c r="AX328" s="360"/>
      <c r="AY328" s="360"/>
      <c r="AZ328" s="360"/>
      <c r="BA328" s="360"/>
      <c r="BB328" s="360"/>
      <c r="BC328" s="360"/>
    </row>
    <row r="329">
      <c r="A329" s="125"/>
      <c r="B329" s="189"/>
      <c r="C329" s="124"/>
      <c r="D329" s="124"/>
      <c r="E329" s="124"/>
      <c r="F329" s="125"/>
      <c r="G329" s="189"/>
      <c r="H329" s="124"/>
      <c r="I329" s="124"/>
      <c r="J329" s="124"/>
      <c r="K329" s="102"/>
      <c r="L329" s="189"/>
      <c r="M329" s="124"/>
      <c r="N329" s="124"/>
      <c r="O329" s="124"/>
      <c r="P329" s="102"/>
      <c r="Q329" s="161"/>
      <c r="R329" s="124"/>
      <c r="S329" s="124"/>
      <c r="T329" s="124"/>
      <c r="U329" s="125"/>
      <c r="V329" s="189"/>
      <c r="W329" s="124"/>
      <c r="X329" s="124"/>
      <c r="Y329" s="124"/>
      <c r="Z329" s="125"/>
      <c r="AA329" s="189"/>
      <c r="AB329" s="124"/>
      <c r="AC329" s="124"/>
      <c r="AD329" s="124"/>
      <c r="AE329" s="125"/>
      <c r="AF329" s="189"/>
      <c r="AG329" s="124"/>
      <c r="AH329" s="124"/>
      <c r="AI329" s="124"/>
      <c r="AJ329" s="125"/>
      <c r="AK329" s="189"/>
      <c r="AL329" s="124"/>
      <c r="AM329" s="124"/>
      <c r="AN329" s="124"/>
      <c r="AO329" s="360"/>
      <c r="AP329" s="360"/>
      <c r="AQ329" s="360"/>
      <c r="AR329" s="360"/>
      <c r="AS329" s="360"/>
      <c r="AT329" s="360"/>
      <c r="AU329" s="360"/>
      <c r="AV329" s="360"/>
      <c r="AW329" s="360"/>
      <c r="AX329" s="360"/>
      <c r="AY329" s="360"/>
      <c r="AZ329" s="360"/>
      <c r="BA329" s="360"/>
      <c r="BB329" s="360"/>
      <c r="BC329" s="360"/>
    </row>
    <row r="330">
      <c r="A330" s="125"/>
      <c r="B330" s="189"/>
      <c r="C330" s="124"/>
      <c r="D330" s="124"/>
      <c r="E330" s="124"/>
      <c r="F330" s="125"/>
      <c r="G330" s="189"/>
      <c r="H330" s="124"/>
      <c r="I330" s="124"/>
      <c r="J330" s="124"/>
      <c r="K330" s="102"/>
      <c r="L330" s="189"/>
      <c r="M330" s="124"/>
      <c r="N330" s="124"/>
      <c r="O330" s="124"/>
      <c r="P330" s="102"/>
      <c r="Q330" s="161"/>
      <c r="R330" s="124"/>
      <c r="S330" s="124"/>
      <c r="T330" s="124"/>
      <c r="U330" s="125"/>
      <c r="V330" s="189"/>
      <c r="W330" s="124"/>
      <c r="X330" s="124"/>
      <c r="Y330" s="124"/>
      <c r="Z330" s="125"/>
      <c r="AA330" s="189"/>
      <c r="AB330" s="124"/>
      <c r="AC330" s="124"/>
      <c r="AD330" s="124"/>
      <c r="AE330" s="125"/>
      <c r="AF330" s="189"/>
      <c r="AG330" s="124"/>
      <c r="AH330" s="124"/>
      <c r="AI330" s="124"/>
      <c r="AJ330" s="125"/>
      <c r="AK330" s="189"/>
      <c r="AL330" s="124"/>
      <c r="AM330" s="124"/>
      <c r="AN330" s="124"/>
      <c r="AO330" s="360"/>
      <c r="AP330" s="360"/>
      <c r="AQ330" s="360"/>
      <c r="AR330" s="360"/>
      <c r="AS330" s="360"/>
      <c r="AT330" s="360"/>
      <c r="AU330" s="360"/>
      <c r="AV330" s="360"/>
      <c r="AW330" s="360"/>
      <c r="AX330" s="360"/>
      <c r="AY330" s="360"/>
      <c r="AZ330" s="360"/>
      <c r="BA330" s="360"/>
      <c r="BB330" s="360"/>
      <c r="BC330" s="360"/>
    </row>
    <row r="331">
      <c r="A331" s="125"/>
      <c r="B331" s="189"/>
      <c r="C331" s="124"/>
      <c r="D331" s="124"/>
      <c r="E331" s="124"/>
      <c r="F331" s="125"/>
      <c r="G331" s="189"/>
      <c r="H331" s="124"/>
      <c r="I331" s="124"/>
      <c r="J331" s="124"/>
      <c r="K331" s="102"/>
      <c r="L331" s="189"/>
      <c r="M331" s="124"/>
      <c r="N331" s="124"/>
      <c r="O331" s="124"/>
      <c r="P331" s="102"/>
      <c r="Q331" s="161"/>
      <c r="R331" s="124"/>
      <c r="S331" s="124"/>
      <c r="T331" s="124"/>
      <c r="U331" s="125"/>
      <c r="V331" s="189"/>
      <c r="W331" s="124"/>
      <c r="X331" s="124"/>
      <c r="Y331" s="124"/>
      <c r="Z331" s="125"/>
      <c r="AA331" s="189"/>
      <c r="AB331" s="124"/>
      <c r="AC331" s="124"/>
      <c r="AD331" s="124"/>
      <c r="AE331" s="125"/>
      <c r="AF331" s="189"/>
      <c r="AG331" s="124"/>
      <c r="AH331" s="124"/>
      <c r="AI331" s="124"/>
      <c r="AJ331" s="125"/>
      <c r="AK331" s="189"/>
      <c r="AL331" s="124"/>
      <c r="AM331" s="124"/>
      <c r="AN331" s="124"/>
      <c r="AO331" s="360"/>
      <c r="AP331" s="360"/>
      <c r="AQ331" s="360"/>
      <c r="AR331" s="360"/>
      <c r="AS331" s="360"/>
      <c r="AT331" s="360"/>
      <c r="AU331" s="360"/>
      <c r="AV331" s="360"/>
      <c r="AW331" s="360"/>
      <c r="AX331" s="360"/>
      <c r="AY331" s="360"/>
      <c r="AZ331" s="360"/>
      <c r="BA331" s="360"/>
      <c r="BB331" s="360"/>
      <c r="BC331" s="360"/>
    </row>
    <row r="332">
      <c r="A332" s="125"/>
      <c r="B332" s="189"/>
      <c r="C332" s="124"/>
      <c r="D332" s="124"/>
      <c r="E332" s="124"/>
      <c r="F332" s="125"/>
      <c r="G332" s="189"/>
      <c r="H332" s="124"/>
      <c r="I332" s="124"/>
      <c r="J332" s="124"/>
      <c r="K332" s="102"/>
      <c r="L332" s="189"/>
      <c r="M332" s="124"/>
      <c r="N332" s="124"/>
      <c r="O332" s="124"/>
      <c r="P332" s="102"/>
      <c r="Q332" s="161"/>
      <c r="R332" s="124"/>
      <c r="S332" s="124"/>
      <c r="T332" s="124"/>
      <c r="U332" s="125"/>
      <c r="V332" s="189"/>
      <c r="W332" s="124"/>
      <c r="X332" s="124"/>
      <c r="Y332" s="124"/>
      <c r="Z332" s="125"/>
      <c r="AA332" s="189"/>
      <c r="AB332" s="124"/>
      <c r="AC332" s="124"/>
      <c r="AD332" s="124"/>
      <c r="AE332" s="125"/>
      <c r="AF332" s="189"/>
      <c r="AG332" s="124"/>
      <c r="AH332" s="124"/>
      <c r="AI332" s="124"/>
      <c r="AJ332" s="125"/>
      <c r="AK332" s="189"/>
      <c r="AL332" s="124"/>
      <c r="AM332" s="124"/>
      <c r="AN332" s="124"/>
      <c r="AO332" s="360"/>
      <c r="AP332" s="360"/>
      <c r="AQ332" s="360"/>
      <c r="AR332" s="360"/>
      <c r="AS332" s="360"/>
      <c r="AT332" s="360"/>
      <c r="AU332" s="360"/>
      <c r="AV332" s="360"/>
      <c r="AW332" s="360"/>
      <c r="AX332" s="360"/>
      <c r="AY332" s="360"/>
      <c r="AZ332" s="360"/>
      <c r="BA332" s="360"/>
      <c r="BB332" s="360"/>
      <c r="BC332" s="360"/>
    </row>
    <row r="333">
      <c r="A333" s="125"/>
      <c r="B333" s="189"/>
      <c r="C333" s="124"/>
      <c r="D333" s="124"/>
      <c r="E333" s="124"/>
      <c r="F333" s="125"/>
      <c r="G333" s="189"/>
      <c r="H333" s="124"/>
      <c r="I333" s="124"/>
      <c r="J333" s="124"/>
      <c r="K333" s="102"/>
      <c r="L333" s="189"/>
      <c r="M333" s="124"/>
      <c r="N333" s="124"/>
      <c r="O333" s="124"/>
      <c r="P333" s="102"/>
      <c r="Q333" s="161"/>
      <c r="R333" s="124"/>
      <c r="S333" s="124"/>
      <c r="T333" s="124"/>
      <c r="U333" s="125"/>
      <c r="V333" s="189"/>
      <c r="W333" s="124"/>
      <c r="X333" s="124"/>
      <c r="Y333" s="124"/>
      <c r="Z333" s="125"/>
      <c r="AA333" s="189"/>
      <c r="AB333" s="124"/>
      <c r="AC333" s="124"/>
      <c r="AD333" s="124"/>
      <c r="AE333" s="125"/>
      <c r="AF333" s="189"/>
      <c r="AG333" s="124"/>
      <c r="AH333" s="124"/>
      <c r="AI333" s="124"/>
      <c r="AJ333" s="125"/>
      <c r="AK333" s="189"/>
      <c r="AL333" s="124"/>
      <c r="AM333" s="124"/>
      <c r="AN333" s="124"/>
      <c r="AO333" s="360"/>
      <c r="AP333" s="360"/>
      <c r="AQ333" s="360"/>
      <c r="AR333" s="360"/>
      <c r="AS333" s="360"/>
      <c r="AT333" s="360"/>
      <c r="AU333" s="360"/>
      <c r="AV333" s="360"/>
      <c r="AW333" s="360"/>
      <c r="AX333" s="360"/>
      <c r="AY333" s="360"/>
      <c r="AZ333" s="360"/>
      <c r="BA333" s="360"/>
      <c r="BB333" s="360"/>
      <c r="BC333" s="360"/>
    </row>
    <row r="334">
      <c r="A334" s="125"/>
      <c r="B334" s="189"/>
      <c r="C334" s="124"/>
      <c r="D334" s="124"/>
      <c r="E334" s="124"/>
      <c r="F334" s="125"/>
      <c r="G334" s="189"/>
      <c r="H334" s="124"/>
      <c r="I334" s="124"/>
      <c r="J334" s="124"/>
      <c r="K334" s="102"/>
      <c r="L334" s="189"/>
      <c r="M334" s="124"/>
      <c r="N334" s="124"/>
      <c r="O334" s="124"/>
      <c r="P334" s="102"/>
      <c r="Q334" s="161"/>
      <c r="R334" s="124"/>
      <c r="S334" s="124"/>
      <c r="T334" s="124"/>
      <c r="U334" s="125"/>
      <c r="V334" s="189"/>
      <c r="W334" s="124"/>
      <c r="X334" s="124"/>
      <c r="Y334" s="124"/>
      <c r="Z334" s="125"/>
      <c r="AA334" s="189"/>
      <c r="AB334" s="124"/>
      <c r="AC334" s="124"/>
      <c r="AD334" s="124"/>
      <c r="AE334" s="125"/>
      <c r="AF334" s="189"/>
      <c r="AG334" s="124"/>
      <c r="AH334" s="124"/>
      <c r="AI334" s="124"/>
      <c r="AJ334" s="125"/>
      <c r="AK334" s="189"/>
      <c r="AL334" s="124"/>
      <c r="AM334" s="124"/>
      <c r="AN334" s="124"/>
      <c r="AO334" s="360"/>
      <c r="AP334" s="360"/>
      <c r="AQ334" s="360"/>
      <c r="AR334" s="360"/>
      <c r="AS334" s="360"/>
      <c r="AT334" s="360"/>
      <c r="AU334" s="360"/>
      <c r="AV334" s="360"/>
      <c r="AW334" s="360"/>
      <c r="AX334" s="360"/>
      <c r="AY334" s="360"/>
      <c r="AZ334" s="360"/>
      <c r="BA334" s="360"/>
      <c r="BB334" s="360"/>
      <c r="BC334" s="360"/>
    </row>
    <row r="335">
      <c r="A335" s="125"/>
      <c r="B335" s="189"/>
      <c r="C335" s="124"/>
      <c r="D335" s="124"/>
      <c r="E335" s="124"/>
      <c r="F335" s="125"/>
      <c r="G335" s="189"/>
      <c r="H335" s="124"/>
      <c r="I335" s="124"/>
      <c r="J335" s="124"/>
      <c r="K335" s="102"/>
      <c r="L335" s="189"/>
      <c r="M335" s="124"/>
      <c r="N335" s="124"/>
      <c r="O335" s="124"/>
      <c r="P335" s="102"/>
      <c r="Q335" s="161"/>
      <c r="R335" s="124"/>
      <c r="S335" s="124"/>
      <c r="T335" s="124"/>
      <c r="U335" s="125"/>
      <c r="V335" s="189"/>
      <c r="W335" s="124"/>
      <c r="X335" s="124"/>
      <c r="Y335" s="124"/>
      <c r="Z335" s="125"/>
      <c r="AA335" s="189"/>
      <c r="AB335" s="124"/>
      <c r="AC335" s="124"/>
      <c r="AD335" s="124"/>
      <c r="AE335" s="125"/>
      <c r="AF335" s="189"/>
      <c r="AG335" s="124"/>
      <c r="AH335" s="124"/>
      <c r="AI335" s="124"/>
      <c r="AJ335" s="125"/>
      <c r="AK335" s="189"/>
      <c r="AL335" s="124"/>
      <c r="AM335" s="124"/>
      <c r="AN335" s="124"/>
      <c r="AO335" s="360"/>
      <c r="AP335" s="360"/>
      <c r="AQ335" s="360"/>
      <c r="AR335" s="360"/>
      <c r="AS335" s="360"/>
      <c r="AT335" s="360"/>
      <c r="AU335" s="360"/>
      <c r="AV335" s="360"/>
      <c r="AW335" s="360"/>
      <c r="AX335" s="360"/>
      <c r="AY335" s="360"/>
      <c r="AZ335" s="360"/>
      <c r="BA335" s="360"/>
      <c r="BB335" s="360"/>
      <c r="BC335" s="360"/>
    </row>
    <row r="336">
      <c r="A336" s="125"/>
      <c r="B336" s="189"/>
      <c r="C336" s="124"/>
      <c r="D336" s="124"/>
      <c r="E336" s="124"/>
      <c r="F336" s="125"/>
      <c r="G336" s="189"/>
      <c r="H336" s="124"/>
      <c r="I336" s="124"/>
      <c r="J336" s="124"/>
      <c r="K336" s="102"/>
      <c r="L336" s="189"/>
      <c r="M336" s="124"/>
      <c r="N336" s="124"/>
      <c r="O336" s="124"/>
      <c r="P336" s="102"/>
      <c r="Q336" s="161"/>
      <c r="R336" s="124"/>
      <c r="S336" s="124"/>
      <c r="T336" s="124"/>
      <c r="U336" s="125"/>
      <c r="V336" s="189"/>
      <c r="W336" s="124"/>
      <c r="X336" s="124"/>
      <c r="Y336" s="124"/>
      <c r="Z336" s="125"/>
      <c r="AA336" s="189"/>
      <c r="AB336" s="124"/>
      <c r="AC336" s="124"/>
      <c r="AD336" s="124"/>
      <c r="AE336" s="125"/>
      <c r="AF336" s="189"/>
      <c r="AG336" s="124"/>
      <c r="AH336" s="124"/>
      <c r="AI336" s="124"/>
      <c r="AJ336" s="125"/>
      <c r="AK336" s="189"/>
      <c r="AL336" s="124"/>
      <c r="AM336" s="124"/>
      <c r="AN336" s="124"/>
      <c r="AO336" s="360"/>
      <c r="AP336" s="360"/>
      <c r="AQ336" s="360"/>
      <c r="AR336" s="360"/>
      <c r="AS336" s="360"/>
      <c r="AT336" s="360"/>
      <c r="AU336" s="360"/>
      <c r="AV336" s="360"/>
      <c r="AW336" s="360"/>
      <c r="AX336" s="360"/>
      <c r="AY336" s="360"/>
      <c r="AZ336" s="360"/>
      <c r="BA336" s="360"/>
      <c r="BB336" s="360"/>
      <c r="BC336" s="360"/>
    </row>
    <row r="337">
      <c r="A337" s="125"/>
      <c r="B337" s="189"/>
      <c r="C337" s="124"/>
      <c r="D337" s="124"/>
      <c r="E337" s="124"/>
      <c r="F337" s="125"/>
      <c r="G337" s="189"/>
      <c r="H337" s="124"/>
      <c r="I337" s="124"/>
      <c r="J337" s="124"/>
      <c r="K337" s="102"/>
      <c r="L337" s="189"/>
      <c r="M337" s="124"/>
      <c r="N337" s="124"/>
      <c r="O337" s="124"/>
      <c r="P337" s="102"/>
      <c r="Q337" s="161"/>
      <c r="R337" s="124"/>
      <c r="S337" s="124"/>
      <c r="T337" s="124"/>
      <c r="U337" s="125"/>
      <c r="V337" s="189"/>
      <c r="W337" s="124"/>
      <c r="X337" s="124"/>
      <c r="Y337" s="124"/>
      <c r="Z337" s="125"/>
      <c r="AA337" s="189"/>
      <c r="AB337" s="124"/>
      <c r="AC337" s="124"/>
      <c r="AD337" s="124"/>
      <c r="AE337" s="125"/>
      <c r="AF337" s="189"/>
      <c r="AG337" s="124"/>
      <c r="AH337" s="124"/>
      <c r="AI337" s="124"/>
      <c r="AJ337" s="125"/>
      <c r="AK337" s="189"/>
      <c r="AL337" s="124"/>
      <c r="AM337" s="124"/>
      <c r="AN337" s="124"/>
      <c r="AO337" s="360"/>
      <c r="AP337" s="360"/>
      <c r="AQ337" s="360"/>
      <c r="AR337" s="360"/>
      <c r="AS337" s="360"/>
      <c r="AT337" s="360"/>
      <c r="AU337" s="360"/>
      <c r="AV337" s="360"/>
      <c r="AW337" s="360"/>
      <c r="AX337" s="360"/>
      <c r="AY337" s="360"/>
      <c r="AZ337" s="360"/>
      <c r="BA337" s="360"/>
      <c r="BB337" s="360"/>
      <c r="BC337" s="360"/>
    </row>
    <row r="338">
      <c r="A338" s="125"/>
      <c r="B338" s="189"/>
      <c r="C338" s="124"/>
      <c r="D338" s="124"/>
      <c r="E338" s="124"/>
      <c r="F338" s="125"/>
      <c r="G338" s="189"/>
      <c r="H338" s="124"/>
      <c r="I338" s="124"/>
      <c r="J338" s="124"/>
      <c r="K338" s="102"/>
      <c r="L338" s="189"/>
      <c r="M338" s="124"/>
      <c r="N338" s="124"/>
      <c r="O338" s="124"/>
      <c r="P338" s="102"/>
      <c r="Q338" s="161"/>
      <c r="R338" s="124"/>
      <c r="S338" s="124"/>
      <c r="T338" s="124"/>
      <c r="U338" s="125"/>
      <c r="V338" s="189"/>
      <c r="W338" s="124"/>
      <c r="X338" s="124"/>
      <c r="Y338" s="124"/>
      <c r="Z338" s="125"/>
      <c r="AA338" s="189"/>
      <c r="AB338" s="124"/>
      <c r="AC338" s="124"/>
      <c r="AD338" s="124"/>
      <c r="AE338" s="125"/>
      <c r="AF338" s="189"/>
      <c r="AG338" s="124"/>
      <c r="AH338" s="124"/>
      <c r="AI338" s="124"/>
      <c r="AJ338" s="125"/>
      <c r="AK338" s="189"/>
      <c r="AL338" s="124"/>
      <c r="AM338" s="124"/>
      <c r="AN338" s="124"/>
      <c r="AO338" s="360"/>
      <c r="AP338" s="360"/>
      <c r="AQ338" s="360"/>
      <c r="AR338" s="360"/>
      <c r="AS338" s="360"/>
      <c r="AT338" s="360"/>
      <c r="AU338" s="360"/>
      <c r="AV338" s="360"/>
      <c r="AW338" s="360"/>
      <c r="AX338" s="360"/>
      <c r="AY338" s="360"/>
      <c r="AZ338" s="360"/>
      <c r="BA338" s="360"/>
      <c r="BB338" s="360"/>
      <c r="BC338" s="360"/>
    </row>
    <row r="339">
      <c r="A339" s="125"/>
      <c r="B339" s="189"/>
      <c r="C339" s="124"/>
      <c r="D339" s="124"/>
      <c r="E339" s="124"/>
      <c r="F339" s="125"/>
      <c r="G339" s="189"/>
      <c r="H339" s="124"/>
      <c r="I339" s="124"/>
      <c r="J339" s="124"/>
      <c r="K339" s="102"/>
      <c r="L339" s="189"/>
      <c r="M339" s="124"/>
      <c r="N339" s="124"/>
      <c r="O339" s="124"/>
      <c r="P339" s="102"/>
      <c r="Q339" s="161"/>
      <c r="R339" s="124"/>
      <c r="S339" s="124"/>
      <c r="T339" s="124"/>
      <c r="U339" s="125"/>
      <c r="V339" s="189"/>
      <c r="W339" s="124"/>
      <c r="X339" s="124"/>
      <c r="Y339" s="124"/>
      <c r="Z339" s="125"/>
      <c r="AA339" s="189"/>
      <c r="AB339" s="124"/>
      <c r="AC339" s="124"/>
      <c r="AD339" s="124"/>
      <c r="AE339" s="125"/>
      <c r="AF339" s="189"/>
      <c r="AG339" s="124"/>
      <c r="AH339" s="124"/>
      <c r="AI339" s="124"/>
      <c r="AJ339" s="125"/>
      <c r="AK339" s="189"/>
      <c r="AL339" s="124"/>
      <c r="AM339" s="124"/>
      <c r="AN339" s="124"/>
      <c r="AO339" s="360"/>
      <c r="AP339" s="360"/>
      <c r="AQ339" s="360"/>
      <c r="AR339" s="360"/>
      <c r="AS339" s="360"/>
      <c r="AT339" s="360"/>
      <c r="AU339" s="360"/>
      <c r="AV339" s="360"/>
      <c r="AW339" s="360"/>
      <c r="AX339" s="360"/>
      <c r="AY339" s="360"/>
      <c r="AZ339" s="360"/>
      <c r="BA339" s="360"/>
      <c r="BB339" s="360"/>
      <c r="BC339" s="360"/>
    </row>
    <row r="340">
      <c r="A340" s="125"/>
      <c r="B340" s="189"/>
      <c r="C340" s="124"/>
      <c r="D340" s="124"/>
      <c r="E340" s="124"/>
      <c r="F340" s="125"/>
      <c r="G340" s="189"/>
      <c r="H340" s="124"/>
      <c r="I340" s="124"/>
      <c r="J340" s="124"/>
      <c r="K340" s="102"/>
      <c r="L340" s="189"/>
      <c r="M340" s="124"/>
      <c r="N340" s="124"/>
      <c r="O340" s="124"/>
      <c r="P340" s="102"/>
      <c r="Q340" s="161"/>
      <c r="R340" s="124"/>
      <c r="S340" s="124"/>
      <c r="T340" s="124"/>
      <c r="U340" s="125"/>
      <c r="V340" s="189"/>
      <c r="W340" s="124"/>
      <c r="X340" s="124"/>
      <c r="Y340" s="124"/>
      <c r="Z340" s="125"/>
      <c r="AA340" s="189"/>
      <c r="AB340" s="124"/>
      <c r="AC340" s="124"/>
      <c r="AD340" s="124"/>
      <c r="AE340" s="125"/>
      <c r="AF340" s="189"/>
      <c r="AG340" s="124"/>
      <c r="AH340" s="124"/>
      <c r="AI340" s="124"/>
      <c r="AJ340" s="125"/>
      <c r="AK340" s="189"/>
      <c r="AL340" s="124"/>
      <c r="AM340" s="124"/>
      <c r="AN340" s="124"/>
      <c r="AO340" s="360"/>
      <c r="AP340" s="360"/>
      <c r="AQ340" s="360"/>
      <c r="AR340" s="360"/>
      <c r="AS340" s="360"/>
      <c r="AT340" s="360"/>
      <c r="AU340" s="360"/>
      <c r="AV340" s="360"/>
      <c r="AW340" s="360"/>
      <c r="AX340" s="360"/>
      <c r="AY340" s="360"/>
      <c r="AZ340" s="360"/>
      <c r="BA340" s="360"/>
      <c r="BB340" s="360"/>
      <c r="BC340" s="360"/>
    </row>
    <row r="341">
      <c r="A341" s="125"/>
      <c r="B341" s="189"/>
      <c r="C341" s="124"/>
      <c r="D341" s="124"/>
      <c r="E341" s="124"/>
      <c r="F341" s="125"/>
      <c r="G341" s="189"/>
      <c r="H341" s="124"/>
      <c r="I341" s="124"/>
      <c r="J341" s="124"/>
      <c r="K341" s="102"/>
      <c r="L341" s="189"/>
      <c r="M341" s="124"/>
      <c r="N341" s="124"/>
      <c r="O341" s="124"/>
      <c r="P341" s="102"/>
      <c r="Q341" s="161"/>
      <c r="R341" s="124"/>
      <c r="S341" s="124"/>
      <c r="T341" s="124"/>
      <c r="U341" s="125"/>
      <c r="V341" s="189"/>
      <c r="W341" s="124"/>
      <c r="X341" s="124"/>
      <c r="Y341" s="124"/>
      <c r="Z341" s="125"/>
      <c r="AA341" s="189"/>
      <c r="AB341" s="124"/>
      <c r="AC341" s="124"/>
      <c r="AD341" s="124"/>
      <c r="AE341" s="125"/>
      <c r="AF341" s="189"/>
      <c r="AG341" s="124"/>
      <c r="AH341" s="124"/>
      <c r="AI341" s="124"/>
      <c r="AJ341" s="125"/>
      <c r="AK341" s="189"/>
      <c r="AL341" s="124"/>
      <c r="AM341" s="124"/>
      <c r="AN341" s="124"/>
      <c r="AO341" s="360"/>
      <c r="AP341" s="360"/>
      <c r="AQ341" s="360"/>
      <c r="AR341" s="360"/>
      <c r="AS341" s="360"/>
      <c r="AT341" s="360"/>
      <c r="AU341" s="360"/>
      <c r="AV341" s="360"/>
      <c r="AW341" s="360"/>
      <c r="AX341" s="360"/>
      <c r="AY341" s="360"/>
      <c r="AZ341" s="360"/>
      <c r="BA341" s="360"/>
      <c r="BB341" s="360"/>
      <c r="BC341" s="360"/>
    </row>
    <row r="342">
      <c r="A342" s="125"/>
      <c r="B342" s="189"/>
      <c r="C342" s="124"/>
      <c r="D342" s="124"/>
      <c r="E342" s="124"/>
      <c r="F342" s="125"/>
      <c r="G342" s="189"/>
      <c r="H342" s="124"/>
      <c r="I342" s="124"/>
      <c r="J342" s="124"/>
      <c r="K342" s="102"/>
      <c r="L342" s="189"/>
      <c r="M342" s="124"/>
      <c r="N342" s="124"/>
      <c r="O342" s="124"/>
      <c r="P342" s="102"/>
      <c r="Q342" s="161"/>
      <c r="R342" s="124"/>
      <c r="S342" s="124"/>
      <c r="T342" s="124"/>
      <c r="U342" s="125"/>
      <c r="V342" s="189"/>
      <c r="W342" s="124"/>
      <c r="X342" s="124"/>
      <c r="Y342" s="124"/>
      <c r="Z342" s="125"/>
      <c r="AA342" s="189"/>
      <c r="AB342" s="124"/>
      <c r="AC342" s="124"/>
      <c r="AD342" s="124"/>
      <c r="AE342" s="125"/>
      <c r="AF342" s="189"/>
      <c r="AG342" s="124"/>
      <c r="AH342" s="124"/>
      <c r="AI342" s="124"/>
      <c r="AJ342" s="125"/>
      <c r="AK342" s="189"/>
      <c r="AL342" s="124"/>
      <c r="AM342" s="124"/>
      <c r="AN342" s="124"/>
      <c r="AO342" s="360"/>
      <c r="AP342" s="360"/>
      <c r="AQ342" s="360"/>
      <c r="AR342" s="360"/>
      <c r="AS342" s="360"/>
      <c r="AT342" s="360"/>
      <c r="AU342" s="360"/>
      <c r="AV342" s="360"/>
      <c r="AW342" s="360"/>
      <c r="AX342" s="360"/>
      <c r="AY342" s="360"/>
      <c r="AZ342" s="360"/>
      <c r="BA342" s="360"/>
      <c r="BB342" s="360"/>
      <c r="BC342" s="360"/>
    </row>
    <row r="343">
      <c r="A343" s="125"/>
      <c r="B343" s="189"/>
      <c r="C343" s="124"/>
      <c r="D343" s="124"/>
      <c r="E343" s="124"/>
      <c r="F343" s="125"/>
      <c r="G343" s="189"/>
      <c r="H343" s="124"/>
      <c r="I343" s="124"/>
      <c r="J343" s="124"/>
      <c r="K343" s="102"/>
      <c r="L343" s="189"/>
      <c r="M343" s="124"/>
      <c r="N343" s="124"/>
      <c r="O343" s="124"/>
      <c r="P343" s="102"/>
      <c r="Q343" s="161"/>
      <c r="R343" s="124"/>
      <c r="S343" s="124"/>
      <c r="T343" s="124"/>
      <c r="U343" s="125"/>
      <c r="V343" s="189"/>
      <c r="W343" s="124"/>
      <c r="X343" s="124"/>
      <c r="Y343" s="124"/>
      <c r="Z343" s="125"/>
      <c r="AA343" s="189"/>
      <c r="AB343" s="124"/>
      <c r="AC343" s="124"/>
      <c r="AD343" s="124"/>
      <c r="AE343" s="125"/>
      <c r="AF343" s="189"/>
      <c r="AG343" s="124"/>
      <c r="AH343" s="124"/>
      <c r="AI343" s="124"/>
      <c r="AJ343" s="125"/>
      <c r="AK343" s="189"/>
      <c r="AL343" s="124"/>
      <c r="AM343" s="124"/>
      <c r="AN343" s="124"/>
      <c r="AO343" s="360"/>
      <c r="AP343" s="360"/>
      <c r="AQ343" s="360"/>
      <c r="AR343" s="360"/>
      <c r="AS343" s="360"/>
      <c r="AT343" s="360"/>
      <c r="AU343" s="360"/>
      <c r="AV343" s="360"/>
      <c r="AW343" s="360"/>
      <c r="AX343" s="360"/>
      <c r="AY343" s="360"/>
      <c r="AZ343" s="360"/>
      <c r="BA343" s="360"/>
      <c r="BB343" s="360"/>
      <c r="BC343" s="360"/>
    </row>
    <row r="344">
      <c r="A344" s="125"/>
      <c r="B344" s="189"/>
      <c r="C344" s="124"/>
      <c r="D344" s="124"/>
      <c r="E344" s="124"/>
      <c r="F344" s="125"/>
      <c r="G344" s="189"/>
      <c r="H344" s="124"/>
      <c r="I344" s="124"/>
      <c r="J344" s="124"/>
      <c r="K344" s="102"/>
      <c r="L344" s="189"/>
      <c r="M344" s="124"/>
      <c r="N344" s="124"/>
      <c r="O344" s="124"/>
      <c r="P344" s="102"/>
      <c r="Q344" s="161"/>
      <c r="R344" s="124"/>
      <c r="S344" s="124"/>
      <c r="T344" s="124"/>
      <c r="U344" s="125"/>
      <c r="V344" s="189"/>
      <c r="W344" s="124"/>
      <c r="X344" s="124"/>
      <c r="Y344" s="124"/>
      <c r="Z344" s="125"/>
      <c r="AA344" s="189"/>
      <c r="AB344" s="124"/>
      <c r="AC344" s="124"/>
      <c r="AD344" s="124"/>
      <c r="AE344" s="125"/>
      <c r="AF344" s="189"/>
      <c r="AG344" s="124"/>
      <c r="AH344" s="124"/>
      <c r="AI344" s="124"/>
      <c r="AJ344" s="125"/>
      <c r="AK344" s="189"/>
      <c r="AL344" s="124"/>
      <c r="AM344" s="124"/>
      <c r="AN344" s="124"/>
      <c r="AO344" s="360"/>
      <c r="AP344" s="360"/>
      <c r="AQ344" s="360"/>
      <c r="AR344" s="360"/>
      <c r="AS344" s="360"/>
      <c r="AT344" s="360"/>
      <c r="AU344" s="360"/>
      <c r="AV344" s="360"/>
      <c r="AW344" s="360"/>
      <c r="AX344" s="360"/>
      <c r="AY344" s="360"/>
      <c r="AZ344" s="360"/>
      <c r="BA344" s="360"/>
      <c r="BB344" s="360"/>
      <c r="BC344" s="360"/>
    </row>
    <row r="345">
      <c r="A345" s="125"/>
      <c r="B345" s="189"/>
      <c r="C345" s="124"/>
      <c r="D345" s="124"/>
      <c r="E345" s="124"/>
      <c r="F345" s="125"/>
      <c r="G345" s="189"/>
      <c r="H345" s="124"/>
      <c r="I345" s="124"/>
      <c r="J345" s="124"/>
      <c r="K345" s="102"/>
      <c r="L345" s="189"/>
      <c r="M345" s="124"/>
      <c r="N345" s="124"/>
      <c r="O345" s="124"/>
      <c r="P345" s="102"/>
      <c r="Q345" s="161"/>
      <c r="R345" s="124"/>
      <c r="S345" s="124"/>
      <c r="T345" s="124"/>
      <c r="U345" s="125"/>
      <c r="V345" s="189"/>
      <c r="W345" s="124"/>
      <c r="X345" s="124"/>
      <c r="Y345" s="124"/>
      <c r="Z345" s="125"/>
      <c r="AA345" s="189"/>
      <c r="AB345" s="124"/>
      <c r="AC345" s="124"/>
      <c r="AD345" s="124"/>
      <c r="AE345" s="125"/>
      <c r="AF345" s="189"/>
      <c r="AG345" s="124"/>
      <c r="AH345" s="124"/>
      <c r="AI345" s="124"/>
      <c r="AJ345" s="125"/>
      <c r="AK345" s="189"/>
      <c r="AL345" s="124"/>
      <c r="AM345" s="124"/>
      <c r="AN345" s="124"/>
      <c r="AO345" s="360"/>
      <c r="AP345" s="360"/>
      <c r="AQ345" s="360"/>
      <c r="AR345" s="360"/>
      <c r="AS345" s="360"/>
      <c r="AT345" s="360"/>
      <c r="AU345" s="360"/>
      <c r="AV345" s="360"/>
      <c r="AW345" s="360"/>
      <c r="AX345" s="360"/>
      <c r="AY345" s="360"/>
      <c r="AZ345" s="360"/>
      <c r="BA345" s="360"/>
      <c r="BB345" s="360"/>
      <c r="BC345" s="360"/>
    </row>
    <row r="346">
      <c r="A346" s="125"/>
      <c r="B346" s="189"/>
      <c r="C346" s="124"/>
      <c r="D346" s="124"/>
      <c r="E346" s="124"/>
      <c r="F346" s="125"/>
      <c r="G346" s="189"/>
      <c r="H346" s="124"/>
      <c r="I346" s="124"/>
      <c r="J346" s="124"/>
      <c r="K346" s="102"/>
      <c r="L346" s="189"/>
      <c r="M346" s="124"/>
      <c r="N346" s="124"/>
      <c r="O346" s="124"/>
      <c r="P346" s="102"/>
      <c r="Q346" s="161"/>
      <c r="R346" s="124"/>
      <c r="S346" s="124"/>
      <c r="T346" s="124"/>
      <c r="U346" s="125"/>
      <c r="V346" s="189"/>
      <c r="W346" s="124"/>
      <c r="X346" s="124"/>
      <c r="Y346" s="124"/>
      <c r="Z346" s="125"/>
      <c r="AA346" s="189"/>
      <c r="AB346" s="124"/>
      <c r="AC346" s="124"/>
      <c r="AD346" s="124"/>
      <c r="AE346" s="125"/>
      <c r="AF346" s="189"/>
      <c r="AG346" s="124"/>
      <c r="AH346" s="124"/>
      <c r="AI346" s="124"/>
      <c r="AJ346" s="125"/>
      <c r="AK346" s="189"/>
      <c r="AL346" s="124"/>
      <c r="AM346" s="124"/>
      <c r="AN346" s="124"/>
      <c r="AO346" s="360"/>
      <c r="AP346" s="360"/>
      <c r="AQ346" s="360"/>
      <c r="AR346" s="360"/>
      <c r="AS346" s="360"/>
      <c r="AT346" s="360"/>
      <c r="AU346" s="360"/>
      <c r="AV346" s="360"/>
      <c r="AW346" s="360"/>
      <c r="AX346" s="360"/>
      <c r="AY346" s="360"/>
      <c r="AZ346" s="360"/>
      <c r="BA346" s="360"/>
      <c r="BB346" s="360"/>
      <c r="BC346" s="360"/>
    </row>
    <row r="347">
      <c r="A347" s="125"/>
      <c r="B347" s="189"/>
      <c r="C347" s="124"/>
      <c r="D347" s="124"/>
      <c r="E347" s="124"/>
      <c r="F347" s="125"/>
      <c r="G347" s="189"/>
      <c r="H347" s="124"/>
      <c r="I347" s="124"/>
      <c r="J347" s="124"/>
      <c r="K347" s="102"/>
      <c r="L347" s="189"/>
      <c r="M347" s="124"/>
      <c r="N347" s="124"/>
      <c r="O347" s="124"/>
      <c r="P347" s="102"/>
      <c r="Q347" s="161"/>
      <c r="R347" s="124"/>
      <c r="S347" s="124"/>
      <c r="T347" s="124"/>
      <c r="U347" s="125"/>
      <c r="V347" s="189"/>
      <c r="W347" s="124"/>
      <c r="X347" s="124"/>
      <c r="Y347" s="124"/>
      <c r="Z347" s="125"/>
      <c r="AA347" s="189"/>
      <c r="AB347" s="124"/>
      <c r="AC347" s="124"/>
      <c r="AD347" s="124"/>
      <c r="AE347" s="125"/>
      <c r="AF347" s="189"/>
      <c r="AG347" s="124"/>
      <c r="AH347" s="124"/>
      <c r="AI347" s="124"/>
      <c r="AJ347" s="125"/>
      <c r="AK347" s="189"/>
      <c r="AL347" s="124"/>
      <c r="AM347" s="124"/>
      <c r="AN347" s="124"/>
      <c r="AO347" s="360"/>
      <c r="AP347" s="360"/>
      <c r="AQ347" s="360"/>
      <c r="AR347" s="360"/>
      <c r="AS347" s="360"/>
      <c r="AT347" s="360"/>
      <c r="AU347" s="360"/>
      <c r="AV347" s="360"/>
      <c r="AW347" s="360"/>
      <c r="AX347" s="360"/>
      <c r="AY347" s="360"/>
      <c r="AZ347" s="360"/>
      <c r="BA347" s="360"/>
      <c r="BB347" s="360"/>
      <c r="BC347" s="360"/>
    </row>
    <row r="348">
      <c r="A348" s="125"/>
      <c r="B348" s="189"/>
      <c r="C348" s="124"/>
      <c r="D348" s="124"/>
      <c r="E348" s="124"/>
      <c r="F348" s="125"/>
      <c r="G348" s="189"/>
      <c r="H348" s="124"/>
      <c r="I348" s="124"/>
      <c r="J348" s="124"/>
      <c r="K348" s="102"/>
      <c r="L348" s="189"/>
      <c r="M348" s="124"/>
      <c r="N348" s="124"/>
      <c r="O348" s="124"/>
      <c r="P348" s="102"/>
      <c r="Q348" s="161"/>
      <c r="R348" s="124"/>
      <c r="S348" s="124"/>
      <c r="T348" s="124"/>
      <c r="U348" s="125"/>
      <c r="V348" s="189"/>
      <c r="W348" s="124"/>
      <c r="X348" s="124"/>
      <c r="Y348" s="124"/>
      <c r="Z348" s="125"/>
      <c r="AA348" s="189"/>
      <c r="AB348" s="124"/>
      <c r="AC348" s="124"/>
      <c r="AD348" s="124"/>
      <c r="AE348" s="125"/>
      <c r="AF348" s="189"/>
      <c r="AG348" s="124"/>
      <c r="AH348" s="124"/>
      <c r="AI348" s="124"/>
      <c r="AJ348" s="125"/>
      <c r="AK348" s="189"/>
      <c r="AL348" s="124"/>
      <c r="AM348" s="124"/>
      <c r="AN348" s="124"/>
      <c r="AO348" s="360"/>
      <c r="AP348" s="360"/>
      <c r="AQ348" s="360"/>
      <c r="AR348" s="360"/>
      <c r="AS348" s="360"/>
      <c r="AT348" s="360"/>
      <c r="AU348" s="360"/>
      <c r="AV348" s="360"/>
      <c r="AW348" s="360"/>
      <c r="AX348" s="360"/>
      <c r="AY348" s="360"/>
      <c r="AZ348" s="360"/>
      <c r="BA348" s="360"/>
      <c r="BB348" s="360"/>
      <c r="BC348" s="360"/>
    </row>
    <row r="349">
      <c r="A349" s="125"/>
      <c r="B349" s="189"/>
      <c r="C349" s="124"/>
      <c r="D349" s="124"/>
      <c r="E349" s="124"/>
      <c r="F349" s="125"/>
      <c r="G349" s="189"/>
      <c r="H349" s="124"/>
      <c r="I349" s="124"/>
      <c r="J349" s="124"/>
      <c r="K349" s="102"/>
      <c r="L349" s="189"/>
      <c r="M349" s="124"/>
      <c r="N349" s="124"/>
      <c r="O349" s="124"/>
      <c r="P349" s="102"/>
      <c r="Q349" s="161"/>
      <c r="R349" s="124"/>
      <c r="S349" s="124"/>
      <c r="T349" s="124"/>
      <c r="U349" s="125"/>
      <c r="V349" s="189"/>
      <c r="W349" s="124"/>
      <c r="X349" s="124"/>
      <c r="Y349" s="124"/>
      <c r="Z349" s="125"/>
      <c r="AA349" s="189"/>
      <c r="AB349" s="124"/>
      <c r="AC349" s="124"/>
      <c r="AD349" s="124"/>
      <c r="AE349" s="125"/>
      <c r="AF349" s="189"/>
      <c r="AG349" s="124"/>
      <c r="AH349" s="124"/>
      <c r="AI349" s="124"/>
      <c r="AJ349" s="125"/>
      <c r="AK349" s="189"/>
      <c r="AL349" s="124"/>
      <c r="AM349" s="124"/>
      <c r="AN349" s="124"/>
      <c r="AO349" s="360"/>
      <c r="AP349" s="360"/>
      <c r="AQ349" s="360"/>
      <c r="AR349" s="360"/>
      <c r="AS349" s="360"/>
      <c r="AT349" s="360"/>
      <c r="AU349" s="360"/>
      <c r="AV349" s="360"/>
      <c r="AW349" s="360"/>
      <c r="AX349" s="360"/>
      <c r="AY349" s="360"/>
      <c r="AZ349" s="360"/>
      <c r="BA349" s="360"/>
      <c r="BB349" s="360"/>
      <c r="BC349" s="360"/>
    </row>
    <row r="350">
      <c r="A350" s="125"/>
      <c r="B350" s="189"/>
      <c r="C350" s="124"/>
      <c r="D350" s="124"/>
      <c r="E350" s="124"/>
      <c r="F350" s="125"/>
      <c r="G350" s="189"/>
      <c r="H350" s="124"/>
      <c r="I350" s="124"/>
      <c r="J350" s="124"/>
      <c r="K350" s="102"/>
      <c r="L350" s="189"/>
      <c r="M350" s="124"/>
      <c r="N350" s="124"/>
      <c r="O350" s="124"/>
      <c r="P350" s="102"/>
      <c r="Q350" s="161"/>
      <c r="R350" s="124"/>
      <c r="S350" s="124"/>
      <c r="T350" s="124"/>
      <c r="U350" s="125"/>
      <c r="V350" s="189"/>
      <c r="W350" s="124"/>
      <c r="X350" s="124"/>
      <c r="Y350" s="124"/>
      <c r="Z350" s="125"/>
      <c r="AA350" s="189"/>
      <c r="AB350" s="124"/>
      <c r="AC350" s="124"/>
      <c r="AD350" s="124"/>
      <c r="AE350" s="125"/>
      <c r="AF350" s="189"/>
      <c r="AG350" s="124"/>
      <c r="AH350" s="124"/>
      <c r="AI350" s="124"/>
      <c r="AJ350" s="125"/>
      <c r="AK350" s="189"/>
      <c r="AL350" s="124"/>
      <c r="AM350" s="124"/>
      <c r="AN350" s="124"/>
      <c r="AO350" s="360"/>
      <c r="AP350" s="360"/>
      <c r="AQ350" s="360"/>
      <c r="AR350" s="360"/>
      <c r="AS350" s="360"/>
      <c r="AT350" s="360"/>
      <c r="AU350" s="360"/>
      <c r="AV350" s="360"/>
      <c r="AW350" s="360"/>
      <c r="AX350" s="360"/>
      <c r="AY350" s="360"/>
      <c r="AZ350" s="360"/>
      <c r="BA350" s="360"/>
      <c r="BB350" s="360"/>
      <c r="BC350" s="360"/>
    </row>
    <row r="351">
      <c r="A351" s="125"/>
      <c r="B351" s="189"/>
      <c r="C351" s="124"/>
      <c r="D351" s="124"/>
      <c r="E351" s="124"/>
      <c r="F351" s="125"/>
      <c r="G351" s="189"/>
      <c r="H351" s="124"/>
      <c r="I351" s="124"/>
      <c r="J351" s="124"/>
      <c r="K351" s="102"/>
      <c r="L351" s="189"/>
      <c r="M351" s="124"/>
      <c r="N351" s="124"/>
      <c r="O351" s="124"/>
      <c r="P351" s="102"/>
      <c r="Q351" s="161"/>
      <c r="R351" s="124"/>
      <c r="S351" s="124"/>
      <c r="T351" s="124"/>
      <c r="U351" s="125"/>
      <c r="V351" s="189"/>
      <c r="W351" s="124"/>
      <c r="X351" s="124"/>
      <c r="Y351" s="124"/>
      <c r="Z351" s="125"/>
      <c r="AA351" s="189"/>
      <c r="AB351" s="124"/>
      <c r="AC351" s="124"/>
      <c r="AD351" s="124"/>
      <c r="AE351" s="125"/>
      <c r="AF351" s="189"/>
      <c r="AG351" s="124"/>
      <c r="AH351" s="124"/>
      <c r="AI351" s="124"/>
      <c r="AJ351" s="125"/>
      <c r="AK351" s="189"/>
      <c r="AL351" s="124"/>
      <c r="AM351" s="124"/>
      <c r="AN351" s="124"/>
      <c r="AO351" s="360"/>
      <c r="AP351" s="360"/>
      <c r="AQ351" s="360"/>
      <c r="AR351" s="360"/>
      <c r="AS351" s="360"/>
      <c r="AT351" s="360"/>
      <c r="AU351" s="360"/>
      <c r="AV351" s="360"/>
      <c r="AW351" s="360"/>
      <c r="AX351" s="360"/>
      <c r="AY351" s="360"/>
      <c r="AZ351" s="360"/>
      <c r="BA351" s="360"/>
      <c r="BB351" s="360"/>
      <c r="BC351" s="360"/>
    </row>
    <row r="352">
      <c r="A352" s="125"/>
      <c r="B352" s="189"/>
      <c r="C352" s="124"/>
      <c r="D352" s="124"/>
      <c r="E352" s="124"/>
      <c r="F352" s="125"/>
      <c r="G352" s="189"/>
      <c r="H352" s="124"/>
      <c r="I352" s="124"/>
      <c r="J352" s="124"/>
      <c r="K352" s="102"/>
      <c r="L352" s="189"/>
      <c r="M352" s="124"/>
      <c r="N352" s="124"/>
      <c r="O352" s="124"/>
      <c r="P352" s="102"/>
      <c r="Q352" s="161"/>
      <c r="R352" s="124"/>
      <c r="S352" s="124"/>
      <c r="T352" s="124"/>
      <c r="U352" s="125"/>
      <c r="V352" s="189"/>
      <c r="W352" s="124"/>
      <c r="X352" s="124"/>
      <c r="Y352" s="124"/>
      <c r="Z352" s="125"/>
      <c r="AA352" s="189"/>
      <c r="AB352" s="124"/>
      <c r="AC352" s="124"/>
      <c r="AD352" s="124"/>
      <c r="AE352" s="125"/>
      <c r="AF352" s="189"/>
      <c r="AG352" s="124"/>
      <c r="AH352" s="124"/>
      <c r="AI352" s="124"/>
      <c r="AJ352" s="125"/>
      <c r="AK352" s="189"/>
      <c r="AL352" s="124"/>
      <c r="AM352" s="124"/>
      <c r="AN352" s="124"/>
      <c r="AO352" s="360"/>
      <c r="AP352" s="360"/>
      <c r="AQ352" s="360"/>
      <c r="AR352" s="360"/>
      <c r="AS352" s="360"/>
      <c r="AT352" s="360"/>
      <c r="AU352" s="360"/>
      <c r="AV352" s="360"/>
      <c r="AW352" s="360"/>
      <c r="AX352" s="360"/>
      <c r="AY352" s="360"/>
      <c r="AZ352" s="360"/>
      <c r="BA352" s="360"/>
      <c r="BB352" s="360"/>
      <c r="BC352" s="360"/>
    </row>
    <row r="353">
      <c r="A353" s="125"/>
      <c r="B353" s="189"/>
      <c r="C353" s="124"/>
      <c r="D353" s="124"/>
      <c r="E353" s="124"/>
      <c r="F353" s="125"/>
      <c r="G353" s="189"/>
      <c r="H353" s="124"/>
      <c r="I353" s="124"/>
      <c r="J353" s="124"/>
      <c r="K353" s="102"/>
      <c r="L353" s="189"/>
      <c r="M353" s="124"/>
      <c r="N353" s="124"/>
      <c r="O353" s="124"/>
      <c r="P353" s="102"/>
      <c r="Q353" s="161"/>
      <c r="R353" s="124"/>
      <c r="S353" s="124"/>
      <c r="T353" s="124"/>
      <c r="U353" s="125"/>
      <c r="V353" s="189"/>
      <c r="W353" s="124"/>
      <c r="X353" s="124"/>
      <c r="Y353" s="124"/>
      <c r="Z353" s="125"/>
      <c r="AA353" s="189"/>
      <c r="AB353" s="124"/>
      <c r="AC353" s="124"/>
      <c r="AD353" s="124"/>
      <c r="AE353" s="125"/>
      <c r="AF353" s="189"/>
      <c r="AG353" s="124"/>
      <c r="AH353" s="124"/>
      <c r="AI353" s="124"/>
      <c r="AJ353" s="125"/>
      <c r="AK353" s="189"/>
      <c r="AL353" s="124"/>
      <c r="AM353" s="124"/>
      <c r="AN353" s="124"/>
      <c r="AO353" s="360"/>
      <c r="AP353" s="360"/>
      <c r="AQ353" s="360"/>
      <c r="AR353" s="360"/>
      <c r="AS353" s="360"/>
      <c r="AT353" s="360"/>
      <c r="AU353" s="360"/>
      <c r="AV353" s="360"/>
      <c r="AW353" s="360"/>
      <c r="AX353" s="360"/>
      <c r="AY353" s="360"/>
      <c r="AZ353" s="360"/>
      <c r="BA353" s="360"/>
      <c r="BB353" s="360"/>
      <c r="BC353" s="360"/>
    </row>
    <row r="354">
      <c r="A354" s="125"/>
      <c r="B354" s="189"/>
      <c r="C354" s="124"/>
      <c r="D354" s="124"/>
      <c r="E354" s="124"/>
      <c r="F354" s="125"/>
      <c r="G354" s="189"/>
      <c r="H354" s="124"/>
      <c r="I354" s="124"/>
      <c r="J354" s="124"/>
      <c r="K354" s="102"/>
      <c r="L354" s="189"/>
      <c r="M354" s="124"/>
      <c r="N354" s="124"/>
      <c r="O354" s="124"/>
      <c r="P354" s="102"/>
      <c r="Q354" s="161"/>
      <c r="R354" s="124"/>
      <c r="S354" s="124"/>
      <c r="T354" s="124"/>
      <c r="U354" s="125"/>
      <c r="V354" s="189"/>
      <c r="W354" s="124"/>
      <c r="X354" s="124"/>
      <c r="Y354" s="124"/>
      <c r="Z354" s="125"/>
      <c r="AA354" s="189"/>
      <c r="AB354" s="124"/>
      <c r="AC354" s="124"/>
      <c r="AD354" s="124"/>
      <c r="AE354" s="125"/>
      <c r="AF354" s="189"/>
      <c r="AG354" s="124"/>
      <c r="AH354" s="124"/>
      <c r="AI354" s="124"/>
      <c r="AJ354" s="125"/>
      <c r="AK354" s="189"/>
      <c r="AL354" s="124"/>
      <c r="AM354" s="124"/>
      <c r="AN354" s="124"/>
      <c r="AO354" s="360"/>
      <c r="AP354" s="360"/>
      <c r="AQ354" s="360"/>
      <c r="AR354" s="360"/>
      <c r="AS354" s="360"/>
      <c r="AT354" s="360"/>
      <c r="AU354" s="360"/>
      <c r="AV354" s="360"/>
      <c r="AW354" s="360"/>
      <c r="AX354" s="360"/>
      <c r="AY354" s="360"/>
      <c r="AZ354" s="360"/>
      <c r="BA354" s="360"/>
      <c r="BB354" s="360"/>
      <c r="BC354" s="360"/>
    </row>
    <row r="355">
      <c r="A355" s="125"/>
      <c r="B355" s="189"/>
      <c r="C355" s="124"/>
      <c r="D355" s="124"/>
      <c r="E355" s="124"/>
      <c r="F355" s="125"/>
      <c r="G355" s="189"/>
      <c r="H355" s="124"/>
      <c r="I355" s="124"/>
      <c r="J355" s="124"/>
      <c r="K355" s="102"/>
      <c r="L355" s="189"/>
      <c r="M355" s="124"/>
      <c r="N355" s="124"/>
      <c r="O355" s="124"/>
      <c r="P355" s="102"/>
      <c r="Q355" s="161"/>
      <c r="R355" s="124"/>
      <c r="S355" s="124"/>
      <c r="T355" s="124"/>
      <c r="U355" s="125"/>
      <c r="V355" s="189"/>
      <c r="W355" s="124"/>
      <c r="X355" s="124"/>
      <c r="Y355" s="124"/>
      <c r="Z355" s="125"/>
      <c r="AA355" s="189"/>
      <c r="AB355" s="124"/>
      <c r="AC355" s="124"/>
      <c r="AD355" s="124"/>
      <c r="AE355" s="125"/>
      <c r="AF355" s="189"/>
      <c r="AG355" s="124"/>
      <c r="AH355" s="124"/>
      <c r="AI355" s="124"/>
      <c r="AJ355" s="125"/>
      <c r="AK355" s="189"/>
      <c r="AL355" s="124"/>
      <c r="AM355" s="124"/>
      <c r="AN355" s="124"/>
      <c r="AO355" s="360"/>
      <c r="AP355" s="360"/>
      <c r="AQ355" s="360"/>
      <c r="AR355" s="360"/>
      <c r="AS355" s="360"/>
      <c r="AT355" s="360"/>
      <c r="AU355" s="360"/>
      <c r="AV355" s="360"/>
      <c r="AW355" s="360"/>
      <c r="AX355" s="360"/>
      <c r="AY355" s="360"/>
      <c r="AZ355" s="360"/>
      <c r="BA355" s="360"/>
      <c r="BB355" s="360"/>
      <c r="BC355" s="360"/>
    </row>
    <row r="356">
      <c r="A356" s="125"/>
      <c r="B356" s="189"/>
      <c r="C356" s="124"/>
      <c r="D356" s="124"/>
      <c r="E356" s="124"/>
      <c r="F356" s="125"/>
      <c r="G356" s="189"/>
      <c r="H356" s="124"/>
      <c r="I356" s="124"/>
      <c r="J356" s="124"/>
      <c r="K356" s="102"/>
      <c r="L356" s="189"/>
      <c r="M356" s="124"/>
      <c r="N356" s="124"/>
      <c r="O356" s="124"/>
      <c r="P356" s="102"/>
      <c r="Q356" s="161"/>
      <c r="R356" s="124"/>
      <c r="S356" s="124"/>
      <c r="T356" s="124"/>
      <c r="U356" s="125"/>
      <c r="V356" s="189"/>
      <c r="W356" s="124"/>
      <c r="X356" s="124"/>
      <c r="Y356" s="124"/>
      <c r="Z356" s="125"/>
      <c r="AA356" s="189"/>
      <c r="AB356" s="124"/>
      <c r="AC356" s="124"/>
      <c r="AD356" s="124"/>
      <c r="AE356" s="125"/>
      <c r="AF356" s="189"/>
      <c r="AG356" s="124"/>
      <c r="AH356" s="124"/>
      <c r="AI356" s="124"/>
      <c r="AJ356" s="125"/>
      <c r="AK356" s="189"/>
      <c r="AL356" s="124"/>
      <c r="AM356" s="124"/>
      <c r="AN356" s="124"/>
      <c r="AO356" s="360"/>
      <c r="AP356" s="360"/>
      <c r="AQ356" s="360"/>
      <c r="AR356" s="360"/>
      <c r="AS356" s="360"/>
      <c r="AT356" s="360"/>
      <c r="AU356" s="360"/>
      <c r="AV356" s="360"/>
      <c r="AW356" s="360"/>
      <c r="AX356" s="360"/>
      <c r="AY356" s="360"/>
      <c r="AZ356" s="360"/>
      <c r="BA356" s="360"/>
      <c r="BB356" s="360"/>
      <c r="BC356" s="360"/>
    </row>
    <row r="357">
      <c r="A357" s="125"/>
      <c r="B357" s="189"/>
      <c r="C357" s="124"/>
      <c r="D357" s="124"/>
      <c r="E357" s="124"/>
      <c r="F357" s="125"/>
      <c r="G357" s="189"/>
      <c r="H357" s="124"/>
      <c r="I357" s="124"/>
      <c r="J357" s="124"/>
      <c r="K357" s="102"/>
      <c r="L357" s="189"/>
      <c r="M357" s="124"/>
      <c r="N357" s="124"/>
      <c r="O357" s="124"/>
      <c r="P357" s="102"/>
      <c r="Q357" s="161"/>
      <c r="R357" s="124"/>
      <c r="S357" s="124"/>
      <c r="T357" s="124"/>
      <c r="U357" s="125"/>
      <c r="V357" s="189"/>
      <c r="W357" s="124"/>
      <c r="X357" s="124"/>
      <c r="Y357" s="124"/>
      <c r="Z357" s="125"/>
      <c r="AA357" s="189"/>
      <c r="AB357" s="124"/>
      <c r="AC357" s="124"/>
      <c r="AD357" s="124"/>
      <c r="AE357" s="125"/>
      <c r="AF357" s="189"/>
      <c r="AG357" s="124"/>
      <c r="AH357" s="124"/>
      <c r="AI357" s="124"/>
      <c r="AJ357" s="125"/>
      <c r="AK357" s="189"/>
      <c r="AL357" s="124"/>
      <c r="AM357" s="124"/>
      <c r="AN357" s="124"/>
      <c r="AO357" s="360"/>
      <c r="AP357" s="360"/>
      <c r="AQ357" s="360"/>
      <c r="AR357" s="360"/>
      <c r="AS357" s="360"/>
      <c r="AT357" s="360"/>
      <c r="AU357" s="360"/>
      <c r="AV357" s="360"/>
      <c r="AW357" s="360"/>
      <c r="AX357" s="360"/>
      <c r="AY357" s="360"/>
      <c r="AZ357" s="360"/>
      <c r="BA357" s="360"/>
      <c r="BB357" s="360"/>
      <c r="BC357" s="360"/>
    </row>
    <row r="358">
      <c r="A358" s="125"/>
      <c r="B358" s="189"/>
      <c r="C358" s="124"/>
      <c r="D358" s="124"/>
      <c r="E358" s="124"/>
      <c r="F358" s="125"/>
      <c r="G358" s="189"/>
      <c r="H358" s="124"/>
      <c r="I358" s="124"/>
      <c r="J358" s="124"/>
      <c r="K358" s="102"/>
      <c r="L358" s="189"/>
      <c r="M358" s="124"/>
      <c r="N358" s="124"/>
      <c r="O358" s="124"/>
      <c r="P358" s="102"/>
      <c r="Q358" s="161"/>
      <c r="R358" s="124"/>
      <c r="S358" s="124"/>
      <c r="T358" s="124"/>
      <c r="U358" s="125"/>
      <c r="V358" s="189"/>
      <c r="W358" s="124"/>
      <c r="X358" s="124"/>
      <c r="Y358" s="124"/>
      <c r="Z358" s="125"/>
      <c r="AA358" s="189"/>
      <c r="AB358" s="124"/>
      <c r="AC358" s="124"/>
      <c r="AD358" s="124"/>
      <c r="AE358" s="125"/>
      <c r="AF358" s="189"/>
      <c r="AG358" s="124"/>
      <c r="AH358" s="124"/>
      <c r="AI358" s="124"/>
      <c r="AJ358" s="125"/>
      <c r="AK358" s="189"/>
      <c r="AL358" s="124"/>
      <c r="AM358" s="124"/>
      <c r="AN358" s="124"/>
      <c r="AO358" s="360"/>
      <c r="AP358" s="360"/>
      <c r="AQ358" s="360"/>
      <c r="AR358" s="360"/>
      <c r="AS358" s="360"/>
      <c r="AT358" s="360"/>
      <c r="AU358" s="360"/>
      <c r="AV358" s="360"/>
      <c r="AW358" s="360"/>
      <c r="AX358" s="360"/>
      <c r="AY358" s="360"/>
      <c r="AZ358" s="360"/>
      <c r="BA358" s="360"/>
      <c r="BB358" s="360"/>
      <c r="BC358" s="360"/>
    </row>
    <row r="359">
      <c r="A359" s="125"/>
      <c r="B359" s="189"/>
      <c r="C359" s="124"/>
      <c r="D359" s="124"/>
      <c r="E359" s="124"/>
      <c r="F359" s="125"/>
      <c r="G359" s="189"/>
      <c r="H359" s="124"/>
      <c r="I359" s="124"/>
      <c r="J359" s="124"/>
      <c r="K359" s="102"/>
      <c r="L359" s="189"/>
      <c r="M359" s="124"/>
      <c r="N359" s="124"/>
      <c r="O359" s="124"/>
      <c r="P359" s="102"/>
      <c r="Q359" s="161"/>
      <c r="R359" s="124"/>
      <c r="S359" s="124"/>
      <c r="T359" s="124"/>
      <c r="U359" s="125"/>
      <c r="V359" s="189"/>
      <c r="W359" s="124"/>
      <c r="X359" s="124"/>
      <c r="Y359" s="124"/>
      <c r="Z359" s="125"/>
      <c r="AA359" s="189"/>
      <c r="AB359" s="124"/>
      <c r="AC359" s="124"/>
      <c r="AD359" s="124"/>
      <c r="AE359" s="125"/>
      <c r="AF359" s="189"/>
      <c r="AG359" s="124"/>
      <c r="AH359" s="124"/>
      <c r="AI359" s="124"/>
      <c r="AJ359" s="125"/>
      <c r="AK359" s="189"/>
      <c r="AL359" s="124"/>
      <c r="AM359" s="124"/>
      <c r="AN359" s="124"/>
      <c r="AO359" s="360"/>
      <c r="AP359" s="360"/>
      <c r="AQ359" s="360"/>
      <c r="AR359" s="360"/>
      <c r="AS359" s="360"/>
      <c r="AT359" s="360"/>
      <c r="AU359" s="360"/>
      <c r="AV359" s="360"/>
      <c r="AW359" s="360"/>
      <c r="AX359" s="360"/>
      <c r="AY359" s="360"/>
      <c r="AZ359" s="360"/>
      <c r="BA359" s="360"/>
      <c r="BB359" s="360"/>
      <c r="BC359" s="360"/>
    </row>
    <row r="360">
      <c r="A360" s="125"/>
      <c r="B360" s="189"/>
      <c r="C360" s="124"/>
      <c r="D360" s="124"/>
      <c r="E360" s="124"/>
      <c r="F360" s="125"/>
      <c r="G360" s="189"/>
      <c r="H360" s="124"/>
      <c r="I360" s="124"/>
      <c r="J360" s="124"/>
      <c r="K360" s="102"/>
      <c r="L360" s="189"/>
      <c r="M360" s="124"/>
      <c r="N360" s="124"/>
      <c r="O360" s="124"/>
      <c r="P360" s="102"/>
      <c r="Q360" s="161"/>
      <c r="R360" s="124"/>
      <c r="S360" s="124"/>
      <c r="T360" s="124"/>
      <c r="U360" s="125"/>
      <c r="V360" s="189"/>
      <c r="W360" s="124"/>
      <c r="X360" s="124"/>
      <c r="Y360" s="124"/>
      <c r="Z360" s="125"/>
      <c r="AA360" s="189"/>
      <c r="AB360" s="124"/>
      <c r="AC360" s="124"/>
      <c r="AD360" s="124"/>
      <c r="AE360" s="125"/>
      <c r="AF360" s="189"/>
      <c r="AG360" s="124"/>
      <c r="AH360" s="124"/>
      <c r="AI360" s="124"/>
      <c r="AJ360" s="125"/>
      <c r="AK360" s="189"/>
      <c r="AL360" s="124"/>
      <c r="AM360" s="124"/>
      <c r="AN360" s="124"/>
      <c r="AO360" s="360"/>
      <c r="AP360" s="360"/>
      <c r="AQ360" s="360"/>
      <c r="AR360" s="360"/>
      <c r="AS360" s="360"/>
      <c r="AT360" s="360"/>
      <c r="AU360" s="360"/>
      <c r="AV360" s="360"/>
      <c r="AW360" s="360"/>
      <c r="AX360" s="360"/>
      <c r="AY360" s="360"/>
      <c r="AZ360" s="360"/>
      <c r="BA360" s="360"/>
      <c r="BB360" s="360"/>
      <c r="BC360" s="360"/>
    </row>
    <row r="361">
      <c r="A361" s="125"/>
      <c r="B361" s="189"/>
      <c r="C361" s="124"/>
      <c r="D361" s="124"/>
      <c r="E361" s="124"/>
      <c r="F361" s="125"/>
      <c r="G361" s="189"/>
      <c r="H361" s="124"/>
      <c r="I361" s="124"/>
      <c r="J361" s="124"/>
      <c r="K361" s="102"/>
      <c r="L361" s="189"/>
      <c r="M361" s="124"/>
      <c r="N361" s="124"/>
      <c r="O361" s="124"/>
      <c r="P361" s="102"/>
      <c r="Q361" s="161"/>
      <c r="R361" s="124"/>
      <c r="S361" s="124"/>
      <c r="T361" s="124"/>
      <c r="U361" s="125"/>
      <c r="V361" s="189"/>
      <c r="W361" s="124"/>
      <c r="X361" s="124"/>
      <c r="Y361" s="124"/>
      <c r="Z361" s="125"/>
      <c r="AA361" s="189"/>
      <c r="AB361" s="124"/>
      <c r="AC361" s="124"/>
      <c r="AD361" s="124"/>
      <c r="AE361" s="125"/>
      <c r="AF361" s="189"/>
      <c r="AG361" s="124"/>
      <c r="AH361" s="124"/>
      <c r="AI361" s="124"/>
      <c r="AJ361" s="125"/>
      <c r="AK361" s="189"/>
      <c r="AL361" s="124"/>
      <c r="AM361" s="124"/>
      <c r="AN361" s="124"/>
      <c r="AO361" s="360"/>
      <c r="AP361" s="360"/>
      <c r="AQ361" s="360"/>
      <c r="AR361" s="360"/>
      <c r="AS361" s="360"/>
      <c r="AT361" s="360"/>
      <c r="AU361" s="360"/>
      <c r="AV361" s="360"/>
      <c r="AW361" s="360"/>
      <c r="AX361" s="360"/>
      <c r="AY361" s="360"/>
      <c r="AZ361" s="360"/>
      <c r="BA361" s="360"/>
      <c r="BB361" s="360"/>
      <c r="BC361" s="360"/>
    </row>
    <row r="362">
      <c r="A362" s="125"/>
      <c r="B362" s="189"/>
      <c r="C362" s="124"/>
      <c r="D362" s="124"/>
      <c r="E362" s="124"/>
      <c r="F362" s="125"/>
      <c r="G362" s="189"/>
      <c r="H362" s="124"/>
      <c r="I362" s="124"/>
      <c r="J362" s="124"/>
      <c r="K362" s="102"/>
      <c r="L362" s="189"/>
      <c r="M362" s="124"/>
      <c r="N362" s="124"/>
      <c r="O362" s="124"/>
      <c r="P362" s="102"/>
      <c r="Q362" s="161"/>
      <c r="R362" s="124"/>
      <c r="S362" s="124"/>
      <c r="T362" s="124"/>
      <c r="U362" s="125"/>
      <c r="V362" s="189"/>
      <c r="W362" s="124"/>
      <c r="X362" s="124"/>
      <c r="Y362" s="124"/>
      <c r="Z362" s="125"/>
      <c r="AA362" s="189"/>
      <c r="AB362" s="124"/>
      <c r="AC362" s="124"/>
      <c r="AD362" s="124"/>
      <c r="AE362" s="125"/>
      <c r="AF362" s="189"/>
      <c r="AG362" s="124"/>
      <c r="AH362" s="124"/>
      <c r="AI362" s="124"/>
      <c r="AJ362" s="125"/>
      <c r="AK362" s="189"/>
      <c r="AL362" s="124"/>
      <c r="AM362" s="124"/>
      <c r="AN362" s="124"/>
      <c r="AO362" s="360"/>
      <c r="AP362" s="360"/>
      <c r="AQ362" s="360"/>
      <c r="AR362" s="360"/>
      <c r="AS362" s="360"/>
      <c r="AT362" s="360"/>
      <c r="AU362" s="360"/>
      <c r="AV362" s="360"/>
      <c r="AW362" s="360"/>
      <c r="AX362" s="360"/>
      <c r="AY362" s="360"/>
      <c r="AZ362" s="360"/>
      <c r="BA362" s="360"/>
      <c r="BB362" s="360"/>
      <c r="BC362" s="360"/>
    </row>
    <row r="363">
      <c r="A363" s="125"/>
      <c r="B363" s="189"/>
      <c r="C363" s="124"/>
      <c r="D363" s="124"/>
      <c r="E363" s="124"/>
      <c r="F363" s="125"/>
      <c r="G363" s="189"/>
      <c r="H363" s="124"/>
      <c r="I363" s="124"/>
      <c r="J363" s="124"/>
      <c r="K363" s="102"/>
      <c r="L363" s="189"/>
      <c r="M363" s="124"/>
      <c r="N363" s="124"/>
      <c r="O363" s="124"/>
      <c r="P363" s="102"/>
      <c r="Q363" s="161"/>
      <c r="R363" s="124"/>
      <c r="S363" s="124"/>
      <c r="T363" s="124"/>
      <c r="U363" s="125"/>
      <c r="V363" s="189"/>
      <c r="W363" s="124"/>
      <c r="X363" s="124"/>
      <c r="Y363" s="124"/>
      <c r="Z363" s="125"/>
      <c r="AA363" s="189"/>
      <c r="AB363" s="124"/>
      <c r="AC363" s="124"/>
      <c r="AD363" s="124"/>
      <c r="AE363" s="125"/>
      <c r="AF363" s="189"/>
      <c r="AG363" s="124"/>
      <c r="AH363" s="124"/>
      <c r="AI363" s="124"/>
      <c r="AJ363" s="125"/>
      <c r="AK363" s="189"/>
      <c r="AL363" s="124"/>
      <c r="AM363" s="124"/>
      <c r="AN363" s="124"/>
      <c r="AO363" s="360"/>
      <c r="AP363" s="360"/>
      <c r="AQ363" s="360"/>
      <c r="AR363" s="360"/>
      <c r="AS363" s="360"/>
      <c r="AT363" s="360"/>
      <c r="AU363" s="360"/>
      <c r="AV363" s="360"/>
      <c r="AW363" s="360"/>
      <c r="AX363" s="360"/>
      <c r="AY363" s="360"/>
      <c r="AZ363" s="360"/>
      <c r="BA363" s="360"/>
      <c r="BB363" s="360"/>
      <c r="BC363" s="360"/>
    </row>
    <row r="364">
      <c r="A364" s="125"/>
      <c r="B364" s="189"/>
      <c r="C364" s="124"/>
      <c r="D364" s="124"/>
      <c r="E364" s="124"/>
      <c r="F364" s="125"/>
      <c r="G364" s="189"/>
      <c r="H364" s="124"/>
      <c r="I364" s="124"/>
      <c r="J364" s="124"/>
      <c r="K364" s="102"/>
      <c r="L364" s="189"/>
      <c r="M364" s="124"/>
      <c r="N364" s="124"/>
      <c r="O364" s="124"/>
      <c r="P364" s="102"/>
      <c r="Q364" s="161"/>
      <c r="R364" s="124"/>
      <c r="S364" s="124"/>
      <c r="T364" s="124"/>
      <c r="U364" s="125"/>
      <c r="V364" s="189"/>
      <c r="W364" s="124"/>
      <c r="X364" s="124"/>
      <c r="Y364" s="124"/>
      <c r="Z364" s="125"/>
      <c r="AA364" s="189"/>
      <c r="AB364" s="124"/>
      <c r="AC364" s="124"/>
      <c r="AD364" s="124"/>
      <c r="AE364" s="125"/>
      <c r="AF364" s="189"/>
      <c r="AG364" s="124"/>
      <c r="AH364" s="124"/>
      <c r="AI364" s="124"/>
      <c r="AJ364" s="125"/>
      <c r="AK364" s="189"/>
      <c r="AL364" s="124"/>
      <c r="AM364" s="124"/>
      <c r="AN364" s="124"/>
      <c r="AO364" s="360"/>
      <c r="AP364" s="360"/>
      <c r="AQ364" s="360"/>
      <c r="AR364" s="360"/>
      <c r="AS364" s="360"/>
      <c r="AT364" s="360"/>
      <c r="AU364" s="360"/>
      <c r="AV364" s="360"/>
      <c r="AW364" s="360"/>
      <c r="AX364" s="360"/>
      <c r="AY364" s="360"/>
      <c r="AZ364" s="360"/>
      <c r="BA364" s="360"/>
      <c r="BB364" s="360"/>
      <c r="BC364" s="360"/>
    </row>
    <row r="365">
      <c r="A365" s="125"/>
      <c r="B365" s="189"/>
      <c r="C365" s="124"/>
      <c r="D365" s="124"/>
      <c r="E365" s="124"/>
      <c r="F365" s="125"/>
      <c r="G365" s="189"/>
      <c r="H365" s="124"/>
      <c r="I365" s="124"/>
      <c r="J365" s="124"/>
      <c r="K365" s="102"/>
      <c r="L365" s="189"/>
      <c r="M365" s="124"/>
      <c r="N365" s="124"/>
      <c r="O365" s="124"/>
      <c r="P365" s="102"/>
      <c r="Q365" s="161"/>
      <c r="R365" s="124"/>
      <c r="S365" s="124"/>
      <c r="T365" s="124"/>
      <c r="U365" s="125"/>
      <c r="V365" s="189"/>
      <c r="W365" s="124"/>
      <c r="X365" s="124"/>
      <c r="Y365" s="124"/>
      <c r="Z365" s="125"/>
      <c r="AA365" s="189"/>
      <c r="AB365" s="124"/>
      <c r="AC365" s="124"/>
      <c r="AD365" s="124"/>
      <c r="AE365" s="125"/>
      <c r="AF365" s="189"/>
      <c r="AG365" s="124"/>
      <c r="AH365" s="124"/>
      <c r="AI365" s="124"/>
      <c r="AJ365" s="125"/>
      <c r="AK365" s="189"/>
      <c r="AL365" s="124"/>
      <c r="AM365" s="124"/>
      <c r="AN365" s="124"/>
      <c r="AO365" s="360"/>
      <c r="AP365" s="360"/>
      <c r="AQ365" s="360"/>
      <c r="AR365" s="360"/>
      <c r="AS365" s="360"/>
      <c r="AT365" s="360"/>
      <c r="AU365" s="360"/>
      <c r="AV365" s="360"/>
      <c r="AW365" s="360"/>
      <c r="AX365" s="360"/>
      <c r="AY365" s="360"/>
      <c r="AZ365" s="360"/>
      <c r="BA365" s="360"/>
      <c r="BB365" s="360"/>
      <c r="BC365" s="360"/>
    </row>
    <row r="366">
      <c r="A366" s="125"/>
      <c r="B366" s="189"/>
      <c r="C366" s="124"/>
      <c r="D366" s="124"/>
      <c r="E366" s="124"/>
      <c r="F366" s="125"/>
      <c r="G366" s="189"/>
      <c r="H366" s="124"/>
      <c r="I366" s="124"/>
      <c r="J366" s="124"/>
      <c r="K366" s="102"/>
      <c r="L366" s="189"/>
      <c r="M366" s="124"/>
      <c r="N366" s="124"/>
      <c r="O366" s="124"/>
      <c r="P366" s="102"/>
      <c r="Q366" s="161"/>
      <c r="R366" s="124"/>
      <c r="S366" s="124"/>
      <c r="T366" s="124"/>
      <c r="U366" s="125"/>
      <c r="V366" s="189"/>
      <c r="W366" s="124"/>
      <c r="X366" s="124"/>
      <c r="Y366" s="124"/>
      <c r="Z366" s="125"/>
      <c r="AA366" s="189"/>
      <c r="AB366" s="124"/>
      <c r="AC366" s="124"/>
      <c r="AD366" s="124"/>
      <c r="AE366" s="125"/>
      <c r="AF366" s="189"/>
      <c r="AG366" s="124"/>
      <c r="AH366" s="124"/>
      <c r="AI366" s="124"/>
      <c r="AJ366" s="125"/>
      <c r="AK366" s="189"/>
      <c r="AL366" s="124"/>
      <c r="AM366" s="124"/>
      <c r="AN366" s="124"/>
      <c r="AO366" s="360"/>
      <c r="AP366" s="360"/>
      <c r="AQ366" s="360"/>
      <c r="AR366" s="360"/>
      <c r="AS366" s="360"/>
      <c r="AT366" s="360"/>
      <c r="AU366" s="360"/>
      <c r="AV366" s="360"/>
      <c r="AW366" s="360"/>
      <c r="AX366" s="360"/>
      <c r="AY366" s="360"/>
      <c r="AZ366" s="360"/>
      <c r="BA366" s="360"/>
      <c r="BB366" s="360"/>
      <c r="BC366" s="360"/>
    </row>
    <row r="367">
      <c r="A367" s="125"/>
      <c r="B367" s="189"/>
      <c r="C367" s="124"/>
      <c r="D367" s="124"/>
      <c r="E367" s="124"/>
      <c r="F367" s="125"/>
      <c r="G367" s="189"/>
      <c r="H367" s="124"/>
      <c r="I367" s="124"/>
      <c r="J367" s="124"/>
      <c r="K367" s="102"/>
      <c r="L367" s="189"/>
      <c r="M367" s="124"/>
      <c r="N367" s="124"/>
      <c r="O367" s="124"/>
      <c r="P367" s="102"/>
      <c r="Q367" s="161"/>
      <c r="R367" s="124"/>
      <c r="S367" s="124"/>
      <c r="T367" s="124"/>
      <c r="U367" s="125"/>
      <c r="V367" s="189"/>
      <c r="W367" s="124"/>
      <c r="X367" s="124"/>
      <c r="Y367" s="124"/>
      <c r="Z367" s="125"/>
      <c r="AA367" s="189"/>
      <c r="AB367" s="124"/>
      <c r="AC367" s="124"/>
      <c r="AD367" s="124"/>
      <c r="AE367" s="125"/>
      <c r="AF367" s="189"/>
      <c r="AG367" s="124"/>
      <c r="AH367" s="124"/>
      <c r="AI367" s="124"/>
      <c r="AJ367" s="125"/>
      <c r="AK367" s="189"/>
      <c r="AL367" s="124"/>
      <c r="AM367" s="124"/>
      <c r="AN367" s="124"/>
      <c r="AO367" s="360"/>
      <c r="AP367" s="360"/>
      <c r="AQ367" s="360"/>
      <c r="AR367" s="360"/>
      <c r="AS367" s="360"/>
      <c r="AT367" s="360"/>
      <c r="AU367" s="360"/>
      <c r="AV367" s="360"/>
      <c r="AW367" s="360"/>
      <c r="AX367" s="360"/>
      <c r="AY367" s="360"/>
      <c r="AZ367" s="360"/>
      <c r="BA367" s="360"/>
      <c r="BB367" s="360"/>
      <c r="BC367" s="360"/>
    </row>
    <row r="368">
      <c r="A368" s="125"/>
      <c r="B368" s="189"/>
      <c r="C368" s="124"/>
      <c r="D368" s="124"/>
      <c r="E368" s="124"/>
      <c r="F368" s="125"/>
      <c r="G368" s="189"/>
      <c r="H368" s="124"/>
      <c r="I368" s="124"/>
      <c r="J368" s="124"/>
      <c r="K368" s="102"/>
      <c r="L368" s="189"/>
      <c r="M368" s="124"/>
      <c r="N368" s="124"/>
      <c r="O368" s="124"/>
      <c r="P368" s="102"/>
      <c r="Q368" s="161"/>
      <c r="R368" s="124"/>
      <c r="S368" s="124"/>
      <c r="T368" s="124"/>
      <c r="U368" s="125"/>
      <c r="V368" s="189"/>
      <c r="W368" s="124"/>
      <c r="X368" s="124"/>
      <c r="Y368" s="124"/>
      <c r="Z368" s="125"/>
      <c r="AA368" s="189"/>
      <c r="AB368" s="124"/>
      <c r="AC368" s="124"/>
      <c r="AD368" s="124"/>
      <c r="AE368" s="125"/>
      <c r="AF368" s="189"/>
      <c r="AG368" s="124"/>
      <c r="AH368" s="124"/>
      <c r="AI368" s="124"/>
      <c r="AJ368" s="125"/>
      <c r="AK368" s="189"/>
      <c r="AL368" s="124"/>
      <c r="AM368" s="124"/>
      <c r="AN368" s="124"/>
      <c r="AO368" s="360"/>
      <c r="AP368" s="360"/>
      <c r="AQ368" s="360"/>
      <c r="AR368" s="360"/>
      <c r="AS368" s="360"/>
      <c r="AT368" s="360"/>
      <c r="AU368" s="360"/>
      <c r="AV368" s="360"/>
      <c r="AW368" s="360"/>
      <c r="AX368" s="360"/>
      <c r="AY368" s="360"/>
      <c r="AZ368" s="360"/>
      <c r="BA368" s="360"/>
      <c r="BB368" s="360"/>
      <c r="BC368" s="360"/>
    </row>
    <row r="369">
      <c r="A369" s="125"/>
      <c r="B369" s="189"/>
      <c r="C369" s="124"/>
      <c r="D369" s="124"/>
      <c r="E369" s="124"/>
      <c r="F369" s="125"/>
      <c r="G369" s="189"/>
      <c r="H369" s="124"/>
      <c r="I369" s="124"/>
      <c r="J369" s="124"/>
      <c r="K369" s="102"/>
      <c r="L369" s="189"/>
      <c r="M369" s="124"/>
      <c r="N369" s="124"/>
      <c r="O369" s="124"/>
      <c r="P369" s="102"/>
      <c r="Q369" s="161"/>
      <c r="R369" s="124"/>
      <c r="S369" s="124"/>
      <c r="T369" s="124"/>
      <c r="U369" s="125"/>
      <c r="V369" s="189"/>
      <c r="W369" s="124"/>
      <c r="X369" s="124"/>
      <c r="Y369" s="124"/>
      <c r="Z369" s="125"/>
      <c r="AA369" s="189"/>
      <c r="AB369" s="124"/>
      <c r="AC369" s="124"/>
      <c r="AD369" s="124"/>
      <c r="AE369" s="125"/>
      <c r="AF369" s="189"/>
      <c r="AG369" s="124"/>
      <c r="AH369" s="124"/>
      <c r="AI369" s="124"/>
      <c r="AJ369" s="125"/>
      <c r="AK369" s="189"/>
      <c r="AL369" s="124"/>
      <c r="AM369" s="124"/>
      <c r="AN369" s="124"/>
      <c r="AO369" s="360"/>
      <c r="AP369" s="360"/>
      <c r="AQ369" s="360"/>
      <c r="AR369" s="360"/>
      <c r="AS369" s="360"/>
      <c r="AT369" s="360"/>
      <c r="AU369" s="360"/>
      <c r="AV369" s="360"/>
      <c r="AW369" s="360"/>
      <c r="AX369" s="360"/>
      <c r="AY369" s="360"/>
      <c r="AZ369" s="360"/>
      <c r="BA369" s="360"/>
      <c r="BB369" s="360"/>
      <c r="BC369" s="360"/>
    </row>
    <row r="370">
      <c r="A370" s="125"/>
      <c r="B370" s="189"/>
      <c r="C370" s="124"/>
      <c r="D370" s="124"/>
      <c r="E370" s="124"/>
      <c r="F370" s="125"/>
      <c r="G370" s="189"/>
      <c r="H370" s="124"/>
      <c r="I370" s="124"/>
      <c r="J370" s="124"/>
      <c r="K370" s="102"/>
      <c r="L370" s="189"/>
      <c r="M370" s="124"/>
      <c r="N370" s="124"/>
      <c r="O370" s="124"/>
      <c r="P370" s="102"/>
      <c r="Q370" s="161"/>
      <c r="R370" s="124"/>
      <c r="S370" s="124"/>
      <c r="T370" s="124"/>
      <c r="U370" s="125"/>
      <c r="V370" s="189"/>
      <c r="W370" s="124"/>
      <c r="X370" s="124"/>
      <c r="Y370" s="124"/>
      <c r="Z370" s="125"/>
      <c r="AA370" s="189"/>
      <c r="AB370" s="124"/>
      <c r="AC370" s="124"/>
      <c r="AD370" s="124"/>
      <c r="AE370" s="125"/>
      <c r="AF370" s="189"/>
      <c r="AG370" s="124"/>
      <c r="AH370" s="124"/>
      <c r="AI370" s="124"/>
      <c r="AJ370" s="125"/>
      <c r="AK370" s="189"/>
      <c r="AL370" s="124"/>
      <c r="AM370" s="124"/>
      <c r="AN370" s="124"/>
      <c r="AO370" s="360"/>
      <c r="AP370" s="360"/>
      <c r="AQ370" s="360"/>
      <c r="AR370" s="360"/>
      <c r="AS370" s="360"/>
      <c r="AT370" s="360"/>
      <c r="AU370" s="360"/>
      <c r="AV370" s="360"/>
      <c r="AW370" s="360"/>
      <c r="AX370" s="360"/>
      <c r="AY370" s="360"/>
      <c r="AZ370" s="360"/>
      <c r="BA370" s="360"/>
      <c r="BB370" s="360"/>
      <c r="BC370" s="360"/>
    </row>
    <row r="371">
      <c r="A371" s="125"/>
      <c r="B371" s="189"/>
      <c r="C371" s="124"/>
      <c r="D371" s="124"/>
      <c r="E371" s="124"/>
      <c r="F371" s="125"/>
      <c r="G371" s="189"/>
      <c r="H371" s="124"/>
      <c r="I371" s="124"/>
      <c r="J371" s="124"/>
      <c r="K371" s="102"/>
      <c r="L371" s="189"/>
      <c r="M371" s="124"/>
      <c r="N371" s="124"/>
      <c r="O371" s="124"/>
      <c r="P371" s="102"/>
      <c r="Q371" s="161"/>
      <c r="R371" s="124"/>
      <c r="S371" s="124"/>
      <c r="T371" s="124"/>
      <c r="U371" s="125"/>
      <c r="V371" s="189"/>
      <c r="W371" s="124"/>
      <c r="X371" s="124"/>
      <c r="Y371" s="124"/>
      <c r="Z371" s="125"/>
      <c r="AA371" s="189"/>
      <c r="AB371" s="124"/>
      <c r="AC371" s="124"/>
      <c r="AD371" s="124"/>
      <c r="AE371" s="125"/>
      <c r="AF371" s="189"/>
      <c r="AG371" s="124"/>
      <c r="AH371" s="124"/>
      <c r="AI371" s="124"/>
      <c r="AJ371" s="125"/>
      <c r="AK371" s="189"/>
      <c r="AL371" s="124"/>
      <c r="AM371" s="124"/>
      <c r="AN371" s="124"/>
      <c r="AO371" s="360"/>
      <c r="AP371" s="360"/>
      <c r="AQ371" s="360"/>
      <c r="AR371" s="360"/>
      <c r="AS371" s="360"/>
      <c r="AT371" s="360"/>
      <c r="AU371" s="360"/>
      <c r="AV371" s="360"/>
      <c r="AW371" s="360"/>
      <c r="AX371" s="360"/>
      <c r="AY371" s="360"/>
      <c r="AZ371" s="360"/>
      <c r="BA371" s="360"/>
      <c r="BB371" s="360"/>
      <c r="BC371" s="360"/>
    </row>
    <row r="372">
      <c r="A372" s="125"/>
      <c r="B372" s="189"/>
      <c r="C372" s="124"/>
      <c r="D372" s="124"/>
      <c r="E372" s="124"/>
      <c r="F372" s="125"/>
      <c r="G372" s="189"/>
      <c r="H372" s="124"/>
      <c r="I372" s="124"/>
      <c r="J372" s="124"/>
      <c r="K372" s="102"/>
      <c r="L372" s="189"/>
      <c r="M372" s="124"/>
      <c r="N372" s="124"/>
      <c r="O372" s="124"/>
      <c r="P372" s="102"/>
      <c r="Q372" s="161"/>
      <c r="R372" s="124"/>
      <c r="S372" s="124"/>
      <c r="T372" s="124"/>
      <c r="U372" s="125"/>
      <c r="V372" s="189"/>
      <c r="W372" s="124"/>
      <c r="X372" s="124"/>
      <c r="Y372" s="124"/>
      <c r="Z372" s="125"/>
      <c r="AA372" s="189"/>
      <c r="AB372" s="124"/>
      <c r="AC372" s="124"/>
      <c r="AD372" s="124"/>
      <c r="AE372" s="125"/>
      <c r="AF372" s="189"/>
      <c r="AG372" s="124"/>
      <c r="AH372" s="124"/>
      <c r="AI372" s="124"/>
      <c r="AJ372" s="125"/>
      <c r="AK372" s="189"/>
      <c r="AL372" s="124"/>
      <c r="AM372" s="124"/>
      <c r="AN372" s="124"/>
      <c r="AO372" s="360"/>
      <c r="AP372" s="360"/>
      <c r="AQ372" s="360"/>
      <c r="AR372" s="360"/>
      <c r="AS372" s="360"/>
      <c r="AT372" s="360"/>
      <c r="AU372" s="360"/>
      <c r="AV372" s="360"/>
      <c r="AW372" s="360"/>
      <c r="AX372" s="360"/>
      <c r="AY372" s="360"/>
      <c r="AZ372" s="360"/>
      <c r="BA372" s="360"/>
      <c r="BB372" s="360"/>
      <c r="BC372" s="360"/>
    </row>
    <row r="373">
      <c r="A373" s="125"/>
      <c r="B373" s="189"/>
      <c r="C373" s="124"/>
      <c r="D373" s="124"/>
      <c r="E373" s="124"/>
      <c r="F373" s="125"/>
      <c r="G373" s="189"/>
      <c r="H373" s="124"/>
      <c r="I373" s="124"/>
      <c r="J373" s="124"/>
      <c r="K373" s="102"/>
      <c r="L373" s="189"/>
      <c r="M373" s="124"/>
      <c r="N373" s="124"/>
      <c r="O373" s="124"/>
      <c r="P373" s="102"/>
      <c r="Q373" s="161"/>
      <c r="R373" s="124"/>
      <c r="S373" s="124"/>
      <c r="T373" s="124"/>
      <c r="U373" s="125"/>
      <c r="V373" s="189"/>
      <c r="W373" s="124"/>
      <c r="X373" s="124"/>
      <c r="Y373" s="124"/>
      <c r="Z373" s="125"/>
      <c r="AA373" s="189"/>
      <c r="AB373" s="124"/>
      <c r="AC373" s="124"/>
      <c r="AD373" s="124"/>
      <c r="AE373" s="125"/>
      <c r="AF373" s="189"/>
      <c r="AG373" s="124"/>
      <c r="AH373" s="124"/>
      <c r="AI373" s="124"/>
      <c r="AJ373" s="125"/>
      <c r="AK373" s="189"/>
      <c r="AL373" s="124"/>
      <c r="AM373" s="124"/>
      <c r="AN373" s="124"/>
      <c r="AO373" s="360"/>
      <c r="AP373" s="360"/>
      <c r="AQ373" s="360"/>
      <c r="AR373" s="360"/>
      <c r="AS373" s="360"/>
      <c r="AT373" s="360"/>
      <c r="AU373" s="360"/>
      <c r="AV373" s="360"/>
      <c r="AW373" s="360"/>
      <c r="AX373" s="360"/>
      <c r="AY373" s="360"/>
      <c r="AZ373" s="360"/>
      <c r="BA373" s="360"/>
      <c r="BB373" s="360"/>
      <c r="BC373" s="360"/>
    </row>
    <row r="374">
      <c r="A374" s="125"/>
      <c r="B374" s="189"/>
      <c r="C374" s="124"/>
      <c r="D374" s="124"/>
      <c r="E374" s="124"/>
      <c r="F374" s="125"/>
      <c r="G374" s="189"/>
      <c r="H374" s="124"/>
      <c r="I374" s="124"/>
      <c r="J374" s="124"/>
      <c r="K374" s="102"/>
      <c r="L374" s="189"/>
      <c r="M374" s="124"/>
      <c r="N374" s="124"/>
      <c r="O374" s="124"/>
      <c r="P374" s="102"/>
      <c r="Q374" s="161"/>
      <c r="R374" s="124"/>
      <c r="S374" s="124"/>
      <c r="T374" s="124"/>
      <c r="U374" s="125"/>
      <c r="V374" s="189"/>
      <c r="W374" s="124"/>
      <c r="X374" s="124"/>
      <c r="Y374" s="124"/>
      <c r="Z374" s="125"/>
      <c r="AA374" s="189"/>
      <c r="AB374" s="124"/>
      <c r="AC374" s="124"/>
      <c r="AD374" s="124"/>
      <c r="AE374" s="125"/>
      <c r="AF374" s="189"/>
      <c r="AG374" s="124"/>
      <c r="AH374" s="124"/>
      <c r="AI374" s="124"/>
      <c r="AJ374" s="125"/>
      <c r="AK374" s="189"/>
      <c r="AL374" s="124"/>
      <c r="AM374" s="124"/>
      <c r="AN374" s="124"/>
      <c r="AO374" s="360"/>
      <c r="AP374" s="360"/>
      <c r="AQ374" s="360"/>
      <c r="AR374" s="360"/>
      <c r="AS374" s="360"/>
      <c r="AT374" s="360"/>
      <c r="AU374" s="360"/>
      <c r="AV374" s="360"/>
      <c r="AW374" s="360"/>
      <c r="AX374" s="360"/>
      <c r="AY374" s="360"/>
      <c r="AZ374" s="360"/>
      <c r="BA374" s="360"/>
      <c r="BB374" s="360"/>
      <c r="BC374" s="360"/>
    </row>
    <row r="375">
      <c r="A375" s="125"/>
      <c r="B375" s="189"/>
      <c r="C375" s="124"/>
      <c r="D375" s="124"/>
      <c r="E375" s="124"/>
      <c r="F375" s="125"/>
      <c r="G375" s="189"/>
      <c r="H375" s="124"/>
      <c r="I375" s="124"/>
      <c r="J375" s="124"/>
      <c r="K375" s="102"/>
      <c r="L375" s="189"/>
      <c r="M375" s="124"/>
      <c r="N375" s="124"/>
      <c r="O375" s="124"/>
      <c r="P375" s="102"/>
      <c r="Q375" s="161"/>
      <c r="R375" s="124"/>
      <c r="S375" s="124"/>
      <c r="T375" s="124"/>
      <c r="U375" s="125"/>
      <c r="V375" s="189"/>
      <c r="W375" s="124"/>
      <c r="X375" s="124"/>
      <c r="Y375" s="124"/>
      <c r="Z375" s="125"/>
      <c r="AA375" s="189"/>
      <c r="AB375" s="124"/>
      <c r="AC375" s="124"/>
      <c r="AD375" s="124"/>
      <c r="AE375" s="125"/>
      <c r="AF375" s="189"/>
      <c r="AG375" s="124"/>
      <c r="AH375" s="124"/>
      <c r="AI375" s="124"/>
      <c r="AJ375" s="125"/>
      <c r="AK375" s="189"/>
      <c r="AL375" s="124"/>
      <c r="AM375" s="124"/>
      <c r="AN375" s="124"/>
      <c r="AO375" s="360"/>
      <c r="AP375" s="360"/>
      <c r="AQ375" s="360"/>
      <c r="AR375" s="360"/>
      <c r="AS375" s="360"/>
      <c r="AT375" s="360"/>
      <c r="AU375" s="360"/>
      <c r="AV375" s="360"/>
      <c r="AW375" s="360"/>
      <c r="AX375" s="360"/>
      <c r="AY375" s="360"/>
      <c r="AZ375" s="360"/>
      <c r="BA375" s="360"/>
      <c r="BB375" s="360"/>
      <c r="BC375" s="360"/>
    </row>
    <row r="376">
      <c r="A376" s="125"/>
      <c r="B376" s="189"/>
      <c r="C376" s="124"/>
      <c r="D376" s="124"/>
      <c r="E376" s="124"/>
      <c r="F376" s="125"/>
      <c r="G376" s="189"/>
      <c r="H376" s="124"/>
      <c r="I376" s="124"/>
      <c r="J376" s="124"/>
      <c r="K376" s="102"/>
      <c r="L376" s="189"/>
      <c r="M376" s="124"/>
      <c r="N376" s="124"/>
      <c r="O376" s="124"/>
      <c r="P376" s="102"/>
      <c r="Q376" s="161"/>
      <c r="R376" s="124"/>
      <c r="S376" s="124"/>
      <c r="T376" s="124"/>
      <c r="U376" s="125"/>
      <c r="V376" s="189"/>
      <c r="W376" s="124"/>
      <c r="X376" s="124"/>
      <c r="Y376" s="124"/>
      <c r="Z376" s="125"/>
      <c r="AA376" s="189"/>
      <c r="AB376" s="124"/>
      <c r="AC376" s="124"/>
      <c r="AD376" s="124"/>
      <c r="AE376" s="125"/>
      <c r="AF376" s="189"/>
      <c r="AG376" s="124"/>
      <c r="AH376" s="124"/>
      <c r="AI376" s="124"/>
      <c r="AJ376" s="125"/>
      <c r="AK376" s="189"/>
      <c r="AL376" s="124"/>
      <c r="AM376" s="124"/>
      <c r="AN376" s="124"/>
      <c r="AO376" s="360"/>
      <c r="AP376" s="360"/>
      <c r="AQ376" s="360"/>
      <c r="AR376" s="360"/>
      <c r="AS376" s="360"/>
      <c r="AT376" s="360"/>
      <c r="AU376" s="360"/>
      <c r="AV376" s="360"/>
      <c r="AW376" s="360"/>
      <c r="AX376" s="360"/>
      <c r="AY376" s="360"/>
      <c r="AZ376" s="360"/>
      <c r="BA376" s="360"/>
      <c r="BB376" s="360"/>
      <c r="BC376" s="360"/>
    </row>
    <row r="377">
      <c r="A377" s="125"/>
      <c r="B377" s="189"/>
      <c r="C377" s="124"/>
      <c r="D377" s="124"/>
      <c r="E377" s="124"/>
      <c r="F377" s="125"/>
      <c r="G377" s="189"/>
      <c r="H377" s="124"/>
      <c r="I377" s="124"/>
      <c r="J377" s="124"/>
      <c r="K377" s="102"/>
      <c r="L377" s="189"/>
      <c r="M377" s="124"/>
      <c r="N377" s="124"/>
      <c r="O377" s="124"/>
      <c r="P377" s="102"/>
      <c r="Q377" s="161"/>
      <c r="R377" s="124"/>
      <c r="S377" s="124"/>
      <c r="T377" s="124"/>
      <c r="U377" s="125"/>
      <c r="V377" s="189"/>
      <c r="W377" s="124"/>
      <c r="X377" s="124"/>
      <c r="Y377" s="124"/>
      <c r="Z377" s="125"/>
      <c r="AA377" s="189"/>
      <c r="AB377" s="124"/>
      <c r="AC377" s="124"/>
      <c r="AD377" s="124"/>
      <c r="AE377" s="125"/>
      <c r="AF377" s="189"/>
      <c r="AG377" s="124"/>
      <c r="AH377" s="124"/>
      <c r="AI377" s="124"/>
      <c r="AJ377" s="125"/>
      <c r="AK377" s="189"/>
      <c r="AL377" s="124"/>
      <c r="AM377" s="124"/>
      <c r="AN377" s="124"/>
      <c r="AO377" s="360"/>
      <c r="AP377" s="360"/>
      <c r="AQ377" s="360"/>
      <c r="AR377" s="360"/>
      <c r="AS377" s="360"/>
      <c r="AT377" s="360"/>
      <c r="AU377" s="360"/>
      <c r="AV377" s="360"/>
      <c r="AW377" s="360"/>
      <c r="AX377" s="360"/>
      <c r="AY377" s="360"/>
      <c r="AZ377" s="360"/>
      <c r="BA377" s="360"/>
      <c r="BB377" s="360"/>
      <c r="BC377" s="360"/>
    </row>
    <row r="378">
      <c r="A378" s="125"/>
      <c r="B378" s="189"/>
      <c r="C378" s="124"/>
      <c r="D378" s="124"/>
      <c r="E378" s="124"/>
      <c r="F378" s="125"/>
      <c r="G378" s="189"/>
      <c r="H378" s="124"/>
      <c r="I378" s="124"/>
      <c r="J378" s="124"/>
      <c r="K378" s="102"/>
      <c r="L378" s="189"/>
      <c r="M378" s="124"/>
      <c r="N378" s="124"/>
      <c r="O378" s="124"/>
      <c r="P378" s="102"/>
      <c r="Q378" s="161"/>
      <c r="R378" s="124"/>
      <c r="S378" s="124"/>
      <c r="T378" s="124"/>
      <c r="U378" s="125"/>
      <c r="V378" s="189"/>
      <c r="W378" s="124"/>
      <c r="X378" s="124"/>
      <c r="Y378" s="124"/>
      <c r="Z378" s="125"/>
      <c r="AA378" s="189"/>
      <c r="AB378" s="124"/>
      <c r="AC378" s="124"/>
      <c r="AD378" s="124"/>
      <c r="AE378" s="125"/>
      <c r="AF378" s="189"/>
      <c r="AG378" s="124"/>
      <c r="AH378" s="124"/>
      <c r="AI378" s="124"/>
      <c r="AJ378" s="125"/>
      <c r="AK378" s="189"/>
      <c r="AL378" s="124"/>
      <c r="AM378" s="124"/>
      <c r="AN378" s="124"/>
      <c r="AO378" s="360"/>
      <c r="AP378" s="360"/>
      <c r="AQ378" s="360"/>
      <c r="AR378" s="360"/>
      <c r="AS378" s="360"/>
      <c r="AT378" s="360"/>
      <c r="AU378" s="360"/>
      <c r="AV378" s="360"/>
      <c r="AW378" s="360"/>
      <c r="AX378" s="360"/>
      <c r="AY378" s="360"/>
      <c r="AZ378" s="360"/>
      <c r="BA378" s="360"/>
      <c r="BB378" s="360"/>
      <c r="BC378" s="360"/>
    </row>
    <row r="379">
      <c r="A379" s="125"/>
      <c r="B379" s="189"/>
      <c r="C379" s="124"/>
      <c r="D379" s="124"/>
      <c r="E379" s="124"/>
      <c r="F379" s="125"/>
      <c r="G379" s="189"/>
      <c r="H379" s="124"/>
      <c r="I379" s="124"/>
      <c r="J379" s="124"/>
      <c r="K379" s="102"/>
      <c r="L379" s="189"/>
      <c r="M379" s="124"/>
      <c r="N379" s="124"/>
      <c r="O379" s="124"/>
      <c r="P379" s="102"/>
      <c r="Q379" s="161"/>
      <c r="R379" s="124"/>
      <c r="S379" s="124"/>
      <c r="T379" s="124"/>
      <c r="U379" s="125"/>
      <c r="V379" s="189"/>
      <c r="W379" s="124"/>
      <c r="X379" s="124"/>
      <c r="Y379" s="124"/>
      <c r="Z379" s="125"/>
      <c r="AA379" s="189"/>
      <c r="AB379" s="124"/>
      <c r="AC379" s="124"/>
      <c r="AD379" s="124"/>
      <c r="AE379" s="125"/>
      <c r="AF379" s="189"/>
      <c r="AG379" s="124"/>
      <c r="AH379" s="124"/>
      <c r="AI379" s="124"/>
      <c r="AJ379" s="125"/>
      <c r="AK379" s="189"/>
      <c r="AL379" s="124"/>
      <c r="AM379" s="124"/>
      <c r="AN379" s="124"/>
      <c r="AO379" s="360"/>
      <c r="AP379" s="360"/>
      <c r="AQ379" s="360"/>
      <c r="AR379" s="360"/>
      <c r="AS379" s="360"/>
      <c r="AT379" s="360"/>
      <c r="AU379" s="360"/>
      <c r="AV379" s="360"/>
      <c r="AW379" s="360"/>
      <c r="AX379" s="360"/>
      <c r="AY379" s="360"/>
      <c r="AZ379" s="360"/>
      <c r="BA379" s="360"/>
      <c r="BB379" s="360"/>
      <c r="BC379" s="360"/>
    </row>
    <row r="380">
      <c r="A380" s="125"/>
      <c r="B380" s="189"/>
      <c r="C380" s="124"/>
      <c r="D380" s="124"/>
      <c r="E380" s="124"/>
      <c r="F380" s="125"/>
      <c r="G380" s="189"/>
      <c r="H380" s="124"/>
      <c r="I380" s="124"/>
      <c r="J380" s="124"/>
      <c r="K380" s="102"/>
      <c r="L380" s="189"/>
      <c r="M380" s="124"/>
      <c r="N380" s="124"/>
      <c r="O380" s="124"/>
      <c r="P380" s="102"/>
      <c r="Q380" s="161"/>
      <c r="R380" s="124"/>
      <c r="S380" s="124"/>
      <c r="T380" s="124"/>
      <c r="U380" s="125"/>
      <c r="V380" s="189"/>
      <c r="W380" s="124"/>
      <c r="X380" s="124"/>
      <c r="Y380" s="124"/>
      <c r="Z380" s="125"/>
      <c r="AA380" s="189"/>
      <c r="AB380" s="124"/>
      <c r="AC380" s="124"/>
      <c r="AD380" s="124"/>
      <c r="AE380" s="125"/>
      <c r="AF380" s="189"/>
      <c r="AG380" s="124"/>
      <c r="AH380" s="124"/>
      <c r="AI380" s="124"/>
      <c r="AJ380" s="125"/>
      <c r="AK380" s="189"/>
      <c r="AL380" s="124"/>
      <c r="AM380" s="124"/>
      <c r="AN380" s="124"/>
      <c r="AO380" s="360"/>
      <c r="AP380" s="360"/>
      <c r="AQ380" s="360"/>
      <c r="AR380" s="360"/>
      <c r="AS380" s="360"/>
      <c r="AT380" s="360"/>
      <c r="AU380" s="360"/>
      <c r="AV380" s="360"/>
      <c r="AW380" s="360"/>
      <c r="AX380" s="360"/>
      <c r="AY380" s="360"/>
      <c r="AZ380" s="360"/>
      <c r="BA380" s="360"/>
      <c r="BB380" s="360"/>
      <c r="BC380" s="360"/>
    </row>
    <row r="381">
      <c r="A381" s="125"/>
      <c r="B381" s="189"/>
      <c r="C381" s="124"/>
      <c r="D381" s="124"/>
      <c r="E381" s="124"/>
      <c r="F381" s="125"/>
      <c r="G381" s="189"/>
      <c r="H381" s="124"/>
      <c r="I381" s="124"/>
      <c r="J381" s="124"/>
      <c r="K381" s="102"/>
      <c r="L381" s="189"/>
      <c r="M381" s="124"/>
      <c r="N381" s="124"/>
      <c r="O381" s="124"/>
      <c r="P381" s="102"/>
      <c r="Q381" s="161"/>
      <c r="R381" s="124"/>
      <c r="S381" s="124"/>
      <c r="T381" s="124"/>
      <c r="U381" s="125"/>
      <c r="V381" s="189"/>
      <c r="W381" s="124"/>
      <c r="X381" s="124"/>
      <c r="Y381" s="124"/>
      <c r="Z381" s="125"/>
      <c r="AA381" s="189"/>
      <c r="AB381" s="124"/>
      <c r="AC381" s="124"/>
      <c r="AD381" s="124"/>
      <c r="AE381" s="125"/>
      <c r="AF381" s="189"/>
      <c r="AG381" s="124"/>
      <c r="AH381" s="124"/>
      <c r="AI381" s="124"/>
      <c r="AJ381" s="125"/>
      <c r="AK381" s="189"/>
      <c r="AL381" s="124"/>
      <c r="AM381" s="124"/>
      <c r="AN381" s="124"/>
      <c r="AO381" s="360"/>
      <c r="AP381" s="360"/>
      <c r="AQ381" s="360"/>
      <c r="AR381" s="360"/>
      <c r="AS381" s="360"/>
      <c r="AT381" s="360"/>
      <c r="AU381" s="360"/>
      <c r="AV381" s="360"/>
      <c r="AW381" s="360"/>
      <c r="AX381" s="360"/>
      <c r="AY381" s="360"/>
      <c r="AZ381" s="360"/>
      <c r="BA381" s="360"/>
      <c r="BB381" s="360"/>
      <c r="BC381" s="360"/>
    </row>
    <row r="382">
      <c r="A382" s="125"/>
      <c r="B382" s="189"/>
      <c r="C382" s="124"/>
      <c r="D382" s="124"/>
      <c r="E382" s="124"/>
      <c r="F382" s="125"/>
      <c r="G382" s="189"/>
      <c r="H382" s="124"/>
      <c r="I382" s="124"/>
      <c r="J382" s="124"/>
      <c r="K382" s="102"/>
      <c r="L382" s="189"/>
      <c r="M382" s="124"/>
      <c r="N382" s="124"/>
      <c r="O382" s="124"/>
      <c r="P382" s="102"/>
      <c r="Q382" s="161"/>
      <c r="R382" s="124"/>
      <c r="S382" s="124"/>
      <c r="T382" s="124"/>
      <c r="U382" s="125"/>
      <c r="V382" s="189"/>
      <c r="W382" s="124"/>
      <c r="X382" s="124"/>
      <c r="Y382" s="124"/>
      <c r="Z382" s="125"/>
      <c r="AA382" s="189"/>
      <c r="AB382" s="124"/>
      <c r="AC382" s="124"/>
      <c r="AD382" s="124"/>
      <c r="AE382" s="125"/>
      <c r="AF382" s="189"/>
      <c r="AG382" s="124"/>
      <c r="AH382" s="124"/>
      <c r="AI382" s="124"/>
      <c r="AJ382" s="125"/>
      <c r="AK382" s="189"/>
      <c r="AL382" s="124"/>
      <c r="AM382" s="124"/>
      <c r="AN382" s="124"/>
      <c r="AO382" s="360"/>
      <c r="AP382" s="360"/>
      <c r="AQ382" s="360"/>
      <c r="AR382" s="360"/>
      <c r="AS382" s="360"/>
      <c r="AT382" s="360"/>
      <c r="AU382" s="360"/>
      <c r="AV382" s="360"/>
      <c r="AW382" s="360"/>
      <c r="AX382" s="360"/>
      <c r="AY382" s="360"/>
      <c r="AZ382" s="360"/>
      <c r="BA382" s="360"/>
      <c r="BB382" s="360"/>
      <c r="BC382" s="360"/>
    </row>
    <row r="383">
      <c r="A383" s="125"/>
      <c r="B383" s="189"/>
      <c r="C383" s="124"/>
      <c r="D383" s="124"/>
      <c r="E383" s="124"/>
      <c r="F383" s="125"/>
      <c r="G383" s="189"/>
      <c r="H383" s="124"/>
      <c r="I383" s="124"/>
      <c r="J383" s="124"/>
      <c r="K383" s="102"/>
      <c r="L383" s="189"/>
      <c r="M383" s="124"/>
      <c r="N383" s="124"/>
      <c r="O383" s="124"/>
      <c r="P383" s="102"/>
      <c r="Q383" s="161"/>
      <c r="R383" s="124"/>
      <c r="S383" s="124"/>
      <c r="T383" s="124"/>
      <c r="U383" s="125"/>
      <c r="V383" s="189"/>
      <c r="W383" s="124"/>
      <c r="X383" s="124"/>
      <c r="Y383" s="124"/>
      <c r="Z383" s="125"/>
      <c r="AA383" s="189"/>
      <c r="AB383" s="124"/>
      <c r="AC383" s="124"/>
      <c r="AD383" s="124"/>
      <c r="AE383" s="125"/>
      <c r="AF383" s="189"/>
      <c r="AG383" s="124"/>
      <c r="AH383" s="124"/>
      <c r="AI383" s="124"/>
      <c r="AJ383" s="125"/>
      <c r="AK383" s="189"/>
      <c r="AL383" s="124"/>
      <c r="AM383" s="124"/>
      <c r="AN383" s="124"/>
      <c r="AO383" s="360"/>
      <c r="AP383" s="360"/>
      <c r="AQ383" s="360"/>
      <c r="AR383" s="360"/>
      <c r="AS383" s="360"/>
      <c r="AT383" s="360"/>
      <c r="AU383" s="360"/>
      <c r="AV383" s="360"/>
      <c r="AW383" s="360"/>
      <c r="AX383" s="360"/>
      <c r="AY383" s="360"/>
      <c r="AZ383" s="360"/>
      <c r="BA383" s="360"/>
      <c r="BB383" s="360"/>
      <c r="BC383" s="360"/>
    </row>
    <row r="384">
      <c r="A384" s="125"/>
      <c r="B384" s="189"/>
      <c r="C384" s="124"/>
      <c r="D384" s="124"/>
      <c r="E384" s="124"/>
      <c r="F384" s="125"/>
      <c r="G384" s="189"/>
      <c r="H384" s="124"/>
      <c r="I384" s="124"/>
      <c r="J384" s="124"/>
      <c r="K384" s="102"/>
      <c r="L384" s="189"/>
      <c r="M384" s="124"/>
      <c r="N384" s="124"/>
      <c r="O384" s="124"/>
      <c r="P384" s="102"/>
      <c r="Q384" s="161"/>
      <c r="R384" s="124"/>
      <c r="S384" s="124"/>
      <c r="T384" s="124"/>
      <c r="U384" s="125"/>
      <c r="V384" s="189"/>
      <c r="W384" s="124"/>
      <c r="X384" s="124"/>
      <c r="Y384" s="124"/>
      <c r="Z384" s="125"/>
      <c r="AA384" s="189"/>
      <c r="AB384" s="124"/>
      <c r="AC384" s="124"/>
      <c r="AD384" s="124"/>
      <c r="AE384" s="125"/>
      <c r="AF384" s="189"/>
      <c r="AG384" s="124"/>
      <c r="AH384" s="124"/>
      <c r="AI384" s="124"/>
      <c r="AJ384" s="125"/>
      <c r="AK384" s="189"/>
      <c r="AL384" s="124"/>
      <c r="AM384" s="124"/>
      <c r="AN384" s="124"/>
      <c r="AO384" s="360"/>
      <c r="AP384" s="360"/>
      <c r="AQ384" s="360"/>
      <c r="AR384" s="360"/>
      <c r="AS384" s="360"/>
      <c r="AT384" s="360"/>
      <c r="AU384" s="360"/>
      <c r="AV384" s="360"/>
      <c r="AW384" s="360"/>
      <c r="AX384" s="360"/>
      <c r="AY384" s="360"/>
      <c r="AZ384" s="360"/>
      <c r="BA384" s="360"/>
      <c r="BB384" s="360"/>
      <c r="BC384" s="360"/>
    </row>
    <row r="385">
      <c r="A385" s="125"/>
      <c r="B385" s="189"/>
      <c r="C385" s="124"/>
      <c r="D385" s="124"/>
      <c r="E385" s="124"/>
      <c r="F385" s="125"/>
      <c r="G385" s="189"/>
      <c r="H385" s="124"/>
      <c r="I385" s="124"/>
      <c r="J385" s="124"/>
      <c r="K385" s="102"/>
      <c r="L385" s="189"/>
      <c r="M385" s="124"/>
      <c r="N385" s="124"/>
      <c r="O385" s="124"/>
      <c r="P385" s="102"/>
      <c r="Q385" s="161"/>
      <c r="R385" s="124"/>
      <c r="S385" s="124"/>
      <c r="T385" s="124"/>
      <c r="U385" s="125"/>
      <c r="V385" s="189"/>
      <c r="W385" s="124"/>
      <c r="X385" s="124"/>
      <c r="Y385" s="124"/>
      <c r="Z385" s="125"/>
      <c r="AA385" s="189"/>
      <c r="AB385" s="124"/>
      <c r="AC385" s="124"/>
      <c r="AD385" s="124"/>
      <c r="AE385" s="125"/>
      <c r="AF385" s="189"/>
      <c r="AG385" s="124"/>
      <c r="AH385" s="124"/>
      <c r="AI385" s="124"/>
      <c r="AJ385" s="125"/>
      <c r="AK385" s="189"/>
      <c r="AL385" s="124"/>
      <c r="AM385" s="124"/>
      <c r="AN385" s="124"/>
      <c r="AO385" s="360"/>
      <c r="AP385" s="360"/>
      <c r="AQ385" s="360"/>
      <c r="AR385" s="360"/>
      <c r="AS385" s="360"/>
      <c r="AT385" s="360"/>
      <c r="AU385" s="360"/>
      <c r="AV385" s="360"/>
      <c r="AW385" s="360"/>
      <c r="AX385" s="360"/>
      <c r="AY385" s="360"/>
      <c r="AZ385" s="360"/>
      <c r="BA385" s="360"/>
      <c r="BB385" s="360"/>
      <c r="BC385" s="360"/>
    </row>
    <row r="386">
      <c r="A386" s="125"/>
      <c r="B386" s="189"/>
      <c r="C386" s="124"/>
      <c r="D386" s="124"/>
      <c r="E386" s="124"/>
      <c r="F386" s="125"/>
      <c r="G386" s="189"/>
      <c r="H386" s="124"/>
      <c r="I386" s="124"/>
      <c r="J386" s="124"/>
      <c r="K386" s="102"/>
      <c r="L386" s="189"/>
      <c r="M386" s="124"/>
      <c r="N386" s="124"/>
      <c r="O386" s="124"/>
      <c r="P386" s="102"/>
      <c r="Q386" s="161"/>
      <c r="R386" s="124"/>
      <c r="S386" s="124"/>
      <c r="T386" s="124"/>
      <c r="U386" s="125"/>
      <c r="V386" s="189"/>
      <c r="W386" s="124"/>
      <c r="X386" s="124"/>
      <c r="Y386" s="124"/>
      <c r="Z386" s="125"/>
      <c r="AA386" s="189"/>
      <c r="AB386" s="124"/>
      <c r="AC386" s="124"/>
      <c r="AD386" s="124"/>
      <c r="AE386" s="125"/>
      <c r="AF386" s="189"/>
      <c r="AG386" s="124"/>
      <c r="AH386" s="124"/>
      <c r="AI386" s="124"/>
      <c r="AJ386" s="125"/>
      <c r="AK386" s="189"/>
      <c r="AL386" s="124"/>
      <c r="AM386" s="124"/>
      <c r="AN386" s="124"/>
      <c r="AO386" s="360"/>
      <c r="AP386" s="360"/>
      <c r="AQ386" s="360"/>
      <c r="AR386" s="360"/>
      <c r="AS386" s="360"/>
      <c r="AT386" s="360"/>
      <c r="AU386" s="360"/>
      <c r="AV386" s="360"/>
      <c r="AW386" s="360"/>
      <c r="AX386" s="360"/>
      <c r="AY386" s="360"/>
      <c r="AZ386" s="360"/>
      <c r="BA386" s="360"/>
      <c r="BB386" s="360"/>
      <c r="BC386" s="360"/>
    </row>
    <row r="387">
      <c r="A387" s="125"/>
      <c r="B387" s="189"/>
      <c r="C387" s="124"/>
      <c r="D387" s="124"/>
      <c r="E387" s="124"/>
      <c r="F387" s="125"/>
      <c r="G387" s="189"/>
      <c r="H387" s="124"/>
      <c r="I387" s="124"/>
      <c r="J387" s="124"/>
      <c r="K387" s="102"/>
      <c r="L387" s="189"/>
      <c r="M387" s="124"/>
      <c r="N387" s="124"/>
      <c r="O387" s="124"/>
      <c r="P387" s="102"/>
      <c r="Q387" s="161"/>
      <c r="R387" s="124"/>
      <c r="S387" s="124"/>
      <c r="T387" s="124"/>
      <c r="U387" s="125"/>
      <c r="V387" s="189"/>
      <c r="W387" s="124"/>
      <c r="X387" s="124"/>
      <c r="Y387" s="124"/>
      <c r="Z387" s="125"/>
      <c r="AA387" s="189"/>
      <c r="AB387" s="124"/>
      <c r="AC387" s="124"/>
      <c r="AD387" s="124"/>
      <c r="AE387" s="125"/>
      <c r="AF387" s="189"/>
      <c r="AG387" s="124"/>
      <c r="AH387" s="124"/>
      <c r="AI387" s="124"/>
      <c r="AJ387" s="125"/>
      <c r="AK387" s="189"/>
      <c r="AL387" s="124"/>
      <c r="AM387" s="124"/>
      <c r="AN387" s="124"/>
      <c r="AO387" s="360"/>
      <c r="AP387" s="360"/>
      <c r="AQ387" s="360"/>
      <c r="AR387" s="360"/>
      <c r="AS387" s="360"/>
      <c r="AT387" s="360"/>
      <c r="AU387" s="360"/>
      <c r="AV387" s="360"/>
      <c r="AW387" s="360"/>
      <c r="AX387" s="360"/>
      <c r="AY387" s="360"/>
      <c r="AZ387" s="360"/>
      <c r="BA387" s="360"/>
      <c r="BB387" s="360"/>
      <c r="BC387" s="360"/>
    </row>
    <row r="388">
      <c r="A388" s="125"/>
      <c r="B388" s="189"/>
      <c r="C388" s="124"/>
      <c r="D388" s="124"/>
      <c r="E388" s="124"/>
      <c r="F388" s="125"/>
      <c r="G388" s="189"/>
      <c r="H388" s="124"/>
      <c r="I388" s="124"/>
      <c r="J388" s="124"/>
      <c r="K388" s="102"/>
      <c r="L388" s="189"/>
      <c r="M388" s="124"/>
      <c r="N388" s="124"/>
      <c r="O388" s="124"/>
      <c r="P388" s="102"/>
      <c r="Q388" s="161"/>
      <c r="R388" s="124"/>
      <c r="S388" s="124"/>
      <c r="T388" s="124"/>
      <c r="U388" s="125"/>
      <c r="V388" s="189"/>
      <c r="W388" s="124"/>
      <c r="X388" s="124"/>
      <c r="Y388" s="124"/>
      <c r="Z388" s="125"/>
      <c r="AA388" s="189"/>
      <c r="AB388" s="124"/>
      <c r="AC388" s="124"/>
      <c r="AD388" s="124"/>
      <c r="AE388" s="125"/>
      <c r="AF388" s="189"/>
      <c r="AG388" s="124"/>
      <c r="AH388" s="124"/>
      <c r="AI388" s="124"/>
      <c r="AJ388" s="125"/>
      <c r="AK388" s="189"/>
      <c r="AL388" s="124"/>
      <c r="AM388" s="124"/>
      <c r="AN388" s="124"/>
      <c r="AO388" s="360"/>
      <c r="AP388" s="360"/>
      <c r="AQ388" s="360"/>
      <c r="AR388" s="360"/>
      <c r="AS388" s="360"/>
      <c r="AT388" s="360"/>
      <c r="AU388" s="360"/>
      <c r="AV388" s="360"/>
      <c r="AW388" s="360"/>
      <c r="AX388" s="360"/>
      <c r="AY388" s="360"/>
      <c r="AZ388" s="360"/>
      <c r="BA388" s="360"/>
      <c r="BB388" s="360"/>
      <c r="BC388" s="360"/>
    </row>
    <row r="389">
      <c r="A389" s="125"/>
      <c r="B389" s="189"/>
      <c r="C389" s="124"/>
      <c r="D389" s="124"/>
      <c r="E389" s="124"/>
      <c r="F389" s="125"/>
      <c r="G389" s="189"/>
      <c r="H389" s="124"/>
      <c r="I389" s="124"/>
      <c r="J389" s="124"/>
      <c r="K389" s="102"/>
      <c r="L389" s="189"/>
      <c r="M389" s="124"/>
      <c r="N389" s="124"/>
      <c r="O389" s="124"/>
      <c r="P389" s="102"/>
      <c r="Q389" s="161"/>
      <c r="R389" s="124"/>
      <c r="S389" s="124"/>
      <c r="T389" s="124"/>
      <c r="U389" s="125"/>
      <c r="V389" s="189"/>
      <c r="W389" s="124"/>
      <c r="X389" s="124"/>
      <c r="Y389" s="124"/>
      <c r="Z389" s="125"/>
      <c r="AA389" s="189"/>
      <c r="AB389" s="124"/>
      <c r="AC389" s="124"/>
      <c r="AD389" s="124"/>
      <c r="AE389" s="125"/>
      <c r="AF389" s="189"/>
      <c r="AG389" s="124"/>
      <c r="AH389" s="124"/>
      <c r="AI389" s="124"/>
      <c r="AJ389" s="125"/>
      <c r="AK389" s="189"/>
      <c r="AL389" s="124"/>
      <c r="AM389" s="124"/>
      <c r="AN389" s="124"/>
      <c r="AO389" s="360"/>
      <c r="AP389" s="360"/>
      <c r="AQ389" s="360"/>
      <c r="AR389" s="360"/>
      <c r="AS389" s="360"/>
      <c r="AT389" s="360"/>
      <c r="AU389" s="360"/>
      <c r="AV389" s="360"/>
      <c r="AW389" s="360"/>
      <c r="AX389" s="360"/>
      <c r="AY389" s="360"/>
      <c r="AZ389" s="360"/>
      <c r="BA389" s="360"/>
      <c r="BB389" s="360"/>
      <c r="BC389" s="360"/>
    </row>
    <row r="390">
      <c r="A390" s="125"/>
      <c r="B390" s="189"/>
      <c r="C390" s="124"/>
      <c r="D390" s="124"/>
      <c r="E390" s="124"/>
      <c r="F390" s="125"/>
      <c r="G390" s="189"/>
      <c r="H390" s="124"/>
      <c r="I390" s="124"/>
      <c r="J390" s="124"/>
      <c r="K390" s="102"/>
      <c r="L390" s="189"/>
      <c r="M390" s="124"/>
      <c r="N390" s="124"/>
      <c r="O390" s="124"/>
      <c r="P390" s="102"/>
      <c r="Q390" s="161"/>
      <c r="R390" s="124"/>
      <c r="S390" s="124"/>
      <c r="T390" s="124"/>
      <c r="U390" s="125"/>
      <c r="V390" s="189"/>
      <c r="W390" s="124"/>
      <c r="X390" s="124"/>
      <c r="Y390" s="124"/>
      <c r="Z390" s="125"/>
      <c r="AA390" s="189"/>
      <c r="AB390" s="124"/>
      <c r="AC390" s="124"/>
      <c r="AD390" s="124"/>
      <c r="AE390" s="125"/>
      <c r="AF390" s="189"/>
      <c r="AG390" s="124"/>
      <c r="AH390" s="124"/>
      <c r="AI390" s="124"/>
      <c r="AJ390" s="125"/>
      <c r="AK390" s="189"/>
      <c r="AL390" s="124"/>
      <c r="AM390" s="124"/>
      <c r="AN390" s="124"/>
      <c r="AO390" s="360"/>
      <c r="AP390" s="360"/>
      <c r="AQ390" s="360"/>
      <c r="AR390" s="360"/>
      <c r="AS390" s="360"/>
      <c r="AT390" s="360"/>
      <c r="AU390" s="360"/>
      <c r="AV390" s="360"/>
      <c r="AW390" s="360"/>
      <c r="AX390" s="360"/>
      <c r="AY390" s="360"/>
      <c r="AZ390" s="360"/>
      <c r="BA390" s="360"/>
      <c r="BB390" s="360"/>
      <c r="BC390" s="360"/>
    </row>
    <row r="391">
      <c r="A391" s="125"/>
      <c r="B391" s="189"/>
      <c r="C391" s="124"/>
      <c r="D391" s="124"/>
      <c r="E391" s="124"/>
      <c r="F391" s="125"/>
      <c r="G391" s="189"/>
      <c r="H391" s="124"/>
      <c r="I391" s="124"/>
      <c r="J391" s="124"/>
      <c r="K391" s="102"/>
      <c r="L391" s="189"/>
      <c r="M391" s="124"/>
      <c r="N391" s="124"/>
      <c r="O391" s="124"/>
      <c r="P391" s="102"/>
      <c r="Q391" s="161"/>
      <c r="R391" s="124"/>
      <c r="S391" s="124"/>
      <c r="T391" s="124"/>
      <c r="U391" s="125"/>
      <c r="V391" s="189"/>
      <c r="W391" s="124"/>
      <c r="X391" s="124"/>
      <c r="Y391" s="124"/>
      <c r="Z391" s="125"/>
      <c r="AA391" s="189"/>
      <c r="AB391" s="124"/>
      <c r="AC391" s="124"/>
      <c r="AD391" s="124"/>
      <c r="AE391" s="125"/>
      <c r="AF391" s="189"/>
      <c r="AG391" s="124"/>
      <c r="AH391" s="124"/>
      <c r="AI391" s="124"/>
      <c r="AJ391" s="125"/>
      <c r="AK391" s="189"/>
      <c r="AL391" s="124"/>
      <c r="AM391" s="124"/>
      <c r="AN391" s="124"/>
      <c r="AO391" s="360"/>
      <c r="AP391" s="360"/>
      <c r="AQ391" s="360"/>
      <c r="AR391" s="360"/>
      <c r="AS391" s="360"/>
      <c r="AT391" s="360"/>
      <c r="AU391" s="360"/>
      <c r="AV391" s="360"/>
      <c r="AW391" s="360"/>
      <c r="AX391" s="360"/>
      <c r="AY391" s="360"/>
      <c r="AZ391" s="360"/>
      <c r="BA391" s="360"/>
      <c r="BB391" s="360"/>
      <c r="BC391" s="360"/>
    </row>
    <row r="392">
      <c r="A392" s="125"/>
      <c r="B392" s="189"/>
      <c r="C392" s="124"/>
      <c r="D392" s="124"/>
      <c r="E392" s="124"/>
      <c r="F392" s="125"/>
      <c r="G392" s="189"/>
      <c r="H392" s="124"/>
      <c r="I392" s="124"/>
      <c r="J392" s="124"/>
      <c r="K392" s="102"/>
      <c r="L392" s="189"/>
      <c r="M392" s="124"/>
      <c r="N392" s="124"/>
      <c r="O392" s="124"/>
      <c r="P392" s="102"/>
      <c r="Q392" s="161"/>
      <c r="R392" s="124"/>
      <c r="S392" s="124"/>
      <c r="T392" s="124"/>
      <c r="U392" s="125"/>
      <c r="V392" s="189"/>
      <c r="W392" s="124"/>
      <c r="X392" s="124"/>
      <c r="Y392" s="124"/>
      <c r="Z392" s="125"/>
      <c r="AA392" s="189"/>
      <c r="AB392" s="124"/>
      <c r="AC392" s="124"/>
      <c r="AD392" s="124"/>
      <c r="AE392" s="125"/>
      <c r="AF392" s="189"/>
      <c r="AG392" s="124"/>
      <c r="AH392" s="124"/>
      <c r="AI392" s="124"/>
      <c r="AJ392" s="125"/>
      <c r="AK392" s="189"/>
      <c r="AL392" s="124"/>
      <c r="AM392" s="124"/>
      <c r="AN392" s="124"/>
      <c r="AO392" s="360"/>
      <c r="AP392" s="360"/>
      <c r="AQ392" s="360"/>
      <c r="AR392" s="360"/>
      <c r="AS392" s="360"/>
      <c r="AT392" s="360"/>
      <c r="AU392" s="360"/>
      <c r="AV392" s="360"/>
      <c r="AW392" s="360"/>
      <c r="AX392" s="360"/>
      <c r="AY392" s="360"/>
      <c r="AZ392" s="360"/>
      <c r="BA392" s="360"/>
      <c r="BB392" s="360"/>
      <c r="BC392" s="360"/>
    </row>
    <row r="393">
      <c r="A393" s="125"/>
      <c r="B393" s="189"/>
      <c r="C393" s="124"/>
      <c r="D393" s="124"/>
      <c r="E393" s="124"/>
      <c r="F393" s="125"/>
      <c r="G393" s="189"/>
      <c r="H393" s="124"/>
      <c r="I393" s="124"/>
      <c r="J393" s="124"/>
      <c r="K393" s="102"/>
      <c r="L393" s="189"/>
      <c r="M393" s="124"/>
      <c r="N393" s="124"/>
      <c r="O393" s="124"/>
      <c r="P393" s="102"/>
      <c r="Q393" s="161"/>
      <c r="R393" s="124"/>
      <c r="S393" s="124"/>
      <c r="T393" s="124"/>
      <c r="U393" s="125"/>
      <c r="V393" s="189"/>
      <c r="W393" s="124"/>
      <c r="X393" s="124"/>
      <c r="Y393" s="124"/>
      <c r="Z393" s="125"/>
      <c r="AA393" s="189"/>
      <c r="AB393" s="124"/>
      <c r="AC393" s="124"/>
      <c r="AD393" s="124"/>
      <c r="AE393" s="125"/>
      <c r="AF393" s="189"/>
      <c r="AG393" s="124"/>
      <c r="AH393" s="124"/>
      <c r="AI393" s="124"/>
      <c r="AJ393" s="125"/>
      <c r="AK393" s="189"/>
      <c r="AL393" s="124"/>
      <c r="AM393" s="124"/>
      <c r="AN393" s="124"/>
      <c r="AO393" s="360"/>
      <c r="AP393" s="360"/>
      <c r="AQ393" s="360"/>
      <c r="AR393" s="360"/>
      <c r="AS393" s="360"/>
      <c r="AT393" s="360"/>
      <c r="AU393" s="360"/>
      <c r="AV393" s="360"/>
      <c r="AW393" s="360"/>
      <c r="AX393" s="360"/>
      <c r="AY393" s="360"/>
      <c r="AZ393" s="360"/>
      <c r="BA393" s="360"/>
      <c r="BB393" s="360"/>
      <c r="BC393" s="360"/>
    </row>
    <row r="394">
      <c r="A394" s="125"/>
      <c r="B394" s="189"/>
      <c r="C394" s="124"/>
      <c r="D394" s="124"/>
      <c r="E394" s="124"/>
      <c r="F394" s="125"/>
      <c r="G394" s="189"/>
      <c r="H394" s="124"/>
      <c r="I394" s="124"/>
      <c r="J394" s="124"/>
      <c r="K394" s="102"/>
      <c r="L394" s="189"/>
      <c r="M394" s="124"/>
      <c r="N394" s="124"/>
      <c r="O394" s="124"/>
      <c r="P394" s="102"/>
      <c r="Q394" s="161"/>
      <c r="R394" s="124"/>
      <c r="S394" s="124"/>
      <c r="T394" s="124"/>
      <c r="U394" s="125"/>
      <c r="V394" s="189"/>
      <c r="W394" s="124"/>
      <c r="X394" s="124"/>
      <c r="Y394" s="124"/>
      <c r="Z394" s="125"/>
      <c r="AA394" s="189"/>
      <c r="AB394" s="124"/>
      <c r="AC394" s="124"/>
      <c r="AD394" s="124"/>
      <c r="AE394" s="125"/>
      <c r="AF394" s="189"/>
      <c r="AG394" s="124"/>
      <c r="AH394" s="124"/>
      <c r="AI394" s="124"/>
      <c r="AJ394" s="125"/>
      <c r="AK394" s="189"/>
      <c r="AL394" s="124"/>
      <c r="AM394" s="124"/>
      <c r="AN394" s="124"/>
      <c r="AO394" s="360"/>
      <c r="AP394" s="360"/>
      <c r="AQ394" s="360"/>
      <c r="AR394" s="360"/>
      <c r="AS394" s="360"/>
      <c r="AT394" s="360"/>
      <c r="AU394" s="360"/>
      <c r="AV394" s="360"/>
      <c r="AW394" s="360"/>
      <c r="AX394" s="360"/>
      <c r="AY394" s="360"/>
      <c r="AZ394" s="360"/>
      <c r="BA394" s="360"/>
      <c r="BB394" s="360"/>
      <c r="BC394" s="360"/>
    </row>
    <row r="395">
      <c r="A395" s="125"/>
      <c r="B395" s="189"/>
      <c r="C395" s="124"/>
      <c r="D395" s="124"/>
      <c r="E395" s="124"/>
      <c r="F395" s="125"/>
      <c r="G395" s="189"/>
      <c r="H395" s="124"/>
      <c r="I395" s="124"/>
      <c r="J395" s="124"/>
      <c r="K395" s="102"/>
      <c r="L395" s="189"/>
      <c r="M395" s="124"/>
      <c r="N395" s="124"/>
      <c r="O395" s="124"/>
      <c r="P395" s="102"/>
      <c r="Q395" s="161"/>
      <c r="R395" s="124"/>
      <c r="S395" s="124"/>
      <c r="T395" s="124"/>
      <c r="U395" s="125"/>
      <c r="V395" s="189"/>
      <c r="W395" s="124"/>
      <c r="X395" s="124"/>
      <c r="Y395" s="124"/>
      <c r="Z395" s="125"/>
      <c r="AA395" s="189"/>
      <c r="AB395" s="124"/>
      <c r="AC395" s="124"/>
      <c r="AD395" s="124"/>
      <c r="AE395" s="125"/>
      <c r="AF395" s="189"/>
      <c r="AG395" s="124"/>
      <c r="AH395" s="124"/>
      <c r="AI395" s="124"/>
      <c r="AJ395" s="125"/>
      <c r="AK395" s="189"/>
      <c r="AL395" s="124"/>
      <c r="AM395" s="124"/>
      <c r="AN395" s="124"/>
      <c r="AO395" s="360"/>
      <c r="AP395" s="360"/>
      <c r="AQ395" s="360"/>
      <c r="AR395" s="360"/>
      <c r="AS395" s="360"/>
      <c r="AT395" s="360"/>
      <c r="AU395" s="360"/>
      <c r="AV395" s="360"/>
      <c r="AW395" s="360"/>
      <c r="AX395" s="360"/>
      <c r="AY395" s="360"/>
      <c r="AZ395" s="360"/>
      <c r="BA395" s="360"/>
      <c r="BB395" s="360"/>
      <c r="BC395" s="360"/>
    </row>
    <row r="396">
      <c r="A396" s="125"/>
      <c r="B396" s="189"/>
      <c r="C396" s="124"/>
      <c r="D396" s="124"/>
      <c r="E396" s="124"/>
      <c r="F396" s="125"/>
      <c r="G396" s="189"/>
      <c r="H396" s="124"/>
      <c r="I396" s="124"/>
      <c r="J396" s="124"/>
      <c r="K396" s="102"/>
      <c r="L396" s="189"/>
      <c r="M396" s="124"/>
      <c r="N396" s="124"/>
      <c r="O396" s="124"/>
      <c r="P396" s="102"/>
      <c r="Q396" s="161"/>
      <c r="R396" s="124"/>
      <c r="S396" s="124"/>
      <c r="T396" s="124"/>
      <c r="U396" s="125"/>
      <c r="V396" s="189"/>
      <c r="W396" s="124"/>
      <c r="X396" s="124"/>
      <c r="Y396" s="124"/>
      <c r="Z396" s="125"/>
      <c r="AA396" s="189"/>
      <c r="AB396" s="124"/>
      <c r="AC396" s="124"/>
      <c r="AD396" s="124"/>
      <c r="AE396" s="125"/>
      <c r="AF396" s="189"/>
      <c r="AG396" s="124"/>
      <c r="AH396" s="124"/>
      <c r="AI396" s="124"/>
      <c r="AJ396" s="125"/>
      <c r="AK396" s="189"/>
      <c r="AL396" s="124"/>
      <c r="AM396" s="124"/>
      <c r="AN396" s="124"/>
      <c r="AO396" s="360"/>
      <c r="AP396" s="360"/>
      <c r="AQ396" s="360"/>
      <c r="AR396" s="360"/>
      <c r="AS396" s="360"/>
      <c r="AT396" s="360"/>
      <c r="AU396" s="360"/>
      <c r="AV396" s="360"/>
      <c r="AW396" s="360"/>
      <c r="AX396" s="360"/>
      <c r="AY396" s="360"/>
      <c r="AZ396" s="360"/>
      <c r="BA396" s="360"/>
      <c r="BB396" s="360"/>
      <c r="BC396" s="360"/>
    </row>
    <row r="397">
      <c r="A397" s="125"/>
      <c r="B397" s="189"/>
      <c r="C397" s="124"/>
      <c r="D397" s="124"/>
      <c r="E397" s="124"/>
      <c r="F397" s="125"/>
      <c r="G397" s="189"/>
      <c r="H397" s="124"/>
      <c r="I397" s="124"/>
      <c r="J397" s="124"/>
      <c r="K397" s="102"/>
      <c r="L397" s="189"/>
      <c r="M397" s="124"/>
      <c r="N397" s="124"/>
      <c r="O397" s="124"/>
      <c r="P397" s="102"/>
      <c r="Q397" s="161"/>
      <c r="R397" s="124"/>
      <c r="S397" s="124"/>
      <c r="T397" s="124"/>
      <c r="U397" s="125"/>
      <c r="V397" s="189"/>
      <c r="W397" s="124"/>
      <c r="X397" s="124"/>
      <c r="Y397" s="124"/>
      <c r="Z397" s="125"/>
      <c r="AA397" s="189"/>
      <c r="AB397" s="124"/>
      <c r="AC397" s="124"/>
      <c r="AD397" s="124"/>
      <c r="AE397" s="125"/>
      <c r="AF397" s="189"/>
      <c r="AG397" s="124"/>
      <c r="AH397" s="124"/>
      <c r="AI397" s="124"/>
      <c r="AJ397" s="125"/>
      <c r="AK397" s="189"/>
      <c r="AL397" s="124"/>
      <c r="AM397" s="124"/>
      <c r="AN397" s="124"/>
      <c r="AO397" s="360"/>
      <c r="AP397" s="360"/>
      <c r="AQ397" s="360"/>
      <c r="AR397" s="360"/>
      <c r="AS397" s="360"/>
      <c r="AT397" s="360"/>
      <c r="AU397" s="360"/>
      <c r="AV397" s="360"/>
      <c r="AW397" s="360"/>
      <c r="AX397" s="360"/>
      <c r="AY397" s="360"/>
      <c r="AZ397" s="360"/>
      <c r="BA397" s="360"/>
      <c r="BB397" s="360"/>
      <c r="BC397" s="360"/>
    </row>
    <row r="398">
      <c r="A398" s="125"/>
      <c r="B398" s="189"/>
      <c r="C398" s="124"/>
      <c r="D398" s="124"/>
      <c r="E398" s="124"/>
      <c r="F398" s="125"/>
      <c r="G398" s="189"/>
      <c r="H398" s="124"/>
      <c r="I398" s="124"/>
      <c r="J398" s="124"/>
      <c r="K398" s="102"/>
      <c r="L398" s="189"/>
      <c r="M398" s="124"/>
      <c r="N398" s="124"/>
      <c r="O398" s="124"/>
      <c r="P398" s="102"/>
      <c r="Q398" s="161"/>
      <c r="R398" s="124"/>
      <c r="S398" s="124"/>
      <c r="T398" s="124"/>
      <c r="U398" s="125"/>
      <c r="V398" s="189"/>
      <c r="W398" s="124"/>
      <c r="X398" s="124"/>
      <c r="Y398" s="124"/>
      <c r="Z398" s="125"/>
      <c r="AA398" s="189"/>
      <c r="AB398" s="124"/>
      <c r="AC398" s="124"/>
      <c r="AD398" s="124"/>
      <c r="AE398" s="125"/>
      <c r="AF398" s="189"/>
      <c r="AG398" s="124"/>
      <c r="AH398" s="124"/>
      <c r="AI398" s="124"/>
      <c r="AJ398" s="125"/>
      <c r="AK398" s="189"/>
      <c r="AL398" s="124"/>
      <c r="AM398" s="124"/>
      <c r="AN398" s="124"/>
      <c r="AO398" s="360"/>
      <c r="AP398" s="360"/>
      <c r="AQ398" s="360"/>
      <c r="AR398" s="360"/>
      <c r="AS398" s="360"/>
      <c r="AT398" s="360"/>
      <c r="AU398" s="360"/>
      <c r="AV398" s="360"/>
      <c r="AW398" s="360"/>
      <c r="AX398" s="360"/>
      <c r="AY398" s="360"/>
      <c r="AZ398" s="360"/>
      <c r="BA398" s="360"/>
      <c r="BB398" s="360"/>
      <c r="BC398" s="360"/>
    </row>
    <row r="399">
      <c r="A399" s="125"/>
      <c r="B399" s="189"/>
      <c r="C399" s="124"/>
      <c r="D399" s="124"/>
      <c r="E399" s="124"/>
      <c r="F399" s="125"/>
      <c r="G399" s="189"/>
      <c r="H399" s="124"/>
      <c r="I399" s="124"/>
      <c r="J399" s="124"/>
      <c r="K399" s="102"/>
      <c r="L399" s="189"/>
      <c r="M399" s="124"/>
      <c r="N399" s="124"/>
      <c r="O399" s="124"/>
      <c r="P399" s="102"/>
      <c r="Q399" s="161"/>
      <c r="R399" s="124"/>
      <c r="S399" s="124"/>
      <c r="T399" s="124"/>
      <c r="U399" s="125"/>
      <c r="V399" s="189"/>
      <c r="W399" s="124"/>
      <c r="X399" s="124"/>
      <c r="Y399" s="124"/>
      <c r="Z399" s="125"/>
      <c r="AA399" s="189"/>
      <c r="AB399" s="124"/>
      <c r="AC399" s="124"/>
      <c r="AD399" s="124"/>
      <c r="AE399" s="125"/>
      <c r="AF399" s="189"/>
      <c r="AG399" s="124"/>
      <c r="AH399" s="124"/>
      <c r="AI399" s="124"/>
      <c r="AJ399" s="125"/>
      <c r="AK399" s="189"/>
      <c r="AL399" s="124"/>
      <c r="AM399" s="124"/>
      <c r="AN399" s="124"/>
      <c r="AO399" s="360"/>
      <c r="AP399" s="360"/>
      <c r="AQ399" s="360"/>
      <c r="AR399" s="360"/>
      <c r="AS399" s="360"/>
      <c r="AT399" s="360"/>
      <c r="AU399" s="360"/>
      <c r="AV399" s="360"/>
      <c r="AW399" s="360"/>
      <c r="AX399" s="360"/>
      <c r="AY399" s="360"/>
      <c r="AZ399" s="360"/>
      <c r="BA399" s="360"/>
      <c r="BB399" s="360"/>
      <c r="BC399" s="360"/>
    </row>
    <row r="400">
      <c r="A400" s="125"/>
      <c r="B400" s="189"/>
      <c r="C400" s="124"/>
      <c r="D400" s="124"/>
      <c r="E400" s="124"/>
      <c r="F400" s="125"/>
      <c r="G400" s="189"/>
      <c r="H400" s="124"/>
      <c r="I400" s="124"/>
      <c r="J400" s="124"/>
      <c r="K400" s="102"/>
      <c r="L400" s="189"/>
      <c r="M400" s="124"/>
      <c r="N400" s="124"/>
      <c r="O400" s="124"/>
      <c r="P400" s="102"/>
      <c r="Q400" s="161"/>
      <c r="R400" s="124"/>
      <c r="S400" s="124"/>
      <c r="T400" s="124"/>
      <c r="U400" s="125"/>
      <c r="V400" s="189"/>
      <c r="W400" s="124"/>
      <c r="X400" s="124"/>
      <c r="Y400" s="124"/>
      <c r="Z400" s="125"/>
      <c r="AA400" s="189"/>
      <c r="AB400" s="124"/>
      <c r="AC400" s="124"/>
      <c r="AD400" s="124"/>
      <c r="AE400" s="125"/>
      <c r="AF400" s="189"/>
      <c r="AG400" s="124"/>
      <c r="AH400" s="124"/>
      <c r="AI400" s="124"/>
      <c r="AJ400" s="125"/>
      <c r="AK400" s="189"/>
      <c r="AL400" s="124"/>
      <c r="AM400" s="124"/>
      <c r="AN400" s="124"/>
      <c r="AO400" s="360"/>
      <c r="AP400" s="360"/>
      <c r="AQ400" s="360"/>
      <c r="AR400" s="360"/>
      <c r="AS400" s="360"/>
      <c r="AT400" s="360"/>
      <c r="AU400" s="360"/>
      <c r="AV400" s="360"/>
      <c r="AW400" s="360"/>
      <c r="AX400" s="360"/>
      <c r="AY400" s="360"/>
      <c r="AZ400" s="360"/>
      <c r="BA400" s="360"/>
      <c r="BB400" s="360"/>
      <c r="BC400" s="360"/>
    </row>
    <row r="401">
      <c r="A401" s="125"/>
      <c r="B401" s="189"/>
      <c r="C401" s="124"/>
      <c r="D401" s="124"/>
      <c r="E401" s="124"/>
      <c r="F401" s="125"/>
      <c r="G401" s="189"/>
      <c r="H401" s="124"/>
      <c r="I401" s="124"/>
      <c r="J401" s="124"/>
      <c r="K401" s="102"/>
      <c r="L401" s="189"/>
      <c r="M401" s="124"/>
      <c r="N401" s="124"/>
      <c r="O401" s="124"/>
      <c r="P401" s="102"/>
      <c r="Q401" s="161"/>
      <c r="R401" s="124"/>
      <c r="S401" s="124"/>
      <c r="T401" s="124"/>
      <c r="U401" s="125"/>
      <c r="V401" s="189"/>
      <c r="W401" s="124"/>
      <c r="X401" s="124"/>
      <c r="Y401" s="124"/>
      <c r="Z401" s="125"/>
      <c r="AA401" s="189"/>
      <c r="AB401" s="124"/>
      <c r="AC401" s="124"/>
      <c r="AD401" s="124"/>
      <c r="AE401" s="125"/>
      <c r="AF401" s="189"/>
      <c r="AG401" s="124"/>
      <c r="AH401" s="124"/>
      <c r="AI401" s="124"/>
      <c r="AJ401" s="125"/>
      <c r="AK401" s="189"/>
      <c r="AL401" s="124"/>
      <c r="AM401" s="124"/>
      <c r="AN401" s="124"/>
      <c r="AO401" s="360"/>
      <c r="AP401" s="360"/>
      <c r="AQ401" s="360"/>
      <c r="AR401" s="360"/>
      <c r="AS401" s="360"/>
      <c r="AT401" s="360"/>
      <c r="AU401" s="360"/>
      <c r="AV401" s="360"/>
      <c r="AW401" s="360"/>
      <c r="AX401" s="360"/>
      <c r="AY401" s="360"/>
      <c r="AZ401" s="360"/>
      <c r="BA401" s="360"/>
      <c r="BB401" s="360"/>
      <c r="BC401" s="360"/>
    </row>
    <row r="402">
      <c r="A402" s="125"/>
      <c r="B402" s="189"/>
      <c r="C402" s="124"/>
      <c r="D402" s="124"/>
      <c r="E402" s="124"/>
      <c r="F402" s="125"/>
      <c r="G402" s="189"/>
      <c r="H402" s="124"/>
      <c r="I402" s="124"/>
      <c r="J402" s="124"/>
      <c r="K402" s="102"/>
      <c r="L402" s="189"/>
      <c r="M402" s="124"/>
      <c r="N402" s="124"/>
      <c r="O402" s="124"/>
      <c r="P402" s="102"/>
      <c r="Q402" s="161"/>
      <c r="R402" s="124"/>
      <c r="S402" s="124"/>
      <c r="T402" s="124"/>
      <c r="U402" s="125"/>
      <c r="V402" s="189"/>
      <c r="W402" s="124"/>
      <c r="X402" s="124"/>
      <c r="Y402" s="124"/>
      <c r="Z402" s="125"/>
      <c r="AA402" s="189"/>
      <c r="AB402" s="124"/>
      <c r="AC402" s="124"/>
      <c r="AD402" s="124"/>
      <c r="AE402" s="125"/>
      <c r="AF402" s="189"/>
      <c r="AG402" s="124"/>
      <c r="AH402" s="124"/>
      <c r="AI402" s="124"/>
      <c r="AJ402" s="125"/>
      <c r="AK402" s="189"/>
      <c r="AL402" s="124"/>
      <c r="AM402" s="124"/>
      <c r="AN402" s="124"/>
      <c r="AO402" s="360"/>
      <c r="AP402" s="360"/>
      <c r="AQ402" s="360"/>
      <c r="AR402" s="360"/>
      <c r="AS402" s="360"/>
      <c r="AT402" s="360"/>
      <c r="AU402" s="360"/>
      <c r="AV402" s="360"/>
      <c r="AW402" s="360"/>
      <c r="AX402" s="360"/>
      <c r="AY402" s="360"/>
      <c r="AZ402" s="360"/>
      <c r="BA402" s="360"/>
      <c r="BB402" s="360"/>
      <c r="BC402" s="360"/>
    </row>
    <row r="403">
      <c r="A403" s="125"/>
      <c r="B403" s="189"/>
      <c r="C403" s="124"/>
      <c r="D403" s="124"/>
      <c r="E403" s="124"/>
      <c r="F403" s="125"/>
      <c r="G403" s="189"/>
      <c r="H403" s="124"/>
      <c r="I403" s="124"/>
      <c r="J403" s="124"/>
      <c r="K403" s="102"/>
      <c r="L403" s="189"/>
      <c r="M403" s="124"/>
      <c r="N403" s="124"/>
      <c r="O403" s="124"/>
      <c r="P403" s="102"/>
      <c r="Q403" s="161"/>
      <c r="R403" s="124"/>
      <c r="S403" s="124"/>
      <c r="T403" s="124"/>
      <c r="U403" s="125"/>
      <c r="V403" s="189"/>
      <c r="W403" s="124"/>
      <c r="X403" s="124"/>
      <c r="Y403" s="124"/>
      <c r="Z403" s="125"/>
      <c r="AA403" s="189"/>
      <c r="AB403" s="124"/>
      <c r="AC403" s="124"/>
      <c r="AD403" s="124"/>
      <c r="AE403" s="125"/>
      <c r="AF403" s="189"/>
      <c r="AG403" s="124"/>
      <c r="AH403" s="124"/>
      <c r="AI403" s="124"/>
      <c r="AJ403" s="125"/>
      <c r="AK403" s="189"/>
      <c r="AL403" s="124"/>
      <c r="AM403" s="124"/>
      <c r="AN403" s="124"/>
      <c r="AO403" s="360"/>
      <c r="AP403" s="360"/>
      <c r="AQ403" s="360"/>
      <c r="AR403" s="360"/>
      <c r="AS403" s="360"/>
      <c r="AT403" s="360"/>
      <c r="AU403" s="360"/>
      <c r="AV403" s="360"/>
      <c r="AW403" s="360"/>
      <c r="AX403" s="360"/>
      <c r="AY403" s="360"/>
      <c r="AZ403" s="360"/>
      <c r="BA403" s="360"/>
      <c r="BB403" s="360"/>
      <c r="BC403" s="360"/>
    </row>
    <row r="404">
      <c r="A404" s="125"/>
      <c r="B404" s="189"/>
      <c r="C404" s="124"/>
      <c r="D404" s="124"/>
      <c r="E404" s="124"/>
      <c r="F404" s="125"/>
      <c r="G404" s="189"/>
      <c r="H404" s="124"/>
      <c r="I404" s="124"/>
      <c r="J404" s="124"/>
      <c r="K404" s="102"/>
      <c r="L404" s="189"/>
      <c r="M404" s="124"/>
      <c r="N404" s="124"/>
      <c r="O404" s="124"/>
      <c r="P404" s="102"/>
      <c r="Q404" s="161"/>
      <c r="R404" s="124"/>
      <c r="S404" s="124"/>
      <c r="T404" s="124"/>
      <c r="U404" s="125"/>
      <c r="V404" s="189"/>
      <c r="W404" s="124"/>
      <c r="X404" s="124"/>
      <c r="Y404" s="124"/>
      <c r="Z404" s="125"/>
      <c r="AA404" s="189"/>
      <c r="AB404" s="124"/>
      <c r="AC404" s="124"/>
      <c r="AD404" s="124"/>
      <c r="AE404" s="125"/>
      <c r="AF404" s="189"/>
      <c r="AG404" s="124"/>
      <c r="AH404" s="124"/>
      <c r="AI404" s="124"/>
      <c r="AJ404" s="125"/>
      <c r="AK404" s="189"/>
      <c r="AL404" s="124"/>
      <c r="AM404" s="124"/>
      <c r="AN404" s="124"/>
      <c r="AO404" s="360"/>
      <c r="AP404" s="360"/>
      <c r="AQ404" s="360"/>
      <c r="AR404" s="360"/>
      <c r="AS404" s="360"/>
      <c r="AT404" s="360"/>
      <c r="AU404" s="360"/>
      <c r="AV404" s="360"/>
      <c r="AW404" s="360"/>
      <c r="AX404" s="360"/>
      <c r="AY404" s="360"/>
      <c r="AZ404" s="360"/>
      <c r="BA404" s="360"/>
      <c r="BB404" s="360"/>
      <c r="BC404" s="360"/>
    </row>
    <row r="405">
      <c r="A405" s="125"/>
      <c r="B405" s="189"/>
      <c r="C405" s="124"/>
      <c r="D405" s="124"/>
      <c r="E405" s="124"/>
      <c r="F405" s="125"/>
      <c r="G405" s="189"/>
      <c r="H405" s="124"/>
      <c r="I405" s="124"/>
      <c r="J405" s="124"/>
      <c r="K405" s="102"/>
      <c r="L405" s="189"/>
      <c r="M405" s="124"/>
      <c r="N405" s="124"/>
      <c r="O405" s="124"/>
      <c r="P405" s="102"/>
      <c r="Q405" s="161"/>
      <c r="R405" s="124"/>
      <c r="S405" s="124"/>
      <c r="T405" s="124"/>
      <c r="U405" s="125"/>
      <c r="V405" s="189"/>
      <c r="W405" s="124"/>
      <c r="X405" s="124"/>
      <c r="Y405" s="124"/>
      <c r="Z405" s="125"/>
      <c r="AA405" s="189"/>
      <c r="AB405" s="124"/>
      <c r="AC405" s="124"/>
      <c r="AD405" s="124"/>
      <c r="AE405" s="125"/>
      <c r="AF405" s="189"/>
      <c r="AG405" s="124"/>
      <c r="AH405" s="124"/>
      <c r="AI405" s="124"/>
      <c r="AJ405" s="125"/>
      <c r="AK405" s="189"/>
      <c r="AL405" s="124"/>
      <c r="AM405" s="124"/>
      <c r="AN405" s="124"/>
      <c r="AO405" s="360"/>
      <c r="AP405" s="360"/>
      <c r="AQ405" s="360"/>
      <c r="AR405" s="360"/>
      <c r="AS405" s="360"/>
      <c r="AT405" s="360"/>
      <c r="AU405" s="360"/>
      <c r="AV405" s="360"/>
      <c r="AW405" s="360"/>
      <c r="AX405" s="360"/>
      <c r="AY405" s="360"/>
      <c r="AZ405" s="360"/>
      <c r="BA405" s="360"/>
      <c r="BB405" s="360"/>
      <c r="BC405" s="360"/>
    </row>
    <row r="406">
      <c r="A406" s="125"/>
      <c r="B406" s="189"/>
      <c r="C406" s="124"/>
      <c r="D406" s="124"/>
      <c r="E406" s="124"/>
      <c r="F406" s="125"/>
      <c r="G406" s="189"/>
      <c r="H406" s="124"/>
      <c r="I406" s="124"/>
      <c r="J406" s="124"/>
      <c r="K406" s="102"/>
      <c r="L406" s="189"/>
      <c r="M406" s="124"/>
      <c r="N406" s="124"/>
      <c r="O406" s="124"/>
      <c r="P406" s="102"/>
      <c r="Q406" s="161"/>
      <c r="R406" s="124"/>
      <c r="S406" s="124"/>
      <c r="T406" s="124"/>
      <c r="U406" s="125"/>
      <c r="V406" s="189"/>
      <c r="W406" s="124"/>
      <c r="X406" s="124"/>
      <c r="Y406" s="124"/>
      <c r="Z406" s="125"/>
      <c r="AA406" s="189"/>
      <c r="AB406" s="124"/>
      <c r="AC406" s="124"/>
      <c r="AD406" s="124"/>
      <c r="AE406" s="125"/>
      <c r="AF406" s="189"/>
      <c r="AG406" s="124"/>
      <c r="AH406" s="124"/>
      <c r="AI406" s="124"/>
      <c r="AJ406" s="125"/>
      <c r="AK406" s="189"/>
      <c r="AL406" s="124"/>
      <c r="AM406" s="124"/>
      <c r="AN406" s="124"/>
      <c r="AO406" s="360"/>
      <c r="AP406" s="360"/>
      <c r="AQ406" s="360"/>
      <c r="AR406" s="360"/>
      <c r="AS406" s="360"/>
      <c r="AT406" s="360"/>
      <c r="AU406" s="360"/>
      <c r="AV406" s="360"/>
      <c r="AW406" s="360"/>
      <c r="AX406" s="360"/>
      <c r="AY406" s="360"/>
      <c r="AZ406" s="360"/>
      <c r="BA406" s="360"/>
      <c r="BB406" s="360"/>
      <c r="BC406" s="360"/>
    </row>
    <row r="407">
      <c r="A407" s="125"/>
      <c r="B407" s="189"/>
      <c r="C407" s="124"/>
      <c r="D407" s="124"/>
      <c r="E407" s="124"/>
      <c r="F407" s="125"/>
      <c r="G407" s="189"/>
      <c r="H407" s="124"/>
      <c r="I407" s="124"/>
      <c r="J407" s="124"/>
      <c r="K407" s="102"/>
      <c r="L407" s="189"/>
      <c r="M407" s="124"/>
      <c r="N407" s="124"/>
      <c r="O407" s="124"/>
      <c r="P407" s="102"/>
      <c r="Q407" s="161"/>
      <c r="R407" s="124"/>
      <c r="S407" s="124"/>
      <c r="T407" s="124"/>
      <c r="U407" s="125"/>
      <c r="V407" s="189"/>
      <c r="W407" s="124"/>
      <c r="X407" s="124"/>
      <c r="Y407" s="124"/>
      <c r="Z407" s="125"/>
      <c r="AA407" s="189"/>
      <c r="AB407" s="124"/>
      <c r="AC407" s="124"/>
      <c r="AD407" s="124"/>
      <c r="AE407" s="125"/>
      <c r="AF407" s="189"/>
      <c r="AG407" s="124"/>
      <c r="AH407" s="124"/>
      <c r="AI407" s="124"/>
      <c r="AJ407" s="125"/>
      <c r="AK407" s="189"/>
      <c r="AL407" s="124"/>
      <c r="AM407" s="124"/>
      <c r="AN407" s="124"/>
      <c r="AO407" s="360"/>
      <c r="AP407" s="360"/>
      <c r="AQ407" s="360"/>
      <c r="AR407" s="360"/>
      <c r="AS407" s="360"/>
      <c r="AT407" s="360"/>
      <c r="AU407" s="360"/>
      <c r="AV407" s="360"/>
      <c r="AW407" s="360"/>
      <c r="AX407" s="360"/>
      <c r="AY407" s="360"/>
      <c r="AZ407" s="360"/>
      <c r="BA407" s="360"/>
      <c r="BB407" s="360"/>
      <c r="BC407" s="360"/>
    </row>
    <row r="408">
      <c r="A408" s="125"/>
      <c r="B408" s="189"/>
      <c r="C408" s="124"/>
      <c r="D408" s="124"/>
      <c r="E408" s="124"/>
      <c r="F408" s="125"/>
      <c r="G408" s="189"/>
      <c r="H408" s="124"/>
      <c r="I408" s="124"/>
      <c r="J408" s="124"/>
      <c r="K408" s="102"/>
      <c r="L408" s="189"/>
      <c r="M408" s="124"/>
      <c r="N408" s="124"/>
      <c r="O408" s="124"/>
      <c r="P408" s="102"/>
      <c r="Q408" s="161"/>
      <c r="R408" s="124"/>
      <c r="S408" s="124"/>
      <c r="T408" s="124"/>
      <c r="U408" s="125"/>
      <c r="V408" s="189"/>
      <c r="W408" s="124"/>
      <c r="X408" s="124"/>
      <c r="Y408" s="124"/>
      <c r="Z408" s="125"/>
      <c r="AA408" s="189"/>
      <c r="AB408" s="124"/>
      <c r="AC408" s="124"/>
      <c r="AD408" s="124"/>
      <c r="AE408" s="125"/>
      <c r="AF408" s="189"/>
      <c r="AG408" s="124"/>
      <c r="AH408" s="124"/>
      <c r="AI408" s="124"/>
      <c r="AJ408" s="125"/>
      <c r="AK408" s="189"/>
      <c r="AL408" s="124"/>
      <c r="AM408" s="124"/>
      <c r="AN408" s="124"/>
      <c r="AO408" s="360"/>
      <c r="AP408" s="360"/>
      <c r="AQ408" s="360"/>
      <c r="AR408" s="360"/>
      <c r="AS408" s="360"/>
      <c r="AT408" s="360"/>
      <c r="AU408" s="360"/>
      <c r="AV408" s="360"/>
      <c r="AW408" s="360"/>
      <c r="AX408" s="360"/>
      <c r="AY408" s="360"/>
      <c r="AZ408" s="360"/>
      <c r="BA408" s="360"/>
      <c r="BB408" s="360"/>
      <c r="BC408" s="360"/>
    </row>
    <row r="409">
      <c r="A409" s="125"/>
      <c r="B409" s="189"/>
      <c r="C409" s="124"/>
      <c r="D409" s="124"/>
      <c r="E409" s="124"/>
      <c r="F409" s="125"/>
      <c r="G409" s="189"/>
      <c r="H409" s="124"/>
      <c r="I409" s="124"/>
      <c r="J409" s="124"/>
      <c r="K409" s="102"/>
      <c r="L409" s="189"/>
      <c r="M409" s="124"/>
      <c r="N409" s="124"/>
      <c r="O409" s="124"/>
      <c r="P409" s="102"/>
      <c r="Q409" s="161"/>
      <c r="R409" s="124"/>
      <c r="S409" s="124"/>
      <c r="T409" s="124"/>
      <c r="U409" s="125"/>
      <c r="V409" s="189"/>
      <c r="W409" s="124"/>
      <c r="X409" s="124"/>
      <c r="Y409" s="124"/>
      <c r="Z409" s="125"/>
      <c r="AA409" s="189"/>
      <c r="AB409" s="124"/>
      <c r="AC409" s="124"/>
      <c r="AD409" s="124"/>
      <c r="AE409" s="125"/>
      <c r="AF409" s="189"/>
      <c r="AG409" s="124"/>
      <c r="AH409" s="124"/>
      <c r="AI409" s="124"/>
      <c r="AJ409" s="125"/>
      <c r="AK409" s="189"/>
      <c r="AL409" s="124"/>
      <c r="AM409" s="124"/>
      <c r="AN409" s="124"/>
      <c r="AO409" s="360"/>
      <c r="AP409" s="360"/>
      <c r="AQ409" s="360"/>
      <c r="AR409" s="360"/>
      <c r="AS409" s="360"/>
      <c r="AT409" s="360"/>
      <c r="AU409" s="360"/>
      <c r="AV409" s="360"/>
      <c r="AW409" s="360"/>
      <c r="AX409" s="360"/>
      <c r="AY409" s="360"/>
      <c r="AZ409" s="360"/>
      <c r="BA409" s="360"/>
      <c r="BB409" s="360"/>
      <c r="BC409" s="360"/>
    </row>
    <row r="410">
      <c r="A410" s="125"/>
      <c r="B410" s="189"/>
      <c r="C410" s="124"/>
      <c r="D410" s="124"/>
      <c r="E410" s="124"/>
      <c r="F410" s="125"/>
      <c r="G410" s="189"/>
      <c r="H410" s="124"/>
      <c r="I410" s="124"/>
      <c r="J410" s="124"/>
      <c r="K410" s="102"/>
      <c r="L410" s="189"/>
      <c r="M410" s="124"/>
      <c r="N410" s="124"/>
      <c r="O410" s="124"/>
      <c r="P410" s="102"/>
      <c r="Q410" s="161"/>
      <c r="R410" s="124"/>
      <c r="S410" s="124"/>
      <c r="T410" s="124"/>
      <c r="U410" s="125"/>
      <c r="V410" s="189"/>
      <c r="W410" s="124"/>
      <c r="X410" s="124"/>
      <c r="Y410" s="124"/>
      <c r="Z410" s="125"/>
      <c r="AA410" s="189"/>
      <c r="AB410" s="124"/>
      <c r="AC410" s="124"/>
      <c r="AD410" s="124"/>
      <c r="AE410" s="125"/>
      <c r="AF410" s="189"/>
      <c r="AG410" s="124"/>
      <c r="AH410" s="124"/>
      <c r="AI410" s="124"/>
      <c r="AJ410" s="125"/>
      <c r="AK410" s="189"/>
      <c r="AL410" s="124"/>
      <c r="AM410" s="124"/>
      <c r="AN410" s="124"/>
      <c r="AO410" s="360"/>
      <c r="AP410" s="360"/>
      <c r="AQ410" s="360"/>
      <c r="AR410" s="360"/>
      <c r="AS410" s="360"/>
      <c r="AT410" s="360"/>
      <c r="AU410" s="360"/>
      <c r="AV410" s="360"/>
      <c r="AW410" s="360"/>
      <c r="AX410" s="360"/>
      <c r="AY410" s="360"/>
      <c r="AZ410" s="360"/>
      <c r="BA410" s="360"/>
      <c r="BB410" s="360"/>
      <c r="BC410" s="360"/>
    </row>
    <row r="411">
      <c r="A411" s="125"/>
      <c r="B411" s="189"/>
      <c r="C411" s="124"/>
      <c r="D411" s="124"/>
      <c r="E411" s="124"/>
      <c r="F411" s="125"/>
      <c r="G411" s="189"/>
      <c r="H411" s="124"/>
      <c r="I411" s="124"/>
      <c r="J411" s="124"/>
      <c r="K411" s="102"/>
      <c r="L411" s="189"/>
      <c r="M411" s="124"/>
      <c r="N411" s="124"/>
      <c r="O411" s="124"/>
      <c r="P411" s="102"/>
      <c r="Q411" s="161"/>
      <c r="R411" s="124"/>
      <c r="S411" s="124"/>
      <c r="T411" s="124"/>
      <c r="U411" s="125"/>
      <c r="V411" s="189"/>
      <c r="W411" s="124"/>
      <c r="X411" s="124"/>
      <c r="Y411" s="124"/>
      <c r="Z411" s="125"/>
      <c r="AA411" s="189"/>
      <c r="AB411" s="124"/>
      <c r="AC411" s="124"/>
      <c r="AD411" s="124"/>
      <c r="AE411" s="125"/>
      <c r="AF411" s="189"/>
      <c r="AG411" s="124"/>
      <c r="AH411" s="124"/>
      <c r="AI411" s="124"/>
      <c r="AJ411" s="125"/>
      <c r="AK411" s="189"/>
      <c r="AL411" s="124"/>
      <c r="AM411" s="124"/>
      <c r="AN411" s="124"/>
      <c r="AO411" s="360"/>
      <c r="AP411" s="360"/>
      <c r="AQ411" s="360"/>
      <c r="AR411" s="360"/>
      <c r="AS411" s="360"/>
      <c r="AT411" s="360"/>
      <c r="AU411" s="360"/>
      <c r="AV411" s="360"/>
      <c r="AW411" s="360"/>
      <c r="AX411" s="360"/>
      <c r="AY411" s="360"/>
      <c r="AZ411" s="360"/>
      <c r="BA411" s="360"/>
      <c r="BB411" s="360"/>
      <c r="BC411" s="360"/>
    </row>
    <row r="412">
      <c r="A412" s="125"/>
      <c r="B412" s="189"/>
      <c r="C412" s="124"/>
      <c r="D412" s="124"/>
      <c r="E412" s="124"/>
      <c r="F412" s="125"/>
      <c r="G412" s="189"/>
      <c r="H412" s="124"/>
      <c r="I412" s="124"/>
      <c r="J412" s="124"/>
      <c r="K412" s="102"/>
      <c r="L412" s="189"/>
      <c r="M412" s="124"/>
      <c r="N412" s="124"/>
      <c r="O412" s="124"/>
      <c r="P412" s="102"/>
      <c r="Q412" s="161"/>
      <c r="R412" s="124"/>
      <c r="S412" s="124"/>
      <c r="T412" s="124"/>
      <c r="U412" s="125"/>
      <c r="V412" s="189"/>
      <c r="W412" s="124"/>
      <c r="X412" s="124"/>
      <c r="Y412" s="124"/>
      <c r="Z412" s="125"/>
      <c r="AA412" s="189"/>
      <c r="AB412" s="124"/>
      <c r="AC412" s="124"/>
      <c r="AD412" s="124"/>
      <c r="AE412" s="125"/>
      <c r="AF412" s="189"/>
      <c r="AG412" s="124"/>
      <c r="AH412" s="124"/>
      <c r="AI412" s="124"/>
      <c r="AJ412" s="125"/>
      <c r="AK412" s="189"/>
      <c r="AL412" s="124"/>
      <c r="AM412" s="124"/>
      <c r="AN412" s="124"/>
      <c r="AO412" s="360"/>
      <c r="AP412" s="360"/>
      <c r="AQ412" s="360"/>
      <c r="AR412" s="360"/>
      <c r="AS412" s="360"/>
      <c r="AT412" s="360"/>
      <c r="AU412" s="360"/>
      <c r="AV412" s="360"/>
      <c r="AW412" s="360"/>
      <c r="AX412" s="360"/>
      <c r="AY412" s="360"/>
      <c r="AZ412" s="360"/>
      <c r="BA412" s="360"/>
      <c r="BB412" s="360"/>
      <c r="BC412" s="360"/>
    </row>
    <row r="413">
      <c r="A413" s="125"/>
      <c r="B413" s="189"/>
      <c r="C413" s="124"/>
      <c r="D413" s="124"/>
      <c r="E413" s="124"/>
      <c r="F413" s="125"/>
      <c r="G413" s="189"/>
      <c r="H413" s="124"/>
      <c r="I413" s="124"/>
      <c r="J413" s="124"/>
      <c r="K413" s="102"/>
      <c r="L413" s="189"/>
      <c r="M413" s="124"/>
      <c r="N413" s="124"/>
      <c r="O413" s="124"/>
      <c r="P413" s="102"/>
      <c r="Q413" s="161"/>
      <c r="R413" s="124"/>
      <c r="S413" s="124"/>
      <c r="T413" s="124"/>
      <c r="U413" s="125"/>
      <c r="V413" s="189"/>
      <c r="W413" s="124"/>
      <c r="X413" s="124"/>
      <c r="Y413" s="124"/>
      <c r="Z413" s="125"/>
      <c r="AA413" s="189"/>
      <c r="AB413" s="124"/>
      <c r="AC413" s="124"/>
      <c r="AD413" s="124"/>
      <c r="AE413" s="125"/>
      <c r="AF413" s="189"/>
      <c r="AG413" s="124"/>
      <c r="AH413" s="124"/>
      <c r="AI413" s="124"/>
      <c r="AJ413" s="125"/>
      <c r="AK413" s="189"/>
      <c r="AL413" s="124"/>
      <c r="AM413" s="124"/>
      <c r="AN413" s="124"/>
      <c r="AO413" s="360"/>
      <c r="AP413" s="360"/>
      <c r="AQ413" s="360"/>
      <c r="AR413" s="360"/>
      <c r="AS413" s="360"/>
      <c r="AT413" s="360"/>
      <c r="AU413" s="360"/>
      <c r="AV413" s="360"/>
      <c r="AW413" s="360"/>
      <c r="AX413" s="360"/>
      <c r="AY413" s="360"/>
      <c r="AZ413" s="360"/>
      <c r="BA413" s="360"/>
      <c r="BB413" s="360"/>
      <c r="BC413" s="360"/>
    </row>
    <row r="414">
      <c r="A414" s="125"/>
      <c r="B414" s="189"/>
      <c r="C414" s="124"/>
      <c r="D414" s="124"/>
      <c r="E414" s="124"/>
      <c r="F414" s="125"/>
      <c r="G414" s="189"/>
      <c r="H414" s="124"/>
      <c r="I414" s="124"/>
      <c r="J414" s="124"/>
      <c r="K414" s="102"/>
      <c r="L414" s="189"/>
      <c r="M414" s="124"/>
      <c r="N414" s="124"/>
      <c r="O414" s="124"/>
      <c r="P414" s="102"/>
      <c r="Q414" s="161"/>
      <c r="R414" s="124"/>
      <c r="S414" s="124"/>
      <c r="T414" s="124"/>
      <c r="U414" s="125"/>
      <c r="V414" s="189"/>
      <c r="W414" s="124"/>
      <c r="X414" s="124"/>
      <c r="Y414" s="124"/>
      <c r="Z414" s="125"/>
      <c r="AA414" s="189"/>
      <c r="AB414" s="124"/>
      <c r="AC414" s="124"/>
      <c r="AD414" s="124"/>
      <c r="AE414" s="125"/>
      <c r="AF414" s="189"/>
      <c r="AG414" s="124"/>
      <c r="AH414" s="124"/>
      <c r="AI414" s="124"/>
      <c r="AJ414" s="125"/>
      <c r="AK414" s="189"/>
      <c r="AL414" s="124"/>
      <c r="AM414" s="124"/>
      <c r="AN414" s="124"/>
      <c r="AO414" s="360"/>
      <c r="AP414" s="360"/>
      <c r="AQ414" s="360"/>
      <c r="AR414" s="360"/>
      <c r="AS414" s="360"/>
      <c r="AT414" s="360"/>
      <c r="AU414" s="360"/>
      <c r="AV414" s="360"/>
      <c r="AW414" s="360"/>
      <c r="AX414" s="360"/>
      <c r="AY414" s="360"/>
      <c r="AZ414" s="360"/>
      <c r="BA414" s="360"/>
      <c r="BB414" s="360"/>
      <c r="BC414" s="360"/>
    </row>
    <row r="415">
      <c r="A415" s="125"/>
      <c r="B415" s="189"/>
      <c r="C415" s="124"/>
      <c r="D415" s="124"/>
      <c r="E415" s="124"/>
      <c r="F415" s="125"/>
      <c r="G415" s="189"/>
      <c r="H415" s="124"/>
      <c r="I415" s="124"/>
      <c r="J415" s="124"/>
      <c r="K415" s="102"/>
      <c r="L415" s="189"/>
      <c r="M415" s="124"/>
      <c r="N415" s="124"/>
      <c r="O415" s="124"/>
      <c r="P415" s="102"/>
      <c r="Q415" s="161"/>
      <c r="R415" s="124"/>
      <c r="S415" s="124"/>
      <c r="T415" s="124"/>
      <c r="U415" s="125"/>
      <c r="V415" s="189"/>
      <c r="W415" s="124"/>
      <c r="X415" s="124"/>
      <c r="Y415" s="124"/>
      <c r="Z415" s="125"/>
      <c r="AA415" s="189"/>
      <c r="AB415" s="124"/>
      <c r="AC415" s="124"/>
      <c r="AD415" s="124"/>
      <c r="AE415" s="125"/>
      <c r="AF415" s="189"/>
      <c r="AG415" s="124"/>
      <c r="AH415" s="124"/>
      <c r="AI415" s="124"/>
      <c r="AJ415" s="125"/>
      <c r="AK415" s="189"/>
      <c r="AL415" s="124"/>
      <c r="AM415" s="124"/>
      <c r="AN415" s="124"/>
      <c r="AO415" s="360"/>
      <c r="AP415" s="360"/>
      <c r="AQ415" s="360"/>
      <c r="AR415" s="360"/>
      <c r="AS415" s="360"/>
      <c r="AT415" s="360"/>
      <c r="AU415" s="360"/>
      <c r="AV415" s="360"/>
      <c r="AW415" s="360"/>
      <c r="AX415" s="360"/>
      <c r="AY415" s="360"/>
      <c r="AZ415" s="360"/>
      <c r="BA415" s="360"/>
      <c r="BB415" s="360"/>
      <c r="BC415" s="360"/>
    </row>
    <row r="416">
      <c r="A416" s="125"/>
      <c r="B416" s="189"/>
      <c r="C416" s="124"/>
      <c r="D416" s="124"/>
      <c r="E416" s="124"/>
      <c r="F416" s="125"/>
      <c r="G416" s="189"/>
      <c r="H416" s="124"/>
      <c r="I416" s="124"/>
      <c r="J416" s="124"/>
      <c r="K416" s="102"/>
      <c r="L416" s="189"/>
      <c r="M416" s="124"/>
      <c r="N416" s="124"/>
      <c r="O416" s="124"/>
      <c r="P416" s="102"/>
      <c r="Q416" s="161"/>
      <c r="R416" s="124"/>
      <c r="S416" s="124"/>
      <c r="T416" s="124"/>
      <c r="U416" s="125"/>
      <c r="V416" s="189"/>
      <c r="W416" s="124"/>
      <c r="X416" s="124"/>
      <c r="Y416" s="124"/>
      <c r="Z416" s="125"/>
      <c r="AA416" s="189"/>
      <c r="AB416" s="124"/>
      <c r="AC416" s="124"/>
      <c r="AD416" s="124"/>
      <c r="AE416" s="125"/>
      <c r="AF416" s="189"/>
      <c r="AG416" s="124"/>
      <c r="AH416" s="124"/>
      <c r="AI416" s="124"/>
      <c r="AJ416" s="125"/>
      <c r="AK416" s="189"/>
      <c r="AL416" s="124"/>
      <c r="AM416" s="124"/>
      <c r="AN416" s="124"/>
      <c r="AO416" s="360"/>
      <c r="AP416" s="360"/>
      <c r="AQ416" s="360"/>
      <c r="AR416" s="360"/>
      <c r="AS416" s="360"/>
      <c r="AT416" s="360"/>
      <c r="AU416" s="360"/>
      <c r="AV416" s="360"/>
      <c r="AW416" s="360"/>
      <c r="AX416" s="360"/>
      <c r="AY416" s="360"/>
      <c r="AZ416" s="360"/>
      <c r="BA416" s="360"/>
      <c r="BB416" s="360"/>
      <c r="BC416" s="360"/>
    </row>
    <row r="417">
      <c r="A417" s="125"/>
      <c r="B417" s="189"/>
      <c r="C417" s="124"/>
      <c r="D417" s="124"/>
      <c r="E417" s="124"/>
      <c r="F417" s="125"/>
      <c r="G417" s="189"/>
      <c r="H417" s="124"/>
      <c r="I417" s="124"/>
      <c r="J417" s="124"/>
      <c r="K417" s="102"/>
      <c r="L417" s="189"/>
      <c r="M417" s="124"/>
      <c r="N417" s="124"/>
      <c r="O417" s="124"/>
      <c r="P417" s="102"/>
      <c r="Q417" s="161"/>
      <c r="R417" s="124"/>
      <c r="S417" s="124"/>
      <c r="T417" s="124"/>
      <c r="U417" s="125"/>
      <c r="V417" s="189"/>
      <c r="W417" s="124"/>
      <c r="X417" s="124"/>
      <c r="Y417" s="124"/>
      <c r="Z417" s="125"/>
      <c r="AA417" s="189"/>
      <c r="AB417" s="124"/>
      <c r="AC417" s="124"/>
      <c r="AD417" s="124"/>
      <c r="AE417" s="125"/>
      <c r="AF417" s="189"/>
      <c r="AG417" s="124"/>
      <c r="AH417" s="124"/>
      <c r="AI417" s="124"/>
      <c r="AJ417" s="125"/>
      <c r="AK417" s="189"/>
      <c r="AL417" s="124"/>
      <c r="AM417" s="124"/>
      <c r="AN417" s="124"/>
      <c r="AO417" s="360"/>
      <c r="AP417" s="360"/>
      <c r="AQ417" s="360"/>
      <c r="AR417" s="360"/>
      <c r="AS417" s="360"/>
      <c r="AT417" s="360"/>
      <c r="AU417" s="360"/>
      <c r="AV417" s="360"/>
      <c r="AW417" s="360"/>
      <c r="AX417" s="360"/>
      <c r="AY417" s="360"/>
      <c r="AZ417" s="360"/>
      <c r="BA417" s="360"/>
      <c r="BB417" s="360"/>
      <c r="BC417" s="360"/>
    </row>
    <row r="418">
      <c r="A418" s="125"/>
      <c r="B418" s="189"/>
      <c r="C418" s="124"/>
      <c r="D418" s="124"/>
      <c r="E418" s="124"/>
      <c r="F418" s="125"/>
      <c r="G418" s="189"/>
      <c r="H418" s="124"/>
      <c r="I418" s="124"/>
      <c r="J418" s="124"/>
      <c r="K418" s="102"/>
      <c r="L418" s="189"/>
      <c r="M418" s="124"/>
      <c r="N418" s="124"/>
      <c r="O418" s="124"/>
      <c r="P418" s="102"/>
      <c r="Q418" s="161"/>
      <c r="R418" s="124"/>
      <c r="S418" s="124"/>
      <c r="T418" s="124"/>
      <c r="U418" s="125"/>
      <c r="V418" s="189"/>
      <c r="W418" s="124"/>
      <c r="X418" s="124"/>
      <c r="Y418" s="124"/>
      <c r="Z418" s="125"/>
      <c r="AA418" s="189"/>
      <c r="AB418" s="124"/>
      <c r="AC418" s="124"/>
      <c r="AD418" s="124"/>
      <c r="AE418" s="125"/>
      <c r="AF418" s="189"/>
      <c r="AG418" s="124"/>
      <c r="AH418" s="124"/>
      <c r="AI418" s="124"/>
      <c r="AJ418" s="125"/>
      <c r="AK418" s="189"/>
      <c r="AL418" s="124"/>
      <c r="AM418" s="124"/>
      <c r="AN418" s="124"/>
      <c r="AO418" s="360"/>
      <c r="AP418" s="360"/>
      <c r="AQ418" s="360"/>
      <c r="AR418" s="360"/>
      <c r="AS418" s="360"/>
      <c r="AT418" s="360"/>
      <c r="AU418" s="360"/>
      <c r="AV418" s="360"/>
      <c r="AW418" s="360"/>
      <c r="AX418" s="360"/>
      <c r="AY418" s="360"/>
      <c r="AZ418" s="360"/>
      <c r="BA418" s="360"/>
      <c r="BB418" s="360"/>
      <c r="BC418" s="360"/>
    </row>
    <row r="419">
      <c r="A419" s="125"/>
      <c r="B419" s="189"/>
      <c r="C419" s="124"/>
      <c r="D419" s="124"/>
      <c r="E419" s="124"/>
      <c r="F419" s="125"/>
      <c r="G419" s="189"/>
      <c r="H419" s="124"/>
      <c r="I419" s="124"/>
      <c r="J419" s="124"/>
      <c r="K419" s="102"/>
      <c r="L419" s="189"/>
      <c r="M419" s="124"/>
      <c r="N419" s="124"/>
      <c r="O419" s="124"/>
      <c r="P419" s="102"/>
      <c r="Q419" s="161"/>
      <c r="R419" s="124"/>
      <c r="S419" s="124"/>
      <c r="T419" s="124"/>
      <c r="U419" s="125"/>
      <c r="V419" s="189"/>
      <c r="W419" s="124"/>
      <c r="X419" s="124"/>
      <c r="Y419" s="124"/>
      <c r="Z419" s="125"/>
      <c r="AA419" s="189"/>
      <c r="AB419" s="124"/>
      <c r="AC419" s="124"/>
      <c r="AD419" s="124"/>
      <c r="AE419" s="125"/>
      <c r="AF419" s="189"/>
      <c r="AG419" s="124"/>
      <c r="AH419" s="124"/>
      <c r="AI419" s="124"/>
      <c r="AJ419" s="125"/>
      <c r="AK419" s="189"/>
      <c r="AL419" s="124"/>
      <c r="AM419" s="124"/>
      <c r="AN419" s="124"/>
      <c r="AO419" s="360"/>
      <c r="AP419" s="360"/>
      <c r="AQ419" s="360"/>
      <c r="AR419" s="360"/>
      <c r="AS419" s="360"/>
      <c r="AT419" s="360"/>
      <c r="AU419" s="360"/>
      <c r="AV419" s="360"/>
      <c r="AW419" s="360"/>
      <c r="AX419" s="360"/>
      <c r="AY419" s="360"/>
      <c r="AZ419" s="360"/>
      <c r="BA419" s="360"/>
      <c r="BB419" s="360"/>
      <c r="BC419" s="360"/>
    </row>
    <row r="420">
      <c r="A420" s="125"/>
      <c r="B420" s="189"/>
      <c r="C420" s="124"/>
      <c r="D420" s="124"/>
      <c r="E420" s="124"/>
      <c r="F420" s="125"/>
      <c r="G420" s="189"/>
      <c r="H420" s="124"/>
      <c r="I420" s="124"/>
      <c r="J420" s="124"/>
      <c r="K420" s="102"/>
      <c r="L420" s="189"/>
      <c r="M420" s="124"/>
      <c r="N420" s="124"/>
      <c r="O420" s="124"/>
      <c r="P420" s="102"/>
      <c r="Q420" s="161"/>
      <c r="R420" s="124"/>
      <c r="S420" s="124"/>
      <c r="T420" s="124"/>
      <c r="U420" s="125"/>
      <c r="V420" s="189"/>
      <c r="W420" s="124"/>
      <c r="X420" s="124"/>
      <c r="Y420" s="124"/>
      <c r="Z420" s="125"/>
      <c r="AA420" s="189"/>
      <c r="AB420" s="124"/>
      <c r="AC420" s="124"/>
      <c r="AD420" s="124"/>
      <c r="AE420" s="125"/>
      <c r="AF420" s="189"/>
      <c r="AG420" s="124"/>
      <c r="AH420" s="124"/>
      <c r="AI420" s="124"/>
      <c r="AJ420" s="125"/>
      <c r="AK420" s="189"/>
      <c r="AL420" s="124"/>
      <c r="AM420" s="124"/>
      <c r="AN420" s="124"/>
      <c r="AO420" s="360"/>
      <c r="AP420" s="360"/>
      <c r="AQ420" s="360"/>
      <c r="AR420" s="360"/>
      <c r="AS420" s="360"/>
      <c r="AT420" s="360"/>
      <c r="AU420" s="360"/>
      <c r="AV420" s="360"/>
      <c r="AW420" s="360"/>
      <c r="AX420" s="360"/>
      <c r="AY420" s="360"/>
      <c r="AZ420" s="360"/>
      <c r="BA420" s="360"/>
      <c r="BB420" s="360"/>
      <c r="BC420" s="360"/>
    </row>
    <row r="421">
      <c r="A421" s="125"/>
      <c r="B421" s="189"/>
      <c r="C421" s="124"/>
      <c r="D421" s="124"/>
      <c r="E421" s="124"/>
      <c r="F421" s="125"/>
      <c r="G421" s="189"/>
      <c r="H421" s="124"/>
      <c r="I421" s="124"/>
      <c r="J421" s="124"/>
      <c r="K421" s="102"/>
      <c r="L421" s="189"/>
      <c r="M421" s="124"/>
      <c r="N421" s="124"/>
      <c r="O421" s="124"/>
      <c r="P421" s="102"/>
      <c r="Q421" s="161"/>
      <c r="R421" s="124"/>
      <c r="S421" s="124"/>
      <c r="T421" s="124"/>
      <c r="U421" s="125"/>
      <c r="V421" s="189"/>
      <c r="W421" s="124"/>
      <c r="X421" s="124"/>
      <c r="Y421" s="124"/>
      <c r="Z421" s="125"/>
      <c r="AA421" s="189"/>
      <c r="AB421" s="124"/>
      <c r="AC421" s="124"/>
      <c r="AD421" s="124"/>
      <c r="AE421" s="125"/>
      <c r="AF421" s="189"/>
      <c r="AG421" s="124"/>
      <c r="AH421" s="124"/>
      <c r="AI421" s="124"/>
      <c r="AJ421" s="125"/>
      <c r="AK421" s="189"/>
      <c r="AL421" s="124"/>
      <c r="AM421" s="124"/>
      <c r="AN421" s="124"/>
      <c r="AO421" s="360"/>
      <c r="AP421" s="360"/>
      <c r="AQ421" s="360"/>
      <c r="AR421" s="360"/>
      <c r="AS421" s="360"/>
      <c r="AT421" s="360"/>
      <c r="AU421" s="360"/>
      <c r="AV421" s="360"/>
      <c r="AW421" s="360"/>
      <c r="AX421" s="360"/>
      <c r="AY421" s="360"/>
      <c r="AZ421" s="360"/>
      <c r="BA421" s="360"/>
      <c r="BB421" s="360"/>
      <c r="BC421" s="360"/>
    </row>
    <row r="422">
      <c r="A422" s="125"/>
      <c r="B422" s="189"/>
      <c r="C422" s="124"/>
      <c r="D422" s="124"/>
      <c r="E422" s="124"/>
      <c r="F422" s="125"/>
      <c r="G422" s="189"/>
      <c r="H422" s="124"/>
      <c r="I422" s="124"/>
      <c r="J422" s="124"/>
      <c r="K422" s="102"/>
      <c r="L422" s="189"/>
      <c r="M422" s="124"/>
      <c r="N422" s="124"/>
      <c r="O422" s="124"/>
      <c r="P422" s="102"/>
      <c r="Q422" s="161"/>
      <c r="R422" s="124"/>
      <c r="S422" s="124"/>
      <c r="T422" s="124"/>
      <c r="U422" s="125"/>
      <c r="V422" s="189"/>
      <c r="W422" s="124"/>
      <c r="X422" s="124"/>
      <c r="Y422" s="124"/>
      <c r="Z422" s="125"/>
      <c r="AA422" s="189"/>
      <c r="AB422" s="124"/>
      <c r="AC422" s="124"/>
      <c r="AD422" s="124"/>
      <c r="AE422" s="125"/>
      <c r="AF422" s="189"/>
      <c r="AG422" s="124"/>
      <c r="AH422" s="124"/>
      <c r="AI422" s="124"/>
      <c r="AJ422" s="125"/>
      <c r="AK422" s="189"/>
      <c r="AL422" s="124"/>
      <c r="AM422" s="124"/>
      <c r="AN422" s="124"/>
      <c r="AO422" s="360"/>
      <c r="AP422" s="360"/>
      <c r="AQ422" s="360"/>
      <c r="AR422" s="360"/>
      <c r="AS422" s="360"/>
      <c r="AT422" s="360"/>
      <c r="AU422" s="360"/>
      <c r="AV422" s="360"/>
      <c r="AW422" s="360"/>
      <c r="AX422" s="360"/>
      <c r="AY422" s="360"/>
      <c r="AZ422" s="360"/>
      <c r="BA422" s="360"/>
      <c r="BB422" s="360"/>
      <c r="BC422" s="360"/>
    </row>
    <row r="423">
      <c r="A423" s="125"/>
      <c r="B423" s="189"/>
      <c r="C423" s="124"/>
      <c r="D423" s="124"/>
      <c r="E423" s="124"/>
      <c r="F423" s="125"/>
      <c r="G423" s="189"/>
      <c r="H423" s="124"/>
      <c r="I423" s="124"/>
      <c r="J423" s="124"/>
      <c r="K423" s="102"/>
      <c r="L423" s="189"/>
      <c r="M423" s="124"/>
      <c r="N423" s="124"/>
      <c r="O423" s="124"/>
      <c r="P423" s="102"/>
      <c r="Q423" s="161"/>
      <c r="R423" s="124"/>
      <c r="S423" s="124"/>
      <c r="T423" s="124"/>
      <c r="U423" s="125"/>
      <c r="V423" s="189"/>
      <c r="W423" s="124"/>
      <c r="X423" s="124"/>
      <c r="Y423" s="124"/>
      <c r="Z423" s="125"/>
      <c r="AA423" s="189"/>
      <c r="AB423" s="124"/>
      <c r="AC423" s="124"/>
      <c r="AD423" s="124"/>
      <c r="AE423" s="125"/>
      <c r="AF423" s="189"/>
      <c r="AG423" s="124"/>
      <c r="AH423" s="124"/>
      <c r="AI423" s="124"/>
      <c r="AJ423" s="125"/>
      <c r="AK423" s="189"/>
      <c r="AL423" s="124"/>
      <c r="AM423" s="124"/>
      <c r="AN423" s="124"/>
      <c r="AO423" s="360"/>
      <c r="AP423" s="360"/>
      <c r="AQ423" s="360"/>
      <c r="AR423" s="360"/>
      <c r="AS423" s="360"/>
      <c r="AT423" s="360"/>
      <c r="AU423" s="360"/>
      <c r="AV423" s="360"/>
      <c r="AW423" s="360"/>
      <c r="AX423" s="360"/>
      <c r="AY423" s="360"/>
      <c r="AZ423" s="360"/>
      <c r="BA423" s="360"/>
      <c r="BB423" s="360"/>
      <c r="BC423" s="360"/>
    </row>
    <row r="424">
      <c r="A424" s="125"/>
      <c r="B424" s="189"/>
      <c r="C424" s="124"/>
      <c r="D424" s="124"/>
      <c r="E424" s="124"/>
      <c r="F424" s="125"/>
      <c r="G424" s="189"/>
      <c r="H424" s="124"/>
      <c r="I424" s="124"/>
      <c r="J424" s="124"/>
      <c r="K424" s="102"/>
      <c r="L424" s="189"/>
      <c r="M424" s="124"/>
      <c r="N424" s="124"/>
      <c r="O424" s="124"/>
      <c r="P424" s="102"/>
      <c r="Q424" s="161"/>
      <c r="R424" s="124"/>
      <c r="S424" s="124"/>
      <c r="T424" s="124"/>
      <c r="U424" s="125"/>
      <c r="V424" s="189"/>
      <c r="W424" s="124"/>
      <c r="X424" s="124"/>
      <c r="Y424" s="124"/>
      <c r="Z424" s="125"/>
      <c r="AA424" s="189"/>
      <c r="AB424" s="124"/>
      <c r="AC424" s="124"/>
      <c r="AD424" s="124"/>
      <c r="AE424" s="125"/>
      <c r="AF424" s="189"/>
      <c r="AG424" s="124"/>
      <c r="AH424" s="124"/>
      <c r="AI424" s="124"/>
      <c r="AJ424" s="125"/>
      <c r="AK424" s="189"/>
      <c r="AL424" s="124"/>
      <c r="AM424" s="124"/>
      <c r="AN424" s="124"/>
      <c r="AO424" s="360"/>
      <c r="AP424" s="360"/>
      <c r="AQ424" s="360"/>
      <c r="AR424" s="360"/>
      <c r="AS424" s="360"/>
      <c r="AT424" s="360"/>
      <c r="AU424" s="360"/>
      <c r="AV424" s="360"/>
      <c r="AW424" s="360"/>
      <c r="AX424" s="360"/>
      <c r="AY424" s="360"/>
      <c r="AZ424" s="360"/>
      <c r="BA424" s="360"/>
      <c r="BB424" s="360"/>
      <c r="BC424" s="360"/>
    </row>
    <row r="425">
      <c r="A425" s="125"/>
      <c r="B425" s="189"/>
      <c r="C425" s="124"/>
      <c r="D425" s="124"/>
      <c r="E425" s="124"/>
      <c r="F425" s="125"/>
      <c r="G425" s="189"/>
      <c r="H425" s="124"/>
      <c r="I425" s="124"/>
      <c r="J425" s="124"/>
      <c r="K425" s="102"/>
      <c r="L425" s="189"/>
      <c r="M425" s="124"/>
      <c r="N425" s="124"/>
      <c r="O425" s="124"/>
      <c r="P425" s="102"/>
      <c r="Q425" s="161"/>
      <c r="R425" s="124"/>
      <c r="S425" s="124"/>
      <c r="T425" s="124"/>
      <c r="U425" s="125"/>
      <c r="V425" s="189"/>
      <c r="W425" s="124"/>
      <c r="X425" s="124"/>
      <c r="Y425" s="124"/>
      <c r="Z425" s="125"/>
      <c r="AA425" s="189"/>
      <c r="AB425" s="124"/>
      <c r="AC425" s="124"/>
      <c r="AD425" s="124"/>
      <c r="AE425" s="125"/>
      <c r="AF425" s="189"/>
      <c r="AG425" s="124"/>
      <c r="AH425" s="124"/>
      <c r="AI425" s="124"/>
      <c r="AJ425" s="125"/>
      <c r="AK425" s="189"/>
      <c r="AL425" s="124"/>
      <c r="AM425" s="124"/>
      <c r="AN425" s="124"/>
      <c r="AO425" s="360"/>
      <c r="AP425" s="360"/>
      <c r="AQ425" s="360"/>
      <c r="AR425" s="360"/>
      <c r="AS425" s="360"/>
      <c r="AT425" s="360"/>
      <c r="AU425" s="360"/>
      <c r="AV425" s="360"/>
      <c r="AW425" s="360"/>
      <c r="AX425" s="360"/>
      <c r="AY425" s="360"/>
      <c r="AZ425" s="360"/>
      <c r="BA425" s="360"/>
      <c r="BB425" s="360"/>
      <c r="BC425" s="360"/>
    </row>
    <row r="426">
      <c r="A426" s="125"/>
      <c r="B426" s="189"/>
      <c r="C426" s="124"/>
      <c r="D426" s="124"/>
      <c r="E426" s="124"/>
      <c r="F426" s="125"/>
      <c r="G426" s="189"/>
      <c r="H426" s="124"/>
      <c r="I426" s="124"/>
      <c r="J426" s="124"/>
      <c r="K426" s="102"/>
      <c r="L426" s="189"/>
      <c r="M426" s="124"/>
      <c r="N426" s="124"/>
      <c r="O426" s="124"/>
      <c r="P426" s="102"/>
      <c r="Q426" s="161"/>
      <c r="R426" s="124"/>
      <c r="S426" s="124"/>
      <c r="T426" s="124"/>
      <c r="U426" s="125"/>
      <c r="V426" s="189"/>
      <c r="W426" s="124"/>
      <c r="X426" s="124"/>
      <c r="Y426" s="124"/>
      <c r="Z426" s="125"/>
      <c r="AA426" s="189"/>
      <c r="AB426" s="124"/>
      <c r="AC426" s="124"/>
      <c r="AD426" s="124"/>
      <c r="AE426" s="125"/>
      <c r="AF426" s="189"/>
      <c r="AG426" s="124"/>
      <c r="AH426" s="124"/>
      <c r="AI426" s="124"/>
      <c r="AJ426" s="125"/>
      <c r="AK426" s="189"/>
      <c r="AL426" s="124"/>
      <c r="AM426" s="124"/>
      <c r="AN426" s="124"/>
      <c r="AO426" s="360"/>
      <c r="AP426" s="360"/>
      <c r="AQ426" s="360"/>
      <c r="AR426" s="360"/>
      <c r="AS426" s="360"/>
      <c r="AT426" s="360"/>
      <c r="AU426" s="360"/>
      <c r="AV426" s="360"/>
      <c r="AW426" s="360"/>
      <c r="AX426" s="360"/>
      <c r="AY426" s="360"/>
      <c r="AZ426" s="360"/>
      <c r="BA426" s="360"/>
      <c r="BB426" s="360"/>
      <c r="BC426" s="360"/>
    </row>
    <row r="427">
      <c r="A427" s="125"/>
      <c r="B427" s="189"/>
      <c r="C427" s="124"/>
      <c r="D427" s="124"/>
      <c r="E427" s="124"/>
      <c r="F427" s="125"/>
      <c r="G427" s="189"/>
      <c r="H427" s="124"/>
      <c r="I427" s="124"/>
      <c r="J427" s="124"/>
      <c r="K427" s="102"/>
      <c r="L427" s="189"/>
      <c r="M427" s="124"/>
      <c r="N427" s="124"/>
      <c r="O427" s="124"/>
      <c r="P427" s="102"/>
      <c r="Q427" s="161"/>
      <c r="R427" s="124"/>
      <c r="S427" s="124"/>
      <c r="T427" s="124"/>
      <c r="U427" s="125"/>
      <c r="V427" s="189"/>
      <c r="W427" s="124"/>
      <c r="X427" s="124"/>
      <c r="Y427" s="124"/>
      <c r="Z427" s="125"/>
      <c r="AA427" s="189"/>
      <c r="AB427" s="124"/>
      <c r="AC427" s="124"/>
      <c r="AD427" s="124"/>
      <c r="AE427" s="125"/>
      <c r="AF427" s="189"/>
      <c r="AG427" s="124"/>
      <c r="AH427" s="124"/>
      <c r="AI427" s="124"/>
      <c r="AJ427" s="125"/>
      <c r="AK427" s="189"/>
      <c r="AL427" s="124"/>
      <c r="AM427" s="124"/>
      <c r="AN427" s="124"/>
      <c r="AO427" s="360"/>
      <c r="AP427" s="360"/>
      <c r="AQ427" s="360"/>
      <c r="AR427" s="360"/>
      <c r="AS427" s="360"/>
      <c r="AT427" s="360"/>
      <c r="AU427" s="360"/>
      <c r="AV427" s="360"/>
      <c r="AW427" s="360"/>
      <c r="AX427" s="360"/>
      <c r="AY427" s="360"/>
      <c r="AZ427" s="360"/>
      <c r="BA427" s="360"/>
      <c r="BB427" s="360"/>
      <c r="BC427" s="360"/>
    </row>
    <row r="428">
      <c r="A428" s="125"/>
      <c r="B428" s="189"/>
      <c r="C428" s="124"/>
      <c r="D428" s="124"/>
      <c r="E428" s="124"/>
      <c r="F428" s="125"/>
      <c r="G428" s="189"/>
      <c r="H428" s="124"/>
      <c r="I428" s="124"/>
      <c r="J428" s="124"/>
      <c r="K428" s="102"/>
      <c r="L428" s="189"/>
      <c r="M428" s="124"/>
      <c r="N428" s="124"/>
      <c r="O428" s="124"/>
      <c r="P428" s="102"/>
      <c r="Q428" s="161"/>
      <c r="R428" s="124"/>
      <c r="S428" s="124"/>
      <c r="T428" s="124"/>
      <c r="U428" s="125"/>
      <c r="V428" s="189"/>
      <c r="W428" s="124"/>
      <c r="X428" s="124"/>
      <c r="Y428" s="124"/>
      <c r="Z428" s="125"/>
      <c r="AA428" s="189"/>
      <c r="AB428" s="124"/>
      <c r="AC428" s="124"/>
      <c r="AD428" s="124"/>
      <c r="AE428" s="125"/>
      <c r="AF428" s="189"/>
      <c r="AG428" s="124"/>
      <c r="AH428" s="124"/>
      <c r="AI428" s="124"/>
      <c r="AJ428" s="125"/>
      <c r="AK428" s="189"/>
      <c r="AL428" s="124"/>
      <c r="AM428" s="124"/>
      <c r="AN428" s="124"/>
      <c r="AO428" s="360"/>
      <c r="AP428" s="360"/>
      <c r="AQ428" s="360"/>
      <c r="AR428" s="360"/>
      <c r="AS428" s="360"/>
      <c r="AT428" s="360"/>
      <c r="AU428" s="360"/>
      <c r="AV428" s="360"/>
      <c r="AW428" s="360"/>
      <c r="AX428" s="360"/>
      <c r="AY428" s="360"/>
      <c r="AZ428" s="360"/>
      <c r="BA428" s="360"/>
      <c r="BB428" s="360"/>
      <c r="BC428" s="360"/>
    </row>
    <row r="429">
      <c r="A429" s="125"/>
      <c r="B429" s="189"/>
      <c r="C429" s="124"/>
      <c r="D429" s="124"/>
      <c r="E429" s="124"/>
      <c r="F429" s="125"/>
      <c r="G429" s="189"/>
      <c r="H429" s="124"/>
      <c r="I429" s="124"/>
      <c r="J429" s="124"/>
      <c r="K429" s="102"/>
      <c r="L429" s="189"/>
      <c r="M429" s="124"/>
      <c r="N429" s="124"/>
      <c r="O429" s="124"/>
      <c r="P429" s="102"/>
      <c r="Q429" s="161"/>
      <c r="R429" s="124"/>
      <c r="S429" s="124"/>
      <c r="T429" s="124"/>
      <c r="U429" s="125"/>
      <c r="V429" s="189"/>
      <c r="W429" s="124"/>
      <c r="X429" s="124"/>
      <c r="Y429" s="124"/>
      <c r="Z429" s="125"/>
      <c r="AA429" s="189"/>
      <c r="AB429" s="124"/>
      <c r="AC429" s="124"/>
      <c r="AD429" s="124"/>
      <c r="AE429" s="125"/>
      <c r="AF429" s="189"/>
      <c r="AG429" s="124"/>
      <c r="AH429" s="124"/>
      <c r="AI429" s="124"/>
      <c r="AJ429" s="125"/>
      <c r="AK429" s="189"/>
      <c r="AL429" s="124"/>
      <c r="AM429" s="124"/>
      <c r="AN429" s="124"/>
      <c r="AO429" s="360"/>
      <c r="AP429" s="360"/>
      <c r="AQ429" s="360"/>
      <c r="AR429" s="360"/>
      <c r="AS429" s="360"/>
      <c r="AT429" s="360"/>
      <c r="AU429" s="360"/>
      <c r="AV429" s="360"/>
      <c r="AW429" s="360"/>
      <c r="AX429" s="360"/>
      <c r="AY429" s="360"/>
      <c r="AZ429" s="360"/>
      <c r="BA429" s="360"/>
      <c r="BB429" s="360"/>
      <c r="BC429" s="360"/>
    </row>
    <row r="430">
      <c r="A430" s="125"/>
      <c r="B430" s="189"/>
      <c r="C430" s="124"/>
      <c r="D430" s="124"/>
      <c r="E430" s="124"/>
      <c r="F430" s="125"/>
      <c r="G430" s="189"/>
      <c r="H430" s="124"/>
      <c r="I430" s="124"/>
      <c r="J430" s="124"/>
      <c r="K430" s="102"/>
      <c r="L430" s="189"/>
      <c r="M430" s="124"/>
      <c r="N430" s="124"/>
      <c r="O430" s="124"/>
      <c r="P430" s="102"/>
      <c r="Q430" s="161"/>
      <c r="R430" s="124"/>
      <c r="S430" s="124"/>
      <c r="T430" s="124"/>
      <c r="U430" s="125"/>
      <c r="V430" s="189"/>
      <c r="W430" s="124"/>
      <c r="X430" s="124"/>
      <c r="Y430" s="124"/>
      <c r="Z430" s="125"/>
      <c r="AA430" s="189"/>
      <c r="AB430" s="124"/>
      <c r="AC430" s="124"/>
      <c r="AD430" s="124"/>
      <c r="AE430" s="125"/>
      <c r="AF430" s="189"/>
      <c r="AG430" s="124"/>
      <c r="AH430" s="124"/>
      <c r="AI430" s="124"/>
      <c r="AJ430" s="125"/>
      <c r="AK430" s="189"/>
      <c r="AL430" s="124"/>
      <c r="AM430" s="124"/>
      <c r="AN430" s="124"/>
      <c r="AO430" s="360"/>
      <c r="AP430" s="360"/>
      <c r="AQ430" s="360"/>
      <c r="AR430" s="360"/>
      <c r="AS430" s="360"/>
      <c r="AT430" s="360"/>
      <c r="AU430" s="360"/>
      <c r="AV430" s="360"/>
      <c r="AW430" s="360"/>
      <c r="AX430" s="360"/>
      <c r="AY430" s="360"/>
      <c r="AZ430" s="360"/>
      <c r="BA430" s="360"/>
      <c r="BB430" s="360"/>
      <c r="BC430" s="360"/>
    </row>
    <row r="431">
      <c r="A431" s="125"/>
      <c r="B431" s="189"/>
      <c r="C431" s="124"/>
      <c r="D431" s="124"/>
      <c r="E431" s="124"/>
      <c r="F431" s="125"/>
      <c r="G431" s="189"/>
      <c r="H431" s="124"/>
      <c r="I431" s="124"/>
      <c r="J431" s="124"/>
      <c r="K431" s="102"/>
      <c r="L431" s="189"/>
      <c r="M431" s="124"/>
      <c r="N431" s="124"/>
      <c r="O431" s="124"/>
      <c r="P431" s="102"/>
      <c r="Q431" s="161"/>
      <c r="R431" s="124"/>
      <c r="S431" s="124"/>
      <c r="T431" s="124"/>
      <c r="U431" s="125"/>
      <c r="V431" s="189"/>
      <c r="W431" s="124"/>
      <c r="X431" s="124"/>
      <c r="Y431" s="124"/>
      <c r="Z431" s="125"/>
      <c r="AA431" s="189"/>
      <c r="AB431" s="124"/>
      <c r="AC431" s="124"/>
      <c r="AD431" s="124"/>
      <c r="AE431" s="125"/>
      <c r="AF431" s="189"/>
      <c r="AG431" s="124"/>
      <c r="AH431" s="124"/>
      <c r="AI431" s="124"/>
      <c r="AJ431" s="125"/>
      <c r="AK431" s="189"/>
      <c r="AL431" s="124"/>
      <c r="AM431" s="124"/>
      <c r="AN431" s="124"/>
      <c r="AO431" s="360"/>
      <c r="AP431" s="360"/>
      <c r="AQ431" s="360"/>
      <c r="AR431" s="360"/>
      <c r="AS431" s="360"/>
      <c r="AT431" s="360"/>
      <c r="AU431" s="360"/>
      <c r="AV431" s="360"/>
      <c r="AW431" s="360"/>
      <c r="AX431" s="360"/>
      <c r="AY431" s="360"/>
      <c r="AZ431" s="360"/>
      <c r="BA431" s="360"/>
      <c r="BB431" s="360"/>
      <c r="BC431" s="360"/>
    </row>
    <row r="432">
      <c r="A432" s="125"/>
      <c r="B432" s="189"/>
      <c r="C432" s="124"/>
      <c r="D432" s="124"/>
      <c r="E432" s="124"/>
      <c r="F432" s="125"/>
      <c r="G432" s="189"/>
      <c r="H432" s="124"/>
      <c r="I432" s="124"/>
      <c r="J432" s="124"/>
      <c r="K432" s="102"/>
      <c r="L432" s="189"/>
      <c r="M432" s="124"/>
      <c r="N432" s="124"/>
      <c r="O432" s="124"/>
      <c r="P432" s="102"/>
      <c r="Q432" s="161"/>
      <c r="R432" s="124"/>
      <c r="S432" s="124"/>
      <c r="T432" s="124"/>
      <c r="U432" s="125"/>
      <c r="V432" s="189"/>
      <c r="W432" s="124"/>
      <c r="X432" s="124"/>
      <c r="Y432" s="124"/>
      <c r="Z432" s="125"/>
      <c r="AA432" s="189"/>
      <c r="AB432" s="124"/>
      <c r="AC432" s="124"/>
      <c r="AD432" s="124"/>
      <c r="AE432" s="125"/>
      <c r="AF432" s="189"/>
      <c r="AG432" s="124"/>
      <c r="AH432" s="124"/>
      <c r="AI432" s="124"/>
      <c r="AJ432" s="125"/>
      <c r="AK432" s="189"/>
      <c r="AL432" s="124"/>
      <c r="AM432" s="124"/>
      <c r="AN432" s="124"/>
      <c r="AO432" s="360"/>
      <c r="AP432" s="360"/>
      <c r="AQ432" s="360"/>
      <c r="AR432" s="360"/>
      <c r="AS432" s="360"/>
      <c r="AT432" s="360"/>
      <c r="AU432" s="360"/>
      <c r="AV432" s="360"/>
      <c r="AW432" s="360"/>
      <c r="AX432" s="360"/>
      <c r="AY432" s="360"/>
      <c r="AZ432" s="360"/>
      <c r="BA432" s="360"/>
      <c r="BB432" s="360"/>
      <c r="BC432" s="360"/>
    </row>
    <row r="433">
      <c r="A433" s="125"/>
      <c r="B433" s="189"/>
      <c r="C433" s="124"/>
      <c r="D433" s="124"/>
      <c r="E433" s="124"/>
      <c r="F433" s="125"/>
      <c r="G433" s="189"/>
      <c r="H433" s="124"/>
      <c r="I433" s="124"/>
      <c r="J433" s="124"/>
      <c r="K433" s="102"/>
      <c r="L433" s="189"/>
      <c r="M433" s="124"/>
      <c r="N433" s="124"/>
      <c r="O433" s="124"/>
      <c r="P433" s="102"/>
      <c r="Q433" s="161"/>
      <c r="R433" s="124"/>
      <c r="S433" s="124"/>
      <c r="T433" s="124"/>
      <c r="U433" s="125"/>
      <c r="V433" s="189"/>
      <c r="W433" s="124"/>
      <c r="X433" s="124"/>
      <c r="Y433" s="124"/>
      <c r="Z433" s="125"/>
      <c r="AA433" s="189"/>
      <c r="AB433" s="124"/>
      <c r="AC433" s="124"/>
      <c r="AD433" s="124"/>
      <c r="AE433" s="125"/>
      <c r="AF433" s="189"/>
      <c r="AG433" s="124"/>
      <c r="AH433" s="124"/>
      <c r="AI433" s="124"/>
      <c r="AJ433" s="125"/>
      <c r="AK433" s="189"/>
      <c r="AL433" s="124"/>
      <c r="AM433" s="124"/>
      <c r="AN433" s="124"/>
      <c r="AO433" s="360"/>
      <c r="AP433" s="360"/>
      <c r="AQ433" s="360"/>
      <c r="AR433" s="360"/>
      <c r="AS433" s="360"/>
      <c r="AT433" s="360"/>
      <c r="AU433" s="360"/>
      <c r="AV433" s="360"/>
      <c r="AW433" s="360"/>
      <c r="AX433" s="360"/>
      <c r="AY433" s="360"/>
      <c r="AZ433" s="360"/>
      <c r="BA433" s="360"/>
      <c r="BB433" s="360"/>
      <c r="BC433" s="360"/>
    </row>
    <row r="434">
      <c r="A434" s="125"/>
      <c r="B434" s="189"/>
      <c r="C434" s="124"/>
      <c r="D434" s="124"/>
      <c r="E434" s="124"/>
      <c r="F434" s="125"/>
      <c r="G434" s="189"/>
      <c r="H434" s="124"/>
      <c r="I434" s="124"/>
      <c r="J434" s="124"/>
      <c r="K434" s="102"/>
      <c r="L434" s="189"/>
      <c r="M434" s="124"/>
      <c r="N434" s="124"/>
      <c r="O434" s="124"/>
      <c r="P434" s="102"/>
      <c r="Q434" s="161"/>
      <c r="R434" s="124"/>
      <c r="S434" s="124"/>
      <c r="T434" s="124"/>
      <c r="U434" s="125"/>
      <c r="V434" s="189"/>
      <c r="W434" s="124"/>
      <c r="X434" s="124"/>
      <c r="Y434" s="124"/>
      <c r="Z434" s="125"/>
      <c r="AA434" s="189"/>
      <c r="AB434" s="124"/>
      <c r="AC434" s="124"/>
      <c r="AD434" s="124"/>
      <c r="AE434" s="125"/>
      <c r="AF434" s="189"/>
      <c r="AG434" s="124"/>
      <c r="AH434" s="124"/>
      <c r="AI434" s="124"/>
      <c r="AJ434" s="125"/>
      <c r="AK434" s="189"/>
      <c r="AL434" s="124"/>
      <c r="AM434" s="124"/>
      <c r="AN434" s="124"/>
      <c r="AO434" s="360"/>
      <c r="AP434" s="360"/>
      <c r="AQ434" s="360"/>
      <c r="AR434" s="360"/>
      <c r="AS434" s="360"/>
      <c r="AT434" s="360"/>
      <c r="AU434" s="360"/>
      <c r="AV434" s="360"/>
      <c r="AW434" s="360"/>
      <c r="AX434" s="360"/>
      <c r="AY434" s="360"/>
      <c r="AZ434" s="360"/>
      <c r="BA434" s="360"/>
      <c r="BB434" s="360"/>
      <c r="BC434" s="360"/>
    </row>
    <row r="435">
      <c r="A435" s="125"/>
      <c r="B435" s="189"/>
      <c r="C435" s="124"/>
      <c r="D435" s="124"/>
      <c r="E435" s="124"/>
      <c r="F435" s="125"/>
      <c r="G435" s="189"/>
      <c r="H435" s="124"/>
      <c r="I435" s="124"/>
      <c r="J435" s="124"/>
      <c r="K435" s="102"/>
      <c r="L435" s="189"/>
      <c r="M435" s="124"/>
      <c r="N435" s="124"/>
      <c r="O435" s="124"/>
      <c r="P435" s="102"/>
      <c r="Q435" s="161"/>
      <c r="R435" s="124"/>
      <c r="S435" s="124"/>
      <c r="T435" s="124"/>
      <c r="U435" s="125"/>
      <c r="V435" s="189"/>
      <c r="W435" s="124"/>
      <c r="X435" s="124"/>
      <c r="Y435" s="124"/>
      <c r="Z435" s="125"/>
      <c r="AA435" s="189"/>
      <c r="AB435" s="124"/>
      <c r="AC435" s="124"/>
      <c r="AD435" s="124"/>
      <c r="AE435" s="125"/>
      <c r="AF435" s="189"/>
      <c r="AG435" s="124"/>
      <c r="AH435" s="124"/>
      <c r="AI435" s="124"/>
      <c r="AJ435" s="125"/>
      <c r="AK435" s="189"/>
      <c r="AL435" s="124"/>
      <c r="AM435" s="124"/>
      <c r="AN435" s="124"/>
      <c r="AO435" s="360"/>
      <c r="AP435" s="360"/>
      <c r="AQ435" s="360"/>
      <c r="AR435" s="360"/>
      <c r="AS435" s="360"/>
      <c r="AT435" s="360"/>
      <c r="AU435" s="360"/>
      <c r="AV435" s="360"/>
      <c r="AW435" s="360"/>
      <c r="AX435" s="360"/>
      <c r="AY435" s="360"/>
      <c r="AZ435" s="360"/>
      <c r="BA435" s="360"/>
      <c r="BB435" s="360"/>
      <c r="BC435" s="360"/>
    </row>
    <row r="436">
      <c r="A436" s="125"/>
      <c r="B436" s="189"/>
      <c r="C436" s="124"/>
      <c r="D436" s="124"/>
      <c r="E436" s="124"/>
      <c r="F436" s="125"/>
      <c r="G436" s="189"/>
      <c r="H436" s="124"/>
      <c r="I436" s="124"/>
      <c r="J436" s="124"/>
      <c r="K436" s="102"/>
      <c r="L436" s="189"/>
      <c r="M436" s="124"/>
      <c r="N436" s="124"/>
      <c r="O436" s="124"/>
      <c r="P436" s="102"/>
      <c r="Q436" s="161"/>
      <c r="R436" s="124"/>
      <c r="S436" s="124"/>
      <c r="T436" s="124"/>
      <c r="U436" s="125"/>
      <c r="V436" s="189"/>
      <c r="W436" s="124"/>
      <c r="X436" s="124"/>
      <c r="Y436" s="124"/>
      <c r="Z436" s="125"/>
      <c r="AA436" s="189"/>
      <c r="AB436" s="124"/>
      <c r="AC436" s="124"/>
      <c r="AD436" s="124"/>
      <c r="AE436" s="125"/>
      <c r="AF436" s="189"/>
      <c r="AG436" s="124"/>
      <c r="AH436" s="124"/>
      <c r="AI436" s="124"/>
      <c r="AJ436" s="125"/>
      <c r="AK436" s="189"/>
      <c r="AL436" s="124"/>
      <c r="AM436" s="124"/>
      <c r="AN436" s="124"/>
      <c r="AO436" s="360"/>
      <c r="AP436" s="360"/>
      <c r="AQ436" s="360"/>
      <c r="AR436" s="360"/>
      <c r="AS436" s="360"/>
      <c r="AT436" s="360"/>
      <c r="AU436" s="360"/>
      <c r="AV436" s="360"/>
      <c r="AW436" s="360"/>
      <c r="AX436" s="360"/>
      <c r="AY436" s="360"/>
      <c r="AZ436" s="360"/>
      <c r="BA436" s="360"/>
      <c r="BB436" s="360"/>
      <c r="BC436" s="360"/>
    </row>
    <row r="437">
      <c r="A437" s="125"/>
      <c r="B437" s="189"/>
      <c r="C437" s="124"/>
      <c r="D437" s="124"/>
      <c r="E437" s="124"/>
      <c r="F437" s="125"/>
      <c r="G437" s="189"/>
      <c r="H437" s="124"/>
      <c r="I437" s="124"/>
      <c r="J437" s="124"/>
      <c r="K437" s="102"/>
      <c r="L437" s="189"/>
      <c r="M437" s="124"/>
      <c r="N437" s="124"/>
      <c r="O437" s="124"/>
      <c r="P437" s="102"/>
      <c r="Q437" s="161"/>
      <c r="R437" s="124"/>
      <c r="S437" s="124"/>
      <c r="T437" s="124"/>
      <c r="U437" s="125"/>
      <c r="V437" s="189"/>
      <c r="W437" s="124"/>
      <c r="X437" s="124"/>
      <c r="Y437" s="124"/>
      <c r="Z437" s="125"/>
      <c r="AA437" s="189"/>
      <c r="AB437" s="124"/>
      <c r="AC437" s="124"/>
      <c r="AD437" s="124"/>
      <c r="AE437" s="125"/>
      <c r="AF437" s="189"/>
      <c r="AG437" s="124"/>
      <c r="AH437" s="124"/>
      <c r="AI437" s="124"/>
      <c r="AJ437" s="125"/>
      <c r="AK437" s="189"/>
      <c r="AL437" s="124"/>
      <c r="AM437" s="124"/>
      <c r="AN437" s="124"/>
      <c r="AO437" s="360"/>
      <c r="AP437" s="360"/>
      <c r="AQ437" s="360"/>
      <c r="AR437" s="360"/>
      <c r="AS437" s="360"/>
      <c r="AT437" s="360"/>
      <c r="AU437" s="360"/>
      <c r="AV437" s="360"/>
      <c r="AW437" s="360"/>
      <c r="AX437" s="360"/>
      <c r="AY437" s="360"/>
      <c r="AZ437" s="360"/>
      <c r="BA437" s="360"/>
      <c r="BB437" s="360"/>
      <c r="BC437" s="360"/>
    </row>
    <row r="438">
      <c r="A438" s="125"/>
      <c r="B438" s="189"/>
      <c r="C438" s="124"/>
      <c r="D438" s="124"/>
      <c r="E438" s="124"/>
      <c r="F438" s="125"/>
      <c r="G438" s="189"/>
      <c r="H438" s="124"/>
      <c r="I438" s="124"/>
      <c r="J438" s="124"/>
      <c r="K438" s="102"/>
      <c r="L438" s="189"/>
      <c r="M438" s="124"/>
      <c r="N438" s="124"/>
      <c r="O438" s="124"/>
      <c r="P438" s="102"/>
      <c r="Q438" s="161"/>
      <c r="R438" s="124"/>
      <c r="S438" s="124"/>
      <c r="T438" s="124"/>
      <c r="U438" s="125"/>
      <c r="V438" s="189"/>
      <c r="W438" s="124"/>
      <c r="X438" s="124"/>
      <c r="Y438" s="124"/>
      <c r="Z438" s="125"/>
      <c r="AA438" s="189"/>
      <c r="AB438" s="124"/>
      <c r="AC438" s="124"/>
      <c r="AD438" s="124"/>
      <c r="AE438" s="125"/>
      <c r="AF438" s="189"/>
      <c r="AG438" s="124"/>
      <c r="AH438" s="124"/>
      <c r="AI438" s="124"/>
      <c r="AJ438" s="125"/>
      <c r="AK438" s="189"/>
      <c r="AL438" s="124"/>
      <c r="AM438" s="124"/>
      <c r="AN438" s="124"/>
      <c r="AO438" s="360"/>
      <c r="AP438" s="360"/>
      <c r="AQ438" s="360"/>
      <c r="AR438" s="360"/>
      <c r="AS438" s="360"/>
      <c r="AT438" s="360"/>
      <c r="AU438" s="360"/>
      <c r="AV438" s="360"/>
      <c r="AW438" s="360"/>
      <c r="AX438" s="360"/>
      <c r="AY438" s="360"/>
      <c r="AZ438" s="360"/>
      <c r="BA438" s="360"/>
      <c r="BB438" s="360"/>
      <c r="BC438" s="360"/>
    </row>
    <row r="439">
      <c r="A439" s="125"/>
      <c r="B439" s="189"/>
      <c r="C439" s="124"/>
      <c r="D439" s="124"/>
      <c r="E439" s="124"/>
      <c r="F439" s="125"/>
      <c r="G439" s="189"/>
      <c r="H439" s="124"/>
      <c r="I439" s="124"/>
      <c r="J439" s="124"/>
      <c r="K439" s="102"/>
      <c r="L439" s="189"/>
      <c r="M439" s="124"/>
      <c r="N439" s="124"/>
      <c r="O439" s="124"/>
      <c r="P439" s="102"/>
      <c r="Q439" s="161"/>
      <c r="R439" s="124"/>
      <c r="S439" s="124"/>
      <c r="T439" s="124"/>
      <c r="U439" s="125"/>
      <c r="V439" s="189"/>
      <c r="W439" s="124"/>
      <c r="X439" s="124"/>
      <c r="Y439" s="124"/>
      <c r="Z439" s="125"/>
      <c r="AA439" s="189"/>
      <c r="AB439" s="124"/>
      <c r="AC439" s="124"/>
      <c r="AD439" s="124"/>
      <c r="AE439" s="125"/>
      <c r="AF439" s="189"/>
      <c r="AG439" s="124"/>
      <c r="AH439" s="124"/>
      <c r="AI439" s="124"/>
      <c r="AJ439" s="125"/>
      <c r="AK439" s="189"/>
      <c r="AL439" s="124"/>
      <c r="AM439" s="124"/>
      <c r="AN439" s="124"/>
      <c r="AO439" s="360"/>
      <c r="AP439" s="360"/>
      <c r="AQ439" s="360"/>
      <c r="AR439" s="360"/>
      <c r="AS439" s="360"/>
      <c r="AT439" s="360"/>
      <c r="AU439" s="360"/>
      <c r="AV439" s="360"/>
      <c r="AW439" s="360"/>
      <c r="AX439" s="360"/>
      <c r="AY439" s="360"/>
      <c r="AZ439" s="360"/>
      <c r="BA439" s="360"/>
      <c r="BB439" s="360"/>
      <c r="BC439" s="360"/>
    </row>
    <row r="440">
      <c r="A440" s="125"/>
      <c r="B440" s="189"/>
      <c r="C440" s="124"/>
      <c r="D440" s="124"/>
      <c r="E440" s="124"/>
      <c r="F440" s="125"/>
      <c r="G440" s="189"/>
      <c r="H440" s="124"/>
      <c r="I440" s="124"/>
      <c r="J440" s="124"/>
      <c r="K440" s="102"/>
      <c r="L440" s="189"/>
      <c r="M440" s="124"/>
      <c r="N440" s="124"/>
      <c r="O440" s="124"/>
      <c r="P440" s="102"/>
      <c r="Q440" s="161"/>
      <c r="R440" s="124"/>
      <c r="S440" s="124"/>
      <c r="T440" s="124"/>
      <c r="U440" s="125"/>
      <c r="V440" s="189"/>
      <c r="W440" s="124"/>
      <c r="X440" s="124"/>
      <c r="Y440" s="124"/>
      <c r="Z440" s="125"/>
      <c r="AA440" s="189"/>
      <c r="AB440" s="124"/>
      <c r="AC440" s="124"/>
      <c r="AD440" s="124"/>
      <c r="AE440" s="125"/>
      <c r="AF440" s="189"/>
      <c r="AG440" s="124"/>
      <c r="AH440" s="124"/>
      <c r="AI440" s="124"/>
      <c r="AJ440" s="125"/>
      <c r="AK440" s="189"/>
      <c r="AL440" s="124"/>
      <c r="AM440" s="124"/>
      <c r="AN440" s="124"/>
      <c r="AO440" s="360"/>
      <c r="AP440" s="360"/>
      <c r="AQ440" s="360"/>
      <c r="AR440" s="360"/>
      <c r="AS440" s="360"/>
      <c r="AT440" s="360"/>
      <c r="AU440" s="360"/>
      <c r="AV440" s="360"/>
      <c r="AW440" s="360"/>
      <c r="AX440" s="360"/>
      <c r="AY440" s="360"/>
      <c r="AZ440" s="360"/>
      <c r="BA440" s="360"/>
      <c r="BB440" s="360"/>
      <c r="BC440" s="360"/>
    </row>
    <row r="441">
      <c r="A441" s="125"/>
      <c r="B441" s="189"/>
      <c r="C441" s="124"/>
      <c r="D441" s="124"/>
      <c r="E441" s="124"/>
      <c r="F441" s="125"/>
      <c r="G441" s="189"/>
      <c r="H441" s="124"/>
      <c r="I441" s="124"/>
      <c r="J441" s="124"/>
      <c r="K441" s="102"/>
      <c r="L441" s="189"/>
      <c r="M441" s="124"/>
      <c r="N441" s="124"/>
      <c r="O441" s="124"/>
      <c r="P441" s="102"/>
      <c r="Q441" s="161"/>
      <c r="R441" s="124"/>
      <c r="S441" s="124"/>
      <c r="T441" s="124"/>
      <c r="U441" s="125"/>
      <c r="V441" s="189"/>
      <c r="W441" s="124"/>
      <c r="X441" s="124"/>
      <c r="Y441" s="124"/>
      <c r="Z441" s="125"/>
      <c r="AA441" s="189"/>
      <c r="AB441" s="124"/>
      <c r="AC441" s="124"/>
      <c r="AD441" s="124"/>
      <c r="AE441" s="125"/>
      <c r="AF441" s="189"/>
      <c r="AG441" s="124"/>
      <c r="AH441" s="124"/>
      <c r="AI441" s="124"/>
      <c r="AJ441" s="125"/>
      <c r="AK441" s="189"/>
      <c r="AL441" s="124"/>
      <c r="AM441" s="124"/>
      <c r="AN441" s="124"/>
      <c r="AO441" s="360"/>
      <c r="AP441" s="360"/>
      <c r="AQ441" s="360"/>
      <c r="AR441" s="360"/>
      <c r="AS441" s="360"/>
      <c r="AT441" s="360"/>
      <c r="AU441" s="360"/>
      <c r="AV441" s="360"/>
      <c r="AW441" s="360"/>
      <c r="AX441" s="360"/>
      <c r="AY441" s="360"/>
      <c r="AZ441" s="360"/>
      <c r="BA441" s="360"/>
      <c r="BB441" s="360"/>
      <c r="BC441" s="360"/>
    </row>
    <row r="442">
      <c r="A442" s="125"/>
      <c r="B442" s="189"/>
      <c r="C442" s="124"/>
      <c r="D442" s="124"/>
      <c r="E442" s="124"/>
      <c r="F442" s="125"/>
      <c r="G442" s="189"/>
      <c r="H442" s="124"/>
      <c r="I442" s="124"/>
      <c r="J442" s="124"/>
      <c r="K442" s="102"/>
      <c r="L442" s="189"/>
      <c r="M442" s="124"/>
      <c r="N442" s="124"/>
      <c r="O442" s="124"/>
      <c r="P442" s="102"/>
      <c r="Q442" s="161"/>
      <c r="R442" s="124"/>
      <c r="S442" s="124"/>
      <c r="T442" s="124"/>
      <c r="U442" s="125"/>
      <c r="V442" s="189"/>
      <c r="W442" s="124"/>
      <c r="X442" s="124"/>
      <c r="Y442" s="124"/>
      <c r="Z442" s="125"/>
      <c r="AA442" s="189"/>
      <c r="AB442" s="124"/>
      <c r="AC442" s="124"/>
      <c r="AD442" s="124"/>
      <c r="AE442" s="125"/>
      <c r="AF442" s="189"/>
      <c r="AG442" s="124"/>
      <c r="AH442" s="124"/>
      <c r="AI442" s="124"/>
      <c r="AJ442" s="125"/>
      <c r="AK442" s="189"/>
      <c r="AL442" s="124"/>
      <c r="AM442" s="124"/>
      <c r="AN442" s="124"/>
      <c r="AO442" s="360"/>
      <c r="AP442" s="360"/>
      <c r="AQ442" s="360"/>
      <c r="AR442" s="360"/>
      <c r="AS442" s="360"/>
      <c r="AT442" s="360"/>
      <c r="AU442" s="360"/>
      <c r="AV442" s="360"/>
      <c r="AW442" s="360"/>
      <c r="AX442" s="360"/>
      <c r="AY442" s="360"/>
      <c r="AZ442" s="360"/>
      <c r="BA442" s="360"/>
      <c r="BB442" s="360"/>
      <c r="BC442" s="360"/>
    </row>
    <row r="443">
      <c r="A443" s="125"/>
      <c r="B443" s="189"/>
      <c r="C443" s="124"/>
      <c r="D443" s="124"/>
      <c r="E443" s="124"/>
      <c r="F443" s="125"/>
      <c r="G443" s="189"/>
      <c r="H443" s="124"/>
      <c r="I443" s="124"/>
      <c r="J443" s="124"/>
      <c r="K443" s="102"/>
      <c r="L443" s="189"/>
      <c r="M443" s="124"/>
      <c r="N443" s="124"/>
      <c r="O443" s="124"/>
      <c r="P443" s="102"/>
      <c r="Q443" s="161"/>
      <c r="R443" s="124"/>
      <c r="S443" s="124"/>
      <c r="T443" s="124"/>
      <c r="U443" s="125"/>
      <c r="V443" s="189"/>
      <c r="W443" s="124"/>
      <c r="X443" s="124"/>
      <c r="Y443" s="124"/>
      <c r="Z443" s="125"/>
      <c r="AA443" s="189"/>
      <c r="AB443" s="124"/>
      <c r="AC443" s="124"/>
      <c r="AD443" s="124"/>
      <c r="AE443" s="125"/>
      <c r="AF443" s="189"/>
      <c r="AG443" s="124"/>
      <c r="AH443" s="124"/>
      <c r="AI443" s="124"/>
      <c r="AJ443" s="125"/>
      <c r="AK443" s="189"/>
      <c r="AL443" s="124"/>
      <c r="AM443" s="124"/>
      <c r="AN443" s="124"/>
      <c r="AO443" s="360"/>
      <c r="AP443" s="360"/>
      <c r="AQ443" s="360"/>
      <c r="AR443" s="360"/>
      <c r="AS443" s="360"/>
      <c r="AT443" s="360"/>
      <c r="AU443" s="360"/>
      <c r="AV443" s="360"/>
      <c r="AW443" s="360"/>
      <c r="AX443" s="360"/>
      <c r="AY443" s="360"/>
      <c r="AZ443" s="360"/>
      <c r="BA443" s="360"/>
      <c r="BB443" s="360"/>
      <c r="BC443" s="360"/>
    </row>
    <row r="444">
      <c r="A444" s="125"/>
      <c r="B444" s="189"/>
      <c r="C444" s="124"/>
      <c r="D444" s="124"/>
      <c r="E444" s="124"/>
      <c r="F444" s="125"/>
      <c r="G444" s="189"/>
      <c r="H444" s="124"/>
      <c r="I444" s="124"/>
      <c r="J444" s="124"/>
      <c r="K444" s="102"/>
      <c r="L444" s="189"/>
      <c r="M444" s="124"/>
      <c r="N444" s="124"/>
      <c r="O444" s="124"/>
      <c r="P444" s="102"/>
      <c r="Q444" s="161"/>
      <c r="R444" s="124"/>
      <c r="S444" s="124"/>
      <c r="T444" s="124"/>
      <c r="U444" s="125"/>
      <c r="V444" s="189"/>
      <c r="W444" s="124"/>
      <c r="X444" s="124"/>
      <c r="Y444" s="124"/>
      <c r="Z444" s="125"/>
      <c r="AA444" s="189"/>
      <c r="AB444" s="124"/>
      <c r="AC444" s="124"/>
      <c r="AD444" s="124"/>
      <c r="AE444" s="125"/>
      <c r="AF444" s="189"/>
      <c r="AG444" s="124"/>
      <c r="AH444" s="124"/>
      <c r="AI444" s="124"/>
      <c r="AJ444" s="125"/>
      <c r="AK444" s="189"/>
      <c r="AL444" s="124"/>
      <c r="AM444" s="124"/>
      <c r="AN444" s="124"/>
      <c r="AO444" s="360"/>
      <c r="AP444" s="360"/>
      <c r="AQ444" s="360"/>
      <c r="AR444" s="360"/>
      <c r="AS444" s="360"/>
      <c r="AT444" s="360"/>
      <c r="AU444" s="360"/>
      <c r="AV444" s="360"/>
      <c r="AW444" s="360"/>
      <c r="AX444" s="360"/>
      <c r="AY444" s="360"/>
      <c r="AZ444" s="360"/>
      <c r="BA444" s="360"/>
      <c r="BB444" s="360"/>
      <c r="BC444" s="360"/>
    </row>
    <row r="445">
      <c r="A445" s="125"/>
      <c r="B445" s="189"/>
      <c r="C445" s="124"/>
      <c r="D445" s="124"/>
      <c r="E445" s="124"/>
      <c r="F445" s="125"/>
      <c r="G445" s="189"/>
      <c r="H445" s="124"/>
      <c r="I445" s="124"/>
      <c r="J445" s="124"/>
      <c r="K445" s="102"/>
      <c r="L445" s="189"/>
      <c r="M445" s="124"/>
      <c r="N445" s="124"/>
      <c r="O445" s="124"/>
      <c r="P445" s="102"/>
      <c r="Q445" s="161"/>
      <c r="R445" s="124"/>
      <c r="S445" s="124"/>
      <c r="T445" s="124"/>
      <c r="U445" s="125"/>
      <c r="V445" s="189"/>
      <c r="W445" s="124"/>
      <c r="X445" s="124"/>
      <c r="Y445" s="124"/>
      <c r="Z445" s="125"/>
      <c r="AA445" s="189"/>
      <c r="AB445" s="124"/>
      <c r="AC445" s="124"/>
      <c r="AD445" s="124"/>
      <c r="AE445" s="125"/>
      <c r="AF445" s="189"/>
      <c r="AG445" s="124"/>
      <c r="AH445" s="124"/>
      <c r="AI445" s="124"/>
      <c r="AJ445" s="125"/>
      <c r="AK445" s="189"/>
      <c r="AL445" s="124"/>
      <c r="AM445" s="124"/>
      <c r="AN445" s="124"/>
      <c r="AO445" s="360"/>
      <c r="AP445" s="360"/>
      <c r="AQ445" s="360"/>
      <c r="AR445" s="360"/>
      <c r="AS445" s="360"/>
      <c r="AT445" s="360"/>
      <c r="AU445" s="360"/>
      <c r="AV445" s="360"/>
      <c r="AW445" s="360"/>
      <c r="AX445" s="360"/>
      <c r="AY445" s="360"/>
      <c r="AZ445" s="360"/>
      <c r="BA445" s="360"/>
      <c r="BB445" s="360"/>
      <c r="BC445" s="360"/>
    </row>
    <row r="446">
      <c r="A446" s="125"/>
      <c r="B446" s="189"/>
      <c r="C446" s="124"/>
      <c r="D446" s="124"/>
      <c r="E446" s="124"/>
      <c r="F446" s="125"/>
      <c r="G446" s="189"/>
      <c r="H446" s="124"/>
      <c r="I446" s="124"/>
      <c r="J446" s="124"/>
      <c r="K446" s="102"/>
      <c r="L446" s="189"/>
      <c r="M446" s="124"/>
      <c r="N446" s="124"/>
      <c r="O446" s="124"/>
      <c r="P446" s="102"/>
      <c r="Q446" s="161"/>
      <c r="R446" s="124"/>
      <c r="S446" s="124"/>
      <c r="T446" s="124"/>
      <c r="U446" s="125"/>
      <c r="V446" s="189"/>
      <c r="W446" s="124"/>
      <c r="X446" s="124"/>
      <c r="Y446" s="124"/>
      <c r="Z446" s="125"/>
      <c r="AA446" s="189"/>
      <c r="AB446" s="124"/>
      <c r="AC446" s="124"/>
      <c r="AD446" s="124"/>
      <c r="AE446" s="125"/>
      <c r="AF446" s="189"/>
      <c r="AG446" s="124"/>
      <c r="AH446" s="124"/>
      <c r="AI446" s="124"/>
      <c r="AJ446" s="125"/>
      <c r="AK446" s="189"/>
      <c r="AL446" s="124"/>
      <c r="AM446" s="124"/>
      <c r="AN446" s="124"/>
      <c r="AO446" s="360"/>
      <c r="AP446" s="360"/>
      <c r="AQ446" s="360"/>
      <c r="AR446" s="360"/>
      <c r="AS446" s="360"/>
      <c r="AT446" s="360"/>
      <c r="AU446" s="360"/>
      <c r="AV446" s="360"/>
      <c r="AW446" s="360"/>
      <c r="AX446" s="360"/>
      <c r="AY446" s="360"/>
      <c r="AZ446" s="360"/>
      <c r="BA446" s="360"/>
      <c r="BB446" s="360"/>
      <c r="BC446" s="360"/>
    </row>
    <row r="447">
      <c r="A447" s="125"/>
      <c r="B447" s="189"/>
      <c r="C447" s="124"/>
      <c r="D447" s="124"/>
      <c r="E447" s="124"/>
      <c r="F447" s="125"/>
      <c r="G447" s="189"/>
      <c r="H447" s="124"/>
      <c r="I447" s="124"/>
      <c r="J447" s="124"/>
      <c r="K447" s="102"/>
      <c r="L447" s="189"/>
      <c r="M447" s="124"/>
      <c r="N447" s="124"/>
      <c r="O447" s="124"/>
      <c r="P447" s="102"/>
      <c r="Q447" s="161"/>
      <c r="R447" s="124"/>
      <c r="S447" s="124"/>
      <c r="T447" s="124"/>
      <c r="U447" s="125"/>
      <c r="V447" s="189"/>
      <c r="W447" s="124"/>
      <c r="X447" s="124"/>
      <c r="Y447" s="124"/>
      <c r="Z447" s="125"/>
      <c r="AA447" s="189"/>
      <c r="AB447" s="124"/>
      <c r="AC447" s="124"/>
      <c r="AD447" s="124"/>
      <c r="AE447" s="125"/>
      <c r="AF447" s="189"/>
      <c r="AG447" s="124"/>
      <c r="AH447" s="124"/>
      <c r="AI447" s="124"/>
      <c r="AJ447" s="125"/>
      <c r="AK447" s="189"/>
      <c r="AL447" s="124"/>
      <c r="AM447" s="124"/>
      <c r="AN447" s="124"/>
      <c r="AO447" s="360"/>
      <c r="AP447" s="360"/>
      <c r="AQ447" s="360"/>
      <c r="AR447" s="360"/>
      <c r="AS447" s="360"/>
      <c r="AT447" s="360"/>
      <c r="AU447" s="360"/>
      <c r="AV447" s="360"/>
      <c r="AW447" s="360"/>
      <c r="AX447" s="360"/>
      <c r="AY447" s="360"/>
      <c r="AZ447" s="360"/>
      <c r="BA447" s="360"/>
      <c r="BB447" s="360"/>
      <c r="BC447" s="360"/>
    </row>
    <row r="448">
      <c r="A448" s="125"/>
      <c r="B448" s="189"/>
      <c r="C448" s="124"/>
      <c r="D448" s="124"/>
      <c r="E448" s="124"/>
      <c r="F448" s="125"/>
      <c r="G448" s="189"/>
      <c r="H448" s="124"/>
      <c r="I448" s="124"/>
      <c r="J448" s="124"/>
      <c r="K448" s="102"/>
      <c r="L448" s="189"/>
      <c r="M448" s="124"/>
      <c r="N448" s="124"/>
      <c r="O448" s="124"/>
      <c r="P448" s="102"/>
      <c r="Q448" s="161"/>
      <c r="R448" s="124"/>
      <c r="S448" s="124"/>
      <c r="T448" s="124"/>
      <c r="U448" s="125"/>
      <c r="V448" s="189"/>
      <c r="W448" s="124"/>
      <c r="X448" s="124"/>
      <c r="Y448" s="124"/>
      <c r="Z448" s="125"/>
      <c r="AA448" s="189"/>
      <c r="AB448" s="124"/>
      <c r="AC448" s="124"/>
      <c r="AD448" s="124"/>
      <c r="AE448" s="125"/>
      <c r="AF448" s="189"/>
      <c r="AG448" s="124"/>
      <c r="AH448" s="124"/>
      <c r="AI448" s="124"/>
      <c r="AJ448" s="125"/>
      <c r="AK448" s="189"/>
      <c r="AL448" s="124"/>
      <c r="AM448" s="124"/>
      <c r="AN448" s="124"/>
      <c r="AO448" s="360"/>
      <c r="AP448" s="360"/>
      <c r="AQ448" s="360"/>
      <c r="AR448" s="360"/>
      <c r="AS448" s="360"/>
      <c r="AT448" s="360"/>
      <c r="AU448" s="360"/>
      <c r="AV448" s="360"/>
      <c r="AW448" s="360"/>
      <c r="AX448" s="360"/>
      <c r="AY448" s="360"/>
      <c r="AZ448" s="360"/>
      <c r="BA448" s="360"/>
      <c r="BB448" s="360"/>
      <c r="BC448" s="360"/>
    </row>
    <row r="449">
      <c r="A449" s="125"/>
      <c r="B449" s="189"/>
      <c r="C449" s="124"/>
      <c r="D449" s="124"/>
      <c r="E449" s="124"/>
      <c r="F449" s="125"/>
      <c r="G449" s="189"/>
      <c r="H449" s="124"/>
      <c r="I449" s="124"/>
      <c r="J449" s="124"/>
      <c r="K449" s="102"/>
      <c r="L449" s="189"/>
      <c r="M449" s="124"/>
      <c r="N449" s="124"/>
      <c r="O449" s="124"/>
      <c r="P449" s="102"/>
      <c r="Q449" s="161"/>
      <c r="R449" s="124"/>
      <c r="S449" s="124"/>
      <c r="T449" s="124"/>
      <c r="U449" s="125"/>
      <c r="V449" s="189"/>
      <c r="W449" s="124"/>
      <c r="X449" s="124"/>
      <c r="Y449" s="124"/>
      <c r="Z449" s="125"/>
      <c r="AA449" s="189"/>
      <c r="AB449" s="124"/>
      <c r="AC449" s="124"/>
      <c r="AD449" s="124"/>
      <c r="AE449" s="125"/>
      <c r="AF449" s="189"/>
      <c r="AG449" s="124"/>
      <c r="AH449" s="124"/>
      <c r="AI449" s="124"/>
      <c r="AJ449" s="125"/>
      <c r="AK449" s="189"/>
      <c r="AL449" s="124"/>
      <c r="AM449" s="124"/>
      <c r="AN449" s="124"/>
      <c r="AO449" s="360"/>
      <c r="AP449" s="360"/>
      <c r="AQ449" s="360"/>
      <c r="AR449" s="360"/>
      <c r="AS449" s="360"/>
      <c r="AT449" s="360"/>
      <c r="AU449" s="360"/>
      <c r="AV449" s="360"/>
      <c r="AW449" s="360"/>
      <c r="AX449" s="360"/>
      <c r="AY449" s="360"/>
      <c r="AZ449" s="360"/>
      <c r="BA449" s="360"/>
      <c r="BB449" s="360"/>
      <c r="BC449" s="360"/>
    </row>
    <row r="450">
      <c r="A450" s="125"/>
      <c r="B450" s="189"/>
      <c r="C450" s="124"/>
      <c r="D450" s="124"/>
      <c r="E450" s="124"/>
      <c r="F450" s="125"/>
      <c r="G450" s="189"/>
      <c r="H450" s="124"/>
      <c r="I450" s="124"/>
      <c r="J450" s="124"/>
      <c r="K450" s="102"/>
      <c r="L450" s="189"/>
      <c r="M450" s="124"/>
      <c r="N450" s="124"/>
      <c r="O450" s="124"/>
      <c r="P450" s="102"/>
      <c r="Q450" s="161"/>
      <c r="R450" s="124"/>
      <c r="S450" s="124"/>
      <c r="T450" s="124"/>
      <c r="U450" s="125"/>
      <c r="V450" s="189"/>
      <c r="W450" s="124"/>
      <c r="X450" s="124"/>
      <c r="Y450" s="124"/>
      <c r="Z450" s="125"/>
      <c r="AA450" s="189"/>
      <c r="AB450" s="124"/>
      <c r="AC450" s="124"/>
      <c r="AD450" s="124"/>
      <c r="AE450" s="125"/>
      <c r="AF450" s="189"/>
      <c r="AG450" s="124"/>
      <c r="AH450" s="124"/>
      <c r="AI450" s="124"/>
      <c r="AJ450" s="125"/>
      <c r="AK450" s="189"/>
      <c r="AL450" s="124"/>
      <c r="AM450" s="124"/>
      <c r="AN450" s="124"/>
      <c r="AO450" s="360"/>
      <c r="AP450" s="360"/>
      <c r="AQ450" s="360"/>
      <c r="AR450" s="360"/>
      <c r="AS450" s="360"/>
      <c r="AT450" s="360"/>
      <c r="AU450" s="360"/>
      <c r="AV450" s="360"/>
      <c r="AW450" s="360"/>
      <c r="AX450" s="360"/>
      <c r="AY450" s="360"/>
      <c r="AZ450" s="360"/>
      <c r="BA450" s="360"/>
      <c r="BB450" s="360"/>
      <c r="BC450" s="360"/>
    </row>
    <row r="451">
      <c r="A451" s="125"/>
      <c r="B451" s="189"/>
      <c r="C451" s="124"/>
      <c r="D451" s="124"/>
      <c r="E451" s="124"/>
      <c r="F451" s="125"/>
      <c r="G451" s="189"/>
      <c r="H451" s="124"/>
      <c r="I451" s="124"/>
      <c r="J451" s="124"/>
      <c r="K451" s="102"/>
      <c r="L451" s="189"/>
      <c r="M451" s="124"/>
      <c r="N451" s="124"/>
      <c r="O451" s="124"/>
      <c r="P451" s="102"/>
      <c r="Q451" s="161"/>
      <c r="R451" s="124"/>
      <c r="S451" s="124"/>
      <c r="T451" s="124"/>
      <c r="U451" s="125"/>
      <c r="V451" s="189"/>
      <c r="W451" s="124"/>
      <c r="X451" s="124"/>
      <c r="Y451" s="124"/>
      <c r="Z451" s="125"/>
      <c r="AA451" s="189"/>
      <c r="AB451" s="124"/>
      <c r="AC451" s="124"/>
      <c r="AD451" s="124"/>
      <c r="AE451" s="125"/>
      <c r="AF451" s="189"/>
      <c r="AG451" s="124"/>
      <c r="AH451" s="124"/>
      <c r="AI451" s="124"/>
      <c r="AJ451" s="125"/>
      <c r="AK451" s="189"/>
      <c r="AL451" s="124"/>
      <c r="AM451" s="124"/>
      <c r="AN451" s="124"/>
      <c r="AO451" s="360"/>
      <c r="AP451" s="360"/>
      <c r="AQ451" s="360"/>
      <c r="AR451" s="360"/>
      <c r="AS451" s="360"/>
      <c r="AT451" s="360"/>
      <c r="AU451" s="360"/>
      <c r="AV451" s="360"/>
      <c r="AW451" s="360"/>
      <c r="AX451" s="360"/>
      <c r="AY451" s="360"/>
      <c r="AZ451" s="360"/>
      <c r="BA451" s="360"/>
      <c r="BB451" s="360"/>
      <c r="BC451" s="360"/>
    </row>
    <row r="452">
      <c r="A452" s="125"/>
      <c r="B452" s="189"/>
      <c r="C452" s="124"/>
      <c r="D452" s="124"/>
      <c r="E452" s="124"/>
      <c r="F452" s="125"/>
      <c r="G452" s="189"/>
      <c r="H452" s="124"/>
      <c r="I452" s="124"/>
      <c r="J452" s="124"/>
      <c r="K452" s="102"/>
      <c r="L452" s="189"/>
      <c r="M452" s="124"/>
      <c r="N452" s="124"/>
      <c r="O452" s="124"/>
      <c r="P452" s="102"/>
      <c r="Q452" s="161"/>
      <c r="R452" s="124"/>
      <c r="S452" s="124"/>
      <c r="T452" s="124"/>
      <c r="U452" s="125"/>
      <c r="V452" s="189"/>
      <c r="W452" s="124"/>
      <c r="X452" s="124"/>
      <c r="Y452" s="124"/>
      <c r="Z452" s="125"/>
      <c r="AA452" s="189"/>
      <c r="AB452" s="124"/>
      <c r="AC452" s="124"/>
      <c r="AD452" s="124"/>
      <c r="AE452" s="125"/>
      <c r="AF452" s="189"/>
      <c r="AG452" s="124"/>
      <c r="AH452" s="124"/>
      <c r="AI452" s="124"/>
      <c r="AJ452" s="125"/>
      <c r="AK452" s="189"/>
      <c r="AL452" s="124"/>
      <c r="AM452" s="124"/>
      <c r="AN452" s="124"/>
      <c r="AO452" s="360"/>
      <c r="AP452" s="360"/>
      <c r="AQ452" s="360"/>
      <c r="AR452" s="360"/>
      <c r="AS452" s="360"/>
      <c r="AT452" s="360"/>
      <c r="AU452" s="360"/>
      <c r="AV452" s="360"/>
      <c r="AW452" s="360"/>
      <c r="AX452" s="360"/>
      <c r="AY452" s="360"/>
      <c r="AZ452" s="360"/>
      <c r="BA452" s="360"/>
      <c r="BB452" s="360"/>
      <c r="BC452" s="360"/>
    </row>
    <row r="453">
      <c r="A453" s="125"/>
      <c r="B453" s="189"/>
      <c r="C453" s="124"/>
      <c r="D453" s="124"/>
      <c r="E453" s="124"/>
      <c r="F453" s="125"/>
      <c r="G453" s="189"/>
      <c r="H453" s="124"/>
      <c r="I453" s="124"/>
      <c r="J453" s="124"/>
      <c r="K453" s="102"/>
      <c r="L453" s="189"/>
      <c r="M453" s="124"/>
      <c r="N453" s="124"/>
      <c r="O453" s="124"/>
      <c r="P453" s="102"/>
      <c r="Q453" s="161"/>
      <c r="R453" s="124"/>
      <c r="S453" s="124"/>
      <c r="T453" s="124"/>
      <c r="U453" s="125"/>
      <c r="V453" s="189"/>
      <c r="W453" s="124"/>
      <c r="X453" s="124"/>
      <c r="Y453" s="124"/>
      <c r="Z453" s="125"/>
      <c r="AA453" s="189"/>
      <c r="AB453" s="124"/>
      <c r="AC453" s="124"/>
      <c r="AD453" s="124"/>
      <c r="AE453" s="125"/>
      <c r="AF453" s="189"/>
      <c r="AG453" s="124"/>
      <c r="AH453" s="124"/>
      <c r="AI453" s="124"/>
      <c r="AJ453" s="125"/>
      <c r="AK453" s="189"/>
      <c r="AL453" s="124"/>
      <c r="AM453" s="124"/>
      <c r="AN453" s="124"/>
      <c r="AO453" s="360"/>
      <c r="AP453" s="360"/>
      <c r="AQ453" s="360"/>
      <c r="AR453" s="360"/>
      <c r="AS453" s="360"/>
      <c r="AT453" s="360"/>
      <c r="AU453" s="360"/>
      <c r="AV453" s="360"/>
      <c r="AW453" s="360"/>
      <c r="AX453" s="360"/>
      <c r="AY453" s="360"/>
      <c r="AZ453" s="360"/>
      <c r="BA453" s="360"/>
      <c r="BB453" s="360"/>
      <c r="BC453" s="360"/>
    </row>
    <row r="454">
      <c r="A454" s="125"/>
      <c r="B454" s="189"/>
      <c r="C454" s="124"/>
      <c r="D454" s="124"/>
      <c r="E454" s="124"/>
      <c r="F454" s="125"/>
      <c r="G454" s="189"/>
      <c r="H454" s="124"/>
      <c r="I454" s="124"/>
      <c r="J454" s="124"/>
      <c r="K454" s="102"/>
      <c r="L454" s="189"/>
      <c r="M454" s="124"/>
      <c r="N454" s="124"/>
      <c r="O454" s="124"/>
      <c r="P454" s="102"/>
      <c r="Q454" s="161"/>
      <c r="R454" s="124"/>
      <c r="S454" s="124"/>
      <c r="T454" s="124"/>
      <c r="U454" s="125"/>
      <c r="V454" s="189"/>
      <c r="W454" s="124"/>
      <c r="X454" s="124"/>
      <c r="Y454" s="124"/>
      <c r="Z454" s="125"/>
      <c r="AA454" s="189"/>
      <c r="AB454" s="124"/>
      <c r="AC454" s="124"/>
      <c r="AD454" s="124"/>
      <c r="AE454" s="125"/>
      <c r="AF454" s="189"/>
      <c r="AG454" s="124"/>
      <c r="AH454" s="124"/>
      <c r="AI454" s="124"/>
      <c r="AJ454" s="125"/>
      <c r="AK454" s="189"/>
      <c r="AL454" s="124"/>
      <c r="AM454" s="124"/>
      <c r="AN454" s="124"/>
      <c r="AO454" s="360"/>
      <c r="AP454" s="360"/>
      <c r="AQ454" s="360"/>
      <c r="AR454" s="360"/>
      <c r="AS454" s="360"/>
      <c r="AT454" s="360"/>
      <c r="AU454" s="360"/>
      <c r="AV454" s="360"/>
      <c r="AW454" s="360"/>
      <c r="AX454" s="360"/>
      <c r="AY454" s="360"/>
      <c r="AZ454" s="360"/>
      <c r="BA454" s="360"/>
      <c r="BB454" s="360"/>
      <c r="BC454" s="360"/>
    </row>
    <row r="455">
      <c r="A455" s="125"/>
      <c r="B455" s="189"/>
      <c r="C455" s="124"/>
      <c r="D455" s="124"/>
      <c r="E455" s="124"/>
      <c r="F455" s="125"/>
      <c r="G455" s="189"/>
      <c r="H455" s="124"/>
      <c r="I455" s="124"/>
      <c r="J455" s="124"/>
      <c r="K455" s="102"/>
      <c r="L455" s="189"/>
      <c r="M455" s="124"/>
      <c r="N455" s="124"/>
      <c r="O455" s="124"/>
      <c r="P455" s="102"/>
      <c r="Q455" s="161"/>
      <c r="R455" s="124"/>
      <c r="S455" s="124"/>
      <c r="T455" s="124"/>
      <c r="U455" s="125"/>
      <c r="V455" s="189"/>
      <c r="W455" s="124"/>
      <c r="X455" s="124"/>
      <c r="Y455" s="124"/>
      <c r="Z455" s="125"/>
      <c r="AA455" s="189"/>
      <c r="AB455" s="124"/>
      <c r="AC455" s="124"/>
      <c r="AD455" s="124"/>
      <c r="AE455" s="125"/>
      <c r="AF455" s="189"/>
      <c r="AG455" s="124"/>
      <c r="AH455" s="124"/>
      <c r="AI455" s="124"/>
      <c r="AJ455" s="125"/>
      <c r="AK455" s="189"/>
      <c r="AL455" s="124"/>
      <c r="AM455" s="124"/>
      <c r="AN455" s="124"/>
      <c r="AO455" s="360"/>
      <c r="AP455" s="360"/>
      <c r="AQ455" s="360"/>
      <c r="AR455" s="360"/>
      <c r="AS455" s="360"/>
      <c r="AT455" s="360"/>
      <c r="AU455" s="360"/>
      <c r="AV455" s="360"/>
      <c r="AW455" s="360"/>
      <c r="AX455" s="360"/>
      <c r="AY455" s="360"/>
      <c r="AZ455" s="360"/>
      <c r="BA455" s="360"/>
      <c r="BB455" s="360"/>
      <c r="BC455" s="360"/>
    </row>
    <row r="456">
      <c r="A456" s="125"/>
      <c r="B456" s="189"/>
      <c r="C456" s="124"/>
      <c r="D456" s="124"/>
      <c r="E456" s="124"/>
      <c r="F456" s="125"/>
      <c r="G456" s="189"/>
      <c r="H456" s="124"/>
      <c r="I456" s="124"/>
      <c r="J456" s="124"/>
      <c r="K456" s="102"/>
      <c r="L456" s="189"/>
      <c r="M456" s="124"/>
      <c r="N456" s="124"/>
      <c r="O456" s="124"/>
      <c r="P456" s="102"/>
      <c r="Q456" s="161"/>
      <c r="R456" s="124"/>
      <c r="S456" s="124"/>
      <c r="T456" s="124"/>
      <c r="U456" s="125"/>
      <c r="V456" s="189"/>
      <c r="W456" s="124"/>
      <c r="X456" s="124"/>
      <c r="Y456" s="124"/>
      <c r="Z456" s="125"/>
      <c r="AA456" s="189"/>
      <c r="AB456" s="124"/>
      <c r="AC456" s="124"/>
      <c r="AD456" s="124"/>
      <c r="AE456" s="125"/>
      <c r="AF456" s="189"/>
      <c r="AG456" s="124"/>
      <c r="AH456" s="124"/>
      <c r="AI456" s="124"/>
      <c r="AJ456" s="125"/>
      <c r="AK456" s="189"/>
      <c r="AL456" s="124"/>
      <c r="AM456" s="124"/>
      <c r="AN456" s="124"/>
      <c r="AO456" s="360"/>
      <c r="AP456" s="360"/>
      <c r="AQ456" s="360"/>
      <c r="AR456" s="360"/>
      <c r="AS456" s="360"/>
      <c r="AT456" s="360"/>
      <c r="AU456" s="360"/>
      <c r="AV456" s="360"/>
      <c r="AW456" s="360"/>
      <c r="AX456" s="360"/>
      <c r="AY456" s="360"/>
      <c r="AZ456" s="360"/>
      <c r="BA456" s="360"/>
      <c r="BB456" s="360"/>
      <c r="BC456" s="360"/>
    </row>
    <row r="457">
      <c r="A457" s="125"/>
      <c r="B457" s="189"/>
      <c r="C457" s="124"/>
      <c r="D457" s="124"/>
      <c r="E457" s="124"/>
      <c r="F457" s="125"/>
      <c r="G457" s="189"/>
      <c r="H457" s="124"/>
      <c r="I457" s="124"/>
      <c r="J457" s="124"/>
      <c r="K457" s="102"/>
      <c r="L457" s="189"/>
      <c r="M457" s="124"/>
      <c r="N457" s="124"/>
      <c r="O457" s="124"/>
      <c r="P457" s="102"/>
      <c r="Q457" s="161"/>
      <c r="R457" s="124"/>
      <c r="S457" s="124"/>
      <c r="T457" s="124"/>
      <c r="U457" s="125"/>
      <c r="V457" s="189"/>
      <c r="W457" s="124"/>
      <c r="X457" s="124"/>
      <c r="Y457" s="124"/>
      <c r="Z457" s="125"/>
      <c r="AA457" s="189"/>
      <c r="AB457" s="124"/>
      <c r="AC457" s="124"/>
      <c r="AD457" s="124"/>
      <c r="AE457" s="125"/>
      <c r="AF457" s="189"/>
      <c r="AG457" s="124"/>
      <c r="AH457" s="124"/>
      <c r="AI457" s="124"/>
      <c r="AJ457" s="125"/>
      <c r="AK457" s="189"/>
      <c r="AL457" s="124"/>
      <c r="AM457" s="124"/>
      <c r="AN457" s="124"/>
      <c r="AO457" s="360"/>
      <c r="AP457" s="360"/>
      <c r="AQ457" s="360"/>
      <c r="AR457" s="360"/>
      <c r="AS457" s="360"/>
      <c r="AT457" s="360"/>
      <c r="AU457" s="360"/>
      <c r="AV457" s="360"/>
      <c r="AW457" s="360"/>
      <c r="AX457" s="360"/>
      <c r="AY457" s="360"/>
      <c r="AZ457" s="360"/>
      <c r="BA457" s="360"/>
      <c r="BB457" s="360"/>
      <c r="BC457" s="360"/>
    </row>
    <row r="458">
      <c r="A458" s="125"/>
      <c r="B458" s="189"/>
      <c r="C458" s="124"/>
      <c r="D458" s="124"/>
      <c r="E458" s="124"/>
      <c r="F458" s="125"/>
      <c r="G458" s="189"/>
      <c r="H458" s="124"/>
      <c r="I458" s="124"/>
      <c r="J458" s="124"/>
      <c r="K458" s="102"/>
      <c r="L458" s="189"/>
      <c r="M458" s="124"/>
      <c r="N458" s="124"/>
      <c r="O458" s="124"/>
      <c r="P458" s="102"/>
      <c r="Q458" s="161"/>
      <c r="R458" s="124"/>
      <c r="S458" s="124"/>
      <c r="T458" s="124"/>
      <c r="U458" s="125"/>
      <c r="V458" s="189"/>
      <c r="W458" s="124"/>
      <c r="X458" s="124"/>
      <c r="Y458" s="124"/>
      <c r="Z458" s="125"/>
      <c r="AA458" s="189"/>
      <c r="AB458" s="124"/>
      <c r="AC458" s="124"/>
      <c r="AD458" s="124"/>
      <c r="AE458" s="125"/>
      <c r="AF458" s="189"/>
      <c r="AG458" s="124"/>
      <c r="AH458" s="124"/>
      <c r="AI458" s="124"/>
      <c r="AJ458" s="125"/>
      <c r="AK458" s="189"/>
      <c r="AL458" s="124"/>
      <c r="AM458" s="124"/>
      <c r="AN458" s="124"/>
      <c r="AO458" s="360"/>
      <c r="AP458" s="360"/>
      <c r="AQ458" s="360"/>
      <c r="AR458" s="360"/>
      <c r="AS458" s="360"/>
      <c r="AT458" s="360"/>
      <c r="AU458" s="360"/>
      <c r="AV458" s="360"/>
      <c r="AW458" s="360"/>
      <c r="AX458" s="360"/>
      <c r="AY458" s="360"/>
      <c r="AZ458" s="360"/>
      <c r="BA458" s="360"/>
      <c r="BB458" s="360"/>
      <c r="BC458" s="360"/>
    </row>
    <row r="459">
      <c r="A459" s="125"/>
      <c r="B459" s="189"/>
      <c r="C459" s="124"/>
      <c r="D459" s="124"/>
      <c r="E459" s="124"/>
      <c r="F459" s="125"/>
      <c r="G459" s="189"/>
      <c r="H459" s="124"/>
      <c r="I459" s="124"/>
      <c r="J459" s="124"/>
      <c r="K459" s="102"/>
      <c r="L459" s="189"/>
      <c r="M459" s="124"/>
      <c r="N459" s="124"/>
      <c r="O459" s="124"/>
      <c r="P459" s="102"/>
      <c r="Q459" s="161"/>
      <c r="R459" s="124"/>
      <c r="S459" s="124"/>
      <c r="T459" s="124"/>
      <c r="U459" s="125"/>
      <c r="V459" s="189"/>
      <c r="W459" s="124"/>
      <c r="X459" s="124"/>
      <c r="Y459" s="124"/>
      <c r="Z459" s="125"/>
      <c r="AA459" s="189"/>
      <c r="AB459" s="124"/>
      <c r="AC459" s="124"/>
      <c r="AD459" s="124"/>
      <c r="AE459" s="125"/>
      <c r="AF459" s="189"/>
      <c r="AG459" s="124"/>
      <c r="AH459" s="124"/>
      <c r="AI459" s="124"/>
      <c r="AJ459" s="125"/>
      <c r="AK459" s="189"/>
      <c r="AL459" s="124"/>
      <c r="AM459" s="124"/>
      <c r="AN459" s="124"/>
      <c r="AO459" s="360"/>
      <c r="AP459" s="360"/>
      <c r="AQ459" s="360"/>
      <c r="AR459" s="360"/>
      <c r="AS459" s="360"/>
      <c r="AT459" s="360"/>
      <c r="AU459" s="360"/>
      <c r="AV459" s="360"/>
      <c r="AW459" s="360"/>
      <c r="AX459" s="360"/>
      <c r="AY459" s="360"/>
      <c r="AZ459" s="360"/>
      <c r="BA459" s="360"/>
      <c r="BB459" s="360"/>
      <c r="BC459" s="360"/>
    </row>
    <row r="460">
      <c r="A460" s="125"/>
      <c r="B460" s="189"/>
      <c r="C460" s="124"/>
      <c r="D460" s="124"/>
      <c r="E460" s="124"/>
      <c r="F460" s="125"/>
      <c r="G460" s="189"/>
      <c r="H460" s="124"/>
      <c r="I460" s="124"/>
      <c r="J460" s="124"/>
      <c r="K460" s="102"/>
      <c r="L460" s="189"/>
      <c r="M460" s="124"/>
      <c r="N460" s="124"/>
      <c r="O460" s="124"/>
      <c r="P460" s="102"/>
      <c r="Q460" s="161"/>
      <c r="R460" s="124"/>
      <c r="S460" s="124"/>
      <c r="T460" s="124"/>
      <c r="U460" s="125"/>
      <c r="V460" s="189"/>
      <c r="W460" s="124"/>
      <c r="X460" s="124"/>
      <c r="Y460" s="124"/>
      <c r="Z460" s="125"/>
      <c r="AA460" s="189"/>
      <c r="AB460" s="124"/>
      <c r="AC460" s="124"/>
      <c r="AD460" s="124"/>
      <c r="AE460" s="125"/>
      <c r="AF460" s="189"/>
      <c r="AG460" s="124"/>
      <c r="AH460" s="124"/>
      <c r="AI460" s="124"/>
      <c r="AJ460" s="125"/>
      <c r="AK460" s="189"/>
      <c r="AL460" s="124"/>
      <c r="AM460" s="124"/>
      <c r="AN460" s="124"/>
      <c r="AO460" s="360"/>
      <c r="AP460" s="360"/>
      <c r="AQ460" s="360"/>
      <c r="AR460" s="360"/>
      <c r="AS460" s="360"/>
      <c r="AT460" s="360"/>
      <c r="AU460" s="360"/>
      <c r="AV460" s="360"/>
      <c r="AW460" s="360"/>
      <c r="AX460" s="360"/>
      <c r="AY460" s="360"/>
      <c r="AZ460" s="360"/>
      <c r="BA460" s="360"/>
      <c r="BB460" s="360"/>
      <c r="BC460" s="360"/>
    </row>
    <row r="461">
      <c r="A461" s="125"/>
      <c r="B461" s="189"/>
      <c r="C461" s="124"/>
      <c r="D461" s="124"/>
      <c r="E461" s="124"/>
      <c r="F461" s="125"/>
      <c r="G461" s="189"/>
      <c r="H461" s="124"/>
      <c r="I461" s="124"/>
      <c r="J461" s="124"/>
      <c r="K461" s="102"/>
      <c r="L461" s="189"/>
      <c r="M461" s="124"/>
      <c r="N461" s="124"/>
      <c r="O461" s="124"/>
      <c r="P461" s="102"/>
      <c r="Q461" s="161"/>
      <c r="R461" s="124"/>
      <c r="S461" s="124"/>
      <c r="T461" s="124"/>
      <c r="U461" s="125"/>
      <c r="V461" s="189"/>
      <c r="W461" s="124"/>
      <c r="X461" s="124"/>
      <c r="Y461" s="124"/>
      <c r="Z461" s="125"/>
      <c r="AA461" s="189"/>
      <c r="AB461" s="124"/>
      <c r="AC461" s="124"/>
      <c r="AD461" s="124"/>
      <c r="AE461" s="125"/>
      <c r="AF461" s="189"/>
      <c r="AG461" s="124"/>
      <c r="AH461" s="124"/>
      <c r="AI461" s="124"/>
      <c r="AJ461" s="125"/>
      <c r="AK461" s="189"/>
      <c r="AL461" s="124"/>
      <c r="AM461" s="124"/>
      <c r="AN461" s="124"/>
      <c r="AO461" s="360"/>
      <c r="AP461" s="360"/>
      <c r="AQ461" s="360"/>
      <c r="AR461" s="360"/>
      <c r="AS461" s="360"/>
      <c r="AT461" s="360"/>
      <c r="AU461" s="360"/>
      <c r="AV461" s="360"/>
      <c r="AW461" s="360"/>
      <c r="AX461" s="360"/>
      <c r="AY461" s="360"/>
      <c r="AZ461" s="360"/>
      <c r="BA461" s="360"/>
      <c r="BB461" s="360"/>
      <c r="BC461" s="360"/>
    </row>
    <row r="462">
      <c r="A462" s="125"/>
      <c r="B462" s="189"/>
      <c r="C462" s="124"/>
      <c r="D462" s="124"/>
      <c r="E462" s="124"/>
      <c r="F462" s="125"/>
      <c r="G462" s="189"/>
      <c r="H462" s="124"/>
      <c r="I462" s="124"/>
      <c r="J462" s="124"/>
      <c r="K462" s="102"/>
      <c r="L462" s="189"/>
      <c r="M462" s="124"/>
      <c r="N462" s="124"/>
      <c r="O462" s="124"/>
      <c r="P462" s="102"/>
      <c r="Q462" s="161"/>
      <c r="R462" s="124"/>
      <c r="S462" s="124"/>
      <c r="T462" s="124"/>
      <c r="U462" s="125"/>
      <c r="V462" s="189"/>
      <c r="W462" s="124"/>
      <c r="X462" s="124"/>
      <c r="Y462" s="124"/>
      <c r="Z462" s="125"/>
      <c r="AA462" s="189"/>
      <c r="AB462" s="124"/>
      <c r="AC462" s="124"/>
      <c r="AD462" s="124"/>
      <c r="AE462" s="125"/>
      <c r="AF462" s="189"/>
      <c r="AG462" s="124"/>
      <c r="AH462" s="124"/>
      <c r="AI462" s="124"/>
      <c r="AJ462" s="125"/>
      <c r="AK462" s="189"/>
      <c r="AL462" s="124"/>
      <c r="AM462" s="124"/>
      <c r="AN462" s="124"/>
      <c r="AO462" s="360"/>
      <c r="AP462" s="360"/>
      <c r="AQ462" s="360"/>
      <c r="AR462" s="360"/>
      <c r="AS462" s="360"/>
      <c r="AT462" s="360"/>
      <c r="AU462" s="360"/>
      <c r="AV462" s="360"/>
      <c r="AW462" s="360"/>
      <c r="AX462" s="360"/>
      <c r="AY462" s="360"/>
      <c r="AZ462" s="360"/>
      <c r="BA462" s="360"/>
      <c r="BB462" s="360"/>
      <c r="BC462" s="360"/>
    </row>
    <row r="463">
      <c r="A463" s="125"/>
      <c r="B463" s="189"/>
      <c r="C463" s="124"/>
      <c r="D463" s="124"/>
      <c r="E463" s="124"/>
      <c r="F463" s="125"/>
      <c r="G463" s="189"/>
      <c r="H463" s="124"/>
      <c r="I463" s="124"/>
      <c r="J463" s="124"/>
      <c r="K463" s="102"/>
      <c r="L463" s="189"/>
      <c r="M463" s="124"/>
      <c r="N463" s="124"/>
      <c r="O463" s="124"/>
      <c r="P463" s="102"/>
      <c r="Q463" s="161"/>
      <c r="R463" s="124"/>
      <c r="S463" s="124"/>
      <c r="T463" s="124"/>
      <c r="U463" s="125"/>
      <c r="V463" s="189"/>
      <c r="W463" s="124"/>
      <c r="X463" s="124"/>
      <c r="Y463" s="124"/>
      <c r="Z463" s="125"/>
      <c r="AA463" s="189"/>
      <c r="AB463" s="124"/>
      <c r="AC463" s="124"/>
      <c r="AD463" s="124"/>
      <c r="AE463" s="125"/>
      <c r="AF463" s="189"/>
      <c r="AG463" s="124"/>
      <c r="AH463" s="124"/>
      <c r="AI463" s="124"/>
      <c r="AJ463" s="125"/>
      <c r="AK463" s="189"/>
      <c r="AL463" s="124"/>
      <c r="AM463" s="124"/>
      <c r="AN463" s="124"/>
      <c r="AO463" s="360"/>
      <c r="AP463" s="360"/>
      <c r="AQ463" s="360"/>
      <c r="AR463" s="360"/>
      <c r="AS463" s="360"/>
      <c r="AT463" s="360"/>
      <c r="AU463" s="360"/>
      <c r="AV463" s="360"/>
      <c r="AW463" s="360"/>
      <c r="AX463" s="360"/>
      <c r="AY463" s="360"/>
      <c r="AZ463" s="360"/>
      <c r="BA463" s="360"/>
      <c r="BB463" s="360"/>
      <c r="BC463" s="360"/>
    </row>
    <row r="464">
      <c r="A464" s="125"/>
      <c r="B464" s="189"/>
      <c r="C464" s="124"/>
      <c r="D464" s="124"/>
      <c r="E464" s="124"/>
      <c r="F464" s="125"/>
      <c r="G464" s="189"/>
      <c r="H464" s="124"/>
      <c r="I464" s="124"/>
      <c r="J464" s="124"/>
      <c r="K464" s="102"/>
      <c r="L464" s="189"/>
      <c r="M464" s="124"/>
      <c r="N464" s="124"/>
      <c r="O464" s="124"/>
      <c r="P464" s="102"/>
      <c r="Q464" s="161"/>
      <c r="R464" s="124"/>
      <c r="S464" s="124"/>
      <c r="T464" s="124"/>
      <c r="U464" s="125"/>
      <c r="V464" s="189"/>
      <c r="W464" s="124"/>
      <c r="X464" s="124"/>
      <c r="Y464" s="124"/>
      <c r="Z464" s="125"/>
      <c r="AA464" s="189"/>
      <c r="AB464" s="124"/>
      <c r="AC464" s="124"/>
      <c r="AD464" s="124"/>
      <c r="AE464" s="125"/>
      <c r="AF464" s="189"/>
      <c r="AG464" s="124"/>
      <c r="AH464" s="124"/>
      <c r="AI464" s="124"/>
      <c r="AJ464" s="125"/>
      <c r="AK464" s="189"/>
      <c r="AL464" s="124"/>
      <c r="AM464" s="124"/>
      <c r="AN464" s="124"/>
      <c r="AO464" s="360"/>
      <c r="AP464" s="360"/>
      <c r="AQ464" s="360"/>
      <c r="AR464" s="360"/>
      <c r="AS464" s="360"/>
      <c r="AT464" s="360"/>
      <c r="AU464" s="360"/>
      <c r="AV464" s="360"/>
      <c r="AW464" s="360"/>
      <c r="AX464" s="360"/>
      <c r="AY464" s="360"/>
      <c r="AZ464" s="360"/>
      <c r="BA464" s="360"/>
      <c r="BB464" s="360"/>
      <c r="BC464" s="360"/>
    </row>
    <row r="465">
      <c r="A465" s="125"/>
      <c r="B465" s="189"/>
      <c r="C465" s="124"/>
      <c r="D465" s="124"/>
      <c r="E465" s="124"/>
      <c r="F465" s="125"/>
      <c r="G465" s="189"/>
      <c r="H465" s="124"/>
      <c r="I465" s="124"/>
      <c r="J465" s="124"/>
      <c r="K465" s="102"/>
      <c r="L465" s="189"/>
      <c r="M465" s="124"/>
      <c r="N465" s="124"/>
      <c r="O465" s="124"/>
      <c r="P465" s="102"/>
      <c r="Q465" s="161"/>
      <c r="R465" s="124"/>
      <c r="S465" s="124"/>
      <c r="T465" s="124"/>
      <c r="U465" s="125"/>
      <c r="V465" s="189"/>
      <c r="W465" s="124"/>
      <c r="X465" s="124"/>
      <c r="Y465" s="124"/>
      <c r="Z465" s="125"/>
      <c r="AA465" s="189"/>
      <c r="AB465" s="124"/>
      <c r="AC465" s="124"/>
      <c r="AD465" s="124"/>
      <c r="AE465" s="125"/>
      <c r="AF465" s="189"/>
      <c r="AG465" s="124"/>
      <c r="AH465" s="124"/>
      <c r="AI465" s="124"/>
      <c r="AJ465" s="125"/>
      <c r="AK465" s="189"/>
      <c r="AL465" s="124"/>
      <c r="AM465" s="124"/>
      <c r="AN465" s="124"/>
      <c r="AO465" s="360"/>
      <c r="AP465" s="360"/>
      <c r="AQ465" s="360"/>
      <c r="AR465" s="360"/>
      <c r="AS465" s="360"/>
      <c r="AT465" s="360"/>
      <c r="AU465" s="360"/>
      <c r="AV465" s="360"/>
      <c r="AW465" s="360"/>
      <c r="AX465" s="360"/>
      <c r="AY465" s="360"/>
      <c r="AZ465" s="360"/>
      <c r="BA465" s="360"/>
      <c r="BB465" s="360"/>
      <c r="BC465" s="360"/>
    </row>
    <row r="466">
      <c r="A466" s="125"/>
      <c r="B466" s="189"/>
      <c r="C466" s="124"/>
      <c r="D466" s="124"/>
      <c r="E466" s="124"/>
      <c r="F466" s="125"/>
      <c r="G466" s="189"/>
      <c r="H466" s="124"/>
      <c r="I466" s="124"/>
      <c r="J466" s="124"/>
      <c r="K466" s="102"/>
      <c r="L466" s="189"/>
      <c r="M466" s="124"/>
      <c r="N466" s="124"/>
      <c r="O466" s="124"/>
      <c r="P466" s="102"/>
      <c r="Q466" s="161"/>
      <c r="R466" s="124"/>
      <c r="S466" s="124"/>
      <c r="T466" s="124"/>
      <c r="U466" s="125"/>
      <c r="V466" s="189"/>
      <c r="W466" s="124"/>
      <c r="X466" s="124"/>
      <c r="Y466" s="124"/>
      <c r="Z466" s="125"/>
      <c r="AA466" s="189"/>
      <c r="AB466" s="124"/>
      <c r="AC466" s="124"/>
      <c r="AD466" s="124"/>
      <c r="AE466" s="125"/>
      <c r="AF466" s="189"/>
      <c r="AG466" s="124"/>
      <c r="AH466" s="124"/>
      <c r="AI466" s="124"/>
      <c r="AJ466" s="125"/>
      <c r="AK466" s="189"/>
      <c r="AL466" s="124"/>
      <c r="AM466" s="124"/>
      <c r="AN466" s="124"/>
      <c r="AO466" s="360"/>
      <c r="AP466" s="360"/>
      <c r="AQ466" s="360"/>
      <c r="AR466" s="360"/>
      <c r="AS466" s="360"/>
      <c r="AT466" s="360"/>
      <c r="AU466" s="360"/>
      <c r="AV466" s="360"/>
      <c r="AW466" s="360"/>
      <c r="AX466" s="360"/>
      <c r="AY466" s="360"/>
      <c r="AZ466" s="360"/>
      <c r="BA466" s="360"/>
      <c r="BB466" s="360"/>
      <c r="BC466" s="360"/>
    </row>
    <row r="467">
      <c r="A467" s="125"/>
      <c r="B467" s="189"/>
      <c r="C467" s="124"/>
      <c r="D467" s="124"/>
      <c r="E467" s="124"/>
      <c r="F467" s="125"/>
      <c r="G467" s="189"/>
      <c r="H467" s="124"/>
      <c r="I467" s="124"/>
      <c r="J467" s="124"/>
      <c r="K467" s="102"/>
      <c r="L467" s="189"/>
      <c r="M467" s="124"/>
      <c r="N467" s="124"/>
      <c r="O467" s="124"/>
      <c r="P467" s="102"/>
      <c r="Q467" s="161"/>
      <c r="R467" s="124"/>
      <c r="S467" s="124"/>
      <c r="T467" s="124"/>
      <c r="U467" s="125"/>
      <c r="V467" s="189"/>
      <c r="W467" s="124"/>
      <c r="X467" s="124"/>
      <c r="Y467" s="124"/>
      <c r="Z467" s="125"/>
      <c r="AA467" s="189"/>
      <c r="AB467" s="124"/>
      <c r="AC467" s="124"/>
      <c r="AD467" s="124"/>
      <c r="AE467" s="125"/>
      <c r="AF467" s="189"/>
      <c r="AG467" s="124"/>
      <c r="AH467" s="124"/>
      <c r="AI467" s="124"/>
      <c r="AJ467" s="125"/>
      <c r="AK467" s="189"/>
      <c r="AL467" s="124"/>
      <c r="AM467" s="124"/>
      <c r="AN467" s="124"/>
      <c r="AO467" s="360"/>
      <c r="AP467" s="360"/>
      <c r="AQ467" s="360"/>
      <c r="AR467" s="360"/>
      <c r="AS467" s="360"/>
      <c r="AT467" s="360"/>
      <c r="AU467" s="360"/>
      <c r="AV467" s="360"/>
      <c r="AW467" s="360"/>
      <c r="AX467" s="360"/>
      <c r="AY467" s="360"/>
      <c r="AZ467" s="360"/>
      <c r="BA467" s="360"/>
      <c r="BB467" s="360"/>
      <c r="BC467" s="360"/>
    </row>
    <row r="468">
      <c r="A468" s="125"/>
      <c r="B468" s="189"/>
      <c r="C468" s="124"/>
      <c r="D468" s="124"/>
      <c r="E468" s="124"/>
      <c r="F468" s="125"/>
      <c r="G468" s="189"/>
      <c r="H468" s="124"/>
      <c r="I468" s="124"/>
      <c r="J468" s="124"/>
      <c r="K468" s="102"/>
      <c r="L468" s="189"/>
      <c r="M468" s="124"/>
      <c r="N468" s="124"/>
      <c r="O468" s="124"/>
      <c r="P468" s="102"/>
      <c r="Q468" s="161"/>
      <c r="R468" s="124"/>
      <c r="S468" s="124"/>
      <c r="T468" s="124"/>
      <c r="U468" s="125"/>
      <c r="V468" s="189"/>
      <c r="W468" s="124"/>
      <c r="X468" s="124"/>
      <c r="Y468" s="124"/>
      <c r="Z468" s="125"/>
      <c r="AA468" s="189"/>
      <c r="AB468" s="124"/>
      <c r="AC468" s="124"/>
      <c r="AD468" s="124"/>
      <c r="AE468" s="125"/>
      <c r="AF468" s="189"/>
      <c r="AG468" s="124"/>
      <c r="AH468" s="124"/>
      <c r="AI468" s="124"/>
      <c r="AJ468" s="125"/>
      <c r="AK468" s="189"/>
      <c r="AL468" s="124"/>
      <c r="AM468" s="124"/>
      <c r="AN468" s="124"/>
      <c r="AO468" s="360"/>
      <c r="AP468" s="360"/>
      <c r="AQ468" s="360"/>
      <c r="AR468" s="360"/>
      <c r="AS468" s="360"/>
      <c r="AT468" s="360"/>
      <c r="AU468" s="360"/>
      <c r="AV468" s="360"/>
      <c r="AW468" s="360"/>
      <c r="AX468" s="360"/>
      <c r="AY468" s="360"/>
      <c r="AZ468" s="360"/>
      <c r="BA468" s="360"/>
      <c r="BB468" s="360"/>
      <c r="BC468" s="360"/>
    </row>
    <row r="469">
      <c r="A469" s="125"/>
      <c r="B469" s="189"/>
      <c r="C469" s="124"/>
      <c r="D469" s="124"/>
      <c r="E469" s="124"/>
      <c r="F469" s="125"/>
      <c r="G469" s="189"/>
      <c r="H469" s="124"/>
      <c r="I469" s="124"/>
      <c r="J469" s="124"/>
      <c r="K469" s="102"/>
      <c r="L469" s="189"/>
      <c r="M469" s="124"/>
      <c r="N469" s="124"/>
      <c r="O469" s="124"/>
      <c r="P469" s="102"/>
      <c r="Q469" s="161"/>
      <c r="R469" s="124"/>
      <c r="S469" s="124"/>
      <c r="T469" s="124"/>
      <c r="U469" s="125"/>
      <c r="V469" s="189"/>
      <c r="W469" s="124"/>
      <c r="X469" s="124"/>
      <c r="Y469" s="124"/>
      <c r="Z469" s="125"/>
      <c r="AA469" s="189"/>
      <c r="AB469" s="124"/>
      <c r="AC469" s="124"/>
      <c r="AD469" s="124"/>
      <c r="AE469" s="125"/>
      <c r="AF469" s="189"/>
      <c r="AG469" s="124"/>
      <c r="AH469" s="124"/>
      <c r="AI469" s="124"/>
      <c r="AJ469" s="125"/>
      <c r="AK469" s="189"/>
      <c r="AL469" s="124"/>
      <c r="AM469" s="124"/>
      <c r="AN469" s="124"/>
      <c r="AO469" s="360"/>
      <c r="AP469" s="360"/>
      <c r="AQ469" s="360"/>
      <c r="AR469" s="360"/>
      <c r="AS469" s="360"/>
      <c r="AT469" s="360"/>
      <c r="AU469" s="360"/>
      <c r="AV469" s="360"/>
      <c r="AW469" s="360"/>
      <c r="AX469" s="360"/>
      <c r="AY469" s="360"/>
      <c r="AZ469" s="360"/>
      <c r="BA469" s="360"/>
      <c r="BB469" s="360"/>
      <c r="BC469" s="360"/>
    </row>
    <row r="470">
      <c r="A470" s="125"/>
      <c r="B470" s="189"/>
      <c r="C470" s="124"/>
      <c r="D470" s="124"/>
      <c r="E470" s="124"/>
      <c r="F470" s="125"/>
      <c r="G470" s="189"/>
      <c r="H470" s="124"/>
      <c r="I470" s="124"/>
      <c r="J470" s="124"/>
      <c r="K470" s="102"/>
      <c r="L470" s="189"/>
      <c r="M470" s="124"/>
      <c r="N470" s="124"/>
      <c r="O470" s="124"/>
      <c r="P470" s="102"/>
      <c r="Q470" s="161"/>
      <c r="R470" s="124"/>
      <c r="S470" s="124"/>
      <c r="T470" s="124"/>
      <c r="U470" s="125"/>
      <c r="V470" s="189"/>
      <c r="W470" s="124"/>
      <c r="X470" s="124"/>
      <c r="Y470" s="124"/>
      <c r="Z470" s="125"/>
      <c r="AA470" s="189"/>
      <c r="AB470" s="124"/>
      <c r="AC470" s="124"/>
      <c r="AD470" s="124"/>
      <c r="AE470" s="125"/>
      <c r="AF470" s="189"/>
      <c r="AG470" s="124"/>
      <c r="AH470" s="124"/>
      <c r="AI470" s="124"/>
      <c r="AJ470" s="125"/>
      <c r="AK470" s="189"/>
      <c r="AL470" s="124"/>
      <c r="AM470" s="124"/>
      <c r="AN470" s="124"/>
      <c r="AO470" s="360"/>
      <c r="AP470" s="360"/>
      <c r="AQ470" s="360"/>
      <c r="AR470" s="360"/>
      <c r="AS470" s="360"/>
      <c r="AT470" s="360"/>
      <c r="AU470" s="360"/>
      <c r="AV470" s="360"/>
      <c r="AW470" s="360"/>
      <c r="AX470" s="360"/>
      <c r="AY470" s="360"/>
      <c r="AZ470" s="360"/>
      <c r="BA470" s="360"/>
      <c r="BB470" s="360"/>
      <c r="BC470" s="360"/>
    </row>
    <row r="471">
      <c r="A471" s="125"/>
      <c r="B471" s="189"/>
      <c r="C471" s="124"/>
      <c r="D471" s="124"/>
      <c r="E471" s="124"/>
      <c r="F471" s="125"/>
      <c r="G471" s="189"/>
      <c r="H471" s="124"/>
      <c r="I471" s="124"/>
      <c r="J471" s="124"/>
      <c r="K471" s="102"/>
      <c r="L471" s="189"/>
      <c r="M471" s="124"/>
      <c r="N471" s="124"/>
      <c r="O471" s="124"/>
      <c r="P471" s="102"/>
      <c r="Q471" s="161"/>
      <c r="R471" s="124"/>
      <c r="S471" s="124"/>
      <c r="T471" s="124"/>
      <c r="U471" s="125"/>
      <c r="V471" s="189"/>
      <c r="W471" s="124"/>
      <c r="X471" s="124"/>
      <c r="Y471" s="124"/>
      <c r="Z471" s="125"/>
      <c r="AA471" s="189"/>
      <c r="AB471" s="124"/>
      <c r="AC471" s="124"/>
      <c r="AD471" s="124"/>
      <c r="AE471" s="125"/>
      <c r="AF471" s="189"/>
      <c r="AG471" s="124"/>
      <c r="AH471" s="124"/>
      <c r="AI471" s="124"/>
      <c r="AJ471" s="125"/>
      <c r="AK471" s="189"/>
      <c r="AL471" s="124"/>
      <c r="AM471" s="124"/>
      <c r="AN471" s="124"/>
      <c r="AO471" s="360"/>
      <c r="AP471" s="360"/>
      <c r="AQ471" s="360"/>
      <c r="AR471" s="360"/>
      <c r="AS471" s="360"/>
      <c r="AT471" s="360"/>
      <c r="AU471" s="360"/>
      <c r="AV471" s="360"/>
      <c r="AW471" s="360"/>
      <c r="AX471" s="360"/>
      <c r="AY471" s="360"/>
      <c r="AZ471" s="360"/>
      <c r="BA471" s="360"/>
      <c r="BB471" s="360"/>
      <c r="BC471" s="360"/>
    </row>
    <row r="472">
      <c r="A472" s="125"/>
      <c r="B472" s="189"/>
      <c r="C472" s="124"/>
      <c r="D472" s="124"/>
      <c r="E472" s="124"/>
      <c r="F472" s="125"/>
      <c r="G472" s="189"/>
      <c r="H472" s="124"/>
      <c r="I472" s="124"/>
      <c r="J472" s="124"/>
      <c r="K472" s="102"/>
      <c r="L472" s="189"/>
      <c r="M472" s="124"/>
      <c r="N472" s="124"/>
      <c r="O472" s="124"/>
      <c r="P472" s="102"/>
      <c r="Q472" s="161"/>
      <c r="R472" s="124"/>
      <c r="S472" s="124"/>
      <c r="T472" s="124"/>
      <c r="U472" s="125"/>
      <c r="V472" s="189"/>
      <c r="W472" s="124"/>
      <c r="X472" s="124"/>
      <c r="Y472" s="124"/>
      <c r="Z472" s="125"/>
      <c r="AA472" s="189"/>
      <c r="AB472" s="124"/>
      <c r="AC472" s="124"/>
      <c r="AD472" s="124"/>
      <c r="AE472" s="125"/>
      <c r="AF472" s="189"/>
      <c r="AG472" s="124"/>
      <c r="AH472" s="124"/>
      <c r="AI472" s="124"/>
      <c r="AJ472" s="125"/>
      <c r="AK472" s="189"/>
      <c r="AL472" s="124"/>
      <c r="AM472" s="124"/>
      <c r="AN472" s="124"/>
      <c r="AO472" s="360"/>
      <c r="AP472" s="360"/>
      <c r="AQ472" s="360"/>
      <c r="AR472" s="360"/>
      <c r="AS472" s="360"/>
      <c r="AT472" s="360"/>
      <c r="AU472" s="360"/>
      <c r="AV472" s="360"/>
      <c r="AW472" s="360"/>
      <c r="AX472" s="360"/>
      <c r="AY472" s="360"/>
      <c r="AZ472" s="360"/>
      <c r="BA472" s="360"/>
      <c r="BB472" s="360"/>
      <c r="BC472" s="360"/>
    </row>
    <row r="473">
      <c r="A473" s="125"/>
      <c r="B473" s="189"/>
      <c r="C473" s="124"/>
      <c r="D473" s="124"/>
      <c r="E473" s="124"/>
      <c r="F473" s="125"/>
      <c r="G473" s="189"/>
      <c r="H473" s="124"/>
      <c r="I473" s="124"/>
      <c r="J473" s="124"/>
      <c r="K473" s="102"/>
      <c r="L473" s="189"/>
      <c r="M473" s="124"/>
      <c r="N473" s="124"/>
      <c r="O473" s="124"/>
      <c r="P473" s="102"/>
      <c r="Q473" s="161"/>
      <c r="R473" s="124"/>
      <c r="S473" s="124"/>
      <c r="T473" s="124"/>
      <c r="U473" s="125"/>
      <c r="V473" s="189"/>
      <c r="W473" s="124"/>
      <c r="X473" s="124"/>
      <c r="Y473" s="124"/>
      <c r="Z473" s="125"/>
      <c r="AA473" s="189"/>
      <c r="AB473" s="124"/>
      <c r="AC473" s="124"/>
      <c r="AD473" s="124"/>
      <c r="AE473" s="125"/>
      <c r="AF473" s="189"/>
      <c r="AG473" s="124"/>
      <c r="AH473" s="124"/>
      <c r="AI473" s="124"/>
      <c r="AJ473" s="125"/>
      <c r="AK473" s="189"/>
      <c r="AL473" s="124"/>
      <c r="AM473" s="124"/>
      <c r="AN473" s="124"/>
      <c r="AO473" s="360"/>
      <c r="AP473" s="360"/>
      <c r="AQ473" s="360"/>
      <c r="AR473" s="360"/>
      <c r="AS473" s="360"/>
      <c r="AT473" s="360"/>
      <c r="AU473" s="360"/>
      <c r="AV473" s="360"/>
      <c r="AW473" s="360"/>
      <c r="AX473" s="360"/>
      <c r="AY473" s="360"/>
      <c r="AZ473" s="360"/>
      <c r="BA473" s="360"/>
      <c r="BB473" s="360"/>
      <c r="BC473" s="360"/>
    </row>
    <row r="474">
      <c r="A474" s="125"/>
      <c r="B474" s="189"/>
      <c r="C474" s="124"/>
      <c r="D474" s="124"/>
      <c r="E474" s="124"/>
      <c r="F474" s="125"/>
      <c r="G474" s="189"/>
      <c r="H474" s="124"/>
      <c r="I474" s="124"/>
      <c r="J474" s="124"/>
      <c r="K474" s="102"/>
      <c r="L474" s="189"/>
      <c r="M474" s="124"/>
      <c r="N474" s="124"/>
      <c r="O474" s="124"/>
      <c r="P474" s="102"/>
      <c r="Q474" s="161"/>
      <c r="R474" s="124"/>
      <c r="S474" s="124"/>
      <c r="T474" s="124"/>
      <c r="U474" s="125"/>
      <c r="V474" s="189"/>
      <c r="W474" s="124"/>
      <c r="X474" s="124"/>
      <c r="Y474" s="124"/>
      <c r="Z474" s="125"/>
      <c r="AA474" s="189"/>
      <c r="AB474" s="124"/>
      <c r="AC474" s="124"/>
      <c r="AD474" s="124"/>
      <c r="AE474" s="125"/>
      <c r="AF474" s="189"/>
      <c r="AG474" s="124"/>
      <c r="AH474" s="124"/>
      <c r="AI474" s="124"/>
      <c r="AJ474" s="125"/>
      <c r="AK474" s="189"/>
      <c r="AL474" s="124"/>
      <c r="AM474" s="124"/>
      <c r="AN474" s="124"/>
      <c r="AO474" s="360"/>
      <c r="AP474" s="360"/>
      <c r="AQ474" s="360"/>
      <c r="AR474" s="360"/>
      <c r="AS474" s="360"/>
      <c r="AT474" s="360"/>
      <c r="AU474" s="360"/>
      <c r="AV474" s="360"/>
      <c r="AW474" s="360"/>
      <c r="AX474" s="360"/>
      <c r="AY474" s="360"/>
      <c r="AZ474" s="360"/>
      <c r="BA474" s="360"/>
      <c r="BB474" s="360"/>
      <c r="BC474" s="360"/>
    </row>
    <row r="475">
      <c r="A475" s="125"/>
      <c r="B475" s="189"/>
      <c r="C475" s="124"/>
      <c r="D475" s="124"/>
      <c r="E475" s="124"/>
      <c r="F475" s="125"/>
      <c r="G475" s="189"/>
      <c r="H475" s="124"/>
      <c r="I475" s="124"/>
      <c r="J475" s="124"/>
      <c r="K475" s="102"/>
      <c r="L475" s="189"/>
      <c r="M475" s="124"/>
      <c r="N475" s="124"/>
      <c r="O475" s="124"/>
      <c r="P475" s="102"/>
      <c r="Q475" s="161"/>
      <c r="R475" s="124"/>
      <c r="S475" s="124"/>
      <c r="T475" s="124"/>
      <c r="U475" s="125"/>
      <c r="V475" s="189"/>
      <c r="W475" s="124"/>
      <c r="X475" s="124"/>
      <c r="Y475" s="124"/>
      <c r="Z475" s="125"/>
      <c r="AA475" s="189"/>
      <c r="AB475" s="124"/>
      <c r="AC475" s="124"/>
      <c r="AD475" s="124"/>
      <c r="AE475" s="125"/>
      <c r="AF475" s="189"/>
      <c r="AG475" s="124"/>
      <c r="AH475" s="124"/>
      <c r="AI475" s="124"/>
      <c r="AJ475" s="125"/>
      <c r="AK475" s="189"/>
      <c r="AL475" s="124"/>
      <c r="AM475" s="124"/>
      <c r="AN475" s="124"/>
      <c r="AO475" s="360"/>
      <c r="AP475" s="360"/>
      <c r="AQ475" s="360"/>
      <c r="AR475" s="360"/>
      <c r="AS475" s="360"/>
      <c r="AT475" s="360"/>
      <c r="AU475" s="360"/>
      <c r="AV475" s="360"/>
      <c r="AW475" s="360"/>
      <c r="AX475" s="360"/>
      <c r="AY475" s="360"/>
      <c r="AZ475" s="360"/>
      <c r="BA475" s="360"/>
      <c r="BB475" s="360"/>
      <c r="BC475" s="360"/>
    </row>
    <row r="476">
      <c r="A476" s="125"/>
      <c r="B476" s="189"/>
      <c r="C476" s="124"/>
      <c r="D476" s="124"/>
      <c r="E476" s="124"/>
      <c r="F476" s="125"/>
      <c r="G476" s="189"/>
      <c r="H476" s="124"/>
      <c r="I476" s="124"/>
      <c r="J476" s="124"/>
      <c r="K476" s="102"/>
      <c r="L476" s="189"/>
      <c r="M476" s="124"/>
      <c r="N476" s="124"/>
      <c r="O476" s="124"/>
      <c r="P476" s="102"/>
      <c r="Q476" s="161"/>
      <c r="R476" s="124"/>
      <c r="S476" s="124"/>
      <c r="T476" s="124"/>
      <c r="U476" s="125"/>
      <c r="V476" s="189"/>
      <c r="W476" s="124"/>
      <c r="X476" s="124"/>
      <c r="Y476" s="124"/>
      <c r="Z476" s="125"/>
      <c r="AA476" s="189"/>
      <c r="AB476" s="124"/>
      <c r="AC476" s="124"/>
      <c r="AD476" s="124"/>
      <c r="AE476" s="125"/>
      <c r="AF476" s="189"/>
      <c r="AG476" s="124"/>
      <c r="AH476" s="124"/>
      <c r="AI476" s="124"/>
      <c r="AJ476" s="125"/>
      <c r="AK476" s="189"/>
      <c r="AL476" s="124"/>
      <c r="AM476" s="124"/>
      <c r="AN476" s="124"/>
      <c r="AO476" s="360"/>
      <c r="AP476" s="360"/>
      <c r="AQ476" s="360"/>
      <c r="AR476" s="360"/>
      <c r="AS476" s="360"/>
      <c r="AT476" s="360"/>
      <c r="AU476" s="360"/>
      <c r="AV476" s="360"/>
      <c r="AW476" s="360"/>
      <c r="AX476" s="360"/>
      <c r="AY476" s="360"/>
      <c r="AZ476" s="360"/>
      <c r="BA476" s="360"/>
      <c r="BB476" s="360"/>
      <c r="BC476" s="360"/>
    </row>
    <row r="477">
      <c r="A477" s="125"/>
      <c r="B477" s="189"/>
      <c r="C477" s="124"/>
      <c r="D477" s="124"/>
      <c r="E477" s="124"/>
      <c r="F477" s="125"/>
      <c r="G477" s="189"/>
      <c r="H477" s="124"/>
      <c r="I477" s="124"/>
      <c r="J477" s="124"/>
      <c r="K477" s="102"/>
      <c r="L477" s="189"/>
      <c r="M477" s="124"/>
      <c r="N477" s="124"/>
      <c r="O477" s="124"/>
      <c r="P477" s="102"/>
      <c r="Q477" s="161"/>
      <c r="R477" s="124"/>
      <c r="S477" s="124"/>
      <c r="T477" s="124"/>
      <c r="U477" s="125"/>
      <c r="V477" s="189"/>
      <c r="W477" s="124"/>
      <c r="X477" s="124"/>
      <c r="Y477" s="124"/>
      <c r="Z477" s="125"/>
      <c r="AA477" s="189"/>
      <c r="AB477" s="124"/>
      <c r="AC477" s="124"/>
      <c r="AD477" s="124"/>
      <c r="AE477" s="125"/>
      <c r="AF477" s="189"/>
      <c r="AG477" s="124"/>
      <c r="AH477" s="124"/>
      <c r="AI477" s="124"/>
      <c r="AJ477" s="125"/>
      <c r="AK477" s="189"/>
      <c r="AL477" s="124"/>
      <c r="AM477" s="124"/>
      <c r="AN477" s="124"/>
      <c r="AO477" s="360"/>
      <c r="AP477" s="360"/>
      <c r="AQ477" s="360"/>
      <c r="AR477" s="360"/>
      <c r="AS477" s="360"/>
      <c r="AT477" s="360"/>
      <c r="AU477" s="360"/>
      <c r="AV477" s="360"/>
      <c r="AW477" s="360"/>
      <c r="AX477" s="360"/>
      <c r="AY477" s="360"/>
      <c r="AZ477" s="360"/>
      <c r="BA477" s="360"/>
      <c r="BB477" s="360"/>
      <c r="BC477" s="360"/>
    </row>
    <row r="478">
      <c r="A478" s="125"/>
      <c r="B478" s="189"/>
      <c r="C478" s="124"/>
      <c r="D478" s="124"/>
      <c r="E478" s="124"/>
      <c r="F478" s="125"/>
      <c r="G478" s="189"/>
      <c r="H478" s="124"/>
      <c r="I478" s="124"/>
      <c r="J478" s="124"/>
      <c r="K478" s="102"/>
      <c r="L478" s="189"/>
      <c r="M478" s="124"/>
      <c r="N478" s="124"/>
      <c r="O478" s="124"/>
      <c r="P478" s="102"/>
      <c r="Q478" s="161"/>
      <c r="R478" s="124"/>
      <c r="S478" s="124"/>
      <c r="T478" s="124"/>
      <c r="U478" s="125"/>
      <c r="V478" s="189"/>
      <c r="W478" s="124"/>
      <c r="X478" s="124"/>
      <c r="Y478" s="124"/>
      <c r="Z478" s="125"/>
      <c r="AA478" s="189"/>
      <c r="AB478" s="124"/>
      <c r="AC478" s="124"/>
      <c r="AD478" s="124"/>
      <c r="AE478" s="125"/>
      <c r="AF478" s="189"/>
      <c r="AG478" s="124"/>
      <c r="AH478" s="124"/>
      <c r="AI478" s="124"/>
      <c r="AJ478" s="125"/>
      <c r="AK478" s="189"/>
      <c r="AL478" s="124"/>
      <c r="AM478" s="124"/>
      <c r="AN478" s="124"/>
      <c r="AO478" s="360"/>
      <c r="AP478" s="360"/>
      <c r="AQ478" s="360"/>
      <c r="AR478" s="360"/>
      <c r="AS478" s="360"/>
      <c r="AT478" s="360"/>
      <c r="AU478" s="360"/>
      <c r="AV478" s="360"/>
      <c r="AW478" s="360"/>
      <c r="AX478" s="360"/>
      <c r="AY478" s="360"/>
      <c r="AZ478" s="360"/>
      <c r="BA478" s="360"/>
      <c r="BB478" s="360"/>
      <c r="BC478" s="360"/>
    </row>
    <row r="479">
      <c r="A479" s="125"/>
      <c r="B479" s="189"/>
      <c r="C479" s="124"/>
      <c r="D479" s="124"/>
      <c r="E479" s="124"/>
      <c r="F479" s="125"/>
      <c r="G479" s="189"/>
      <c r="H479" s="124"/>
      <c r="I479" s="124"/>
      <c r="J479" s="124"/>
      <c r="K479" s="102"/>
      <c r="L479" s="189"/>
      <c r="M479" s="124"/>
      <c r="N479" s="124"/>
      <c r="O479" s="124"/>
      <c r="P479" s="102"/>
      <c r="Q479" s="161"/>
      <c r="R479" s="124"/>
      <c r="S479" s="124"/>
      <c r="T479" s="124"/>
      <c r="U479" s="125"/>
      <c r="V479" s="189"/>
      <c r="W479" s="124"/>
      <c r="X479" s="124"/>
      <c r="Y479" s="124"/>
      <c r="Z479" s="125"/>
      <c r="AA479" s="189"/>
      <c r="AB479" s="124"/>
      <c r="AC479" s="124"/>
      <c r="AD479" s="124"/>
      <c r="AE479" s="125"/>
      <c r="AF479" s="189"/>
      <c r="AG479" s="124"/>
      <c r="AH479" s="124"/>
      <c r="AI479" s="124"/>
      <c r="AJ479" s="125"/>
      <c r="AK479" s="189"/>
      <c r="AL479" s="124"/>
      <c r="AM479" s="124"/>
      <c r="AN479" s="124"/>
      <c r="AO479" s="360"/>
      <c r="AP479" s="360"/>
      <c r="AQ479" s="360"/>
      <c r="AR479" s="360"/>
      <c r="AS479" s="360"/>
      <c r="AT479" s="360"/>
      <c r="AU479" s="360"/>
      <c r="AV479" s="360"/>
      <c r="AW479" s="360"/>
      <c r="AX479" s="360"/>
      <c r="AY479" s="360"/>
      <c r="AZ479" s="360"/>
      <c r="BA479" s="360"/>
      <c r="BB479" s="360"/>
      <c r="BC479" s="360"/>
    </row>
    <row r="480">
      <c r="A480" s="125"/>
      <c r="B480" s="189"/>
      <c r="C480" s="124"/>
      <c r="D480" s="124"/>
      <c r="E480" s="124"/>
      <c r="F480" s="125"/>
      <c r="G480" s="189"/>
      <c r="H480" s="124"/>
      <c r="I480" s="124"/>
      <c r="J480" s="124"/>
      <c r="K480" s="102"/>
      <c r="L480" s="189"/>
      <c r="M480" s="124"/>
      <c r="N480" s="124"/>
      <c r="O480" s="124"/>
      <c r="P480" s="102"/>
      <c r="Q480" s="161"/>
      <c r="R480" s="124"/>
      <c r="S480" s="124"/>
      <c r="T480" s="124"/>
      <c r="U480" s="125"/>
      <c r="V480" s="189"/>
      <c r="W480" s="124"/>
      <c r="X480" s="124"/>
      <c r="Y480" s="124"/>
      <c r="Z480" s="125"/>
      <c r="AA480" s="189"/>
      <c r="AB480" s="124"/>
      <c r="AC480" s="124"/>
      <c r="AD480" s="124"/>
      <c r="AE480" s="125"/>
      <c r="AF480" s="189"/>
      <c r="AG480" s="124"/>
      <c r="AH480" s="124"/>
      <c r="AI480" s="124"/>
      <c r="AJ480" s="125"/>
      <c r="AK480" s="189"/>
      <c r="AL480" s="124"/>
      <c r="AM480" s="124"/>
      <c r="AN480" s="124"/>
      <c r="AO480" s="360"/>
      <c r="AP480" s="360"/>
      <c r="AQ480" s="360"/>
      <c r="AR480" s="360"/>
      <c r="AS480" s="360"/>
      <c r="AT480" s="360"/>
      <c r="AU480" s="360"/>
      <c r="AV480" s="360"/>
      <c r="AW480" s="360"/>
      <c r="AX480" s="360"/>
      <c r="AY480" s="360"/>
      <c r="AZ480" s="360"/>
      <c r="BA480" s="360"/>
      <c r="BB480" s="360"/>
      <c r="BC480" s="360"/>
    </row>
    <row r="481">
      <c r="A481" s="125"/>
      <c r="B481" s="189"/>
      <c r="C481" s="124"/>
      <c r="D481" s="124"/>
      <c r="E481" s="124"/>
      <c r="F481" s="125"/>
      <c r="G481" s="189"/>
      <c r="H481" s="124"/>
      <c r="I481" s="124"/>
      <c r="J481" s="124"/>
      <c r="K481" s="102"/>
      <c r="L481" s="189"/>
      <c r="M481" s="124"/>
      <c r="N481" s="124"/>
      <c r="O481" s="124"/>
      <c r="P481" s="102"/>
      <c r="Q481" s="161"/>
      <c r="R481" s="124"/>
      <c r="S481" s="124"/>
      <c r="T481" s="124"/>
      <c r="U481" s="125"/>
      <c r="V481" s="189"/>
      <c r="W481" s="124"/>
      <c r="X481" s="124"/>
      <c r="Y481" s="124"/>
      <c r="Z481" s="125"/>
      <c r="AA481" s="189"/>
      <c r="AB481" s="124"/>
      <c r="AC481" s="124"/>
      <c r="AD481" s="124"/>
      <c r="AE481" s="125"/>
      <c r="AF481" s="189"/>
      <c r="AG481" s="124"/>
      <c r="AH481" s="124"/>
      <c r="AI481" s="124"/>
      <c r="AJ481" s="125"/>
      <c r="AK481" s="189"/>
      <c r="AL481" s="124"/>
      <c r="AM481" s="124"/>
      <c r="AN481" s="124"/>
      <c r="AO481" s="360"/>
      <c r="AP481" s="360"/>
      <c r="AQ481" s="360"/>
      <c r="AR481" s="360"/>
      <c r="AS481" s="360"/>
      <c r="AT481" s="360"/>
      <c r="AU481" s="360"/>
      <c r="AV481" s="360"/>
      <c r="AW481" s="360"/>
      <c r="AX481" s="360"/>
      <c r="AY481" s="360"/>
      <c r="AZ481" s="360"/>
      <c r="BA481" s="360"/>
      <c r="BB481" s="360"/>
      <c r="BC481" s="360"/>
    </row>
    <row r="482">
      <c r="A482" s="125"/>
      <c r="B482" s="189"/>
      <c r="C482" s="124"/>
      <c r="D482" s="124"/>
      <c r="E482" s="124"/>
      <c r="F482" s="125"/>
      <c r="G482" s="189"/>
      <c r="H482" s="124"/>
      <c r="I482" s="124"/>
      <c r="J482" s="124"/>
      <c r="K482" s="102"/>
      <c r="L482" s="189"/>
      <c r="M482" s="124"/>
      <c r="N482" s="124"/>
      <c r="O482" s="124"/>
      <c r="P482" s="102"/>
      <c r="Q482" s="161"/>
      <c r="R482" s="124"/>
      <c r="S482" s="124"/>
      <c r="T482" s="124"/>
      <c r="U482" s="125"/>
      <c r="V482" s="189"/>
      <c r="W482" s="124"/>
      <c r="X482" s="124"/>
      <c r="Y482" s="124"/>
      <c r="Z482" s="125"/>
      <c r="AA482" s="189"/>
      <c r="AB482" s="124"/>
      <c r="AC482" s="124"/>
      <c r="AD482" s="124"/>
      <c r="AE482" s="125"/>
      <c r="AF482" s="189"/>
      <c r="AG482" s="124"/>
      <c r="AH482" s="124"/>
      <c r="AI482" s="124"/>
      <c r="AJ482" s="125"/>
      <c r="AK482" s="189"/>
      <c r="AL482" s="124"/>
      <c r="AM482" s="124"/>
      <c r="AN482" s="124"/>
      <c r="AO482" s="360"/>
      <c r="AP482" s="360"/>
      <c r="AQ482" s="360"/>
      <c r="AR482" s="360"/>
      <c r="AS482" s="360"/>
      <c r="AT482" s="360"/>
      <c r="AU482" s="360"/>
      <c r="AV482" s="360"/>
      <c r="AW482" s="360"/>
      <c r="AX482" s="360"/>
      <c r="AY482" s="360"/>
      <c r="AZ482" s="360"/>
      <c r="BA482" s="360"/>
      <c r="BB482" s="360"/>
      <c r="BC482" s="360"/>
    </row>
    <row r="483">
      <c r="A483" s="125"/>
      <c r="B483" s="189"/>
      <c r="C483" s="124"/>
      <c r="D483" s="124"/>
      <c r="E483" s="124"/>
      <c r="F483" s="125"/>
      <c r="G483" s="189"/>
      <c r="H483" s="124"/>
      <c r="I483" s="124"/>
      <c r="J483" s="124"/>
      <c r="K483" s="102"/>
      <c r="L483" s="189"/>
      <c r="M483" s="124"/>
      <c r="N483" s="124"/>
      <c r="O483" s="124"/>
      <c r="P483" s="102"/>
      <c r="Q483" s="161"/>
      <c r="R483" s="124"/>
      <c r="S483" s="124"/>
      <c r="T483" s="124"/>
      <c r="U483" s="125"/>
      <c r="V483" s="189"/>
      <c r="W483" s="124"/>
      <c r="X483" s="124"/>
      <c r="Y483" s="124"/>
      <c r="Z483" s="125"/>
      <c r="AA483" s="189"/>
      <c r="AB483" s="124"/>
      <c r="AC483" s="124"/>
      <c r="AD483" s="124"/>
      <c r="AE483" s="125"/>
      <c r="AF483" s="189"/>
      <c r="AG483" s="124"/>
      <c r="AH483" s="124"/>
      <c r="AI483" s="124"/>
      <c r="AJ483" s="125"/>
      <c r="AK483" s="189"/>
      <c r="AL483" s="124"/>
      <c r="AM483" s="124"/>
      <c r="AN483" s="124"/>
      <c r="AO483" s="360"/>
      <c r="AP483" s="360"/>
      <c r="AQ483" s="360"/>
      <c r="AR483" s="360"/>
      <c r="AS483" s="360"/>
      <c r="AT483" s="360"/>
      <c r="AU483" s="360"/>
      <c r="AV483" s="360"/>
      <c r="AW483" s="360"/>
      <c r="AX483" s="360"/>
      <c r="AY483" s="360"/>
      <c r="AZ483" s="360"/>
      <c r="BA483" s="360"/>
      <c r="BB483" s="360"/>
      <c r="BC483" s="360"/>
    </row>
    <row r="484">
      <c r="A484" s="125"/>
      <c r="B484" s="189"/>
      <c r="C484" s="124"/>
      <c r="D484" s="124"/>
      <c r="E484" s="124"/>
      <c r="F484" s="125"/>
      <c r="G484" s="189"/>
      <c r="H484" s="124"/>
      <c r="I484" s="124"/>
      <c r="J484" s="124"/>
      <c r="K484" s="102"/>
      <c r="L484" s="189"/>
      <c r="M484" s="124"/>
      <c r="N484" s="124"/>
      <c r="O484" s="124"/>
      <c r="P484" s="102"/>
      <c r="Q484" s="161"/>
      <c r="R484" s="124"/>
      <c r="S484" s="124"/>
      <c r="T484" s="124"/>
      <c r="U484" s="125"/>
      <c r="V484" s="189"/>
      <c r="W484" s="124"/>
      <c r="X484" s="124"/>
      <c r="Y484" s="124"/>
      <c r="Z484" s="125"/>
      <c r="AA484" s="189"/>
      <c r="AB484" s="124"/>
      <c r="AC484" s="124"/>
      <c r="AD484" s="124"/>
      <c r="AE484" s="125"/>
      <c r="AF484" s="189"/>
      <c r="AG484" s="124"/>
      <c r="AH484" s="124"/>
      <c r="AI484" s="124"/>
      <c r="AJ484" s="125"/>
      <c r="AK484" s="189"/>
      <c r="AL484" s="124"/>
      <c r="AM484" s="124"/>
      <c r="AN484" s="124"/>
      <c r="AO484" s="360"/>
      <c r="AP484" s="360"/>
      <c r="AQ484" s="360"/>
      <c r="AR484" s="360"/>
      <c r="AS484" s="360"/>
      <c r="AT484" s="360"/>
      <c r="AU484" s="360"/>
      <c r="AV484" s="360"/>
      <c r="AW484" s="360"/>
      <c r="AX484" s="360"/>
      <c r="AY484" s="360"/>
      <c r="AZ484" s="360"/>
      <c r="BA484" s="360"/>
      <c r="BB484" s="360"/>
      <c r="BC484" s="360"/>
    </row>
    <row r="485">
      <c r="A485" s="125"/>
      <c r="B485" s="189"/>
      <c r="C485" s="124"/>
      <c r="D485" s="124"/>
      <c r="E485" s="124"/>
      <c r="F485" s="125"/>
      <c r="G485" s="189"/>
      <c r="H485" s="124"/>
      <c r="I485" s="124"/>
      <c r="J485" s="124"/>
      <c r="K485" s="102"/>
      <c r="L485" s="189"/>
      <c r="M485" s="124"/>
      <c r="N485" s="124"/>
      <c r="O485" s="124"/>
      <c r="P485" s="102"/>
      <c r="Q485" s="161"/>
      <c r="R485" s="124"/>
      <c r="S485" s="124"/>
      <c r="T485" s="124"/>
      <c r="U485" s="125"/>
      <c r="V485" s="189"/>
      <c r="W485" s="124"/>
      <c r="X485" s="124"/>
      <c r="Y485" s="124"/>
      <c r="Z485" s="125"/>
      <c r="AA485" s="189"/>
      <c r="AB485" s="124"/>
      <c r="AC485" s="124"/>
      <c r="AD485" s="124"/>
      <c r="AE485" s="125"/>
      <c r="AF485" s="189"/>
      <c r="AG485" s="124"/>
      <c r="AH485" s="124"/>
      <c r="AI485" s="124"/>
      <c r="AJ485" s="125"/>
      <c r="AK485" s="189"/>
      <c r="AL485" s="124"/>
      <c r="AM485" s="124"/>
      <c r="AN485" s="124"/>
      <c r="AO485" s="360"/>
      <c r="AP485" s="360"/>
      <c r="AQ485" s="360"/>
      <c r="AR485" s="360"/>
      <c r="AS485" s="360"/>
      <c r="AT485" s="360"/>
      <c r="AU485" s="360"/>
      <c r="AV485" s="360"/>
      <c r="AW485" s="360"/>
      <c r="AX485" s="360"/>
      <c r="AY485" s="360"/>
      <c r="AZ485" s="360"/>
      <c r="BA485" s="360"/>
      <c r="BB485" s="360"/>
      <c r="BC485" s="360"/>
    </row>
    <row r="486">
      <c r="A486" s="125"/>
      <c r="B486" s="189"/>
      <c r="C486" s="124"/>
      <c r="D486" s="124"/>
      <c r="E486" s="124"/>
      <c r="F486" s="125"/>
      <c r="G486" s="189"/>
      <c r="H486" s="124"/>
      <c r="I486" s="124"/>
      <c r="J486" s="124"/>
      <c r="K486" s="102"/>
      <c r="L486" s="189"/>
      <c r="M486" s="124"/>
      <c r="N486" s="124"/>
      <c r="O486" s="124"/>
      <c r="P486" s="102"/>
      <c r="Q486" s="161"/>
      <c r="R486" s="124"/>
      <c r="S486" s="124"/>
      <c r="T486" s="124"/>
      <c r="U486" s="125"/>
      <c r="V486" s="189"/>
      <c r="W486" s="124"/>
      <c r="X486" s="124"/>
      <c r="Y486" s="124"/>
      <c r="Z486" s="125"/>
      <c r="AA486" s="189"/>
      <c r="AB486" s="124"/>
      <c r="AC486" s="124"/>
      <c r="AD486" s="124"/>
      <c r="AE486" s="125"/>
      <c r="AF486" s="189"/>
      <c r="AG486" s="124"/>
      <c r="AH486" s="124"/>
      <c r="AI486" s="124"/>
      <c r="AJ486" s="125"/>
      <c r="AK486" s="189"/>
      <c r="AL486" s="124"/>
      <c r="AM486" s="124"/>
      <c r="AN486" s="124"/>
      <c r="AO486" s="360"/>
      <c r="AP486" s="360"/>
      <c r="AQ486" s="360"/>
      <c r="AR486" s="360"/>
      <c r="AS486" s="360"/>
      <c r="AT486" s="360"/>
      <c r="AU486" s="360"/>
      <c r="AV486" s="360"/>
      <c r="AW486" s="360"/>
      <c r="AX486" s="360"/>
      <c r="AY486" s="360"/>
      <c r="AZ486" s="360"/>
      <c r="BA486" s="360"/>
      <c r="BB486" s="360"/>
      <c r="BC486" s="360"/>
    </row>
    <row r="487">
      <c r="A487" s="125"/>
      <c r="B487" s="189"/>
      <c r="C487" s="124"/>
      <c r="D487" s="124"/>
      <c r="E487" s="124"/>
      <c r="F487" s="125"/>
      <c r="G487" s="189"/>
      <c r="H487" s="124"/>
      <c r="I487" s="124"/>
      <c r="J487" s="124"/>
      <c r="K487" s="102"/>
      <c r="L487" s="189"/>
      <c r="M487" s="124"/>
      <c r="N487" s="124"/>
      <c r="O487" s="124"/>
      <c r="P487" s="102"/>
      <c r="Q487" s="161"/>
      <c r="R487" s="124"/>
      <c r="S487" s="124"/>
      <c r="T487" s="124"/>
      <c r="U487" s="125"/>
      <c r="V487" s="189"/>
      <c r="W487" s="124"/>
      <c r="X487" s="124"/>
      <c r="Y487" s="124"/>
      <c r="Z487" s="125"/>
      <c r="AA487" s="189"/>
      <c r="AB487" s="124"/>
      <c r="AC487" s="124"/>
      <c r="AD487" s="124"/>
      <c r="AE487" s="125"/>
      <c r="AF487" s="189"/>
      <c r="AG487" s="124"/>
      <c r="AH487" s="124"/>
      <c r="AI487" s="124"/>
      <c r="AJ487" s="125"/>
      <c r="AK487" s="189"/>
      <c r="AL487" s="124"/>
      <c r="AM487" s="124"/>
      <c r="AN487" s="124"/>
      <c r="AO487" s="360"/>
      <c r="AP487" s="360"/>
      <c r="AQ487" s="360"/>
      <c r="AR487" s="360"/>
      <c r="AS487" s="360"/>
      <c r="AT487" s="360"/>
      <c r="AU487" s="360"/>
      <c r="AV487" s="360"/>
      <c r="AW487" s="360"/>
      <c r="AX487" s="360"/>
      <c r="AY487" s="360"/>
      <c r="AZ487" s="360"/>
      <c r="BA487" s="360"/>
      <c r="BB487" s="360"/>
      <c r="BC487" s="360"/>
    </row>
    <row r="488">
      <c r="A488" s="125"/>
      <c r="B488" s="189"/>
      <c r="C488" s="124"/>
      <c r="D488" s="124"/>
      <c r="E488" s="124"/>
      <c r="F488" s="125"/>
      <c r="G488" s="189"/>
      <c r="H488" s="124"/>
      <c r="I488" s="124"/>
      <c r="J488" s="124"/>
      <c r="K488" s="102"/>
      <c r="L488" s="189"/>
      <c r="M488" s="124"/>
      <c r="N488" s="124"/>
      <c r="O488" s="124"/>
      <c r="P488" s="102"/>
      <c r="Q488" s="161"/>
      <c r="R488" s="124"/>
      <c r="S488" s="124"/>
      <c r="T488" s="124"/>
      <c r="U488" s="125"/>
      <c r="V488" s="189"/>
      <c r="W488" s="124"/>
      <c r="X488" s="124"/>
      <c r="Y488" s="124"/>
      <c r="Z488" s="125"/>
      <c r="AA488" s="189"/>
      <c r="AB488" s="124"/>
      <c r="AC488" s="124"/>
      <c r="AD488" s="124"/>
      <c r="AE488" s="125"/>
      <c r="AF488" s="189"/>
      <c r="AG488" s="124"/>
      <c r="AH488" s="124"/>
      <c r="AI488" s="124"/>
      <c r="AJ488" s="125"/>
      <c r="AK488" s="189"/>
      <c r="AL488" s="124"/>
      <c r="AM488" s="124"/>
      <c r="AN488" s="124"/>
      <c r="AO488" s="360"/>
      <c r="AP488" s="360"/>
      <c r="AQ488" s="360"/>
      <c r="AR488" s="360"/>
      <c r="AS488" s="360"/>
      <c r="AT488" s="360"/>
      <c r="AU488" s="360"/>
      <c r="AV488" s="360"/>
      <c r="AW488" s="360"/>
      <c r="AX488" s="360"/>
      <c r="AY488" s="360"/>
      <c r="AZ488" s="360"/>
      <c r="BA488" s="360"/>
      <c r="BB488" s="360"/>
      <c r="BC488" s="360"/>
    </row>
    <row r="489">
      <c r="A489" s="125"/>
      <c r="B489" s="189"/>
      <c r="C489" s="124"/>
      <c r="D489" s="124"/>
      <c r="E489" s="124"/>
      <c r="F489" s="125"/>
      <c r="G489" s="189"/>
      <c r="H489" s="124"/>
      <c r="I489" s="124"/>
      <c r="J489" s="124"/>
      <c r="K489" s="102"/>
      <c r="L489" s="189"/>
      <c r="M489" s="124"/>
      <c r="N489" s="124"/>
      <c r="O489" s="124"/>
      <c r="P489" s="102"/>
      <c r="Q489" s="161"/>
      <c r="R489" s="124"/>
      <c r="S489" s="124"/>
      <c r="T489" s="124"/>
      <c r="U489" s="125"/>
      <c r="V489" s="189"/>
      <c r="W489" s="124"/>
      <c r="X489" s="124"/>
      <c r="Y489" s="124"/>
      <c r="Z489" s="125"/>
      <c r="AA489" s="189"/>
      <c r="AB489" s="124"/>
      <c r="AC489" s="124"/>
      <c r="AD489" s="124"/>
      <c r="AE489" s="125"/>
      <c r="AF489" s="189"/>
      <c r="AG489" s="124"/>
      <c r="AH489" s="124"/>
      <c r="AI489" s="124"/>
      <c r="AJ489" s="125"/>
      <c r="AK489" s="189"/>
      <c r="AL489" s="124"/>
      <c r="AM489" s="124"/>
      <c r="AN489" s="124"/>
      <c r="AO489" s="360"/>
      <c r="AP489" s="360"/>
      <c r="AQ489" s="360"/>
      <c r="AR489" s="360"/>
      <c r="AS489" s="360"/>
      <c r="AT489" s="360"/>
      <c r="AU489" s="360"/>
      <c r="AV489" s="360"/>
      <c r="AW489" s="360"/>
      <c r="AX489" s="360"/>
      <c r="AY489" s="360"/>
      <c r="AZ489" s="360"/>
      <c r="BA489" s="360"/>
      <c r="BB489" s="360"/>
      <c r="BC489" s="360"/>
    </row>
    <row r="490">
      <c r="A490" s="125"/>
      <c r="B490" s="189"/>
      <c r="C490" s="124"/>
      <c r="D490" s="124"/>
      <c r="E490" s="124"/>
      <c r="F490" s="125"/>
      <c r="G490" s="189"/>
      <c r="H490" s="124"/>
      <c r="I490" s="124"/>
      <c r="J490" s="124"/>
      <c r="K490" s="102"/>
      <c r="L490" s="189"/>
      <c r="M490" s="124"/>
      <c r="N490" s="124"/>
      <c r="O490" s="124"/>
      <c r="P490" s="102"/>
      <c r="Q490" s="161"/>
      <c r="R490" s="124"/>
      <c r="S490" s="124"/>
      <c r="T490" s="124"/>
      <c r="U490" s="125"/>
      <c r="V490" s="189"/>
      <c r="W490" s="124"/>
      <c r="X490" s="124"/>
      <c r="Y490" s="124"/>
      <c r="Z490" s="125"/>
      <c r="AA490" s="189"/>
      <c r="AB490" s="124"/>
      <c r="AC490" s="124"/>
      <c r="AD490" s="124"/>
      <c r="AE490" s="125"/>
      <c r="AF490" s="189"/>
      <c r="AG490" s="124"/>
      <c r="AH490" s="124"/>
      <c r="AI490" s="124"/>
      <c r="AJ490" s="125"/>
      <c r="AK490" s="189"/>
      <c r="AL490" s="124"/>
      <c r="AM490" s="124"/>
      <c r="AN490" s="124"/>
      <c r="AO490" s="360"/>
      <c r="AP490" s="360"/>
      <c r="AQ490" s="360"/>
      <c r="AR490" s="360"/>
      <c r="AS490" s="360"/>
      <c r="AT490" s="360"/>
      <c r="AU490" s="360"/>
      <c r="AV490" s="360"/>
      <c r="AW490" s="360"/>
      <c r="AX490" s="360"/>
      <c r="AY490" s="360"/>
      <c r="AZ490" s="360"/>
      <c r="BA490" s="360"/>
      <c r="BB490" s="360"/>
      <c r="BC490" s="360"/>
    </row>
    <row r="491">
      <c r="A491" s="125"/>
      <c r="B491" s="189"/>
      <c r="C491" s="124"/>
      <c r="D491" s="124"/>
      <c r="E491" s="124"/>
      <c r="F491" s="125"/>
      <c r="G491" s="189"/>
      <c r="H491" s="124"/>
      <c r="I491" s="124"/>
      <c r="J491" s="124"/>
      <c r="K491" s="102"/>
      <c r="L491" s="189"/>
      <c r="M491" s="124"/>
      <c r="N491" s="124"/>
      <c r="O491" s="124"/>
      <c r="P491" s="102"/>
      <c r="Q491" s="161"/>
      <c r="R491" s="124"/>
      <c r="S491" s="124"/>
      <c r="T491" s="124"/>
      <c r="U491" s="125"/>
      <c r="V491" s="189"/>
      <c r="W491" s="124"/>
      <c r="X491" s="124"/>
      <c r="Y491" s="124"/>
      <c r="Z491" s="125"/>
      <c r="AA491" s="189"/>
      <c r="AB491" s="124"/>
      <c r="AC491" s="124"/>
      <c r="AD491" s="124"/>
      <c r="AE491" s="125"/>
      <c r="AF491" s="189"/>
      <c r="AG491" s="124"/>
      <c r="AH491" s="124"/>
      <c r="AI491" s="124"/>
      <c r="AJ491" s="125"/>
      <c r="AK491" s="189"/>
      <c r="AL491" s="124"/>
      <c r="AM491" s="124"/>
      <c r="AN491" s="124"/>
      <c r="AO491" s="360"/>
      <c r="AP491" s="360"/>
      <c r="AQ491" s="360"/>
      <c r="AR491" s="360"/>
      <c r="AS491" s="360"/>
      <c r="AT491" s="360"/>
      <c r="AU491" s="360"/>
      <c r="AV491" s="360"/>
      <c r="AW491" s="360"/>
      <c r="AX491" s="360"/>
      <c r="AY491" s="360"/>
      <c r="AZ491" s="360"/>
      <c r="BA491" s="360"/>
      <c r="BB491" s="360"/>
      <c r="BC491" s="360"/>
    </row>
    <row r="492">
      <c r="A492" s="125"/>
      <c r="B492" s="189"/>
      <c r="C492" s="124"/>
      <c r="D492" s="124"/>
      <c r="E492" s="124"/>
      <c r="F492" s="125"/>
      <c r="G492" s="189"/>
      <c r="H492" s="124"/>
      <c r="I492" s="124"/>
      <c r="J492" s="124"/>
      <c r="K492" s="102"/>
      <c r="L492" s="189"/>
      <c r="M492" s="124"/>
      <c r="N492" s="124"/>
      <c r="O492" s="124"/>
      <c r="P492" s="102"/>
      <c r="Q492" s="161"/>
      <c r="R492" s="124"/>
      <c r="S492" s="124"/>
      <c r="T492" s="124"/>
      <c r="U492" s="125"/>
      <c r="V492" s="189"/>
      <c r="W492" s="124"/>
      <c r="X492" s="124"/>
      <c r="Y492" s="124"/>
      <c r="Z492" s="125"/>
      <c r="AA492" s="189"/>
      <c r="AB492" s="124"/>
      <c r="AC492" s="124"/>
      <c r="AD492" s="124"/>
      <c r="AE492" s="125"/>
      <c r="AF492" s="189"/>
      <c r="AG492" s="124"/>
      <c r="AH492" s="124"/>
      <c r="AI492" s="124"/>
      <c r="AJ492" s="125"/>
      <c r="AK492" s="189"/>
      <c r="AL492" s="124"/>
      <c r="AM492" s="124"/>
      <c r="AN492" s="124"/>
      <c r="AO492" s="360"/>
      <c r="AP492" s="360"/>
      <c r="AQ492" s="360"/>
      <c r="AR492" s="360"/>
      <c r="AS492" s="360"/>
      <c r="AT492" s="360"/>
      <c r="AU492" s="360"/>
      <c r="AV492" s="360"/>
      <c r="AW492" s="360"/>
      <c r="AX492" s="360"/>
      <c r="AY492" s="360"/>
      <c r="AZ492" s="360"/>
      <c r="BA492" s="360"/>
      <c r="BB492" s="360"/>
      <c r="BC492" s="360"/>
    </row>
    <row r="493">
      <c r="A493" s="125"/>
      <c r="B493" s="189"/>
      <c r="C493" s="124"/>
      <c r="D493" s="124"/>
      <c r="E493" s="124"/>
      <c r="F493" s="125"/>
      <c r="G493" s="189"/>
      <c r="H493" s="124"/>
      <c r="I493" s="124"/>
      <c r="J493" s="124"/>
      <c r="K493" s="102"/>
      <c r="L493" s="189"/>
      <c r="M493" s="124"/>
      <c r="N493" s="124"/>
      <c r="O493" s="124"/>
      <c r="P493" s="102"/>
      <c r="Q493" s="161"/>
      <c r="R493" s="124"/>
      <c r="S493" s="124"/>
      <c r="T493" s="124"/>
      <c r="U493" s="125"/>
      <c r="V493" s="189"/>
      <c r="W493" s="124"/>
      <c r="X493" s="124"/>
      <c r="Y493" s="124"/>
      <c r="Z493" s="125"/>
      <c r="AA493" s="189"/>
      <c r="AB493" s="124"/>
      <c r="AC493" s="124"/>
      <c r="AD493" s="124"/>
      <c r="AE493" s="125"/>
      <c r="AF493" s="189"/>
      <c r="AG493" s="124"/>
      <c r="AH493" s="124"/>
      <c r="AI493" s="124"/>
      <c r="AJ493" s="125"/>
      <c r="AK493" s="189"/>
      <c r="AL493" s="124"/>
      <c r="AM493" s="124"/>
      <c r="AN493" s="124"/>
      <c r="AO493" s="360"/>
      <c r="AP493" s="360"/>
      <c r="AQ493" s="360"/>
      <c r="AR493" s="360"/>
      <c r="AS493" s="360"/>
      <c r="AT493" s="360"/>
      <c r="AU493" s="360"/>
      <c r="AV493" s="360"/>
      <c r="AW493" s="360"/>
      <c r="AX493" s="360"/>
      <c r="AY493" s="360"/>
      <c r="AZ493" s="360"/>
      <c r="BA493" s="360"/>
      <c r="BB493" s="360"/>
      <c r="BC493" s="360"/>
    </row>
    <row r="494">
      <c r="A494" s="125"/>
      <c r="B494" s="189"/>
      <c r="C494" s="124"/>
      <c r="D494" s="124"/>
      <c r="E494" s="124"/>
      <c r="F494" s="125"/>
      <c r="G494" s="189"/>
      <c r="H494" s="124"/>
      <c r="I494" s="124"/>
      <c r="J494" s="124"/>
      <c r="K494" s="102"/>
      <c r="L494" s="189"/>
      <c r="M494" s="124"/>
      <c r="N494" s="124"/>
      <c r="O494" s="124"/>
      <c r="P494" s="102"/>
      <c r="Q494" s="161"/>
      <c r="R494" s="124"/>
      <c r="S494" s="124"/>
      <c r="T494" s="124"/>
      <c r="U494" s="125"/>
      <c r="V494" s="189"/>
      <c r="W494" s="124"/>
      <c r="X494" s="124"/>
      <c r="Y494" s="124"/>
      <c r="Z494" s="125"/>
      <c r="AA494" s="189"/>
      <c r="AB494" s="124"/>
      <c r="AC494" s="124"/>
      <c r="AD494" s="124"/>
      <c r="AE494" s="125"/>
      <c r="AF494" s="189"/>
      <c r="AG494" s="124"/>
      <c r="AH494" s="124"/>
      <c r="AI494" s="124"/>
      <c r="AJ494" s="125"/>
      <c r="AK494" s="189"/>
      <c r="AL494" s="124"/>
      <c r="AM494" s="124"/>
      <c r="AN494" s="124"/>
      <c r="AO494" s="360"/>
      <c r="AP494" s="360"/>
      <c r="AQ494" s="360"/>
      <c r="AR494" s="360"/>
      <c r="AS494" s="360"/>
      <c r="AT494" s="360"/>
      <c r="AU494" s="360"/>
      <c r="AV494" s="360"/>
      <c r="AW494" s="360"/>
      <c r="AX494" s="360"/>
      <c r="AY494" s="360"/>
      <c r="AZ494" s="360"/>
      <c r="BA494" s="360"/>
      <c r="BB494" s="360"/>
      <c r="BC494" s="360"/>
    </row>
    <row r="495">
      <c r="A495" s="125"/>
      <c r="B495" s="189"/>
      <c r="C495" s="124"/>
      <c r="D495" s="124"/>
      <c r="E495" s="124"/>
      <c r="F495" s="125"/>
      <c r="G495" s="189"/>
      <c r="H495" s="124"/>
      <c r="I495" s="124"/>
      <c r="J495" s="124"/>
      <c r="K495" s="102"/>
      <c r="L495" s="189"/>
      <c r="M495" s="124"/>
      <c r="N495" s="124"/>
      <c r="O495" s="124"/>
      <c r="P495" s="102"/>
      <c r="Q495" s="161"/>
      <c r="R495" s="124"/>
      <c r="S495" s="124"/>
      <c r="T495" s="124"/>
      <c r="U495" s="125"/>
      <c r="V495" s="189"/>
      <c r="W495" s="124"/>
      <c r="X495" s="124"/>
      <c r="Y495" s="124"/>
      <c r="Z495" s="125"/>
      <c r="AA495" s="189"/>
      <c r="AB495" s="124"/>
      <c r="AC495" s="124"/>
      <c r="AD495" s="124"/>
      <c r="AE495" s="125"/>
      <c r="AF495" s="189"/>
      <c r="AG495" s="124"/>
      <c r="AH495" s="124"/>
      <c r="AI495" s="124"/>
      <c r="AJ495" s="125"/>
      <c r="AK495" s="189"/>
      <c r="AL495" s="124"/>
      <c r="AM495" s="124"/>
      <c r="AN495" s="124"/>
      <c r="AO495" s="360"/>
      <c r="AP495" s="360"/>
      <c r="AQ495" s="360"/>
      <c r="AR495" s="360"/>
      <c r="AS495" s="360"/>
      <c r="AT495" s="360"/>
      <c r="AU495" s="360"/>
      <c r="AV495" s="360"/>
      <c r="AW495" s="360"/>
      <c r="AX495" s="360"/>
      <c r="AY495" s="360"/>
      <c r="AZ495" s="360"/>
      <c r="BA495" s="360"/>
      <c r="BB495" s="360"/>
      <c r="BC495" s="360"/>
    </row>
    <row r="496">
      <c r="A496" s="125"/>
      <c r="B496" s="189"/>
      <c r="C496" s="124"/>
      <c r="D496" s="124"/>
      <c r="E496" s="124"/>
      <c r="F496" s="125"/>
      <c r="G496" s="189"/>
      <c r="H496" s="124"/>
      <c r="I496" s="124"/>
      <c r="J496" s="124"/>
      <c r="K496" s="102"/>
      <c r="L496" s="189"/>
      <c r="M496" s="124"/>
      <c r="N496" s="124"/>
      <c r="O496" s="124"/>
      <c r="P496" s="102"/>
      <c r="Q496" s="161"/>
      <c r="R496" s="124"/>
      <c r="S496" s="124"/>
      <c r="T496" s="124"/>
      <c r="U496" s="125"/>
      <c r="V496" s="189"/>
      <c r="W496" s="124"/>
      <c r="X496" s="124"/>
      <c r="Y496" s="124"/>
      <c r="Z496" s="125"/>
      <c r="AA496" s="189"/>
      <c r="AB496" s="124"/>
      <c r="AC496" s="124"/>
      <c r="AD496" s="124"/>
      <c r="AE496" s="125"/>
      <c r="AF496" s="189"/>
      <c r="AG496" s="124"/>
      <c r="AH496" s="124"/>
      <c r="AI496" s="124"/>
      <c r="AJ496" s="125"/>
      <c r="AK496" s="189"/>
      <c r="AL496" s="124"/>
      <c r="AM496" s="124"/>
      <c r="AN496" s="124"/>
      <c r="AO496" s="360"/>
      <c r="AP496" s="360"/>
      <c r="AQ496" s="360"/>
      <c r="AR496" s="360"/>
      <c r="AS496" s="360"/>
      <c r="AT496" s="360"/>
      <c r="AU496" s="360"/>
      <c r="AV496" s="360"/>
      <c r="AW496" s="360"/>
      <c r="AX496" s="360"/>
      <c r="AY496" s="360"/>
      <c r="AZ496" s="360"/>
      <c r="BA496" s="360"/>
      <c r="BB496" s="360"/>
      <c r="BC496" s="360"/>
    </row>
    <row r="497">
      <c r="A497" s="125"/>
      <c r="B497" s="189"/>
      <c r="C497" s="124"/>
      <c r="D497" s="124"/>
      <c r="E497" s="124"/>
      <c r="F497" s="125"/>
      <c r="G497" s="189"/>
      <c r="H497" s="124"/>
      <c r="I497" s="124"/>
      <c r="J497" s="124"/>
      <c r="K497" s="102"/>
      <c r="L497" s="189"/>
      <c r="M497" s="124"/>
      <c r="N497" s="124"/>
      <c r="O497" s="124"/>
      <c r="P497" s="102"/>
      <c r="Q497" s="161"/>
      <c r="R497" s="124"/>
      <c r="S497" s="124"/>
      <c r="T497" s="124"/>
      <c r="U497" s="125"/>
      <c r="V497" s="189"/>
      <c r="W497" s="124"/>
      <c r="X497" s="124"/>
      <c r="Y497" s="124"/>
      <c r="Z497" s="125"/>
      <c r="AA497" s="189"/>
      <c r="AB497" s="124"/>
      <c r="AC497" s="124"/>
      <c r="AD497" s="124"/>
      <c r="AE497" s="125"/>
      <c r="AF497" s="189"/>
      <c r="AG497" s="124"/>
      <c r="AH497" s="124"/>
      <c r="AI497" s="124"/>
      <c r="AJ497" s="125"/>
      <c r="AK497" s="189"/>
      <c r="AL497" s="124"/>
      <c r="AM497" s="124"/>
      <c r="AN497" s="124"/>
      <c r="AO497" s="360"/>
      <c r="AP497" s="360"/>
      <c r="AQ497" s="360"/>
      <c r="AR497" s="360"/>
      <c r="AS497" s="360"/>
      <c r="AT497" s="360"/>
      <c r="AU497" s="360"/>
      <c r="AV497" s="360"/>
      <c r="AW497" s="360"/>
      <c r="AX497" s="360"/>
      <c r="AY497" s="360"/>
      <c r="AZ497" s="360"/>
      <c r="BA497" s="360"/>
      <c r="BB497" s="360"/>
      <c r="BC497" s="360"/>
    </row>
    <row r="498">
      <c r="A498" s="125"/>
      <c r="B498" s="189"/>
      <c r="C498" s="124"/>
      <c r="D498" s="124"/>
      <c r="E498" s="124"/>
      <c r="F498" s="125"/>
      <c r="G498" s="189"/>
      <c r="H498" s="124"/>
      <c r="I498" s="124"/>
      <c r="J498" s="124"/>
      <c r="K498" s="102"/>
      <c r="L498" s="189"/>
      <c r="M498" s="124"/>
      <c r="N498" s="124"/>
      <c r="O498" s="124"/>
      <c r="P498" s="102"/>
      <c r="Q498" s="161"/>
      <c r="R498" s="124"/>
      <c r="S498" s="124"/>
      <c r="T498" s="124"/>
      <c r="U498" s="125"/>
      <c r="V498" s="189"/>
      <c r="W498" s="124"/>
      <c r="X498" s="124"/>
      <c r="Y498" s="124"/>
      <c r="Z498" s="125"/>
      <c r="AA498" s="189"/>
      <c r="AB498" s="124"/>
      <c r="AC498" s="124"/>
      <c r="AD498" s="124"/>
      <c r="AE498" s="125"/>
      <c r="AF498" s="189"/>
      <c r="AG498" s="124"/>
      <c r="AH498" s="124"/>
      <c r="AI498" s="124"/>
      <c r="AJ498" s="125"/>
      <c r="AK498" s="189"/>
      <c r="AL498" s="124"/>
      <c r="AM498" s="124"/>
      <c r="AN498" s="124"/>
      <c r="AO498" s="360"/>
      <c r="AP498" s="360"/>
      <c r="AQ498" s="360"/>
      <c r="AR498" s="360"/>
      <c r="AS498" s="360"/>
      <c r="AT498" s="360"/>
      <c r="AU498" s="360"/>
      <c r="AV498" s="360"/>
      <c r="AW498" s="360"/>
      <c r="AX498" s="360"/>
      <c r="AY498" s="360"/>
      <c r="AZ498" s="360"/>
      <c r="BA498" s="360"/>
      <c r="BB498" s="360"/>
      <c r="BC498" s="360"/>
    </row>
    <row r="499">
      <c r="A499" s="125"/>
      <c r="B499" s="189"/>
      <c r="C499" s="124"/>
      <c r="D499" s="124"/>
      <c r="E499" s="124"/>
      <c r="F499" s="125"/>
      <c r="G499" s="189"/>
      <c r="H499" s="124"/>
      <c r="I499" s="124"/>
      <c r="J499" s="124"/>
      <c r="K499" s="102"/>
      <c r="L499" s="189"/>
      <c r="M499" s="124"/>
      <c r="N499" s="124"/>
      <c r="O499" s="124"/>
      <c r="P499" s="102"/>
      <c r="Q499" s="161"/>
      <c r="R499" s="124"/>
      <c r="S499" s="124"/>
      <c r="T499" s="124"/>
      <c r="U499" s="125"/>
      <c r="V499" s="189"/>
      <c r="W499" s="124"/>
      <c r="X499" s="124"/>
      <c r="Y499" s="124"/>
      <c r="Z499" s="125"/>
      <c r="AA499" s="189"/>
      <c r="AB499" s="124"/>
      <c r="AC499" s="124"/>
      <c r="AD499" s="124"/>
      <c r="AE499" s="125"/>
      <c r="AF499" s="189"/>
      <c r="AG499" s="124"/>
      <c r="AH499" s="124"/>
      <c r="AI499" s="124"/>
      <c r="AJ499" s="125"/>
      <c r="AK499" s="189"/>
      <c r="AL499" s="124"/>
      <c r="AM499" s="124"/>
      <c r="AN499" s="124"/>
      <c r="AO499" s="360"/>
      <c r="AP499" s="360"/>
      <c r="AQ499" s="360"/>
      <c r="AR499" s="360"/>
      <c r="AS499" s="360"/>
      <c r="AT499" s="360"/>
      <c r="AU499" s="360"/>
      <c r="AV499" s="360"/>
      <c r="AW499" s="360"/>
      <c r="AX499" s="360"/>
      <c r="AY499" s="360"/>
      <c r="AZ499" s="360"/>
      <c r="BA499" s="360"/>
      <c r="BB499" s="360"/>
      <c r="BC499" s="360"/>
    </row>
    <row r="500">
      <c r="A500" s="125"/>
      <c r="B500" s="189"/>
      <c r="C500" s="124"/>
      <c r="D500" s="124"/>
      <c r="E500" s="124"/>
      <c r="F500" s="125"/>
      <c r="G500" s="189"/>
      <c r="H500" s="124"/>
      <c r="I500" s="124"/>
      <c r="J500" s="124"/>
      <c r="K500" s="102"/>
      <c r="L500" s="189"/>
      <c r="M500" s="124"/>
      <c r="N500" s="124"/>
      <c r="O500" s="124"/>
      <c r="P500" s="102"/>
      <c r="Q500" s="161"/>
      <c r="R500" s="124"/>
      <c r="S500" s="124"/>
      <c r="T500" s="124"/>
      <c r="U500" s="125"/>
      <c r="V500" s="189"/>
      <c r="W500" s="124"/>
      <c r="X500" s="124"/>
      <c r="Y500" s="124"/>
      <c r="Z500" s="125"/>
      <c r="AA500" s="189"/>
      <c r="AB500" s="124"/>
      <c r="AC500" s="124"/>
      <c r="AD500" s="124"/>
      <c r="AE500" s="125"/>
      <c r="AF500" s="189"/>
      <c r="AG500" s="124"/>
      <c r="AH500" s="124"/>
      <c r="AI500" s="124"/>
      <c r="AJ500" s="125"/>
      <c r="AK500" s="189"/>
      <c r="AL500" s="124"/>
      <c r="AM500" s="124"/>
      <c r="AN500" s="124"/>
      <c r="AO500" s="360"/>
      <c r="AP500" s="360"/>
      <c r="AQ500" s="360"/>
      <c r="AR500" s="360"/>
      <c r="AS500" s="360"/>
      <c r="AT500" s="360"/>
      <c r="AU500" s="360"/>
      <c r="AV500" s="360"/>
      <c r="AW500" s="360"/>
      <c r="AX500" s="360"/>
      <c r="AY500" s="360"/>
      <c r="AZ500" s="360"/>
      <c r="BA500" s="360"/>
      <c r="BB500" s="360"/>
      <c r="BC500" s="360"/>
    </row>
    <row r="501">
      <c r="A501" s="125"/>
      <c r="B501" s="189"/>
      <c r="C501" s="124"/>
      <c r="D501" s="124"/>
      <c r="E501" s="124"/>
      <c r="F501" s="125"/>
      <c r="G501" s="189"/>
      <c r="H501" s="124"/>
      <c r="I501" s="124"/>
      <c r="J501" s="124"/>
      <c r="K501" s="102"/>
      <c r="L501" s="189"/>
      <c r="M501" s="124"/>
      <c r="N501" s="124"/>
      <c r="O501" s="124"/>
      <c r="P501" s="102"/>
      <c r="Q501" s="161"/>
      <c r="R501" s="124"/>
      <c r="S501" s="124"/>
      <c r="T501" s="124"/>
      <c r="U501" s="125"/>
      <c r="V501" s="189"/>
      <c r="W501" s="124"/>
      <c r="X501" s="124"/>
      <c r="Y501" s="124"/>
      <c r="Z501" s="125"/>
      <c r="AA501" s="189"/>
      <c r="AB501" s="124"/>
      <c r="AC501" s="124"/>
      <c r="AD501" s="124"/>
      <c r="AE501" s="125"/>
      <c r="AF501" s="189"/>
      <c r="AG501" s="124"/>
      <c r="AH501" s="124"/>
      <c r="AI501" s="124"/>
      <c r="AJ501" s="125"/>
      <c r="AK501" s="189"/>
      <c r="AL501" s="124"/>
      <c r="AM501" s="124"/>
      <c r="AN501" s="124"/>
      <c r="AO501" s="360"/>
      <c r="AP501" s="360"/>
      <c r="AQ501" s="360"/>
      <c r="AR501" s="360"/>
      <c r="AS501" s="360"/>
      <c r="AT501" s="360"/>
      <c r="AU501" s="360"/>
      <c r="AV501" s="360"/>
      <c r="AW501" s="360"/>
      <c r="AX501" s="360"/>
      <c r="AY501" s="360"/>
      <c r="AZ501" s="360"/>
      <c r="BA501" s="360"/>
      <c r="BB501" s="360"/>
      <c r="BC501" s="360"/>
    </row>
    <row r="502">
      <c r="A502" s="125"/>
      <c r="B502" s="189"/>
      <c r="C502" s="124"/>
      <c r="D502" s="124"/>
      <c r="E502" s="124"/>
      <c r="F502" s="125"/>
      <c r="G502" s="189"/>
      <c r="H502" s="124"/>
      <c r="I502" s="124"/>
      <c r="J502" s="124"/>
      <c r="K502" s="102"/>
      <c r="L502" s="189"/>
      <c r="M502" s="124"/>
      <c r="N502" s="124"/>
      <c r="O502" s="124"/>
      <c r="P502" s="102"/>
      <c r="Q502" s="161"/>
      <c r="R502" s="124"/>
      <c r="S502" s="124"/>
      <c r="T502" s="124"/>
      <c r="U502" s="125"/>
      <c r="V502" s="189"/>
      <c r="W502" s="124"/>
      <c r="X502" s="124"/>
      <c r="Y502" s="124"/>
      <c r="Z502" s="125"/>
      <c r="AA502" s="189"/>
      <c r="AB502" s="124"/>
      <c r="AC502" s="124"/>
      <c r="AD502" s="124"/>
      <c r="AE502" s="125"/>
      <c r="AF502" s="189"/>
      <c r="AG502" s="124"/>
      <c r="AH502" s="124"/>
      <c r="AI502" s="124"/>
      <c r="AJ502" s="125"/>
      <c r="AK502" s="189"/>
      <c r="AL502" s="124"/>
      <c r="AM502" s="124"/>
      <c r="AN502" s="124"/>
      <c r="AO502" s="360"/>
      <c r="AP502" s="360"/>
      <c r="AQ502" s="360"/>
      <c r="AR502" s="360"/>
      <c r="AS502" s="360"/>
      <c r="AT502" s="360"/>
      <c r="AU502" s="360"/>
      <c r="AV502" s="360"/>
      <c r="AW502" s="360"/>
      <c r="AX502" s="360"/>
      <c r="AY502" s="360"/>
      <c r="AZ502" s="360"/>
      <c r="BA502" s="360"/>
      <c r="BB502" s="360"/>
      <c r="BC502" s="360"/>
    </row>
    <row r="503">
      <c r="A503" s="125"/>
      <c r="B503" s="189"/>
      <c r="C503" s="124"/>
      <c r="D503" s="124"/>
      <c r="E503" s="124"/>
      <c r="F503" s="125"/>
      <c r="G503" s="189"/>
      <c r="H503" s="124"/>
      <c r="I503" s="124"/>
      <c r="J503" s="124"/>
      <c r="K503" s="102"/>
      <c r="L503" s="189"/>
      <c r="M503" s="124"/>
      <c r="N503" s="124"/>
      <c r="O503" s="124"/>
      <c r="P503" s="102"/>
      <c r="Q503" s="161"/>
      <c r="R503" s="124"/>
      <c r="S503" s="124"/>
      <c r="T503" s="124"/>
      <c r="U503" s="125"/>
      <c r="V503" s="189"/>
      <c r="W503" s="124"/>
      <c r="X503" s="124"/>
      <c r="Y503" s="124"/>
      <c r="Z503" s="125"/>
      <c r="AA503" s="189"/>
      <c r="AB503" s="124"/>
      <c r="AC503" s="124"/>
      <c r="AD503" s="124"/>
      <c r="AE503" s="125"/>
      <c r="AF503" s="189"/>
      <c r="AG503" s="124"/>
      <c r="AH503" s="124"/>
      <c r="AI503" s="124"/>
      <c r="AJ503" s="125"/>
      <c r="AK503" s="189"/>
      <c r="AL503" s="124"/>
      <c r="AM503" s="124"/>
      <c r="AN503" s="124"/>
      <c r="AO503" s="360"/>
      <c r="AP503" s="360"/>
      <c r="AQ503" s="360"/>
      <c r="AR503" s="360"/>
      <c r="AS503" s="360"/>
      <c r="AT503" s="360"/>
      <c r="AU503" s="360"/>
      <c r="AV503" s="360"/>
      <c r="AW503" s="360"/>
      <c r="AX503" s="360"/>
      <c r="AY503" s="360"/>
      <c r="AZ503" s="360"/>
      <c r="BA503" s="360"/>
      <c r="BB503" s="360"/>
      <c r="BC503" s="360"/>
    </row>
    <row r="504">
      <c r="A504" s="125"/>
      <c r="B504" s="189"/>
      <c r="C504" s="124"/>
      <c r="D504" s="124"/>
      <c r="E504" s="124"/>
      <c r="F504" s="125"/>
      <c r="G504" s="189"/>
      <c r="H504" s="124"/>
      <c r="I504" s="124"/>
      <c r="J504" s="124"/>
      <c r="K504" s="102"/>
      <c r="L504" s="189"/>
      <c r="M504" s="124"/>
      <c r="N504" s="124"/>
      <c r="O504" s="124"/>
      <c r="P504" s="102"/>
      <c r="Q504" s="161"/>
      <c r="R504" s="124"/>
      <c r="S504" s="124"/>
      <c r="T504" s="124"/>
      <c r="U504" s="125"/>
      <c r="V504" s="189"/>
      <c r="W504" s="124"/>
      <c r="X504" s="124"/>
      <c r="Y504" s="124"/>
      <c r="Z504" s="125"/>
      <c r="AA504" s="189"/>
      <c r="AB504" s="124"/>
      <c r="AC504" s="124"/>
      <c r="AD504" s="124"/>
      <c r="AE504" s="125"/>
      <c r="AF504" s="189"/>
      <c r="AG504" s="124"/>
      <c r="AH504" s="124"/>
      <c r="AI504" s="124"/>
      <c r="AJ504" s="125"/>
      <c r="AK504" s="189"/>
      <c r="AL504" s="124"/>
      <c r="AM504" s="124"/>
      <c r="AN504" s="124"/>
      <c r="AO504" s="360"/>
      <c r="AP504" s="360"/>
      <c r="AQ504" s="360"/>
      <c r="AR504" s="360"/>
      <c r="AS504" s="360"/>
      <c r="AT504" s="360"/>
      <c r="AU504" s="360"/>
      <c r="AV504" s="360"/>
      <c r="AW504" s="360"/>
      <c r="AX504" s="360"/>
      <c r="AY504" s="360"/>
      <c r="AZ504" s="360"/>
      <c r="BA504" s="360"/>
      <c r="BB504" s="360"/>
      <c r="BC504" s="360"/>
    </row>
    <row r="505">
      <c r="A505" s="125"/>
      <c r="B505" s="189"/>
      <c r="C505" s="124"/>
      <c r="D505" s="124"/>
      <c r="E505" s="124"/>
      <c r="F505" s="125"/>
      <c r="G505" s="189"/>
      <c r="H505" s="124"/>
      <c r="I505" s="124"/>
      <c r="J505" s="124"/>
      <c r="K505" s="102"/>
      <c r="L505" s="189"/>
      <c r="M505" s="124"/>
      <c r="N505" s="124"/>
      <c r="O505" s="124"/>
      <c r="P505" s="102"/>
      <c r="Q505" s="161"/>
      <c r="R505" s="124"/>
      <c r="S505" s="124"/>
      <c r="T505" s="124"/>
      <c r="U505" s="125"/>
      <c r="V505" s="189"/>
      <c r="W505" s="124"/>
      <c r="X505" s="124"/>
      <c r="Y505" s="124"/>
      <c r="Z505" s="125"/>
      <c r="AA505" s="189"/>
      <c r="AB505" s="124"/>
      <c r="AC505" s="124"/>
      <c r="AD505" s="124"/>
      <c r="AE505" s="125"/>
      <c r="AF505" s="189"/>
      <c r="AG505" s="124"/>
      <c r="AH505" s="124"/>
      <c r="AI505" s="124"/>
      <c r="AJ505" s="125"/>
      <c r="AK505" s="189"/>
      <c r="AL505" s="124"/>
      <c r="AM505" s="124"/>
      <c r="AN505" s="124"/>
      <c r="AO505" s="360"/>
      <c r="AP505" s="360"/>
      <c r="AQ505" s="360"/>
      <c r="AR505" s="360"/>
      <c r="AS505" s="360"/>
      <c r="AT505" s="360"/>
      <c r="AU505" s="360"/>
      <c r="AV505" s="360"/>
      <c r="AW505" s="360"/>
      <c r="AX505" s="360"/>
      <c r="AY505" s="360"/>
      <c r="AZ505" s="360"/>
      <c r="BA505" s="360"/>
      <c r="BB505" s="360"/>
      <c r="BC505" s="360"/>
    </row>
    <row r="506">
      <c r="A506" s="125"/>
      <c r="B506" s="189"/>
      <c r="C506" s="124"/>
      <c r="D506" s="124"/>
      <c r="E506" s="124"/>
      <c r="F506" s="125"/>
      <c r="G506" s="189"/>
      <c r="H506" s="124"/>
      <c r="I506" s="124"/>
      <c r="J506" s="124"/>
      <c r="K506" s="102"/>
      <c r="L506" s="189"/>
      <c r="M506" s="124"/>
      <c r="N506" s="124"/>
      <c r="O506" s="124"/>
      <c r="P506" s="102"/>
      <c r="Q506" s="161"/>
      <c r="R506" s="124"/>
      <c r="S506" s="124"/>
      <c r="T506" s="124"/>
      <c r="U506" s="125"/>
      <c r="V506" s="189"/>
      <c r="W506" s="124"/>
      <c r="X506" s="124"/>
      <c r="Y506" s="124"/>
      <c r="Z506" s="125"/>
      <c r="AA506" s="189"/>
      <c r="AB506" s="124"/>
      <c r="AC506" s="124"/>
      <c r="AD506" s="124"/>
      <c r="AE506" s="125"/>
      <c r="AF506" s="189"/>
      <c r="AG506" s="124"/>
      <c r="AH506" s="124"/>
      <c r="AI506" s="124"/>
      <c r="AJ506" s="125"/>
      <c r="AK506" s="189"/>
      <c r="AL506" s="124"/>
      <c r="AM506" s="124"/>
      <c r="AN506" s="124"/>
      <c r="AO506" s="360"/>
      <c r="AP506" s="360"/>
      <c r="AQ506" s="360"/>
      <c r="AR506" s="360"/>
      <c r="AS506" s="360"/>
      <c r="AT506" s="360"/>
      <c r="AU506" s="360"/>
      <c r="AV506" s="360"/>
      <c r="AW506" s="360"/>
      <c r="AX506" s="360"/>
      <c r="AY506" s="360"/>
      <c r="AZ506" s="360"/>
      <c r="BA506" s="360"/>
      <c r="BB506" s="360"/>
      <c r="BC506" s="360"/>
    </row>
    <row r="507">
      <c r="A507" s="125"/>
      <c r="B507" s="189"/>
      <c r="C507" s="124"/>
      <c r="D507" s="124"/>
      <c r="E507" s="124"/>
      <c r="F507" s="125"/>
      <c r="G507" s="189"/>
      <c r="H507" s="124"/>
      <c r="I507" s="124"/>
      <c r="J507" s="124"/>
      <c r="K507" s="102"/>
      <c r="L507" s="189"/>
      <c r="M507" s="124"/>
      <c r="N507" s="124"/>
      <c r="O507" s="124"/>
      <c r="P507" s="102"/>
      <c r="Q507" s="161"/>
      <c r="R507" s="124"/>
      <c r="S507" s="124"/>
      <c r="T507" s="124"/>
      <c r="U507" s="125"/>
      <c r="V507" s="189"/>
      <c r="W507" s="124"/>
      <c r="X507" s="124"/>
      <c r="Y507" s="124"/>
      <c r="Z507" s="125"/>
      <c r="AA507" s="189"/>
      <c r="AB507" s="124"/>
      <c r="AC507" s="124"/>
      <c r="AD507" s="124"/>
      <c r="AE507" s="125"/>
      <c r="AF507" s="189"/>
      <c r="AG507" s="124"/>
      <c r="AH507" s="124"/>
      <c r="AI507" s="124"/>
      <c r="AJ507" s="125"/>
      <c r="AK507" s="189"/>
      <c r="AL507" s="124"/>
      <c r="AM507" s="124"/>
      <c r="AN507" s="124"/>
      <c r="AO507" s="360"/>
      <c r="AP507" s="360"/>
      <c r="AQ507" s="360"/>
      <c r="AR507" s="360"/>
      <c r="AS507" s="360"/>
      <c r="AT507" s="360"/>
      <c r="AU507" s="360"/>
      <c r="AV507" s="360"/>
      <c r="AW507" s="360"/>
      <c r="AX507" s="360"/>
      <c r="AY507" s="360"/>
      <c r="AZ507" s="360"/>
      <c r="BA507" s="360"/>
      <c r="BB507" s="360"/>
      <c r="BC507" s="360"/>
    </row>
    <row r="508">
      <c r="A508" s="125"/>
      <c r="B508" s="189"/>
      <c r="C508" s="124"/>
      <c r="D508" s="124"/>
      <c r="E508" s="124"/>
      <c r="F508" s="125"/>
      <c r="G508" s="189"/>
      <c r="H508" s="124"/>
      <c r="I508" s="124"/>
      <c r="J508" s="124"/>
      <c r="K508" s="102"/>
      <c r="L508" s="189"/>
      <c r="M508" s="124"/>
      <c r="N508" s="124"/>
      <c r="O508" s="124"/>
      <c r="P508" s="102"/>
      <c r="Q508" s="161"/>
      <c r="R508" s="124"/>
      <c r="S508" s="124"/>
      <c r="T508" s="124"/>
      <c r="U508" s="125"/>
      <c r="V508" s="189"/>
      <c r="W508" s="124"/>
      <c r="X508" s="124"/>
      <c r="Y508" s="124"/>
      <c r="Z508" s="125"/>
      <c r="AA508" s="189"/>
      <c r="AB508" s="124"/>
      <c r="AC508" s="124"/>
      <c r="AD508" s="124"/>
      <c r="AE508" s="125"/>
      <c r="AF508" s="189"/>
      <c r="AG508" s="124"/>
      <c r="AH508" s="124"/>
      <c r="AI508" s="124"/>
      <c r="AJ508" s="125"/>
      <c r="AK508" s="189"/>
      <c r="AL508" s="124"/>
      <c r="AM508" s="124"/>
      <c r="AN508" s="124"/>
      <c r="AO508" s="360"/>
      <c r="AP508" s="360"/>
      <c r="AQ508" s="360"/>
      <c r="AR508" s="360"/>
      <c r="AS508" s="360"/>
      <c r="AT508" s="360"/>
      <c r="AU508" s="360"/>
      <c r="AV508" s="360"/>
      <c r="AW508" s="360"/>
      <c r="AX508" s="360"/>
      <c r="AY508" s="360"/>
      <c r="AZ508" s="360"/>
      <c r="BA508" s="360"/>
      <c r="BB508" s="360"/>
      <c r="BC508" s="360"/>
    </row>
    <row r="509">
      <c r="A509" s="125"/>
      <c r="B509" s="189"/>
      <c r="C509" s="124"/>
      <c r="D509" s="124"/>
      <c r="E509" s="124"/>
      <c r="F509" s="125"/>
      <c r="G509" s="189"/>
      <c r="H509" s="124"/>
      <c r="I509" s="124"/>
      <c r="J509" s="124"/>
      <c r="K509" s="102"/>
      <c r="L509" s="189"/>
      <c r="M509" s="124"/>
      <c r="N509" s="124"/>
      <c r="O509" s="124"/>
      <c r="P509" s="102"/>
      <c r="Q509" s="161"/>
      <c r="R509" s="124"/>
      <c r="S509" s="124"/>
      <c r="T509" s="124"/>
      <c r="U509" s="125"/>
      <c r="V509" s="189"/>
      <c r="W509" s="124"/>
      <c r="X509" s="124"/>
      <c r="Y509" s="124"/>
      <c r="Z509" s="125"/>
      <c r="AA509" s="189"/>
      <c r="AB509" s="124"/>
      <c r="AC509" s="124"/>
      <c r="AD509" s="124"/>
      <c r="AE509" s="125"/>
      <c r="AF509" s="189"/>
      <c r="AG509" s="124"/>
      <c r="AH509" s="124"/>
      <c r="AI509" s="124"/>
      <c r="AJ509" s="125"/>
      <c r="AK509" s="189"/>
      <c r="AL509" s="124"/>
      <c r="AM509" s="124"/>
      <c r="AN509" s="124"/>
      <c r="AO509" s="360"/>
      <c r="AP509" s="360"/>
      <c r="AQ509" s="360"/>
      <c r="AR509" s="360"/>
      <c r="AS509" s="360"/>
      <c r="AT509" s="360"/>
      <c r="AU509" s="360"/>
      <c r="AV509" s="360"/>
      <c r="AW509" s="360"/>
      <c r="AX509" s="360"/>
      <c r="AY509" s="360"/>
      <c r="AZ509" s="360"/>
      <c r="BA509" s="360"/>
      <c r="BB509" s="360"/>
      <c r="BC509" s="360"/>
    </row>
    <row r="510">
      <c r="A510" s="125"/>
      <c r="B510" s="189"/>
      <c r="C510" s="124"/>
      <c r="D510" s="124"/>
      <c r="E510" s="124"/>
      <c r="F510" s="125"/>
      <c r="G510" s="189"/>
      <c r="H510" s="124"/>
      <c r="I510" s="124"/>
      <c r="J510" s="124"/>
      <c r="K510" s="102"/>
      <c r="L510" s="189"/>
      <c r="M510" s="124"/>
      <c r="N510" s="124"/>
      <c r="O510" s="124"/>
      <c r="P510" s="102"/>
      <c r="Q510" s="161"/>
      <c r="R510" s="124"/>
      <c r="S510" s="124"/>
      <c r="T510" s="124"/>
      <c r="U510" s="125"/>
      <c r="V510" s="189"/>
      <c r="W510" s="124"/>
      <c r="X510" s="124"/>
      <c r="Y510" s="124"/>
      <c r="Z510" s="125"/>
      <c r="AA510" s="189"/>
      <c r="AB510" s="124"/>
      <c r="AC510" s="124"/>
      <c r="AD510" s="124"/>
      <c r="AE510" s="125"/>
      <c r="AF510" s="189"/>
      <c r="AG510" s="124"/>
      <c r="AH510" s="124"/>
      <c r="AI510" s="124"/>
      <c r="AJ510" s="125"/>
      <c r="AK510" s="189"/>
      <c r="AL510" s="124"/>
      <c r="AM510" s="124"/>
      <c r="AN510" s="124"/>
      <c r="AO510" s="360"/>
      <c r="AP510" s="360"/>
      <c r="AQ510" s="360"/>
      <c r="AR510" s="360"/>
      <c r="AS510" s="360"/>
      <c r="AT510" s="360"/>
      <c r="AU510" s="360"/>
      <c r="AV510" s="360"/>
      <c r="AW510" s="360"/>
      <c r="AX510" s="360"/>
      <c r="AY510" s="360"/>
      <c r="AZ510" s="360"/>
      <c r="BA510" s="360"/>
      <c r="BB510" s="360"/>
      <c r="BC510" s="360"/>
    </row>
    <row r="511">
      <c r="A511" s="125"/>
      <c r="B511" s="189"/>
      <c r="C511" s="124"/>
      <c r="D511" s="124"/>
      <c r="E511" s="124"/>
      <c r="F511" s="125"/>
      <c r="G511" s="189"/>
      <c r="H511" s="124"/>
      <c r="I511" s="124"/>
      <c r="J511" s="124"/>
      <c r="K511" s="102"/>
      <c r="L511" s="189"/>
      <c r="M511" s="124"/>
      <c r="N511" s="124"/>
      <c r="O511" s="124"/>
      <c r="P511" s="102"/>
      <c r="Q511" s="161"/>
      <c r="R511" s="124"/>
      <c r="S511" s="124"/>
      <c r="T511" s="124"/>
      <c r="U511" s="125"/>
      <c r="V511" s="189"/>
      <c r="W511" s="124"/>
      <c r="X511" s="124"/>
      <c r="Y511" s="124"/>
      <c r="Z511" s="125"/>
      <c r="AA511" s="189"/>
      <c r="AB511" s="124"/>
      <c r="AC511" s="124"/>
      <c r="AD511" s="124"/>
      <c r="AE511" s="125"/>
      <c r="AF511" s="189"/>
      <c r="AG511" s="124"/>
      <c r="AH511" s="124"/>
      <c r="AI511" s="124"/>
      <c r="AJ511" s="125"/>
      <c r="AK511" s="189"/>
      <c r="AL511" s="124"/>
      <c r="AM511" s="124"/>
      <c r="AN511" s="124"/>
      <c r="AO511" s="360"/>
      <c r="AP511" s="360"/>
      <c r="AQ511" s="360"/>
      <c r="AR511" s="360"/>
      <c r="AS511" s="360"/>
      <c r="AT511" s="360"/>
      <c r="AU511" s="360"/>
      <c r="AV511" s="360"/>
      <c r="AW511" s="360"/>
      <c r="AX511" s="360"/>
      <c r="AY511" s="360"/>
      <c r="AZ511" s="360"/>
      <c r="BA511" s="360"/>
      <c r="BB511" s="360"/>
      <c r="BC511" s="360"/>
    </row>
    <row r="512">
      <c r="A512" s="125"/>
      <c r="B512" s="189"/>
      <c r="C512" s="124"/>
      <c r="D512" s="124"/>
      <c r="E512" s="124"/>
      <c r="F512" s="125"/>
      <c r="G512" s="189"/>
      <c r="H512" s="124"/>
      <c r="I512" s="124"/>
      <c r="J512" s="124"/>
      <c r="K512" s="102"/>
      <c r="L512" s="189"/>
      <c r="M512" s="124"/>
      <c r="N512" s="124"/>
      <c r="O512" s="124"/>
      <c r="P512" s="102"/>
      <c r="Q512" s="161"/>
      <c r="R512" s="124"/>
      <c r="S512" s="124"/>
      <c r="T512" s="124"/>
      <c r="U512" s="125"/>
      <c r="V512" s="189"/>
      <c r="W512" s="124"/>
      <c r="X512" s="124"/>
      <c r="Y512" s="124"/>
      <c r="Z512" s="125"/>
      <c r="AA512" s="189"/>
      <c r="AB512" s="124"/>
      <c r="AC512" s="124"/>
      <c r="AD512" s="124"/>
      <c r="AE512" s="125"/>
      <c r="AF512" s="189"/>
      <c r="AG512" s="124"/>
      <c r="AH512" s="124"/>
      <c r="AI512" s="124"/>
      <c r="AJ512" s="125"/>
      <c r="AK512" s="189"/>
      <c r="AL512" s="124"/>
      <c r="AM512" s="124"/>
      <c r="AN512" s="124"/>
      <c r="AO512" s="360"/>
      <c r="AP512" s="360"/>
      <c r="AQ512" s="360"/>
      <c r="AR512" s="360"/>
      <c r="AS512" s="360"/>
      <c r="AT512" s="360"/>
      <c r="AU512" s="360"/>
      <c r="AV512" s="360"/>
      <c r="AW512" s="360"/>
      <c r="AX512" s="360"/>
      <c r="AY512" s="360"/>
      <c r="AZ512" s="360"/>
      <c r="BA512" s="360"/>
      <c r="BB512" s="360"/>
      <c r="BC512" s="360"/>
    </row>
    <row r="513">
      <c r="A513" s="125"/>
      <c r="B513" s="189"/>
      <c r="C513" s="124"/>
      <c r="D513" s="124"/>
      <c r="E513" s="124"/>
      <c r="F513" s="125"/>
      <c r="G513" s="189"/>
      <c r="H513" s="124"/>
      <c r="I513" s="124"/>
      <c r="J513" s="124"/>
      <c r="K513" s="102"/>
      <c r="L513" s="189"/>
      <c r="M513" s="124"/>
      <c r="N513" s="124"/>
      <c r="O513" s="124"/>
      <c r="P513" s="102"/>
      <c r="Q513" s="161"/>
      <c r="R513" s="124"/>
      <c r="S513" s="124"/>
      <c r="T513" s="124"/>
      <c r="U513" s="125"/>
      <c r="V513" s="189"/>
      <c r="W513" s="124"/>
      <c r="X513" s="124"/>
      <c r="Y513" s="124"/>
      <c r="Z513" s="125"/>
      <c r="AA513" s="189"/>
      <c r="AB513" s="124"/>
      <c r="AC513" s="124"/>
      <c r="AD513" s="124"/>
      <c r="AE513" s="125"/>
      <c r="AF513" s="189"/>
      <c r="AG513" s="124"/>
      <c r="AH513" s="124"/>
      <c r="AI513" s="124"/>
      <c r="AJ513" s="125"/>
      <c r="AK513" s="189"/>
      <c r="AL513" s="124"/>
      <c r="AM513" s="124"/>
      <c r="AN513" s="124"/>
      <c r="AO513" s="360"/>
      <c r="AP513" s="360"/>
      <c r="AQ513" s="360"/>
      <c r="AR513" s="360"/>
      <c r="AS513" s="360"/>
      <c r="AT513" s="360"/>
      <c r="AU513" s="360"/>
      <c r="AV513" s="360"/>
      <c r="AW513" s="360"/>
      <c r="AX513" s="360"/>
      <c r="AY513" s="360"/>
      <c r="AZ513" s="360"/>
      <c r="BA513" s="360"/>
      <c r="BB513" s="360"/>
      <c r="BC513" s="360"/>
    </row>
    <row r="514">
      <c r="A514" s="125"/>
      <c r="B514" s="189"/>
      <c r="C514" s="124"/>
      <c r="D514" s="124"/>
      <c r="E514" s="124"/>
      <c r="F514" s="125"/>
      <c r="G514" s="189"/>
      <c r="H514" s="124"/>
      <c r="I514" s="124"/>
      <c r="J514" s="124"/>
      <c r="K514" s="102"/>
      <c r="L514" s="189"/>
      <c r="M514" s="124"/>
      <c r="N514" s="124"/>
      <c r="O514" s="124"/>
      <c r="P514" s="102"/>
      <c r="Q514" s="161"/>
      <c r="R514" s="124"/>
      <c r="S514" s="124"/>
      <c r="T514" s="124"/>
      <c r="U514" s="125"/>
      <c r="V514" s="189"/>
      <c r="W514" s="124"/>
      <c r="X514" s="124"/>
      <c r="Y514" s="124"/>
      <c r="Z514" s="125"/>
      <c r="AA514" s="189"/>
      <c r="AB514" s="124"/>
      <c r="AC514" s="124"/>
      <c r="AD514" s="124"/>
      <c r="AE514" s="125"/>
      <c r="AF514" s="189"/>
      <c r="AG514" s="124"/>
      <c r="AH514" s="124"/>
      <c r="AI514" s="124"/>
      <c r="AJ514" s="125"/>
      <c r="AK514" s="189"/>
      <c r="AL514" s="124"/>
      <c r="AM514" s="124"/>
      <c r="AN514" s="124"/>
      <c r="AO514" s="360"/>
      <c r="AP514" s="360"/>
      <c r="AQ514" s="360"/>
      <c r="AR514" s="360"/>
      <c r="AS514" s="360"/>
      <c r="AT514" s="360"/>
      <c r="AU514" s="360"/>
      <c r="AV514" s="360"/>
      <c r="AW514" s="360"/>
      <c r="AX514" s="360"/>
      <c r="AY514" s="360"/>
      <c r="AZ514" s="360"/>
      <c r="BA514" s="360"/>
      <c r="BB514" s="360"/>
      <c r="BC514" s="360"/>
    </row>
    <row r="515">
      <c r="A515" s="125"/>
      <c r="B515" s="189"/>
      <c r="C515" s="124"/>
      <c r="D515" s="124"/>
      <c r="E515" s="124"/>
      <c r="F515" s="125"/>
      <c r="G515" s="189"/>
      <c r="H515" s="124"/>
      <c r="I515" s="124"/>
      <c r="J515" s="124"/>
      <c r="K515" s="102"/>
      <c r="L515" s="189"/>
      <c r="M515" s="124"/>
      <c r="N515" s="124"/>
      <c r="O515" s="124"/>
      <c r="P515" s="102"/>
      <c r="Q515" s="161"/>
      <c r="R515" s="124"/>
      <c r="S515" s="124"/>
      <c r="T515" s="124"/>
      <c r="U515" s="125"/>
      <c r="V515" s="189"/>
      <c r="W515" s="124"/>
      <c r="X515" s="124"/>
      <c r="Y515" s="124"/>
      <c r="Z515" s="125"/>
      <c r="AA515" s="189"/>
      <c r="AB515" s="124"/>
      <c r="AC515" s="124"/>
      <c r="AD515" s="124"/>
      <c r="AE515" s="125"/>
      <c r="AF515" s="189"/>
      <c r="AG515" s="124"/>
      <c r="AH515" s="124"/>
      <c r="AI515" s="124"/>
      <c r="AJ515" s="125"/>
      <c r="AK515" s="189"/>
      <c r="AL515" s="124"/>
      <c r="AM515" s="124"/>
      <c r="AN515" s="124"/>
      <c r="AO515" s="360"/>
      <c r="AP515" s="360"/>
      <c r="AQ515" s="360"/>
      <c r="AR515" s="360"/>
      <c r="AS515" s="360"/>
      <c r="AT515" s="360"/>
      <c r="AU515" s="360"/>
      <c r="AV515" s="360"/>
      <c r="AW515" s="360"/>
      <c r="AX515" s="360"/>
      <c r="AY515" s="360"/>
      <c r="AZ515" s="360"/>
      <c r="BA515" s="360"/>
      <c r="BB515" s="360"/>
      <c r="BC515" s="360"/>
    </row>
    <row r="516">
      <c r="A516" s="125"/>
      <c r="B516" s="189"/>
      <c r="C516" s="124"/>
      <c r="D516" s="124"/>
      <c r="E516" s="124"/>
      <c r="F516" s="125"/>
      <c r="G516" s="189"/>
      <c r="H516" s="124"/>
      <c r="I516" s="124"/>
      <c r="J516" s="124"/>
      <c r="K516" s="102"/>
      <c r="L516" s="189"/>
      <c r="M516" s="124"/>
      <c r="N516" s="124"/>
      <c r="O516" s="124"/>
      <c r="P516" s="102"/>
      <c r="Q516" s="161"/>
      <c r="R516" s="124"/>
      <c r="S516" s="124"/>
      <c r="T516" s="124"/>
      <c r="U516" s="125"/>
      <c r="V516" s="189"/>
      <c r="W516" s="124"/>
      <c r="X516" s="124"/>
      <c r="Y516" s="124"/>
      <c r="Z516" s="125"/>
      <c r="AA516" s="189"/>
      <c r="AB516" s="124"/>
      <c r="AC516" s="124"/>
      <c r="AD516" s="124"/>
      <c r="AE516" s="125"/>
      <c r="AF516" s="189"/>
      <c r="AG516" s="124"/>
      <c r="AH516" s="124"/>
      <c r="AI516" s="124"/>
      <c r="AJ516" s="125"/>
      <c r="AK516" s="189"/>
      <c r="AL516" s="124"/>
      <c r="AM516" s="124"/>
      <c r="AN516" s="124"/>
      <c r="AO516" s="360"/>
      <c r="AP516" s="360"/>
      <c r="AQ516" s="360"/>
      <c r="AR516" s="360"/>
      <c r="AS516" s="360"/>
      <c r="AT516" s="360"/>
      <c r="AU516" s="360"/>
      <c r="AV516" s="360"/>
      <c r="AW516" s="360"/>
      <c r="AX516" s="360"/>
      <c r="AY516" s="360"/>
      <c r="AZ516" s="360"/>
      <c r="BA516" s="360"/>
      <c r="BB516" s="360"/>
      <c r="BC516" s="360"/>
    </row>
    <row r="517">
      <c r="A517" s="125"/>
      <c r="B517" s="189"/>
      <c r="C517" s="124"/>
      <c r="D517" s="124"/>
      <c r="E517" s="124"/>
      <c r="F517" s="125"/>
      <c r="G517" s="189"/>
      <c r="H517" s="124"/>
      <c r="I517" s="124"/>
      <c r="J517" s="124"/>
      <c r="K517" s="102"/>
      <c r="L517" s="189"/>
      <c r="M517" s="124"/>
      <c r="N517" s="124"/>
      <c r="O517" s="124"/>
      <c r="P517" s="102"/>
      <c r="Q517" s="161"/>
      <c r="R517" s="124"/>
      <c r="S517" s="124"/>
      <c r="T517" s="124"/>
      <c r="U517" s="125"/>
      <c r="V517" s="189"/>
      <c r="W517" s="124"/>
      <c r="X517" s="124"/>
      <c r="Y517" s="124"/>
      <c r="Z517" s="125"/>
      <c r="AA517" s="189"/>
      <c r="AB517" s="124"/>
      <c r="AC517" s="124"/>
      <c r="AD517" s="124"/>
      <c r="AE517" s="125"/>
      <c r="AF517" s="189"/>
      <c r="AG517" s="124"/>
      <c r="AH517" s="124"/>
      <c r="AI517" s="124"/>
      <c r="AJ517" s="125"/>
      <c r="AK517" s="189"/>
      <c r="AL517" s="124"/>
      <c r="AM517" s="124"/>
      <c r="AN517" s="124"/>
      <c r="AO517" s="360"/>
      <c r="AP517" s="360"/>
      <c r="AQ517" s="360"/>
      <c r="AR517" s="360"/>
      <c r="AS517" s="360"/>
      <c r="AT517" s="360"/>
      <c r="AU517" s="360"/>
      <c r="AV517" s="360"/>
      <c r="AW517" s="360"/>
      <c r="AX517" s="360"/>
      <c r="AY517" s="360"/>
      <c r="AZ517" s="360"/>
      <c r="BA517" s="360"/>
      <c r="BB517" s="360"/>
      <c r="BC517" s="360"/>
    </row>
    <row r="518">
      <c r="A518" s="125"/>
      <c r="B518" s="189"/>
      <c r="C518" s="124"/>
      <c r="D518" s="124"/>
      <c r="E518" s="124"/>
      <c r="F518" s="125"/>
      <c r="G518" s="189"/>
      <c r="H518" s="124"/>
      <c r="I518" s="124"/>
      <c r="J518" s="124"/>
      <c r="K518" s="102"/>
      <c r="L518" s="189"/>
      <c r="M518" s="124"/>
      <c r="N518" s="124"/>
      <c r="O518" s="124"/>
      <c r="P518" s="102"/>
      <c r="Q518" s="161"/>
      <c r="R518" s="124"/>
      <c r="S518" s="124"/>
      <c r="T518" s="124"/>
      <c r="U518" s="125"/>
      <c r="V518" s="189"/>
      <c r="W518" s="124"/>
      <c r="X518" s="124"/>
      <c r="Y518" s="124"/>
      <c r="Z518" s="125"/>
      <c r="AA518" s="189"/>
      <c r="AB518" s="124"/>
      <c r="AC518" s="124"/>
      <c r="AD518" s="124"/>
      <c r="AE518" s="125"/>
      <c r="AF518" s="189"/>
      <c r="AG518" s="124"/>
      <c r="AH518" s="124"/>
      <c r="AI518" s="124"/>
      <c r="AJ518" s="125"/>
      <c r="AK518" s="189"/>
      <c r="AL518" s="124"/>
      <c r="AM518" s="124"/>
      <c r="AN518" s="124"/>
      <c r="AO518" s="360"/>
      <c r="AP518" s="360"/>
      <c r="AQ518" s="360"/>
      <c r="AR518" s="360"/>
      <c r="AS518" s="360"/>
      <c r="AT518" s="360"/>
      <c r="AU518" s="360"/>
      <c r="AV518" s="360"/>
      <c r="AW518" s="360"/>
      <c r="AX518" s="360"/>
      <c r="AY518" s="360"/>
      <c r="AZ518" s="360"/>
      <c r="BA518" s="360"/>
      <c r="BB518" s="360"/>
      <c r="BC518" s="360"/>
    </row>
    <row r="519">
      <c r="A519" s="125"/>
      <c r="B519" s="189"/>
      <c r="C519" s="124"/>
      <c r="D519" s="124"/>
      <c r="E519" s="124"/>
      <c r="F519" s="125"/>
      <c r="G519" s="189"/>
      <c r="H519" s="124"/>
      <c r="I519" s="124"/>
      <c r="J519" s="124"/>
      <c r="K519" s="102"/>
      <c r="L519" s="189"/>
      <c r="M519" s="124"/>
      <c r="N519" s="124"/>
      <c r="O519" s="124"/>
      <c r="P519" s="102"/>
      <c r="Q519" s="161"/>
      <c r="R519" s="124"/>
      <c r="S519" s="124"/>
      <c r="T519" s="124"/>
      <c r="U519" s="125"/>
      <c r="V519" s="189"/>
      <c r="W519" s="124"/>
      <c r="X519" s="124"/>
      <c r="Y519" s="124"/>
      <c r="Z519" s="125"/>
      <c r="AA519" s="189"/>
      <c r="AB519" s="124"/>
      <c r="AC519" s="124"/>
      <c r="AD519" s="124"/>
      <c r="AE519" s="125"/>
      <c r="AF519" s="189"/>
      <c r="AG519" s="124"/>
      <c r="AH519" s="124"/>
      <c r="AI519" s="124"/>
      <c r="AJ519" s="125"/>
      <c r="AK519" s="189"/>
      <c r="AL519" s="124"/>
      <c r="AM519" s="124"/>
      <c r="AN519" s="124"/>
      <c r="AO519" s="360"/>
      <c r="AP519" s="360"/>
      <c r="AQ519" s="360"/>
      <c r="AR519" s="360"/>
      <c r="AS519" s="360"/>
      <c r="AT519" s="360"/>
      <c r="AU519" s="360"/>
      <c r="AV519" s="360"/>
      <c r="AW519" s="360"/>
      <c r="AX519" s="360"/>
      <c r="AY519" s="360"/>
      <c r="AZ519" s="360"/>
      <c r="BA519" s="360"/>
      <c r="BB519" s="360"/>
      <c r="BC519" s="360"/>
    </row>
    <row r="520">
      <c r="A520" s="125"/>
      <c r="B520" s="189"/>
      <c r="C520" s="124"/>
      <c r="D520" s="124"/>
      <c r="E520" s="124"/>
      <c r="F520" s="125"/>
      <c r="G520" s="189"/>
      <c r="H520" s="124"/>
      <c r="I520" s="124"/>
      <c r="J520" s="124"/>
      <c r="K520" s="102"/>
      <c r="L520" s="189"/>
      <c r="M520" s="124"/>
      <c r="N520" s="124"/>
      <c r="O520" s="124"/>
      <c r="P520" s="102"/>
      <c r="Q520" s="161"/>
      <c r="R520" s="124"/>
      <c r="S520" s="124"/>
      <c r="T520" s="124"/>
      <c r="U520" s="125"/>
      <c r="V520" s="189"/>
      <c r="W520" s="124"/>
      <c r="X520" s="124"/>
      <c r="Y520" s="124"/>
      <c r="Z520" s="125"/>
      <c r="AA520" s="189"/>
      <c r="AB520" s="124"/>
      <c r="AC520" s="124"/>
      <c r="AD520" s="124"/>
      <c r="AE520" s="125"/>
      <c r="AF520" s="189"/>
      <c r="AG520" s="124"/>
      <c r="AH520" s="124"/>
      <c r="AI520" s="124"/>
      <c r="AJ520" s="125"/>
      <c r="AK520" s="189"/>
      <c r="AL520" s="124"/>
      <c r="AM520" s="124"/>
      <c r="AN520" s="124"/>
      <c r="AO520" s="360"/>
      <c r="AP520" s="360"/>
      <c r="AQ520" s="360"/>
      <c r="AR520" s="360"/>
      <c r="AS520" s="360"/>
      <c r="AT520" s="360"/>
      <c r="AU520" s="360"/>
      <c r="AV520" s="360"/>
      <c r="AW520" s="360"/>
      <c r="AX520" s="360"/>
      <c r="AY520" s="360"/>
      <c r="AZ520" s="360"/>
      <c r="BA520" s="360"/>
      <c r="BB520" s="360"/>
      <c r="BC520" s="360"/>
    </row>
    <row r="521">
      <c r="A521" s="125"/>
      <c r="B521" s="189"/>
      <c r="C521" s="124"/>
      <c r="D521" s="124"/>
      <c r="E521" s="124"/>
      <c r="F521" s="125"/>
      <c r="G521" s="189"/>
      <c r="H521" s="124"/>
      <c r="I521" s="124"/>
      <c r="J521" s="124"/>
      <c r="K521" s="102"/>
      <c r="L521" s="189"/>
      <c r="M521" s="124"/>
      <c r="N521" s="124"/>
      <c r="O521" s="124"/>
      <c r="P521" s="102"/>
      <c r="Q521" s="161"/>
      <c r="R521" s="124"/>
      <c r="S521" s="124"/>
      <c r="T521" s="124"/>
      <c r="U521" s="125"/>
      <c r="V521" s="189"/>
      <c r="W521" s="124"/>
      <c r="X521" s="124"/>
      <c r="Y521" s="124"/>
      <c r="Z521" s="125"/>
      <c r="AA521" s="189"/>
      <c r="AB521" s="124"/>
      <c r="AC521" s="124"/>
      <c r="AD521" s="124"/>
      <c r="AE521" s="125"/>
      <c r="AF521" s="189"/>
      <c r="AG521" s="124"/>
      <c r="AH521" s="124"/>
      <c r="AI521" s="124"/>
      <c r="AJ521" s="125"/>
      <c r="AK521" s="189"/>
      <c r="AL521" s="124"/>
      <c r="AM521" s="124"/>
      <c r="AN521" s="124"/>
      <c r="AO521" s="360"/>
      <c r="AP521" s="360"/>
      <c r="AQ521" s="360"/>
      <c r="AR521" s="360"/>
      <c r="AS521" s="360"/>
      <c r="AT521" s="360"/>
      <c r="AU521" s="360"/>
      <c r="AV521" s="360"/>
      <c r="AW521" s="360"/>
      <c r="AX521" s="360"/>
      <c r="AY521" s="360"/>
      <c r="AZ521" s="360"/>
      <c r="BA521" s="360"/>
      <c r="BB521" s="360"/>
      <c r="BC521" s="360"/>
    </row>
    <row r="522">
      <c r="A522" s="125"/>
      <c r="B522" s="189"/>
      <c r="C522" s="124"/>
      <c r="D522" s="124"/>
      <c r="E522" s="124"/>
      <c r="F522" s="125"/>
      <c r="G522" s="189"/>
      <c r="H522" s="124"/>
      <c r="I522" s="124"/>
      <c r="J522" s="124"/>
      <c r="K522" s="102"/>
      <c r="L522" s="189"/>
      <c r="M522" s="124"/>
      <c r="N522" s="124"/>
      <c r="O522" s="124"/>
      <c r="P522" s="102"/>
      <c r="Q522" s="161"/>
      <c r="R522" s="124"/>
      <c r="S522" s="124"/>
      <c r="T522" s="124"/>
      <c r="U522" s="125"/>
      <c r="V522" s="189"/>
      <c r="W522" s="124"/>
      <c r="X522" s="124"/>
      <c r="Y522" s="124"/>
      <c r="Z522" s="125"/>
      <c r="AA522" s="189"/>
      <c r="AB522" s="124"/>
      <c r="AC522" s="124"/>
      <c r="AD522" s="124"/>
      <c r="AE522" s="125"/>
      <c r="AF522" s="189"/>
      <c r="AG522" s="124"/>
      <c r="AH522" s="124"/>
      <c r="AI522" s="124"/>
      <c r="AJ522" s="125"/>
      <c r="AK522" s="189"/>
      <c r="AL522" s="124"/>
      <c r="AM522" s="124"/>
      <c r="AN522" s="124"/>
      <c r="AO522" s="360"/>
      <c r="AP522" s="360"/>
      <c r="AQ522" s="360"/>
      <c r="AR522" s="360"/>
      <c r="AS522" s="360"/>
      <c r="AT522" s="360"/>
      <c r="AU522" s="360"/>
      <c r="AV522" s="360"/>
      <c r="AW522" s="360"/>
      <c r="AX522" s="360"/>
      <c r="AY522" s="360"/>
      <c r="AZ522" s="360"/>
      <c r="BA522" s="360"/>
      <c r="BB522" s="360"/>
      <c r="BC522" s="360"/>
    </row>
    <row r="523">
      <c r="A523" s="125"/>
      <c r="B523" s="189"/>
      <c r="C523" s="124"/>
      <c r="D523" s="124"/>
      <c r="E523" s="124"/>
      <c r="F523" s="125"/>
      <c r="G523" s="189"/>
      <c r="H523" s="124"/>
      <c r="I523" s="124"/>
      <c r="J523" s="124"/>
      <c r="K523" s="102"/>
      <c r="L523" s="189"/>
      <c r="M523" s="124"/>
      <c r="N523" s="124"/>
      <c r="O523" s="124"/>
      <c r="P523" s="102"/>
      <c r="Q523" s="161"/>
      <c r="R523" s="124"/>
      <c r="S523" s="124"/>
      <c r="T523" s="124"/>
      <c r="U523" s="125"/>
      <c r="V523" s="189"/>
      <c r="W523" s="124"/>
      <c r="X523" s="124"/>
      <c r="Y523" s="124"/>
      <c r="Z523" s="125"/>
      <c r="AA523" s="189"/>
      <c r="AB523" s="124"/>
      <c r="AC523" s="124"/>
      <c r="AD523" s="124"/>
      <c r="AE523" s="125"/>
      <c r="AF523" s="189"/>
      <c r="AG523" s="124"/>
      <c r="AH523" s="124"/>
      <c r="AI523" s="124"/>
      <c r="AJ523" s="125"/>
      <c r="AK523" s="189"/>
      <c r="AL523" s="124"/>
      <c r="AM523" s="124"/>
      <c r="AN523" s="124"/>
      <c r="AO523" s="360"/>
      <c r="AP523" s="360"/>
      <c r="AQ523" s="360"/>
      <c r="AR523" s="360"/>
      <c r="AS523" s="360"/>
      <c r="AT523" s="360"/>
      <c r="AU523" s="360"/>
      <c r="AV523" s="360"/>
      <c r="AW523" s="360"/>
      <c r="AX523" s="360"/>
      <c r="AY523" s="360"/>
      <c r="AZ523" s="360"/>
      <c r="BA523" s="360"/>
      <c r="BB523" s="360"/>
      <c r="BC523" s="360"/>
    </row>
    <row r="524">
      <c r="A524" s="125"/>
      <c r="B524" s="189"/>
      <c r="C524" s="124"/>
      <c r="D524" s="124"/>
      <c r="E524" s="124"/>
      <c r="F524" s="125"/>
      <c r="G524" s="189"/>
      <c r="H524" s="124"/>
      <c r="I524" s="124"/>
      <c r="J524" s="124"/>
      <c r="K524" s="102"/>
      <c r="L524" s="189"/>
      <c r="M524" s="124"/>
      <c r="N524" s="124"/>
      <c r="O524" s="124"/>
      <c r="P524" s="102"/>
      <c r="Q524" s="161"/>
      <c r="R524" s="124"/>
      <c r="S524" s="124"/>
      <c r="T524" s="124"/>
      <c r="U524" s="125"/>
      <c r="V524" s="189"/>
      <c r="W524" s="124"/>
      <c r="X524" s="124"/>
      <c r="Y524" s="124"/>
      <c r="Z524" s="125"/>
      <c r="AA524" s="189"/>
      <c r="AB524" s="124"/>
      <c r="AC524" s="124"/>
      <c r="AD524" s="124"/>
      <c r="AE524" s="125"/>
      <c r="AF524" s="189"/>
      <c r="AG524" s="124"/>
      <c r="AH524" s="124"/>
      <c r="AI524" s="124"/>
      <c r="AJ524" s="125"/>
      <c r="AK524" s="189"/>
      <c r="AL524" s="124"/>
      <c r="AM524" s="124"/>
      <c r="AN524" s="124"/>
      <c r="AO524" s="360"/>
      <c r="AP524" s="360"/>
      <c r="AQ524" s="360"/>
      <c r="AR524" s="360"/>
      <c r="AS524" s="360"/>
      <c r="AT524" s="360"/>
      <c r="AU524" s="360"/>
      <c r="AV524" s="360"/>
      <c r="AW524" s="360"/>
      <c r="AX524" s="360"/>
      <c r="AY524" s="360"/>
      <c r="AZ524" s="360"/>
      <c r="BA524" s="360"/>
      <c r="BB524" s="360"/>
      <c r="BC524" s="360"/>
    </row>
    <row r="525">
      <c r="A525" s="125"/>
      <c r="B525" s="189"/>
      <c r="C525" s="124"/>
      <c r="D525" s="124"/>
      <c r="E525" s="124"/>
      <c r="F525" s="125"/>
      <c r="G525" s="189"/>
      <c r="H525" s="124"/>
      <c r="I525" s="124"/>
      <c r="J525" s="124"/>
      <c r="K525" s="102"/>
      <c r="L525" s="189"/>
      <c r="M525" s="124"/>
      <c r="N525" s="124"/>
      <c r="O525" s="124"/>
      <c r="P525" s="102"/>
      <c r="Q525" s="161"/>
      <c r="R525" s="124"/>
      <c r="S525" s="124"/>
      <c r="T525" s="124"/>
      <c r="U525" s="125"/>
      <c r="V525" s="189"/>
      <c r="W525" s="124"/>
      <c r="X525" s="124"/>
      <c r="Y525" s="124"/>
      <c r="Z525" s="125"/>
      <c r="AA525" s="189"/>
      <c r="AB525" s="124"/>
      <c r="AC525" s="124"/>
      <c r="AD525" s="124"/>
      <c r="AE525" s="125"/>
      <c r="AF525" s="189"/>
      <c r="AG525" s="124"/>
      <c r="AH525" s="124"/>
      <c r="AI525" s="124"/>
      <c r="AJ525" s="125"/>
      <c r="AK525" s="189"/>
      <c r="AL525" s="124"/>
      <c r="AM525" s="124"/>
      <c r="AN525" s="124"/>
      <c r="AO525" s="360"/>
      <c r="AP525" s="360"/>
      <c r="AQ525" s="360"/>
      <c r="AR525" s="360"/>
      <c r="AS525" s="360"/>
      <c r="AT525" s="360"/>
      <c r="AU525" s="360"/>
      <c r="AV525" s="360"/>
      <c r="AW525" s="360"/>
      <c r="AX525" s="360"/>
      <c r="AY525" s="360"/>
      <c r="AZ525" s="360"/>
      <c r="BA525" s="360"/>
      <c r="BB525" s="360"/>
      <c r="BC525" s="360"/>
    </row>
    <row r="526">
      <c r="A526" s="125"/>
      <c r="B526" s="189"/>
      <c r="C526" s="124"/>
      <c r="D526" s="124"/>
      <c r="E526" s="124"/>
      <c r="F526" s="125"/>
      <c r="G526" s="189"/>
      <c r="H526" s="124"/>
      <c r="I526" s="124"/>
      <c r="J526" s="124"/>
      <c r="K526" s="102"/>
      <c r="L526" s="189"/>
      <c r="M526" s="124"/>
      <c r="N526" s="124"/>
      <c r="O526" s="124"/>
      <c r="P526" s="102"/>
      <c r="Q526" s="161"/>
      <c r="R526" s="124"/>
      <c r="S526" s="124"/>
      <c r="T526" s="124"/>
      <c r="U526" s="125"/>
      <c r="V526" s="189"/>
      <c r="W526" s="124"/>
      <c r="X526" s="124"/>
      <c r="Y526" s="124"/>
      <c r="Z526" s="125"/>
      <c r="AA526" s="189"/>
      <c r="AB526" s="124"/>
      <c r="AC526" s="124"/>
      <c r="AD526" s="124"/>
      <c r="AE526" s="125"/>
      <c r="AF526" s="189"/>
      <c r="AG526" s="124"/>
      <c r="AH526" s="124"/>
      <c r="AI526" s="124"/>
      <c r="AJ526" s="125"/>
      <c r="AK526" s="189"/>
      <c r="AL526" s="124"/>
      <c r="AM526" s="124"/>
      <c r="AN526" s="124"/>
      <c r="AO526" s="360"/>
      <c r="AP526" s="360"/>
      <c r="AQ526" s="360"/>
      <c r="AR526" s="360"/>
      <c r="AS526" s="360"/>
      <c r="AT526" s="360"/>
      <c r="AU526" s="360"/>
      <c r="AV526" s="360"/>
      <c r="AW526" s="360"/>
      <c r="AX526" s="360"/>
      <c r="AY526" s="360"/>
      <c r="AZ526" s="360"/>
      <c r="BA526" s="360"/>
      <c r="BB526" s="360"/>
      <c r="BC526" s="360"/>
    </row>
    <row r="527">
      <c r="A527" s="125"/>
      <c r="B527" s="189"/>
      <c r="C527" s="124"/>
      <c r="D527" s="124"/>
      <c r="E527" s="124"/>
      <c r="F527" s="125"/>
      <c r="G527" s="189"/>
      <c r="H527" s="124"/>
      <c r="I527" s="124"/>
      <c r="J527" s="124"/>
      <c r="K527" s="102"/>
      <c r="L527" s="189"/>
      <c r="M527" s="124"/>
      <c r="N527" s="124"/>
      <c r="O527" s="124"/>
      <c r="P527" s="102"/>
      <c r="Q527" s="161"/>
      <c r="R527" s="124"/>
      <c r="S527" s="124"/>
      <c r="T527" s="124"/>
      <c r="U527" s="125"/>
      <c r="V527" s="189"/>
      <c r="W527" s="124"/>
      <c r="X527" s="124"/>
      <c r="Y527" s="124"/>
      <c r="Z527" s="125"/>
      <c r="AA527" s="189"/>
      <c r="AB527" s="124"/>
      <c r="AC527" s="124"/>
      <c r="AD527" s="124"/>
      <c r="AE527" s="125"/>
      <c r="AF527" s="189"/>
      <c r="AG527" s="124"/>
      <c r="AH527" s="124"/>
      <c r="AI527" s="124"/>
      <c r="AJ527" s="125"/>
      <c r="AK527" s="189"/>
      <c r="AL527" s="124"/>
      <c r="AM527" s="124"/>
      <c r="AN527" s="124"/>
      <c r="AO527" s="360"/>
      <c r="AP527" s="360"/>
      <c r="AQ527" s="360"/>
      <c r="AR527" s="360"/>
      <c r="AS527" s="360"/>
      <c r="AT527" s="360"/>
      <c r="AU527" s="360"/>
      <c r="AV527" s="360"/>
      <c r="AW527" s="360"/>
      <c r="AX527" s="360"/>
      <c r="AY527" s="360"/>
      <c r="AZ527" s="360"/>
      <c r="BA527" s="360"/>
      <c r="BB527" s="360"/>
      <c r="BC527" s="360"/>
    </row>
    <row r="528">
      <c r="A528" s="125"/>
      <c r="B528" s="189"/>
      <c r="C528" s="124"/>
      <c r="D528" s="124"/>
      <c r="E528" s="124"/>
      <c r="F528" s="125"/>
      <c r="G528" s="189"/>
      <c r="H528" s="124"/>
      <c r="I528" s="124"/>
      <c r="J528" s="124"/>
      <c r="K528" s="102"/>
      <c r="L528" s="189"/>
      <c r="M528" s="124"/>
      <c r="N528" s="124"/>
      <c r="O528" s="124"/>
      <c r="P528" s="102"/>
      <c r="Q528" s="161"/>
      <c r="R528" s="124"/>
      <c r="S528" s="124"/>
      <c r="T528" s="124"/>
      <c r="U528" s="125"/>
      <c r="V528" s="189"/>
      <c r="W528" s="124"/>
      <c r="X528" s="124"/>
      <c r="Y528" s="124"/>
      <c r="Z528" s="125"/>
      <c r="AA528" s="189"/>
      <c r="AB528" s="124"/>
      <c r="AC528" s="124"/>
      <c r="AD528" s="124"/>
      <c r="AE528" s="125"/>
      <c r="AF528" s="189"/>
      <c r="AG528" s="124"/>
      <c r="AH528" s="124"/>
      <c r="AI528" s="124"/>
      <c r="AJ528" s="125"/>
      <c r="AK528" s="189"/>
      <c r="AL528" s="124"/>
      <c r="AM528" s="124"/>
      <c r="AN528" s="124"/>
      <c r="AO528" s="360"/>
      <c r="AP528" s="360"/>
      <c r="AQ528" s="360"/>
      <c r="AR528" s="360"/>
      <c r="AS528" s="360"/>
      <c r="AT528" s="360"/>
      <c r="AU528" s="360"/>
      <c r="AV528" s="360"/>
      <c r="AW528" s="360"/>
      <c r="AX528" s="360"/>
      <c r="AY528" s="360"/>
      <c r="AZ528" s="360"/>
      <c r="BA528" s="360"/>
      <c r="BB528" s="360"/>
      <c r="BC528" s="360"/>
    </row>
    <row r="529">
      <c r="A529" s="125"/>
      <c r="B529" s="189"/>
      <c r="C529" s="124"/>
      <c r="D529" s="124"/>
      <c r="E529" s="124"/>
      <c r="F529" s="125"/>
      <c r="G529" s="189"/>
      <c r="H529" s="124"/>
      <c r="I529" s="124"/>
      <c r="J529" s="124"/>
      <c r="K529" s="102"/>
      <c r="L529" s="189"/>
      <c r="M529" s="124"/>
      <c r="N529" s="124"/>
      <c r="O529" s="124"/>
      <c r="P529" s="102"/>
      <c r="Q529" s="161"/>
      <c r="R529" s="124"/>
      <c r="S529" s="124"/>
      <c r="T529" s="124"/>
      <c r="U529" s="125"/>
      <c r="V529" s="189"/>
      <c r="W529" s="124"/>
      <c r="X529" s="124"/>
      <c r="Y529" s="124"/>
      <c r="Z529" s="125"/>
      <c r="AA529" s="189"/>
      <c r="AB529" s="124"/>
      <c r="AC529" s="124"/>
      <c r="AD529" s="124"/>
      <c r="AE529" s="125"/>
      <c r="AF529" s="189"/>
      <c r="AG529" s="124"/>
      <c r="AH529" s="124"/>
      <c r="AI529" s="124"/>
      <c r="AJ529" s="125"/>
      <c r="AK529" s="189"/>
      <c r="AL529" s="124"/>
      <c r="AM529" s="124"/>
      <c r="AN529" s="124"/>
      <c r="AO529" s="360"/>
      <c r="AP529" s="360"/>
      <c r="AQ529" s="360"/>
      <c r="AR529" s="360"/>
      <c r="AS529" s="360"/>
      <c r="AT529" s="360"/>
      <c r="AU529" s="360"/>
      <c r="AV529" s="360"/>
      <c r="AW529" s="360"/>
      <c r="AX529" s="360"/>
      <c r="AY529" s="360"/>
      <c r="AZ529" s="360"/>
      <c r="BA529" s="360"/>
      <c r="BB529" s="360"/>
      <c r="BC529" s="360"/>
    </row>
    <row r="530">
      <c r="A530" s="125"/>
      <c r="B530" s="189"/>
      <c r="C530" s="124"/>
      <c r="D530" s="124"/>
      <c r="E530" s="124"/>
      <c r="F530" s="125"/>
      <c r="G530" s="189"/>
      <c r="H530" s="124"/>
      <c r="I530" s="124"/>
      <c r="J530" s="124"/>
      <c r="K530" s="102"/>
      <c r="L530" s="189"/>
      <c r="M530" s="124"/>
      <c r="N530" s="124"/>
      <c r="O530" s="124"/>
      <c r="P530" s="102"/>
      <c r="Q530" s="161"/>
      <c r="R530" s="124"/>
      <c r="S530" s="124"/>
      <c r="T530" s="124"/>
      <c r="U530" s="125"/>
      <c r="V530" s="189"/>
      <c r="W530" s="124"/>
      <c r="X530" s="124"/>
      <c r="Y530" s="124"/>
      <c r="Z530" s="125"/>
      <c r="AA530" s="189"/>
      <c r="AB530" s="124"/>
      <c r="AC530" s="124"/>
      <c r="AD530" s="124"/>
      <c r="AE530" s="125"/>
      <c r="AF530" s="189"/>
      <c r="AG530" s="124"/>
      <c r="AH530" s="124"/>
      <c r="AI530" s="124"/>
      <c r="AJ530" s="125"/>
      <c r="AK530" s="189"/>
      <c r="AL530" s="124"/>
      <c r="AM530" s="124"/>
      <c r="AN530" s="124"/>
      <c r="AO530" s="360"/>
      <c r="AP530" s="360"/>
      <c r="AQ530" s="360"/>
      <c r="AR530" s="360"/>
      <c r="AS530" s="360"/>
      <c r="AT530" s="360"/>
      <c r="AU530" s="360"/>
      <c r="AV530" s="360"/>
      <c r="AW530" s="360"/>
      <c r="AX530" s="360"/>
      <c r="AY530" s="360"/>
      <c r="AZ530" s="360"/>
      <c r="BA530" s="360"/>
      <c r="BB530" s="360"/>
      <c r="BC530" s="360"/>
    </row>
    <row r="531">
      <c r="A531" s="125"/>
      <c r="B531" s="189"/>
      <c r="C531" s="124"/>
      <c r="D531" s="124"/>
      <c r="E531" s="124"/>
      <c r="F531" s="125"/>
      <c r="G531" s="189"/>
      <c r="H531" s="124"/>
      <c r="I531" s="124"/>
      <c r="J531" s="124"/>
      <c r="K531" s="102"/>
      <c r="L531" s="189"/>
      <c r="M531" s="124"/>
      <c r="N531" s="124"/>
      <c r="O531" s="124"/>
      <c r="P531" s="102"/>
      <c r="Q531" s="161"/>
      <c r="R531" s="124"/>
      <c r="S531" s="124"/>
      <c r="T531" s="124"/>
      <c r="U531" s="125"/>
      <c r="V531" s="189"/>
      <c r="W531" s="124"/>
      <c r="X531" s="124"/>
      <c r="Y531" s="124"/>
      <c r="Z531" s="125"/>
      <c r="AA531" s="189"/>
      <c r="AB531" s="124"/>
      <c r="AC531" s="124"/>
      <c r="AD531" s="124"/>
      <c r="AE531" s="125"/>
      <c r="AF531" s="189"/>
      <c r="AG531" s="124"/>
      <c r="AH531" s="124"/>
      <c r="AI531" s="124"/>
      <c r="AJ531" s="125"/>
      <c r="AK531" s="189"/>
      <c r="AL531" s="124"/>
      <c r="AM531" s="124"/>
      <c r="AN531" s="124"/>
      <c r="AO531" s="360"/>
      <c r="AP531" s="360"/>
      <c r="AQ531" s="360"/>
      <c r="AR531" s="360"/>
      <c r="AS531" s="360"/>
      <c r="AT531" s="360"/>
      <c r="AU531" s="360"/>
      <c r="AV531" s="360"/>
      <c r="AW531" s="360"/>
      <c r="AX531" s="360"/>
      <c r="AY531" s="360"/>
      <c r="AZ531" s="360"/>
      <c r="BA531" s="360"/>
      <c r="BB531" s="360"/>
      <c r="BC531" s="360"/>
    </row>
    <row r="532">
      <c r="A532" s="125"/>
      <c r="B532" s="189"/>
      <c r="C532" s="124"/>
      <c r="D532" s="124"/>
      <c r="E532" s="124"/>
      <c r="F532" s="125"/>
      <c r="G532" s="189"/>
      <c r="H532" s="124"/>
      <c r="I532" s="124"/>
      <c r="J532" s="124"/>
      <c r="K532" s="102"/>
      <c r="L532" s="189"/>
      <c r="M532" s="124"/>
      <c r="N532" s="124"/>
      <c r="O532" s="124"/>
      <c r="P532" s="102"/>
      <c r="Q532" s="161"/>
      <c r="R532" s="124"/>
      <c r="S532" s="124"/>
      <c r="T532" s="124"/>
      <c r="U532" s="125"/>
      <c r="V532" s="189"/>
      <c r="W532" s="124"/>
      <c r="X532" s="124"/>
      <c r="Y532" s="124"/>
      <c r="Z532" s="125"/>
      <c r="AA532" s="189"/>
      <c r="AB532" s="124"/>
      <c r="AC532" s="124"/>
      <c r="AD532" s="124"/>
      <c r="AE532" s="125"/>
      <c r="AF532" s="189"/>
      <c r="AG532" s="124"/>
      <c r="AH532" s="124"/>
      <c r="AI532" s="124"/>
      <c r="AJ532" s="125"/>
      <c r="AK532" s="189"/>
      <c r="AL532" s="124"/>
      <c r="AM532" s="124"/>
      <c r="AN532" s="124"/>
      <c r="AO532" s="360"/>
      <c r="AP532" s="360"/>
      <c r="AQ532" s="360"/>
      <c r="AR532" s="360"/>
      <c r="AS532" s="360"/>
      <c r="AT532" s="360"/>
      <c r="AU532" s="360"/>
      <c r="AV532" s="360"/>
      <c r="AW532" s="360"/>
      <c r="AX532" s="360"/>
      <c r="AY532" s="360"/>
      <c r="AZ532" s="360"/>
      <c r="BA532" s="360"/>
      <c r="BB532" s="360"/>
      <c r="BC532" s="360"/>
    </row>
    <row r="533">
      <c r="A533" s="125"/>
      <c r="B533" s="189"/>
      <c r="C533" s="124"/>
      <c r="D533" s="124"/>
      <c r="E533" s="124"/>
      <c r="F533" s="125"/>
      <c r="G533" s="189"/>
      <c r="H533" s="124"/>
      <c r="I533" s="124"/>
      <c r="J533" s="124"/>
      <c r="K533" s="102"/>
      <c r="L533" s="189"/>
      <c r="M533" s="124"/>
      <c r="N533" s="124"/>
      <c r="O533" s="124"/>
      <c r="P533" s="102"/>
      <c r="Q533" s="161"/>
      <c r="R533" s="124"/>
      <c r="S533" s="124"/>
      <c r="T533" s="124"/>
      <c r="U533" s="125"/>
      <c r="V533" s="189"/>
      <c r="W533" s="124"/>
      <c r="X533" s="124"/>
      <c r="Y533" s="124"/>
      <c r="Z533" s="125"/>
      <c r="AA533" s="189"/>
      <c r="AB533" s="124"/>
      <c r="AC533" s="124"/>
      <c r="AD533" s="124"/>
      <c r="AE533" s="125"/>
      <c r="AF533" s="189"/>
      <c r="AG533" s="124"/>
      <c r="AH533" s="124"/>
      <c r="AI533" s="124"/>
      <c r="AJ533" s="125"/>
      <c r="AK533" s="189"/>
      <c r="AL533" s="124"/>
      <c r="AM533" s="124"/>
      <c r="AN533" s="124"/>
      <c r="AO533" s="360"/>
      <c r="AP533" s="360"/>
      <c r="AQ533" s="360"/>
      <c r="AR533" s="360"/>
      <c r="AS533" s="360"/>
      <c r="AT533" s="360"/>
      <c r="AU533" s="360"/>
      <c r="AV533" s="360"/>
      <c r="AW533" s="360"/>
      <c r="AX533" s="360"/>
      <c r="AY533" s="360"/>
      <c r="AZ533" s="360"/>
      <c r="BA533" s="360"/>
      <c r="BB533" s="360"/>
      <c r="BC533" s="360"/>
    </row>
    <row r="534">
      <c r="A534" s="125"/>
      <c r="B534" s="189"/>
      <c r="C534" s="124"/>
      <c r="D534" s="124"/>
      <c r="E534" s="124"/>
      <c r="F534" s="125"/>
      <c r="G534" s="189"/>
      <c r="H534" s="124"/>
      <c r="I534" s="124"/>
      <c r="J534" s="124"/>
      <c r="K534" s="102"/>
      <c r="L534" s="189"/>
      <c r="M534" s="124"/>
      <c r="N534" s="124"/>
      <c r="O534" s="124"/>
      <c r="P534" s="102"/>
      <c r="Q534" s="161"/>
      <c r="R534" s="124"/>
      <c r="S534" s="124"/>
      <c r="T534" s="124"/>
      <c r="U534" s="125"/>
      <c r="V534" s="189"/>
      <c r="W534" s="124"/>
      <c r="X534" s="124"/>
      <c r="Y534" s="124"/>
      <c r="Z534" s="125"/>
      <c r="AA534" s="189"/>
      <c r="AB534" s="124"/>
      <c r="AC534" s="124"/>
      <c r="AD534" s="124"/>
      <c r="AE534" s="125"/>
      <c r="AF534" s="189"/>
      <c r="AG534" s="124"/>
      <c r="AH534" s="124"/>
      <c r="AI534" s="124"/>
      <c r="AJ534" s="125"/>
      <c r="AK534" s="189"/>
      <c r="AL534" s="124"/>
      <c r="AM534" s="124"/>
      <c r="AN534" s="124"/>
      <c r="AO534" s="360"/>
      <c r="AP534" s="360"/>
      <c r="AQ534" s="360"/>
      <c r="AR534" s="360"/>
      <c r="AS534" s="360"/>
      <c r="AT534" s="360"/>
      <c r="AU534" s="360"/>
      <c r="AV534" s="360"/>
      <c r="AW534" s="360"/>
      <c r="AX534" s="360"/>
      <c r="AY534" s="360"/>
      <c r="AZ534" s="360"/>
      <c r="BA534" s="360"/>
      <c r="BB534" s="360"/>
      <c r="BC534" s="360"/>
    </row>
    <row r="535">
      <c r="A535" s="125"/>
      <c r="B535" s="189"/>
      <c r="C535" s="124"/>
      <c r="D535" s="124"/>
      <c r="E535" s="124"/>
      <c r="F535" s="125"/>
      <c r="G535" s="189"/>
      <c r="H535" s="124"/>
      <c r="I535" s="124"/>
      <c r="J535" s="124"/>
      <c r="K535" s="102"/>
      <c r="L535" s="189"/>
      <c r="M535" s="124"/>
      <c r="N535" s="124"/>
      <c r="O535" s="124"/>
      <c r="P535" s="102"/>
      <c r="Q535" s="161"/>
      <c r="R535" s="124"/>
      <c r="S535" s="124"/>
      <c r="T535" s="124"/>
      <c r="U535" s="125"/>
      <c r="V535" s="189"/>
      <c r="W535" s="124"/>
      <c r="X535" s="124"/>
      <c r="Y535" s="124"/>
      <c r="Z535" s="125"/>
      <c r="AA535" s="189"/>
      <c r="AB535" s="124"/>
      <c r="AC535" s="124"/>
      <c r="AD535" s="124"/>
      <c r="AE535" s="125"/>
      <c r="AF535" s="189"/>
      <c r="AG535" s="124"/>
      <c r="AH535" s="124"/>
      <c r="AI535" s="124"/>
      <c r="AJ535" s="125"/>
      <c r="AK535" s="189"/>
      <c r="AL535" s="124"/>
      <c r="AM535" s="124"/>
      <c r="AN535" s="124"/>
      <c r="AO535" s="360"/>
      <c r="AP535" s="360"/>
      <c r="AQ535" s="360"/>
      <c r="AR535" s="360"/>
      <c r="AS535" s="360"/>
      <c r="AT535" s="360"/>
      <c r="AU535" s="360"/>
      <c r="AV535" s="360"/>
      <c r="AW535" s="360"/>
      <c r="AX535" s="360"/>
      <c r="AY535" s="360"/>
      <c r="AZ535" s="360"/>
      <c r="BA535" s="360"/>
      <c r="BB535" s="360"/>
      <c r="BC535" s="360"/>
    </row>
    <row r="536">
      <c r="A536" s="125"/>
      <c r="B536" s="189"/>
      <c r="C536" s="124"/>
      <c r="D536" s="124"/>
      <c r="E536" s="124"/>
      <c r="F536" s="125"/>
      <c r="G536" s="189"/>
      <c r="H536" s="124"/>
      <c r="I536" s="124"/>
      <c r="J536" s="124"/>
      <c r="K536" s="102"/>
      <c r="L536" s="189"/>
      <c r="M536" s="124"/>
      <c r="N536" s="124"/>
      <c r="O536" s="124"/>
      <c r="P536" s="102"/>
      <c r="Q536" s="161"/>
      <c r="R536" s="124"/>
      <c r="S536" s="124"/>
      <c r="T536" s="124"/>
      <c r="U536" s="125"/>
      <c r="V536" s="189"/>
      <c r="W536" s="124"/>
      <c r="X536" s="124"/>
      <c r="Y536" s="124"/>
      <c r="Z536" s="125"/>
      <c r="AA536" s="189"/>
      <c r="AB536" s="124"/>
      <c r="AC536" s="124"/>
      <c r="AD536" s="124"/>
      <c r="AE536" s="125"/>
      <c r="AF536" s="189"/>
      <c r="AG536" s="124"/>
      <c r="AH536" s="124"/>
      <c r="AI536" s="124"/>
      <c r="AJ536" s="125"/>
      <c r="AK536" s="189"/>
      <c r="AL536" s="124"/>
      <c r="AM536" s="124"/>
      <c r="AN536" s="124"/>
      <c r="AO536" s="360"/>
      <c r="AP536" s="360"/>
      <c r="AQ536" s="360"/>
      <c r="AR536" s="360"/>
      <c r="AS536" s="360"/>
      <c r="AT536" s="360"/>
      <c r="AU536" s="360"/>
      <c r="AV536" s="360"/>
      <c r="AW536" s="360"/>
      <c r="AX536" s="360"/>
      <c r="AY536" s="360"/>
      <c r="AZ536" s="360"/>
      <c r="BA536" s="360"/>
      <c r="BB536" s="360"/>
      <c r="BC536" s="360"/>
    </row>
    <row r="537">
      <c r="A537" s="125"/>
      <c r="B537" s="189"/>
      <c r="C537" s="124"/>
      <c r="D537" s="124"/>
      <c r="E537" s="124"/>
      <c r="F537" s="125"/>
      <c r="G537" s="189"/>
      <c r="H537" s="124"/>
      <c r="I537" s="124"/>
      <c r="J537" s="124"/>
      <c r="K537" s="102"/>
      <c r="L537" s="189"/>
      <c r="M537" s="124"/>
      <c r="N537" s="124"/>
      <c r="O537" s="124"/>
      <c r="P537" s="102"/>
      <c r="Q537" s="161"/>
      <c r="R537" s="124"/>
      <c r="S537" s="124"/>
      <c r="T537" s="124"/>
      <c r="U537" s="125"/>
      <c r="V537" s="189"/>
      <c r="W537" s="124"/>
      <c r="X537" s="124"/>
      <c r="Y537" s="124"/>
      <c r="Z537" s="125"/>
      <c r="AA537" s="189"/>
      <c r="AB537" s="124"/>
      <c r="AC537" s="124"/>
      <c r="AD537" s="124"/>
      <c r="AE537" s="125"/>
      <c r="AF537" s="189"/>
      <c r="AG537" s="124"/>
      <c r="AH537" s="124"/>
      <c r="AI537" s="124"/>
      <c r="AJ537" s="125"/>
      <c r="AK537" s="189"/>
      <c r="AL537" s="124"/>
      <c r="AM537" s="124"/>
      <c r="AN537" s="124"/>
      <c r="AO537" s="360"/>
      <c r="AP537" s="360"/>
      <c r="AQ537" s="360"/>
      <c r="AR537" s="360"/>
      <c r="AS537" s="360"/>
      <c r="AT537" s="360"/>
      <c r="AU537" s="360"/>
      <c r="AV537" s="360"/>
      <c r="AW537" s="360"/>
      <c r="AX537" s="360"/>
      <c r="AY537" s="360"/>
      <c r="AZ537" s="360"/>
      <c r="BA537" s="360"/>
      <c r="BB537" s="360"/>
      <c r="BC537" s="360"/>
    </row>
    <row r="538">
      <c r="A538" s="125"/>
      <c r="B538" s="189"/>
      <c r="C538" s="124"/>
      <c r="D538" s="124"/>
      <c r="E538" s="124"/>
      <c r="F538" s="125"/>
      <c r="G538" s="189"/>
      <c r="H538" s="124"/>
      <c r="I538" s="124"/>
      <c r="J538" s="124"/>
      <c r="K538" s="102"/>
      <c r="L538" s="189"/>
      <c r="M538" s="124"/>
      <c r="N538" s="124"/>
      <c r="O538" s="124"/>
      <c r="P538" s="102"/>
      <c r="Q538" s="161"/>
      <c r="R538" s="124"/>
      <c r="S538" s="124"/>
      <c r="T538" s="124"/>
      <c r="U538" s="125"/>
      <c r="V538" s="189"/>
      <c r="W538" s="124"/>
      <c r="X538" s="124"/>
      <c r="Y538" s="124"/>
      <c r="Z538" s="125"/>
      <c r="AA538" s="189"/>
      <c r="AB538" s="124"/>
      <c r="AC538" s="124"/>
      <c r="AD538" s="124"/>
      <c r="AE538" s="125"/>
      <c r="AF538" s="189"/>
      <c r="AG538" s="124"/>
      <c r="AH538" s="124"/>
      <c r="AI538" s="124"/>
      <c r="AJ538" s="125"/>
      <c r="AK538" s="189"/>
      <c r="AL538" s="124"/>
      <c r="AM538" s="124"/>
      <c r="AN538" s="124"/>
      <c r="AO538" s="360"/>
      <c r="AP538" s="360"/>
      <c r="AQ538" s="360"/>
      <c r="AR538" s="360"/>
      <c r="AS538" s="360"/>
      <c r="AT538" s="360"/>
      <c r="AU538" s="360"/>
      <c r="AV538" s="360"/>
      <c r="AW538" s="360"/>
      <c r="AX538" s="360"/>
      <c r="AY538" s="360"/>
      <c r="AZ538" s="360"/>
      <c r="BA538" s="360"/>
      <c r="BB538" s="360"/>
      <c r="BC538" s="360"/>
    </row>
    <row r="539">
      <c r="A539" s="125"/>
      <c r="B539" s="189"/>
      <c r="C539" s="124"/>
      <c r="D539" s="124"/>
      <c r="E539" s="124"/>
      <c r="F539" s="125"/>
      <c r="G539" s="189"/>
      <c r="H539" s="124"/>
      <c r="I539" s="124"/>
      <c r="J539" s="124"/>
      <c r="K539" s="102"/>
      <c r="L539" s="189"/>
      <c r="M539" s="124"/>
      <c r="N539" s="124"/>
      <c r="O539" s="124"/>
      <c r="P539" s="102"/>
      <c r="Q539" s="161"/>
      <c r="R539" s="124"/>
      <c r="S539" s="124"/>
      <c r="T539" s="124"/>
      <c r="U539" s="125"/>
      <c r="V539" s="189"/>
      <c r="W539" s="124"/>
      <c r="X539" s="124"/>
      <c r="Y539" s="124"/>
      <c r="Z539" s="125"/>
      <c r="AA539" s="189"/>
      <c r="AB539" s="124"/>
      <c r="AC539" s="124"/>
      <c r="AD539" s="124"/>
      <c r="AE539" s="125"/>
      <c r="AF539" s="189"/>
      <c r="AG539" s="124"/>
      <c r="AH539" s="124"/>
      <c r="AI539" s="124"/>
      <c r="AJ539" s="125"/>
      <c r="AK539" s="189"/>
      <c r="AL539" s="124"/>
      <c r="AM539" s="124"/>
      <c r="AN539" s="124"/>
      <c r="AO539" s="360"/>
      <c r="AP539" s="360"/>
      <c r="AQ539" s="360"/>
      <c r="AR539" s="360"/>
      <c r="AS539" s="360"/>
      <c r="AT539" s="360"/>
      <c r="AU539" s="360"/>
      <c r="AV539" s="360"/>
      <c r="AW539" s="360"/>
      <c r="AX539" s="360"/>
      <c r="AY539" s="360"/>
      <c r="AZ539" s="360"/>
      <c r="BA539" s="360"/>
      <c r="BB539" s="360"/>
      <c r="BC539" s="360"/>
    </row>
    <row r="540">
      <c r="A540" s="125"/>
      <c r="B540" s="189"/>
      <c r="C540" s="124"/>
      <c r="D540" s="124"/>
      <c r="E540" s="124"/>
      <c r="F540" s="125"/>
      <c r="G540" s="189"/>
      <c r="H540" s="124"/>
      <c r="I540" s="124"/>
      <c r="J540" s="124"/>
      <c r="K540" s="102"/>
      <c r="L540" s="189"/>
      <c r="M540" s="124"/>
      <c r="N540" s="124"/>
      <c r="O540" s="124"/>
      <c r="P540" s="102"/>
      <c r="Q540" s="161"/>
      <c r="R540" s="124"/>
      <c r="S540" s="124"/>
      <c r="T540" s="124"/>
      <c r="U540" s="125"/>
      <c r="V540" s="189"/>
      <c r="W540" s="124"/>
      <c r="X540" s="124"/>
      <c r="Y540" s="124"/>
      <c r="Z540" s="125"/>
      <c r="AA540" s="189"/>
      <c r="AB540" s="124"/>
      <c r="AC540" s="124"/>
      <c r="AD540" s="124"/>
      <c r="AE540" s="125"/>
      <c r="AF540" s="189"/>
      <c r="AG540" s="124"/>
      <c r="AH540" s="124"/>
      <c r="AI540" s="124"/>
      <c r="AJ540" s="125"/>
      <c r="AK540" s="189"/>
      <c r="AL540" s="124"/>
      <c r="AM540" s="124"/>
      <c r="AN540" s="124"/>
      <c r="AO540" s="360"/>
      <c r="AP540" s="360"/>
      <c r="AQ540" s="360"/>
      <c r="AR540" s="360"/>
      <c r="AS540" s="360"/>
      <c r="AT540" s="360"/>
      <c r="AU540" s="360"/>
      <c r="AV540" s="360"/>
      <c r="AW540" s="360"/>
      <c r="AX540" s="360"/>
      <c r="AY540" s="360"/>
      <c r="AZ540" s="360"/>
      <c r="BA540" s="360"/>
      <c r="BB540" s="360"/>
      <c r="BC540" s="360"/>
    </row>
    <row r="541">
      <c r="A541" s="125"/>
      <c r="B541" s="189"/>
      <c r="C541" s="124"/>
      <c r="D541" s="124"/>
      <c r="E541" s="124"/>
      <c r="F541" s="125"/>
      <c r="G541" s="189"/>
      <c r="H541" s="124"/>
      <c r="I541" s="124"/>
      <c r="J541" s="124"/>
      <c r="K541" s="102"/>
      <c r="L541" s="189"/>
      <c r="M541" s="124"/>
      <c r="N541" s="124"/>
      <c r="O541" s="124"/>
      <c r="P541" s="102"/>
      <c r="Q541" s="161"/>
      <c r="R541" s="124"/>
      <c r="S541" s="124"/>
      <c r="T541" s="124"/>
      <c r="U541" s="125"/>
      <c r="V541" s="189"/>
      <c r="W541" s="124"/>
      <c r="X541" s="124"/>
      <c r="Y541" s="124"/>
      <c r="Z541" s="125"/>
      <c r="AA541" s="189"/>
      <c r="AB541" s="124"/>
      <c r="AC541" s="124"/>
      <c r="AD541" s="124"/>
      <c r="AE541" s="125"/>
      <c r="AF541" s="189"/>
      <c r="AG541" s="124"/>
      <c r="AH541" s="124"/>
      <c r="AI541" s="124"/>
      <c r="AJ541" s="125"/>
      <c r="AK541" s="189"/>
      <c r="AL541" s="124"/>
      <c r="AM541" s="124"/>
      <c r="AN541" s="124"/>
      <c r="AO541" s="360"/>
      <c r="AP541" s="360"/>
      <c r="AQ541" s="360"/>
      <c r="AR541" s="360"/>
      <c r="AS541" s="360"/>
      <c r="AT541" s="360"/>
      <c r="AU541" s="360"/>
      <c r="AV541" s="360"/>
      <c r="AW541" s="360"/>
      <c r="AX541" s="360"/>
      <c r="AY541" s="360"/>
      <c r="AZ541" s="360"/>
      <c r="BA541" s="360"/>
      <c r="BB541" s="360"/>
      <c r="BC541" s="360"/>
    </row>
    <row r="542">
      <c r="A542" s="125"/>
      <c r="B542" s="189"/>
      <c r="C542" s="124"/>
      <c r="D542" s="124"/>
      <c r="E542" s="124"/>
      <c r="F542" s="125"/>
      <c r="G542" s="189"/>
      <c r="H542" s="124"/>
      <c r="I542" s="124"/>
      <c r="J542" s="124"/>
      <c r="K542" s="102"/>
      <c r="L542" s="189"/>
      <c r="M542" s="124"/>
      <c r="N542" s="124"/>
      <c r="O542" s="124"/>
      <c r="P542" s="102"/>
      <c r="Q542" s="161"/>
      <c r="R542" s="124"/>
      <c r="S542" s="124"/>
      <c r="T542" s="124"/>
      <c r="U542" s="125"/>
      <c r="V542" s="189"/>
      <c r="W542" s="124"/>
      <c r="X542" s="124"/>
      <c r="Y542" s="124"/>
      <c r="Z542" s="125"/>
      <c r="AA542" s="189"/>
      <c r="AB542" s="124"/>
      <c r="AC542" s="124"/>
      <c r="AD542" s="124"/>
      <c r="AE542" s="125"/>
      <c r="AF542" s="189"/>
      <c r="AG542" s="124"/>
      <c r="AH542" s="124"/>
      <c r="AI542" s="124"/>
      <c r="AJ542" s="125"/>
      <c r="AK542" s="189"/>
      <c r="AL542" s="124"/>
      <c r="AM542" s="124"/>
      <c r="AN542" s="124"/>
      <c r="AO542" s="360"/>
      <c r="AP542" s="360"/>
      <c r="AQ542" s="360"/>
      <c r="AR542" s="360"/>
      <c r="AS542" s="360"/>
      <c r="AT542" s="360"/>
      <c r="AU542" s="360"/>
      <c r="AV542" s="360"/>
      <c r="AW542" s="360"/>
      <c r="AX542" s="360"/>
      <c r="AY542" s="360"/>
      <c r="AZ542" s="360"/>
      <c r="BA542" s="360"/>
      <c r="BB542" s="360"/>
      <c r="BC542" s="360"/>
    </row>
    <row r="543">
      <c r="A543" s="125"/>
      <c r="B543" s="189"/>
      <c r="C543" s="124"/>
      <c r="D543" s="124"/>
      <c r="E543" s="124"/>
      <c r="F543" s="125"/>
      <c r="G543" s="189"/>
      <c r="H543" s="124"/>
      <c r="I543" s="124"/>
      <c r="J543" s="124"/>
      <c r="K543" s="102"/>
      <c r="L543" s="189"/>
      <c r="M543" s="124"/>
      <c r="N543" s="124"/>
      <c r="O543" s="124"/>
      <c r="P543" s="102"/>
      <c r="Q543" s="161"/>
      <c r="R543" s="124"/>
      <c r="S543" s="124"/>
      <c r="T543" s="124"/>
      <c r="U543" s="125"/>
      <c r="V543" s="189"/>
      <c r="W543" s="124"/>
      <c r="X543" s="124"/>
      <c r="Y543" s="124"/>
      <c r="Z543" s="125"/>
      <c r="AA543" s="189"/>
      <c r="AB543" s="124"/>
      <c r="AC543" s="124"/>
      <c r="AD543" s="124"/>
      <c r="AE543" s="125"/>
      <c r="AF543" s="189"/>
      <c r="AG543" s="124"/>
      <c r="AH543" s="124"/>
      <c r="AI543" s="124"/>
      <c r="AJ543" s="125"/>
      <c r="AK543" s="189"/>
      <c r="AL543" s="124"/>
      <c r="AM543" s="124"/>
      <c r="AN543" s="124"/>
      <c r="AO543" s="360"/>
      <c r="AP543" s="360"/>
      <c r="AQ543" s="360"/>
      <c r="AR543" s="360"/>
      <c r="AS543" s="360"/>
      <c r="AT543" s="360"/>
      <c r="AU543" s="360"/>
      <c r="AV543" s="360"/>
      <c r="AW543" s="360"/>
      <c r="AX543" s="360"/>
      <c r="AY543" s="360"/>
      <c r="AZ543" s="360"/>
      <c r="BA543" s="360"/>
      <c r="BB543" s="360"/>
      <c r="BC543" s="360"/>
    </row>
    <row r="544">
      <c r="A544" s="125"/>
      <c r="B544" s="189"/>
      <c r="C544" s="124"/>
      <c r="D544" s="124"/>
      <c r="E544" s="124"/>
      <c r="F544" s="125"/>
      <c r="G544" s="189"/>
      <c r="H544" s="124"/>
      <c r="I544" s="124"/>
      <c r="J544" s="124"/>
      <c r="K544" s="102"/>
      <c r="L544" s="189"/>
      <c r="M544" s="124"/>
      <c r="N544" s="124"/>
      <c r="O544" s="124"/>
      <c r="P544" s="102"/>
      <c r="Q544" s="161"/>
      <c r="R544" s="124"/>
      <c r="S544" s="124"/>
      <c r="T544" s="124"/>
      <c r="U544" s="125"/>
      <c r="V544" s="189"/>
      <c r="W544" s="124"/>
      <c r="X544" s="124"/>
      <c r="Y544" s="124"/>
      <c r="Z544" s="125"/>
      <c r="AA544" s="189"/>
      <c r="AB544" s="124"/>
      <c r="AC544" s="124"/>
      <c r="AD544" s="124"/>
      <c r="AE544" s="125"/>
      <c r="AF544" s="189"/>
      <c r="AG544" s="124"/>
      <c r="AH544" s="124"/>
      <c r="AI544" s="124"/>
      <c r="AJ544" s="125"/>
      <c r="AK544" s="189"/>
      <c r="AL544" s="124"/>
      <c r="AM544" s="124"/>
      <c r="AN544" s="124"/>
      <c r="AO544" s="360"/>
      <c r="AP544" s="360"/>
      <c r="AQ544" s="360"/>
      <c r="AR544" s="360"/>
      <c r="AS544" s="360"/>
      <c r="AT544" s="360"/>
      <c r="AU544" s="360"/>
      <c r="AV544" s="360"/>
      <c r="AW544" s="360"/>
      <c r="AX544" s="360"/>
      <c r="AY544" s="360"/>
      <c r="AZ544" s="360"/>
      <c r="BA544" s="360"/>
      <c r="BB544" s="360"/>
      <c r="BC544" s="360"/>
    </row>
    <row r="545">
      <c r="A545" s="125"/>
      <c r="B545" s="189"/>
      <c r="C545" s="124"/>
      <c r="D545" s="124"/>
      <c r="E545" s="124"/>
      <c r="F545" s="125"/>
      <c r="G545" s="189"/>
      <c r="H545" s="124"/>
      <c r="I545" s="124"/>
      <c r="J545" s="124"/>
      <c r="K545" s="102"/>
      <c r="L545" s="189"/>
      <c r="M545" s="124"/>
      <c r="N545" s="124"/>
      <c r="O545" s="124"/>
      <c r="P545" s="102"/>
      <c r="Q545" s="161"/>
      <c r="R545" s="124"/>
      <c r="S545" s="124"/>
      <c r="T545" s="124"/>
      <c r="U545" s="125"/>
      <c r="V545" s="189"/>
      <c r="W545" s="124"/>
      <c r="X545" s="124"/>
      <c r="Y545" s="124"/>
      <c r="Z545" s="125"/>
      <c r="AA545" s="189"/>
      <c r="AB545" s="124"/>
      <c r="AC545" s="124"/>
      <c r="AD545" s="124"/>
      <c r="AE545" s="125"/>
      <c r="AF545" s="189"/>
      <c r="AG545" s="124"/>
      <c r="AH545" s="124"/>
      <c r="AI545" s="124"/>
      <c r="AJ545" s="125"/>
      <c r="AK545" s="189"/>
      <c r="AL545" s="124"/>
      <c r="AM545" s="124"/>
      <c r="AN545" s="124"/>
      <c r="AO545" s="360"/>
      <c r="AP545" s="360"/>
      <c r="AQ545" s="360"/>
      <c r="AR545" s="360"/>
      <c r="AS545" s="360"/>
      <c r="AT545" s="360"/>
      <c r="AU545" s="360"/>
      <c r="AV545" s="360"/>
      <c r="AW545" s="360"/>
      <c r="AX545" s="360"/>
      <c r="AY545" s="360"/>
      <c r="AZ545" s="360"/>
      <c r="BA545" s="360"/>
      <c r="BB545" s="360"/>
      <c r="BC545" s="360"/>
    </row>
    <row r="546">
      <c r="A546" s="125"/>
      <c r="B546" s="189"/>
      <c r="C546" s="124"/>
      <c r="D546" s="124"/>
      <c r="E546" s="124"/>
      <c r="F546" s="125"/>
      <c r="G546" s="189"/>
      <c r="H546" s="124"/>
      <c r="I546" s="124"/>
      <c r="J546" s="124"/>
      <c r="K546" s="102"/>
      <c r="L546" s="189"/>
      <c r="M546" s="124"/>
      <c r="N546" s="124"/>
      <c r="O546" s="124"/>
      <c r="P546" s="102"/>
      <c r="Q546" s="161"/>
      <c r="R546" s="124"/>
      <c r="S546" s="124"/>
      <c r="T546" s="124"/>
      <c r="U546" s="125"/>
      <c r="V546" s="189"/>
      <c r="W546" s="124"/>
      <c r="X546" s="124"/>
      <c r="Y546" s="124"/>
      <c r="Z546" s="125"/>
      <c r="AA546" s="189"/>
      <c r="AB546" s="124"/>
      <c r="AC546" s="124"/>
      <c r="AD546" s="124"/>
      <c r="AE546" s="125"/>
      <c r="AF546" s="189"/>
      <c r="AG546" s="124"/>
      <c r="AH546" s="124"/>
      <c r="AI546" s="124"/>
      <c r="AJ546" s="125"/>
      <c r="AK546" s="189"/>
      <c r="AL546" s="124"/>
      <c r="AM546" s="124"/>
      <c r="AN546" s="124"/>
      <c r="AO546" s="360"/>
      <c r="AP546" s="360"/>
      <c r="AQ546" s="360"/>
      <c r="AR546" s="360"/>
      <c r="AS546" s="360"/>
      <c r="AT546" s="360"/>
      <c r="AU546" s="360"/>
      <c r="AV546" s="360"/>
      <c r="AW546" s="360"/>
      <c r="AX546" s="360"/>
      <c r="AY546" s="360"/>
      <c r="AZ546" s="360"/>
      <c r="BA546" s="360"/>
      <c r="BB546" s="360"/>
      <c r="BC546" s="360"/>
    </row>
    <row r="547">
      <c r="A547" s="125"/>
      <c r="B547" s="189"/>
      <c r="C547" s="124"/>
      <c r="D547" s="124"/>
      <c r="E547" s="124"/>
      <c r="F547" s="125"/>
      <c r="G547" s="189"/>
      <c r="H547" s="124"/>
      <c r="I547" s="124"/>
      <c r="J547" s="124"/>
      <c r="K547" s="102"/>
      <c r="L547" s="189"/>
      <c r="M547" s="124"/>
      <c r="N547" s="124"/>
      <c r="O547" s="124"/>
      <c r="P547" s="102"/>
      <c r="Q547" s="161"/>
      <c r="R547" s="124"/>
      <c r="S547" s="124"/>
      <c r="T547" s="124"/>
      <c r="U547" s="125"/>
      <c r="V547" s="189"/>
      <c r="W547" s="124"/>
      <c r="X547" s="124"/>
      <c r="Y547" s="124"/>
      <c r="Z547" s="125"/>
      <c r="AA547" s="189"/>
      <c r="AB547" s="124"/>
      <c r="AC547" s="124"/>
      <c r="AD547" s="124"/>
      <c r="AE547" s="125"/>
      <c r="AF547" s="189"/>
      <c r="AG547" s="124"/>
      <c r="AH547" s="124"/>
      <c r="AI547" s="124"/>
      <c r="AJ547" s="125"/>
      <c r="AK547" s="189"/>
      <c r="AL547" s="124"/>
      <c r="AM547" s="124"/>
      <c r="AN547" s="124"/>
      <c r="AO547" s="360"/>
      <c r="AP547" s="360"/>
      <c r="AQ547" s="360"/>
      <c r="AR547" s="360"/>
      <c r="AS547" s="360"/>
      <c r="AT547" s="360"/>
      <c r="AU547" s="360"/>
      <c r="AV547" s="360"/>
      <c r="AW547" s="360"/>
      <c r="AX547" s="360"/>
      <c r="AY547" s="360"/>
      <c r="AZ547" s="360"/>
      <c r="BA547" s="360"/>
      <c r="BB547" s="360"/>
      <c r="BC547" s="360"/>
    </row>
    <row r="548">
      <c r="A548" s="125"/>
      <c r="B548" s="189"/>
      <c r="C548" s="124"/>
      <c r="D548" s="124"/>
      <c r="E548" s="124"/>
      <c r="F548" s="125"/>
      <c r="G548" s="189"/>
      <c r="H548" s="124"/>
      <c r="I548" s="124"/>
      <c r="J548" s="124"/>
      <c r="K548" s="102"/>
      <c r="L548" s="189"/>
      <c r="M548" s="124"/>
      <c r="N548" s="124"/>
      <c r="O548" s="124"/>
      <c r="P548" s="102"/>
      <c r="Q548" s="161"/>
      <c r="R548" s="124"/>
      <c r="S548" s="124"/>
      <c r="T548" s="124"/>
      <c r="U548" s="125"/>
      <c r="V548" s="189"/>
      <c r="W548" s="124"/>
      <c r="X548" s="124"/>
      <c r="Y548" s="124"/>
      <c r="Z548" s="125"/>
      <c r="AA548" s="189"/>
      <c r="AB548" s="124"/>
      <c r="AC548" s="124"/>
      <c r="AD548" s="124"/>
      <c r="AE548" s="125"/>
      <c r="AF548" s="189"/>
      <c r="AG548" s="124"/>
      <c r="AH548" s="124"/>
      <c r="AI548" s="124"/>
      <c r="AJ548" s="125"/>
      <c r="AK548" s="189"/>
      <c r="AL548" s="124"/>
      <c r="AM548" s="124"/>
      <c r="AN548" s="124"/>
      <c r="AO548" s="360"/>
      <c r="AP548" s="360"/>
      <c r="AQ548" s="360"/>
      <c r="AR548" s="360"/>
      <c r="AS548" s="360"/>
      <c r="AT548" s="360"/>
      <c r="AU548" s="360"/>
      <c r="AV548" s="360"/>
      <c r="AW548" s="360"/>
      <c r="AX548" s="360"/>
      <c r="AY548" s="360"/>
      <c r="AZ548" s="360"/>
      <c r="BA548" s="360"/>
      <c r="BB548" s="360"/>
      <c r="BC548" s="360"/>
    </row>
    <row r="549">
      <c r="A549" s="125"/>
      <c r="B549" s="189"/>
      <c r="C549" s="124"/>
      <c r="D549" s="124"/>
      <c r="E549" s="124"/>
      <c r="F549" s="125"/>
      <c r="G549" s="189"/>
      <c r="H549" s="124"/>
      <c r="I549" s="124"/>
      <c r="J549" s="124"/>
      <c r="K549" s="102"/>
      <c r="L549" s="189"/>
      <c r="M549" s="124"/>
      <c r="N549" s="124"/>
      <c r="O549" s="124"/>
      <c r="P549" s="102"/>
      <c r="Q549" s="161"/>
      <c r="R549" s="124"/>
      <c r="S549" s="124"/>
      <c r="T549" s="124"/>
      <c r="U549" s="125"/>
      <c r="V549" s="189"/>
      <c r="W549" s="124"/>
      <c r="X549" s="124"/>
      <c r="Y549" s="124"/>
      <c r="Z549" s="125"/>
      <c r="AA549" s="189"/>
      <c r="AB549" s="124"/>
      <c r="AC549" s="124"/>
      <c r="AD549" s="124"/>
      <c r="AE549" s="125"/>
      <c r="AF549" s="189"/>
      <c r="AG549" s="124"/>
      <c r="AH549" s="124"/>
      <c r="AI549" s="124"/>
      <c r="AJ549" s="125"/>
      <c r="AK549" s="189"/>
      <c r="AL549" s="124"/>
      <c r="AM549" s="124"/>
      <c r="AN549" s="124"/>
      <c r="AO549" s="360"/>
      <c r="AP549" s="360"/>
      <c r="AQ549" s="360"/>
      <c r="AR549" s="360"/>
      <c r="AS549" s="360"/>
      <c r="AT549" s="360"/>
      <c r="AU549" s="360"/>
      <c r="AV549" s="360"/>
      <c r="AW549" s="360"/>
      <c r="AX549" s="360"/>
      <c r="AY549" s="360"/>
      <c r="AZ549" s="360"/>
      <c r="BA549" s="360"/>
      <c r="BB549" s="360"/>
      <c r="BC549" s="360"/>
    </row>
    <row r="550">
      <c r="A550" s="125"/>
      <c r="B550" s="189"/>
      <c r="C550" s="124"/>
      <c r="D550" s="124"/>
      <c r="E550" s="124"/>
      <c r="F550" s="125"/>
      <c r="G550" s="189"/>
      <c r="H550" s="124"/>
      <c r="I550" s="124"/>
      <c r="J550" s="124"/>
      <c r="K550" s="102"/>
      <c r="L550" s="189"/>
      <c r="M550" s="124"/>
      <c r="N550" s="124"/>
      <c r="O550" s="124"/>
      <c r="P550" s="102"/>
      <c r="Q550" s="161"/>
      <c r="R550" s="124"/>
      <c r="S550" s="124"/>
      <c r="T550" s="124"/>
      <c r="U550" s="125"/>
      <c r="V550" s="189"/>
      <c r="W550" s="124"/>
      <c r="X550" s="124"/>
      <c r="Y550" s="124"/>
      <c r="Z550" s="125"/>
      <c r="AA550" s="189"/>
      <c r="AB550" s="124"/>
      <c r="AC550" s="124"/>
      <c r="AD550" s="124"/>
      <c r="AE550" s="125"/>
      <c r="AF550" s="189"/>
      <c r="AG550" s="124"/>
      <c r="AH550" s="124"/>
      <c r="AI550" s="124"/>
      <c r="AJ550" s="125"/>
      <c r="AK550" s="189"/>
      <c r="AL550" s="124"/>
      <c r="AM550" s="124"/>
      <c r="AN550" s="124"/>
      <c r="AO550" s="360"/>
      <c r="AP550" s="360"/>
      <c r="AQ550" s="360"/>
      <c r="AR550" s="360"/>
      <c r="AS550" s="360"/>
      <c r="AT550" s="360"/>
      <c r="AU550" s="360"/>
      <c r="AV550" s="360"/>
      <c r="AW550" s="360"/>
      <c r="AX550" s="360"/>
      <c r="AY550" s="360"/>
      <c r="AZ550" s="360"/>
      <c r="BA550" s="360"/>
      <c r="BB550" s="360"/>
      <c r="BC550" s="360"/>
    </row>
    <row r="551">
      <c r="A551" s="125"/>
      <c r="B551" s="189"/>
      <c r="C551" s="124"/>
      <c r="D551" s="124"/>
      <c r="E551" s="124"/>
      <c r="F551" s="125"/>
      <c r="G551" s="189"/>
      <c r="H551" s="124"/>
      <c r="I551" s="124"/>
      <c r="J551" s="124"/>
      <c r="K551" s="102"/>
      <c r="L551" s="189"/>
      <c r="M551" s="124"/>
      <c r="N551" s="124"/>
      <c r="O551" s="124"/>
      <c r="P551" s="102"/>
      <c r="Q551" s="161"/>
      <c r="R551" s="124"/>
      <c r="S551" s="124"/>
      <c r="T551" s="124"/>
      <c r="U551" s="125"/>
      <c r="V551" s="189"/>
      <c r="W551" s="124"/>
      <c r="X551" s="124"/>
      <c r="Y551" s="124"/>
      <c r="Z551" s="125"/>
      <c r="AA551" s="189"/>
      <c r="AB551" s="124"/>
      <c r="AC551" s="124"/>
      <c r="AD551" s="124"/>
      <c r="AE551" s="125"/>
      <c r="AF551" s="189"/>
      <c r="AG551" s="124"/>
      <c r="AH551" s="124"/>
      <c r="AI551" s="124"/>
      <c r="AJ551" s="125"/>
      <c r="AK551" s="189"/>
      <c r="AL551" s="124"/>
      <c r="AM551" s="124"/>
      <c r="AN551" s="124"/>
      <c r="AO551" s="360"/>
      <c r="AP551" s="360"/>
      <c r="AQ551" s="360"/>
      <c r="AR551" s="360"/>
      <c r="AS551" s="360"/>
      <c r="AT551" s="360"/>
      <c r="AU551" s="360"/>
      <c r="AV551" s="360"/>
      <c r="AW551" s="360"/>
      <c r="AX551" s="360"/>
      <c r="AY551" s="360"/>
      <c r="AZ551" s="360"/>
      <c r="BA551" s="360"/>
      <c r="BB551" s="360"/>
      <c r="BC551" s="360"/>
    </row>
    <row r="552">
      <c r="A552" s="125"/>
      <c r="B552" s="189"/>
      <c r="C552" s="124"/>
      <c r="D552" s="124"/>
      <c r="E552" s="124"/>
      <c r="F552" s="125"/>
      <c r="G552" s="189"/>
      <c r="H552" s="124"/>
      <c r="I552" s="124"/>
      <c r="J552" s="124"/>
      <c r="K552" s="102"/>
      <c r="L552" s="189"/>
      <c r="M552" s="124"/>
      <c r="N552" s="124"/>
      <c r="O552" s="124"/>
      <c r="P552" s="102"/>
      <c r="Q552" s="161"/>
      <c r="R552" s="124"/>
      <c r="S552" s="124"/>
      <c r="T552" s="124"/>
      <c r="U552" s="125"/>
      <c r="V552" s="189"/>
      <c r="W552" s="124"/>
      <c r="X552" s="124"/>
      <c r="Y552" s="124"/>
      <c r="Z552" s="125"/>
      <c r="AA552" s="189"/>
      <c r="AB552" s="124"/>
      <c r="AC552" s="124"/>
      <c r="AD552" s="124"/>
      <c r="AE552" s="125"/>
      <c r="AF552" s="189"/>
      <c r="AG552" s="124"/>
      <c r="AH552" s="124"/>
      <c r="AI552" s="124"/>
      <c r="AJ552" s="125"/>
      <c r="AK552" s="189"/>
      <c r="AL552" s="124"/>
      <c r="AM552" s="124"/>
      <c r="AN552" s="124"/>
      <c r="AO552" s="360"/>
      <c r="AP552" s="360"/>
      <c r="AQ552" s="360"/>
      <c r="AR552" s="360"/>
      <c r="AS552" s="360"/>
      <c r="AT552" s="360"/>
      <c r="AU552" s="360"/>
      <c r="AV552" s="360"/>
      <c r="AW552" s="360"/>
      <c r="AX552" s="360"/>
      <c r="AY552" s="360"/>
      <c r="AZ552" s="360"/>
      <c r="BA552" s="360"/>
      <c r="BB552" s="360"/>
      <c r="BC552" s="360"/>
    </row>
    <row r="553">
      <c r="A553" s="125"/>
      <c r="B553" s="189"/>
      <c r="C553" s="124"/>
      <c r="D553" s="124"/>
      <c r="E553" s="124"/>
      <c r="F553" s="125"/>
      <c r="G553" s="189"/>
      <c r="H553" s="124"/>
      <c r="I553" s="124"/>
      <c r="J553" s="124"/>
      <c r="K553" s="102"/>
      <c r="L553" s="189"/>
      <c r="M553" s="124"/>
      <c r="N553" s="124"/>
      <c r="O553" s="124"/>
      <c r="P553" s="102"/>
      <c r="Q553" s="161"/>
      <c r="R553" s="124"/>
      <c r="S553" s="124"/>
      <c r="T553" s="124"/>
      <c r="U553" s="125"/>
      <c r="V553" s="189"/>
      <c r="W553" s="124"/>
      <c r="X553" s="124"/>
      <c r="Y553" s="124"/>
      <c r="Z553" s="125"/>
      <c r="AA553" s="189"/>
      <c r="AB553" s="124"/>
      <c r="AC553" s="124"/>
      <c r="AD553" s="124"/>
      <c r="AE553" s="125"/>
      <c r="AF553" s="189"/>
      <c r="AG553" s="124"/>
      <c r="AH553" s="124"/>
      <c r="AI553" s="124"/>
      <c r="AJ553" s="125"/>
      <c r="AK553" s="189"/>
      <c r="AL553" s="124"/>
      <c r="AM553" s="124"/>
      <c r="AN553" s="124"/>
      <c r="AO553" s="360"/>
      <c r="AP553" s="360"/>
      <c r="AQ553" s="360"/>
      <c r="AR553" s="360"/>
      <c r="AS553" s="360"/>
      <c r="AT553" s="360"/>
      <c r="AU553" s="360"/>
      <c r="AV553" s="360"/>
      <c r="AW553" s="360"/>
      <c r="AX553" s="360"/>
      <c r="AY553" s="360"/>
      <c r="AZ553" s="360"/>
      <c r="BA553" s="360"/>
      <c r="BB553" s="360"/>
      <c r="BC553" s="360"/>
    </row>
    <row r="554">
      <c r="A554" s="125"/>
      <c r="B554" s="189"/>
      <c r="C554" s="124"/>
      <c r="D554" s="124"/>
      <c r="E554" s="124"/>
      <c r="F554" s="125"/>
      <c r="G554" s="189"/>
      <c r="H554" s="124"/>
      <c r="I554" s="124"/>
      <c r="J554" s="124"/>
      <c r="K554" s="102"/>
      <c r="L554" s="189"/>
      <c r="M554" s="124"/>
      <c r="N554" s="124"/>
      <c r="O554" s="124"/>
      <c r="P554" s="102"/>
      <c r="Q554" s="161"/>
      <c r="R554" s="124"/>
      <c r="S554" s="124"/>
      <c r="T554" s="124"/>
      <c r="U554" s="125"/>
      <c r="V554" s="189"/>
      <c r="W554" s="124"/>
      <c r="X554" s="124"/>
      <c r="Y554" s="124"/>
      <c r="Z554" s="125"/>
      <c r="AA554" s="189"/>
      <c r="AB554" s="124"/>
      <c r="AC554" s="124"/>
      <c r="AD554" s="124"/>
      <c r="AE554" s="125"/>
      <c r="AF554" s="189"/>
      <c r="AG554" s="124"/>
      <c r="AH554" s="124"/>
      <c r="AI554" s="124"/>
      <c r="AJ554" s="125"/>
      <c r="AK554" s="189"/>
      <c r="AL554" s="124"/>
      <c r="AM554" s="124"/>
      <c r="AN554" s="124"/>
      <c r="AO554" s="360"/>
      <c r="AP554" s="360"/>
      <c r="AQ554" s="360"/>
      <c r="AR554" s="360"/>
      <c r="AS554" s="360"/>
      <c r="AT554" s="360"/>
      <c r="AU554" s="360"/>
      <c r="AV554" s="360"/>
      <c r="AW554" s="360"/>
      <c r="AX554" s="360"/>
      <c r="AY554" s="360"/>
      <c r="AZ554" s="360"/>
      <c r="BA554" s="360"/>
      <c r="BB554" s="360"/>
      <c r="BC554" s="360"/>
    </row>
    <row r="555">
      <c r="A555" s="125"/>
      <c r="B555" s="189"/>
      <c r="C555" s="124"/>
      <c r="D555" s="124"/>
      <c r="E555" s="124"/>
      <c r="F555" s="125"/>
      <c r="G555" s="189"/>
      <c r="H555" s="124"/>
      <c r="I555" s="124"/>
      <c r="J555" s="124"/>
      <c r="K555" s="102"/>
      <c r="L555" s="189"/>
      <c r="M555" s="124"/>
      <c r="N555" s="124"/>
      <c r="O555" s="124"/>
      <c r="P555" s="102"/>
      <c r="Q555" s="161"/>
      <c r="R555" s="124"/>
      <c r="S555" s="124"/>
      <c r="T555" s="124"/>
      <c r="U555" s="125"/>
      <c r="V555" s="189"/>
      <c r="W555" s="124"/>
      <c r="X555" s="124"/>
      <c r="Y555" s="124"/>
      <c r="Z555" s="125"/>
      <c r="AA555" s="189"/>
      <c r="AB555" s="124"/>
      <c r="AC555" s="124"/>
      <c r="AD555" s="124"/>
      <c r="AE555" s="125"/>
      <c r="AF555" s="189"/>
      <c r="AG555" s="124"/>
      <c r="AH555" s="124"/>
      <c r="AI555" s="124"/>
      <c r="AJ555" s="125"/>
      <c r="AK555" s="189"/>
      <c r="AL555" s="124"/>
      <c r="AM555" s="124"/>
      <c r="AN555" s="124"/>
      <c r="AO555" s="360"/>
      <c r="AP555" s="360"/>
      <c r="AQ555" s="360"/>
      <c r="AR555" s="360"/>
      <c r="AS555" s="360"/>
      <c r="AT555" s="360"/>
      <c r="AU555" s="360"/>
      <c r="AV555" s="360"/>
      <c r="AW555" s="360"/>
      <c r="AX555" s="360"/>
      <c r="AY555" s="360"/>
      <c r="AZ555" s="360"/>
      <c r="BA555" s="360"/>
      <c r="BB555" s="360"/>
      <c r="BC555" s="360"/>
    </row>
    <row r="556">
      <c r="A556" s="125"/>
      <c r="B556" s="189"/>
      <c r="C556" s="124"/>
      <c r="D556" s="124"/>
      <c r="E556" s="124"/>
      <c r="F556" s="125"/>
      <c r="G556" s="189"/>
      <c r="H556" s="124"/>
      <c r="I556" s="124"/>
      <c r="J556" s="124"/>
      <c r="K556" s="102"/>
      <c r="L556" s="189"/>
      <c r="M556" s="124"/>
      <c r="N556" s="124"/>
      <c r="O556" s="124"/>
      <c r="P556" s="102"/>
      <c r="Q556" s="161"/>
      <c r="R556" s="124"/>
      <c r="S556" s="124"/>
      <c r="T556" s="124"/>
      <c r="U556" s="125"/>
      <c r="V556" s="189"/>
      <c r="W556" s="124"/>
      <c r="X556" s="124"/>
      <c r="Y556" s="124"/>
      <c r="Z556" s="125"/>
      <c r="AA556" s="189"/>
      <c r="AB556" s="124"/>
      <c r="AC556" s="124"/>
      <c r="AD556" s="124"/>
      <c r="AE556" s="125"/>
      <c r="AF556" s="189"/>
      <c r="AG556" s="124"/>
      <c r="AH556" s="124"/>
      <c r="AI556" s="124"/>
      <c r="AJ556" s="125"/>
      <c r="AK556" s="189"/>
      <c r="AL556" s="124"/>
      <c r="AM556" s="124"/>
      <c r="AN556" s="124"/>
      <c r="AO556" s="360"/>
      <c r="AP556" s="360"/>
      <c r="AQ556" s="360"/>
      <c r="AR556" s="360"/>
      <c r="AS556" s="360"/>
      <c r="AT556" s="360"/>
      <c r="AU556" s="360"/>
      <c r="AV556" s="360"/>
      <c r="AW556" s="360"/>
      <c r="AX556" s="360"/>
      <c r="AY556" s="360"/>
      <c r="AZ556" s="360"/>
      <c r="BA556" s="360"/>
      <c r="BB556" s="360"/>
      <c r="BC556" s="360"/>
    </row>
    <row r="557">
      <c r="A557" s="125"/>
      <c r="B557" s="189"/>
      <c r="C557" s="124"/>
      <c r="D557" s="124"/>
      <c r="E557" s="124"/>
      <c r="F557" s="125"/>
      <c r="G557" s="189"/>
      <c r="H557" s="124"/>
      <c r="I557" s="124"/>
      <c r="J557" s="124"/>
      <c r="K557" s="102"/>
      <c r="L557" s="189"/>
      <c r="M557" s="124"/>
      <c r="N557" s="124"/>
      <c r="O557" s="124"/>
      <c r="P557" s="102"/>
      <c r="Q557" s="161"/>
      <c r="R557" s="124"/>
      <c r="S557" s="124"/>
      <c r="T557" s="124"/>
      <c r="U557" s="125"/>
      <c r="V557" s="189"/>
      <c r="W557" s="124"/>
      <c r="X557" s="124"/>
      <c r="Y557" s="124"/>
      <c r="Z557" s="125"/>
      <c r="AA557" s="189"/>
      <c r="AB557" s="124"/>
      <c r="AC557" s="124"/>
      <c r="AD557" s="124"/>
      <c r="AE557" s="125"/>
      <c r="AF557" s="189"/>
      <c r="AG557" s="124"/>
      <c r="AH557" s="124"/>
      <c r="AI557" s="124"/>
      <c r="AJ557" s="125"/>
      <c r="AK557" s="189"/>
      <c r="AL557" s="124"/>
      <c r="AM557" s="124"/>
      <c r="AN557" s="124"/>
      <c r="AO557" s="360"/>
      <c r="AP557" s="360"/>
      <c r="AQ557" s="360"/>
      <c r="AR557" s="360"/>
      <c r="AS557" s="360"/>
      <c r="AT557" s="360"/>
      <c r="AU557" s="360"/>
      <c r="AV557" s="360"/>
      <c r="AW557" s="360"/>
      <c r="AX557" s="360"/>
      <c r="AY557" s="360"/>
      <c r="AZ557" s="360"/>
      <c r="BA557" s="360"/>
      <c r="BB557" s="360"/>
      <c r="BC557" s="360"/>
    </row>
    <row r="558">
      <c r="A558" s="125"/>
      <c r="B558" s="189"/>
      <c r="C558" s="124"/>
      <c r="D558" s="124"/>
      <c r="E558" s="124"/>
      <c r="F558" s="125"/>
      <c r="G558" s="189"/>
      <c r="H558" s="124"/>
      <c r="I558" s="124"/>
      <c r="J558" s="124"/>
      <c r="K558" s="102"/>
      <c r="L558" s="189"/>
      <c r="M558" s="124"/>
      <c r="N558" s="124"/>
      <c r="O558" s="124"/>
      <c r="P558" s="102"/>
      <c r="Q558" s="161"/>
      <c r="R558" s="124"/>
      <c r="S558" s="124"/>
      <c r="T558" s="124"/>
      <c r="U558" s="125"/>
      <c r="V558" s="189"/>
      <c r="W558" s="124"/>
      <c r="X558" s="124"/>
      <c r="Y558" s="124"/>
      <c r="Z558" s="125"/>
      <c r="AA558" s="189"/>
      <c r="AB558" s="124"/>
      <c r="AC558" s="124"/>
      <c r="AD558" s="124"/>
      <c r="AE558" s="125"/>
      <c r="AF558" s="189"/>
      <c r="AG558" s="124"/>
      <c r="AH558" s="124"/>
      <c r="AI558" s="124"/>
      <c r="AJ558" s="125"/>
      <c r="AK558" s="189"/>
      <c r="AL558" s="124"/>
      <c r="AM558" s="124"/>
      <c r="AN558" s="124"/>
      <c r="AO558" s="360"/>
      <c r="AP558" s="360"/>
      <c r="AQ558" s="360"/>
      <c r="AR558" s="360"/>
      <c r="AS558" s="360"/>
      <c r="AT558" s="360"/>
      <c r="AU558" s="360"/>
      <c r="AV558" s="360"/>
      <c r="AW558" s="360"/>
      <c r="AX558" s="360"/>
      <c r="AY558" s="360"/>
      <c r="AZ558" s="360"/>
      <c r="BA558" s="360"/>
      <c r="BB558" s="360"/>
      <c r="BC558" s="360"/>
    </row>
    <row r="559">
      <c r="A559" s="125"/>
      <c r="B559" s="189"/>
      <c r="C559" s="124"/>
      <c r="D559" s="124"/>
      <c r="E559" s="124"/>
      <c r="F559" s="125"/>
      <c r="G559" s="189"/>
      <c r="H559" s="124"/>
      <c r="I559" s="124"/>
      <c r="J559" s="124"/>
      <c r="K559" s="102"/>
      <c r="L559" s="189"/>
      <c r="M559" s="124"/>
      <c r="N559" s="124"/>
      <c r="O559" s="124"/>
      <c r="P559" s="102"/>
      <c r="Q559" s="161"/>
      <c r="R559" s="124"/>
      <c r="S559" s="124"/>
      <c r="T559" s="124"/>
      <c r="U559" s="125"/>
      <c r="V559" s="189"/>
      <c r="W559" s="124"/>
      <c r="X559" s="124"/>
      <c r="Y559" s="124"/>
      <c r="Z559" s="125"/>
      <c r="AA559" s="189"/>
      <c r="AB559" s="124"/>
      <c r="AC559" s="124"/>
      <c r="AD559" s="124"/>
      <c r="AE559" s="125"/>
      <c r="AF559" s="189"/>
      <c r="AG559" s="124"/>
      <c r="AH559" s="124"/>
      <c r="AI559" s="124"/>
      <c r="AJ559" s="125"/>
      <c r="AK559" s="189"/>
      <c r="AL559" s="124"/>
      <c r="AM559" s="124"/>
      <c r="AN559" s="124"/>
      <c r="AO559" s="360"/>
      <c r="AP559" s="360"/>
      <c r="AQ559" s="360"/>
      <c r="AR559" s="360"/>
      <c r="AS559" s="360"/>
      <c r="AT559" s="360"/>
      <c r="AU559" s="360"/>
      <c r="AV559" s="360"/>
      <c r="AW559" s="360"/>
      <c r="AX559" s="360"/>
      <c r="AY559" s="360"/>
      <c r="AZ559" s="360"/>
      <c r="BA559" s="360"/>
      <c r="BB559" s="360"/>
      <c r="BC559" s="360"/>
    </row>
    <row r="560">
      <c r="A560" s="125"/>
      <c r="B560" s="189"/>
      <c r="C560" s="124"/>
      <c r="D560" s="124"/>
      <c r="E560" s="124"/>
      <c r="F560" s="125"/>
      <c r="G560" s="189"/>
      <c r="H560" s="124"/>
      <c r="I560" s="124"/>
      <c r="J560" s="124"/>
      <c r="K560" s="102"/>
      <c r="L560" s="189"/>
      <c r="M560" s="124"/>
      <c r="N560" s="124"/>
      <c r="O560" s="124"/>
      <c r="P560" s="102"/>
      <c r="Q560" s="161"/>
      <c r="R560" s="124"/>
      <c r="S560" s="124"/>
      <c r="T560" s="124"/>
      <c r="U560" s="125"/>
      <c r="V560" s="189"/>
      <c r="W560" s="124"/>
      <c r="X560" s="124"/>
      <c r="Y560" s="124"/>
      <c r="Z560" s="125"/>
      <c r="AA560" s="189"/>
      <c r="AB560" s="124"/>
      <c r="AC560" s="124"/>
      <c r="AD560" s="124"/>
      <c r="AE560" s="125"/>
      <c r="AF560" s="189"/>
      <c r="AG560" s="124"/>
      <c r="AH560" s="124"/>
      <c r="AI560" s="124"/>
      <c r="AJ560" s="125"/>
      <c r="AK560" s="189"/>
      <c r="AL560" s="124"/>
      <c r="AM560" s="124"/>
      <c r="AN560" s="124"/>
      <c r="AO560" s="360"/>
      <c r="AP560" s="360"/>
      <c r="AQ560" s="360"/>
      <c r="AR560" s="360"/>
      <c r="AS560" s="360"/>
      <c r="AT560" s="360"/>
      <c r="AU560" s="360"/>
      <c r="AV560" s="360"/>
      <c r="AW560" s="360"/>
      <c r="AX560" s="360"/>
      <c r="AY560" s="360"/>
      <c r="AZ560" s="360"/>
      <c r="BA560" s="360"/>
      <c r="BB560" s="360"/>
      <c r="BC560" s="360"/>
    </row>
    <row r="561">
      <c r="A561" s="125"/>
      <c r="B561" s="189"/>
      <c r="C561" s="124"/>
      <c r="D561" s="124"/>
      <c r="E561" s="124"/>
      <c r="F561" s="125"/>
      <c r="G561" s="189"/>
      <c r="H561" s="124"/>
      <c r="I561" s="124"/>
      <c r="J561" s="124"/>
      <c r="K561" s="102"/>
      <c r="L561" s="189"/>
      <c r="M561" s="124"/>
      <c r="N561" s="124"/>
      <c r="O561" s="124"/>
      <c r="P561" s="102"/>
      <c r="Q561" s="161"/>
      <c r="R561" s="124"/>
      <c r="S561" s="124"/>
      <c r="T561" s="124"/>
      <c r="U561" s="125"/>
      <c r="V561" s="189"/>
      <c r="W561" s="124"/>
      <c r="X561" s="124"/>
      <c r="Y561" s="124"/>
      <c r="Z561" s="125"/>
      <c r="AA561" s="189"/>
      <c r="AB561" s="124"/>
      <c r="AC561" s="124"/>
      <c r="AD561" s="124"/>
      <c r="AE561" s="125"/>
      <c r="AF561" s="189"/>
      <c r="AG561" s="124"/>
      <c r="AH561" s="124"/>
      <c r="AI561" s="124"/>
      <c r="AJ561" s="125"/>
      <c r="AK561" s="189"/>
      <c r="AL561" s="124"/>
      <c r="AM561" s="124"/>
      <c r="AN561" s="124"/>
      <c r="AO561" s="360"/>
      <c r="AP561" s="360"/>
      <c r="AQ561" s="360"/>
      <c r="AR561" s="360"/>
      <c r="AS561" s="360"/>
      <c r="AT561" s="360"/>
      <c r="AU561" s="360"/>
      <c r="AV561" s="360"/>
      <c r="AW561" s="360"/>
      <c r="AX561" s="360"/>
      <c r="AY561" s="360"/>
      <c r="AZ561" s="360"/>
      <c r="BA561" s="360"/>
      <c r="BB561" s="360"/>
      <c r="BC561" s="360"/>
    </row>
    <row r="562">
      <c r="A562" s="125"/>
      <c r="B562" s="189"/>
      <c r="C562" s="124"/>
      <c r="D562" s="124"/>
      <c r="E562" s="124"/>
      <c r="F562" s="125"/>
      <c r="G562" s="189"/>
      <c r="H562" s="124"/>
      <c r="I562" s="124"/>
      <c r="J562" s="124"/>
      <c r="K562" s="102"/>
      <c r="L562" s="189"/>
      <c r="M562" s="124"/>
      <c r="N562" s="124"/>
      <c r="O562" s="124"/>
      <c r="P562" s="102"/>
      <c r="Q562" s="161"/>
      <c r="R562" s="124"/>
      <c r="S562" s="124"/>
      <c r="T562" s="124"/>
      <c r="U562" s="125"/>
      <c r="V562" s="189"/>
      <c r="W562" s="124"/>
      <c r="X562" s="124"/>
      <c r="Y562" s="124"/>
      <c r="Z562" s="125"/>
      <c r="AA562" s="189"/>
      <c r="AB562" s="124"/>
      <c r="AC562" s="124"/>
      <c r="AD562" s="124"/>
      <c r="AE562" s="125"/>
      <c r="AF562" s="189"/>
      <c r="AG562" s="124"/>
      <c r="AH562" s="124"/>
      <c r="AI562" s="124"/>
      <c r="AJ562" s="125"/>
      <c r="AK562" s="189"/>
      <c r="AL562" s="124"/>
      <c r="AM562" s="124"/>
      <c r="AN562" s="124"/>
      <c r="AO562" s="360"/>
      <c r="AP562" s="360"/>
      <c r="AQ562" s="360"/>
      <c r="AR562" s="360"/>
      <c r="AS562" s="360"/>
      <c r="AT562" s="360"/>
      <c r="AU562" s="360"/>
      <c r="AV562" s="360"/>
      <c r="AW562" s="360"/>
      <c r="AX562" s="360"/>
      <c r="AY562" s="360"/>
      <c r="AZ562" s="360"/>
      <c r="BA562" s="360"/>
      <c r="BB562" s="360"/>
      <c r="BC562" s="360"/>
    </row>
    <row r="563">
      <c r="A563" s="125"/>
      <c r="B563" s="189"/>
      <c r="C563" s="124"/>
      <c r="D563" s="124"/>
      <c r="E563" s="124"/>
      <c r="F563" s="125"/>
      <c r="G563" s="189"/>
      <c r="H563" s="124"/>
      <c r="I563" s="124"/>
      <c r="J563" s="124"/>
      <c r="K563" s="102"/>
      <c r="L563" s="189"/>
      <c r="M563" s="124"/>
      <c r="N563" s="124"/>
      <c r="O563" s="124"/>
      <c r="P563" s="102"/>
      <c r="Q563" s="161"/>
      <c r="R563" s="124"/>
      <c r="S563" s="124"/>
      <c r="T563" s="124"/>
      <c r="U563" s="125"/>
      <c r="V563" s="189"/>
      <c r="W563" s="124"/>
      <c r="X563" s="124"/>
      <c r="Y563" s="124"/>
      <c r="Z563" s="125"/>
      <c r="AA563" s="189"/>
      <c r="AB563" s="124"/>
      <c r="AC563" s="124"/>
      <c r="AD563" s="124"/>
      <c r="AE563" s="125"/>
      <c r="AF563" s="189"/>
      <c r="AG563" s="124"/>
      <c r="AH563" s="124"/>
      <c r="AI563" s="124"/>
      <c r="AJ563" s="125"/>
      <c r="AK563" s="189"/>
      <c r="AL563" s="124"/>
      <c r="AM563" s="124"/>
      <c r="AN563" s="124"/>
      <c r="AO563" s="360"/>
      <c r="AP563" s="360"/>
      <c r="AQ563" s="360"/>
      <c r="AR563" s="360"/>
      <c r="AS563" s="360"/>
      <c r="AT563" s="360"/>
      <c r="AU563" s="360"/>
      <c r="AV563" s="360"/>
      <c r="AW563" s="360"/>
      <c r="AX563" s="360"/>
      <c r="AY563" s="360"/>
      <c r="AZ563" s="360"/>
      <c r="BA563" s="360"/>
      <c r="BB563" s="360"/>
      <c r="BC563" s="360"/>
    </row>
    <row r="564">
      <c r="A564" s="125"/>
      <c r="B564" s="189"/>
      <c r="C564" s="124"/>
      <c r="D564" s="124"/>
      <c r="E564" s="124"/>
      <c r="F564" s="125"/>
      <c r="G564" s="189"/>
      <c r="H564" s="124"/>
      <c r="I564" s="124"/>
      <c r="J564" s="124"/>
      <c r="K564" s="102"/>
      <c r="L564" s="189"/>
      <c r="M564" s="124"/>
      <c r="N564" s="124"/>
      <c r="O564" s="124"/>
      <c r="P564" s="102"/>
      <c r="Q564" s="161"/>
      <c r="R564" s="124"/>
      <c r="S564" s="124"/>
      <c r="T564" s="124"/>
      <c r="U564" s="125"/>
      <c r="V564" s="189"/>
      <c r="W564" s="124"/>
      <c r="X564" s="124"/>
      <c r="Y564" s="124"/>
      <c r="Z564" s="125"/>
      <c r="AA564" s="189"/>
      <c r="AB564" s="124"/>
      <c r="AC564" s="124"/>
      <c r="AD564" s="124"/>
      <c r="AE564" s="125"/>
      <c r="AF564" s="189"/>
      <c r="AG564" s="124"/>
      <c r="AH564" s="124"/>
      <c r="AI564" s="124"/>
      <c r="AJ564" s="125"/>
      <c r="AK564" s="189"/>
      <c r="AL564" s="124"/>
      <c r="AM564" s="124"/>
      <c r="AN564" s="124"/>
      <c r="AO564" s="360"/>
      <c r="AP564" s="360"/>
      <c r="AQ564" s="360"/>
      <c r="AR564" s="360"/>
      <c r="AS564" s="360"/>
      <c r="AT564" s="360"/>
      <c r="AU564" s="360"/>
      <c r="AV564" s="360"/>
      <c r="AW564" s="360"/>
      <c r="AX564" s="360"/>
      <c r="AY564" s="360"/>
      <c r="AZ564" s="360"/>
      <c r="BA564" s="360"/>
      <c r="BB564" s="360"/>
      <c r="BC564" s="360"/>
    </row>
    <row r="565">
      <c r="A565" s="125"/>
      <c r="B565" s="189"/>
      <c r="C565" s="124"/>
      <c r="D565" s="124"/>
      <c r="E565" s="124"/>
      <c r="F565" s="125"/>
      <c r="G565" s="189"/>
      <c r="H565" s="124"/>
      <c r="I565" s="124"/>
      <c r="J565" s="124"/>
      <c r="K565" s="102"/>
      <c r="L565" s="189"/>
      <c r="M565" s="124"/>
      <c r="N565" s="124"/>
      <c r="O565" s="124"/>
      <c r="P565" s="102"/>
      <c r="Q565" s="161"/>
      <c r="R565" s="124"/>
      <c r="S565" s="124"/>
      <c r="T565" s="124"/>
      <c r="U565" s="125"/>
      <c r="V565" s="189"/>
      <c r="W565" s="124"/>
      <c r="X565" s="124"/>
      <c r="Y565" s="124"/>
      <c r="Z565" s="125"/>
      <c r="AA565" s="189"/>
      <c r="AB565" s="124"/>
      <c r="AC565" s="124"/>
      <c r="AD565" s="124"/>
      <c r="AE565" s="125"/>
      <c r="AF565" s="189"/>
      <c r="AG565" s="124"/>
      <c r="AH565" s="124"/>
      <c r="AI565" s="124"/>
      <c r="AJ565" s="125"/>
      <c r="AK565" s="189"/>
      <c r="AL565" s="124"/>
      <c r="AM565" s="124"/>
      <c r="AN565" s="124"/>
      <c r="AO565" s="360"/>
      <c r="AP565" s="360"/>
      <c r="AQ565" s="360"/>
      <c r="AR565" s="360"/>
      <c r="AS565" s="360"/>
      <c r="AT565" s="360"/>
      <c r="AU565" s="360"/>
      <c r="AV565" s="360"/>
      <c r="AW565" s="360"/>
      <c r="AX565" s="360"/>
      <c r="AY565" s="360"/>
      <c r="AZ565" s="360"/>
      <c r="BA565" s="360"/>
      <c r="BB565" s="360"/>
      <c r="BC565" s="360"/>
    </row>
    <row r="566">
      <c r="A566" s="125"/>
      <c r="B566" s="189"/>
      <c r="C566" s="124"/>
      <c r="D566" s="124"/>
      <c r="E566" s="124"/>
      <c r="F566" s="125"/>
      <c r="G566" s="189"/>
      <c r="H566" s="124"/>
      <c r="I566" s="124"/>
      <c r="J566" s="124"/>
      <c r="K566" s="102"/>
      <c r="L566" s="189"/>
      <c r="M566" s="124"/>
      <c r="N566" s="124"/>
      <c r="O566" s="124"/>
      <c r="P566" s="102"/>
      <c r="Q566" s="161"/>
      <c r="R566" s="124"/>
      <c r="S566" s="124"/>
      <c r="T566" s="124"/>
      <c r="U566" s="125"/>
      <c r="V566" s="189"/>
      <c r="W566" s="124"/>
      <c r="X566" s="124"/>
      <c r="Y566" s="124"/>
      <c r="Z566" s="125"/>
      <c r="AA566" s="189"/>
      <c r="AB566" s="124"/>
      <c r="AC566" s="124"/>
      <c r="AD566" s="124"/>
      <c r="AE566" s="125"/>
      <c r="AF566" s="189"/>
      <c r="AG566" s="124"/>
      <c r="AH566" s="124"/>
      <c r="AI566" s="124"/>
      <c r="AJ566" s="125"/>
      <c r="AK566" s="189"/>
      <c r="AL566" s="124"/>
      <c r="AM566" s="124"/>
      <c r="AN566" s="124"/>
      <c r="AO566" s="360"/>
      <c r="AP566" s="360"/>
      <c r="AQ566" s="360"/>
      <c r="AR566" s="360"/>
      <c r="AS566" s="360"/>
      <c r="AT566" s="360"/>
      <c r="AU566" s="360"/>
      <c r="AV566" s="360"/>
      <c r="AW566" s="360"/>
      <c r="AX566" s="360"/>
      <c r="AY566" s="360"/>
      <c r="AZ566" s="360"/>
      <c r="BA566" s="360"/>
      <c r="BB566" s="360"/>
      <c r="BC566" s="360"/>
    </row>
    <row r="567">
      <c r="A567" s="125"/>
      <c r="B567" s="189"/>
      <c r="C567" s="124"/>
      <c r="D567" s="124"/>
      <c r="E567" s="124"/>
      <c r="F567" s="125"/>
      <c r="G567" s="189"/>
      <c r="H567" s="124"/>
      <c r="I567" s="124"/>
      <c r="J567" s="124"/>
      <c r="K567" s="102"/>
      <c r="L567" s="189"/>
      <c r="M567" s="124"/>
      <c r="N567" s="124"/>
      <c r="O567" s="124"/>
      <c r="P567" s="102"/>
      <c r="Q567" s="161"/>
      <c r="R567" s="124"/>
      <c r="S567" s="124"/>
      <c r="T567" s="124"/>
      <c r="U567" s="125"/>
      <c r="V567" s="189"/>
      <c r="W567" s="124"/>
      <c r="X567" s="124"/>
      <c r="Y567" s="124"/>
      <c r="Z567" s="125"/>
      <c r="AA567" s="189"/>
      <c r="AB567" s="124"/>
      <c r="AC567" s="124"/>
      <c r="AD567" s="124"/>
      <c r="AE567" s="125"/>
      <c r="AF567" s="189"/>
      <c r="AG567" s="124"/>
      <c r="AH567" s="124"/>
      <c r="AI567" s="124"/>
      <c r="AJ567" s="125"/>
      <c r="AK567" s="189"/>
      <c r="AL567" s="124"/>
      <c r="AM567" s="124"/>
      <c r="AN567" s="124"/>
      <c r="AO567" s="360"/>
      <c r="AP567" s="360"/>
      <c r="AQ567" s="360"/>
      <c r="AR567" s="360"/>
      <c r="AS567" s="360"/>
      <c r="AT567" s="360"/>
      <c r="AU567" s="360"/>
      <c r="AV567" s="360"/>
      <c r="AW567" s="360"/>
      <c r="AX567" s="360"/>
      <c r="AY567" s="360"/>
      <c r="AZ567" s="360"/>
      <c r="BA567" s="360"/>
      <c r="BB567" s="360"/>
      <c r="BC567" s="360"/>
    </row>
    <row r="568">
      <c r="A568" s="125"/>
      <c r="B568" s="189"/>
      <c r="C568" s="124"/>
      <c r="D568" s="124"/>
      <c r="E568" s="124"/>
      <c r="F568" s="125"/>
      <c r="G568" s="189"/>
      <c r="H568" s="124"/>
      <c r="I568" s="124"/>
      <c r="J568" s="124"/>
      <c r="K568" s="102"/>
      <c r="L568" s="189"/>
      <c r="M568" s="124"/>
      <c r="N568" s="124"/>
      <c r="O568" s="124"/>
      <c r="P568" s="102"/>
      <c r="Q568" s="161"/>
      <c r="R568" s="124"/>
      <c r="S568" s="124"/>
      <c r="T568" s="124"/>
      <c r="U568" s="125"/>
      <c r="V568" s="189"/>
      <c r="W568" s="124"/>
      <c r="X568" s="124"/>
      <c r="Y568" s="124"/>
      <c r="Z568" s="125"/>
      <c r="AA568" s="189"/>
      <c r="AB568" s="124"/>
      <c r="AC568" s="124"/>
      <c r="AD568" s="124"/>
      <c r="AE568" s="125"/>
      <c r="AF568" s="189"/>
      <c r="AG568" s="124"/>
      <c r="AH568" s="124"/>
      <c r="AI568" s="124"/>
      <c r="AJ568" s="125"/>
      <c r="AK568" s="189"/>
      <c r="AL568" s="124"/>
      <c r="AM568" s="124"/>
      <c r="AN568" s="124"/>
      <c r="AO568" s="360"/>
      <c r="AP568" s="360"/>
      <c r="AQ568" s="360"/>
      <c r="AR568" s="360"/>
      <c r="AS568" s="360"/>
      <c r="AT568" s="360"/>
      <c r="AU568" s="360"/>
      <c r="AV568" s="360"/>
      <c r="AW568" s="360"/>
      <c r="AX568" s="360"/>
      <c r="AY568" s="360"/>
      <c r="AZ568" s="360"/>
      <c r="BA568" s="360"/>
      <c r="BB568" s="360"/>
      <c r="BC568" s="360"/>
    </row>
    <row r="569">
      <c r="A569" s="125"/>
      <c r="B569" s="189"/>
      <c r="C569" s="124"/>
      <c r="D569" s="124"/>
      <c r="E569" s="124"/>
      <c r="F569" s="125"/>
      <c r="G569" s="189"/>
      <c r="H569" s="124"/>
      <c r="I569" s="124"/>
      <c r="J569" s="124"/>
      <c r="K569" s="102"/>
      <c r="L569" s="189"/>
      <c r="M569" s="124"/>
      <c r="N569" s="124"/>
      <c r="O569" s="124"/>
      <c r="P569" s="102"/>
      <c r="Q569" s="161"/>
      <c r="R569" s="124"/>
      <c r="S569" s="124"/>
      <c r="T569" s="124"/>
      <c r="U569" s="125"/>
      <c r="V569" s="189"/>
      <c r="W569" s="124"/>
      <c r="X569" s="124"/>
      <c r="Y569" s="124"/>
      <c r="Z569" s="125"/>
      <c r="AA569" s="189"/>
      <c r="AB569" s="124"/>
      <c r="AC569" s="124"/>
      <c r="AD569" s="124"/>
      <c r="AE569" s="125"/>
      <c r="AF569" s="189"/>
      <c r="AG569" s="124"/>
      <c r="AH569" s="124"/>
      <c r="AI569" s="124"/>
      <c r="AJ569" s="125"/>
      <c r="AK569" s="189"/>
      <c r="AL569" s="124"/>
      <c r="AM569" s="124"/>
      <c r="AN569" s="124"/>
      <c r="AO569" s="360"/>
      <c r="AP569" s="360"/>
      <c r="AQ569" s="360"/>
      <c r="AR569" s="360"/>
      <c r="AS569" s="360"/>
      <c r="AT569" s="360"/>
      <c r="AU569" s="360"/>
      <c r="AV569" s="360"/>
      <c r="AW569" s="360"/>
      <c r="AX569" s="360"/>
      <c r="AY569" s="360"/>
      <c r="AZ569" s="360"/>
      <c r="BA569" s="360"/>
      <c r="BB569" s="360"/>
      <c r="BC569" s="360"/>
    </row>
    <row r="570">
      <c r="A570" s="125"/>
      <c r="B570" s="189"/>
      <c r="C570" s="124"/>
      <c r="D570" s="124"/>
      <c r="E570" s="124"/>
      <c r="F570" s="125"/>
      <c r="G570" s="189"/>
      <c r="H570" s="124"/>
      <c r="I570" s="124"/>
      <c r="J570" s="124"/>
      <c r="K570" s="102"/>
      <c r="L570" s="189"/>
      <c r="M570" s="124"/>
      <c r="N570" s="124"/>
      <c r="O570" s="124"/>
      <c r="P570" s="102"/>
      <c r="Q570" s="161"/>
      <c r="R570" s="124"/>
      <c r="S570" s="124"/>
      <c r="T570" s="124"/>
      <c r="U570" s="125"/>
      <c r="V570" s="189"/>
      <c r="W570" s="124"/>
      <c r="X570" s="124"/>
      <c r="Y570" s="124"/>
      <c r="Z570" s="125"/>
      <c r="AA570" s="189"/>
      <c r="AB570" s="124"/>
      <c r="AC570" s="124"/>
      <c r="AD570" s="124"/>
      <c r="AE570" s="125"/>
      <c r="AF570" s="189"/>
      <c r="AG570" s="124"/>
      <c r="AH570" s="124"/>
      <c r="AI570" s="124"/>
      <c r="AJ570" s="125"/>
      <c r="AK570" s="189"/>
      <c r="AL570" s="124"/>
      <c r="AM570" s="124"/>
      <c r="AN570" s="124"/>
      <c r="AO570" s="360"/>
      <c r="AP570" s="360"/>
      <c r="AQ570" s="360"/>
      <c r="AR570" s="360"/>
      <c r="AS570" s="360"/>
      <c r="AT570" s="360"/>
      <c r="AU570" s="360"/>
      <c r="AV570" s="360"/>
      <c r="AW570" s="360"/>
      <c r="AX570" s="360"/>
      <c r="AY570" s="360"/>
      <c r="AZ570" s="360"/>
      <c r="BA570" s="360"/>
      <c r="BB570" s="360"/>
      <c r="BC570" s="360"/>
    </row>
    <row r="571">
      <c r="A571" s="125"/>
      <c r="B571" s="189"/>
      <c r="C571" s="124"/>
      <c r="D571" s="124"/>
      <c r="E571" s="124"/>
      <c r="F571" s="125"/>
      <c r="G571" s="189"/>
      <c r="H571" s="124"/>
      <c r="I571" s="124"/>
      <c r="J571" s="124"/>
      <c r="K571" s="102"/>
      <c r="L571" s="189"/>
      <c r="M571" s="124"/>
      <c r="N571" s="124"/>
      <c r="O571" s="124"/>
      <c r="P571" s="102"/>
      <c r="Q571" s="161"/>
      <c r="R571" s="124"/>
      <c r="S571" s="124"/>
      <c r="T571" s="124"/>
      <c r="U571" s="125"/>
      <c r="V571" s="189"/>
      <c r="W571" s="124"/>
      <c r="X571" s="124"/>
      <c r="Y571" s="124"/>
      <c r="Z571" s="125"/>
      <c r="AA571" s="189"/>
      <c r="AB571" s="124"/>
      <c r="AC571" s="124"/>
      <c r="AD571" s="124"/>
      <c r="AE571" s="125"/>
      <c r="AF571" s="189"/>
      <c r="AG571" s="124"/>
      <c r="AH571" s="124"/>
      <c r="AI571" s="124"/>
      <c r="AJ571" s="125"/>
      <c r="AK571" s="189"/>
      <c r="AL571" s="124"/>
      <c r="AM571" s="124"/>
      <c r="AN571" s="124"/>
      <c r="AO571" s="360"/>
      <c r="AP571" s="360"/>
      <c r="AQ571" s="360"/>
      <c r="AR571" s="360"/>
      <c r="AS571" s="360"/>
      <c r="AT571" s="360"/>
      <c r="AU571" s="360"/>
      <c r="AV571" s="360"/>
      <c r="AW571" s="360"/>
      <c r="AX571" s="360"/>
      <c r="AY571" s="360"/>
      <c r="AZ571" s="360"/>
      <c r="BA571" s="360"/>
      <c r="BB571" s="360"/>
      <c r="BC571" s="360"/>
    </row>
    <row r="572">
      <c r="A572" s="125"/>
      <c r="B572" s="189"/>
      <c r="C572" s="124"/>
      <c r="D572" s="124"/>
      <c r="E572" s="124"/>
      <c r="F572" s="125"/>
      <c r="G572" s="189"/>
      <c r="H572" s="124"/>
      <c r="I572" s="124"/>
      <c r="J572" s="124"/>
      <c r="K572" s="102"/>
      <c r="L572" s="189"/>
      <c r="M572" s="124"/>
      <c r="N572" s="124"/>
      <c r="O572" s="124"/>
      <c r="P572" s="102"/>
      <c r="Q572" s="161"/>
      <c r="R572" s="124"/>
      <c r="S572" s="124"/>
      <c r="T572" s="124"/>
      <c r="U572" s="125"/>
      <c r="V572" s="189"/>
      <c r="W572" s="124"/>
      <c r="X572" s="124"/>
      <c r="Y572" s="124"/>
      <c r="Z572" s="125"/>
      <c r="AA572" s="189"/>
      <c r="AB572" s="124"/>
      <c r="AC572" s="124"/>
      <c r="AD572" s="124"/>
      <c r="AE572" s="125"/>
      <c r="AF572" s="189"/>
      <c r="AG572" s="124"/>
      <c r="AH572" s="124"/>
      <c r="AI572" s="124"/>
      <c r="AJ572" s="125"/>
      <c r="AK572" s="189"/>
      <c r="AL572" s="124"/>
      <c r="AM572" s="124"/>
      <c r="AN572" s="124"/>
      <c r="AO572" s="360"/>
      <c r="AP572" s="360"/>
      <c r="AQ572" s="360"/>
      <c r="AR572" s="360"/>
      <c r="AS572" s="360"/>
      <c r="AT572" s="360"/>
      <c r="AU572" s="360"/>
      <c r="AV572" s="360"/>
      <c r="AW572" s="360"/>
      <c r="AX572" s="360"/>
      <c r="AY572" s="360"/>
      <c r="AZ572" s="360"/>
      <c r="BA572" s="360"/>
      <c r="BB572" s="360"/>
      <c r="BC572" s="360"/>
    </row>
    <row r="573">
      <c r="A573" s="125"/>
      <c r="B573" s="189"/>
      <c r="C573" s="124"/>
      <c r="D573" s="124"/>
      <c r="E573" s="124"/>
      <c r="F573" s="125"/>
      <c r="G573" s="189"/>
      <c r="H573" s="124"/>
      <c r="I573" s="124"/>
      <c r="J573" s="124"/>
      <c r="K573" s="102"/>
      <c r="L573" s="189"/>
      <c r="M573" s="124"/>
      <c r="N573" s="124"/>
      <c r="O573" s="124"/>
      <c r="P573" s="102"/>
      <c r="Q573" s="161"/>
      <c r="R573" s="124"/>
      <c r="S573" s="124"/>
      <c r="T573" s="124"/>
      <c r="U573" s="125"/>
      <c r="V573" s="189"/>
      <c r="W573" s="124"/>
      <c r="X573" s="124"/>
      <c r="Y573" s="124"/>
      <c r="Z573" s="125"/>
      <c r="AA573" s="189"/>
      <c r="AB573" s="124"/>
      <c r="AC573" s="124"/>
      <c r="AD573" s="124"/>
      <c r="AE573" s="125"/>
      <c r="AF573" s="189"/>
      <c r="AG573" s="124"/>
      <c r="AH573" s="124"/>
      <c r="AI573" s="124"/>
      <c r="AJ573" s="125"/>
      <c r="AK573" s="189"/>
      <c r="AL573" s="124"/>
      <c r="AM573" s="124"/>
      <c r="AN573" s="124"/>
      <c r="AO573" s="360"/>
      <c r="AP573" s="360"/>
      <c r="AQ573" s="360"/>
      <c r="AR573" s="360"/>
      <c r="AS573" s="360"/>
      <c r="AT573" s="360"/>
      <c r="AU573" s="360"/>
      <c r="AV573" s="360"/>
      <c r="AW573" s="360"/>
      <c r="AX573" s="360"/>
      <c r="AY573" s="360"/>
      <c r="AZ573" s="360"/>
      <c r="BA573" s="360"/>
      <c r="BB573" s="360"/>
      <c r="BC573" s="360"/>
    </row>
    <row r="574">
      <c r="A574" s="125"/>
      <c r="B574" s="189"/>
      <c r="C574" s="124"/>
      <c r="D574" s="124"/>
      <c r="E574" s="124"/>
      <c r="F574" s="125"/>
      <c r="G574" s="189"/>
      <c r="H574" s="124"/>
      <c r="I574" s="124"/>
      <c r="J574" s="124"/>
      <c r="K574" s="102"/>
      <c r="L574" s="189"/>
      <c r="M574" s="124"/>
      <c r="N574" s="124"/>
      <c r="O574" s="124"/>
      <c r="P574" s="102"/>
      <c r="Q574" s="161"/>
      <c r="R574" s="124"/>
      <c r="S574" s="124"/>
      <c r="T574" s="124"/>
      <c r="U574" s="125"/>
      <c r="V574" s="189"/>
      <c r="W574" s="124"/>
      <c r="X574" s="124"/>
      <c r="Y574" s="124"/>
      <c r="Z574" s="125"/>
      <c r="AA574" s="189"/>
      <c r="AB574" s="124"/>
      <c r="AC574" s="124"/>
      <c r="AD574" s="124"/>
      <c r="AE574" s="125"/>
      <c r="AF574" s="189"/>
      <c r="AG574" s="124"/>
      <c r="AH574" s="124"/>
      <c r="AI574" s="124"/>
      <c r="AJ574" s="125"/>
      <c r="AK574" s="189"/>
      <c r="AL574" s="124"/>
      <c r="AM574" s="124"/>
      <c r="AN574" s="124"/>
      <c r="AO574" s="360"/>
      <c r="AP574" s="360"/>
      <c r="AQ574" s="360"/>
      <c r="AR574" s="360"/>
      <c r="AS574" s="360"/>
      <c r="AT574" s="360"/>
      <c r="AU574" s="360"/>
      <c r="AV574" s="360"/>
      <c r="AW574" s="360"/>
      <c r="AX574" s="360"/>
      <c r="AY574" s="360"/>
      <c r="AZ574" s="360"/>
      <c r="BA574" s="360"/>
      <c r="BB574" s="360"/>
      <c r="BC574" s="360"/>
    </row>
    <row r="575">
      <c r="A575" s="125"/>
      <c r="B575" s="189"/>
      <c r="C575" s="124"/>
      <c r="D575" s="124"/>
      <c r="E575" s="124"/>
      <c r="F575" s="125"/>
      <c r="G575" s="189"/>
      <c r="H575" s="124"/>
      <c r="I575" s="124"/>
      <c r="J575" s="124"/>
      <c r="K575" s="102"/>
      <c r="L575" s="189"/>
      <c r="M575" s="124"/>
      <c r="N575" s="124"/>
      <c r="O575" s="124"/>
      <c r="P575" s="102"/>
      <c r="Q575" s="161"/>
      <c r="R575" s="124"/>
      <c r="S575" s="124"/>
      <c r="T575" s="124"/>
      <c r="U575" s="125"/>
      <c r="V575" s="189"/>
      <c r="W575" s="124"/>
      <c r="X575" s="124"/>
      <c r="Y575" s="124"/>
      <c r="Z575" s="125"/>
      <c r="AA575" s="189"/>
      <c r="AB575" s="124"/>
      <c r="AC575" s="124"/>
      <c r="AD575" s="124"/>
      <c r="AE575" s="125"/>
      <c r="AF575" s="189"/>
      <c r="AG575" s="124"/>
      <c r="AH575" s="124"/>
      <c r="AI575" s="124"/>
      <c r="AJ575" s="125"/>
      <c r="AK575" s="189"/>
      <c r="AL575" s="124"/>
      <c r="AM575" s="124"/>
      <c r="AN575" s="124"/>
      <c r="AO575" s="360"/>
      <c r="AP575" s="360"/>
      <c r="AQ575" s="360"/>
      <c r="AR575" s="360"/>
      <c r="AS575" s="360"/>
      <c r="AT575" s="360"/>
      <c r="AU575" s="360"/>
      <c r="AV575" s="360"/>
      <c r="AW575" s="360"/>
      <c r="AX575" s="360"/>
      <c r="AY575" s="360"/>
      <c r="AZ575" s="360"/>
      <c r="BA575" s="360"/>
      <c r="BB575" s="360"/>
      <c r="BC575" s="360"/>
    </row>
    <row r="576">
      <c r="A576" s="125"/>
      <c r="B576" s="189"/>
      <c r="C576" s="124"/>
      <c r="D576" s="124"/>
      <c r="E576" s="124"/>
      <c r="F576" s="125"/>
      <c r="G576" s="189"/>
      <c r="H576" s="124"/>
      <c r="I576" s="124"/>
      <c r="J576" s="124"/>
      <c r="K576" s="102"/>
      <c r="L576" s="189"/>
      <c r="M576" s="124"/>
      <c r="N576" s="124"/>
      <c r="O576" s="124"/>
      <c r="P576" s="102"/>
      <c r="Q576" s="161"/>
      <c r="R576" s="124"/>
      <c r="S576" s="124"/>
      <c r="T576" s="124"/>
      <c r="U576" s="125"/>
      <c r="V576" s="189"/>
      <c r="W576" s="124"/>
      <c r="X576" s="124"/>
      <c r="Y576" s="124"/>
      <c r="Z576" s="125"/>
      <c r="AA576" s="189"/>
      <c r="AB576" s="124"/>
      <c r="AC576" s="124"/>
      <c r="AD576" s="124"/>
      <c r="AE576" s="125"/>
      <c r="AF576" s="189"/>
      <c r="AG576" s="124"/>
      <c r="AH576" s="124"/>
      <c r="AI576" s="124"/>
      <c r="AJ576" s="125"/>
      <c r="AK576" s="189"/>
      <c r="AL576" s="124"/>
      <c r="AM576" s="124"/>
      <c r="AN576" s="124"/>
      <c r="AO576" s="360"/>
      <c r="AP576" s="360"/>
      <c r="AQ576" s="360"/>
      <c r="AR576" s="360"/>
      <c r="AS576" s="360"/>
      <c r="AT576" s="360"/>
      <c r="AU576" s="360"/>
      <c r="AV576" s="360"/>
      <c r="AW576" s="360"/>
      <c r="AX576" s="360"/>
      <c r="AY576" s="360"/>
      <c r="AZ576" s="360"/>
      <c r="BA576" s="360"/>
      <c r="BB576" s="360"/>
      <c r="BC576" s="360"/>
    </row>
    <row r="577">
      <c r="A577" s="125"/>
      <c r="B577" s="189"/>
      <c r="C577" s="124"/>
      <c r="D577" s="124"/>
      <c r="E577" s="124"/>
      <c r="F577" s="125"/>
      <c r="G577" s="189"/>
      <c r="H577" s="124"/>
      <c r="I577" s="124"/>
      <c r="J577" s="124"/>
      <c r="K577" s="102"/>
      <c r="L577" s="189"/>
      <c r="M577" s="124"/>
      <c r="N577" s="124"/>
      <c r="O577" s="124"/>
      <c r="P577" s="102"/>
      <c r="Q577" s="161"/>
      <c r="R577" s="124"/>
      <c r="S577" s="124"/>
      <c r="T577" s="124"/>
      <c r="U577" s="125"/>
      <c r="V577" s="189"/>
      <c r="W577" s="124"/>
      <c r="X577" s="124"/>
      <c r="Y577" s="124"/>
      <c r="Z577" s="125"/>
      <c r="AA577" s="189"/>
      <c r="AB577" s="124"/>
      <c r="AC577" s="124"/>
      <c r="AD577" s="124"/>
      <c r="AE577" s="125"/>
      <c r="AF577" s="189"/>
      <c r="AG577" s="124"/>
      <c r="AH577" s="124"/>
      <c r="AI577" s="124"/>
      <c r="AJ577" s="125"/>
      <c r="AK577" s="189"/>
      <c r="AL577" s="124"/>
      <c r="AM577" s="124"/>
      <c r="AN577" s="124"/>
      <c r="AO577" s="360"/>
      <c r="AP577" s="360"/>
      <c r="AQ577" s="360"/>
      <c r="AR577" s="360"/>
      <c r="AS577" s="360"/>
      <c r="AT577" s="360"/>
      <c r="AU577" s="360"/>
      <c r="AV577" s="360"/>
      <c r="AW577" s="360"/>
      <c r="AX577" s="360"/>
      <c r="AY577" s="360"/>
      <c r="AZ577" s="360"/>
      <c r="BA577" s="360"/>
      <c r="BB577" s="360"/>
      <c r="BC577" s="360"/>
    </row>
    <row r="578">
      <c r="A578" s="125"/>
      <c r="B578" s="189"/>
      <c r="C578" s="124"/>
      <c r="D578" s="124"/>
      <c r="E578" s="124"/>
      <c r="F578" s="125"/>
      <c r="G578" s="189"/>
      <c r="H578" s="124"/>
      <c r="I578" s="124"/>
      <c r="J578" s="124"/>
      <c r="K578" s="102"/>
      <c r="L578" s="189"/>
      <c r="M578" s="124"/>
      <c r="N578" s="124"/>
      <c r="O578" s="124"/>
      <c r="P578" s="102"/>
      <c r="Q578" s="161"/>
      <c r="R578" s="124"/>
      <c r="S578" s="124"/>
      <c r="T578" s="124"/>
      <c r="U578" s="125"/>
      <c r="V578" s="189"/>
      <c r="W578" s="124"/>
      <c r="X578" s="124"/>
      <c r="Y578" s="124"/>
      <c r="Z578" s="125"/>
      <c r="AA578" s="189"/>
      <c r="AB578" s="124"/>
      <c r="AC578" s="124"/>
      <c r="AD578" s="124"/>
      <c r="AE578" s="125"/>
      <c r="AF578" s="189"/>
      <c r="AG578" s="124"/>
      <c r="AH578" s="124"/>
      <c r="AI578" s="124"/>
      <c r="AJ578" s="125"/>
      <c r="AK578" s="189"/>
      <c r="AL578" s="124"/>
      <c r="AM578" s="124"/>
      <c r="AN578" s="124"/>
      <c r="AO578" s="360"/>
      <c r="AP578" s="360"/>
      <c r="AQ578" s="360"/>
      <c r="AR578" s="360"/>
      <c r="AS578" s="360"/>
      <c r="AT578" s="360"/>
      <c r="AU578" s="360"/>
      <c r="AV578" s="360"/>
      <c r="AW578" s="360"/>
      <c r="AX578" s="360"/>
      <c r="AY578" s="360"/>
      <c r="AZ578" s="360"/>
      <c r="BA578" s="360"/>
      <c r="BB578" s="360"/>
      <c r="BC578" s="360"/>
    </row>
    <row r="579">
      <c r="A579" s="125"/>
      <c r="B579" s="189"/>
      <c r="C579" s="124"/>
      <c r="D579" s="124"/>
      <c r="E579" s="124"/>
      <c r="F579" s="125"/>
      <c r="G579" s="189"/>
      <c r="H579" s="124"/>
      <c r="I579" s="124"/>
      <c r="J579" s="124"/>
      <c r="K579" s="102"/>
      <c r="L579" s="189"/>
      <c r="M579" s="124"/>
      <c r="N579" s="124"/>
      <c r="O579" s="124"/>
      <c r="P579" s="102"/>
      <c r="Q579" s="161"/>
      <c r="R579" s="124"/>
      <c r="S579" s="124"/>
      <c r="T579" s="124"/>
      <c r="U579" s="125"/>
      <c r="V579" s="189"/>
      <c r="W579" s="124"/>
      <c r="X579" s="124"/>
      <c r="Y579" s="124"/>
      <c r="Z579" s="125"/>
      <c r="AA579" s="189"/>
      <c r="AB579" s="124"/>
      <c r="AC579" s="124"/>
      <c r="AD579" s="124"/>
      <c r="AE579" s="125"/>
      <c r="AF579" s="189"/>
      <c r="AG579" s="124"/>
      <c r="AH579" s="124"/>
      <c r="AI579" s="124"/>
      <c r="AJ579" s="125"/>
      <c r="AK579" s="189"/>
      <c r="AL579" s="124"/>
      <c r="AM579" s="124"/>
      <c r="AN579" s="124"/>
      <c r="AO579" s="360"/>
      <c r="AP579" s="360"/>
      <c r="AQ579" s="360"/>
      <c r="AR579" s="360"/>
      <c r="AS579" s="360"/>
      <c r="AT579" s="360"/>
      <c r="AU579" s="360"/>
      <c r="AV579" s="360"/>
      <c r="AW579" s="360"/>
      <c r="AX579" s="360"/>
      <c r="AY579" s="360"/>
      <c r="AZ579" s="360"/>
      <c r="BA579" s="360"/>
      <c r="BB579" s="360"/>
      <c r="BC579" s="360"/>
    </row>
    <row r="580">
      <c r="A580" s="125"/>
      <c r="B580" s="189"/>
      <c r="C580" s="124"/>
      <c r="D580" s="124"/>
      <c r="E580" s="124"/>
      <c r="F580" s="125"/>
      <c r="G580" s="189"/>
      <c r="H580" s="124"/>
      <c r="I580" s="124"/>
      <c r="J580" s="124"/>
      <c r="K580" s="102"/>
      <c r="L580" s="189"/>
      <c r="M580" s="124"/>
      <c r="N580" s="124"/>
      <c r="O580" s="124"/>
      <c r="P580" s="102"/>
      <c r="Q580" s="161"/>
      <c r="R580" s="124"/>
      <c r="S580" s="124"/>
      <c r="T580" s="124"/>
      <c r="U580" s="125"/>
      <c r="V580" s="189"/>
      <c r="W580" s="124"/>
      <c r="X580" s="124"/>
      <c r="Y580" s="124"/>
      <c r="Z580" s="125"/>
      <c r="AA580" s="189"/>
      <c r="AB580" s="124"/>
      <c r="AC580" s="124"/>
      <c r="AD580" s="124"/>
      <c r="AE580" s="125"/>
      <c r="AF580" s="189"/>
      <c r="AG580" s="124"/>
      <c r="AH580" s="124"/>
      <c r="AI580" s="124"/>
      <c r="AJ580" s="125"/>
      <c r="AK580" s="189"/>
      <c r="AL580" s="124"/>
      <c r="AM580" s="124"/>
      <c r="AN580" s="124"/>
      <c r="AO580" s="360"/>
      <c r="AP580" s="360"/>
      <c r="AQ580" s="360"/>
      <c r="AR580" s="360"/>
      <c r="AS580" s="360"/>
      <c r="AT580" s="360"/>
      <c r="AU580" s="360"/>
      <c r="AV580" s="360"/>
      <c r="AW580" s="360"/>
      <c r="AX580" s="360"/>
      <c r="AY580" s="360"/>
      <c r="AZ580" s="360"/>
      <c r="BA580" s="360"/>
      <c r="BB580" s="360"/>
      <c r="BC580" s="360"/>
    </row>
    <row r="581">
      <c r="A581" s="125"/>
      <c r="B581" s="189"/>
      <c r="C581" s="124"/>
      <c r="D581" s="124"/>
      <c r="E581" s="124"/>
      <c r="F581" s="125"/>
      <c r="G581" s="189"/>
      <c r="H581" s="124"/>
      <c r="I581" s="124"/>
      <c r="J581" s="124"/>
      <c r="K581" s="102"/>
      <c r="L581" s="189"/>
      <c r="M581" s="124"/>
      <c r="N581" s="124"/>
      <c r="O581" s="124"/>
      <c r="P581" s="102"/>
      <c r="Q581" s="161"/>
      <c r="R581" s="124"/>
      <c r="S581" s="124"/>
      <c r="T581" s="124"/>
      <c r="U581" s="125"/>
      <c r="V581" s="189"/>
      <c r="W581" s="124"/>
      <c r="X581" s="124"/>
      <c r="Y581" s="124"/>
      <c r="Z581" s="125"/>
      <c r="AA581" s="189"/>
      <c r="AB581" s="124"/>
      <c r="AC581" s="124"/>
      <c r="AD581" s="124"/>
      <c r="AE581" s="125"/>
      <c r="AF581" s="189"/>
      <c r="AG581" s="124"/>
      <c r="AH581" s="124"/>
      <c r="AI581" s="124"/>
      <c r="AJ581" s="125"/>
      <c r="AK581" s="189"/>
      <c r="AL581" s="124"/>
      <c r="AM581" s="124"/>
      <c r="AN581" s="124"/>
      <c r="AO581" s="360"/>
      <c r="AP581" s="360"/>
      <c r="AQ581" s="360"/>
      <c r="AR581" s="360"/>
      <c r="AS581" s="360"/>
      <c r="AT581" s="360"/>
      <c r="AU581" s="360"/>
      <c r="AV581" s="360"/>
      <c r="AW581" s="360"/>
      <c r="AX581" s="360"/>
      <c r="AY581" s="360"/>
      <c r="AZ581" s="360"/>
      <c r="BA581" s="360"/>
      <c r="BB581" s="360"/>
      <c r="BC581" s="360"/>
    </row>
    <row r="582">
      <c r="A582" s="125"/>
      <c r="B582" s="189"/>
      <c r="C582" s="124"/>
      <c r="D582" s="124"/>
      <c r="E582" s="124"/>
      <c r="F582" s="125"/>
      <c r="G582" s="189"/>
      <c r="H582" s="124"/>
      <c r="I582" s="124"/>
      <c r="J582" s="124"/>
      <c r="K582" s="102"/>
      <c r="L582" s="189"/>
      <c r="M582" s="124"/>
      <c r="N582" s="124"/>
      <c r="O582" s="124"/>
      <c r="P582" s="102"/>
      <c r="Q582" s="161"/>
      <c r="R582" s="124"/>
      <c r="S582" s="124"/>
      <c r="T582" s="124"/>
      <c r="U582" s="125"/>
      <c r="V582" s="189"/>
      <c r="W582" s="124"/>
      <c r="X582" s="124"/>
      <c r="Y582" s="124"/>
      <c r="Z582" s="125"/>
      <c r="AA582" s="189"/>
      <c r="AB582" s="124"/>
      <c r="AC582" s="124"/>
      <c r="AD582" s="124"/>
      <c r="AE582" s="125"/>
      <c r="AF582" s="189"/>
      <c r="AG582" s="124"/>
      <c r="AH582" s="124"/>
      <c r="AI582" s="124"/>
      <c r="AJ582" s="125"/>
      <c r="AK582" s="189"/>
      <c r="AL582" s="124"/>
      <c r="AM582" s="124"/>
      <c r="AN582" s="124"/>
      <c r="AO582" s="360"/>
      <c r="AP582" s="360"/>
      <c r="AQ582" s="360"/>
      <c r="AR582" s="360"/>
      <c r="AS582" s="360"/>
      <c r="AT582" s="360"/>
      <c r="AU582" s="360"/>
      <c r="AV582" s="360"/>
      <c r="AW582" s="360"/>
      <c r="AX582" s="360"/>
      <c r="AY582" s="360"/>
      <c r="AZ582" s="360"/>
      <c r="BA582" s="360"/>
      <c r="BB582" s="360"/>
      <c r="BC582" s="360"/>
    </row>
    <row r="583">
      <c r="A583" s="125"/>
      <c r="B583" s="189"/>
      <c r="C583" s="124"/>
      <c r="D583" s="124"/>
      <c r="E583" s="124"/>
      <c r="F583" s="125"/>
      <c r="G583" s="189"/>
      <c r="H583" s="124"/>
      <c r="I583" s="124"/>
      <c r="J583" s="124"/>
      <c r="K583" s="102"/>
      <c r="L583" s="189"/>
      <c r="M583" s="124"/>
      <c r="N583" s="124"/>
      <c r="O583" s="124"/>
      <c r="P583" s="102"/>
      <c r="Q583" s="161"/>
      <c r="R583" s="124"/>
      <c r="S583" s="124"/>
      <c r="T583" s="124"/>
      <c r="U583" s="125"/>
      <c r="V583" s="189"/>
      <c r="W583" s="124"/>
      <c r="X583" s="124"/>
      <c r="Y583" s="124"/>
      <c r="Z583" s="125"/>
      <c r="AA583" s="189"/>
      <c r="AB583" s="124"/>
      <c r="AC583" s="124"/>
      <c r="AD583" s="124"/>
      <c r="AE583" s="125"/>
      <c r="AF583" s="189"/>
      <c r="AG583" s="124"/>
      <c r="AH583" s="124"/>
      <c r="AI583" s="124"/>
      <c r="AJ583" s="125"/>
      <c r="AK583" s="189"/>
      <c r="AL583" s="124"/>
      <c r="AM583" s="124"/>
      <c r="AN583" s="124"/>
      <c r="AO583" s="360"/>
      <c r="AP583" s="360"/>
      <c r="AQ583" s="360"/>
      <c r="AR583" s="360"/>
      <c r="AS583" s="360"/>
      <c r="AT583" s="360"/>
      <c r="AU583" s="360"/>
      <c r="AV583" s="360"/>
      <c r="AW583" s="360"/>
      <c r="AX583" s="360"/>
      <c r="AY583" s="360"/>
      <c r="AZ583" s="360"/>
      <c r="BA583" s="360"/>
      <c r="BB583" s="360"/>
      <c r="BC583" s="360"/>
    </row>
    <row r="584">
      <c r="A584" s="125"/>
      <c r="B584" s="189"/>
      <c r="C584" s="124"/>
      <c r="D584" s="124"/>
      <c r="E584" s="124"/>
      <c r="F584" s="125"/>
      <c r="G584" s="189"/>
      <c r="H584" s="124"/>
      <c r="I584" s="124"/>
      <c r="J584" s="124"/>
      <c r="K584" s="102"/>
      <c r="L584" s="189"/>
      <c r="M584" s="124"/>
      <c r="N584" s="124"/>
      <c r="O584" s="124"/>
      <c r="P584" s="102"/>
      <c r="Q584" s="161"/>
      <c r="R584" s="124"/>
      <c r="S584" s="124"/>
      <c r="T584" s="124"/>
      <c r="U584" s="125"/>
      <c r="V584" s="189"/>
      <c r="W584" s="124"/>
      <c r="X584" s="124"/>
      <c r="Y584" s="124"/>
      <c r="Z584" s="125"/>
      <c r="AA584" s="189"/>
      <c r="AB584" s="124"/>
      <c r="AC584" s="124"/>
      <c r="AD584" s="124"/>
      <c r="AE584" s="125"/>
      <c r="AF584" s="189"/>
      <c r="AG584" s="124"/>
      <c r="AH584" s="124"/>
      <c r="AI584" s="124"/>
      <c r="AJ584" s="125"/>
      <c r="AK584" s="189"/>
      <c r="AL584" s="124"/>
      <c r="AM584" s="124"/>
      <c r="AN584" s="124"/>
      <c r="AO584" s="360"/>
      <c r="AP584" s="360"/>
      <c r="AQ584" s="360"/>
      <c r="AR584" s="360"/>
      <c r="AS584" s="360"/>
      <c r="AT584" s="360"/>
      <c r="AU584" s="360"/>
      <c r="AV584" s="360"/>
      <c r="AW584" s="360"/>
      <c r="AX584" s="360"/>
      <c r="AY584" s="360"/>
      <c r="AZ584" s="360"/>
      <c r="BA584" s="360"/>
      <c r="BB584" s="360"/>
      <c r="BC584" s="360"/>
    </row>
    <row r="585">
      <c r="A585" s="125"/>
      <c r="B585" s="189"/>
      <c r="C585" s="124"/>
      <c r="D585" s="124"/>
      <c r="E585" s="124"/>
      <c r="F585" s="125"/>
      <c r="G585" s="189"/>
      <c r="H585" s="124"/>
      <c r="I585" s="124"/>
      <c r="J585" s="124"/>
      <c r="K585" s="102"/>
      <c r="L585" s="189"/>
      <c r="M585" s="124"/>
      <c r="N585" s="124"/>
      <c r="O585" s="124"/>
      <c r="P585" s="102"/>
      <c r="Q585" s="161"/>
      <c r="R585" s="124"/>
      <c r="S585" s="124"/>
      <c r="T585" s="124"/>
      <c r="U585" s="125"/>
      <c r="V585" s="189"/>
      <c r="W585" s="124"/>
      <c r="X585" s="124"/>
      <c r="Y585" s="124"/>
      <c r="Z585" s="125"/>
      <c r="AA585" s="189"/>
      <c r="AB585" s="124"/>
      <c r="AC585" s="124"/>
      <c r="AD585" s="124"/>
      <c r="AE585" s="125"/>
      <c r="AF585" s="189"/>
      <c r="AG585" s="124"/>
      <c r="AH585" s="124"/>
      <c r="AI585" s="124"/>
      <c r="AJ585" s="125"/>
      <c r="AK585" s="189"/>
      <c r="AL585" s="124"/>
      <c r="AM585" s="124"/>
      <c r="AN585" s="124"/>
      <c r="AO585" s="360"/>
      <c r="AP585" s="360"/>
      <c r="AQ585" s="360"/>
      <c r="AR585" s="360"/>
      <c r="AS585" s="360"/>
      <c r="AT585" s="360"/>
      <c r="AU585" s="360"/>
      <c r="AV585" s="360"/>
      <c r="AW585" s="360"/>
      <c r="AX585" s="360"/>
      <c r="AY585" s="360"/>
      <c r="AZ585" s="360"/>
      <c r="BA585" s="360"/>
      <c r="BB585" s="360"/>
      <c r="BC585" s="360"/>
    </row>
    <row r="586">
      <c r="A586" s="125"/>
      <c r="B586" s="189"/>
      <c r="C586" s="124"/>
      <c r="D586" s="124"/>
      <c r="E586" s="124"/>
      <c r="F586" s="125"/>
      <c r="G586" s="189"/>
      <c r="H586" s="124"/>
      <c r="I586" s="124"/>
      <c r="J586" s="124"/>
      <c r="K586" s="102"/>
      <c r="L586" s="189"/>
      <c r="M586" s="124"/>
      <c r="N586" s="124"/>
      <c r="O586" s="124"/>
      <c r="P586" s="102"/>
      <c r="Q586" s="161"/>
      <c r="R586" s="124"/>
      <c r="S586" s="124"/>
      <c r="T586" s="124"/>
      <c r="U586" s="125"/>
      <c r="V586" s="189"/>
      <c r="W586" s="124"/>
      <c r="X586" s="124"/>
      <c r="Y586" s="124"/>
      <c r="Z586" s="125"/>
      <c r="AA586" s="189"/>
      <c r="AB586" s="124"/>
      <c r="AC586" s="124"/>
      <c r="AD586" s="124"/>
      <c r="AE586" s="125"/>
      <c r="AF586" s="189"/>
      <c r="AG586" s="124"/>
      <c r="AH586" s="124"/>
      <c r="AI586" s="124"/>
      <c r="AJ586" s="125"/>
      <c r="AK586" s="189"/>
      <c r="AL586" s="124"/>
      <c r="AM586" s="124"/>
      <c r="AN586" s="124"/>
      <c r="AO586" s="360"/>
      <c r="AP586" s="360"/>
      <c r="AQ586" s="360"/>
      <c r="AR586" s="360"/>
      <c r="AS586" s="360"/>
      <c r="AT586" s="360"/>
      <c r="AU586" s="360"/>
      <c r="AV586" s="360"/>
      <c r="AW586" s="360"/>
      <c r="AX586" s="360"/>
      <c r="AY586" s="360"/>
      <c r="AZ586" s="360"/>
      <c r="BA586" s="360"/>
      <c r="BB586" s="360"/>
      <c r="BC586" s="360"/>
    </row>
    <row r="587">
      <c r="A587" s="125"/>
      <c r="B587" s="189"/>
      <c r="C587" s="124"/>
      <c r="D587" s="124"/>
      <c r="E587" s="124"/>
      <c r="F587" s="125"/>
      <c r="G587" s="189"/>
      <c r="H587" s="124"/>
      <c r="I587" s="124"/>
      <c r="J587" s="124"/>
      <c r="K587" s="102"/>
      <c r="L587" s="189"/>
      <c r="M587" s="124"/>
      <c r="N587" s="124"/>
      <c r="O587" s="124"/>
      <c r="P587" s="102"/>
      <c r="Q587" s="161"/>
      <c r="R587" s="124"/>
      <c r="S587" s="124"/>
      <c r="T587" s="124"/>
      <c r="U587" s="125"/>
      <c r="V587" s="189"/>
      <c r="W587" s="124"/>
      <c r="X587" s="124"/>
      <c r="Y587" s="124"/>
      <c r="Z587" s="125"/>
      <c r="AA587" s="189"/>
      <c r="AB587" s="124"/>
      <c r="AC587" s="124"/>
      <c r="AD587" s="124"/>
      <c r="AE587" s="125"/>
      <c r="AF587" s="189"/>
      <c r="AG587" s="124"/>
      <c r="AH587" s="124"/>
      <c r="AI587" s="124"/>
      <c r="AJ587" s="125"/>
      <c r="AK587" s="189"/>
      <c r="AL587" s="124"/>
      <c r="AM587" s="124"/>
      <c r="AN587" s="124"/>
      <c r="AO587" s="360"/>
      <c r="AP587" s="360"/>
      <c r="AQ587" s="360"/>
      <c r="AR587" s="360"/>
      <c r="AS587" s="360"/>
      <c r="AT587" s="360"/>
      <c r="AU587" s="360"/>
      <c r="AV587" s="360"/>
      <c r="AW587" s="360"/>
      <c r="AX587" s="360"/>
      <c r="AY587" s="360"/>
      <c r="AZ587" s="360"/>
      <c r="BA587" s="360"/>
      <c r="BB587" s="360"/>
      <c r="BC587" s="360"/>
    </row>
    <row r="588">
      <c r="A588" s="125"/>
      <c r="B588" s="189"/>
      <c r="C588" s="124"/>
      <c r="D588" s="124"/>
      <c r="E588" s="124"/>
      <c r="F588" s="125"/>
      <c r="G588" s="189"/>
      <c r="H588" s="124"/>
      <c r="I588" s="124"/>
      <c r="J588" s="124"/>
      <c r="K588" s="102"/>
      <c r="L588" s="189"/>
      <c r="M588" s="124"/>
      <c r="N588" s="124"/>
      <c r="O588" s="124"/>
      <c r="P588" s="102"/>
      <c r="Q588" s="161"/>
      <c r="R588" s="124"/>
      <c r="S588" s="124"/>
      <c r="T588" s="124"/>
      <c r="U588" s="125"/>
      <c r="V588" s="189"/>
      <c r="W588" s="124"/>
      <c r="X588" s="124"/>
      <c r="Y588" s="124"/>
      <c r="Z588" s="125"/>
      <c r="AA588" s="189"/>
      <c r="AB588" s="124"/>
      <c r="AC588" s="124"/>
      <c r="AD588" s="124"/>
      <c r="AE588" s="125"/>
      <c r="AF588" s="189"/>
      <c r="AG588" s="124"/>
      <c r="AH588" s="124"/>
      <c r="AI588" s="124"/>
      <c r="AJ588" s="125"/>
      <c r="AK588" s="189"/>
      <c r="AL588" s="124"/>
      <c r="AM588" s="124"/>
      <c r="AN588" s="124"/>
      <c r="AO588" s="360"/>
      <c r="AP588" s="360"/>
      <c r="AQ588" s="360"/>
      <c r="AR588" s="360"/>
      <c r="AS588" s="360"/>
      <c r="AT588" s="360"/>
      <c r="AU588" s="360"/>
      <c r="AV588" s="360"/>
      <c r="AW588" s="360"/>
      <c r="AX588" s="360"/>
      <c r="AY588" s="360"/>
      <c r="AZ588" s="360"/>
      <c r="BA588" s="360"/>
      <c r="BB588" s="360"/>
      <c r="BC588" s="360"/>
    </row>
    <row r="589">
      <c r="A589" s="125"/>
      <c r="B589" s="189"/>
      <c r="C589" s="124"/>
      <c r="D589" s="124"/>
      <c r="E589" s="124"/>
      <c r="F589" s="125"/>
      <c r="G589" s="189"/>
      <c r="H589" s="124"/>
      <c r="I589" s="124"/>
      <c r="J589" s="124"/>
      <c r="K589" s="102"/>
      <c r="L589" s="189"/>
      <c r="M589" s="124"/>
      <c r="N589" s="124"/>
      <c r="O589" s="124"/>
      <c r="P589" s="102"/>
      <c r="Q589" s="161"/>
      <c r="R589" s="124"/>
      <c r="S589" s="124"/>
      <c r="T589" s="124"/>
      <c r="U589" s="125"/>
      <c r="V589" s="189"/>
      <c r="W589" s="124"/>
      <c r="X589" s="124"/>
      <c r="Y589" s="124"/>
      <c r="Z589" s="125"/>
      <c r="AA589" s="189"/>
      <c r="AB589" s="124"/>
      <c r="AC589" s="124"/>
      <c r="AD589" s="124"/>
      <c r="AE589" s="125"/>
      <c r="AF589" s="189"/>
      <c r="AG589" s="124"/>
      <c r="AH589" s="124"/>
      <c r="AI589" s="124"/>
      <c r="AJ589" s="125"/>
      <c r="AK589" s="189"/>
      <c r="AL589" s="124"/>
      <c r="AM589" s="124"/>
      <c r="AN589" s="124"/>
      <c r="AO589" s="360"/>
      <c r="AP589" s="360"/>
      <c r="AQ589" s="360"/>
      <c r="AR589" s="360"/>
      <c r="AS589" s="360"/>
      <c r="AT589" s="360"/>
      <c r="AU589" s="360"/>
      <c r="AV589" s="360"/>
      <c r="AW589" s="360"/>
      <c r="AX589" s="360"/>
      <c r="AY589" s="360"/>
      <c r="AZ589" s="360"/>
      <c r="BA589" s="360"/>
      <c r="BB589" s="360"/>
      <c r="BC589" s="360"/>
    </row>
    <row r="590">
      <c r="A590" s="125"/>
      <c r="B590" s="189"/>
      <c r="C590" s="124"/>
      <c r="D590" s="124"/>
      <c r="E590" s="124"/>
      <c r="F590" s="125"/>
      <c r="G590" s="189"/>
      <c r="H590" s="124"/>
      <c r="I590" s="124"/>
      <c r="J590" s="124"/>
      <c r="K590" s="102"/>
      <c r="L590" s="189"/>
      <c r="M590" s="124"/>
      <c r="N590" s="124"/>
      <c r="O590" s="124"/>
      <c r="P590" s="102"/>
      <c r="Q590" s="161"/>
      <c r="R590" s="124"/>
      <c r="S590" s="124"/>
      <c r="T590" s="124"/>
      <c r="U590" s="125"/>
      <c r="V590" s="189"/>
      <c r="W590" s="124"/>
      <c r="X590" s="124"/>
      <c r="Y590" s="124"/>
      <c r="Z590" s="125"/>
      <c r="AA590" s="189"/>
      <c r="AB590" s="124"/>
      <c r="AC590" s="124"/>
      <c r="AD590" s="124"/>
      <c r="AE590" s="125"/>
      <c r="AF590" s="189"/>
      <c r="AG590" s="124"/>
      <c r="AH590" s="124"/>
      <c r="AI590" s="124"/>
      <c r="AJ590" s="125"/>
      <c r="AK590" s="189"/>
      <c r="AL590" s="124"/>
      <c r="AM590" s="124"/>
      <c r="AN590" s="124"/>
      <c r="AO590" s="360"/>
      <c r="AP590" s="360"/>
      <c r="AQ590" s="360"/>
      <c r="AR590" s="360"/>
      <c r="AS590" s="360"/>
      <c r="AT590" s="360"/>
      <c r="AU590" s="360"/>
      <c r="AV590" s="360"/>
      <c r="AW590" s="360"/>
      <c r="AX590" s="360"/>
      <c r="AY590" s="360"/>
      <c r="AZ590" s="360"/>
      <c r="BA590" s="360"/>
      <c r="BB590" s="360"/>
      <c r="BC590" s="360"/>
    </row>
    <row r="591">
      <c r="A591" s="125"/>
      <c r="B591" s="189"/>
      <c r="C591" s="124"/>
      <c r="D591" s="124"/>
      <c r="E591" s="124"/>
      <c r="F591" s="125"/>
      <c r="G591" s="189"/>
      <c r="H591" s="124"/>
      <c r="I591" s="124"/>
      <c r="J591" s="124"/>
      <c r="K591" s="102"/>
      <c r="L591" s="189"/>
      <c r="M591" s="124"/>
      <c r="N591" s="124"/>
      <c r="O591" s="124"/>
      <c r="P591" s="102"/>
      <c r="Q591" s="161"/>
      <c r="R591" s="124"/>
      <c r="S591" s="124"/>
      <c r="T591" s="124"/>
      <c r="U591" s="125"/>
      <c r="V591" s="189"/>
      <c r="W591" s="124"/>
      <c r="X591" s="124"/>
      <c r="Y591" s="124"/>
      <c r="Z591" s="125"/>
      <c r="AA591" s="189"/>
      <c r="AB591" s="124"/>
      <c r="AC591" s="124"/>
      <c r="AD591" s="124"/>
      <c r="AE591" s="125"/>
      <c r="AF591" s="189"/>
      <c r="AG591" s="124"/>
      <c r="AH591" s="124"/>
      <c r="AI591" s="124"/>
      <c r="AJ591" s="125"/>
      <c r="AK591" s="189"/>
      <c r="AL591" s="124"/>
      <c r="AM591" s="124"/>
      <c r="AN591" s="124"/>
      <c r="AO591" s="360"/>
      <c r="AP591" s="360"/>
      <c r="AQ591" s="360"/>
      <c r="AR591" s="360"/>
      <c r="AS591" s="360"/>
      <c r="AT591" s="360"/>
      <c r="AU591" s="360"/>
      <c r="AV591" s="360"/>
      <c r="AW591" s="360"/>
      <c r="AX591" s="360"/>
      <c r="AY591" s="360"/>
      <c r="AZ591" s="360"/>
      <c r="BA591" s="360"/>
      <c r="BB591" s="360"/>
      <c r="BC591" s="360"/>
    </row>
    <row r="592">
      <c r="A592" s="125"/>
      <c r="B592" s="189"/>
      <c r="C592" s="124"/>
      <c r="D592" s="124"/>
      <c r="E592" s="124"/>
      <c r="F592" s="125"/>
      <c r="G592" s="189"/>
      <c r="H592" s="124"/>
      <c r="I592" s="124"/>
      <c r="J592" s="124"/>
      <c r="K592" s="102"/>
      <c r="L592" s="189"/>
      <c r="M592" s="124"/>
      <c r="N592" s="124"/>
      <c r="O592" s="124"/>
      <c r="P592" s="102"/>
      <c r="Q592" s="161"/>
      <c r="R592" s="124"/>
      <c r="S592" s="124"/>
      <c r="T592" s="124"/>
      <c r="U592" s="125"/>
      <c r="V592" s="189"/>
      <c r="W592" s="124"/>
      <c r="X592" s="124"/>
      <c r="Y592" s="124"/>
      <c r="Z592" s="125"/>
      <c r="AA592" s="189"/>
      <c r="AB592" s="124"/>
      <c r="AC592" s="124"/>
      <c r="AD592" s="124"/>
      <c r="AE592" s="125"/>
      <c r="AF592" s="189"/>
      <c r="AG592" s="124"/>
      <c r="AH592" s="124"/>
      <c r="AI592" s="124"/>
      <c r="AJ592" s="125"/>
      <c r="AK592" s="189"/>
      <c r="AL592" s="124"/>
      <c r="AM592" s="124"/>
      <c r="AN592" s="124"/>
      <c r="AO592" s="360"/>
      <c r="AP592" s="360"/>
      <c r="AQ592" s="360"/>
      <c r="AR592" s="360"/>
      <c r="AS592" s="360"/>
      <c r="AT592" s="360"/>
      <c r="AU592" s="360"/>
      <c r="AV592" s="360"/>
      <c r="AW592" s="360"/>
      <c r="AX592" s="360"/>
      <c r="AY592" s="360"/>
      <c r="AZ592" s="360"/>
      <c r="BA592" s="360"/>
      <c r="BB592" s="360"/>
      <c r="BC592" s="360"/>
    </row>
    <row r="593">
      <c r="A593" s="125"/>
      <c r="B593" s="189"/>
      <c r="C593" s="124"/>
      <c r="D593" s="124"/>
      <c r="E593" s="124"/>
      <c r="F593" s="125"/>
      <c r="G593" s="189"/>
      <c r="H593" s="124"/>
      <c r="I593" s="124"/>
      <c r="J593" s="124"/>
      <c r="K593" s="102"/>
      <c r="L593" s="189"/>
      <c r="M593" s="124"/>
      <c r="N593" s="124"/>
      <c r="O593" s="124"/>
      <c r="P593" s="102"/>
      <c r="Q593" s="161"/>
      <c r="R593" s="124"/>
      <c r="S593" s="124"/>
      <c r="T593" s="124"/>
      <c r="U593" s="125"/>
      <c r="V593" s="189"/>
      <c r="W593" s="124"/>
      <c r="X593" s="124"/>
      <c r="Y593" s="124"/>
      <c r="Z593" s="125"/>
      <c r="AA593" s="189"/>
      <c r="AB593" s="124"/>
      <c r="AC593" s="124"/>
      <c r="AD593" s="124"/>
      <c r="AE593" s="125"/>
      <c r="AF593" s="189"/>
      <c r="AG593" s="124"/>
      <c r="AH593" s="124"/>
      <c r="AI593" s="124"/>
      <c r="AJ593" s="125"/>
      <c r="AK593" s="189"/>
      <c r="AL593" s="124"/>
      <c r="AM593" s="124"/>
      <c r="AN593" s="124"/>
      <c r="AO593" s="360"/>
      <c r="AP593" s="360"/>
      <c r="AQ593" s="360"/>
      <c r="AR593" s="360"/>
      <c r="AS593" s="360"/>
      <c r="AT593" s="360"/>
      <c r="AU593" s="360"/>
      <c r="AV593" s="360"/>
      <c r="AW593" s="360"/>
      <c r="AX593" s="360"/>
      <c r="AY593" s="360"/>
      <c r="AZ593" s="360"/>
      <c r="BA593" s="360"/>
      <c r="BB593" s="360"/>
      <c r="BC593" s="360"/>
    </row>
    <row r="594">
      <c r="A594" s="125"/>
      <c r="B594" s="189"/>
      <c r="C594" s="124"/>
      <c r="D594" s="124"/>
      <c r="E594" s="124"/>
      <c r="F594" s="125"/>
      <c r="G594" s="189"/>
      <c r="H594" s="124"/>
      <c r="I594" s="124"/>
      <c r="J594" s="124"/>
      <c r="K594" s="102"/>
      <c r="L594" s="189"/>
      <c r="M594" s="124"/>
      <c r="N594" s="124"/>
      <c r="O594" s="124"/>
      <c r="P594" s="102"/>
      <c r="Q594" s="161"/>
      <c r="R594" s="124"/>
      <c r="S594" s="124"/>
      <c r="T594" s="124"/>
      <c r="U594" s="125"/>
      <c r="V594" s="189"/>
      <c r="W594" s="124"/>
      <c r="X594" s="124"/>
      <c r="Y594" s="124"/>
      <c r="Z594" s="125"/>
      <c r="AA594" s="189"/>
      <c r="AB594" s="124"/>
      <c r="AC594" s="124"/>
      <c r="AD594" s="124"/>
      <c r="AE594" s="125"/>
      <c r="AF594" s="189"/>
      <c r="AG594" s="124"/>
      <c r="AH594" s="124"/>
      <c r="AI594" s="124"/>
      <c r="AJ594" s="125"/>
      <c r="AK594" s="189"/>
      <c r="AL594" s="124"/>
      <c r="AM594" s="124"/>
      <c r="AN594" s="124"/>
      <c r="AO594" s="360"/>
      <c r="AP594" s="360"/>
      <c r="AQ594" s="360"/>
      <c r="AR594" s="360"/>
      <c r="AS594" s="360"/>
      <c r="AT594" s="360"/>
      <c r="AU594" s="360"/>
      <c r="AV594" s="360"/>
      <c r="AW594" s="360"/>
      <c r="AX594" s="360"/>
      <c r="AY594" s="360"/>
      <c r="AZ594" s="360"/>
      <c r="BA594" s="360"/>
      <c r="BB594" s="360"/>
      <c r="BC594" s="360"/>
    </row>
    <row r="595">
      <c r="A595" s="125"/>
      <c r="B595" s="189"/>
      <c r="C595" s="124"/>
      <c r="D595" s="124"/>
      <c r="E595" s="124"/>
      <c r="F595" s="125"/>
      <c r="G595" s="189"/>
      <c r="H595" s="124"/>
      <c r="I595" s="124"/>
      <c r="J595" s="124"/>
      <c r="K595" s="102"/>
      <c r="L595" s="189"/>
      <c r="M595" s="124"/>
      <c r="N595" s="124"/>
      <c r="O595" s="124"/>
      <c r="P595" s="102"/>
      <c r="Q595" s="161"/>
      <c r="R595" s="124"/>
      <c r="S595" s="124"/>
      <c r="T595" s="124"/>
      <c r="U595" s="125"/>
      <c r="V595" s="189"/>
      <c r="W595" s="124"/>
      <c r="X595" s="124"/>
      <c r="Y595" s="124"/>
      <c r="Z595" s="125"/>
      <c r="AA595" s="189"/>
      <c r="AB595" s="124"/>
      <c r="AC595" s="124"/>
      <c r="AD595" s="124"/>
      <c r="AE595" s="125"/>
      <c r="AF595" s="189"/>
      <c r="AG595" s="124"/>
      <c r="AH595" s="124"/>
      <c r="AI595" s="124"/>
      <c r="AJ595" s="125"/>
      <c r="AK595" s="189"/>
      <c r="AL595" s="124"/>
      <c r="AM595" s="124"/>
      <c r="AN595" s="124"/>
      <c r="AO595" s="360"/>
      <c r="AP595" s="360"/>
      <c r="AQ595" s="360"/>
      <c r="AR595" s="360"/>
      <c r="AS595" s="360"/>
      <c r="AT595" s="360"/>
      <c r="AU595" s="360"/>
      <c r="AV595" s="360"/>
      <c r="AW595" s="360"/>
      <c r="AX595" s="360"/>
      <c r="AY595" s="360"/>
      <c r="AZ595" s="360"/>
      <c r="BA595" s="360"/>
      <c r="BB595" s="360"/>
      <c r="BC595" s="360"/>
    </row>
    <row r="596">
      <c r="A596" s="125"/>
      <c r="B596" s="189"/>
      <c r="C596" s="124"/>
      <c r="D596" s="124"/>
      <c r="E596" s="124"/>
      <c r="F596" s="125"/>
      <c r="G596" s="189"/>
      <c r="H596" s="124"/>
      <c r="I596" s="124"/>
      <c r="J596" s="124"/>
      <c r="K596" s="102"/>
      <c r="L596" s="189"/>
      <c r="M596" s="124"/>
      <c r="N596" s="124"/>
      <c r="O596" s="124"/>
      <c r="P596" s="102"/>
      <c r="Q596" s="161"/>
      <c r="R596" s="124"/>
      <c r="S596" s="124"/>
      <c r="T596" s="124"/>
      <c r="U596" s="125"/>
      <c r="V596" s="189"/>
      <c r="W596" s="124"/>
      <c r="X596" s="124"/>
      <c r="Y596" s="124"/>
      <c r="Z596" s="125"/>
      <c r="AA596" s="189"/>
      <c r="AB596" s="124"/>
      <c r="AC596" s="124"/>
      <c r="AD596" s="124"/>
      <c r="AE596" s="125"/>
      <c r="AF596" s="189"/>
      <c r="AG596" s="124"/>
      <c r="AH596" s="124"/>
      <c r="AI596" s="124"/>
      <c r="AJ596" s="125"/>
      <c r="AK596" s="189"/>
      <c r="AL596" s="124"/>
      <c r="AM596" s="124"/>
      <c r="AN596" s="124"/>
      <c r="AO596" s="360"/>
      <c r="AP596" s="360"/>
      <c r="AQ596" s="360"/>
      <c r="AR596" s="360"/>
      <c r="AS596" s="360"/>
      <c r="AT596" s="360"/>
      <c r="AU596" s="360"/>
      <c r="AV596" s="360"/>
      <c r="AW596" s="360"/>
      <c r="AX596" s="360"/>
      <c r="AY596" s="360"/>
      <c r="AZ596" s="360"/>
      <c r="BA596" s="360"/>
      <c r="BB596" s="360"/>
      <c r="BC596" s="360"/>
    </row>
    <row r="597">
      <c r="A597" s="125"/>
      <c r="B597" s="189"/>
      <c r="C597" s="124"/>
      <c r="D597" s="124"/>
      <c r="E597" s="124"/>
      <c r="F597" s="125"/>
      <c r="G597" s="189"/>
      <c r="H597" s="124"/>
      <c r="I597" s="124"/>
      <c r="J597" s="124"/>
      <c r="K597" s="102"/>
      <c r="L597" s="189"/>
      <c r="M597" s="124"/>
      <c r="N597" s="124"/>
      <c r="O597" s="124"/>
      <c r="P597" s="102"/>
      <c r="Q597" s="161"/>
      <c r="R597" s="124"/>
      <c r="S597" s="124"/>
      <c r="T597" s="124"/>
      <c r="U597" s="125"/>
      <c r="V597" s="189"/>
      <c r="W597" s="124"/>
      <c r="X597" s="124"/>
      <c r="Y597" s="124"/>
      <c r="Z597" s="125"/>
      <c r="AA597" s="189"/>
      <c r="AB597" s="124"/>
      <c r="AC597" s="124"/>
      <c r="AD597" s="124"/>
      <c r="AE597" s="125"/>
      <c r="AF597" s="189"/>
      <c r="AG597" s="124"/>
      <c r="AH597" s="124"/>
      <c r="AI597" s="124"/>
      <c r="AJ597" s="125"/>
      <c r="AK597" s="189"/>
      <c r="AL597" s="124"/>
      <c r="AM597" s="124"/>
      <c r="AN597" s="124"/>
      <c r="AO597" s="360"/>
      <c r="AP597" s="360"/>
      <c r="AQ597" s="360"/>
      <c r="AR597" s="360"/>
      <c r="AS597" s="360"/>
      <c r="AT597" s="360"/>
      <c r="AU597" s="360"/>
      <c r="AV597" s="360"/>
      <c r="AW597" s="360"/>
      <c r="AX597" s="360"/>
      <c r="AY597" s="360"/>
      <c r="AZ597" s="360"/>
      <c r="BA597" s="360"/>
      <c r="BB597" s="360"/>
      <c r="BC597" s="360"/>
    </row>
    <row r="598">
      <c r="A598" s="125"/>
      <c r="B598" s="189"/>
      <c r="C598" s="124"/>
      <c r="D598" s="124"/>
      <c r="E598" s="124"/>
      <c r="F598" s="125"/>
      <c r="G598" s="189"/>
      <c r="H598" s="124"/>
      <c r="I598" s="124"/>
      <c r="J598" s="124"/>
      <c r="K598" s="102"/>
      <c r="L598" s="189"/>
      <c r="M598" s="124"/>
      <c r="N598" s="124"/>
      <c r="O598" s="124"/>
      <c r="P598" s="102"/>
      <c r="Q598" s="161"/>
      <c r="R598" s="124"/>
      <c r="S598" s="124"/>
      <c r="T598" s="124"/>
      <c r="U598" s="125"/>
      <c r="V598" s="189"/>
      <c r="W598" s="124"/>
      <c r="X598" s="124"/>
      <c r="Y598" s="124"/>
      <c r="Z598" s="125"/>
      <c r="AA598" s="189"/>
      <c r="AB598" s="124"/>
      <c r="AC598" s="124"/>
      <c r="AD598" s="124"/>
      <c r="AE598" s="125"/>
      <c r="AF598" s="189"/>
      <c r="AG598" s="124"/>
      <c r="AH598" s="124"/>
      <c r="AI598" s="124"/>
      <c r="AJ598" s="125"/>
      <c r="AK598" s="189"/>
      <c r="AL598" s="124"/>
      <c r="AM598" s="124"/>
      <c r="AN598" s="124"/>
      <c r="AO598" s="360"/>
      <c r="AP598" s="360"/>
      <c r="AQ598" s="360"/>
      <c r="AR598" s="360"/>
      <c r="AS598" s="360"/>
      <c r="AT598" s="360"/>
      <c r="AU598" s="360"/>
      <c r="AV598" s="360"/>
      <c r="AW598" s="360"/>
      <c r="AX598" s="360"/>
      <c r="AY598" s="360"/>
      <c r="AZ598" s="360"/>
      <c r="BA598" s="360"/>
      <c r="BB598" s="360"/>
      <c r="BC598" s="360"/>
    </row>
    <row r="599">
      <c r="A599" s="125"/>
      <c r="B599" s="189"/>
      <c r="C599" s="124"/>
      <c r="D599" s="124"/>
      <c r="E599" s="124"/>
      <c r="F599" s="125"/>
      <c r="G599" s="189"/>
      <c r="H599" s="124"/>
      <c r="I599" s="124"/>
      <c r="J599" s="124"/>
      <c r="K599" s="102"/>
      <c r="L599" s="189"/>
      <c r="M599" s="124"/>
      <c r="N599" s="124"/>
      <c r="O599" s="124"/>
      <c r="P599" s="102"/>
      <c r="Q599" s="161"/>
      <c r="R599" s="124"/>
      <c r="S599" s="124"/>
      <c r="T599" s="124"/>
      <c r="U599" s="125"/>
      <c r="V599" s="189"/>
      <c r="W599" s="124"/>
      <c r="X599" s="124"/>
      <c r="Y599" s="124"/>
      <c r="Z599" s="125"/>
      <c r="AA599" s="189"/>
      <c r="AB599" s="124"/>
      <c r="AC599" s="124"/>
      <c r="AD599" s="124"/>
      <c r="AE599" s="125"/>
      <c r="AF599" s="189"/>
      <c r="AG599" s="124"/>
      <c r="AH599" s="124"/>
      <c r="AI599" s="124"/>
      <c r="AJ599" s="125"/>
      <c r="AK599" s="189"/>
      <c r="AL599" s="124"/>
      <c r="AM599" s="124"/>
      <c r="AN599" s="124"/>
      <c r="AO599" s="360"/>
      <c r="AP599" s="360"/>
      <c r="AQ599" s="360"/>
      <c r="AR599" s="360"/>
      <c r="AS599" s="360"/>
      <c r="AT599" s="360"/>
      <c r="AU599" s="360"/>
      <c r="AV599" s="360"/>
      <c r="AW599" s="360"/>
      <c r="AX599" s="360"/>
      <c r="AY599" s="360"/>
      <c r="AZ599" s="360"/>
      <c r="BA599" s="360"/>
      <c r="BB599" s="360"/>
      <c r="BC599" s="360"/>
    </row>
    <row r="600">
      <c r="A600" s="125"/>
      <c r="B600" s="189"/>
      <c r="C600" s="124"/>
      <c r="D600" s="124"/>
      <c r="E600" s="124"/>
      <c r="F600" s="125"/>
      <c r="G600" s="189"/>
      <c r="H600" s="124"/>
      <c r="I600" s="124"/>
      <c r="J600" s="124"/>
      <c r="K600" s="102"/>
      <c r="L600" s="189"/>
      <c r="M600" s="124"/>
      <c r="N600" s="124"/>
      <c r="O600" s="124"/>
      <c r="P600" s="102"/>
      <c r="Q600" s="161"/>
      <c r="R600" s="124"/>
      <c r="S600" s="124"/>
      <c r="T600" s="124"/>
      <c r="U600" s="125"/>
      <c r="V600" s="189"/>
      <c r="W600" s="124"/>
      <c r="X600" s="124"/>
      <c r="Y600" s="124"/>
      <c r="Z600" s="125"/>
      <c r="AA600" s="189"/>
      <c r="AB600" s="124"/>
      <c r="AC600" s="124"/>
      <c r="AD600" s="124"/>
      <c r="AE600" s="125"/>
      <c r="AF600" s="189"/>
      <c r="AG600" s="124"/>
      <c r="AH600" s="124"/>
      <c r="AI600" s="124"/>
      <c r="AJ600" s="125"/>
      <c r="AK600" s="189"/>
      <c r="AL600" s="124"/>
      <c r="AM600" s="124"/>
      <c r="AN600" s="124"/>
      <c r="AO600" s="360"/>
      <c r="AP600" s="360"/>
      <c r="AQ600" s="360"/>
      <c r="AR600" s="360"/>
      <c r="AS600" s="360"/>
      <c r="AT600" s="360"/>
      <c r="AU600" s="360"/>
      <c r="AV600" s="360"/>
      <c r="AW600" s="360"/>
      <c r="AX600" s="360"/>
      <c r="AY600" s="360"/>
      <c r="AZ600" s="360"/>
      <c r="BA600" s="360"/>
      <c r="BB600" s="360"/>
      <c r="BC600" s="360"/>
    </row>
    <row r="601">
      <c r="A601" s="125"/>
      <c r="B601" s="189"/>
      <c r="C601" s="124"/>
      <c r="D601" s="124"/>
      <c r="E601" s="124"/>
      <c r="F601" s="125"/>
      <c r="G601" s="189"/>
      <c r="H601" s="124"/>
      <c r="I601" s="124"/>
      <c r="J601" s="124"/>
      <c r="K601" s="102"/>
      <c r="L601" s="189"/>
      <c r="M601" s="124"/>
      <c r="N601" s="124"/>
      <c r="O601" s="124"/>
      <c r="P601" s="102"/>
      <c r="Q601" s="161"/>
      <c r="R601" s="124"/>
      <c r="S601" s="124"/>
      <c r="T601" s="124"/>
      <c r="U601" s="125"/>
      <c r="V601" s="189"/>
      <c r="W601" s="124"/>
      <c r="X601" s="124"/>
      <c r="Y601" s="124"/>
      <c r="Z601" s="125"/>
      <c r="AA601" s="189"/>
      <c r="AB601" s="124"/>
      <c r="AC601" s="124"/>
      <c r="AD601" s="124"/>
      <c r="AE601" s="125"/>
      <c r="AF601" s="189"/>
      <c r="AG601" s="124"/>
      <c r="AH601" s="124"/>
      <c r="AI601" s="124"/>
      <c r="AJ601" s="125"/>
      <c r="AK601" s="189"/>
      <c r="AL601" s="124"/>
      <c r="AM601" s="124"/>
      <c r="AN601" s="124"/>
      <c r="AO601" s="360"/>
      <c r="AP601" s="360"/>
      <c r="AQ601" s="360"/>
      <c r="AR601" s="360"/>
      <c r="AS601" s="360"/>
      <c r="AT601" s="360"/>
      <c r="AU601" s="360"/>
      <c r="AV601" s="360"/>
      <c r="AW601" s="360"/>
      <c r="AX601" s="360"/>
      <c r="AY601" s="360"/>
      <c r="AZ601" s="360"/>
      <c r="BA601" s="360"/>
      <c r="BB601" s="360"/>
      <c r="BC601" s="360"/>
    </row>
    <row r="602">
      <c r="A602" s="125"/>
      <c r="B602" s="189"/>
      <c r="C602" s="124"/>
      <c r="D602" s="124"/>
      <c r="E602" s="124"/>
      <c r="F602" s="125"/>
      <c r="G602" s="189"/>
      <c r="H602" s="124"/>
      <c r="I602" s="124"/>
      <c r="J602" s="124"/>
      <c r="K602" s="102"/>
      <c r="L602" s="189"/>
      <c r="M602" s="124"/>
      <c r="N602" s="124"/>
      <c r="O602" s="124"/>
      <c r="P602" s="102"/>
      <c r="Q602" s="161"/>
      <c r="R602" s="124"/>
      <c r="S602" s="124"/>
      <c r="T602" s="124"/>
      <c r="U602" s="125"/>
      <c r="V602" s="189"/>
      <c r="W602" s="124"/>
      <c r="X602" s="124"/>
      <c r="Y602" s="124"/>
      <c r="Z602" s="125"/>
      <c r="AA602" s="189"/>
      <c r="AB602" s="124"/>
      <c r="AC602" s="124"/>
      <c r="AD602" s="124"/>
      <c r="AE602" s="125"/>
      <c r="AF602" s="189"/>
      <c r="AG602" s="124"/>
      <c r="AH602" s="124"/>
      <c r="AI602" s="124"/>
      <c r="AJ602" s="125"/>
      <c r="AK602" s="189"/>
      <c r="AL602" s="124"/>
      <c r="AM602" s="124"/>
      <c r="AN602" s="124"/>
      <c r="AO602" s="360"/>
      <c r="AP602" s="360"/>
      <c r="AQ602" s="360"/>
      <c r="AR602" s="360"/>
      <c r="AS602" s="360"/>
      <c r="AT602" s="360"/>
      <c r="AU602" s="360"/>
      <c r="AV602" s="360"/>
      <c r="AW602" s="360"/>
      <c r="AX602" s="360"/>
      <c r="AY602" s="360"/>
      <c r="AZ602" s="360"/>
      <c r="BA602" s="360"/>
      <c r="BB602" s="360"/>
      <c r="BC602" s="360"/>
    </row>
    <row r="603">
      <c r="A603" s="125"/>
      <c r="B603" s="189"/>
      <c r="C603" s="124"/>
      <c r="D603" s="124"/>
      <c r="E603" s="124"/>
      <c r="F603" s="125"/>
      <c r="G603" s="189"/>
      <c r="H603" s="124"/>
      <c r="I603" s="124"/>
      <c r="J603" s="124"/>
      <c r="K603" s="102"/>
      <c r="L603" s="189"/>
      <c r="M603" s="124"/>
      <c r="N603" s="124"/>
      <c r="O603" s="124"/>
      <c r="P603" s="102"/>
      <c r="Q603" s="161"/>
      <c r="R603" s="124"/>
      <c r="S603" s="124"/>
      <c r="T603" s="124"/>
      <c r="U603" s="125"/>
      <c r="V603" s="189"/>
      <c r="W603" s="124"/>
      <c r="X603" s="124"/>
      <c r="Y603" s="124"/>
      <c r="Z603" s="125"/>
      <c r="AA603" s="189"/>
      <c r="AB603" s="124"/>
      <c r="AC603" s="124"/>
      <c r="AD603" s="124"/>
      <c r="AE603" s="125"/>
      <c r="AF603" s="189"/>
      <c r="AG603" s="124"/>
      <c r="AH603" s="124"/>
      <c r="AI603" s="124"/>
      <c r="AJ603" s="125"/>
      <c r="AK603" s="189"/>
      <c r="AL603" s="124"/>
      <c r="AM603" s="124"/>
      <c r="AN603" s="124"/>
      <c r="AO603" s="360"/>
      <c r="AP603" s="360"/>
      <c r="AQ603" s="360"/>
      <c r="AR603" s="360"/>
      <c r="AS603" s="360"/>
      <c r="AT603" s="360"/>
      <c r="AU603" s="360"/>
      <c r="AV603" s="360"/>
      <c r="AW603" s="360"/>
      <c r="AX603" s="360"/>
      <c r="AY603" s="360"/>
      <c r="AZ603" s="360"/>
      <c r="BA603" s="360"/>
      <c r="BB603" s="360"/>
      <c r="BC603" s="360"/>
    </row>
    <row r="604">
      <c r="A604" s="125"/>
      <c r="B604" s="189"/>
      <c r="C604" s="124"/>
      <c r="D604" s="124"/>
      <c r="E604" s="124"/>
      <c r="F604" s="125"/>
      <c r="G604" s="189"/>
      <c r="H604" s="124"/>
      <c r="I604" s="124"/>
      <c r="J604" s="124"/>
      <c r="K604" s="102"/>
      <c r="L604" s="189"/>
      <c r="M604" s="124"/>
      <c r="N604" s="124"/>
      <c r="O604" s="124"/>
      <c r="P604" s="102"/>
      <c r="Q604" s="161"/>
      <c r="R604" s="124"/>
      <c r="S604" s="124"/>
      <c r="T604" s="124"/>
      <c r="U604" s="125"/>
      <c r="V604" s="189"/>
      <c r="W604" s="124"/>
      <c r="X604" s="124"/>
      <c r="Y604" s="124"/>
      <c r="Z604" s="125"/>
      <c r="AA604" s="189"/>
      <c r="AB604" s="124"/>
      <c r="AC604" s="124"/>
      <c r="AD604" s="124"/>
      <c r="AE604" s="125"/>
      <c r="AF604" s="189"/>
      <c r="AG604" s="124"/>
      <c r="AH604" s="124"/>
      <c r="AI604" s="124"/>
      <c r="AJ604" s="125"/>
      <c r="AK604" s="189"/>
      <c r="AL604" s="124"/>
      <c r="AM604" s="124"/>
      <c r="AN604" s="124"/>
      <c r="AO604" s="360"/>
      <c r="AP604" s="360"/>
      <c r="AQ604" s="360"/>
      <c r="AR604" s="360"/>
      <c r="AS604" s="360"/>
      <c r="AT604" s="360"/>
      <c r="AU604" s="360"/>
      <c r="AV604" s="360"/>
      <c r="AW604" s="360"/>
      <c r="AX604" s="360"/>
      <c r="AY604" s="360"/>
      <c r="AZ604" s="360"/>
      <c r="BA604" s="360"/>
      <c r="BB604" s="360"/>
      <c r="BC604" s="360"/>
    </row>
    <row r="605">
      <c r="A605" s="125"/>
      <c r="B605" s="189"/>
      <c r="C605" s="124"/>
      <c r="D605" s="124"/>
      <c r="E605" s="124"/>
      <c r="F605" s="125"/>
      <c r="G605" s="189"/>
      <c r="H605" s="124"/>
      <c r="I605" s="124"/>
      <c r="J605" s="124"/>
      <c r="K605" s="102"/>
      <c r="L605" s="189"/>
      <c r="M605" s="124"/>
      <c r="N605" s="124"/>
      <c r="O605" s="124"/>
      <c r="P605" s="102"/>
      <c r="Q605" s="161"/>
      <c r="R605" s="124"/>
      <c r="S605" s="124"/>
      <c r="T605" s="124"/>
      <c r="U605" s="125"/>
      <c r="V605" s="189"/>
      <c r="W605" s="124"/>
      <c r="X605" s="124"/>
      <c r="Y605" s="124"/>
      <c r="Z605" s="125"/>
      <c r="AA605" s="189"/>
      <c r="AB605" s="124"/>
      <c r="AC605" s="124"/>
      <c r="AD605" s="124"/>
      <c r="AE605" s="125"/>
      <c r="AF605" s="189"/>
      <c r="AG605" s="124"/>
      <c r="AH605" s="124"/>
      <c r="AI605" s="124"/>
      <c r="AJ605" s="125"/>
      <c r="AK605" s="189"/>
      <c r="AL605" s="124"/>
      <c r="AM605" s="124"/>
      <c r="AN605" s="124"/>
      <c r="AO605" s="360"/>
      <c r="AP605" s="360"/>
      <c r="AQ605" s="360"/>
      <c r="AR605" s="360"/>
      <c r="AS605" s="360"/>
      <c r="AT605" s="360"/>
      <c r="AU605" s="360"/>
      <c r="AV605" s="360"/>
      <c r="AW605" s="360"/>
      <c r="AX605" s="360"/>
      <c r="AY605" s="360"/>
      <c r="AZ605" s="360"/>
      <c r="BA605" s="360"/>
      <c r="BB605" s="360"/>
      <c r="BC605" s="360"/>
    </row>
    <row r="606">
      <c r="A606" s="125"/>
      <c r="B606" s="189"/>
      <c r="C606" s="124"/>
      <c r="D606" s="124"/>
      <c r="E606" s="124"/>
      <c r="F606" s="125"/>
      <c r="G606" s="189"/>
      <c r="H606" s="124"/>
      <c r="I606" s="124"/>
      <c r="J606" s="124"/>
      <c r="K606" s="102"/>
      <c r="L606" s="189"/>
      <c r="M606" s="124"/>
      <c r="N606" s="124"/>
      <c r="O606" s="124"/>
      <c r="P606" s="102"/>
      <c r="Q606" s="161"/>
      <c r="R606" s="124"/>
      <c r="S606" s="124"/>
      <c r="T606" s="124"/>
      <c r="U606" s="125"/>
      <c r="V606" s="189"/>
      <c r="W606" s="124"/>
      <c r="X606" s="124"/>
      <c r="Y606" s="124"/>
      <c r="Z606" s="125"/>
      <c r="AA606" s="189"/>
      <c r="AB606" s="124"/>
      <c r="AC606" s="124"/>
      <c r="AD606" s="124"/>
      <c r="AE606" s="125"/>
      <c r="AF606" s="189"/>
      <c r="AG606" s="124"/>
      <c r="AH606" s="124"/>
      <c r="AI606" s="124"/>
      <c r="AJ606" s="125"/>
      <c r="AK606" s="189"/>
      <c r="AL606" s="124"/>
      <c r="AM606" s="124"/>
      <c r="AN606" s="124"/>
      <c r="AO606" s="360"/>
      <c r="AP606" s="360"/>
      <c r="AQ606" s="360"/>
      <c r="AR606" s="360"/>
      <c r="AS606" s="360"/>
      <c r="AT606" s="360"/>
      <c r="AU606" s="360"/>
      <c r="AV606" s="360"/>
      <c r="AW606" s="360"/>
      <c r="AX606" s="360"/>
      <c r="AY606" s="360"/>
      <c r="AZ606" s="360"/>
      <c r="BA606" s="360"/>
      <c r="BB606" s="360"/>
      <c r="BC606" s="360"/>
    </row>
    <row r="607">
      <c r="A607" s="125"/>
      <c r="B607" s="189"/>
      <c r="C607" s="124"/>
      <c r="D607" s="124"/>
      <c r="E607" s="124"/>
      <c r="F607" s="125"/>
      <c r="G607" s="189"/>
      <c r="H607" s="124"/>
      <c r="I607" s="124"/>
      <c r="J607" s="124"/>
      <c r="K607" s="102"/>
      <c r="L607" s="189"/>
      <c r="M607" s="124"/>
      <c r="N607" s="124"/>
      <c r="O607" s="124"/>
      <c r="P607" s="102"/>
      <c r="Q607" s="161"/>
      <c r="R607" s="124"/>
      <c r="S607" s="124"/>
      <c r="T607" s="124"/>
      <c r="U607" s="125"/>
      <c r="V607" s="189"/>
      <c r="W607" s="124"/>
      <c r="X607" s="124"/>
      <c r="Y607" s="124"/>
      <c r="Z607" s="125"/>
      <c r="AA607" s="189"/>
      <c r="AB607" s="124"/>
      <c r="AC607" s="124"/>
      <c r="AD607" s="124"/>
      <c r="AE607" s="125"/>
      <c r="AF607" s="189"/>
      <c r="AG607" s="124"/>
      <c r="AH607" s="124"/>
      <c r="AI607" s="124"/>
      <c r="AJ607" s="125"/>
      <c r="AK607" s="189"/>
      <c r="AL607" s="124"/>
      <c r="AM607" s="124"/>
      <c r="AN607" s="124"/>
      <c r="AO607" s="360"/>
      <c r="AP607" s="360"/>
      <c r="AQ607" s="360"/>
      <c r="AR607" s="360"/>
      <c r="AS607" s="360"/>
      <c r="AT607" s="360"/>
      <c r="AU607" s="360"/>
      <c r="AV607" s="360"/>
      <c r="AW607" s="360"/>
      <c r="AX607" s="360"/>
      <c r="AY607" s="360"/>
      <c r="AZ607" s="360"/>
      <c r="BA607" s="360"/>
      <c r="BB607" s="360"/>
      <c r="BC607" s="360"/>
    </row>
    <row r="608">
      <c r="A608" s="125"/>
      <c r="B608" s="189"/>
      <c r="C608" s="124"/>
      <c r="D608" s="124"/>
      <c r="E608" s="124"/>
      <c r="F608" s="125"/>
      <c r="G608" s="189"/>
      <c r="H608" s="124"/>
      <c r="I608" s="124"/>
      <c r="J608" s="124"/>
      <c r="K608" s="102"/>
      <c r="L608" s="189"/>
      <c r="M608" s="124"/>
      <c r="N608" s="124"/>
      <c r="O608" s="124"/>
      <c r="P608" s="102"/>
      <c r="Q608" s="161"/>
      <c r="R608" s="124"/>
      <c r="S608" s="124"/>
      <c r="T608" s="124"/>
      <c r="U608" s="125"/>
      <c r="V608" s="189"/>
      <c r="W608" s="124"/>
      <c r="X608" s="124"/>
      <c r="Y608" s="124"/>
      <c r="Z608" s="125"/>
      <c r="AA608" s="189"/>
      <c r="AB608" s="124"/>
      <c r="AC608" s="124"/>
      <c r="AD608" s="124"/>
      <c r="AE608" s="125"/>
      <c r="AF608" s="189"/>
      <c r="AG608" s="124"/>
      <c r="AH608" s="124"/>
      <c r="AI608" s="124"/>
      <c r="AJ608" s="125"/>
      <c r="AK608" s="189"/>
      <c r="AL608" s="124"/>
      <c r="AM608" s="124"/>
      <c r="AN608" s="124"/>
      <c r="AO608" s="360"/>
      <c r="AP608" s="360"/>
      <c r="AQ608" s="360"/>
      <c r="AR608" s="360"/>
      <c r="AS608" s="360"/>
      <c r="AT608" s="360"/>
      <c r="AU608" s="360"/>
      <c r="AV608" s="360"/>
      <c r="AW608" s="360"/>
      <c r="AX608" s="360"/>
      <c r="AY608" s="360"/>
      <c r="AZ608" s="360"/>
      <c r="BA608" s="360"/>
      <c r="BB608" s="360"/>
      <c r="BC608" s="360"/>
    </row>
    <row r="609">
      <c r="A609" s="125"/>
      <c r="B609" s="189"/>
      <c r="C609" s="124"/>
      <c r="D609" s="124"/>
      <c r="E609" s="124"/>
      <c r="F609" s="125"/>
      <c r="G609" s="189"/>
      <c r="H609" s="124"/>
      <c r="I609" s="124"/>
      <c r="J609" s="124"/>
      <c r="K609" s="102"/>
      <c r="L609" s="189"/>
      <c r="M609" s="124"/>
      <c r="N609" s="124"/>
      <c r="O609" s="124"/>
      <c r="P609" s="102"/>
      <c r="Q609" s="161"/>
      <c r="R609" s="124"/>
      <c r="S609" s="124"/>
      <c r="T609" s="124"/>
      <c r="U609" s="125"/>
      <c r="V609" s="189"/>
      <c r="W609" s="124"/>
      <c r="X609" s="124"/>
      <c r="Y609" s="124"/>
      <c r="Z609" s="125"/>
      <c r="AA609" s="189"/>
      <c r="AB609" s="124"/>
      <c r="AC609" s="124"/>
      <c r="AD609" s="124"/>
      <c r="AE609" s="125"/>
      <c r="AF609" s="189"/>
      <c r="AG609" s="124"/>
      <c r="AH609" s="124"/>
      <c r="AI609" s="124"/>
      <c r="AJ609" s="125"/>
      <c r="AK609" s="189"/>
      <c r="AL609" s="124"/>
      <c r="AM609" s="124"/>
      <c r="AN609" s="124"/>
      <c r="AO609" s="360"/>
      <c r="AP609" s="360"/>
      <c r="AQ609" s="360"/>
      <c r="AR609" s="360"/>
      <c r="AS609" s="360"/>
      <c r="AT609" s="360"/>
      <c r="AU609" s="360"/>
      <c r="AV609" s="360"/>
      <c r="AW609" s="360"/>
      <c r="AX609" s="360"/>
      <c r="AY609" s="360"/>
      <c r="AZ609" s="360"/>
      <c r="BA609" s="360"/>
      <c r="BB609" s="360"/>
      <c r="BC609" s="360"/>
    </row>
    <row r="610">
      <c r="A610" s="125"/>
      <c r="B610" s="189"/>
      <c r="C610" s="124"/>
      <c r="D610" s="124"/>
      <c r="E610" s="124"/>
      <c r="F610" s="125"/>
      <c r="G610" s="189"/>
      <c r="H610" s="124"/>
      <c r="I610" s="124"/>
      <c r="J610" s="124"/>
      <c r="K610" s="102"/>
      <c r="L610" s="189"/>
      <c r="M610" s="124"/>
      <c r="N610" s="124"/>
      <c r="O610" s="124"/>
      <c r="P610" s="102"/>
      <c r="Q610" s="161"/>
      <c r="R610" s="124"/>
      <c r="S610" s="124"/>
      <c r="T610" s="124"/>
      <c r="U610" s="125"/>
      <c r="V610" s="189"/>
      <c r="W610" s="124"/>
      <c r="X610" s="124"/>
      <c r="Y610" s="124"/>
      <c r="Z610" s="125"/>
      <c r="AA610" s="189"/>
      <c r="AB610" s="124"/>
      <c r="AC610" s="124"/>
      <c r="AD610" s="124"/>
      <c r="AE610" s="125"/>
      <c r="AF610" s="189"/>
      <c r="AG610" s="124"/>
      <c r="AH610" s="124"/>
      <c r="AI610" s="124"/>
      <c r="AJ610" s="125"/>
      <c r="AK610" s="189"/>
      <c r="AL610" s="124"/>
      <c r="AM610" s="124"/>
      <c r="AN610" s="124"/>
      <c r="AO610" s="360"/>
      <c r="AP610" s="360"/>
      <c r="AQ610" s="360"/>
      <c r="AR610" s="360"/>
      <c r="AS610" s="360"/>
      <c r="AT610" s="360"/>
      <c r="AU610" s="360"/>
      <c r="AV610" s="360"/>
      <c r="AW610" s="360"/>
      <c r="AX610" s="360"/>
      <c r="AY610" s="360"/>
      <c r="AZ610" s="360"/>
      <c r="BA610" s="360"/>
      <c r="BB610" s="360"/>
      <c r="BC610" s="360"/>
    </row>
    <row r="611">
      <c r="A611" s="125"/>
      <c r="B611" s="189"/>
      <c r="C611" s="124"/>
      <c r="D611" s="124"/>
      <c r="E611" s="124"/>
      <c r="F611" s="125"/>
      <c r="G611" s="189"/>
      <c r="H611" s="124"/>
      <c r="I611" s="124"/>
      <c r="J611" s="124"/>
      <c r="K611" s="102"/>
      <c r="L611" s="189"/>
      <c r="M611" s="124"/>
      <c r="N611" s="124"/>
      <c r="O611" s="124"/>
      <c r="P611" s="102"/>
      <c r="Q611" s="161"/>
      <c r="R611" s="124"/>
      <c r="S611" s="124"/>
      <c r="T611" s="124"/>
      <c r="U611" s="125"/>
      <c r="V611" s="189"/>
      <c r="W611" s="124"/>
      <c r="X611" s="124"/>
      <c r="Y611" s="124"/>
      <c r="Z611" s="125"/>
      <c r="AA611" s="189"/>
      <c r="AB611" s="124"/>
      <c r="AC611" s="124"/>
      <c r="AD611" s="124"/>
      <c r="AE611" s="125"/>
      <c r="AF611" s="189"/>
      <c r="AG611" s="124"/>
      <c r="AH611" s="124"/>
      <c r="AI611" s="124"/>
      <c r="AJ611" s="125"/>
      <c r="AK611" s="189"/>
      <c r="AL611" s="124"/>
      <c r="AM611" s="124"/>
      <c r="AN611" s="124"/>
      <c r="AO611" s="360"/>
      <c r="AP611" s="360"/>
      <c r="AQ611" s="360"/>
      <c r="AR611" s="360"/>
      <c r="AS611" s="360"/>
      <c r="AT611" s="360"/>
      <c r="AU611" s="360"/>
      <c r="AV611" s="360"/>
      <c r="AW611" s="360"/>
      <c r="AX611" s="360"/>
      <c r="AY611" s="360"/>
      <c r="AZ611" s="360"/>
      <c r="BA611" s="360"/>
      <c r="BB611" s="360"/>
      <c r="BC611" s="360"/>
    </row>
    <row r="612">
      <c r="A612" s="125"/>
      <c r="B612" s="189"/>
      <c r="C612" s="124"/>
      <c r="D612" s="124"/>
      <c r="E612" s="124"/>
      <c r="F612" s="125"/>
      <c r="G612" s="189"/>
      <c r="H612" s="124"/>
      <c r="I612" s="124"/>
      <c r="J612" s="124"/>
      <c r="K612" s="102"/>
      <c r="L612" s="189"/>
      <c r="M612" s="124"/>
      <c r="N612" s="124"/>
      <c r="O612" s="124"/>
      <c r="P612" s="102"/>
      <c r="Q612" s="161"/>
      <c r="R612" s="124"/>
      <c r="S612" s="124"/>
      <c r="T612" s="124"/>
      <c r="U612" s="125"/>
      <c r="V612" s="189"/>
      <c r="W612" s="124"/>
      <c r="X612" s="124"/>
      <c r="Y612" s="124"/>
      <c r="Z612" s="125"/>
      <c r="AA612" s="189"/>
      <c r="AB612" s="124"/>
      <c r="AC612" s="124"/>
      <c r="AD612" s="124"/>
      <c r="AE612" s="125"/>
      <c r="AF612" s="189"/>
      <c r="AG612" s="124"/>
      <c r="AH612" s="124"/>
      <c r="AI612" s="124"/>
      <c r="AJ612" s="125"/>
      <c r="AK612" s="189"/>
      <c r="AL612" s="124"/>
      <c r="AM612" s="124"/>
      <c r="AN612" s="124"/>
      <c r="AO612" s="360"/>
      <c r="AP612" s="360"/>
      <c r="AQ612" s="360"/>
      <c r="AR612" s="360"/>
      <c r="AS612" s="360"/>
      <c r="AT612" s="360"/>
      <c r="AU612" s="360"/>
      <c r="AV612" s="360"/>
      <c r="AW612" s="360"/>
      <c r="AX612" s="360"/>
      <c r="AY612" s="360"/>
      <c r="AZ612" s="360"/>
      <c r="BA612" s="360"/>
      <c r="BB612" s="360"/>
      <c r="BC612" s="360"/>
    </row>
    <row r="613">
      <c r="A613" s="125"/>
      <c r="B613" s="189"/>
      <c r="C613" s="124"/>
      <c r="D613" s="124"/>
      <c r="E613" s="124"/>
      <c r="F613" s="125"/>
      <c r="G613" s="189"/>
      <c r="H613" s="124"/>
      <c r="I613" s="124"/>
      <c r="J613" s="124"/>
      <c r="K613" s="102"/>
      <c r="L613" s="189"/>
      <c r="M613" s="124"/>
      <c r="N613" s="124"/>
      <c r="O613" s="124"/>
      <c r="P613" s="102"/>
      <c r="Q613" s="161"/>
      <c r="R613" s="124"/>
      <c r="S613" s="124"/>
      <c r="T613" s="124"/>
      <c r="U613" s="125"/>
      <c r="V613" s="189"/>
      <c r="W613" s="124"/>
      <c r="X613" s="124"/>
      <c r="Y613" s="124"/>
      <c r="Z613" s="125"/>
      <c r="AA613" s="189"/>
      <c r="AB613" s="124"/>
      <c r="AC613" s="124"/>
      <c r="AD613" s="124"/>
      <c r="AE613" s="125"/>
      <c r="AF613" s="189"/>
      <c r="AG613" s="124"/>
      <c r="AH613" s="124"/>
      <c r="AI613" s="124"/>
      <c r="AJ613" s="125"/>
      <c r="AK613" s="189"/>
      <c r="AL613" s="124"/>
      <c r="AM613" s="124"/>
      <c r="AN613" s="124"/>
      <c r="AO613" s="360"/>
      <c r="AP613" s="360"/>
      <c r="AQ613" s="360"/>
      <c r="AR613" s="360"/>
      <c r="AS613" s="360"/>
      <c r="AT613" s="360"/>
      <c r="AU613" s="360"/>
      <c r="AV613" s="360"/>
      <c r="AW613" s="360"/>
      <c r="AX613" s="360"/>
      <c r="AY613" s="360"/>
      <c r="AZ613" s="360"/>
      <c r="BA613" s="360"/>
      <c r="BB613" s="360"/>
      <c r="BC613" s="360"/>
    </row>
    <row r="614">
      <c r="A614" s="125"/>
      <c r="B614" s="189"/>
      <c r="C614" s="124"/>
      <c r="D614" s="124"/>
      <c r="E614" s="124"/>
      <c r="F614" s="125"/>
      <c r="G614" s="189"/>
      <c r="H614" s="124"/>
      <c r="I614" s="124"/>
      <c r="J614" s="124"/>
      <c r="K614" s="102"/>
      <c r="L614" s="189"/>
      <c r="M614" s="124"/>
      <c r="N614" s="124"/>
      <c r="O614" s="124"/>
      <c r="P614" s="102"/>
      <c r="Q614" s="161"/>
      <c r="R614" s="124"/>
      <c r="S614" s="124"/>
      <c r="T614" s="124"/>
      <c r="U614" s="125"/>
      <c r="V614" s="189"/>
      <c r="W614" s="124"/>
      <c r="X614" s="124"/>
      <c r="Y614" s="124"/>
      <c r="Z614" s="125"/>
      <c r="AA614" s="189"/>
      <c r="AB614" s="124"/>
      <c r="AC614" s="124"/>
      <c r="AD614" s="124"/>
      <c r="AE614" s="125"/>
      <c r="AF614" s="189"/>
      <c r="AG614" s="124"/>
      <c r="AH614" s="124"/>
      <c r="AI614" s="124"/>
      <c r="AJ614" s="125"/>
      <c r="AK614" s="189"/>
      <c r="AL614" s="124"/>
      <c r="AM614" s="124"/>
      <c r="AN614" s="124"/>
      <c r="AO614" s="360"/>
      <c r="AP614" s="360"/>
      <c r="AQ614" s="360"/>
      <c r="AR614" s="360"/>
      <c r="AS614" s="360"/>
      <c r="AT614" s="360"/>
      <c r="AU614" s="360"/>
      <c r="AV614" s="360"/>
      <c r="AW614" s="360"/>
      <c r="AX614" s="360"/>
      <c r="AY614" s="360"/>
      <c r="AZ614" s="360"/>
      <c r="BA614" s="360"/>
      <c r="BB614" s="360"/>
      <c r="BC614" s="360"/>
    </row>
    <row r="615">
      <c r="A615" s="125"/>
      <c r="B615" s="189"/>
      <c r="C615" s="124"/>
      <c r="D615" s="124"/>
      <c r="E615" s="124"/>
      <c r="F615" s="125"/>
      <c r="G615" s="189"/>
      <c r="H615" s="124"/>
      <c r="I615" s="124"/>
      <c r="J615" s="124"/>
      <c r="K615" s="102"/>
      <c r="L615" s="189"/>
      <c r="M615" s="124"/>
      <c r="N615" s="124"/>
      <c r="O615" s="124"/>
      <c r="P615" s="102"/>
      <c r="Q615" s="161"/>
      <c r="R615" s="124"/>
      <c r="S615" s="124"/>
      <c r="T615" s="124"/>
      <c r="U615" s="125"/>
      <c r="V615" s="189"/>
      <c r="W615" s="124"/>
      <c r="X615" s="124"/>
      <c r="Y615" s="124"/>
      <c r="Z615" s="125"/>
      <c r="AA615" s="189"/>
      <c r="AB615" s="124"/>
      <c r="AC615" s="124"/>
      <c r="AD615" s="124"/>
      <c r="AE615" s="125"/>
      <c r="AF615" s="189"/>
      <c r="AG615" s="124"/>
      <c r="AH615" s="124"/>
      <c r="AI615" s="124"/>
      <c r="AJ615" s="125"/>
      <c r="AK615" s="189"/>
      <c r="AL615" s="124"/>
      <c r="AM615" s="124"/>
      <c r="AN615" s="124"/>
      <c r="AO615" s="360"/>
      <c r="AP615" s="360"/>
      <c r="AQ615" s="360"/>
      <c r="AR615" s="360"/>
      <c r="AS615" s="360"/>
      <c r="AT615" s="360"/>
      <c r="AU615" s="360"/>
      <c r="AV615" s="360"/>
      <c r="AW615" s="360"/>
      <c r="AX615" s="360"/>
      <c r="AY615" s="360"/>
      <c r="AZ615" s="360"/>
      <c r="BA615" s="360"/>
      <c r="BB615" s="360"/>
      <c r="BC615" s="360"/>
    </row>
    <row r="616">
      <c r="A616" s="125"/>
      <c r="B616" s="189"/>
      <c r="C616" s="124"/>
      <c r="D616" s="124"/>
      <c r="E616" s="124"/>
      <c r="F616" s="125"/>
      <c r="G616" s="189"/>
      <c r="H616" s="124"/>
      <c r="I616" s="124"/>
      <c r="J616" s="124"/>
      <c r="K616" s="102"/>
      <c r="L616" s="189"/>
      <c r="M616" s="124"/>
      <c r="N616" s="124"/>
      <c r="O616" s="124"/>
      <c r="P616" s="102"/>
      <c r="Q616" s="161"/>
      <c r="R616" s="124"/>
      <c r="S616" s="124"/>
      <c r="T616" s="124"/>
      <c r="U616" s="125"/>
      <c r="V616" s="189"/>
      <c r="W616" s="124"/>
      <c r="X616" s="124"/>
      <c r="Y616" s="124"/>
      <c r="Z616" s="125"/>
      <c r="AA616" s="189"/>
      <c r="AB616" s="124"/>
      <c r="AC616" s="124"/>
      <c r="AD616" s="124"/>
      <c r="AE616" s="125"/>
      <c r="AF616" s="189"/>
      <c r="AG616" s="124"/>
      <c r="AH616" s="124"/>
      <c r="AI616" s="124"/>
      <c r="AJ616" s="125"/>
      <c r="AK616" s="189"/>
      <c r="AL616" s="124"/>
      <c r="AM616" s="124"/>
      <c r="AN616" s="124"/>
      <c r="AO616" s="360"/>
      <c r="AP616" s="360"/>
      <c r="AQ616" s="360"/>
      <c r="AR616" s="360"/>
      <c r="AS616" s="360"/>
      <c r="AT616" s="360"/>
      <c r="AU616" s="360"/>
      <c r="AV616" s="360"/>
      <c r="AW616" s="360"/>
      <c r="AX616" s="360"/>
      <c r="AY616" s="360"/>
      <c r="AZ616" s="360"/>
      <c r="BA616" s="360"/>
      <c r="BB616" s="360"/>
      <c r="BC616" s="360"/>
    </row>
    <row r="617">
      <c r="A617" s="125"/>
      <c r="B617" s="189"/>
      <c r="C617" s="124"/>
      <c r="D617" s="124"/>
      <c r="E617" s="124"/>
      <c r="F617" s="125"/>
      <c r="G617" s="189"/>
      <c r="H617" s="124"/>
      <c r="I617" s="124"/>
      <c r="J617" s="124"/>
      <c r="K617" s="102"/>
      <c r="L617" s="189"/>
      <c r="M617" s="124"/>
      <c r="N617" s="124"/>
      <c r="O617" s="124"/>
      <c r="P617" s="102"/>
      <c r="Q617" s="161"/>
      <c r="R617" s="124"/>
      <c r="S617" s="124"/>
      <c r="T617" s="124"/>
      <c r="U617" s="125"/>
      <c r="V617" s="189"/>
      <c r="W617" s="124"/>
      <c r="X617" s="124"/>
      <c r="Y617" s="124"/>
      <c r="Z617" s="125"/>
      <c r="AA617" s="189"/>
      <c r="AB617" s="124"/>
      <c r="AC617" s="124"/>
      <c r="AD617" s="124"/>
      <c r="AE617" s="125"/>
      <c r="AF617" s="189"/>
      <c r="AG617" s="124"/>
      <c r="AH617" s="124"/>
      <c r="AI617" s="124"/>
      <c r="AJ617" s="125"/>
      <c r="AK617" s="189"/>
      <c r="AL617" s="124"/>
      <c r="AM617" s="124"/>
      <c r="AN617" s="124"/>
      <c r="AO617" s="360"/>
      <c r="AP617" s="360"/>
      <c r="AQ617" s="360"/>
      <c r="AR617" s="360"/>
      <c r="AS617" s="360"/>
      <c r="AT617" s="360"/>
      <c r="AU617" s="360"/>
      <c r="AV617" s="360"/>
      <c r="AW617" s="360"/>
      <c r="AX617" s="360"/>
      <c r="AY617" s="360"/>
      <c r="AZ617" s="360"/>
      <c r="BA617" s="360"/>
      <c r="BB617" s="360"/>
      <c r="BC617" s="360"/>
    </row>
    <row r="618">
      <c r="A618" s="125"/>
      <c r="B618" s="189"/>
      <c r="C618" s="124"/>
      <c r="D618" s="124"/>
      <c r="E618" s="124"/>
      <c r="F618" s="125"/>
      <c r="G618" s="189"/>
      <c r="H618" s="124"/>
      <c r="I618" s="124"/>
      <c r="J618" s="124"/>
      <c r="K618" s="102"/>
      <c r="L618" s="189"/>
      <c r="M618" s="124"/>
      <c r="N618" s="124"/>
      <c r="O618" s="124"/>
      <c r="P618" s="102"/>
      <c r="Q618" s="161"/>
      <c r="R618" s="124"/>
      <c r="S618" s="124"/>
      <c r="T618" s="124"/>
      <c r="U618" s="125"/>
      <c r="V618" s="189"/>
      <c r="W618" s="124"/>
      <c r="X618" s="124"/>
      <c r="Y618" s="124"/>
      <c r="Z618" s="125"/>
      <c r="AA618" s="189"/>
      <c r="AB618" s="124"/>
      <c r="AC618" s="124"/>
      <c r="AD618" s="124"/>
      <c r="AE618" s="125"/>
      <c r="AF618" s="189"/>
      <c r="AG618" s="124"/>
      <c r="AH618" s="124"/>
      <c r="AI618" s="124"/>
      <c r="AJ618" s="125"/>
      <c r="AK618" s="189"/>
      <c r="AL618" s="124"/>
      <c r="AM618" s="124"/>
      <c r="AN618" s="124"/>
      <c r="AO618" s="360"/>
      <c r="AP618" s="360"/>
      <c r="AQ618" s="360"/>
      <c r="AR618" s="360"/>
      <c r="AS618" s="360"/>
      <c r="AT618" s="360"/>
      <c r="AU618" s="360"/>
      <c r="AV618" s="360"/>
      <c r="AW618" s="360"/>
      <c r="AX618" s="360"/>
      <c r="AY618" s="360"/>
      <c r="AZ618" s="360"/>
      <c r="BA618" s="360"/>
      <c r="BB618" s="360"/>
      <c r="BC618" s="360"/>
    </row>
    <row r="619">
      <c r="A619" s="125"/>
      <c r="B619" s="189"/>
      <c r="C619" s="124"/>
      <c r="D619" s="124"/>
      <c r="E619" s="124"/>
      <c r="F619" s="125"/>
      <c r="G619" s="189"/>
      <c r="H619" s="124"/>
      <c r="I619" s="124"/>
      <c r="J619" s="124"/>
      <c r="K619" s="102"/>
      <c r="L619" s="189"/>
      <c r="M619" s="124"/>
      <c r="N619" s="124"/>
      <c r="O619" s="124"/>
      <c r="P619" s="102"/>
      <c r="Q619" s="161"/>
      <c r="R619" s="124"/>
      <c r="S619" s="124"/>
      <c r="T619" s="124"/>
      <c r="U619" s="125"/>
      <c r="V619" s="189"/>
      <c r="W619" s="124"/>
      <c r="X619" s="124"/>
      <c r="Y619" s="124"/>
      <c r="Z619" s="125"/>
      <c r="AA619" s="189"/>
      <c r="AB619" s="124"/>
      <c r="AC619" s="124"/>
      <c r="AD619" s="124"/>
      <c r="AE619" s="125"/>
      <c r="AF619" s="189"/>
      <c r="AG619" s="124"/>
      <c r="AH619" s="124"/>
      <c r="AI619" s="124"/>
      <c r="AJ619" s="125"/>
      <c r="AK619" s="189"/>
      <c r="AL619" s="124"/>
      <c r="AM619" s="124"/>
      <c r="AN619" s="124"/>
      <c r="AO619" s="360"/>
      <c r="AP619" s="360"/>
      <c r="AQ619" s="360"/>
      <c r="AR619" s="360"/>
      <c r="AS619" s="360"/>
      <c r="AT619" s="360"/>
      <c r="AU619" s="360"/>
      <c r="AV619" s="360"/>
      <c r="AW619" s="360"/>
      <c r="AX619" s="360"/>
      <c r="AY619" s="360"/>
      <c r="AZ619" s="360"/>
      <c r="BA619" s="360"/>
      <c r="BB619" s="360"/>
      <c r="BC619" s="360"/>
    </row>
    <row r="620">
      <c r="A620" s="125"/>
      <c r="B620" s="189"/>
      <c r="C620" s="124"/>
      <c r="D620" s="124"/>
      <c r="E620" s="124"/>
      <c r="F620" s="125"/>
      <c r="G620" s="189"/>
      <c r="H620" s="124"/>
      <c r="I620" s="124"/>
      <c r="J620" s="124"/>
      <c r="K620" s="102"/>
      <c r="L620" s="189"/>
      <c r="M620" s="124"/>
      <c r="N620" s="124"/>
      <c r="O620" s="124"/>
      <c r="P620" s="102"/>
      <c r="Q620" s="161"/>
      <c r="R620" s="124"/>
      <c r="S620" s="124"/>
      <c r="T620" s="124"/>
      <c r="U620" s="125"/>
      <c r="V620" s="189"/>
      <c r="W620" s="124"/>
      <c r="X620" s="124"/>
      <c r="Y620" s="124"/>
      <c r="Z620" s="125"/>
      <c r="AA620" s="189"/>
      <c r="AB620" s="124"/>
      <c r="AC620" s="124"/>
      <c r="AD620" s="124"/>
      <c r="AE620" s="125"/>
      <c r="AF620" s="189"/>
      <c r="AG620" s="124"/>
      <c r="AH620" s="124"/>
      <c r="AI620" s="124"/>
      <c r="AJ620" s="125"/>
      <c r="AK620" s="189"/>
      <c r="AL620" s="124"/>
      <c r="AM620" s="124"/>
      <c r="AN620" s="124"/>
      <c r="AO620" s="360"/>
      <c r="AP620" s="360"/>
      <c r="AQ620" s="360"/>
      <c r="AR620" s="360"/>
      <c r="AS620" s="360"/>
      <c r="AT620" s="360"/>
      <c r="AU620" s="360"/>
      <c r="AV620" s="360"/>
      <c r="AW620" s="360"/>
      <c r="AX620" s="360"/>
      <c r="AY620" s="360"/>
      <c r="AZ620" s="360"/>
      <c r="BA620" s="360"/>
      <c r="BB620" s="360"/>
      <c r="BC620" s="360"/>
    </row>
    <row r="621">
      <c r="A621" s="125"/>
      <c r="B621" s="189"/>
      <c r="C621" s="124"/>
      <c r="D621" s="124"/>
      <c r="E621" s="124"/>
      <c r="F621" s="125"/>
      <c r="G621" s="189"/>
      <c r="H621" s="124"/>
      <c r="I621" s="124"/>
      <c r="J621" s="124"/>
      <c r="K621" s="102"/>
      <c r="L621" s="189"/>
      <c r="M621" s="124"/>
      <c r="N621" s="124"/>
      <c r="O621" s="124"/>
      <c r="P621" s="102"/>
      <c r="Q621" s="161"/>
      <c r="R621" s="124"/>
      <c r="S621" s="124"/>
      <c r="T621" s="124"/>
      <c r="U621" s="125"/>
      <c r="V621" s="189"/>
      <c r="W621" s="124"/>
      <c r="X621" s="124"/>
      <c r="Y621" s="124"/>
      <c r="Z621" s="125"/>
      <c r="AA621" s="189"/>
      <c r="AB621" s="124"/>
      <c r="AC621" s="124"/>
      <c r="AD621" s="124"/>
      <c r="AE621" s="125"/>
      <c r="AF621" s="189"/>
      <c r="AG621" s="124"/>
      <c r="AH621" s="124"/>
      <c r="AI621" s="124"/>
      <c r="AJ621" s="125"/>
      <c r="AK621" s="189"/>
      <c r="AL621" s="124"/>
      <c r="AM621" s="124"/>
      <c r="AN621" s="124"/>
      <c r="AO621" s="360"/>
      <c r="AP621" s="360"/>
      <c r="AQ621" s="360"/>
      <c r="AR621" s="360"/>
      <c r="AS621" s="360"/>
      <c r="AT621" s="360"/>
      <c r="AU621" s="360"/>
      <c r="AV621" s="360"/>
      <c r="AW621" s="360"/>
      <c r="AX621" s="360"/>
      <c r="AY621" s="360"/>
      <c r="AZ621" s="360"/>
      <c r="BA621" s="360"/>
      <c r="BB621" s="360"/>
      <c r="BC621" s="360"/>
    </row>
    <row r="622">
      <c r="A622" s="125"/>
      <c r="B622" s="189"/>
      <c r="C622" s="124"/>
      <c r="D622" s="124"/>
      <c r="E622" s="124"/>
      <c r="F622" s="125"/>
      <c r="G622" s="189"/>
      <c r="H622" s="124"/>
      <c r="I622" s="124"/>
      <c r="J622" s="124"/>
      <c r="K622" s="102"/>
      <c r="L622" s="189"/>
      <c r="M622" s="124"/>
      <c r="N622" s="124"/>
      <c r="O622" s="124"/>
      <c r="P622" s="102"/>
      <c r="Q622" s="161"/>
      <c r="R622" s="124"/>
      <c r="S622" s="124"/>
      <c r="T622" s="124"/>
      <c r="U622" s="125"/>
      <c r="V622" s="189"/>
      <c r="W622" s="124"/>
      <c r="X622" s="124"/>
      <c r="Y622" s="124"/>
      <c r="Z622" s="125"/>
      <c r="AA622" s="189"/>
      <c r="AB622" s="124"/>
      <c r="AC622" s="124"/>
      <c r="AD622" s="124"/>
      <c r="AE622" s="125"/>
      <c r="AF622" s="189"/>
      <c r="AG622" s="124"/>
      <c r="AH622" s="124"/>
      <c r="AI622" s="124"/>
      <c r="AJ622" s="125"/>
      <c r="AK622" s="189"/>
      <c r="AL622" s="124"/>
      <c r="AM622" s="124"/>
      <c r="AN622" s="124"/>
      <c r="AO622" s="360"/>
      <c r="AP622" s="360"/>
      <c r="AQ622" s="360"/>
      <c r="AR622" s="360"/>
      <c r="AS622" s="360"/>
      <c r="AT622" s="360"/>
      <c r="AU622" s="360"/>
      <c r="AV622" s="360"/>
      <c r="AW622" s="360"/>
      <c r="AX622" s="360"/>
      <c r="AY622" s="360"/>
      <c r="AZ622" s="360"/>
      <c r="BA622" s="360"/>
      <c r="BB622" s="360"/>
      <c r="BC622" s="360"/>
    </row>
    <row r="623">
      <c r="A623" s="125"/>
      <c r="B623" s="189"/>
      <c r="C623" s="124"/>
      <c r="D623" s="124"/>
      <c r="E623" s="124"/>
      <c r="F623" s="125"/>
      <c r="G623" s="189"/>
      <c r="H623" s="124"/>
      <c r="I623" s="124"/>
      <c r="J623" s="124"/>
      <c r="K623" s="102"/>
      <c r="L623" s="189"/>
      <c r="M623" s="124"/>
      <c r="N623" s="124"/>
      <c r="O623" s="124"/>
      <c r="P623" s="102"/>
      <c r="Q623" s="161"/>
      <c r="R623" s="124"/>
      <c r="S623" s="124"/>
      <c r="T623" s="124"/>
      <c r="U623" s="125"/>
      <c r="V623" s="189"/>
      <c r="W623" s="124"/>
      <c r="X623" s="124"/>
      <c r="Y623" s="124"/>
      <c r="Z623" s="125"/>
      <c r="AA623" s="189"/>
      <c r="AB623" s="124"/>
      <c r="AC623" s="124"/>
      <c r="AD623" s="124"/>
      <c r="AE623" s="125"/>
      <c r="AF623" s="189"/>
      <c r="AG623" s="124"/>
      <c r="AH623" s="124"/>
      <c r="AI623" s="124"/>
      <c r="AJ623" s="125"/>
      <c r="AK623" s="189"/>
      <c r="AL623" s="124"/>
      <c r="AM623" s="124"/>
      <c r="AN623" s="124"/>
      <c r="AO623" s="360"/>
      <c r="AP623" s="360"/>
      <c r="AQ623" s="360"/>
      <c r="AR623" s="360"/>
      <c r="AS623" s="360"/>
      <c r="AT623" s="360"/>
      <c r="AU623" s="360"/>
      <c r="AV623" s="360"/>
      <c r="AW623" s="360"/>
      <c r="AX623" s="360"/>
      <c r="AY623" s="360"/>
      <c r="AZ623" s="360"/>
      <c r="BA623" s="360"/>
      <c r="BB623" s="360"/>
      <c r="BC623" s="360"/>
    </row>
    <row r="624">
      <c r="A624" s="125"/>
      <c r="B624" s="189"/>
      <c r="C624" s="124"/>
      <c r="D624" s="124"/>
      <c r="E624" s="124"/>
      <c r="F624" s="125"/>
      <c r="G624" s="189"/>
      <c r="H624" s="124"/>
      <c r="I624" s="124"/>
      <c r="J624" s="124"/>
      <c r="K624" s="102"/>
      <c r="L624" s="189"/>
      <c r="M624" s="124"/>
      <c r="N624" s="124"/>
      <c r="O624" s="124"/>
      <c r="P624" s="102"/>
      <c r="Q624" s="161"/>
      <c r="R624" s="124"/>
      <c r="S624" s="124"/>
      <c r="T624" s="124"/>
      <c r="U624" s="125"/>
      <c r="V624" s="189"/>
      <c r="W624" s="124"/>
      <c r="X624" s="124"/>
      <c r="Y624" s="124"/>
      <c r="Z624" s="125"/>
      <c r="AA624" s="189"/>
      <c r="AB624" s="124"/>
      <c r="AC624" s="124"/>
      <c r="AD624" s="124"/>
      <c r="AE624" s="125"/>
      <c r="AF624" s="189"/>
      <c r="AG624" s="124"/>
      <c r="AH624" s="124"/>
      <c r="AI624" s="124"/>
      <c r="AJ624" s="125"/>
      <c r="AK624" s="189"/>
      <c r="AL624" s="124"/>
      <c r="AM624" s="124"/>
      <c r="AN624" s="124"/>
      <c r="AO624" s="360"/>
      <c r="AP624" s="360"/>
      <c r="AQ624" s="360"/>
      <c r="AR624" s="360"/>
      <c r="AS624" s="360"/>
      <c r="AT624" s="360"/>
      <c r="AU624" s="360"/>
      <c r="AV624" s="360"/>
      <c r="AW624" s="360"/>
      <c r="AX624" s="360"/>
      <c r="AY624" s="360"/>
      <c r="AZ624" s="360"/>
      <c r="BA624" s="360"/>
      <c r="BB624" s="360"/>
      <c r="BC624" s="360"/>
    </row>
    <row r="625">
      <c r="A625" s="125"/>
      <c r="B625" s="189"/>
      <c r="C625" s="124"/>
      <c r="D625" s="124"/>
      <c r="E625" s="124"/>
      <c r="F625" s="125"/>
      <c r="G625" s="189"/>
      <c r="H625" s="124"/>
      <c r="I625" s="124"/>
      <c r="J625" s="124"/>
      <c r="K625" s="102"/>
      <c r="L625" s="189"/>
      <c r="M625" s="124"/>
      <c r="N625" s="124"/>
      <c r="O625" s="124"/>
      <c r="P625" s="102"/>
      <c r="Q625" s="161"/>
      <c r="R625" s="124"/>
      <c r="S625" s="124"/>
      <c r="T625" s="124"/>
      <c r="U625" s="125"/>
      <c r="V625" s="189"/>
      <c r="W625" s="124"/>
      <c r="X625" s="124"/>
      <c r="Y625" s="124"/>
      <c r="Z625" s="125"/>
      <c r="AA625" s="189"/>
      <c r="AB625" s="124"/>
      <c r="AC625" s="124"/>
      <c r="AD625" s="124"/>
      <c r="AE625" s="125"/>
      <c r="AF625" s="189"/>
      <c r="AG625" s="124"/>
      <c r="AH625" s="124"/>
      <c r="AI625" s="124"/>
      <c r="AJ625" s="125"/>
      <c r="AK625" s="189"/>
      <c r="AL625" s="124"/>
      <c r="AM625" s="124"/>
      <c r="AN625" s="124"/>
      <c r="AO625" s="360"/>
      <c r="AP625" s="360"/>
      <c r="AQ625" s="360"/>
      <c r="AR625" s="360"/>
      <c r="AS625" s="360"/>
      <c r="AT625" s="360"/>
      <c r="AU625" s="360"/>
      <c r="AV625" s="360"/>
      <c r="AW625" s="360"/>
      <c r="AX625" s="360"/>
      <c r="AY625" s="360"/>
      <c r="AZ625" s="360"/>
      <c r="BA625" s="360"/>
      <c r="BB625" s="360"/>
      <c r="BC625" s="360"/>
    </row>
    <row r="626">
      <c r="A626" s="125"/>
      <c r="B626" s="189"/>
      <c r="C626" s="124"/>
      <c r="D626" s="124"/>
      <c r="E626" s="124"/>
      <c r="F626" s="125"/>
      <c r="G626" s="189"/>
      <c r="H626" s="124"/>
      <c r="I626" s="124"/>
      <c r="J626" s="124"/>
      <c r="K626" s="102"/>
      <c r="L626" s="189"/>
      <c r="M626" s="124"/>
      <c r="N626" s="124"/>
      <c r="O626" s="124"/>
      <c r="P626" s="102"/>
      <c r="Q626" s="161"/>
      <c r="R626" s="124"/>
      <c r="S626" s="124"/>
      <c r="T626" s="124"/>
      <c r="U626" s="125"/>
      <c r="V626" s="189"/>
      <c r="W626" s="124"/>
      <c r="X626" s="124"/>
      <c r="Y626" s="124"/>
      <c r="Z626" s="125"/>
      <c r="AA626" s="189"/>
      <c r="AB626" s="124"/>
      <c r="AC626" s="124"/>
      <c r="AD626" s="124"/>
      <c r="AE626" s="125"/>
      <c r="AF626" s="189"/>
      <c r="AG626" s="124"/>
      <c r="AH626" s="124"/>
      <c r="AI626" s="124"/>
      <c r="AJ626" s="125"/>
      <c r="AK626" s="189"/>
      <c r="AL626" s="124"/>
      <c r="AM626" s="124"/>
      <c r="AN626" s="124"/>
      <c r="AO626" s="360"/>
      <c r="AP626" s="360"/>
      <c r="AQ626" s="360"/>
      <c r="AR626" s="360"/>
      <c r="AS626" s="360"/>
      <c r="AT626" s="360"/>
      <c r="AU626" s="360"/>
      <c r="AV626" s="360"/>
      <c r="AW626" s="360"/>
      <c r="AX626" s="360"/>
      <c r="AY626" s="360"/>
      <c r="AZ626" s="360"/>
      <c r="BA626" s="360"/>
      <c r="BB626" s="360"/>
      <c r="BC626" s="360"/>
    </row>
    <row r="627">
      <c r="A627" s="125"/>
      <c r="B627" s="189"/>
      <c r="C627" s="124"/>
      <c r="D627" s="124"/>
      <c r="E627" s="124"/>
      <c r="F627" s="125"/>
      <c r="G627" s="189"/>
      <c r="H627" s="124"/>
      <c r="I627" s="124"/>
      <c r="J627" s="124"/>
      <c r="K627" s="102"/>
      <c r="L627" s="189"/>
      <c r="M627" s="124"/>
      <c r="N627" s="124"/>
      <c r="O627" s="124"/>
      <c r="P627" s="102"/>
      <c r="Q627" s="161"/>
      <c r="R627" s="124"/>
      <c r="S627" s="124"/>
      <c r="T627" s="124"/>
      <c r="U627" s="125"/>
      <c r="V627" s="189"/>
      <c r="W627" s="124"/>
      <c r="X627" s="124"/>
      <c r="Y627" s="124"/>
      <c r="Z627" s="125"/>
      <c r="AA627" s="189"/>
      <c r="AB627" s="124"/>
      <c r="AC627" s="124"/>
      <c r="AD627" s="124"/>
      <c r="AE627" s="125"/>
      <c r="AF627" s="189"/>
      <c r="AG627" s="124"/>
      <c r="AH627" s="124"/>
      <c r="AI627" s="124"/>
      <c r="AJ627" s="125"/>
      <c r="AK627" s="189"/>
      <c r="AL627" s="124"/>
      <c r="AM627" s="124"/>
      <c r="AN627" s="124"/>
      <c r="AO627" s="360"/>
      <c r="AP627" s="360"/>
      <c r="AQ627" s="360"/>
      <c r="AR627" s="360"/>
      <c r="AS627" s="360"/>
      <c r="AT627" s="360"/>
      <c r="AU627" s="360"/>
      <c r="AV627" s="360"/>
      <c r="AW627" s="360"/>
      <c r="AX627" s="360"/>
      <c r="AY627" s="360"/>
      <c r="AZ627" s="360"/>
      <c r="BA627" s="360"/>
      <c r="BB627" s="360"/>
      <c r="BC627" s="360"/>
    </row>
    <row r="628">
      <c r="A628" s="125"/>
      <c r="B628" s="189"/>
      <c r="C628" s="124"/>
      <c r="D628" s="124"/>
      <c r="E628" s="124"/>
      <c r="F628" s="125"/>
      <c r="G628" s="189"/>
      <c r="H628" s="124"/>
      <c r="I628" s="124"/>
      <c r="J628" s="124"/>
      <c r="K628" s="102"/>
      <c r="L628" s="189"/>
      <c r="M628" s="124"/>
      <c r="N628" s="124"/>
      <c r="O628" s="124"/>
      <c r="P628" s="102"/>
      <c r="Q628" s="161"/>
      <c r="R628" s="124"/>
      <c r="S628" s="124"/>
      <c r="T628" s="124"/>
      <c r="U628" s="125"/>
      <c r="V628" s="189"/>
      <c r="W628" s="124"/>
      <c r="X628" s="124"/>
      <c r="Y628" s="124"/>
      <c r="Z628" s="125"/>
      <c r="AA628" s="189"/>
      <c r="AB628" s="124"/>
      <c r="AC628" s="124"/>
      <c r="AD628" s="124"/>
      <c r="AE628" s="125"/>
      <c r="AF628" s="189"/>
      <c r="AG628" s="124"/>
      <c r="AH628" s="124"/>
      <c r="AI628" s="124"/>
      <c r="AJ628" s="125"/>
      <c r="AK628" s="189"/>
      <c r="AL628" s="124"/>
      <c r="AM628" s="124"/>
      <c r="AN628" s="124"/>
      <c r="AO628" s="360"/>
      <c r="AP628" s="360"/>
      <c r="AQ628" s="360"/>
      <c r="AR628" s="360"/>
      <c r="AS628" s="360"/>
      <c r="AT628" s="360"/>
      <c r="AU628" s="360"/>
      <c r="AV628" s="360"/>
      <c r="AW628" s="360"/>
      <c r="AX628" s="360"/>
      <c r="AY628" s="360"/>
      <c r="AZ628" s="360"/>
      <c r="BA628" s="360"/>
      <c r="BB628" s="360"/>
      <c r="BC628" s="360"/>
    </row>
    <row r="629">
      <c r="A629" s="125"/>
      <c r="B629" s="189"/>
      <c r="C629" s="124"/>
      <c r="D629" s="124"/>
      <c r="E629" s="124"/>
      <c r="F629" s="125"/>
      <c r="G629" s="189"/>
      <c r="H629" s="124"/>
      <c r="I629" s="124"/>
      <c r="J629" s="124"/>
      <c r="K629" s="102"/>
      <c r="L629" s="189"/>
      <c r="M629" s="124"/>
      <c r="N629" s="124"/>
      <c r="O629" s="124"/>
      <c r="P629" s="102"/>
      <c r="Q629" s="161"/>
      <c r="R629" s="124"/>
      <c r="S629" s="124"/>
      <c r="T629" s="124"/>
      <c r="U629" s="125"/>
      <c r="V629" s="189"/>
      <c r="W629" s="124"/>
      <c r="X629" s="124"/>
      <c r="Y629" s="124"/>
      <c r="Z629" s="125"/>
      <c r="AA629" s="189"/>
      <c r="AB629" s="124"/>
      <c r="AC629" s="124"/>
      <c r="AD629" s="124"/>
      <c r="AE629" s="125"/>
      <c r="AF629" s="189"/>
      <c r="AG629" s="124"/>
      <c r="AH629" s="124"/>
      <c r="AI629" s="124"/>
      <c r="AJ629" s="125"/>
      <c r="AK629" s="189"/>
      <c r="AL629" s="124"/>
      <c r="AM629" s="124"/>
      <c r="AN629" s="124"/>
      <c r="AO629" s="360"/>
      <c r="AP629" s="360"/>
      <c r="AQ629" s="360"/>
      <c r="AR629" s="360"/>
      <c r="AS629" s="360"/>
      <c r="AT629" s="360"/>
      <c r="AU629" s="360"/>
      <c r="AV629" s="360"/>
      <c r="AW629" s="360"/>
      <c r="AX629" s="360"/>
      <c r="AY629" s="360"/>
      <c r="AZ629" s="360"/>
      <c r="BA629" s="360"/>
      <c r="BB629" s="360"/>
      <c r="BC629" s="360"/>
    </row>
    <row r="630">
      <c r="A630" s="125"/>
      <c r="B630" s="189"/>
      <c r="C630" s="124"/>
      <c r="D630" s="124"/>
      <c r="E630" s="124"/>
      <c r="F630" s="125"/>
      <c r="G630" s="189"/>
      <c r="H630" s="124"/>
      <c r="I630" s="124"/>
      <c r="J630" s="124"/>
      <c r="K630" s="102"/>
      <c r="L630" s="189"/>
      <c r="M630" s="124"/>
      <c r="N630" s="124"/>
      <c r="O630" s="124"/>
      <c r="P630" s="102"/>
      <c r="Q630" s="161"/>
      <c r="R630" s="124"/>
      <c r="S630" s="124"/>
      <c r="T630" s="124"/>
      <c r="U630" s="125"/>
      <c r="V630" s="189"/>
      <c r="W630" s="124"/>
      <c r="X630" s="124"/>
      <c r="Y630" s="124"/>
      <c r="Z630" s="125"/>
      <c r="AA630" s="189"/>
      <c r="AB630" s="124"/>
      <c r="AC630" s="124"/>
      <c r="AD630" s="124"/>
      <c r="AE630" s="125"/>
      <c r="AF630" s="189"/>
      <c r="AG630" s="124"/>
      <c r="AH630" s="124"/>
      <c r="AI630" s="124"/>
      <c r="AJ630" s="125"/>
      <c r="AK630" s="189"/>
      <c r="AL630" s="124"/>
      <c r="AM630" s="124"/>
      <c r="AN630" s="124"/>
      <c r="AO630" s="360"/>
      <c r="AP630" s="360"/>
      <c r="AQ630" s="360"/>
      <c r="AR630" s="360"/>
      <c r="AS630" s="360"/>
      <c r="AT630" s="360"/>
      <c r="AU630" s="360"/>
      <c r="AV630" s="360"/>
      <c r="AW630" s="360"/>
      <c r="AX630" s="360"/>
      <c r="AY630" s="360"/>
      <c r="AZ630" s="360"/>
      <c r="BA630" s="360"/>
      <c r="BB630" s="360"/>
      <c r="BC630" s="360"/>
    </row>
    <row r="631">
      <c r="A631" s="125"/>
      <c r="B631" s="189"/>
      <c r="C631" s="124"/>
      <c r="D631" s="124"/>
      <c r="E631" s="124"/>
      <c r="F631" s="125"/>
      <c r="G631" s="189"/>
      <c r="H631" s="124"/>
      <c r="I631" s="124"/>
      <c r="J631" s="124"/>
      <c r="K631" s="102"/>
      <c r="L631" s="189"/>
      <c r="M631" s="124"/>
      <c r="N631" s="124"/>
      <c r="O631" s="124"/>
      <c r="P631" s="102"/>
      <c r="Q631" s="161"/>
      <c r="R631" s="124"/>
      <c r="S631" s="124"/>
      <c r="T631" s="124"/>
      <c r="U631" s="125"/>
      <c r="V631" s="189"/>
      <c r="W631" s="124"/>
      <c r="X631" s="124"/>
      <c r="Y631" s="124"/>
      <c r="Z631" s="125"/>
      <c r="AA631" s="189"/>
      <c r="AB631" s="124"/>
      <c r="AC631" s="124"/>
      <c r="AD631" s="124"/>
      <c r="AE631" s="125"/>
      <c r="AF631" s="189"/>
      <c r="AG631" s="124"/>
      <c r="AH631" s="124"/>
      <c r="AI631" s="124"/>
      <c r="AJ631" s="125"/>
      <c r="AK631" s="189"/>
      <c r="AL631" s="124"/>
      <c r="AM631" s="124"/>
      <c r="AN631" s="124"/>
      <c r="AO631" s="360"/>
      <c r="AP631" s="360"/>
      <c r="AQ631" s="360"/>
      <c r="AR631" s="360"/>
      <c r="AS631" s="360"/>
      <c r="AT631" s="360"/>
      <c r="AU631" s="360"/>
      <c r="AV631" s="360"/>
      <c r="AW631" s="360"/>
      <c r="AX631" s="360"/>
      <c r="AY631" s="360"/>
      <c r="AZ631" s="360"/>
      <c r="BA631" s="360"/>
      <c r="BB631" s="360"/>
      <c r="BC631" s="360"/>
    </row>
    <row r="632">
      <c r="A632" s="125"/>
      <c r="B632" s="189"/>
      <c r="C632" s="124"/>
      <c r="D632" s="124"/>
      <c r="E632" s="124"/>
      <c r="F632" s="125"/>
      <c r="G632" s="189"/>
      <c r="H632" s="124"/>
      <c r="I632" s="124"/>
      <c r="J632" s="124"/>
      <c r="K632" s="102"/>
      <c r="L632" s="189"/>
      <c r="M632" s="124"/>
      <c r="N632" s="124"/>
      <c r="O632" s="124"/>
      <c r="P632" s="102"/>
      <c r="Q632" s="161"/>
      <c r="R632" s="124"/>
      <c r="S632" s="124"/>
      <c r="T632" s="124"/>
      <c r="U632" s="125"/>
      <c r="V632" s="189"/>
      <c r="W632" s="124"/>
      <c r="X632" s="124"/>
      <c r="Y632" s="124"/>
      <c r="Z632" s="125"/>
      <c r="AA632" s="189"/>
      <c r="AB632" s="124"/>
      <c r="AC632" s="124"/>
      <c r="AD632" s="124"/>
      <c r="AE632" s="125"/>
      <c r="AF632" s="189"/>
      <c r="AG632" s="124"/>
      <c r="AH632" s="124"/>
      <c r="AI632" s="124"/>
      <c r="AJ632" s="125"/>
      <c r="AK632" s="189"/>
      <c r="AL632" s="124"/>
      <c r="AM632" s="124"/>
      <c r="AN632" s="124"/>
      <c r="AO632" s="360"/>
      <c r="AP632" s="360"/>
      <c r="AQ632" s="360"/>
      <c r="AR632" s="360"/>
      <c r="AS632" s="360"/>
      <c r="AT632" s="360"/>
      <c r="AU632" s="360"/>
      <c r="AV632" s="360"/>
      <c r="AW632" s="360"/>
      <c r="AX632" s="360"/>
      <c r="AY632" s="360"/>
      <c r="AZ632" s="360"/>
      <c r="BA632" s="360"/>
      <c r="BB632" s="360"/>
      <c r="BC632" s="360"/>
    </row>
    <row r="633">
      <c r="A633" s="125"/>
      <c r="B633" s="189"/>
      <c r="C633" s="124"/>
      <c r="D633" s="124"/>
      <c r="E633" s="124"/>
      <c r="F633" s="125"/>
      <c r="G633" s="189"/>
      <c r="H633" s="124"/>
      <c r="I633" s="124"/>
      <c r="J633" s="124"/>
      <c r="K633" s="102"/>
      <c r="L633" s="189"/>
      <c r="M633" s="124"/>
      <c r="N633" s="124"/>
      <c r="O633" s="124"/>
      <c r="P633" s="102"/>
      <c r="Q633" s="161"/>
      <c r="R633" s="124"/>
      <c r="S633" s="124"/>
      <c r="T633" s="124"/>
      <c r="U633" s="125"/>
      <c r="V633" s="189"/>
      <c r="W633" s="124"/>
      <c r="X633" s="124"/>
      <c r="Y633" s="124"/>
      <c r="Z633" s="125"/>
      <c r="AA633" s="189"/>
      <c r="AB633" s="124"/>
      <c r="AC633" s="124"/>
      <c r="AD633" s="124"/>
      <c r="AE633" s="125"/>
      <c r="AF633" s="189"/>
      <c r="AG633" s="124"/>
      <c r="AH633" s="124"/>
      <c r="AI633" s="124"/>
      <c r="AJ633" s="125"/>
      <c r="AK633" s="189"/>
      <c r="AL633" s="124"/>
      <c r="AM633" s="124"/>
      <c r="AN633" s="124"/>
      <c r="AO633" s="360"/>
      <c r="AP633" s="360"/>
      <c r="AQ633" s="360"/>
      <c r="AR633" s="360"/>
      <c r="AS633" s="360"/>
      <c r="AT633" s="360"/>
      <c r="AU633" s="360"/>
      <c r="AV633" s="360"/>
      <c r="AW633" s="360"/>
      <c r="AX633" s="360"/>
      <c r="AY633" s="360"/>
      <c r="AZ633" s="360"/>
      <c r="BA633" s="360"/>
      <c r="BB633" s="360"/>
      <c r="BC633" s="360"/>
    </row>
    <row r="634">
      <c r="A634" s="125"/>
      <c r="B634" s="189"/>
      <c r="C634" s="124"/>
      <c r="D634" s="124"/>
      <c r="E634" s="124"/>
      <c r="F634" s="125"/>
      <c r="G634" s="189"/>
      <c r="H634" s="124"/>
      <c r="I634" s="124"/>
      <c r="J634" s="124"/>
      <c r="K634" s="102"/>
      <c r="L634" s="189"/>
      <c r="M634" s="124"/>
      <c r="N634" s="124"/>
      <c r="O634" s="124"/>
      <c r="P634" s="102"/>
      <c r="Q634" s="161"/>
      <c r="R634" s="124"/>
      <c r="S634" s="124"/>
      <c r="T634" s="124"/>
      <c r="U634" s="125"/>
      <c r="V634" s="189"/>
      <c r="W634" s="124"/>
      <c r="X634" s="124"/>
      <c r="Y634" s="124"/>
      <c r="Z634" s="125"/>
      <c r="AA634" s="189"/>
      <c r="AB634" s="124"/>
      <c r="AC634" s="124"/>
      <c r="AD634" s="124"/>
      <c r="AE634" s="125"/>
      <c r="AF634" s="189"/>
      <c r="AG634" s="124"/>
      <c r="AH634" s="124"/>
      <c r="AI634" s="124"/>
      <c r="AJ634" s="125"/>
      <c r="AK634" s="189"/>
      <c r="AL634" s="124"/>
      <c r="AM634" s="124"/>
      <c r="AN634" s="124"/>
      <c r="AO634" s="360"/>
      <c r="AP634" s="360"/>
      <c r="AQ634" s="360"/>
      <c r="AR634" s="360"/>
      <c r="AS634" s="360"/>
      <c r="AT634" s="360"/>
      <c r="AU634" s="360"/>
      <c r="AV634" s="360"/>
      <c r="AW634" s="360"/>
      <c r="AX634" s="360"/>
      <c r="AY634" s="360"/>
      <c r="AZ634" s="360"/>
      <c r="BA634" s="360"/>
      <c r="BB634" s="360"/>
      <c r="BC634" s="360"/>
    </row>
    <row r="635">
      <c r="A635" s="125"/>
      <c r="B635" s="189"/>
      <c r="C635" s="124"/>
      <c r="D635" s="124"/>
      <c r="E635" s="124"/>
      <c r="F635" s="125"/>
      <c r="G635" s="189"/>
      <c r="H635" s="124"/>
      <c r="I635" s="124"/>
      <c r="J635" s="124"/>
      <c r="K635" s="102"/>
      <c r="L635" s="189"/>
      <c r="M635" s="124"/>
      <c r="N635" s="124"/>
      <c r="O635" s="124"/>
      <c r="P635" s="102"/>
      <c r="Q635" s="161"/>
      <c r="R635" s="124"/>
      <c r="S635" s="124"/>
      <c r="T635" s="124"/>
      <c r="U635" s="125"/>
      <c r="V635" s="189"/>
      <c r="W635" s="124"/>
      <c r="X635" s="124"/>
      <c r="Y635" s="124"/>
      <c r="Z635" s="125"/>
      <c r="AA635" s="189"/>
      <c r="AB635" s="124"/>
      <c r="AC635" s="124"/>
      <c r="AD635" s="124"/>
      <c r="AE635" s="125"/>
      <c r="AF635" s="189"/>
      <c r="AG635" s="124"/>
      <c r="AH635" s="124"/>
      <c r="AI635" s="124"/>
      <c r="AJ635" s="125"/>
      <c r="AK635" s="189"/>
      <c r="AL635" s="124"/>
      <c r="AM635" s="124"/>
      <c r="AN635" s="124"/>
      <c r="AO635" s="360"/>
      <c r="AP635" s="360"/>
      <c r="AQ635" s="360"/>
      <c r="AR635" s="360"/>
      <c r="AS635" s="360"/>
      <c r="AT635" s="360"/>
      <c r="AU635" s="360"/>
      <c r="AV635" s="360"/>
      <c r="AW635" s="360"/>
      <c r="AX635" s="360"/>
      <c r="AY635" s="360"/>
      <c r="AZ635" s="360"/>
      <c r="BA635" s="360"/>
      <c r="BB635" s="360"/>
      <c r="BC635" s="360"/>
    </row>
    <row r="636">
      <c r="A636" s="125"/>
      <c r="B636" s="189"/>
      <c r="C636" s="124"/>
      <c r="D636" s="124"/>
      <c r="E636" s="124"/>
      <c r="F636" s="125"/>
      <c r="G636" s="189"/>
      <c r="H636" s="124"/>
      <c r="I636" s="124"/>
      <c r="J636" s="124"/>
      <c r="K636" s="102"/>
      <c r="L636" s="189"/>
      <c r="M636" s="124"/>
      <c r="N636" s="124"/>
      <c r="O636" s="124"/>
      <c r="P636" s="102"/>
      <c r="Q636" s="161"/>
      <c r="R636" s="124"/>
      <c r="S636" s="124"/>
      <c r="T636" s="124"/>
      <c r="U636" s="125"/>
      <c r="V636" s="189"/>
      <c r="W636" s="124"/>
      <c r="X636" s="124"/>
      <c r="Y636" s="124"/>
      <c r="Z636" s="125"/>
      <c r="AA636" s="189"/>
      <c r="AB636" s="124"/>
      <c r="AC636" s="124"/>
      <c r="AD636" s="124"/>
      <c r="AE636" s="125"/>
      <c r="AF636" s="189"/>
      <c r="AG636" s="124"/>
      <c r="AH636" s="124"/>
      <c r="AI636" s="124"/>
      <c r="AJ636" s="125"/>
      <c r="AK636" s="189"/>
      <c r="AL636" s="124"/>
      <c r="AM636" s="124"/>
      <c r="AN636" s="124"/>
      <c r="AO636" s="360"/>
      <c r="AP636" s="360"/>
      <c r="AQ636" s="360"/>
      <c r="AR636" s="360"/>
      <c r="AS636" s="360"/>
      <c r="AT636" s="360"/>
      <c r="AU636" s="360"/>
      <c r="AV636" s="360"/>
      <c r="AW636" s="360"/>
      <c r="AX636" s="360"/>
      <c r="AY636" s="360"/>
      <c r="AZ636" s="360"/>
      <c r="BA636" s="360"/>
      <c r="BB636" s="360"/>
      <c r="BC636" s="360"/>
    </row>
    <row r="637">
      <c r="A637" s="125"/>
      <c r="B637" s="189"/>
      <c r="C637" s="124"/>
      <c r="D637" s="124"/>
      <c r="E637" s="124"/>
      <c r="F637" s="125"/>
      <c r="G637" s="189"/>
      <c r="H637" s="124"/>
      <c r="I637" s="124"/>
      <c r="J637" s="124"/>
      <c r="K637" s="102"/>
      <c r="L637" s="189"/>
      <c r="M637" s="124"/>
      <c r="N637" s="124"/>
      <c r="O637" s="124"/>
      <c r="P637" s="102"/>
      <c r="Q637" s="161"/>
      <c r="R637" s="124"/>
      <c r="S637" s="124"/>
      <c r="T637" s="124"/>
      <c r="U637" s="125"/>
      <c r="V637" s="189"/>
      <c r="W637" s="124"/>
      <c r="X637" s="124"/>
      <c r="Y637" s="124"/>
      <c r="Z637" s="125"/>
      <c r="AA637" s="189"/>
      <c r="AB637" s="124"/>
      <c r="AC637" s="124"/>
      <c r="AD637" s="124"/>
      <c r="AE637" s="125"/>
      <c r="AF637" s="189"/>
      <c r="AG637" s="124"/>
      <c r="AH637" s="124"/>
      <c r="AI637" s="124"/>
      <c r="AJ637" s="125"/>
      <c r="AK637" s="189"/>
      <c r="AL637" s="124"/>
      <c r="AM637" s="124"/>
      <c r="AN637" s="124"/>
      <c r="AO637" s="360"/>
      <c r="AP637" s="360"/>
      <c r="AQ637" s="360"/>
      <c r="AR637" s="360"/>
      <c r="AS637" s="360"/>
      <c r="AT637" s="360"/>
      <c r="AU637" s="360"/>
      <c r="AV637" s="360"/>
      <c r="AW637" s="360"/>
      <c r="AX637" s="360"/>
      <c r="AY637" s="360"/>
      <c r="AZ637" s="360"/>
      <c r="BA637" s="360"/>
      <c r="BB637" s="360"/>
      <c r="BC637" s="360"/>
    </row>
    <row r="638">
      <c r="A638" s="125"/>
      <c r="B638" s="189"/>
      <c r="C638" s="124"/>
      <c r="D638" s="124"/>
      <c r="E638" s="124"/>
      <c r="F638" s="125"/>
      <c r="G638" s="189"/>
      <c r="H638" s="124"/>
      <c r="I638" s="124"/>
      <c r="J638" s="124"/>
      <c r="K638" s="102"/>
      <c r="L638" s="189"/>
      <c r="M638" s="124"/>
      <c r="N638" s="124"/>
      <c r="O638" s="124"/>
      <c r="P638" s="102"/>
      <c r="Q638" s="161"/>
      <c r="R638" s="124"/>
      <c r="S638" s="124"/>
      <c r="T638" s="124"/>
      <c r="U638" s="125"/>
      <c r="V638" s="189"/>
      <c r="W638" s="124"/>
      <c r="X638" s="124"/>
      <c r="Y638" s="124"/>
      <c r="Z638" s="125"/>
      <c r="AA638" s="189"/>
      <c r="AB638" s="124"/>
      <c r="AC638" s="124"/>
      <c r="AD638" s="124"/>
      <c r="AE638" s="125"/>
      <c r="AF638" s="189"/>
      <c r="AG638" s="124"/>
      <c r="AH638" s="124"/>
      <c r="AI638" s="124"/>
      <c r="AJ638" s="125"/>
      <c r="AK638" s="189"/>
      <c r="AL638" s="124"/>
      <c r="AM638" s="124"/>
      <c r="AN638" s="124"/>
      <c r="AO638" s="360"/>
      <c r="AP638" s="360"/>
      <c r="AQ638" s="360"/>
      <c r="AR638" s="360"/>
      <c r="AS638" s="360"/>
      <c r="AT638" s="360"/>
      <c r="AU638" s="360"/>
      <c r="AV638" s="360"/>
      <c r="AW638" s="360"/>
      <c r="AX638" s="360"/>
      <c r="AY638" s="360"/>
      <c r="AZ638" s="360"/>
      <c r="BA638" s="360"/>
      <c r="BB638" s="360"/>
      <c r="BC638" s="360"/>
    </row>
    <row r="639">
      <c r="A639" s="125"/>
      <c r="B639" s="189"/>
      <c r="C639" s="124"/>
      <c r="D639" s="124"/>
      <c r="E639" s="124"/>
      <c r="F639" s="125"/>
      <c r="G639" s="189"/>
      <c r="H639" s="124"/>
      <c r="I639" s="124"/>
      <c r="J639" s="124"/>
      <c r="K639" s="102"/>
      <c r="L639" s="189"/>
      <c r="M639" s="124"/>
      <c r="N639" s="124"/>
      <c r="O639" s="124"/>
      <c r="P639" s="102"/>
      <c r="Q639" s="161"/>
      <c r="R639" s="124"/>
      <c r="S639" s="124"/>
      <c r="T639" s="124"/>
      <c r="U639" s="125"/>
      <c r="V639" s="189"/>
      <c r="W639" s="124"/>
      <c r="X639" s="124"/>
      <c r="Y639" s="124"/>
      <c r="Z639" s="125"/>
      <c r="AA639" s="189"/>
      <c r="AB639" s="124"/>
      <c r="AC639" s="124"/>
      <c r="AD639" s="124"/>
      <c r="AE639" s="125"/>
      <c r="AF639" s="189"/>
      <c r="AG639" s="124"/>
      <c r="AH639" s="124"/>
      <c r="AI639" s="124"/>
      <c r="AJ639" s="125"/>
      <c r="AK639" s="189"/>
      <c r="AL639" s="124"/>
      <c r="AM639" s="124"/>
      <c r="AN639" s="124"/>
      <c r="AO639" s="360"/>
      <c r="AP639" s="360"/>
      <c r="AQ639" s="360"/>
      <c r="AR639" s="360"/>
      <c r="AS639" s="360"/>
      <c r="AT639" s="360"/>
      <c r="AU639" s="360"/>
      <c r="AV639" s="360"/>
      <c r="AW639" s="360"/>
      <c r="AX639" s="360"/>
      <c r="AY639" s="360"/>
      <c r="AZ639" s="360"/>
      <c r="BA639" s="360"/>
      <c r="BB639" s="360"/>
      <c r="BC639" s="360"/>
    </row>
    <row r="640">
      <c r="A640" s="125"/>
      <c r="B640" s="189"/>
      <c r="C640" s="124"/>
      <c r="D640" s="124"/>
      <c r="E640" s="124"/>
      <c r="F640" s="125"/>
      <c r="G640" s="189"/>
      <c r="H640" s="124"/>
      <c r="I640" s="124"/>
      <c r="J640" s="124"/>
      <c r="K640" s="102"/>
      <c r="L640" s="189"/>
      <c r="M640" s="124"/>
      <c r="N640" s="124"/>
      <c r="O640" s="124"/>
      <c r="P640" s="102"/>
      <c r="Q640" s="161"/>
      <c r="R640" s="124"/>
      <c r="S640" s="124"/>
      <c r="T640" s="124"/>
      <c r="U640" s="125"/>
      <c r="V640" s="189"/>
      <c r="W640" s="124"/>
      <c r="X640" s="124"/>
      <c r="Y640" s="124"/>
      <c r="Z640" s="125"/>
      <c r="AA640" s="189"/>
      <c r="AB640" s="124"/>
      <c r="AC640" s="124"/>
      <c r="AD640" s="124"/>
      <c r="AE640" s="125"/>
      <c r="AF640" s="189"/>
      <c r="AG640" s="124"/>
      <c r="AH640" s="124"/>
      <c r="AI640" s="124"/>
      <c r="AJ640" s="125"/>
      <c r="AK640" s="189"/>
      <c r="AL640" s="124"/>
      <c r="AM640" s="124"/>
      <c r="AN640" s="124"/>
      <c r="AO640" s="360"/>
      <c r="AP640" s="360"/>
      <c r="AQ640" s="360"/>
      <c r="AR640" s="360"/>
      <c r="AS640" s="360"/>
      <c r="AT640" s="360"/>
      <c r="AU640" s="360"/>
      <c r="AV640" s="360"/>
      <c r="AW640" s="360"/>
      <c r="AX640" s="360"/>
      <c r="AY640" s="360"/>
      <c r="AZ640" s="360"/>
      <c r="BA640" s="360"/>
      <c r="BB640" s="360"/>
      <c r="BC640" s="360"/>
    </row>
    <row r="641">
      <c r="A641" s="125"/>
      <c r="B641" s="189"/>
      <c r="C641" s="124"/>
      <c r="D641" s="124"/>
      <c r="E641" s="124"/>
      <c r="F641" s="125"/>
      <c r="G641" s="189"/>
      <c r="H641" s="124"/>
      <c r="I641" s="124"/>
      <c r="J641" s="124"/>
      <c r="K641" s="102"/>
      <c r="L641" s="189"/>
      <c r="M641" s="124"/>
      <c r="N641" s="124"/>
      <c r="O641" s="124"/>
      <c r="P641" s="102"/>
      <c r="Q641" s="161"/>
      <c r="R641" s="124"/>
      <c r="S641" s="124"/>
      <c r="T641" s="124"/>
      <c r="U641" s="125"/>
      <c r="V641" s="189"/>
      <c r="W641" s="124"/>
      <c r="X641" s="124"/>
      <c r="Y641" s="124"/>
      <c r="Z641" s="125"/>
      <c r="AA641" s="189"/>
      <c r="AB641" s="124"/>
      <c r="AC641" s="124"/>
      <c r="AD641" s="124"/>
      <c r="AE641" s="125"/>
      <c r="AF641" s="189"/>
      <c r="AG641" s="124"/>
      <c r="AH641" s="124"/>
      <c r="AI641" s="124"/>
      <c r="AJ641" s="125"/>
      <c r="AK641" s="189"/>
      <c r="AL641" s="124"/>
      <c r="AM641" s="124"/>
      <c r="AN641" s="124"/>
      <c r="AO641" s="360"/>
      <c r="AP641" s="360"/>
      <c r="AQ641" s="360"/>
      <c r="AR641" s="360"/>
      <c r="AS641" s="360"/>
      <c r="AT641" s="360"/>
      <c r="AU641" s="360"/>
      <c r="AV641" s="360"/>
      <c r="AW641" s="360"/>
      <c r="AX641" s="360"/>
      <c r="AY641" s="360"/>
      <c r="AZ641" s="360"/>
      <c r="BA641" s="360"/>
      <c r="BB641" s="360"/>
      <c r="BC641" s="360"/>
    </row>
    <row r="642">
      <c r="A642" s="125"/>
      <c r="B642" s="189"/>
      <c r="C642" s="124"/>
      <c r="D642" s="124"/>
      <c r="E642" s="124"/>
      <c r="F642" s="125"/>
      <c r="G642" s="189"/>
      <c r="H642" s="124"/>
      <c r="I642" s="124"/>
      <c r="J642" s="124"/>
      <c r="K642" s="102"/>
      <c r="L642" s="189"/>
      <c r="M642" s="124"/>
      <c r="N642" s="124"/>
      <c r="O642" s="124"/>
      <c r="P642" s="102"/>
      <c r="Q642" s="161"/>
      <c r="R642" s="124"/>
      <c r="S642" s="124"/>
      <c r="T642" s="124"/>
      <c r="U642" s="125"/>
      <c r="V642" s="189"/>
      <c r="W642" s="124"/>
      <c r="X642" s="124"/>
      <c r="Y642" s="124"/>
      <c r="Z642" s="125"/>
      <c r="AA642" s="189"/>
      <c r="AB642" s="124"/>
      <c r="AC642" s="124"/>
      <c r="AD642" s="124"/>
      <c r="AE642" s="125"/>
      <c r="AF642" s="189"/>
      <c r="AG642" s="124"/>
      <c r="AH642" s="124"/>
      <c r="AI642" s="124"/>
      <c r="AJ642" s="125"/>
      <c r="AK642" s="189"/>
      <c r="AL642" s="124"/>
      <c r="AM642" s="124"/>
      <c r="AN642" s="124"/>
      <c r="AO642" s="360"/>
      <c r="AP642" s="360"/>
      <c r="AQ642" s="360"/>
      <c r="AR642" s="360"/>
      <c r="AS642" s="360"/>
      <c r="AT642" s="360"/>
      <c r="AU642" s="360"/>
      <c r="AV642" s="360"/>
      <c r="AW642" s="360"/>
      <c r="AX642" s="360"/>
      <c r="AY642" s="360"/>
      <c r="AZ642" s="360"/>
      <c r="BA642" s="360"/>
      <c r="BB642" s="360"/>
      <c r="BC642" s="360"/>
    </row>
    <row r="643">
      <c r="A643" s="125"/>
      <c r="B643" s="189"/>
      <c r="C643" s="124"/>
      <c r="D643" s="124"/>
      <c r="E643" s="124"/>
      <c r="F643" s="125"/>
      <c r="G643" s="189"/>
      <c r="H643" s="124"/>
      <c r="I643" s="124"/>
      <c r="J643" s="124"/>
      <c r="K643" s="102"/>
      <c r="L643" s="189"/>
      <c r="M643" s="124"/>
      <c r="N643" s="124"/>
      <c r="O643" s="124"/>
      <c r="P643" s="102"/>
      <c r="Q643" s="161"/>
      <c r="R643" s="124"/>
      <c r="S643" s="124"/>
      <c r="T643" s="124"/>
      <c r="U643" s="125"/>
      <c r="V643" s="189"/>
      <c r="W643" s="124"/>
      <c r="X643" s="124"/>
      <c r="Y643" s="124"/>
      <c r="Z643" s="125"/>
      <c r="AA643" s="189"/>
      <c r="AB643" s="124"/>
      <c r="AC643" s="124"/>
      <c r="AD643" s="124"/>
      <c r="AE643" s="125"/>
      <c r="AF643" s="189"/>
      <c r="AG643" s="124"/>
      <c r="AH643" s="124"/>
      <c r="AI643" s="124"/>
      <c r="AJ643" s="125"/>
      <c r="AK643" s="189"/>
      <c r="AL643" s="124"/>
      <c r="AM643" s="124"/>
      <c r="AN643" s="124"/>
      <c r="AO643" s="360"/>
      <c r="AP643" s="360"/>
      <c r="AQ643" s="360"/>
      <c r="AR643" s="360"/>
      <c r="AS643" s="360"/>
      <c r="AT643" s="360"/>
      <c r="AU643" s="360"/>
      <c r="AV643" s="360"/>
      <c r="AW643" s="360"/>
      <c r="AX643" s="360"/>
      <c r="AY643" s="360"/>
      <c r="AZ643" s="360"/>
      <c r="BA643" s="360"/>
      <c r="BB643" s="360"/>
      <c r="BC643" s="360"/>
    </row>
    <row r="644">
      <c r="A644" s="125"/>
      <c r="B644" s="189"/>
      <c r="C644" s="124"/>
      <c r="D644" s="124"/>
      <c r="E644" s="124"/>
      <c r="F644" s="125"/>
      <c r="G644" s="189"/>
      <c r="H644" s="124"/>
      <c r="I644" s="124"/>
      <c r="J644" s="124"/>
      <c r="K644" s="102"/>
      <c r="L644" s="189"/>
      <c r="M644" s="124"/>
      <c r="N644" s="124"/>
      <c r="O644" s="124"/>
      <c r="P644" s="102"/>
      <c r="Q644" s="161"/>
      <c r="R644" s="124"/>
      <c r="S644" s="124"/>
      <c r="T644" s="124"/>
      <c r="U644" s="125"/>
      <c r="V644" s="189"/>
      <c r="W644" s="124"/>
      <c r="X644" s="124"/>
      <c r="Y644" s="124"/>
      <c r="Z644" s="125"/>
      <c r="AA644" s="189"/>
      <c r="AB644" s="124"/>
      <c r="AC644" s="124"/>
      <c r="AD644" s="124"/>
      <c r="AE644" s="125"/>
      <c r="AF644" s="189"/>
      <c r="AG644" s="124"/>
      <c r="AH644" s="124"/>
      <c r="AI644" s="124"/>
      <c r="AJ644" s="125"/>
      <c r="AK644" s="189"/>
      <c r="AL644" s="124"/>
      <c r="AM644" s="124"/>
      <c r="AN644" s="124"/>
      <c r="AO644" s="360"/>
      <c r="AP644" s="360"/>
      <c r="AQ644" s="360"/>
      <c r="AR644" s="360"/>
      <c r="AS644" s="360"/>
      <c r="AT644" s="360"/>
      <c r="AU644" s="360"/>
      <c r="AV644" s="360"/>
      <c r="AW644" s="360"/>
      <c r="AX644" s="360"/>
      <c r="AY644" s="360"/>
      <c r="AZ644" s="360"/>
      <c r="BA644" s="360"/>
      <c r="BB644" s="360"/>
      <c r="BC644" s="360"/>
    </row>
    <row r="645">
      <c r="A645" s="125"/>
      <c r="B645" s="189"/>
      <c r="C645" s="124"/>
      <c r="D645" s="124"/>
      <c r="E645" s="124"/>
      <c r="F645" s="125"/>
      <c r="G645" s="189"/>
      <c r="H645" s="124"/>
      <c r="I645" s="124"/>
      <c r="J645" s="124"/>
      <c r="K645" s="102"/>
      <c r="L645" s="189"/>
      <c r="M645" s="124"/>
      <c r="N645" s="124"/>
      <c r="O645" s="124"/>
      <c r="P645" s="102"/>
      <c r="Q645" s="161"/>
      <c r="R645" s="124"/>
      <c r="S645" s="124"/>
      <c r="T645" s="124"/>
      <c r="U645" s="125"/>
      <c r="V645" s="189"/>
      <c r="W645" s="124"/>
      <c r="X645" s="124"/>
      <c r="Y645" s="124"/>
      <c r="Z645" s="125"/>
      <c r="AA645" s="189"/>
      <c r="AB645" s="124"/>
      <c r="AC645" s="124"/>
      <c r="AD645" s="124"/>
      <c r="AE645" s="125"/>
      <c r="AF645" s="189"/>
      <c r="AG645" s="124"/>
      <c r="AH645" s="124"/>
      <c r="AI645" s="124"/>
      <c r="AJ645" s="125"/>
      <c r="AK645" s="189"/>
      <c r="AL645" s="124"/>
      <c r="AM645" s="124"/>
      <c r="AN645" s="124"/>
      <c r="AO645" s="360"/>
      <c r="AP645" s="360"/>
      <c r="AQ645" s="360"/>
      <c r="AR645" s="360"/>
      <c r="AS645" s="360"/>
      <c r="AT645" s="360"/>
      <c r="AU645" s="360"/>
      <c r="AV645" s="360"/>
      <c r="AW645" s="360"/>
      <c r="AX645" s="360"/>
      <c r="AY645" s="360"/>
      <c r="AZ645" s="360"/>
      <c r="BA645" s="360"/>
      <c r="BB645" s="360"/>
      <c r="BC645" s="360"/>
    </row>
    <row r="646">
      <c r="A646" s="125"/>
      <c r="B646" s="189"/>
      <c r="C646" s="124"/>
      <c r="D646" s="124"/>
      <c r="E646" s="124"/>
      <c r="F646" s="125"/>
      <c r="G646" s="189"/>
      <c r="H646" s="124"/>
      <c r="I646" s="124"/>
      <c r="J646" s="124"/>
      <c r="K646" s="102"/>
      <c r="L646" s="189"/>
      <c r="M646" s="124"/>
      <c r="N646" s="124"/>
      <c r="O646" s="124"/>
      <c r="P646" s="102"/>
      <c r="Q646" s="161"/>
      <c r="R646" s="124"/>
      <c r="S646" s="124"/>
      <c r="T646" s="124"/>
      <c r="U646" s="125"/>
      <c r="V646" s="189"/>
      <c r="W646" s="124"/>
      <c r="X646" s="124"/>
      <c r="Y646" s="124"/>
      <c r="Z646" s="125"/>
      <c r="AA646" s="189"/>
      <c r="AB646" s="124"/>
      <c r="AC646" s="124"/>
      <c r="AD646" s="124"/>
      <c r="AE646" s="125"/>
      <c r="AF646" s="189"/>
      <c r="AG646" s="124"/>
      <c r="AH646" s="124"/>
      <c r="AI646" s="124"/>
      <c r="AJ646" s="125"/>
      <c r="AK646" s="189"/>
      <c r="AL646" s="124"/>
      <c r="AM646" s="124"/>
      <c r="AN646" s="124"/>
      <c r="AO646" s="360"/>
      <c r="AP646" s="360"/>
      <c r="AQ646" s="360"/>
      <c r="AR646" s="360"/>
      <c r="AS646" s="360"/>
      <c r="AT646" s="360"/>
      <c r="AU646" s="360"/>
      <c r="AV646" s="360"/>
      <c r="AW646" s="360"/>
      <c r="AX646" s="360"/>
      <c r="AY646" s="360"/>
      <c r="AZ646" s="360"/>
      <c r="BA646" s="360"/>
      <c r="BB646" s="360"/>
      <c r="BC646" s="360"/>
    </row>
    <row r="647">
      <c r="A647" s="125"/>
      <c r="B647" s="189"/>
      <c r="C647" s="124"/>
      <c r="D647" s="124"/>
      <c r="E647" s="124"/>
      <c r="F647" s="125"/>
      <c r="G647" s="189"/>
      <c r="H647" s="124"/>
      <c r="I647" s="124"/>
      <c r="J647" s="124"/>
      <c r="K647" s="102"/>
      <c r="L647" s="189"/>
      <c r="M647" s="124"/>
      <c r="N647" s="124"/>
      <c r="O647" s="124"/>
      <c r="P647" s="102"/>
      <c r="Q647" s="161"/>
      <c r="R647" s="124"/>
      <c r="S647" s="124"/>
      <c r="T647" s="124"/>
      <c r="U647" s="125"/>
      <c r="V647" s="189"/>
      <c r="W647" s="124"/>
      <c r="X647" s="124"/>
      <c r="Y647" s="124"/>
      <c r="Z647" s="125"/>
      <c r="AA647" s="189"/>
      <c r="AB647" s="124"/>
      <c r="AC647" s="124"/>
      <c r="AD647" s="124"/>
      <c r="AE647" s="125"/>
      <c r="AF647" s="189"/>
      <c r="AG647" s="124"/>
      <c r="AH647" s="124"/>
      <c r="AI647" s="124"/>
      <c r="AJ647" s="125"/>
      <c r="AK647" s="189"/>
      <c r="AL647" s="124"/>
      <c r="AM647" s="124"/>
      <c r="AN647" s="124"/>
      <c r="AO647" s="360"/>
      <c r="AP647" s="360"/>
      <c r="AQ647" s="360"/>
      <c r="AR647" s="360"/>
      <c r="AS647" s="360"/>
      <c r="AT647" s="360"/>
      <c r="AU647" s="360"/>
      <c r="AV647" s="360"/>
      <c r="AW647" s="360"/>
      <c r="AX647" s="360"/>
      <c r="AY647" s="360"/>
      <c r="AZ647" s="360"/>
      <c r="BA647" s="360"/>
      <c r="BB647" s="360"/>
      <c r="BC647" s="360"/>
    </row>
    <row r="648">
      <c r="A648" s="125"/>
      <c r="B648" s="189"/>
      <c r="C648" s="124"/>
      <c r="D648" s="124"/>
      <c r="E648" s="124"/>
      <c r="F648" s="125"/>
      <c r="G648" s="189"/>
      <c r="H648" s="124"/>
      <c r="I648" s="124"/>
      <c r="J648" s="124"/>
      <c r="K648" s="102"/>
      <c r="L648" s="189"/>
      <c r="M648" s="124"/>
      <c r="N648" s="124"/>
      <c r="O648" s="124"/>
      <c r="P648" s="102"/>
      <c r="Q648" s="161"/>
      <c r="R648" s="124"/>
      <c r="S648" s="124"/>
      <c r="T648" s="124"/>
      <c r="U648" s="125"/>
      <c r="V648" s="189"/>
      <c r="W648" s="124"/>
      <c r="X648" s="124"/>
      <c r="Y648" s="124"/>
      <c r="Z648" s="125"/>
      <c r="AA648" s="189"/>
      <c r="AB648" s="124"/>
      <c r="AC648" s="124"/>
      <c r="AD648" s="124"/>
      <c r="AE648" s="125"/>
      <c r="AF648" s="189"/>
      <c r="AG648" s="124"/>
      <c r="AH648" s="124"/>
      <c r="AI648" s="124"/>
      <c r="AJ648" s="125"/>
      <c r="AK648" s="189"/>
      <c r="AL648" s="124"/>
      <c r="AM648" s="124"/>
      <c r="AN648" s="124"/>
      <c r="AO648" s="360"/>
      <c r="AP648" s="360"/>
      <c r="AQ648" s="360"/>
      <c r="AR648" s="360"/>
      <c r="AS648" s="360"/>
      <c r="AT648" s="360"/>
      <c r="AU648" s="360"/>
      <c r="AV648" s="360"/>
      <c r="AW648" s="360"/>
      <c r="AX648" s="360"/>
      <c r="AY648" s="360"/>
      <c r="AZ648" s="360"/>
      <c r="BA648" s="360"/>
      <c r="BB648" s="360"/>
      <c r="BC648" s="360"/>
    </row>
    <row r="649">
      <c r="A649" s="125"/>
      <c r="B649" s="189"/>
      <c r="C649" s="124"/>
      <c r="D649" s="124"/>
      <c r="E649" s="124"/>
      <c r="F649" s="125"/>
      <c r="G649" s="189"/>
      <c r="H649" s="124"/>
      <c r="I649" s="124"/>
      <c r="J649" s="124"/>
      <c r="K649" s="102"/>
      <c r="L649" s="189"/>
      <c r="M649" s="124"/>
      <c r="N649" s="124"/>
      <c r="O649" s="124"/>
      <c r="P649" s="102"/>
      <c r="Q649" s="161"/>
      <c r="R649" s="124"/>
      <c r="S649" s="124"/>
      <c r="T649" s="124"/>
      <c r="U649" s="125"/>
      <c r="V649" s="189"/>
      <c r="W649" s="124"/>
      <c r="X649" s="124"/>
      <c r="Y649" s="124"/>
      <c r="Z649" s="125"/>
      <c r="AA649" s="189"/>
      <c r="AB649" s="124"/>
      <c r="AC649" s="124"/>
      <c r="AD649" s="124"/>
      <c r="AE649" s="125"/>
      <c r="AF649" s="189"/>
      <c r="AG649" s="124"/>
      <c r="AH649" s="124"/>
      <c r="AI649" s="124"/>
      <c r="AJ649" s="125"/>
      <c r="AK649" s="189"/>
      <c r="AL649" s="124"/>
      <c r="AM649" s="124"/>
      <c r="AN649" s="124"/>
      <c r="AO649" s="360"/>
      <c r="AP649" s="360"/>
      <c r="AQ649" s="360"/>
      <c r="AR649" s="360"/>
      <c r="AS649" s="360"/>
      <c r="AT649" s="360"/>
      <c r="AU649" s="360"/>
      <c r="AV649" s="360"/>
      <c r="AW649" s="360"/>
      <c r="AX649" s="360"/>
      <c r="AY649" s="360"/>
      <c r="AZ649" s="360"/>
      <c r="BA649" s="360"/>
      <c r="BB649" s="360"/>
      <c r="BC649" s="360"/>
    </row>
    <row r="650">
      <c r="A650" s="125"/>
      <c r="B650" s="189"/>
      <c r="C650" s="124"/>
      <c r="D650" s="124"/>
      <c r="E650" s="124"/>
      <c r="F650" s="125"/>
      <c r="G650" s="189"/>
      <c r="H650" s="124"/>
      <c r="I650" s="124"/>
      <c r="J650" s="124"/>
      <c r="K650" s="102"/>
      <c r="L650" s="189"/>
      <c r="M650" s="124"/>
      <c r="N650" s="124"/>
      <c r="O650" s="124"/>
      <c r="P650" s="102"/>
      <c r="Q650" s="161"/>
      <c r="R650" s="124"/>
      <c r="S650" s="124"/>
      <c r="T650" s="124"/>
      <c r="U650" s="125"/>
      <c r="V650" s="189"/>
      <c r="W650" s="124"/>
      <c r="X650" s="124"/>
      <c r="Y650" s="124"/>
      <c r="Z650" s="125"/>
      <c r="AA650" s="189"/>
      <c r="AB650" s="124"/>
      <c r="AC650" s="124"/>
      <c r="AD650" s="124"/>
      <c r="AE650" s="125"/>
      <c r="AF650" s="189"/>
      <c r="AG650" s="124"/>
      <c r="AH650" s="124"/>
      <c r="AI650" s="124"/>
      <c r="AJ650" s="125"/>
      <c r="AK650" s="189"/>
      <c r="AL650" s="124"/>
      <c r="AM650" s="124"/>
      <c r="AN650" s="124"/>
      <c r="AO650" s="360"/>
      <c r="AP650" s="360"/>
      <c r="AQ650" s="360"/>
      <c r="AR650" s="360"/>
      <c r="AS650" s="360"/>
      <c r="AT650" s="360"/>
      <c r="AU650" s="360"/>
      <c r="AV650" s="360"/>
      <c r="AW650" s="360"/>
      <c r="AX650" s="360"/>
      <c r="AY650" s="360"/>
      <c r="AZ650" s="360"/>
      <c r="BA650" s="360"/>
      <c r="BB650" s="360"/>
      <c r="BC650" s="360"/>
    </row>
    <row r="651">
      <c r="A651" s="125"/>
      <c r="B651" s="189"/>
      <c r="C651" s="124"/>
      <c r="D651" s="124"/>
      <c r="E651" s="124"/>
      <c r="F651" s="125"/>
      <c r="G651" s="189"/>
      <c r="H651" s="124"/>
      <c r="I651" s="124"/>
      <c r="J651" s="124"/>
      <c r="K651" s="102"/>
      <c r="L651" s="189"/>
      <c r="M651" s="124"/>
      <c r="N651" s="124"/>
      <c r="O651" s="124"/>
      <c r="P651" s="102"/>
      <c r="Q651" s="161"/>
      <c r="R651" s="124"/>
      <c r="S651" s="124"/>
      <c r="T651" s="124"/>
      <c r="U651" s="125"/>
      <c r="V651" s="189"/>
      <c r="W651" s="124"/>
      <c r="X651" s="124"/>
      <c r="Y651" s="124"/>
      <c r="Z651" s="125"/>
      <c r="AA651" s="189"/>
      <c r="AB651" s="124"/>
      <c r="AC651" s="124"/>
      <c r="AD651" s="124"/>
      <c r="AE651" s="125"/>
      <c r="AF651" s="189"/>
      <c r="AG651" s="124"/>
      <c r="AH651" s="124"/>
      <c r="AI651" s="124"/>
      <c r="AJ651" s="125"/>
      <c r="AK651" s="189"/>
      <c r="AL651" s="124"/>
      <c r="AM651" s="124"/>
      <c r="AN651" s="124"/>
      <c r="AO651" s="360"/>
      <c r="AP651" s="360"/>
      <c r="AQ651" s="360"/>
      <c r="AR651" s="360"/>
      <c r="AS651" s="360"/>
      <c r="AT651" s="360"/>
      <c r="AU651" s="360"/>
      <c r="AV651" s="360"/>
      <c r="AW651" s="360"/>
      <c r="AX651" s="360"/>
      <c r="AY651" s="360"/>
      <c r="AZ651" s="360"/>
      <c r="BA651" s="360"/>
      <c r="BB651" s="360"/>
      <c r="BC651" s="360"/>
    </row>
    <row r="652">
      <c r="A652" s="125"/>
      <c r="B652" s="189"/>
      <c r="C652" s="124"/>
      <c r="D652" s="124"/>
      <c r="E652" s="124"/>
      <c r="F652" s="125"/>
      <c r="G652" s="189"/>
      <c r="H652" s="124"/>
      <c r="I652" s="124"/>
      <c r="J652" s="124"/>
      <c r="K652" s="102"/>
      <c r="L652" s="189"/>
      <c r="M652" s="124"/>
      <c r="N652" s="124"/>
      <c r="O652" s="124"/>
      <c r="P652" s="102"/>
      <c r="Q652" s="161"/>
      <c r="R652" s="124"/>
      <c r="S652" s="124"/>
      <c r="T652" s="124"/>
      <c r="U652" s="125"/>
      <c r="V652" s="189"/>
      <c r="W652" s="124"/>
      <c r="X652" s="124"/>
      <c r="Y652" s="124"/>
      <c r="Z652" s="125"/>
      <c r="AA652" s="189"/>
      <c r="AB652" s="124"/>
      <c r="AC652" s="124"/>
      <c r="AD652" s="124"/>
      <c r="AE652" s="125"/>
      <c r="AF652" s="189"/>
      <c r="AG652" s="124"/>
      <c r="AH652" s="124"/>
      <c r="AI652" s="124"/>
      <c r="AJ652" s="125"/>
      <c r="AK652" s="189"/>
      <c r="AL652" s="124"/>
      <c r="AM652" s="124"/>
      <c r="AN652" s="124"/>
      <c r="AO652" s="360"/>
      <c r="AP652" s="360"/>
      <c r="AQ652" s="360"/>
      <c r="AR652" s="360"/>
      <c r="AS652" s="360"/>
      <c r="AT652" s="360"/>
      <c r="AU652" s="360"/>
      <c r="AV652" s="360"/>
      <c r="AW652" s="360"/>
      <c r="AX652" s="360"/>
      <c r="AY652" s="360"/>
      <c r="AZ652" s="360"/>
      <c r="BA652" s="360"/>
      <c r="BB652" s="360"/>
      <c r="BC652" s="360"/>
    </row>
    <row r="653">
      <c r="A653" s="125"/>
      <c r="B653" s="189"/>
      <c r="C653" s="124"/>
      <c r="D653" s="124"/>
      <c r="E653" s="124"/>
      <c r="F653" s="125"/>
      <c r="G653" s="189"/>
      <c r="H653" s="124"/>
      <c r="I653" s="124"/>
      <c r="J653" s="124"/>
      <c r="K653" s="102"/>
      <c r="L653" s="189"/>
      <c r="M653" s="124"/>
      <c r="N653" s="124"/>
      <c r="O653" s="124"/>
      <c r="P653" s="102"/>
      <c r="Q653" s="161"/>
      <c r="R653" s="124"/>
      <c r="S653" s="124"/>
      <c r="T653" s="124"/>
      <c r="U653" s="125"/>
      <c r="V653" s="189"/>
      <c r="W653" s="124"/>
      <c r="X653" s="124"/>
      <c r="Y653" s="124"/>
      <c r="Z653" s="125"/>
      <c r="AA653" s="189"/>
      <c r="AB653" s="124"/>
      <c r="AC653" s="124"/>
      <c r="AD653" s="124"/>
      <c r="AE653" s="125"/>
      <c r="AF653" s="189"/>
      <c r="AG653" s="124"/>
      <c r="AH653" s="124"/>
      <c r="AI653" s="124"/>
      <c r="AJ653" s="125"/>
      <c r="AK653" s="189"/>
      <c r="AL653" s="124"/>
      <c r="AM653" s="124"/>
      <c r="AN653" s="124"/>
      <c r="AO653" s="360"/>
      <c r="AP653" s="360"/>
      <c r="AQ653" s="360"/>
      <c r="AR653" s="360"/>
      <c r="AS653" s="360"/>
      <c r="AT653" s="360"/>
      <c r="AU653" s="360"/>
      <c r="AV653" s="360"/>
      <c r="AW653" s="360"/>
      <c r="AX653" s="360"/>
      <c r="AY653" s="360"/>
      <c r="AZ653" s="360"/>
      <c r="BA653" s="360"/>
      <c r="BB653" s="360"/>
      <c r="BC653" s="360"/>
    </row>
    <row r="654">
      <c r="A654" s="125"/>
      <c r="B654" s="189"/>
      <c r="C654" s="124"/>
      <c r="D654" s="124"/>
      <c r="E654" s="124"/>
      <c r="F654" s="125"/>
      <c r="G654" s="189"/>
      <c r="H654" s="124"/>
      <c r="I654" s="124"/>
      <c r="J654" s="124"/>
      <c r="K654" s="102"/>
      <c r="L654" s="189"/>
      <c r="M654" s="124"/>
      <c r="N654" s="124"/>
      <c r="O654" s="124"/>
      <c r="P654" s="102"/>
      <c r="Q654" s="161"/>
      <c r="R654" s="124"/>
      <c r="S654" s="124"/>
      <c r="T654" s="124"/>
      <c r="U654" s="125"/>
      <c r="V654" s="189"/>
      <c r="W654" s="124"/>
      <c r="X654" s="124"/>
      <c r="Y654" s="124"/>
      <c r="Z654" s="125"/>
      <c r="AA654" s="189"/>
      <c r="AB654" s="124"/>
      <c r="AC654" s="124"/>
      <c r="AD654" s="124"/>
      <c r="AE654" s="125"/>
      <c r="AF654" s="189"/>
      <c r="AG654" s="124"/>
      <c r="AH654" s="124"/>
      <c r="AI654" s="124"/>
      <c r="AJ654" s="125"/>
      <c r="AK654" s="189"/>
      <c r="AL654" s="124"/>
      <c r="AM654" s="124"/>
      <c r="AN654" s="124"/>
      <c r="AO654" s="360"/>
      <c r="AP654" s="360"/>
      <c r="AQ654" s="360"/>
      <c r="AR654" s="360"/>
      <c r="AS654" s="360"/>
      <c r="AT654" s="360"/>
      <c r="AU654" s="360"/>
      <c r="AV654" s="360"/>
      <c r="AW654" s="360"/>
      <c r="AX654" s="360"/>
      <c r="AY654" s="360"/>
      <c r="AZ654" s="360"/>
      <c r="BA654" s="360"/>
      <c r="BB654" s="360"/>
      <c r="BC654" s="360"/>
    </row>
    <row r="655">
      <c r="A655" s="125"/>
      <c r="B655" s="189"/>
      <c r="C655" s="124"/>
      <c r="D655" s="124"/>
      <c r="E655" s="124"/>
      <c r="F655" s="125"/>
      <c r="G655" s="189"/>
      <c r="H655" s="124"/>
      <c r="I655" s="124"/>
      <c r="J655" s="124"/>
      <c r="K655" s="102"/>
      <c r="L655" s="189"/>
      <c r="M655" s="124"/>
      <c r="N655" s="124"/>
      <c r="O655" s="124"/>
      <c r="P655" s="102"/>
      <c r="Q655" s="161"/>
      <c r="R655" s="124"/>
      <c r="S655" s="124"/>
      <c r="T655" s="124"/>
      <c r="U655" s="125"/>
      <c r="V655" s="189"/>
      <c r="W655" s="124"/>
      <c r="X655" s="124"/>
      <c r="Y655" s="124"/>
      <c r="Z655" s="125"/>
      <c r="AA655" s="189"/>
      <c r="AB655" s="124"/>
      <c r="AC655" s="124"/>
      <c r="AD655" s="124"/>
      <c r="AE655" s="125"/>
      <c r="AF655" s="189"/>
      <c r="AG655" s="124"/>
      <c r="AH655" s="124"/>
      <c r="AI655" s="124"/>
      <c r="AJ655" s="125"/>
      <c r="AK655" s="189"/>
      <c r="AL655" s="124"/>
      <c r="AM655" s="124"/>
      <c r="AN655" s="124"/>
      <c r="AO655" s="360"/>
      <c r="AP655" s="360"/>
      <c r="AQ655" s="360"/>
      <c r="AR655" s="360"/>
      <c r="AS655" s="360"/>
      <c r="AT655" s="360"/>
      <c r="AU655" s="360"/>
      <c r="AV655" s="360"/>
      <c r="AW655" s="360"/>
      <c r="AX655" s="360"/>
      <c r="AY655" s="360"/>
      <c r="AZ655" s="360"/>
      <c r="BA655" s="360"/>
      <c r="BB655" s="360"/>
      <c r="BC655" s="360"/>
    </row>
    <row r="656">
      <c r="A656" s="125"/>
      <c r="B656" s="189"/>
      <c r="C656" s="124"/>
      <c r="D656" s="124"/>
      <c r="E656" s="124"/>
      <c r="F656" s="125"/>
      <c r="G656" s="189"/>
      <c r="H656" s="124"/>
      <c r="I656" s="124"/>
      <c r="J656" s="124"/>
      <c r="K656" s="102"/>
      <c r="L656" s="189"/>
      <c r="M656" s="124"/>
      <c r="N656" s="124"/>
      <c r="O656" s="124"/>
      <c r="P656" s="102"/>
      <c r="Q656" s="161"/>
      <c r="R656" s="124"/>
      <c r="S656" s="124"/>
      <c r="T656" s="124"/>
      <c r="U656" s="125"/>
      <c r="V656" s="189"/>
      <c r="W656" s="124"/>
      <c r="X656" s="124"/>
      <c r="Y656" s="124"/>
      <c r="Z656" s="125"/>
      <c r="AA656" s="189"/>
      <c r="AB656" s="124"/>
      <c r="AC656" s="124"/>
      <c r="AD656" s="124"/>
      <c r="AE656" s="125"/>
      <c r="AF656" s="189"/>
      <c r="AG656" s="124"/>
      <c r="AH656" s="124"/>
      <c r="AI656" s="124"/>
      <c r="AJ656" s="125"/>
      <c r="AK656" s="189"/>
      <c r="AL656" s="124"/>
      <c r="AM656" s="124"/>
      <c r="AN656" s="124"/>
      <c r="AO656" s="360"/>
      <c r="AP656" s="360"/>
      <c r="AQ656" s="360"/>
      <c r="AR656" s="360"/>
      <c r="AS656" s="360"/>
      <c r="AT656" s="360"/>
      <c r="AU656" s="360"/>
      <c r="AV656" s="360"/>
      <c r="AW656" s="360"/>
      <c r="AX656" s="360"/>
      <c r="AY656" s="360"/>
      <c r="AZ656" s="360"/>
      <c r="BA656" s="360"/>
      <c r="BB656" s="360"/>
      <c r="BC656" s="360"/>
    </row>
    <row r="657">
      <c r="A657" s="125"/>
      <c r="B657" s="189"/>
      <c r="C657" s="124"/>
      <c r="D657" s="124"/>
      <c r="E657" s="124"/>
      <c r="F657" s="125"/>
      <c r="G657" s="189"/>
      <c r="H657" s="124"/>
      <c r="I657" s="124"/>
      <c r="J657" s="124"/>
      <c r="K657" s="102"/>
      <c r="L657" s="189"/>
      <c r="M657" s="124"/>
      <c r="N657" s="124"/>
      <c r="O657" s="124"/>
      <c r="P657" s="102"/>
      <c r="Q657" s="161"/>
      <c r="R657" s="124"/>
      <c r="S657" s="124"/>
      <c r="T657" s="124"/>
      <c r="U657" s="125"/>
      <c r="V657" s="189"/>
      <c r="W657" s="124"/>
      <c r="X657" s="124"/>
      <c r="Y657" s="124"/>
      <c r="Z657" s="125"/>
      <c r="AA657" s="189"/>
      <c r="AB657" s="124"/>
      <c r="AC657" s="124"/>
      <c r="AD657" s="124"/>
      <c r="AE657" s="125"/>
      <c r="AF657" s="189"/>
      <c r="AG657" s="124"/>
      <c r="AH657" s="124"/>
      <c r="AI657" s="124"/>
      <c r="AJ657" s="125"/>
      <c r="AK657" s="189"/>
      <c r="AL657" s="124"/>
      <c r="AM657" s="124"/>
      <c r="AN657" s="124"/>
      <c r="AO657" s="360"/>
      <c r="AP657" s="360"/>
      <c r="AQ657" s="360"/>
      <c r="AR657" s="360"/>
      <c r="AS657" s="360"/>
      <c r="AT657" s="360"/>
      <c r="AU657" s="360"/>
      <c r="AV657" s="360"/>
      <c r="AW657" s="360"/>
      <c r="AX657" s="360"/>
      <c r="AY657" s="360"/>
      <c r="AZ657" s="360"/>
      <c r="BA657" s="360"/>
      <c r="BB657" s="360"/>
      <c r="BC657" s="360"/>
    </row>
    <row r="658">
      <c r="A658" s="125"/>
      <c r="B658" s="189"/>
      <c r="C658" s="124"/>
      <c r="D658" s="124"/>
      <c r="E658" s="124"/>
      <c r="F658" s="125"/>
      <c r="G658" s="189"/>
      <c r="H658" s="124"/>
      <c r="I658" s="124"/>
      <c r="J658" s="124"/>
      <c r="K658" s="102"/>
      <c r="L658" s="189"/>
      <c r="M658" s="124"/>
      <c r="N658" s="124"/>
      <c r="O658" s="124"/>
      <c r="P658" s="102"/>
      <c r="Q658" s="161"/>
      <c r="R658" s="124"/>
      <c r="S658" s="124"/>
      <c r="T658" s="124"/>
      <c r="U658" s="125"/>
      <c r="V658" s="189"/>
      <c r="W658" s="124"/>
      <c r="X658" s="124"/>
      <c r="Y658" s="124"/>
      <c r="Z658" s="125"/>
      <c r="AA658" s="189"/>
      <c r="AB658" s="124"/>
      <c r="AC658" s="124"/>
      <c r="AD658" s="124"/>
      <c r="AE658" s="125"/>
      <c r="AF658" s="189"/>
      <c r="AG658" s="124"/>
      <c r="AH658" s="124"/>
      <c r="AI658" s="124"/>
      <c r="AJ658" s="125"/>
      <c r="AK658" s="189"/>
      <c r="AL658" s="124"/>
      <c r="AM658" s="124"/>
      <c r="AN658" s="124"/>
      <c r="AO658" s="360"/>
      <c r="AP658" s="360"/>
      <c r="AQ658" s="360"/>
      <c r="AR658" s="360"/>
      <c r="AS658" s="360"/>
      <c r="AT658" s="360"/>
      <c r="AU658" s="360"/>
      <c r="AV658" s="360"/>
      <c r="AW658" s="360"/>
      <c r="AX658" s="360"/>
      <c r="AY658" s="360"/>
      <c r="AZ658" s="360"/>
      <c r="BA658" s="360"/>
      <c r="BB658" s="360"/>
      <c r="BC658" s="360"/>
    </row>
    <row r="659">
      <c r="A659" s="125"/>
      <c r="B659" s="189"/>
      <c r="C659" s="124"/>
      <c r="D659" s="124"/>
      <c r="E659" s="124"/>
      <c r="F659" s="125"/>
      <c r="G659" s="189"/>
      <c r="H659" s="124"/>
      <c r="I659" s="124"/>
      <c r="J659" s="124"/>
      <c r="K659" s="102"/>
      <c r="L659" s="189"/>
      <c r="M659" s="124"/>
      <c r="N659" s="124"/>
      <c r="O659" s="124"/>
      <c r="P659" s="102"/>
      <c r="Q659" s="161"/>
      <c r="R659" s="124"/>
      <c r="S659" s="124"/>
      <c r="T659" s="124"/>
      <c r="U659" s="125"/>
      <c r="V659" s="189"/>
      <c r="W659" s="124"/>
      <c r="X659" s="124"/>
      <c r="Y659" s="124"/>
      <c r="Z659" s="125"/>
      <c r="AA659" s="189"/>
      <c r="AB659" s="124"/>
      <c r="AC659" s="124"/>
      <c r="AD659" s="124"/>
      <c r="AE659" s="125"/>
      <c r="AF659" s="189"/>
      <c r="AG659" s="124"/>
      <c r="AH659" s="124"/>
      <c r="AI659" s="124"/>
      <c r="AJ659" s="125"/>
      <c r="AK659" s="189"/>
      <c r="AL659" s="124"/>
      <c r="AM659" s="124"/>
      <c r="AN659" s="124"/>
      <c r="AO659" s="360"/>
      <c r="AP659" s="360"/>
      <c r="AQ659" s="360"/>
      <c r="AR659" s="360"/>
      <c r="AS659" s="360"/>
      <c r="AT659" s="360"/>
      <c r="AU659" s="360"/>
      <c r="AV659" s="360"/>
      <c r="AW659" s="360"/>
      <c r="AX659" s="360"/>
      <c r="AY659" s="360"/>
      <c r="AZ659" s="360"/>
      <c r="BA659" s="360"/>
      <c r="BB659" s="360"/>
      <c r="BC659" s="360"/>
    </row>
    <row r="660">
      <c r="A660" s="125"/>
      <c r="B660" s="189"/>
      <c r="C660" s="124"/>
      <c r="D660" s="124"/>
      <c r="E660" s="124"/>
      <c r="F660" s="125"/>
      <c r="G660" s="189"/>
      <c r="H660" s="124"/>
      <c r="I660" s="124"/>
      <c r="J660" s="124"/>
      <c r="K660" s="102"/>
      <c r="L660" s="189"/>
      <c r="M660" s="124"/>
      <c r="N660" s="124"/>
      <c r="O660" s="124"/>
      <c r="P660" s="102"/>
      <c r="Q660" s="161"/>
      <c r="R660" s="124"/>
      <c r="S660" s="124"/>
      <c r="T660" s="124"/>
      <c r="U660" s="125"/>
      <c r="V660" s="189"/>
      <c r="W660" s="124"/>
      <c r="X660" s="124"/>
      <c r="Y660" s="124"/>
      <c r="Z660" s="125"/>
      <c r="AA660" s="189"/>
      <c r="AB660" s="124"/>
      <c r="AC660" s="124"/>
      <c r="AD660" s="124"/>
      <c r="AE660" s="125"/>
      <c r="AF660" s="189"/>
      <c r="AG660" s="124"/>
      <c r="AH660" s="124"/>
      <c r="AI660" s="124"/>
      <c r="AJ660" s="125"/>
      <c r="AK660" s="189"/>
      <c r="AL660" s="124"/>
      <c r="AM660" s="124"/>
      <c r="AN660" s="124"/>
      <c r="AO660" s="360"/>
      <c r="AP660" s="360"/>
      <c r="AQ660" s="360"/>
      <c r="AR660" s="360"/>
      <c r="AS660" s="360"/>
      <c r="AT660" s="360"/>
      <c r="AU660" s="360"/>
      <c r="AV660" s="360"/>
      <c r="AW660" s="360"/>
      <c r="AX660" s="360"/>
      <c r="AY660" s="360"/>
      <c r="AZ660" s="360"/>
      <c r="BA660" s="360"/>
      <c r="BB660" s="360"/>
      <c r="BC660" s="360"/>
    </row>
    <row r="661">
      <c r="A661" s="125"/>
      <c r="B661" s="189"/>
      <c r="C661" s="124"/>
      <c r="D661" s="124"/>
      <c r="E661" s="124"/>
      <c r="F661" s="125"/>
      <c r="G661" s="189"/>
      <c r="H661" s="124"/>
      <c r="I661" s="124"/>
      <c r="J661" s="124"/>
      <c r="K661" s="102"/>
      <c r="L661" s="189"/>
      <c r="M661" s="124"/>
      <c r="N661" s="124"/>
      <c r="O661" s="124"/>
      <c r="P661" s="102"/>
      <c r="Q661" s="161"/>
      <c r="R661" s="124"/>
      <c r="S661" s="124"/>
      <c r="T661" s="124"/>
      <c r="U661" s="125"/>
      <c r="V661" s="189"/>
      <c r="W661" s="124"/>
      <c r="X661" s="124"/>
      <c r="Y661" s="124"/>
      <c r="Z661" s="125"/>
      <c r="AA661" s="189"/>
      <c r="AB661" s="124"/>
      <c r="AC661" s="124"/>
      <c r="AD661" s="124"/>
      <c r="AE661" s="125"/>
      <c r="AF661" s="189"/>
      <c r="AG661" s="124"/>
      <c r="AH661" s="124"/>
      <c r="AI661" s="124"/>
      <c r="AJ661" s="125"/>
      <c r="AK661" s="189"/>
      <c r="AL661" s="124"/>
      <c r="AM661" s="124"/>
      <c r="AN661" s="124"/>
      <c r="AO661" s="360"/>
      <c r="AP661" s="360"/>
      <c r="AQ661" s="360"/>
      <c r="AR661" s="360"/>
      <c r="AS661" s="360"/>
      <c r="AT661" s="360"/>
      <c r="AU661" s="360"/>
      <c r="AV661" s="360"/>
      <c r="AW661" s="360"/>
      <c r="AX661" s="360"/>
      <c r="AY661" s="360"/>
      <c r="AZ661" s="360"/>
      <c r="BA661" s="360"/>
      <c r="BB661" s="360"/>
      <c r="BC661" s="360"/>
    </row>
    <row r="662">
      <c r="A662" s="125"/>
      <c r="B662" s="189"/>
      <c r="C662" s="124"/>
      <c r="D662" s="124"/>
      <c r="E662" s="124"/>
      <c r="F662" s="125"/>
      <c r="G662" s="189"/>
      <c r="H662" s="124"/>
      <c r="I662" s="124"/>
      <c r="J662" s="124"/>
      <c r="K662" s="102"/>
      <c r="L662" s="189"/>
      <c r="M662" s="124"/>
      <c r="N662" s="124"/>
      <c r="O662" s="124"/>
      <c r="P662" s="102"/>
      <c r="Q662" s="161"/>
      <c r="R662" s="124"/>
      <c r="S662" s="124"/>
      <c r="T662" s="124"/>
      <c r="U662" s="125"/>
      <c r="V662" s="189"/>
      <c r="W662" s="124"/>
      <c r="X662" s="124"/>
      <c r="Y662" s="124"/>
      <c r="Z662" s="125"/>
      <c r="AA662" s="189"/>
      <c r="AB662" s="124"/>
      <c r="AC662" s="124"/>
      <c r="AD662" s="124"/>
      <c r="AE662" s="125"/>
      <c r="AF662" s="189"/>
      <c r="AG662" s="124"/>
      <c r="AH662" s="124"/>
      <c r="AI662" s="124"/>
      <c r="AJ662" s="125"/>
      <c r="AK662" s="189"/>
      <c r="AL662" s="124"/>
      <c r="AM662" s="124"/>
      <c r="AN662" s="124"/>
      <c r="AO662" s="360"/>
      <c r="AP662" s="360"/>
      <c r="AQ662" s="360"/>
      <c r="AR662" s="360"/>
      <c r="AS662" s="360"/>
      <c r="AT662" s="360"/>
      <c r="AU662" s="360"/>
      <c r="AV662" s="360"/>
      <c r="AW662" s="360"/>
      <c r="AX662" s="360"/>
      <c r="AY662" s="360"/>
      <c r="AZ662" s="360"/>
      <c r="BA662" s="360"/>
      <c r="BB662" s="360"/>
      <c r="BC662" s="360"/>
    </row>
    <row r="663">
      <c r="A663" s="125"/>
      <c r="B663" s="189"/>
      <c r="C663" s="124"/>
      <c r="D663" s="124"/>
      <c r="E663" s="124"/>
      <c r="F663" s="125"/>
      <c r="G663" s="189"/>
      <c r="H663" s="124"/>
      <c r="I663" s="124"/>
      <c r="J663" s="124"/>
      <c r="K663" s="102"/>
      <c r="L663" s="189"/>
      <c r="M663" s="124"/>
      <c r="N663" s="124"/>
      <c r="O663" s="124"/>
      <c r="P663" s="102"/>
      <c r="Q663" s="161"/>
      <c r="R663" s="124"/>
      <c r="S663" s="124"/>
      <c r="T663" s="124"/>
      <c r="U663" s="125"/>
      <c r="V663" s="189"/>
      <c r="W663" s="124"/>
      <c r="X663" s="124"/>
      <c r="Y663" s="124"/>
      <c r="Z663" s="125"/>
      <c r="AA663" s="189"/>
      <c r="AB663" s="124"/>
      <c r="AC663" s="124"/>
      <c r="AD663" s="124"/>
      <c r="AE663" s="125"/>
      <c r="AF663" s="189"/>
      <c r="AG663" s="124"/>
      <c r="AH663" s="124"/>
      <c r="AI663" s="124"/>
      <c r="AJ663" s="125"/>
      <c r="AK663" s="189"/>
      <c r="AL663" s="124"/>
      <c r="AM663" s="124"/>
      <c r="AN663" s="124"/>
      <c r="AO663" s="360"/>
      <c r="AP663" s="360"/>
      <c r="AQ663" s="360"/>
      <c r="AR663" s="360"/>
      <c r="AS663" s="360"/>
      <c r="AT663" s="360"/>
      <c r="AU663" s="360"/>
      <c r="AV663" s="360"/>
      <c r="AW663" s="360"/>
      <c r="AX663" s="360"/>
      <c r="AY663" s="360"/>
      <c r="AZ663" s="360"/>
      <c r="BA663" s="360"/>
      <c r="BB663" s="360"/>
      <c r="BC663" s="360"/>
    </row>
    <row r="664">
      <c r="A664" s="125"/>
      <c r="B664" s="189"/>
      <c r="C664" s="124"/>
      <c r="D664" s="124"/>
      <c r="E664" s="124"/>
      <c r="F664" s="125"/>
      <c r="G664" s="189"/>
      <c r="H664" s="124"/>
      <c r="I664" s="124"/>
      <c r="J664" s="124"/>
      <c r="K664" s="102"/>
      <c r="L664" s="189"/>
      <c r="M664" s="124"/>
      <c r="N664" s="124"/>
      <c r="O664" s="124"/>
      <c r="P664" s="102"/>
      <c r="Q664" s="161"/>
      <c r="R664" s="124"/>
      <c r="S664" s="124"/>
      <c r="T664" s="124"/>
      <c r="U664" s="125"/>
      <c r="V664" s="189"/>
      <c r="W664" s="124"/>
      <c r="X664" s="124"/>
      <c r="Y664" s="124"/>
      <c r="Z664" s="125"/>
      <c r="AA664" s="189"/>
      <c r="AB664" s="124"/>
      <c r="AC664" s="124"/>
      <c r="AD664" s="124"/>
      <c r="AE664" s="125"/>
      <c r="AF664" s="189"/>
      <c r="AG664" s="124"/>
      <c r="AH664" s="124"/>
      <c r="AI664" s="124"/>
      <c r="AJ664" s="125"/>
      <c r="AK664" s="189"/>
      <c r="AL664" s="124"/>
      <c r="AM664" s="124"/>
      <c r="AN664" s="124"/>
      <c r="AO664" s="360"/>
      <c r="AP664" s="360"/>
      <c r="AQ664" s="360"/>
      <c r="AR664" s="360"/>
      <c r="AS664" s="360"/>
      <c r="AT664" s="360"/>
      <c r="AU664" s="360"/>
      <c r="AV664" s="360"/>
      <c r="AW664" s="360"/>
      <c r="AX664" s="360"/>
      <c r="AY664" s="360"/>
      <c r="AZ664" s="360"/>
      <c r="BA664" s="360"/>
      <c r="BB664" s="360"/>
      <c r="BC664" s="360"/>
    </row>
    <row r="665">
      <c r="A665" s="125"/>
      <c r="B665" s="189"/>
      <c r="C665" s="124"/>
      <c r="D665" s="124"/>
      <c r="E665" s="124"/>
      <c r="F665" s="125"/>
      <c r="G665" s="189"/>
      <c r="H665" s="124"/>
      <c r="I665" s="124"/>
      <c r="J665" s="124"/>
      <c r="K665" s="102"/>
      <c r="L665" s="189"/>
      <c r="M665" s="124"/>
      <c r="N665" s="124"/>
      <c r="O665" s="124"/>
      <c r="P665" s="102"/>
      <c r="Q665" s="161"/>
      <c r="R665" s="124"/>
      <c r="S665" s="124"/>
      <c r="T665" s="124"/>
      <c r="U665" s="125"/>
      <c r="V665" s="189"/>
      <c r="W665" s="124"/>
      <c r="X665" s="124"/>
      <c r="Y665" s="124"/>
      <c r="Z665" s="125"/>
      <c r="AA665" s="189"/>
      <c r="AB665" s="124"/>
      <c r="AC665" s="124"/>
      <c r="AD665" s="124"/>
      <c r="AE665" s="125"/>
      <c r="AF665" s="189"/>
      <c r="AG665" s="124"/>
      <c r="AH665" s="124"/>
      <c r="AI665" s="124"/>
      <c r="AJ665" s="125"/>
      <c r="AK665" s="189"/>
      <c r="AL665" s="124"/>
      <c r="AM665" s="124"/>
      <c r="AN665" s="124"/>
      <c r="AO665" s="360"/>
      <c r="AP665" s="360"/>
      <c r="AQ665" s="360"/>
      <c r="AR665" s="360"/>
      <c r="AS665" s="360"/>
      <c r="AT665" s="360"/>
      <c r="AU665" s="360"/>
      <c r="AV665" s="360"/>
      <c r="AW665" s="360"/>
      <c r="AX665" s="360"/>
      <c r="AY665" s="360"/>
      <c r="AZ665" s="360"/>
      <c r="BA665" s="360"/>
      <c r="BB665" s="360"/>
      <c r="BC665" s="360"/>
    </row>
    <row r="666">
      <c r="A666" s="125"/>
      <c r="B666" s="189"/>
      <c r="C666" s="124"/>
      <c r="D666" s="124"/>
      <c r="E666" s="124"/>
      <c r="F666" s="125"/>
      <c r="G666" s="189"/>
      <c r="H666" s="124"/>
      <c r="I666" s="124"/>
      <c r="J666" s="124"/>
      <c r="K666" s="102"/>
      <c r="L666" s="189"/>
      <c r="M666" s="124"/>
      <c r="N666" s="124"/>
      <c r="O666" s="124"/>
      <c r="P666" s="102"/>
      <c r="Q666" s="161"/>
      <c r="R666" s="124"/>
      <c r="S666" s="124"/>
      <c r="T666" s="124"/>
      <c r="U666" s="125"/>
      <c r="V666" s="189"/>
      <c r="W666" s="124"/>
      <c r="X666" s="124"/>
      <c r="Y666" s="124"/>
      <c r="Z666" s="125"/>
      <c r="AA666" s="189"/>
      <c r="AB666" s="124"/>
      <c r="AC666" s="124"/>
      <c r="AD666" s="124"/>
      <c r="AE666" s="125"/>
      <c r="AF666" s="189"/>
      <c r="AG666" s="124"/>
      <c r="AH666" s="124"/>
      <c r="AI666" s="124"/>
      <c r="AJ666" s="125"/>
      <c r="AK666" s="189"/>
      <c r="AL666" s="124"/>
      <c r="AM666" s="124"/>
      <c r="AN666" s="124"/>
      <c r="AO666" s="360"/>
      <c r="AP666" s="360"/>
      <c r="AQ666" s="360"/>
      <c r="AR666" s="360"/>
      <c r="AS666" s="360"/>
      <c r="AT666" s="360"/>
      <c r="AU666" s="360"/>
      <c r="AV666" s="360"/>
      <c r="AW666" s="360"/>
      <c r="AX666" s="360"/>
      <c r="AY666" s="360"/>
      <c r="AZ666" s="360"/>
      <c r="BA666" s="360"/>
      <c r="BB666" s="360"/>
      <c r="BC666" s="360"/>
    </row>
    <row r="667">
      <c r="A667" s="125"/>
      <c r="B667" s="189"/>
      <c r="C667" s="124"/>
      <c r="D667" s="124"/>
      <c r="E667" s="124"/>
      <c r="F667" s="125"/>
      <c r="G667" s="189"/>
      <c r="H667" s="124"/>
      <c r="I667" s="124"/>
      <c r="J667" s="124"/>
      <c r="K667" s="102"/>
      <c r="L667" s="189"/>
      <c r="M667" s="124"/>
      <c r="N667" s="124"/>
      <c r="O667" s="124"/>
      <c r="P667" s="102"/>
      <c r="Q667" s="161"/>
      <c r="R667" s="124"/>
      <c r="S667" s="124"/>
      <c r="T667" s="124"/>
      <c r="U667" s="125"/>
      <c r="V667" s="189"/>
      <c r="W667" s="124"/>
      <c r="X667" s="124"/>
      <c r="Y667" s="124"/>
      <c r="Z667" s="125"/>
      <c r="AA667" s="189"/>
      <c r="AB667" s="124"/>
      <c r="AC667" s="124"/>
      <c r="AD667" s="124"/>
      <c r="AE667" s="125"/>
      <c r="AF667" s="189"/>
      <c r="AG667" s="124"/>
      <c r="AH667" s="124"/>
      <c r="AI667" s="124"/>
      <c r="AJ667" s="125"/>
      <c r="AK667" s="189"/>
      <c r="AL667" s="124"/>
      <c r="AM667" s="124"/>
      <c r="AN667" s="124"/>
      <c r="AO667" s="360"/>
      <c r="AP667" s="360"/>
      <c r="AQ667" s="360"/>
      <c r="AR667" s="360"/>
      <c r="AS667" s="360"/>
      <c r="AT667" s="360"/>
      <c r="AU667" s="360"/>
      <c r="AV667" s="360"/>
      <c r="AW667" s="360"/>
      <c r="AX667" s="360"/>
      <c r="AY667" s="360"/>
      <c r="AZ667" s="360"/>
      <c r="BA667" s="360"/>
      <c r="BB667" s="360"/>
      <c r="BC667" s="360"/>
    </row>
    <row r="668">
      <c r="A668" s="125"/>
      <c r="B668" s="189"/>
      <c r="C668" s="124"/>
      <c r="D668" s="124"/>
      <c r="E668" s="124"/>
      <c r="F668" s="125"/>
      <c r="G668" s="189"/>
      <c r="H668" s="124"/>
      <c r="I668" s="124"/>
      <c r="J668" s="124"/>
      <c r="K668" s="102"/>
      <c r="L668" s="189"/>
      <c r="M668" s="124"/>
      <c r="N668" s="124"/>
      <c r="O668" s="124"/>
      <c r="P668" s="102"/>
      <c r="Q668" s="161"/>
      <c r="R668" s="124"/>
      <c r="S668" s="124"/>
      <c r="T668" s="124"/>
      <c r="U668" s="125"/>
      <c r="V668" s="189"/>
      <c r="W668" s="124"/>
      <c r="X668" s="124"/>
      <c r="Y668" s="124"/>
      <c r="Z668" s="125"/>
      <c r="AA668" s="189"/>
      <c r="AB668" s="124"/>
      <c r="AC668" s="124"/>
      <c r="AD668" s="124"/>
      <c r="AE668" s="125"/>
      <c r="AF668" s="189"/>
      <c r="AG668" s="124"/>
      <c r="AH668" s="124"/>
      <c r="AI668" s="124"/>
      <c r="AJ668" s="125"/>
      <c r="AK668" s="189"/>
      <c r="AL668" s="124"/>
      <c r="AM668" s="124"/>
      <c r="AN668" s="124"/>
      <c r="AO668" s="360"/>
      <c r="AP668" s="360"/>
      <c r="AQ668" s="360"/>
      <c r="AR668" s="360"/>
      <c r="AS668" s="360"/>
      <c r="AT668" s="360"/>
      <c r="AU668" s="360"/>
      <c r="AV668" s="360"/>
      <c r="AW668" s="360"/>
      <c r="AX668" s="360"/>
      <c r="AY668" s="360"/>
      <c r="AZ668" s="360"/>
      <c r="BA668" s="360"/>
      <c r="BB668" s="360"/>
      <c r="BC668" s="360"/>
    </row>
    <row r="669">
      <c r="A669" s="125"/>
      <c r="B669" s="189"/>
      <c r="C669" s="124"/>
      <c r="D669" s="124"/>
      <c r="E669" s="124"/>
      <c r="F669" s="125"/>
      <c r="G669" s="189"/>
      <c r="H669" s="124"/>
      <c r="I669" s="124"/>
      <c r="J669" s="124"/>
      <c r="K669" s="102"/>
      <c r="L669" s="189"/>
      <c r="M669" s="124"/>
      <c r="N669" s="124"/>
      <c r="O669" s="124"/>
      <c r="P669" s="102"/>
      <c r="Q669" s="161"/>
      <c r="R669" s="124"/>
      <c r="S669" s="124"/>
      <c r="T669" s="124"/>
      <c r="U669" s="125"/>
      <c r="V669" s="189"/>
      <c r="W669" s="124"/>
      <c r="X669" s="124"/>
      <c r="Y669" s="124"/>
      <c r="Z669" s="125"/>
      <c r="AA669" s="189"/>
      <c r="AB669" s="124"/>
      <c r="AC669" s="124"/>
      <c r="AD669" s="124"/>
      <c r="AE669" s="125"/>
      <c r="AF669" s="189"/>
      <c r="AG669" s="124"/>
      <c r="AH669" s="124"/>
      <c r="AI669" s="124"/>
      <c r="AJ669" s="125"/>
      <c r="AK669" s="189"/>
      <c r="AL669" s="124"/>
      <c r="AM669" s="124"/>
      <c r="AN669" s="124"/>
      <c r="AO669" s="360"/>
      <c r="AP669" s="360"/>
      <c r="AQ669" s="360"/>
      <c r="AR669" s="360"/>
      <c r="AS669" s="360"/>
      <c r="AT669" s="360"/>
      <c r="AU669" s="360"/>
      <c r="AV669" s="360"/>
      <c r="AW669" s="360"/>
      <c r="AX669" s="360"/>
      <c r="AY669" s="360"/>
      <c r="AZ669" s="360"/>
      <c r="BA669" s="360"/>
      <c r="BB669" s="360"/>
      <c r="BC669" s="360"/>
    </row>
    <row r="670">
      <c r="A670" s="125"/>
      <c r="B670" s="189"/>
      <c r="C670" s="124"/>
      <c r="D670" s="124"/>
      <c r="E670" s="124"/>
      <c r="F670" s="125"/>
      <c r="G670" s="189"/>
      <c r="H670" s="124"/>
      <c r="I670" s="124"/>
      <c r="J670" s="124"/>
      <c r="K670" s="102"/>
      <c r="L670" s="189"/>
      <c r="M670" s="124"/>
      <c r="N670" s="124"/>
      <c r="O670" s="124"/>
      <c r="P670" s="102"/>
      <c r="Q670" s="161"/>
      <c r="R670" s="124"/>
      <c r="S670" s="124"/>
      <c r="T670" s="124"/>
      <c r="U670" s="125"/>
      <c r="V670" s="189"/>
      <c r="W670" s="124"/>
      <c r="X670" s="124"/>
      <c r="Y670" s="124"/>
      <c r="Z670" s="125"/>
      <c r="AA670" s="189"/>
      <c r="AB670" s="124"/>
      <c r="AC670" s="124"/>
      <c r="AD670" s="124"/>
      <c r="AE670" s="125"/>
      <c r="AF670" s="189"/>
      <c r="AG670" s="124"/>
      <c r="AH670" s="124"/>
      <c r="AI670" s="124"/>
      <c r="AJ670" s="125"/>
      <c r="AK670" s="189"/>
      <c r="AL670" s="124"/>
      <c r="AM670" s="124"/>
      <c r="AN670" s="124"/>
      <c r="AO670" s="360"/>
      <c r="AP670" s="360"/>
      <c r="AQ670" s="360"/>
      <c r="AR670" s="360"/>
      <c r="AS670" s="360"/>
      <c r="AT670" s="360"/>
      <c r="AU670" s="360"/>
      <c r="AV670" s="360"/>
      <c r="AW670" s="360"/>
      <c r="AX670" s="360"/>
      <c r="AY670" s="360"/>
      <c r="AZ670" s="360"/>
      <c r="BA670" s="360"/>
      <c r="BB670" s="360"/>
      <c r="BC670" s="360"/>
    </row>
    <row r="671">
      <c r="A671" s="125"/>
      <c r="B671" s="189"/>
      <c r="C671" s="124"/>
      <c r="D671" s="124"/>
      <c r="E671" s="124"/>
      <c r="F671" s="125"/>
      <c r="G671" s="189"/>
      <c r="H671" s="124"/>
      <c r="I671" s="124"/>
      <c r="J671" s="124"/>
      <c r="K671" s="102"/>
      <c r="L671" s="189"/>
      <c r="M671" s="124"/>
      <c r="N671" s="124"/>
      <c r="O671" s="124"/>
      <c r="P671" s="102"/>
      <c r="Q671" s="161"/>
      <c r="R671" s="124"/>
      <c r="S671" s="124"/>
      <c r="T671" s="124"/>
      <c r="U671" s="125"/>
      <c r="V671" s="189"/>
      <c r="W671" s="124"/>
      <c r="X671" s="124"/>
      <c r="Y671" s="124"/>
      <c r="Z671" s="125"/>
      <c r="AA671" s="189"/>
      <c r="AB671" s="124"/>
      <c r="AC671" s="124"/>
      <c r="AD671" s="124"/>
      <c r="AE671" s="125"/>
      <c r="AF671" s="189"/>
      <c r="AG671" s="124"/>
      <c r="AH671" s="124"/>
      <c r="AI671" s="124"/>
      <c r="AJ671" s="125"/>
      <c r="AK671" s="189"/>
      <c r="AL671" s="124"/>
      <c r="AM671" s="124"/>
      <c r="AN671" s="124"/>
      <c r="AO671" s="360"/>
      <c r="AP671" s="360"/>
      <c r="AQ671" s="360"/>
      <c r="AR671" s="360"/>
      <c r="AS671" s="360"/>
      <c r="AT671" s="360"/>
      <c r="AU671" s="360"/>
      <c r="AV671" s="360"/>
      <c r="AW671" s="360"/>
      <c r="AX671" s="360"/>
      <c r="AY671" s="360"/>
      <c r="AZ671" s="360"/>
      <c r="BA671" s="360"/>
      <c r="BB671" s="360"/>
      <c r="BC671" s="360"/>
    </row>
    <row r="672">
      <c r="A672" s="125"/>
      <c r="B672" s="189"/>
      <c r="C672" s="124"/>
      <c r="D672" s="124"/>
      <c r="E672" s="124"/>
      <c r="F672" s="125"/>
      <c r="G672" s="189"/>
      <c r="H672" s="124"/>
      <c r="I672" s="124"/>
      <c r="J672" s="124"/>
      <c r="K672" s="102"/>
      <c r="L672" s="189"/>
      <c r="M672" s="124"/>
      <c r="N672" s="124"/>
      <c r="O672" s="124"/>
      <c r="P672" s="102"/>
      <c r="Q672" s="161"/>
      <c r="R672" s="124"/>
      <c r="S672" s="124"/>
      <c r="T672" s="124"/>
      <c r="U672" s="125"/>
      <c r="V672" s="189"/>
      <c r="W672" s="124"/>
      <c r="X672" s="124"/>
      <c r="Y672" s="124"/>
      <c r="Z672" s="125"/>
      <c r="AA672" s="189"/>
      <c r="AB672" s="124"/>
      <c r="AC672" s="124"/>
      <c r="AD672" s="124"/>
      <c r="AE672" s="125"/>
      <c r="AF672" s="189"/>
      <c r="AG672" s="124"/>
      <c r="AH672" s="124"/>
      <c r="AI672" s="124"/>
      <c r="AJ672" s="125"/>
      <c r="AK672" s="189"/>
      <c r="AL672" s="124"/>
      <c r="AM672" s="124"/>
      <c r="AN672" s="124"/>
      <c r="AO672" s="360"/>
      <c r="AP672" s="360"/>
      <c r="AQ672" s="360"/>
      <c r="AR672" s="360"/>
      <c r="AS672" s="360"/>
      <c r="AT672" s="360"/>
      <c r="AU672" s="360"/>
      <c r="AV672" s="360"/>
      <c r="AW672" s="360"/>
      <c r="AX672" s="360"/>
      <c r="AY672" s="360"/>
      <c r="AZ672" s="360"/>
      <c r="BA672" s="360"/>
      <c r="BB672" s="360"/>
      <c r="BC672" s="360"/>
    </row>
    <row r="673">
      <c r="A673" s="125"/>
      <c r="B673" s="189"/>
      <c r="C673" s="124"/>
      <c r="D673" s="124"/>
      <c r="E673" s="124"/>
      <c r="F673" s="125"/>
      <c r="G673" s="189"/>
      <c r="H673" s="124"/>
      <c r="I673" s="124"/>
      <c r="J673" s="124"/>
      <c r="K673" s="102"/>
      <c r="L673" s="189"/>
      <c r="M673" s="124"/>
      <c r="N673" s="124"/>
      <c r="O673" s="124"/>
      <c r="P673" s="102"/>
      <c r="Q673" s="161"/>
      <c r="R673" s="124"/>
      <c r="S673" s="124"/>
      <c r="T673" s="124"/>
      <c r="U673" s="125"/>
      <c r="V673" s="189"/>
      <c r="W673" s="124"/>
      <c r="X673" s="124"/>
      <c r="Y673" s="124"/>
      <c r="Z673" s="125"/>
      <c r="AA673" s="189"/>
      <c r="AB673" s="124"/>
      <c r="AC673" s="124"/>
      <c r="AD673" s="124"/>
      <c r="AE673" s="125"/>
      <c r="AF673" s="189"/>
      <c r="AG673" s="124"/>
      <c r="AH673" s="124"/>
      <c r="AI673" s="124"/>
      <c r="AJ673" s="125"/>
      <c r="AK673" s="189"/>
      <c r="AL673" s="124"/>
      <c r="AM673" s="124"/>
      <c r="AN673" s="124"/>
      <c r="AO673" s="360"/>
      <c r="AP673" s="360"/>
      <c r="AQ673" s="360"/>
      <c r="AR673" s="360"/>
      <c r="AS673" s="360"/>
      <c r="AT673" s="360"/>
      <c r="AU673" s="360"/>
      <c r="AV673" s="360"/>
      <c r="AW673" s="360"/>
      <c r="AX673" s="360"/>
      <c r="AY673" s="360"/>
      <c r="AZ673" s="360"/>
      <c r="BA673" s="360"/>
      <c r="BB673" s="360"/>
      <c r="BC673" s="360"/>
    </row>
    <row r="674">
      <c r="A674" s="125"/>
      <c r="B674" s="189"/>
      <c r="C674" s="124"/>
      <c r="D674" s="124"/>
      <c r="E674" s="124"/>
      <c r="F674" s="125"/>
      <c r="G674" s="189"/>
      <c r="H674" s="124"/>
      <c r="I674" s="124"/>
      <c r="J674" s="124"/>
      <c r="K674" s="102"/>
      <c r="L674" s="189"/>
      <c r="M674" s="124"/>
      <c r="N674" s="124"/>
      <c r="O674" s="124"/>
      <c r="P674" s="102"/>
      <c r="Q674" s="161"/>
      <c r="R674" s="124"/>
      <c r="S674" s="124"/>
      <c r="T674" s="124"/>
      <c r="U674" s="125"/>
      <c r="V674" s="189"/>
      <c r="W674" s="124"/>
      <c r="X674" s="124"/>
      <c r="Y674" s="124"/>
      <c r="Z674" s="125"/>
      <c r="AA674" s="189"/>
      <c r="AB674" s="124"/>
      <c r="AC674" s="124"/>
      <c r="AD674" s="124"/>
      <c r="AE674" s="125"/>
      <c r="AF674" s="189"/>
      <c r="AG674" s="124"/>
      <c r="AH674" s="124"/>
      <c r="AI674" s="124"/>
      <c r="AJ674" s="125"/>
      <c r="AK674" s="189"/>
      <c r="AL674" s="124"/>
      <c r="AM674" s="124"/>
      <c r="AN674" s="124"/>
      <c r="AO674" s="360"/>
      <c r="AP674" s="360"/>
      <c r="AQ674" s="360"/>
      <c r="AR674" s="360"/>
      <c r="AS674" s="360"/>
      <c r="AT674" s="360"/>
      <c r="AU674" s="360"/>
      <c r="AV674" s="360"/>
      <c r="AW674" s="360"/>
      <c r="AX674" s="360"/>
      <c r="AY674" s="360"/>
      <c r="AZ674" s="360"/>
      <c r="BA674" s="360"/>
      <c r="BB674" s="360"/>
      <c r="BC674" s="360"/>
    </row>
    <row r="675">
      <c r="A675" s="125"/>
      <c r="B675" s="189"/>
      <c r="C675" s="124"/>
      <c r="D675" s="124"/>
      <c r="E675" s="124"/>
      <c r="F675" s="125"/>
      <c r="G675" s="189"/>
      <c r="H675" s="124"/>
      <c r="I675" s="124"/>
      <c r="J675" s="124"/>
      <c r="K675" s="102"/>
      <c r="L675" s="189"/>
      <c r="M675" s="124"/>
      <c r="N675" s="124"/>
      <c r="O675" s="124"/>
      <c r="P675" s="102"/>
      <c r="Q675" s="161"/>
      <c r="R675" s="124"/>
      <c r="S675" s="124"/>
      <c r="T675" s="124"/>
      <c r="U675" s="125"/>
      <c r="V675" s="189"/>
      <c r="W675" s="124"/>
      <c r="X675" s="124"/>
      <c r="Y675" s="124"/>
      <c r="Z675" s="125"/>
      <c r="AA675" s="189"/>
      <c r="AB675" s="124"/>
      <c r="AC675" s="124"/>
      <c r="AD675" s="124"/>
      <c r="AE675" s="125"/>
      <c r="AF675" s="189"/>
      <c r="AG675" s="124"/>
      <c r="AH675" s="124"/>
      <c r="AI675" s="124"/>
      <c r="AJ675" s="125"/>
      <c r="AK675" s="189"/>
      <c r="AL675" s="124"/>
      <c r="AM675" s="124"/>
      <c r="AN675" s="124"/>
      <c r="AO675" s="360"/>
      <c r="AP675" s="360"/>
      <c r="AQ675" s="360"/>
      <c r="AR675" s="360"/>
      <c r="AS675" s="360"/>
      <c r="AT675" s="360"/>
      <c r="AU675" s="360"/>
      <c r="AV675" s="360"/>
      <c r="AW675" s="360"/>
      <c r="AX675" s="360"/>
      <c r="AY675" s="360"/>
      <c r="AZ675" s="360"/>
      <c r="BA675" s="360"/>
      <c r="BB675" s="360"/>
      <c r="BC675" s="360"/>
    </row>
    <row r="676">
      <c r="A676" s="125"/>
      <c r="B676" s="189"/>
      <c r="C676" s="124"/>
      <c r="D676" s="124"/>
      <c r="E676" s="124"/>
      <c r="F676" s="125"/>
      <c r="G676" s="189"/>
      <c r="H676" s="124"/>
      <c r="I676" s="124"/>
      <c r="J676" s="124"/>
      <c r="K676" s="102"/>
      <c r="L676" s="189"/>
      <c r="M676" s="124"/>
      <c r="N676" s="124"/>
      <c r="O676" s="124"/>
      <c r="P676" s="102"/>
      <c r="Q676" s="161"/>
      <c r="R676" s="124"/>
      <c r="S676" s="124"/>
      <c r="T676" s="124"/>
      <c r="U676" s="125"/>
      <c r="V676" s="189"/>
      <c r="W676" s="124"/>
      <c r="X676" s="124"/>
      <c r="Y676" s="124"/>
      <c r="Z676" s="125"/>
      <c r="AA676" s="189"/>
      <c r="AB676" s="124"/>
      <c r="AC676" s="124"/>
      <c r="AD676" s="124"/>
      <c r="AE676" s="125"/>
      <c r="AF676" s="189"/>
      <c r="AG676" s="124"/>
      <c r="AH676" s="124"/>
      <c r="AI676" s="124"/>
      <c r="AJ676" s="125"/>
      <c r="AK676" s="189"/>
      <c r="AL676" s="124"/>
      <c r="AM676" s="124"/>
      <c r="AN676" s="124"/>
      <c r="AO676" s="360"/>
      <c r="AP676" s="360"/>
      <c r="AQ676" s="360"/>
      <c r="AR676" s="360"/>
      <c r="AS676" s="360"/>
      <c r="AT676" s="360"/>
      <c r="AU676" s="360"/>
      <c r="AV676" s="360"/>
      <c r="AW676" s="360"/>
      <c r="AX676" s="360"/>
      <c r="AY676" s="360"/>
      <c r="AZ676" s="360"/>
      <c r="BA676" s="360"/>
      <c r="BB676" s="360"/>
      <c r="BC676" s="360"/>
    </row>
    <row r="677">
      <c r="A677" s="125"/>
      <c r="B677" s="189"/>
      <c r="C677" s="124"/>
      <c r="D677" s="124"/>
      <c r="E677" s="124"/>
      <c r="F677" s="125"/>
      <c r="G677" s="189"/>
      <c r="H677" s="124"/>
      <c r="I677" s="124"/>
      <c r="J677" s="124"/>
      <c r="K677" s="102"/>
      <c r="L677" s="189"/>
      <c r="M677" s="124"/>
      <c r="N677" s="124"/>
      <c r="O677" s="124"/>
      <c r="P677" s="102"/>
      <c r="Q677" s="161"/>
      <c r="R677" s="124"/>
      <c r="S677" s="124"/>
      <c r="T677" s="124"/>
      <c r="U677" s="125"/>
      <c r="V677" s="189"/>
      <c r="W677" s="124"/>
      <c r="X677" s="124"/>
      <c r="Y677" s="124"/>
      <c r="Z677" s="125"/>
      <c r="AA677" s="189"/>
      <c r="AB677" s="124"/>
      <c r="AC677" s="124"/>
      <c r="AD677" s="124"/>
      <c r="AE677" s="125"/>
      <c r="AF677" s="189"/>
      <c r="AG677" s="124"/>
      <c r="AH677" s="124"/>
      <c r="AI677" s="124"/>
      <c r="AJ677" s="125"/>
      <c r="AK677" s="189"/>
      <c r="AL677" s="124"/>
      <c r="AM677" s="124"/>
      <c r="AN677" s="124"/>
      <c r="AO677" s="360"/>
      <c r="AP677" s="360"/>
      <c r="AQ677" s="360"/>
      <c r="AR677" s="360"/>
      <c r="AS677" s="360"/>
      <c r="AT677" s="360"/>
      <c r="AU677" s="360"/>
      <c r="AV677" s="360"/>
      <c r="AW677" s="360"/>
      <c r="AX677" s="360"/>
      <c r="AY677" s="360"/>
      <c r="AZ677" s="360"/>
      <c r="BA677" s="360"/>
      <c r="BB677" s="360"/>
      <c r="BC677" s="360"/>
    </row>
    <row r="678">
      <c r="A678" s="125"/>
      <c r="B678" s="189"/>
      <c r="C678" s="124"/>
      <c r="D678" s="124"/>
      <c r="E678" s="124"/>
      <c r="F678" s="125"/>
      <c r="G678" s="189"/>
      <c r="H678" s="124"/>
      <c r="I678" s="124"/>
      <c r="J678" s="124"/>
      <c r="K678" s="102"/>
      <c r="L678" s="189"/>
      <c r="M678" s="124"/>
      <c r="N678" s="124"/>
      <c r="O678" s="124"/>
      <c r="P678" s="102"/>
      <c r="Q678" s="161"/>
      <c r="R678" s="124"/>
      <c r="S678" s="124"/>
      <c r="T678" s="124"/>
      <c r="U678" s="125"/>
      <c r="V678" s="189"/>
      <c r="W678" s="124"/>
      <c r="X678" s="124"/>
      <c r="Y678" s="124"/>
      <c r="Z678" s="125"/>
      <c r="AA678" s="189"/>
      <c r="AB678" s="124"/>
      <c r="AC678" s="124"/>
      <c r="AD678" s="124"/>
      <c r="AE678" s="125"/>
      <c r="AF678" s="189"/>
      <c r="AG678" s="124"/>
      <c r="AH678" s="124"/>
      <c r="AI678" s="124"/>
      <c r="AJ678" s="125"/>
      <c r="AK678" s="189"/>
      <c r="AL678" s="124"/>
      <c r="AM678" s="124"/>
      <c r="AN678" s="124"/>
      <c r="AO678" s="360"/>
      <c r="AP678" s="360"/>
      <c r="AQ678" s="360"/>
      <c r="AR678" s="360"/>
      <c r="AS678" s="360"/>
      <c r="AT678" s="360"/>
      <c r="AU678" s="360"/>
      <c r="AV678" s="360"/>
      <c r="AW678" s="360"/>
      <c r="AX678" s="360"/>
      <c r="AY678" s="360"/>
      <c r="AZ678" s="360"/>
      <c r="BA678" s="360"/>
      <c r="BB678" s="360"/>
      <c r="BC678" s="360"/>
    </row>
    <row r="679">
      <c r="A679" s="125"/>
      <c r="B679" s="189"/>
      <c r="C679" s="124"/>
      <c r="D679" s="124"/>
      <c r="E679" s="124"/>
      <c r="F679" s="125"/>
      <c r="G679" s="189"/>
      <c r="H679" s="124"/>
      <c r="I679" s="124"/>
      <c r="J679" s="124"/>
      <c r="K679" s="102"/>
      <c r="L679" s="189"/>
      <c r="M679" s="124"/>
      <c r="N679" s="124"/>
      <c r="O679" s="124"/>
      <c r="P679" s="102"/>
      <c r="Q679" s="161"/>
      <c r="R679" s="124"/>
      <c r="S679" s="124"/>
      <c r="T679" s="124"/>
      <c r="U679" s="125"/>
      <c r="V679" s="189"/>
      <c r="W679" s="124"/>
      <c r="X679" s="124"/>
      <c r="Y679" s="124"/>
      <c r="Z679" s="125"/>
      <c r="AA679" s="189"/>
      <c r="AB679" s="124"/>
      <c r="AC679" s="124"/>
      <c r="AD679" s="124"/>
      <c r="AE679" s="125"/>
      <c r="AF679" s="189"/>
      <c r="AG679" s="124"/>
      <c r="AH679" s="124"/>
      <c r="AI679" s="124"/>
      <c r="AJ679" s="125"/>
      <c r="AK679" s="189"/>
      <c r="AL679" s="124"/>
      <c r="AM679" s="124"/>
      <c r="AN679" s="124"/>
      <c r="AO679" s="360"/>
      <c r="AP679" s="360"/>
      <c r="AQ679" s="360"/>
      <c r="AR679" s="360"/>
      <c r="AS679" s="360"/>
      <c r="AT679" s="360"/>
      <c r="AU679" s="360"/>
      <c r="AV679" s="360"/>
      <c r="AW679" s="360"/>
      <c r="AX679" s="360"/>
      <c r="AY679" s="360"/>
      <c r="AZ679" s="360"/>
      <c r="BA679" s="360"/>
      <c r="BB679" s="360"/>
      <c r="BC679" s="360"/>
    </row>
    <row r="680">
      <c r="A680" s="125"/>
      <c r="B680" s="189"/>
      <c r="C680" s="124"/>
      <c r="D680" s="124"/>
      <c r="E680" s="124"/>
      <c r="F680" s="125"/>
      <c r="G680" s="189"/>
      <c r="H680" s="124"/>
      <c r="I680" s="124"/>
      <c r="J680" s="124"/>
      <c r="K680" s="102"/>
      <c r="L680" s="189"/>
      <c r="M680" s="124"/>
      <c r="N680" s="124"/>
      <c r="O680" s="124"/>
      <c r="P680" s="102"/>
      <c r="Q680" s="161"/>
      <c r="R680" s="124"/>
      <c r="S680" s="124"/>
      <c r="T680" s="124"/>
      <c r="U680" s="125"/>
      <c r="V680" s="189"/>
      <c r="W680" s="124"/>
      <c r="X680" s="124"/>
      <c r="Y680" s="124"/>
      <c r="Z680" s="125"/>
      <c r="AA680" s="189"/>
      <c r="AB680" s="124"/>
      <c r="AC680" s="124"/>
      <c r="AD680" s="124"/>
      <c r="AE680" s="125"/>
      <c r="AF680" s="189"/>
      <c r="AG680" s="124"/>
      <c r="AH680" s="124"/>
      <c r="AI680" s="124"/>
      <c r="AJ680" s="125"/>
      <c r="AK680" s="189"/>
      <c r="AL680" s="124"/>
      <c r="AM680" s="124"/>
      <c r="AN680" s="124"/>
      <c r="AO680" s="360"/>
      <c r="AP680" s="360"/>
      <c r="AQ680" s="360"/>
      <c r="AR680" s="360"/>
      <c r="AS680" s="360"/>
      <c r="AT680" s="360"/>
      <c r="AU680" s="360"/>
      <c r="AV680" s="360"/>
      <c r="AW680" s="360"/>
      <c r="AX680" s="360"/>
      <c r="AY680" s="360"/>
      <c r="AZ680" s="360"/>
      <c r="BA680" s="360"/>
      <c r="BB680" s="360"/>
      <c r="BC680" s="360"/>
    </row>
    <row r="681">
      <c r="A681" s="125"/>
      <c r="B681" s="189"/>
      <c r="C681" s="124"/>
      <c r="D681" s="124"/>
      <c r="E681" s="124"/>
      <c r="F681" s="125"/>
      <c r="G681" s="189"/>
      <c r="H681" s="124"/>
      <c r="I681" s="124"/>
      <c r="J681" s="124"/>
      <c r="K681" s="102"/>
      <c r="L681" s="189"/>
      <c r="M681" s="124"/>
      <c r="N681" s="124"/>
      <c r="O681" s="124"/>
      <c r="P681" s="102"/>
      <c r="Q681" s="161"/>
      <c r="R681" s="124"/>
      <c r="S681" s="124"/>
      <c r="T681" s="124"/>
      <c r="U681" s="125"/>
      <c r="V681" s="189"/>
      <c r="W681" s="124"/>
      <c r="X681" s="124"/>
      <c r="Y681" s="124"/>
      <c r="Z681" s="125"/>
      <c r="AA681" s="189"/>
      <c r="AB681" s="124"/>
      <c r="AC681" s="124"/>
      <c r="AD681" s="124"/>
      <c r="AE681" s="125"/>
      <c r="AF681" s="189"/>
      <c r="AG681" s="124"/>
      <c r="AH681" s="124"/>
      <c r="AI681" s="124"/>
      <c r="AJ681" s="125"/>
      <c r="AK681" s="189"/>
      <c r="AL681" s="124"/>
      <c r="AM681" s="124"/>
      <c r="AN681" s="124"/>
      <c r="AO681" s="360"/>
      <c r="AP681" s="360"/>
      <c r="AQ681" s="360"/>
      <c r="AR681" s="360"/>
      <c r="AS681" s="360"/>
      <c r="AT681" s="360"/>
      <c r="AU681" s="360"/>
      <c r="AV681" s="360"/>
      <c r="AW681" s="360"/>
      <c r="AX681" s="360"/>
      <c r="AY681" s="360"/>
      <c r="AZ681" s="360"/>
      <c r="BA681" s="360"/>
      <c r="BB681" s="360"/>
      <c r="BC681" s="360"/>
    </row>
    <row r="682">
      <c r="A682" s="125"/>
      <c r="B682" s="189"/>
      <c r="C682" s="124"/>
      <c r="D682" s="124"/>
      <c r="E682" s="124"/>
      <c r="F682" s="125"/>
      <c r="G682" s="189"/>
      <c r="H682" s="124"/>
      <c r="I682" s="124"/>
      <c r="J682" s="124"/>
      <c r="K682" s="102"/>
      <c r="L682" s="189"/>
      <c r="M682" s="124"/>
      <c r="N682" s="124"/>
      <c r="O682" s="124"/>
      <c r="P682" s="102"/>
      <c r="Q682" s="161"/>
      <c r="R682" s="124"/>
      <c r="S682" s="124"/>
      <c r="T682" s="124"/>
      <c r="U682" s="125"/>
      <c r="V682" s="189"/>
      <c r="W682" s="124"/>
      <c r="X682" s="124"/>
      <c r="Y682" s="124"/>
      <c r="Z682" s="125"/>
      <c r="AA682" s="189"/>
      <c r="AB682" s="124"/>
      <c r="AC682" s="124"/>
      <c r="AD682" s="124"/>
      <c r="AE682" s="125"/>
      <c r="AF682" s="189"/>
      <c r="AG682" s="124"/>
      <c r="AH682" s="124"/>
      <c r="AI682" s="124"/>
      <c r="AJ682" s="125"/>
      <c r="AK682" s="189"/>
      <c r="AL682" s="124"/>
      <c r="AM682" s="124"/>
      <c r="AN682" s="124"/>
      <c r="AO682" s="360"/>
      <c r="AP682" s="360"/>
      <c r="AQ682" s="360"/>
      <c r="AR682" s="360"/>
      <c r="AS682" s="360"/>
      <c r="AT682" s="360"/>
      <c r="AU682" s="360"/>
      <c r="AV682" s="360"/>
      <c r="AW682" s="360"/>
      <c r="AX682" s="360"/>
      <c r="AY682" s="360"/>
      <c r="AZ682" s="360"/>
      <c r="BA682" s="360"/>
      <c r="BB682" s="360"/>
      <c r="BC682" s="360"/>
    </row>
    <row r="683">
      <c r="A683" s="125"/>
      <c r="B683" s="189"/>
      <c r="C683" s="124"/>
      <c r="D683" s="124"/>
      <c r="E683" s="124"/>
      <c r="F683" s="125"/>
      <c r="G683" s="189"/>
      <c r="H683" s="124"/>
      <c r="I683" s="124"/>
      <c r="J683" s="124"/>
      <c r="K683" s="102"/>
      <c r="L683" s="189"/>
      <c r="M683" s="124"/>
      <c r="N683" s="124"/>
      <c r="O683" s="124"/>
      <c r="P683" s="102"/>
      <c r="Q683" s="161"/>
      <c r="R683" s="124"/>
      <c r="S683" s="124"/>
      <c r="T683" s="124"/>
      <c r="U683" s="125"/>
      <c r="V683" s="189"/>
      <c r="W683" s="124"/>
      <c r="X683" s="124"/>
      <c r="Y683" s="124"/>
      <c r="Z683" s="125"/>
      <c r="AA683" s="189"/>
      <c r="AB683" s="124"/>
      <c r="AC683" s="124"/>
      <c r="AD683" s="124"/>
      <c r="AE683" s="125"/>
      <c r="AF683" s="189"/>
      <c r="AG683" s="124"/>
      <c r="AH683" s="124"/>
      <c r="AI683" s="124"/>
      <c r="AJ683" s="125"/>
      <c r="AK683" s="189"/>
      <c r="AL683" s="124"/>
      <c r="AM683" s="124"/>
      <c r="AN683" s="124"/>
      <c r="AO683" s="360"/>
      <c r="AP683" s="360"/>
      <c r="AQ683" s="360"/>
      <c r="AR683" s="360"/>
      <c r="AS683" s="360"/>
      <c r="AT683" s="360"/>
      <c r="AU683" s="360"/>
      <c r="AV683" s="360"/>
      <c r="AW683" s="360"/>
      <c r="AX683" s="360"/>
      <c r="AY683" s="360"/>
      <c r="AZ683" s="360"/>
      <c r="BA683" s="360"/>
      <c r="BB683" s="360"/>
      <c r="BC683" s="360"/>
    </row>
    <row r="684">
      <c r="A684" s="125"/>
      <c r="B684" s="189"/>
      <c r="C684" s="124"/>
      <c r="D684" s="124"/>
      <c r="E684" s="124"/>
      <c r="F684" s="125"/>
      <c r="G684" s="189"/>
      <c r="H684" s="124"/>
      <c r="I684" s="124"/>
      <c r="J684" s="124"/>
      <c r="K684" s="102"/>
      <c r="L684" s="189"/>
      <c r="M684" s="124"/>
      <c r="N684" s="124"/>
      <c r="O684" s="124"/>
      <c r="P684" s="102"/>
      <c r="Q684" s="161"/>
      <c r="R684" s="124"/>
      <c r="S684" s="124"/>
      <c r="T684" s="124"/>
      <c r="U684" s="125"/>
      <c r="V684" s="189"/>
      <c r="W684" s="124"/>
      <c r="X684" s="124"/>
      <c r="Y684" s="124"/>
      <c r="Z684" s="125"/>
      <c r="AA684" s="189"/>
      <c r="AB684" s="124"/>
      <c r="AC684" s="124"/>
      <c r="AD684" s="124"/>
      <c r="AE684" s="125"/>
      <c r="AF684" s="189"/>
      <c r="AG684" s="124"/>
      <c r="AH684" s="124"/>
      <c r="AI684" s="124"/>
      <c r="AJ684" s="125"/>
      <c r="AK684" s="189"/>
      <c r="AL684" s="124"/>
      <c r="AM684" s="124"/>
      <c r="AN684" s="124"/>
      <c r="AO684" s="360"/>
      <c r="AP684" s="360"/>
      <c r="AQ684" s="360"/>
      <c r="AR684" s="360"/>
      <c r="AS684" s="360"/>
      <c r="AT684" s="360"/>
      <c r="AU684" s="360"/>
      <c r="AV684" s="360"/>
      <c r="AW684" s="360"/>
      <c r="AX684" s="360"/>
      <c r="AY684" s="360"/>
      <c r="AZ684" s="360"/>
      <c r="BA684" s="360"/>
      <c r="BB684" s="360"/>
      <c r="BC684" s="360"/>
    </row>
    <row r="685">
      <c r="A685" s="125"/>
      <c r="B685" s="189"/>
      <c r="C685" s="124"/>
      <c r="D685" s="124"/>
      <c r="E685" s="124"/>
      <c r="F685" s="125"/>
      <c r="G685" s="189"/>
      <c r="H685" s="124"/>
      <c r="I685" s="124"/>
      <c r="J685" s="124"/>
      <c r="K685" s="102"/>
      <c r="L685" s="189"/>
      <c r="M685" s="124"/>
      <c r="N685" s="124"/>
      <c r="O685" s="124"/>
      <c r="P685" s="102"/>
      <c r="Q685" s="161"/>
      <c r="R685" s="124"/>
      <c r="S685" s="124"/>
      <c r="T685" s="124"/>
      <c r="U685" s="125"/>
      <c r="V685" s="189"/>
      <c r="W685" s="124"/>
      <c r="X685" s="124"/>
      <c r="Y685" s="124"/>
      <c r="Z685" s="125"/>
      <c r="AA685" s="189"/>
      <c r="AB685" s="124"/>
      <c r="AC685" s="124"/>
      <c r="AD685" s="124"/>
      <c r="AE685" s="125"/>
      <c r="AF685" s="189"/>
      <c r="AG685" s="124"/>
      <c r="AH685" s="124"/>
      <c r="AI685" s="124"/>
      <c r="AJ685" s="125"/>
      <c r="AK685" s="189"/>
      <c r="AL685" s="124"/>
      <c r="AM685" s="124"/>
      <c r="AN685" s="124"/>
      <c r="AO685" s="360"/>
      <c r="AP685" s="360"/>
      <c r="AQ685" s="360"/>
      <c r="AR685" s="360"/>
      <c r="AS685" s="360"/>
      <c r="AT685" s="360"/>
      <c r="AU685" s="360"/>
      <c r="AV685" s="360"/>
      <c r="AW685" s="360"/>
      <c r="AX685" s="360"/>
      <c r="AY685" s="360"/>
      <c r="AZ685" s="360"/>
      <c r="BA685" s="360"/>
      <c r="BB685" s="360"/>
      <c r="BC685" s="360"/>
    </row>
    <row r="686">
      <c r="A686" s="125"/>
      <c r="B686" s="189"/>
      <c r="C686" s="124"/>
      <c r="D686" s="124"/>
      <c r="E686" s="124"/>
      <c r="F686" s="125"/>
      <c r="G686" s="189"/>
      <c r="H686" s="124"/>
      <c r="I686" s="124"/>
      <c r="J686" s="124"/>
      <c r="K686" s="102"/>
      <c r="L686" s="189"/>
      <c r="M686" s="124"/>
      <c r="N686" s="124"/>
      <c r="O686" s="124"/>
      <c r="P686" s="102"/>
      <c r="Q686" s="161"/>
      <c r="R686" s="124"/>
      <c r="S686" s="124"/>
      <c r="T686" s="124"/>
      <c r="U686" s="125"/>
      <c r="V686" s="189"/>
      <c r="W686" s="124"/>
      <c r="X686" s="124"/>
      <c r="Y686" s="124"/>
      <c r="Z686" s="125"/>
      <c r="AA686" s="189"/>
      <c r="AB686" s="124"/>
      <c r="AC686" s="124"/>
      <c r="AD686" s="124"/>
      <c r="AE686" s="125"/>
      <c r="AF686" s="189"/>
      <c r="AG686" s="124"/>
      <c r="AH686" s="124"/>
      <c r="AI686" s="124"/>
      <c r="AJ686" s="125"/>
      <c r="AK686" s="189"/>
      <c r="AL686" s="124"/>
      <c r="AM686" s="124"/>
      <c r="AN686" s="124"/>
      <c r="AO686" s="360"/>
      <c r="AP686" s="360"/>
      <c r="AQ686" s="360"/>
      <c r="AR686" s="360"/>
      <c r="AS686" s="360"/>
      <c r="AT686" s="360"/>
      <c r="AU686" s="360"/>
      <c r="AV686" s="360"/>
      <c r="AW686" s="360"/>
      <c r="AX686" s="360"/>
      <c r="AY686" s="360"/>
      <c r="AZ686" s="360"/>
      <c r="BA686" s="360"/>
      <c r="BB686" s="360"/>
      <c r="BC686" s="360"/>
    </row>
    <row r="687">
      <c r="A687" s="125"/>
      <c r="B687" s="189"/>
      <c r="C687" s="124"/>
      <c r="D687" s="124"/>
      <c r="E687" s="124"/>
      <c r="F687" s="125"/>
      <c r="G687" s="189"/>
      <c r="H687" s="124"/>
      <c r="I687" s="124"/>
      <c r="J687" s="124"/>
      <c r="K687" s="102"/>
      <c r="L687" s="189"/>
      <c r="M687" s="124"/>
      <c r="N687" s="124"/>
      <c r="O687" s="124"/>
      <c r="P687" s="102"/>
      <c r="Q687" s="161"/>
      <c r="R687" s="124"/>
      <c r="S687" s="124"/>
      <c r="T687" s="124"/>
      <c r="U687" s="125"/>
      <c r="V687" s="189"/>
      <c r="W687" s="124"/>
      <c r="X687" s="124"/>
      <c r="Y687" s="124"/>
      <c r="Z687" s="125"/>
      <c r="AA687" s="189"/>
      <c r="AB687" s="124"/>
      <c r="AC687" s="124"/>
      <c r="AD687" s="124"/>
      <c r="AE687" s="125"/>
      <c r="AF687" s="189"/>
      <c r="AG687" s="124"/>
      <c r="AH687" s="124"/>
      <c r="AI687" s="124"/>
      <c r="AJ687" s="125"/>
      <c r="AK687" s="189"/>
      <c r="AL687" s="124"/>
      <c r="AM687" s="124"/>
      <c r="AN687" s="124"/>
      <c r="AO687" s="360"/>
      <c r="AP687" s="360"/>
      <c r="AQ687" s="360"/>
      <c r="AR687" s="360"/>
      <c r="AS687" s="360"/>
      <c r="AT687" s="360"/>
      <c r="AU687" s="360"/>
      <c r="AV687" s="360"/>
      <c r="AW687" s="360"/>
      <c r="AX687" s="360"/>
      <c r="AY687" s="360"/>
      <c r="AZ687" s="360"/>
      <c r="BA687" s="360"/>
      <c r="BB687" s="360"/>
      <c r="BC687" s="360"/>
    </row>
    <row r="688">
      <c r="A688" s="125"/>
      <c r="B688" s="189"/>
      <c r="C688" s="124"/>
      <c r="D688" s="124"/>
      <c r="E688" s="124"/>
      <c r="F688" s="125"/>
      <c r="G688" s="189"/>
      <c r="H688" s="124"/>
      <c r="I688" s="124"/>
      <c r="J688" s="124"/>
      <c r="K688" s="102"/>
      <c r="L688" s="189"/>
      <c r="M688" s="124"/>
      <c r="N688" s="124"/>
      <c r="O688" s="124"/>
      <c r="P688" s="102"/>
      <c r="Q688" s="161"/>
      <c r="R688" s="124"/>
      <c r="S688" s="124"/>
      <c r="T688" s="124"/>
      <c r="U688" s="125"/>
      <c r="V688" s="189"/>
      <c r="W688" s="124"/>
      <c r="X688" s="124"/>
      <c r="Y688" s="124"/>
      <c r="Z688" s="125"/>
      <c r="AA688" s="189"/>
      <c r="AB688" s="124"/>
      <c r="AC688" s="124"/>
      <c r="AD688" s="124"/>
      <c r="AE688" s="125"/>
      <c r="AF688" s="189"/>
      <c r="AG688" s="124"/>
      <c r="AH688" s="124"/>
      <c r="AI688" s="124"/>
      <c r="AJ688" s="125"/>
      <c r="AK688" s="189"/>
      <c r="AL688" s="124"/>
      <c r="AM688" s="124"/>
      <c r="AN688" s="124"/>
      <c r="AO688" s="360"/>
      <c r="AP688" s="360"/>
      <c r="AQ688" s="360"/>
      <c r="AR688" s="360"/>
      <c r="AS688" s="360"/>
      <c r="AT688" s="360"/>
      <c r="AU688" s="360"/>
      <c r="AV688" s="360"/>
      <c r="AW688" s="360"/>
      <c r="AX688" s="360"/>
      <c r="AY688" s="360"/>
      <c r="AZ688" s="360"/>
      <c r="BA688" s="360"/>
      <c r="BB688" s="360"/>
      <c r="BC688" s="360"/>
    </row>
    <row r="689">
      <c r="A689" s="125"/>
      <c r="B689" s="189"/>
      <c r="C689" s="124"/>
      <c r="D689" s="124"/>
      <c r="E689" s="124"/>
      <c r="F689" s="125"/>
      <c r="G689" s="189"/>
      <c r="H689" s="124"/>
      <c r="I689" s="124"/>
      <c r="J689" s="124"/>
      <c r="K689" s="102"/>
      <c r="L689" s="189"/>
      <c r="M689" s="124"/>
      <c r="N689" s="124"/>
      <c r="O689" s="124"/>
      <c r="P689" s="102"/>
      <c r="Q689" s="161"/>
      <c r="R689" s="124"/>
      <c r="S689" s="124"/>
      <c r="T689" s="124"/>
      <c r="U689" s="125"/>
      <c r="V689" s="189"/>
      <c r="W689" s="124"/>
      <c r="X689" s="124"/>
      <c r="Y689" s="124"/>
      <c r="Z689" s="125"/>
      <c r="AA689" s="189"/>
      <c r="AB689" s="124"/>
      <c r="AC689" s="124"/>
      <c r="AD689" s="124"/>
      <c r="AE689" s="125"/>
      <c r="AF689" s="189"/>
      <c r="AG689" s="124"/>
      <c r="AH689" s="124"/>
      <c r="AI689" s="124"/>
      <c r="AJ689" s="125"/>
      <c r="AK689" s="189"/>
      <c r="AL689" s="124"/>
      <c r="AM689" s="124"/>
      <c r="AN689" s="124"/>
      <c r="AO689" s="360"/>
      <c r="AP689" s="360"/>
      <c r="AQ689" s="360"/>
      <c r="AR689" s="360"/>
      <c r="AS689" s="360"/>
      <c r="AT689" s="360"/>
      <c r="AU689" s="360"/>
      <c r="AV689" s="360"/>
      <c r="AW689" s="360"/>
      <c r="AX689" s="360"/>
      <c r="AY689" s="360"/>
      <c r="AZ689" s="360"/>
      <c r="BA689" s="360"/>
      <c r="BB689" s="360"/>
      <c r="BC689" s="360"/>
    </row>
    <row r="690">
      <c r="A690" s="125"/>
      <c r="B690" s="189"/>
      <c r="C690" s="124"/>
      <c r="D690" s="124"/>
      <c r="E690" s="124"/>
      <c r="F690" s="125"/>
      <c r="G690" s="189"/>
      <c r="H690" s="124"/>
      <c r="I690" s="124"/>
      <c r="J690" s="124"/>
      <c r="K690" s="102"/>
      <c r="L690" s="189"/>
      <c r="M690" s="124"/>
      <c r="N690" s="124"/>
      <c r="O690" s="124"/>
      <c r="P690" s="102"/>
      <c r="Q690" s="161"/>
      <c r="R690" s="124"/>
      <c r="S690" s="124"/>
      <c r="T690" s="124"/>
      <c r="U690" s="125"/>
      <c r="V690" s="189"/>
      <c r="W690" s="124"/>
      <c r="X690" s="124"/>
      <c r="Y690" s="124"/>
      <c r="Z690" s="125"/>
      <c r="AA690" s="189"/>
      <c r="AB690" s="124"/>
      <c r="AC690" s="124"/>
      <c r="AD690" s="124"/>
      <c r="AE690" s="125"/>
      <c r="AF690" s="189"/>
      <c r="AG690" s="124"/>
      <c r="AH690" s="124"/>
      <c r="AI690" s="124"/>
      <c r="AJ690" s="125"/>
      <c r="AK690" s="189"/>
      <c r="AL690" s="124"/>
      <c r="AM690" s="124"/>
      <c r="AN690" s="124"/>
      <c r="AO690" s="360"/>
      <c r="AP690" s="360"/>
      <c r="AQ690" s="360"/>
      <c r="AR690" s="360"/>
      <c r="AS690" s="360"/>
      <c r="AT690" s="360"/>
      <c r="AU690" s="360"/>
      <c r="AV690" s="360"/>
      <c r="AW690" s="360"/>
      <c r="AX690" s="360"/>
      <c r="AY690" s="360"/>
      <c r="AZ690" s="360"/>
      <c r="BA690" s="360"/>
      <c r="BB690" s="360"/>
      <c r="BC690" s="360"/>
    </row>
    <row r="691">
      <c r="A691" s="125"/>
      <c r="B691" s="189"/>
      <c r="C691" s="124"/>
      <c r="D691" s="124"/>
      <c r="E691" s="124"/>
      <c r="F691" s="125"/>
      <c r="G691" s="189"/>
      <c r="H691" s="124"/>
      <c r="I691" s="124"/>
      <c r="J691" s="124"/>
      <c r="K691" s="102"/>
      <c r="L691" s="189"/>
      <c r="M691" s="124"/>
      <c r="N691" s="124"/>
      <c r="O691" s="124"/>
      <c r="P691" s="102"/>
      <c r="Q691" s="161"/>
      <c r="R691" s="124"/>
      <c r="S691" s="124"/>
      <c r="T691" s="124"/>
      <c r="U691" s="125"/>
      <c r="V691" s="189"/>
      <c r="W691" s="124"/>
      <c r="X691" s="124"/>
      <c r="Y691" s="124"/>
      <c r="Z691" s="125"/>
      <c r="AA691" s="189"/>
      <c r="AB691" s="124"/>
      <c r="AC691" s="124"/>
      <c r="AD691" s="124"/>
      <c r="AE691" s="125"/>
      <c r="AF691" s="189"/>
      <c r="AG691" s="124"/>
      <c r="AH691" s="124"/>
      <c r="AI691" s="124"/>
      <c r="AJ691" s="125"/>
      <c r="AK691" s="189"/>
      <c r="AL691" s="124"/>
      <c r="AM691" s="124"/>
      <c r="AN691" s="124"/>
      <c r="AO691" s="360"/>
      <c r="AP691" s="360"/>
      <c r="AQ691" s="360"/>
      <c r="AR691" s="360"/>
      <c r="AS691" s="360"/>
      <c r="AT691" s="360"/>
      <c r="AU691" s="360"/>
      <c r="AV691" s="360"/>
      <c r="AW691" s="360"/>
      <c r="AX691" s="360"/>
      <c r="AY691" s="360"/>
      <c r="AZ691" s="360"/>
      <c r="BA691" s="360"/>
      <c r="BB691" s="360"/>
      <c r="BC691" s="360"/>
    </row>
    <row r="692">
      <c r="A692" s="125"/>
      <c r="B692" s="189"/>
      <c r="C692" s="124"/>
      <c r="D692" s="124"/>
      <c r="E692" s="124"/>
      <c r="F692" s="125"/>
      <c r="G692" s="189"/>
      <c r="H692" s="124"/>
      <c r="I692" s="124"/>
      <c r="J692" s="124"/>
      <c r="K692" s="102"/>
      <c r="L692" s="189"/>
      <c r="M692" s="124"/>
      <c r="N692" s="124"/>
      <c r="O692" s="124"/>
      <c r="P692" s="102"/>
      <c r="Q692" s="161"/>
      <c r="R692" s="124"/>
      <c r="S692" s="124"/>
      <c r="T692" s="124"/>
      <c r="U692" s="125"/>
      <c r="V692" s="189"/>
      <c r="W692" s="124"/>
      <c r="X692" s="124"/>
      <c r="Y692" s="124"/>
      <c r="Z692" s="125"/>
      <c r="AA692" s="189"/>
      <c r="AB692" s="124"/>
      <c r="AC692" s="124"/>
      <c r="AD692" s="124"/>
      <c r="AE692" s="125"/>
      <c r="AF692" s="189"/>
      <c r="AG692" s="124"/>
      <c r="AH692" s="124"/>
      <c r="AI692" s="124"/>
      <c r="AJ692" s="125"/>
      <c r="AK692" s="189"/>
      <c r="AL692" s="124"/>
      <c r="AM692" s="124"/>
      <c r="AN692" s="124"/>
      <c r="AO692" s="360"/>
      <c r="AP692" s="360"/>
      <c r="AQ692" s="360"/>
      <c r="AR692" s="360"/>
      <c r="AS692" s="360"/>
      <c r="AT692" s="360"/>
      <c r="AU692" s="360"/>
      <c r="AV692" s="360"/>
      <c r="AW692" s="360"/>
      <c r="AX692" s="360"/>
      <c r="AY692" s="360"/>
      <c r="AZ692" s="360"/>
      <c r="BA692" s="360"/>
      <c r="BB692" s="360"/>
      <c r="BC692" s="360"/>
    </row>
    <row r="693">
      <c r="A693" s="125"/>
      <c r="B693" s="189"/>
      <c r="C693" s="124"/>
      <c r="D693" s="124"/>
      <c r="E693" s="124"/>
      <c r="F693" s="125"/>
      <c r="G693" s="189"/>
      <c r="H693" s="124"/>
      <c r="I693" s="124"/>
      <c r="J693" s="124"/>
      <c r="K693" s="102"/>
      <c r="L693" s="189"/>
      <c r="M693" s="124"/>
      <c r="N693" s="124"/>
      <c r="O693" s="124"/>
      <c r="P693" s="102"/>
      <c r="Q693" s="161"/>
      <c r="R693" s="124"/>
      <c r="S693" s="124"/>
      <c r="T693" s="124"/>
      <c r="U693" s="125"/>
      <c r="V693" s="189"/>
      <c r="W693" s="124"/>
      <c r="X693" s="124"/>
      <c r="Y693" s="124"/>
      <c r="Z693" s="125"/>
      <c r="AA693" s="189"/>
      <c r="AB693" s="124"/>
      <c r="AC693" s="124"/>
      <c r="AD693" s="124"/>
      <c r="AE693" s="125"/>
      <c r="AF693" s="189"/>
      <c r="AG693" s="124"/>
      <c r="AH693" s="124"/>
      <c r="AI693" s="124"/>
      <c r="AJ693" s="125"/>
      <c r="AK693" s="189"/>
      <c r="AL693" s="124"/>
      <c r="AM693" s="124"/>
      <c r="AN693" s="124"/>
      <c r="AO693" s="360"/>
      <c r="AP693" s="360"/>
      <c r="AQ693" s="360"/>
      <c r="AR693" s="360"/>
      <c r="AS693" s="360"/>
      <c r="AT693" s="360"/>
      <c r="AU693" s="360"/>
      <c r="AV693" s="360"/>
      <c r="AW693" s="360"/>
      <c r="AX693" s="360"/>
      <c r="AY693" s="360"/>
      <c r="AZ693" s="360"/>
      <c r="BA693" s="360"/>
      <c r="BB693" s="360"/>
      <c r="BC693" s="360"/>
    </row>
    <row r="694">
      <c r="A694" s="125"/>
      <c r="B694" s="189"/>
      <c r="C694" s="124"/>
      <c r="D694" s="124"/>
      <c r="E694" s="124"/>
      <c r="F694" s="125"/>
      <c r="G694" s="189"/>
      <c r="H694" s="124"/>
      <c r="I694" s="124"/>
      <c r="J694" s="124"/>
      <c r="K694" s="102"/>
      <c r="L694" s="189"/>
      <c r="M694" s="124"/>
      <c r="N694" s="124"/>
      <c r="O694" s="124"/>
      <c r="P694" s="102"/>
      <c r="Q694" s="161"/>
      <c r="R694" s="124"/>
      <c r="S694" s="124"/>
      <c r="T694" s="124"/>
      <c r="U694" s="125"/>
      <c r="V694" s="189"/>
      <c r="W694" s="124"/>
      <c r="X694" s="124"/>
      <c r="Y694" s="124"/>
      <c r="Z694" s="125"/>
      <c r="AA694" s="189"/>
      <c r="AB694" s="124"/>
      <c r="AC694" s="124"/>
      <c r="AD694" s="124"/>
      <c r="AE694" s="125"/>
      <c r="AF694" s="189"/>
      <c r="AG694" s="124"/>
      <c r="AH694" s="124"/>
      <c r="AI694" s="124"/>
      <c r="AJ694" s="125"/>
      <c r="AK694" s="189"/>
      <c r="AL694" s="124"/>
      <c r="AM694" s="124"/>
      <c r="AN694" s="124"/>
      <c r="AO694" s="360"/>
      <c r="AP694" s="360"/>
      <c r="AQ694" s="360"/>
      <c r="AR694" s="360"/>
      <c r="AS694" s="360"/>
      <c r="AT694" s="360"/>
      <c r="AU694" s="360"/>
      <c r="AV694" s="360"/>
      <c r="AW694" s="360"/>
      <c r="AX694" s="360"/>
      <c r="AY694" s="360"/>
      <c r="AZ694" s="360"/>
      <c r="BA694" s="360"/>
      <c r="BB694" s="360"/>
      <c r="BC694" s="360"/>
    </row>
    <row r="695">
      <c r="A695" s="125"/>
      <c r="B695" s="189"/>
      <c r="C695" s="124"/>
      <c r="D695" s="124"/>
      <c r="E695" s="124"/>
      <c r="F695" s="125"/>
      <c r="G695" s="189"/>
      <c r="H695" s="124"/>
      <c r="I695" s="124"/>
      <c r="J695" s="124"/>
      <c r="K695" s="102"/>
      <c r="L695" s="189"/>
      <c r="M695" s="124"/>
      <c r="N695" s="124"/>
      <c r="O695" s="124"/>
      <c r="P695" s="102"/>
      <c r="Q695" s="161"/>
      <c r="R695" s="124"/>
      <c r="S695" s="124"/>
      <c r="T695" s="124"/>
      <c r="U695" s="125"/>
      <c r="V695" s="189"/>
      <c r="W695" s="124"/>
      <c r="X695" s="124"/>
      <c r="Y695" s="124"/>
      <c r="Z695" s="125"/>
      <c r="AA695" s="189"/>
      <c r="AB695" s="124"/>
      <c r="AC695" s="124"/>
      <c r="AD695" s="124"/>
      <c r="AE695" s="125"/>
      <c r="AF695" s="189"/>
      <c r="AG695" s="124"/>
      <c r="AH695" s="124"/>
      <c r="AI695" s="124"/>
      <c r="AJ695" s="125"/>
      <c r="AK695" s="189"/>
      <c r="AL695" s="124"/>
      <c r="AM695" s="124"/>
      <c r="AN695" s="124"/>
      <c r="AO695" s="360"/>
      <c r="AP695" s="360"/>
      <c r="AQ695" s="360"/>
      <c r="AR695" s="360"/>
      <c r="AS695" s="360"/>
      <c r="AT695" s="360"/>
      <c r="AU695" s="360"/>
      <c r="AV695" s="360"/>
      <c r="AW695" s="360"/>
      <c r="AX695" s="360"/>
      <c r="AY695" s="360"/>
      <c r="AZ695" s="360"/>
      <c r="BA695" s="360"/>
      <c r="BB695" s="360"/>
      <c r="BC695" s="360"/>
    </row>
    <row r="696">
      <c r="A696" s="125"/>
      <c r="B696" s="189"/>
      <c r="C696" s="124"/>
      <c r="D696" s="124"/>
      <c r="E696" s="124"/>
      <c r="F696" s="125"/>
      <c r="G696" s="189"/>
      <c r="H696" s="124"/>
      <c r="I696" s="124"/>
      <c r="J696" s="124"/>
      <c r="K696" s="102"/>
      <c r="L696" s="189"/>
      <c r="M696" s="124"/>
      <c r="N696" s="124"/>
      <c r="O696" s="124"/>
      <c r="P696" s="102"/>
      <c r="Q696" s="161"/>
      <c r="R696" s="124"/>
      <c r="S696" s="124"/>
      <c r="T696" s="124"/>
      <c r="U696" s="125"/>
      <c r="V696" s="189"/>
      <c r="W696" s="124"/>
      <c r="X696" s="124"/>
      <c r="Y696" s="124"/>
      <c r="Z696" s="125"/>
      <c r="AA696" s="189"/>
      <c r="AB696" s="124"/>
      <c r="AC696" s="124"/>
      <c r="AD696" s="124"/>
      <c r="AE696" s="125"/>
      <c r="AF696" s="189"/>
      <c r="AG696" s="124"/>
      <c r="AH696" s="124"/>
      <c r="AI696" s="124"/>
      <c r="AJ696" s="125"/>
      <c r="AK696" s="189"/>
      <c r="AL696" s="124"/>
      <c r="AM696" s="124"/>
      <c r="AN696" s="124"/>
      <c r="AO696" s="360"/>
      <c r="AP696" s="360"/>
      <c r="AQ696" s="360"/>
      <c r="AR696" s="360"/>
      <c r="AS696" s="360"/>
      <c r="AT696" s="360"/>
      <c r="AU696" s="360"/>
      <c r="AV696" s="360"/>
      <c r="AW696" s="360"/>
      <c r="AX696" s="360"/>
      <c r="AY696" s="360"/>
      <c r="AZ696" s="360"/>
      <c r="BA696" s="360"/>
      <c r="BB696" s="360"/>
      <c r="BC696" s="360"/>
    </row>
    <row r="697">
      <c r="A697" s="125"/>
      <c r="B697" s="189"/>
      <c r="C697" s="124"/>
      <c r="D697" s="124"/>
      <c r="E697" s="124"/>
      <c r="F697" s="125"/>
      <c r="G697" s="189"/>
      <c r="H697" s="124"/>
      <c r="I697" s="124"/>
      <c r="J697" s="124"/>
      <c r="K697" s="102"/>
      <c r="L697" s="189"/>
      <c r="M697" s="124"/>
      <c r="N697" s="124"/>
      <c r="O697" s="124"/>
      <c r="P697" s="102"/>
      <c r="Q697" s="161"/>
      <c r="R697" s="124"/>
      <c r="S697" s="124"/>
      <c r="T697" s="124"/>
      <c r="U697" s="125"/>
      <c r="V697" s="189"/>
      <c r="W697" s="124"/>
      <c r="X697" s="124"/>
      <c r="Y697" s="124"/>
      <c r="Z697" s="125"/>
      <c r="AA697" s="189"/>
      <c r="AB697" s="124"/>
      <c r="AC697" s="124"/>
      <c r="AD697" s="124"/>
      <c r="AE697" s="125"/>
      <c r="AF697" s="189"/>
      <c r="AG697" s="124"/>
      <c r="AH697" s="124"/>
      <c r="AI697" s="124"/>
      <c r="AJ697" s="125"/>
      <c r="AK697" s="189"/>
      <c r="AL697" s="124"/>
      <c r="AM697" s="124"/>
      <c r="AN697" s="124"/>
      <c r="AO697" s="360"/>
      <c r="AP697" s="360"/>
      <c r="AQ697" s="360"/>
      <c r="AR697" s="360"/>
      <c r="AS697" s="360"/>
      <c r="AT697" s="360"/>
      <c r="AU697" s="360"/>
      <c r="AV697" s="360"/>
      <c r="AW697" s="360"/>
      <c r="AX697" s="360"/>
      <c r="AY697" s="360"/>
      <c r="AZ697" s="360"/>
      <c r="BA697" s="360"/>
      <c r="BB697" s="360"/>
      <c r="BC697" s="360"/>
    </row>
    <row r="698">
      <c r="A698" s="125"/>
      <c r="B698" s="189"/>
      <c r="C698" s="124"/>
      <c r="D698" s="124"/>
      <c r="E698" s="124"/>
      <c r="F698" s="125"/>
      <c r="G698" s="189"/>
      <c r="H698" s="124"/>
      <c r="I698" s="124"/>
      <c r="J698" s="124"/>
      <c r="K698" s="102"/>
      <c r="L698" s="189"/>
      <c r="M698" s="124"/>
      <c r="N698" s="124"/>
      <c r="O698" s="124"/>
      <c r="P698" s="102"/>
      <c r="Q698" s="161"/>
      <c r="R698" s="124"/>
      <c r="S698" s="124"/>
      <c r="T698" s="124"/>
      <c r="U698" s="125"/>
      <c r="V698" s="189"/>
      <c r="W698" s="124"/>
      <c r="X698" s="124"/>
      <c r="Y698" s="124"/>
      <c r="Z698" s="125"/>
      <c r="AA698" s="189"/>
      <c r="AB698" s="124"/>
      <c r="AC698" s="124"/>
      <c r="AD698" s="124"/>
      <c r="AE698" s="125"/>
      <c r="AF698" s="189"/>
      <c r="AG698" s="124"/>
      <c r="AH698" s="124"/>
      <c r="AI698" s="124"/>
      <c r="AJ698" s="125"/>
      <c r="AK698" s="189"/>
      <c r="AL698" s="124"/>
      <c r="AM698" s="124"/>
      <c r="AN698" s="124"/>
      <c r="AO698" s="360"/>
      <c r="AP698" s="360"/>
      <c r="AQ698" s="360"/>
      <c r="AR698" s="360"/>
      <c r="AS698" s="360"/>
      <c r="AT698" s="360"/>
      <c r="AU698" s="360"/>
      <c r="AV698" s="360"/>
      <c r="AW698" s="360"/>
      <c r="AX698" s="360"/>
      <c r="AY698" s="360"/>
      <c r="AZ698" s="360"/>
      <c r="BA698" s="360"/>
      <c r="BB698" s="360"/>
      <c r="BC698" s="360"/>
    </row>
    <row r="699">
      <c r="A699" s="125"/>
      <c r="B699" s="189"/>
      <c r="C699" s="124"/>
      <c r="D699" s="124"/>
      <c r="E699" s="124"/>
      <c r="F699" s="125"/>
      <c r="G699" s="189"/>
      <c r="H699" s="124"/>
      <c r="I699" s="124"/>
      <c r="J699" s="124"/>
      <c r="K699" s="102"/>
      <c r="L699" s="189"/>
      <c r="M699" s="124"/>
      <c r="N699" s="124"/>
      <c r="O699" s="124"/>
      <c r="P699" s="102"/>
      <c r="Q699" s="161"/>
      <c r="R699" s="124"/>
      <c r="S699" s="124"/>
      <c r="T699" s="124"/>
      <c r="U699" s="125"/>
      <c r="V699" s="189"/>
      <c r="W699" s="124"/>
      <c r="X699" s="124"/>
      <c r="Y699" s="124"/>
      <c r="Z699" s="125"/>
      <c r="AA699" s="189"/>
      <c r="AB699" s="124"/>
      <c r="AC699" s="124"/>
      <c r="AD699" s="124"/>
      <c r="AE699" s="125"/>
      <c r="AF699" s="189"/>
      <c r="AG699" s="124"/>
      <c r="AH699" s="124"/>
      <c r="AI699" s="124"/>
      <c r="AJ699" s="125"/>
      <c r="AK699" s="189"/>
      <c r="AL699" s="124"/>
      <c r="AM699" s="124"/>
      <c r="AN699" s="124"/>
      <c r="AO699" s="360"/>
      <c r="AP699" s="360"/>
      <c r="AQ699" s="360"/>
      <c r="AR699" s="360"/>
      <c r="AS699" s="360"/>
      <c r="AT699" s="360"/>
      <c r="AU699" s="360"/>
      <c r="AV699" s="360"/>
      <c r="AW699" s="360"/>
      <c r="AX699" s="360"/>
      <c r="AY699" s="360"/>
      <c r="AZ699" s="360"/>
      <c r="BA699" s="360"/>
      <c r="BB699" s="360"/>
      <c r="BC699" s="360"/>
    </row>
    <row r="700">
      <c r="A700" s="125"/>
      <c r="B700" s="189"/>
      <c r="C700" s="124"/>
      <c r="D700" s="124"/>
      <c r="E700" s="124"/>
      <c r="F700" s="125"/>
      <c r="G700" s="189"/>
      <c r="H700" s="124"/>
      <c r="I700" s="124"/>
      <c r="J700" s="124"/>
      <c r="K700" s="102"/>
      <c r="L700" s="189"/>
      <c r="M700" s="124"/>
      <c r="N700" s="124"/>
      <c r="O700" s="124"/>
      <c r="P700" s="102"/>
      <c r="Q700" s="161"/>
      <c r="R700" s="124"/>
      <c r="S700" s="124"/>
      <c r="T700" s="124"/>
      <c r="U700" s="125"/>
      <c r="V700" s="189"/>
      <c r="W700" s="124"/>
      <c r="X700" s="124"/>
      <c r="Y700" s="124"/>
      <c r="Z700" s="125"/>
      <c r="AA700" s="189"/>
      <c r="AB700" s="124"/>
      <c r="AC700" s="124"/>
      <c r="AD700" s="124"/>
      <c r="AE700" s="125"/>
      <c r="AF700" s="189"/>
      <c r="AG700" s="124"/>
      <c r="AH700" s="124"/>
      <c r="AI700" s="124"/>
      <c r="AJ700" s="125"/>
      <c r="AK700" s="189"/>
      <c r="AL700" s="124"/>
      <c r="AM700" s="124"/>
      <c r="AN700" s="124"/>
      <c r="AO700" s="360"/>
      <c r="AP700" s="360"/>
      <c r="AQ700" s="360"/>
      <c r="AR700" s="360"/>
      <c r="AS700" s="360"/>
      <c r="AT700" s="360"/>
      <c r="AU700" s="360"/>
      <c r="AV700" s="360"/>
      <c r="AW700" s="360"/>
      <c r="AX700" s="360"/>
      <c r="AY700" s="360"/>
      <c r="AZ700" s="360"/>
      <c r="BA700" s="360"/>
      <c r="BB700" s="360"/>
      <c r="BC700" s="360"/>
    </row>
    <row r="701">
      <c r="A701" s="125"/>
      <c r="B701" s="189"/>
      <c r="C701" s="124"/>
      <c r="D701" s="124"/>
      <c r="E701" s="124"/>
      <c r="F701" s="125"/>
      <c r="G701" s="189"/>
      <c r="H701" s="124"/>
      <c r="I701" s="124"/>
      <c r="J701" s="124"/>
      <c r="K701" s="102"/>
      <c r="L701" s="189"/>
      <c r="M701" s="124"/>
      <c r="N701" s="124"/>
      <c r="O701" s="124"/>
      <c r="P701" s="102"/>
      <c r="Q701" s="161"/>
      <c r="R701" s="124"/>
      <c r="S701" s="124"/>
      <c r="T701" s="124"/>
      <c r="U701" s="125"/>
      <c r="V701" s="189"/>
      <c r="W701" s="124"/>
      <c r="X701" s="124"/>
      <c r="Y701" s="124"/>
      <c r="Z701" s="125"/>
      <c r="AA701" s="189"/>
      <c r="AB701" s="124"/>
      <c r="AC701" s="124"/>
      <c r="AD701" s="124"/>
      <c r="AE701" s="125"/>
      <c r="AF701" s="189"/>
      <c r="AG701" s="124"/>
      <c r="AH701" s="124"/>
      <c r="AI701" s="124"/>
      <c r="AJ701" s="125"/>
      <c r="AK701" s="189"/>
      <c r="AL701" s="124"/>
      <c r="AM701" s="124"/>
      <c r="AN701" s="124"/>
      <c r="AO701" s="360"/>
      <c r="AP701" s="360"/>
      <c r="AQ701" s="360"/>
      <c r="AR701" s="360"/>
      <c r="AS701" s="360"/>
      <c r="AT701" s="360"/>
      <c r="AU701" s="360"/>
      <c r="AV701" s="360"/>
      <c r="AW701" s="360"/>
      <c r="AX701" s="360"/>
      <c r="AY701" s="360"/>
      <c r="AZ701" s="360"/>
      <c r="BA701" s="360"/>
      <c r="BB701" s="360"/>
      <c r="BC701" s="360"/>
    </row>
    <row r="702">
      <c r="A702" s="125"/>
      <c r="B702" s="189"/>
      <c r="C702" s="124"/>
      <c r="D702" s="124"/>
      <c r="E702" s="124"/>
      <c r="F702" s="125"/>
      <c r="G702" s="189"/>
      <c r="H702" s="124"/>
      <c r="I702" s="124"/>
      <c r="J702" s="124"/>
      <c r="K702" s="102"/>
      <c r="L702" s="189"/>
      <c r="M702" s="124"/>
      <c r="N702" s="124"/>
      <c r="O702" s="124"/>
      <c r="P702" s="102"/>
      <c r="Q702" s="161"/>
      <c r="R702" s="124"/>
      <c r="S702" s="124"/>
      <c r="T702" s="124"/>
      <c r="U702" s="125"/>
      <c r="V702" s="189"/>
      <c r="W702" s="124"/>
      <c r="X702" s="124"/>
      <c r="Y702" s="124"/>
      <c r="Z702" s="125"/>
      <c r="AA702" s="189"/>
      <c r="AB702" s="124"/>
      <c r="AC702" s="124"/>
      <c r="AD702" s="124"/>
      <c r="AE702" s="125"/>
      <c r="AF702" s="189"/>
      <c r="AG702" s="124"/>
      <c r="AH702" s="124"/>
      <c r="AI702" s="124"/>
      <c r="AJ702" s="125"/>
      <c r="AK702" s="189"/>
      <c r="AL702" s="124"/>
      <c r="AM702" s="124"/>
      <c r="AN702" s="124"/>
      <c r="AO702" s="360"/>
      <c r="AP702" s="360"/>
      <c r="AQ702" s="360"/>
      <c r="AR702" s="360"/>
      <c r="AS702" s="360"/>
      <c r="AT702" s="360"/>
      <c r="AU702" s="360"/>
      <c r="AV702" s="360"/>
      <c r="AW702" s="360"/>
      <c r="AX702" s="360"/>
      <c r="AY702" s="360"/>
      <c r="AZ702" s="360"/>
      <c r="BA702" s="360"/>
      <c r="BB702" s="360"/>
      <c r="BC702" s="360"/>
    </row>
    <row r="703">
      <c r="A703" s="125"/>
      <c r="B703" s="189"/>
      <c r="C703" s="124"/>
      <c r="D703" s="124"/>
      <c r="E703" s="124"/>
      <c r="F703" s="125"/>
      <c r="G703" s="189"/>
      <c r="H703" s="124"/>
      <c r="I703" s="124"/>
      <c r="J703" s="124"/>
      <c r="K703" s="102"/>
      <c r="L703" s="189"/>
      <c r="M703" s="124"/>
      <c r="N703" s="124"/>
      <c r="O703" s="124"/>
      <c r="P703" s="102"/>
      <c r="Q703" s="161"/>
      <c r="R703" s="124"/>
      <c r="S703" s="124"/>
      <c r="T703" s="124"/>
      <c r="U703" s="125"/>
      <c r="V703" s="189"/>
      <c r="W703" s="124"/>
      <c r="X703" s="124"/>
      <c r="Y703" s="124"/>
      <c r="Z703" s="125"/>
      <c r="AA703" s="189"/>
      <c r="AB703" s="124"/>
      <c r="AC703" s="124"/>
      <c r="AD703" s="124"/>
      <c r="AE703" s="125"/>
      <c r="AF703" s="189"/>
      <c r="AG703" s="124"/>
      <c r="AH703" s="124"/>
      <c r="AI703" s="124"/>
      <c r="AJ703" s="125"/>
      <c r="AK703" s="189"/>
      <c r="AL703" s="124"/>
      <c r="AM703" s="124"/>
      <c r="AN703" s="124"/>
      <c r="AO703" s="360"/>
      <c r="AP703" s="360"/>
      <c r="AQ703" s="360"/>
      <c r="AR703" s="360"/>
      <c r="AS703" s="360"/>
      <c r="AT703" s="360"/>
      <c r="AU703" s="360"/>
      <c r="AV703" s="360"/>
      <c r="AW703" s="360"/>
      <c r="AX703" s="360"/>
      <c r="AY703" s="360"/>
      <c r="AZ703" s="360"/>
      <c r="BA703" s="360"/>
      <c r="BB703" s="360"/>
      <c r="BC703" s="360"/>
    </row>
    <row r="704">
      <c r="A704" s="125"/>
      <c r="B704" s="189"/>
      <c r="C704" s="124"/>
      <c r="D704" s="124"/>
      <c r="E704" s="124"/>
      <c r="F704" s="125"/>
      <c r="G704" s="189"/>
      <c r="H704" s="124"/>
      <c r="I704" s="124"/>
      <c r="J704" s="124"/>
      <c r="K704" s="102"/>
      <c r="L704" s="189"/>
      <c r="M704" s="124"/>
      <c r="N704" s="124"/>
      <c r="O704" s="124"/>
      <c r="P704" s="102"/>
      <c r="Q704" s="161"/>
      <c r="R704" s="124"/>
      <c r="S704" s="124"/>
      <c r="T704" s="124"/>
      <c r="U704" s="125"/>
      <c r="V704" s="189"/>
      <c r="W704" s="124"/>
      <c r="X704" s="124"/>
      <c r="Y704" s="124"/>
      <c r="Z704" s="125"/>
      <c r="AA704" s="189"/>
      <c r="AB704" s="124"/>
      <c r="AC704" s="124"/>
      <c r="AD704" s="124"/>
      <c r="AE704" s="125"/>
      <c r="AF704" s="189"/>
      <c r="AG704" s="124"/>
      <c r="AH704" s="124"/>
      <c r="AI704" s="124"/>
      <c r="AJ704" s="125"/>
      <c r="AK704" s="189"/>
      <c r="AL704" s="124"/>
      <c r="AM704" s="124"/>
      <c r="AN704" s="124"/>
      <c r="AO704" s="360"/>
      <c r="AP704" s="360"/>
      <c r="AQ704" s="360"/>
      <c r="AR704" s="360"/>
      <c r="AS704" s="360"/>
      <c r="AT704" s="360"/>
      <c r="AU704" s="360"/>
      <c r="AV704" s="360"/>
      <c r="AW704" s="360"/>
      <c r="AX704" s="360"/>
      <c r="AY704" s="360"/>
      <c r="AZ704" s="360"/>
      <c r="BA704" s="360"/>
      <c r="BB704" s="360"/>
      <c r="BC704" s="360"/>
    </row>
    <row r="705">
      <c r="A705" s="125"/>
      <c r="B705" s="189"/>
      <c r="C705" s="124"/>
      <c r="D705" s="124"/>
      <c r="E705" s="124"/>
      <c r="F705" s="125"/>
      <c r="G705" s="189"/>
      <c r="H705" s="124"/>
      <c r="I705" s="124"/>
      <c r="J705" s="124"/>
      <c r="K705" s="102"/>
      <c r="L705" s="189"/>
      <c r="M705" s="124"/>
      <c r="N705" s="124"/>
      <c r="O705" s="124"/>
      <c r="P705" s="102"/>
      <c r="Q705" s="161"/>
      <c r="R705" s="124"/>
      <c r="S705" s="124"/>
      <c r="T705" s="124"/>
      <c r="U705" s="125"/>
      <c r="V705" s="189"/>
      <c r="W705" s="124"/>
      <c r="X705" s="124"/>
      <c r="Y705" s="124"/>
      <c r="Z705" s="125"/>
      <c r="AA705" s="189"/>
      <c r="AB705" s="124"/>
      <c r="AC705" s="124"/>
      <c r="AD705" s="124"/>
      <c r="AE705" s="125"/>
      <c r="AF705" s="189"/>
      <c r="AG705" s="124"/>
      <c r="AH705" s="124"/>
      <c r="AI705" s="124"/>
      <c r="AJ705" s="125"/>
      <c r="AK705" s="189"/>
      <c r="AL705" s="124"/>
      <c r="AM705" s="124"/>
      <c r="AN705" s="124"/>
      <c r="AO705" s="360"/>
      <c r="AP705" s="360"/>
      <c r="AQ705" s="360"/>
      <c r="AR705" s="360"/>
      <c r="AS705" s="360"/>
      <c r="AT705" s="360"/>
      <c r="AU705" s="360"/>
      <c r="AV705" s="360"/>
      <c r="AW705" s="360"/>
      <c r="AX705" s="360"/>
      <c r="AY705" s="360"/>
      <c r="AZ705" s="360"/>
      <c r="BA705" s="360"/>
      <c r="BB705" s="360"/>
      <c r="BC705" s="360"/>
    </row>
    <row r="706">
      <c r="A706" s="125"/>
      <c r="B706" s="189"/>
      <c r="C706" s="124"/>
      <c r="D706" s="124"/>
      <c r="E706" s="124"/>
      <c r="F706" s="125"/>
      <c r="G706" s="189"/>
      <c r="H706" s="124"/>
      <c r="I706" s="124"/>
      <c r="J706" s="124"/>
      <c r="K706" s="102"/>
      <c r="L706" s="189"/>
      <c r="M706" s="124"/>
      <c r="N706" s="124"/>
      <c r="O706" s="124"/>
      <c r="P706" s="102"/>
      <c r="Q706" s="161"/>
      <c r="R706" s="124"/>
      <c r="S706" s="124"/>
      <c r="T706" s="124"/>
      <c r="U706" s="125"/>
      <c r="V706" s="189"/>
      <c r="W706" s="124"/>
      <c r="X706" s="124"/>
      <c r="Y706" s="124"/>
      <c r="Z706" s="125"/>
      <c r="AA706" s="189"/>
      <c r="AB706" s="124"/>
      <c r="AC706" s="124"/>
      <c r="AD706" s="124"/>
      <c r="AE706" s="125"/>
      <c r="AF706" s="189"/>
      <c r="AG706" s="124"/>
      <c r="AH706" s="124"/>
      <c r="AI706" s="124"/>
      <c r="AJ706" s="125"/>
      <c r="AK706" s="189"/>
      <c r="AL706" s="124"/>
      <c r="AM706" s="124"/>
      <c r="AN706" s="124"/>
      <c r="AO706" s="360"/>
      <c r="AP706" s="360"/>
      <c r="AQ706" s="360"/>
      <c r="AR706" s="360"/>
      <c r="AS706" s="360"/>
      <c r="AT706" s="360"/>
      <c r="AU706" s="360"/>
      <c r="AV706" s="360"/>
      <c r="AW706" s="360"/>
      <c r="AX706" s="360"/>
      <c r="AY706" s="360"/>
      <c r="AZ706" s="360"/>
      <c r="BA706" s="360"/>
      <c r="BB706" s="360"/>
      <c r="BC706" s="360"/>
    </row>
    <row r="707">
      <c r="A707" s="125"/>
      <c r="B707" s="189"/>
      <c r="C707" s="124"/>
      <c r="D707" s="124"/>
      <c r="E707" s="124"/>
      <c r="F707" s="125"/>
      <c r="G707" s="189"/>
      <c r="H707" s="124"/>
      <c r="I707" s="124"/>
      <c r="J707" s="124"/>
      <c r="K707" s="102"/>
      <c r="L707" s="189"/>
      <c r="M707" s="124"/>
      <c r="N707" s="124"/>
      <c r="O707" s="124"/>
      <c r="P707" s="102"/>
      <c r="Q707" s="161"/>
      <c r="R707" s="124"/>
      <c r="S707" s="124"/>
      <c r="T707" s="124"/>
      <c r="U707" s="125"/>
      <c r="V707" s="189"/>
      <c r="W707" s="124"/>
      <c r="X707" s="124"/>
      <c r="Y707" s="124"/>
      <c r="Z707" s="125"/>
      <c r="AA707" s="189"/>
      <c r="AB707" s="124"/>
      <c r="AC707" s="124"/>
      <c r="AD707" s="124"/>
      <c r="AE707" s="125"/>
      <c r="AF707" s="189"/>
      <c r="AG707" s="124"/>
      <c r="AH707" s="124"/>
      <c r="AI707" s="124"/>
      <c r="AJ707" s="125"/>
      <c r="AK707" s="189"/>
      <c r="AL707" s="124"/>
      <c r="AM707" s="124"/>
      <c r="AN707" s="124"/>
      <c r="AO707" s="360"/>
      <c r="AP707" s="360"/>
      <c r="AQ707" s="360"/>
      <c r="AR707" s="360"/>
      <c r="AS707" s="360"/>
      <c r="AT707" s="360"/>
      <c r="AU707" s="360"/>
      <c r="AV707" s="360"/>
      <c r="AW707" s="360"/>
      <c r="AX707" s="360"/>
      <c r="AY707" s="360"/>
      <c r="AZ707" s="360"/>
      <c r="BA707" s="360"/>
      <c r="BB707" s="360"/>
      <c r="BC707" s="360"/>
    </row>
    <row r="708">
      <c r="A708" s="125"/>
      <c r="B708" s="189"/>
      <c r="C708" s="124"/>
      <c r="D708" s="124"/>
      <c r="E708" s="124"/>
      <c r="F708" s="125"/>
      <c r="G708" s="189"/>
      <c r="H708" s="124"/>
      <c r="I708" s="124"/>
      <c r="J708" s="124"/>
      <c r="K708" s="102"/>
      <c r="L708" s="189"/>
      <c r="M708" s="124"/>
      <c r="N708" s="124"/>
      <c r="O708" s="124"/>
      <c r="P708" s="102"/>
      <c r="Q708" s="161"/>
      <c r="R708" s="124"/>
      <c r="S708" s="124"/>
      <c r="T708" s="124"/>
      <c r="U708" s="125"/>
      <c r="V708" s="189"/>
      <c r="W708" s="124"/>
      <c r="X708" s="124"/>
      <c r="Y708" s="124"/>
      <c r="Z708" s="125"/>
      <c r="AA708" s="189"/>
      <c r="AB708" s="124"/>
      <c r="AC708" s="124"/>
      <c r="AD708" s="124"/>
      <c r="AE708" s="125"/>
      <c r="AF708" s="189"/>
      <c r="AG708" s="124"/>
      <c r="AH708" s="124"/>
      <c r="AI708" s="124"/>
      <c r="AJ708" s="125"/>
      <c r="AK708" s="189"/>
      <c r="AL708" s="124"/>
      <c r="AM708" s="124"/>
      <c r="AN708" s="124"/>
      <c r="AO708" s="360"/>
      <c r="AP708" s="360"/>
      <c r="AQ708" s="360"/>
      <c r="AR708" s="360"/>
      <c r="AS708" s="360"/>
      <c r="AT708" s="360"/>
      <c r="AU708" s="360"/>
      <c r="AV708" s="360"/>
      <c r="AW708" s="360"/>
      <c r="AX708" s="360"/>
      <c r="AY708" s="360"/>
      <c r="AZ708" s="360"/>
      <c r="BA708" s="360"/>
      <c r="BB708" s="360"/>
      <c r="BC708" s="360"/>
    </row>
    <row r="709">
      <c r="A709" s="125"/>
      <c r="B709" s="189"/>
      <c r="C709" s="124"/>
      <c r="D709" s="124"/>
      <c r="E709" s="124"/>
      <c r="F709" s="125"/>
      <c r="G709" s="189"/>
      <c r="H709" s="124"/>
      <c r="I709" s="124"/>
      <c r="J709" s="124"/>
      <c r="K709" s="102"/>
      <c r="L709" s="189"/>
      <c r="M709" s="124"/>
      <c r="N709" s="124"/>
      <c r="O709" s="124"/>
      <c r="P709" s="102"/>
      <c r="Q709" s="161"/>
      <c r="R709" s="124"/>
      <c r="S709" s="124"/>
      <c r="T709" s="124"/>
      <c r="U709" s="125"/>
      <c r="V709" s="189"/>
      <c r="W709" s="124"/>
      <c r="X709" s="124"/>
      <c r="Y709" s="124"/>
      <c r="Z709" s="125"/>
      <c r="AA709" s="189"/>
      <c r="AB709" s="124"/>
      <c r="AC709" s="124"/>
      <c r="AD709" s="124"/>
      <c r="AE709" s="125"/>
      <c r="AF709" s="189"/>
      <c r="AG709" s="124"/>
      <c r="AH709" s="124"/>
      <c r="AI709" s="124"/>
      <c r="AJ709" s="125"/>
      <c r="AK709" s="189"/>
      <c r="AL709" s="124"/>
      <c r="AM709" s="124"/>
      <c r="AN709" s="124"/>
      <c r="AO709" s="360"/>
      <c r="AP709" s="360"/>
      <c r="AQ709" s="360"/>
      <c r="AR709" s="360"/>
      <c r="AS709" s="360"/>
      <c r="AT709" s="360"/>
      <c r="AU709" s="360"/>
      <c r="AV709" s="360"/>
      <c r="AW709" s="360"/>
      <c r="AX709" s="360"/>
      <c r="AY709" s="360"/>
      <c r="AZ709" s="360"/>
      <c r="BA709" s="360"/>
      <c r="BB709" s="360"/>
      <c r="BC709" s="360"/>
    </row>
    <row r="710">
      <c r="A710" s="125"/>
      <c r="B710" s="189"/>
      <c r="C710" s="124"/>
      <c r="D710" s="124"/>
      <c r="E710" s="124"/>
      <c r="F710" s="125"/>
      <c r="G710" s="189"/>
      <c r="H710" s="124"/>
      <c r="I710" s="124"/>
      <c r="J710" s="124"/>
      <c r="K710" s="102"/>
      <c r="L710" s="189"/>
      <c r="M710" s="124"/>
      <c r="N710" s="124"/>
      <c r="O710" s="124"/>
      <c r="P710" s="102"/>
      <c r="Q710" s="161"/>
      <c r="R710" s="124"/>
      <c r="S710" s="124"/>
      <c r="T710" s="124"/>
      <c r="U710" s="125"/>
      <c r="V710" s="189"/>
      <c r="W710" s="124"/>
      <c r="X710" s="124"/>
      <c r="Y710" s="124"/>
      <c r="Z710" s="125"/>
      <c r="AA710" s="189"/>
      <c r="AB710" s="124"/>
      <c r="AC710" s="124"/>
      <c r="AD710" s="124"/>
      <c r="AE710" s="125"/>
      <c r="AF710" s="189"/>
      <c r="AG710" s="124"/>
      <c r="AH710" s="124"/>
      <c r="AI710" s="124"/>
      <c r="AJ710" s="125"/>
      <c r="AK710" s="189"/>
      <c r="AL710" s="124"/>
      <c r="AM710" s="124"/>
      <c r="AN710" s="124"/>
      <c r="AO710" s="360"/>
      <c r="AP710" s="360"/>
      <c r="AQ710" s="360"/>
      <c r="AR710" s="360"/>
      <c r="AS710" s="360"/>
      <c r="AT710" s="360"/>
      <c r="AU710" s="360"/>
      <c r="AV710" s="360"/>
      <c r="AW710" s="360"/>
      <c r="AX710" s="360"/>
      <c r="AY710" s="360"/>
      <c r="AZ710" s="360"/>
      <c r="BA710" s="360"/>
      <c r="BB710" s="360"/>
      <c r="BC710" s="360"/>
    </row>
    <row r="711">
      <c r="A711" s="125"/>
      <c r="B711" s="189"/>
      <c r="C711" s="124"/>
      <c r="D711" s="124"/>
      <c r="E711" s="124"/>
      <c r="F711" s="125"/>
      <c r="G711" s="189"/>
      <c r="H711" s="124"/>
      <c r="I711" s="124"/>
      <c r="J711" s="124"/>
      <c r="K711" s="102"/>
      <c r="L711" s="189"/>
      <c r="M711" s="124"/>
      <c r="N711" s="124"/>
      <c r="O711" s="124"/>
      <c r="P711" s="102"/>
      <c r="Q711" s="161"/>
      <c r="R711" s="124"/>
      <c r="S711" s="124"/>
      <c r="T711" s="124"/>
      <c r="U711" s="125"/>
      <c r="V711" s="189"/>
      <c r="W711" s="124"/>
      <c r="X711" s="124"/>
      <c r="Y711" s="124"/>
      <c r="Z711" s="125"/>
      <c r="AA711" s="189"/>
      <c r="AB711" s="124"/>
      <c r="AC711" s="124"/>
      <c r="AD711" s="124"/>
      <c r="AE711" s="125"/>
      <c r="AF711" s="189"/>
      <c r="AG711" s="124"/>
      <c r="AH711" s="124"/>
      <c r="AI711" s="124"/>
      <c r="AJ711" s="125"/>
      <c r="AK711" s="189"/>
      <c r="AL711" s="124"/>
      <c r="AM711" s="124"/>
      <c r="AN711" s="124"/>
      <c r="AO711" s="360"/>
      <c r="AP711" s="360"/>
      <c r="AQ711" s="360"/>
      <c r="AR711" s="360"/>
      <c r="AS711" s="360"/>
      <c r="AT711" s="360"/>
      <c r="AU711" s="360"/>
      <c r="AV711" s="360"/>
      <c r="AW711" s="360"/>
      <c r="AX711" s="360"/>
      <c r="AY711" s="360"/>
      <c r="AZ711" s="360"/>
      <c r="BA711" s="360"/>
      <c r="BB711" s="360"/>
      <c r="BC711" s="360"/>
    </row>
    <row r="712">
      <c r="A712" s="125"/>
      <c r="B712" s="189"/>
      <c r="C712" s="124"/>
      <c r="D712" s="124"/>
      <c r="E712" s="124"/>
      <c r="F712" s="125"/>
      <c r="G712" s="189"/>
      <c r="H712" s="124"/>
      <c r="I712" s="124"/>
      <c r="J712" s="124"/>
      <c r="K712" s="102"/>
      <c r="L712" s="189"/>
      <c r="M712" s="124"/>
      <c r="N712" s="124"/>
      <c r="O712" s="124"/>
      <c r="P712" s="102"/>
      <c r="Q712" s="161"/>
      <c r="R712" s="124"/>
      <c r="S712" s="124"/>
      <c r="T712" s="124"/>
      <c r="U712" s="125"/>
      <c r="V712" s="189"/>
      <c r="W712" s="124"/>
      <c r="X712" s="124"/>
      <c r="Y712" s="124"/>
      <c r="Z712" s="125"/>
      <c r="AA712" s="189"/>
      <c r="AB712" s="124"/>
      <c r="AC712" s="124"/>
      <c r="AD712" s="124"/>
      <c r="AE712" s="125"/>
      <c r="AF712" s="189"/>
      <c r="AG712" s="124"/>
      <c r="AH712" s="124"/>
      <c r="AI712" s="124"/>
      <c r="AJ712" s="125"/>
      <c r="AK712" s="189"/>
      <c r="AL712" s="124"/>
      <c r="AM712" s="124"/>
      <c r="AN712" s="124"/>
      <c r="AO712" s="360"/>
      <c r="AP712" s="360"/>
      <c r="AQ712" s="360"/>
      <c r="AR712" s="360"/>
      <c r="AS712" s="360"/>
      <c r="AT712" s="360"/>
      <c r="AU712" s="360"/>
      <c r="AV712" s="360"/>
      <c r="AW712" s="360"/>
      <c r="AX712" s="360"/>
      <c r="AY712" s="360"/>
      <c r="AZ712" s="360"/>
      <c r="BA712" s="360"/>
      <c r="BB712" s="360"/>
      <c r="BC712" s="360"/>
    </row>
    <row r="713">
      <c r="A713" s="125"/>
      <c r="B713" s="189"/>
      <c r="C713" s="124"/>
      <c r="D713" s="124"/>
      <c r="E713" s="124"/>
      <c r="F713" s="125"/>
      <c r="G713" s="189"/>
      <c r="H713" s="124"/>
      <c r="I713" s="124"/>
      <c r="J713" s="124"/>
      <c r="K713" s="102"/>
      <c r="L713" s="189"/>
      <c r="M713" s="124"/>
      <c r="N713" s="124"/>
      <c r="O713" s="124"/>
      <c r="P713" s="102"/>
      <c r="Q713" s="161"/>
      <c r="R713" s="124"/>
      <c r="S713" s="124"/>
      <c r="T713" s="124"/>
      <c r="U713" s="125"/>
      <c r="V713" s="189"/>
      <c r="W713" s="124"/>
      <c r="X713" s="124"/>
      <c r="Y713" s="124"/>
      <c r="Z713" s="125"/>
      <c r="AA713" s="189"/>
      <c r="AB713" s="124"/>
      <c r="AC713" s="124"/>
      <c r="AD713" s="124"/>
      <c r="AE713" s="125"/>
      <c r="AF713" s="189"/>
      <c r="AG713" s="124"/>
      <c r="AH713" s="124"/>
      <c r="AI713" s="124"/>
      <c r="AJ713" s="125"/>
      <c r="AK713" s="189"/>
      <c r="AL713" s="124"/>
      <c r="AM713" s="124"/>
      <c r="AN713" s="124"/>
      <c r="AO713" s="360"/>
      <c r="AP713" s="360"/>
      <c r="AQ713" s="360"/>
      <c r="AR713" s="360"/>
      <c r="AS713" s="360"/>
      <c r="AT713" s="360"/>
      <c r="AU713" s="360"/>
      <c r="AV713" s="360"/>
      <c r="AW713" s="360"/>
      <c r="AX713" s="360"/>
      <c r="AY713" s="360"/>
      <c r="AZ713" s="360"/>
      <c r="BA713" s="360"/>
      <c r="BB713" s="360"/>
      <c r="BC713" s="360"/>
    </row>
    <row r="714">
      <c r="A714" s="125"/>
      <c r="B714" s="189"/>
      <c r="C714" s="124"/>
      <c r="D714" s="124"/>
      <c r="E714" s="124"/>
      <c r="F714" s="125"/>
      <c r="G714" s="189"/>
      <c r="H714" s="124"/>
      <c r="I714" s="124"/>
      <c r="J714" s="124"/>
      <c r="K714" s="102"/>
      <c r="L714" s="189"/>
      <c r="M714" s="124"/>
      <c r="N714" s="124"/>
      <c r="O714" s="124"/>
      <c r="P714" s="102"/>
      <c r="Q714" s="161"/>
      <c r="R714" s="124"/>
      <c r="S714" s="124"/>
      <c r="T714" s="124"/>
      <c r="U714" s="125"/>
      <c r="V714" s="189"/>
      <c r="W714" s="124"/>
      <c r="X714" s="124"/>
      <c r="Y714" s="124"/>
      <c r="Z714" s="125"/>
      <c r="AA714" s="189"/>
      <c r="AB714" s="124"/>
      <c r="AC714" s="124"/>
      <c r="AD714" s="124"/>
      <c r="AE714" s="125"/>
      <c r="AF714" s="189"/>
      <c r="AG714" s="124"/>
      <c r="AH714" s="124"/>
      <c r="AI714" s="124"/>
      <c r="AJ714" s="125"/>
      <c r="AK714" s="189"/>
      <c r="AL714" s="124"/>
      <c r="AM714" s="124"/>
      <c r="AN714" s="124"/>
      <c r="AO714" s="360"/>
      <c r="AP714" s="360"/>
      <c r="AQ714" s="360"/>
      <c r="AR714" s="360"/>
      <c r="AS714" s="360"/>
      <c r="AT714" s="360"/>
      <c r="AU714" s="360"/>
      <c r="AV714" s="360"/>
      <c r="AW714" s="360"/>
      <c r="AX714" s="360"/>
      <c r="AY714" s="360"/>
      <c r="AZ714" s="360"/>
      <c r="BA714" s="360"/>
      <c r="BB714" s="360"/>
      <c r="BC714" s="360"/>
    </row>
    <row r="715">
      <c r="A715" s="125"/>
      <c r="B715" s="189"/>
      <c r="C715" s="124"/>
      <c r="D715" s="124"/>
      <c r="E715" s="124"/>
      <c r="F715" s="125"/>
      <c r="G715" s="189"/>
      <c r="H715" s="124"/>
      <c r="I715" s="124"/>
      <c r="J715" s="124"/>
      <c r="K715" s="102"/>
      <c r="L715" s="189"/>
      <c r="M715" s="124"/>
      <c r="N715" s="124"/>
      <c r="O715" s="124"/>
      <c r="P715" s="102"/>
      <c r="Q715" s="161"/>
      <c r="R715" s="124"/>
      <c r="S715" s="124"/>
      <c r="T715" s="124"/>
      <c r="U715" s="125"/>
      <c r="V715" s="189"/>
      <c r="W715" s="124"/>
      <c r="X715" s="124"/>
      <c r="Y715" s="124"/>
      <c r="Z715" s="125"/>
      <c r="AA715" s="189"/>
      <c r="AB715" s="124"/>
      <c r="AC715" s="124"/>
      <c r="AD715" s="124"/>
      <c r="AE715" s="125"/>
      <c r="AF715" s="189"/>
      <c r="AG715" s="124"/>
      <c r="AH715" s="124"/>
      <c r="AI715" s="124"/>
      <c r="AJ715" s="125"/>
      <c r="AK715" s="189"/>
      <c r="AL715" s="124"/>
      <c r="AM715" s="124"/>
      <c r="AN715" s="124"/>
      <c r="AO715" s="360"/>
      <c r="AP715" s="360"/>
      <c r="AQ715" s="360"/>
      <c r="AR715" s="360"/>
      <c r="AS715" s="360"/>
      <c r="AT715" s="360"/>
      <c r="AU715" s="360"/>
      <c r="AV715" s="360"/>
      <c r="AW715" s="360"/>
      <c r="AX715" s="360"/>
      <c r="AY715" s="360"/>
      <c r="AZ715" s="360"/>
      <c r="BA715" s="360"/>
      <c r="BB715" s="360"/>
      <c r="BC715" s="360"/>
    </row>
    <row r="716">
      <c r="A716" s="125"/>
      <c r="B716" s="189"/>
      <c r="C716" s="124"/>
      <c r="D716" s="124"/>
      <c r="E716" s="124"/>
      <c r="F716" s="125"/>
      <c r="G716" s="189"/>
      <c r="H716" s="124"/>
      <c r="I716" s="124"/>
      <c r="J716" s="124"/>
      <c r="K716" s="102"/>
      <c r="L716" s="189"/>
      <c r="M716" s="124"/>
      <c r="N716" s="124"/>
      <c r="O716" s="124"/>
      <c r="P716" s="102"/>
      <c r="Q716" s="161"/>
      <c r="R716" s="124"/>
      <c r="S716" s="124"/>
      <c r="T716" s="124"/>
      <c r="U716" s="125"/>
      <c r="V716" s="189"/>
      <c r="W716" s="124"/>
      <c r="X716" s="124"/>
      <c r="Y716" s="124"/>
      <c r="Z716" s="125"/>
      <c r="AA716" s="189"/>
      <c r="AB716" s="124"/>
      <c r="AC716" s="124"/>
      <c r="AD716" s="124"/>
      <c r="AE716" s="125"/>
      <c r="AF716" s="189"/>
      <c r="AG716" s="124"/>
      <c r="AH716" s="124"/>
      <c r="AI716" s="124"/>
      <c r="AJ716" s="125"/>
      <c r="AK716" s="189"/>
      <c r="AL716" s="124"/>
      <c r="AM716" s="124"/>
      <c r="AN716" s="124"/>
      <c r="AO716" s="360"/>
      <c r="AP716" s="360"/>
      <c r="AQ716" s="360"/>
      <c r="AR716" s="360"/>
      <c r="AS716" s="360"/>
      <c r="AT716" s="360"/>
      <c r="AU716" s="360"/>
      <c r="AV716" s="360"/>
      <c r="AW716" s="360"/>
      <c r="AX716" s="360"/>
      <c r="AY716" s="360"/>
      <c r="AZ716" s="360"/>
      <c r="BA716" s="360"/>
      <c r="BB716" s="360"/>
      <c r="BC716" s="360"/>
    </row>
    <row r="717">
      <c r="A717" s="125"/>
      <c r="B717" s="189"/>
      <c r="C717" s="124"/>
      <c r="D717" s="124"/>
      <c r="E717" s="124"/>
      <c r="F717" s="125"/>
      <c r="G717" s="189"/>
      <c r="H717" s="124"/>
      <c r="I717" s="124"/>
      <c r="J717" s="124"/>
      <c r="K717" s="102"/>
      <c r="L717" s="189"/>
      <c r="M717" s="124"/>
      <c r="N717" s="124"/>
      <c r="O717" s="124"/>
      <c r="P717" s="102"/>
      <c r="Q717" s="161"/>
      <c r="R717" s="124"/>
      <c r="S717" s="124"/>
      <c r="T717" s="124"/>
      <c r="U717" s="125"/>
      <c r="V717" s="189"/>
      <c r="W717" s="124"/>
      <c r="X717" s="124"/>
      <c r="Y717" s="124"/>
      <c r="Z717" s="125"/>
      <c r="AA717" s="189"/>
      <c r="AB717" s="124"/>
      <c r="AC717" s="124"/>
      <c r="AD717" s="124"/>
      <c r="AE717" s="125"/>
      <c r="AF717" s="189"/>
      <c r="AG717" s="124"/>
      <c r="AH717" s="124"/>
      <c r="AI717" s="124"/>
      <c r="AJ717" s="125"/>
      <c r="AK717" s="189"/>
      <c r="AL717" s="124"/>
      <c r="AM717" s="124"/>
      <c r="AN717" s="124"/>
      <c r="AO717" s="360"/>
      <c r="AP717" s="360"/>
      <c r="AQ717" s="360"/>
      <c r="AR717" s="360"/>
      <c r="AS717" s="360"/>
      <c r="AT717" s="360"/>
      <c r="AU717" s="360"/>
      <c r="AV717" s="360"/>
      <c r="AW717" s="360"/>
      <c r="AX717" s="360"/>
      <c r="AY717" s="360"/>
      <c r="AZ717" s="360"/>
      <c r="BA717" s="360"/>
      <c r="BB717" s="360"/>
      <c r="BC717" s="360"/>
    </row>
    <row r="718">
      <c r="A718" s="125"/>
      <c r="B718" s="189"/>
      <c r="C718" s="124"/>
      <c r="D718" s="124"/>
      <c r="E718" s="124"/>
      <c r="F718" s="125"/>
      <c r="G718" s="189"/>
      <c r="H718" s="124"/>
      <c r="I718" s="124"/>
      <c r="J718" s="124"/>
      <c r="K718" s="102"/>
      <c r="L718" s="189"/>
      <c r="M718" s="124"/>
      <c r="N718" s="124"/>
      <c r="O718" s="124"/>
      <c r="P718" s="102"/>
      <c r="Q718" s="161"/>
      <c r="R718" s="124"/>
      <c r="S718" s="124"/>
      <c r="T718" s="124"/>
      <c r="U718" s="125"/>
      <c r="V718" s="189"/>
      <c r="W718" s="124"/>
      <c r="X718" s="124"/>
      <c r="Y718" s="124"/>
      <c r="Z718" s="125"/>
      <c r="AA718" s="189"/>
      <c r="AB718" s="124"/>
      <c r="AC718" s="124"/>
      <c r="AD718" s="124"/>
      <c r="AE718" s="125"/>
      <c r="AF718" s="189"/>
      <c r="AG718" s="124"/>
      <c r="AH718" s="124"/>
      <c r="AI718" s="124"/>
      <c r="AJ718" s="125"/>
      <c r="AK718" s="189"/>
      <c r="AL718" s="124"/>
      <c r="AM718" s="124"/>
      <c r="AN718" s="124"/>
      <c r="AO718" s="360"/>
      <c r="AP718" s="360"/>
      <c r="AQ718" s="360"/>
      <c r="AR718" s="360"/>
      <c r="AS718" s="360"/>
      <c r="AT718" s="360"/>
      <c r="AU718" s="360"/>
      <c r="AV718" s="360"/>
      <c r="AW718" s="360"/>
      <c r="AX718" s="360"/>
      <c r="AY718" s="360"/>
      <c r="AZ718" s="360"/>
      <c r="BA718" s="360"/>
      <c r="BB718" s="360"/>
      <c r="BC718" s="360"/>
    </row>
    <row r="719">
      <c r="A719" s="125"/>
      <c r="B719" s="189"/>
      <c r="C719" s="124"/>
      <c r="D719" s="124"/>
      <c r="E719" s="124"/>
      <c r="F719" s="125"/>
      <c r="G719" s="189"/>
      <c r="H719" s="124"/>
      <c r="I719" s="124"/>
      <c r="J719" s="124"/>
      <c r="K719" s="102"/>
      <c r="L719" s="189"/>
      <c r="M719" s="124"/>
      <c r="N719" s="124"/>
      <c r="O719" s="124"/>
      <c r="P719" s="102"/>
      <c r="Q719" s="161"/>
      <c r="R719" s="124"/>
      <c r="S719" s="124"/>
      <c r="T719" s="124"/>
      <c r="U719" s="125"/>
      <c r="V719" s="189"/>
      <c r="W719" s="124"/>
      <c r="X719" s="124"/>
      <c r="Y719" s="124"/>
      <c r="Z719" s="125"/>
      <c r="AA719" s="189"/>
      <c r="AB719" s="124"/>
      <c r="AC719" s="124"/>
      <c r="AD719" s="124"/>
      <c r="AE719" s="125"/>
      <c r="AF719" s="189"/>
      <c r="AG719" s="124"/>
      <c r="AH719" s="124"/>
      <c r="AI719" s="124"/>
      <c r="AJ719" s="125"/>
      <c r="AK719" s="189"/>
      <c r="AL719" s="124"/>
      <c r="AM719" s="124"/>
      <c r="AN719" s="124"/>
      <c r="AO719" s="360"/>
      <c r="AP719" s="360"/>
      <c r="AQ719" s="360"/>
      <c r="AR719" s="360"/>
      <c r="AS719" s="360"/>
      <c r="AT719" s="360"/>
      <c r="AU719" s="360"/>
      <c r="AV719" s="360"/>
      <c r="AW719" s="360"/>
      <c r="AX719" s="360"/>
      <c r="AY719" s="360"/>
      <c r="AZ719" s="360"/>
      <c r="BA719" s="360"/>
      <c r="BB719" s="360"/>
      <c r="BC719" s="360"/>
    </row>
    <row r="720">
      <c r="A720" s="125"/>
      <c r="B720" s="189"/>
      <c r="C720" s="124"/>
      <c r="D720" s="124"/>
      <c r="E720" s="124"/>
      <c r="F720" s="125"/>
      <c r="G720" s="189"/>
      <c r="H720" s="124"/>
      <c r="I720" s="124"/>
      <c r="J720" s="124"/>
      <c r="K720" s="102"/>
      <c r="L720" s="189"/>
      <c r="M720" s="124"/>
      <c r="N720" s="124"/>
      <c r="O720" s="124"/>
      <c r="P720" s="102"/>
      <c r="Q720" s="161"/>
      <c r="R720" s="124"/>
      <c r="S720" s="124"/>
      <c r="T720" s="124"/>
      <c r="U720" s="125"/>
      <c r="V720" s="189"/>
      <c r="W720" s="124"/>
      <c r="X720" s="124"/>
      <c r="Y720" s="124"/>
      <c r="Z720" s="125"/>
      <c r="AA720" s="189"/>
      <c r="AB720" s="124"/>
      <c r="AC720" s="124"/>
      <c r="AD720" s="124"/>
      <c r="AE720" s="125"/>
      <c r="AF720" s="189"/>
      <c r="AG720" s="124"/>
      <c r="AH720" s="124"/>
      <c r="AI720" s="124"/>
      <c r="AJ720" s="125"/>
      <c r="AK720" s="189"/>
      <c r="AL720" s="124"/>
      <c r="AM720" s="124"/>
      <c r="AN720" s="124"/>
      <c r="AO720" s="360"/>
      <c r="AP720" s="360"/>
      <c r="AQ720" s="360"/>
      <c r="AR720" s="360"/>
      <c r="AS720" s="360"/>
      <c r="AT720" s="360"/>
      <c r="AU720" s="360"/>
      <c r="AV720" s="360"/>
      <c r="AW720" s="360"/>
      <c r="AX720" s="360"/>
      <c r="AY720" s="360"/>
      <c r="AZ720" s="360"/>
      <c r="BA720" s="360"/>
      <c r="BB720" s="360"/>
      <c r="BC720" s="360"/>
    </row>
    <row r="721">
      <c r="A721" s="125"/>
      <c r="B721" s="189"/>
      <c r="C721" s="124"/>
      <c r="D721" s="124"/>
      <c r="E721" s="124"/>
      <c r="F721" s="125"/>
      <c r="G721" s="189"/>
      <c r="H721" s="124"/>
      <c r="I721" s="124"/>
      <c r="J721" s="124"/>
      <c r="K721" s="102"/>
      <c r="L721" s="189"/>
      <c r="M721" s="124"/>
      <c r="N721" s="124"/>
      <c r="O721" s="124"/>
      <c r="P721" s="102"/>
      <c r="Q721" s="161"/>
      <c r="R721" s="124"/>
      <c r="S721" s="124"/>
      <c r="T721" s="124"/>
      <c r="U721" s="125"/>
      <c r="V721" s="189"/>
      <c r="W721" s="124"/>
      <c r="X721" s="124"/>
      <c r="Y721" s="124"/>
      <c r="Z721" s="125"/>
      <c r="AA721" s="189"/>
      <c r="AB721" s="124"/>
      <c r="AC721" s="124"/>
      <c r="AD721" s="124"/>
      <c r="AE721" s="125"/>
      <c r="AF721" s="189"/>
      <c r="AG721" s="124"/>
      <c r="AH721" s="124"/>
      <c r="AI721" s="124"/>
      <c r="AJ721" s="125"/>
      <c r="AK721" s="189"/>
      <c r="AL721" s="124"/>
      <c r="AM721" s="124"/>
      <c r="AN721" s="124"/>
      <c r="AO721" s="360"/>
      <c r="AP721" s="360"/>
      <c r="AQ721" s="360"/>
      <c r="AR721" s="360"/>
      <c r="AS721" s="360"/>
      <c r="AT721" s="360"/>
      <c r="AU721" s="360"/>
      <c r="AV721" s="360"/>
      <c r="AW721" s="360"/>
      <c r="AX721" s="360"/>
      <c r="AY721" s="360"/>
      <c r="AZ721" s="360"/>
      <c r="BA721" s="360"/>
      <c r="BB721" s="360"/>
      <c r="BC721" s="360"/>
    </row>
    <row r="722">
      <c r="A722" s="125"/>
      <c r="B722" s="189"/>
      <c r="C722" s="124"/>
      <c r="D722" s="124"/>
      <c r="E722" s="124"/>
      <c r="F722" s="125"/>
      <c r="G722" s="189"/>
      <c r="H722" s="124"/>
      <c r="I722" s="124"/>
      <c r="J722" s="124"/>
      <c r="K722" s="102"/>
      <c r="L722" s="189"/>
      <c r="M722" s="124"/>
      <c r="N722" s="124"/>
      <c r="O722" s="124"/>
      <c r="P722" s="102"/>
      <c r="Q722" s="161"/>
      <c r="R722" s="124"/>
      <c r="S722" s="124"/>
      <c r="T722" s="124"/>
      <c r="U722" s="125"/>
      <c r="V722" s="189"/>
      <c r="W722" s="124"/>
      <c r="X722" s="124"/>
      <c r="Y722" s="124"/>
      <c r="Z722" s="125"/>
      <c r="AA722" s="189"/>
      <c r="AB722" s="124"/>
      <c r="AC722" s="124"/>
      <c r="AD722" s="124"/>
      <c r="AE722" s="125"/>
      <c r="AF722" s="189"/>
      <c r="AG722" s="124"/>
      <c r="AH722" s="124"/>
      <c r="AI722" s="124"/>
      <c r="AJ722" s="125"/>
      <c r="AK722" s="189"/>
      <c r="AL722" s="124"/>
      <c r="AM722" s="124"/>
      <c r="AN722" s="124"/>
      <c r="AO722" s="360"/>
      <c r="AP722" s="360"/>
      <c r="AQ722" s="360"/>
      <c r="AR722" s="360"/>
      <c r="AS722" s="360"/>
      <c r="AT722" s="360"/>
      <c r="AU722" s="360"/>
      <c r="AV722" s="360"/>
      <c r="AW722" s="360"/>
      <c r="AX722" s="360"/>
      <c r="AY722" s="360"/>
      <c r="AZ722" s="360"/>
      <c r="BA722" s="360"/>
      <c r="BB722" s="360"/>
      <c r="BC722" s="360"/>
    </row>
    <row r="723">
      <c r="A723" s="125"/>
      <c r="B723" s="189"/>
      <c r="C723" s="124"/>
      <c r="D723" s="124"/>
      <c r="E723" s="124"/>
      <c r="F723" s="125"/>
      <c r="G723" s="189"/>
      <c r="H723" s="124"/>
      <c r="I723" s="124"/>
      <c r="J723" s="124"/>
      <c r="K723" s="102"/>
      <c r="L723" s="189"/>
      <c r="M723" s="124"/>
      <c r="N723" s="124"/>
      <c r="O723" s="124"/>
      <c r="P723" s="102"/>
      <c r="Q723" s="161"/>
      <c r="R723" s="124"/>
      <c r="S723" s="124"/>
      <c r="T723" s="124"/>
      <c r="U723" s="125"/>
      <c r="V723" s="189"/>
      <c r="W723" s="124"/>
      <c r="X723" s="124"/>
      <c r="Y723" s="124"/>
      <c r="Z723" s="125"/>
      <c r="AA723" s="189"/>
      <c r="AB723" s="124"/>
      <c r="AC723" s="124"/>
      <c r="AD723" s="124"/>
      <c r="AE723" s="125"/>
      <c r="AF723" s="189"/>
      <c r="AG723" s="124"/>
      <c r="AH723" s="124"/>
      <c r="AI723" s="124"/>
      <c r="AJ723" s="125"/>
      <c r="AK723" s="189"/>
      <c r="AL723" s="124"/>
      <c r="AM723" s="124"/>
      <c r="AN723" s="124"/>
      <c r="AO723" s="360"/>
      <c r="AP723" s="360"/>
      <c r="AQ723" s="360"/>
      <c r="AR723" s="360"/>
      <c r="AS723" s="360"/>
      <c r="AT723" s="360"/>
      <c r="AU723" s="360"/>
      <c r="AV723" s="360"/>
      <c r="AW723" s="360"/>
      <c r="AX723" s="360"/>
      <c r="AY723" s="360"/>
      <c r="AZ723" s="360"/>
      <c r="BA723" s="360"/>
      <c r="BB723" s="360"/>
      <c r="BC723" s="360"/>
    </row>
    <row r="724">
      <c r="A724" s="125"/>
      <c r="B724" s="189"/>
      <c r="C724" s="124"/>
      <c r="D724" s="124"/>
      <c r="E724" s="124"/>
      <c r="F724" s="125"/>
      <c r="G724" s="189"/>
      <c r="H724" s="124"/>
      <c r="I724" s="124"/>
      <c r="J724" s="124"/>
      <c r="K724" s="102"/>
      <c r="L724" s="189"/>
      <c r="M724" s="124"/>
      <c r="N724" s="124"/>
      <c r="O724" s="124"/>
      <c r="P724" s="102"/>
      <c r="Q724" s="161"/>
      <c r="R724" s="124"/>
      <c r="S724" s="124"/>
      <c r="T724" s="124"/>
      <c r="U724" s="125"/>
      <c r="V724" s="189"/>
      <c r="W724" s="124"/>
      <c r="X724" s="124"/>
      <c r="Y724" s="124"/>
      <c r="Z724" s="125"/>
      <c r="AA724" s="189"/>
      <c r="AB724" s="124"/>
      <c r="AC724" s="124"/>
      <c r="AD724" s="124"/>
      <c r="AE724" s="125"/>
      <c r="AF724" s="189"/>
      <c r="AG724" s="124"/>
      <c r="AH724" s="124"/>
      <c r="AI724" s="124"/>
      <c r="AJ724" s="125"/>
      <c r="AK724" s="189"/>
      <c r="AL724" s="124"/>
      <c r="AM724" s="124"/>
      <c r="AN724" s="124"/>
      <c r="AO724" s="360"/>
      <c r="AP724" s="360"/>
      <c r="AQ724" s="360"/>
      <c r="AR724" s="360"/>
      <c r="AS724" s="360"/>
      <c r="AT724" s="360"/>
      <c r="AU724" s="360"/>
      <c r="AV724" s="360"/>
      <c r="AW724" s="360"/>
      <c r="AX724" s="360"/>
      <c r="AY724" s="360"/>
      <c r="AZ724" s="360"/>
      <c r="BA724" s="360"/>
      <c r="BB724" s="360"/>
      <c r="BC724" s="360"/>
    </row>
    <row r="725">
      <c r="A725" s="125"/>
      <c r="B725" s="189"/>
      <c r="C725" s="124"/>
      <c r="D725" s="124"/>
      <c r="E725" s="124"/>
      <c r="F725" s="125"/>
      <c r="G725" s="189"/>
      <c r="H725" s="124"/>
      <c r="I725" s="124"/>
      <c r="J725" s="124"/>
      <c r="K725" s="102"/>
      <c r="L725" s="189"/>
      <c r="M725" s="124"/>
      <c r="N725" s="124"/>
      <c r="O725" s="124"/>
      <c r="P725" s="102"/>
      <c r="Q725" s="161"/>
      <c r="R725" s="124"/>
      <c r="S725" s="124"/>
      <c r="T725" s="124"/>
      <c r="U725" s="125"/>
      <c r="V725" s="189"/>
      <c r="W725" s="124"/>
      <c r="X725" s="124"/>
      <c r="Y725" s="124"/>
      <c r="Z725" s="125"/>
      <c r="AA725" s="189"/>
      <c r="AB725" s="124"/>
      <c r="AC725" s="124"/>
      <c r="AD725" s="124"/>
      <c r="AE725" s="125"/>
      <c r="AF725" s="189"/>
      <c r="AG725" s="124"/>
      <c r="AH725" s="124"/>
      <c r="AI725" s="124"/>
      <c r="AJ725" s="125"/>
      <c r="AK725" s="189"/>
      <c r="AL725" s="124"/>
      <c r="AM725" s="124"/>
      <c r="AN725" s="124"/>
      <c r="AO725" s="360"/>
      <c r="AP725" s="360"/>
      <c r="AQ725" s="360"/>
      <c r="AR725" s="360"/>
      <c r="AS725" s="360"/>
      <c r="AT725" s="360"/>
      <c r="AU725" s="360"/>
      <c r="AV725" s="360"/>
      <c r="AW725" s="360"/>
      <c r="AX725" s="360"/>
      <c r="AY725" s="360"/>
      <c r="AZ725" s="360"/>
      <c r="BA725" s="360"/>
      <c r="BB725" s="360"/>
      <c r="BC725" s="360"/>
    </row>
    <row r="726">
      <c r="A726" s="125"/>
      <c r="B726" s="189"/>
      <c r="C726" s="124"/>
      <c r="D726" s="124"/>
      <c r="E726" s="124"/>
      <c r="F726" s="125"/>
      <c r="G726" s="189"/>
      <c r="H726" s="124"/>
      <c r="I726" s="124"/>
      <c r="J726" s="124"/>
      <c r="K726" s="102"/>
      <c r="L726" s="189"/>
      <c r="M726" s="124"/>
      <c r="N726" s="124"/>
      <c r="O726" s="124"/>
      <c r="P726" s="102"/>
      <c r="Q726" s="161"/>
      <c r="R726" s="124"/>
      <c r="S726" s="124"/>
      <c r="T726" s="124"/>
      <c r="U726" s="125"/>
      <c r="V726" s="189"/>
      <c r="W726" s="124"/>
      <c r="X726" s="124"/>
      <c r="Y726" s="124"/>
      <c r="Z726" s="125"/>
      <c r="AA726" s="189"/>
      <c r="AB726" s="124"/>
      <c r="AC726" s="124"/>
      <c r="AD726" s="124"/>
      <c r="AE726" s="125"/>
      <c r="AF726" s="189"/>
      <c r="AG726" s="124"/>
      <c r="AH726" s="124"/>
      <c r="AI726" s="124"/>
      <c r="AJ726" s="125"/>
      <c r="AK726" s="189"/>
      <c r="AL726" s="124"/>
      <c r="AM726" s="124"/>
      <c r="AN726" s="124"/>
      <c r="AO726" s="360"/>
      <c r="AP726" s="360"/>
      <c r="AQ726" s="360"/>
      <c r="AR726" s="360"/>
      <c r="AS726" s="360"/>
      <c r="AT726" s="360"/>
      <c r="AU726" s="360"/>
      <c r="AV726" s="360"/>
      <c r="AW726" s="360"/>
      <c r="AX726" s="360"/>
      <c r="AY726" s="360"/>
      <c r="AZ726" s="360"/>
      <c r="BA726" s="360"/>
      <c r="BB726" s="360"/>
      <c r="BC726" s="360"/>
    </row>
    <row r="727">
      <c r="A727" s="125"/>
      <c r="B727" s="189"/>
      <c r="C727" s="124"/>
      <c r="D727" s="124"/>
      <c r="E727" s="124"/>
      <c r="F727" s="125"/>
      <c r="G727" s="189"/>
      <c r="H727" s="124"/>
      <c r="I727" s="124"/>
      <c r="J727" s="124"/>
      <c r="K727" s="102"/>
      <c r="L727" s="189"/>
      <c r="M727" s="124"/>
      <c r="N727" s="124"/>
      <c r="O727" s="124"/>
      <c r="P727" s="102"/>
      <c r="Q727" s="161"/>
      <c r="R727" s="124"/>
      <c r="S727" s="124"/>
      <c r="T727" s="124"/>
      <c r="U727" s="125"/>
      <c r="V727" s="189"/>
      <c r="W727" s="124"/>
      <c r="X727" s="124"/>
      <c r="Y727" s="124"/>
      <c r="Z727" s="125"/>
      <c r="AA727" s="189"/>
      <c r="AB727" s="124"/>
      <c r="AC727" s="124"/>
      <c r="AD727" s="124"/>
      <c r="AE727" s="125"/>
      <c r="AF727" s="189"/>
      <c r="AG727" s="124"/>
      <c r="AH727" s="124"/>
      <c r="AI727" s="124"/>
      <c r="AJ727" s="125"/>
      <c r="AK727" s="189"/>
      <c r="AL727" s="124"/>
      <c r="AM727" s="124"/>
      <c r="AN727" s="124"/>
      <c r="AO727" s="360"/>
      <c r="AP727" s="360"/>
      <c r="AQ727" s="360"/>
      <c r="AR727" s="360"/>
      <c r="AS727" s="360"/>
      <c r="AT727" s="360"/>
      <c r="AU727" s="360"/>
      <c r="AV727" s="360"/>
      <c r="AW727" s="360"/>
      <c r="AX727" s="360"/>
      <c r="AY727" s="360"/>
      <c r="AZ727" s="360"/>
      <c r="BA727" s="360"/>
      <c r="BB727" s="360"/>
      <c r="BC727" s="360"/>
    </row>
    <row r="728">
      <c r="A728" s="125"/>
      <c r="B728" s="189"/>
      <c r="C728" s="124"/>
      <c r="D728" s="124"/>
      <c r="E728" s="124"/>
      <c r="F728" s="125"/>
      <c r="G728" s="189"/>
      <c r="H728" s="124"/>
      <c r="I728" s="124"/>
      <c r="J728" s="124"/>
      <c r="K728" s="102"/>
      <c r="L728" s="189"/>
      <c r="M728" s="124"/>
      <c r="N728" s="124"/>
      <c r="O728" s="124"/>
      <c r="P728" s="102"/>
      <c r="Q728" s="161"/>
      <c r="R728" s="124"/>
      <c r="S728" s="124"/>
      <c r="T728" s="124"/>
      <c r="U728" s="125"/>
      <c r="V728" s="189"/>
      <c r="W728" s="124"/>
      <c r="X728" s="124"/>
      <c r="Y728" s="124"/>
      <c r="Z728" s="125"/>
      <c r="AA728" s="189"/>
      <c r="AB728" s="124"/>
      <c r="AC728" s="124"/>
      <c r="AD728" s="124"/>
      <c r="AE728" s="125"/>
      <c r="AF728" s="189"/>
      <c r="AG728" s="124"/>
      <c r="AH728" s="124"/>
      <c r="AI728" s="124"/>
      <c r="AJ728" s="125"/>
      <c r="AK728" s="189"/>
      <c r="AL728" s="124"/>
      <c r="AM728" s="124"/>
      <c r="AN728" s="124"/>
      <c r="AO728" s="360"/>
      <c r="AP728" s="360"/>
      <c r="AQ728" s="360"/>
      <c r="AR728" s="360"/>
      <c r="AS728" s="360"/>
      <c r="AT728" s="360"/>
      <c r="AU728" s="360"/>
      <c r="AV728" s="360"/>
      <c r="AW728" s="360"/>
      <c r="AX728" s="360"/>
      <c r="AY728" s="360"/>
      <c r="AZ728" s="360"/>
      <c r="BA728" s="360"/>
      <c r="BB728" s="360"/>
      <c r="BC728" s="360"/>
    </row>
    <row r="729">
      <c r="A729" s="125"/>
      <c r="B729" s="189"/>
      <c r="C729" s="124"/>
      <c r="D729" s="124"/>
      <c r="E729" s="124"/>
      <c r="F729" s="125"/>
      <c r="G729" s="189"/>
      <c r="H729" s="124"/>
      <c r="I729" s="124"/>
      <c r="J729" s="124"/>
      <c r="K729" s="102"/>
      <c r="L729" s="189"/>
      <c r="M729" s="124"/>
      <c r="N729" s="124"/>
      <c r="O729" s="124"/>
      <c r="P729" s="102"/>
      <c r="Q729" s="161"/>
      <c r="R729" s="124"/>
      <c r="S729" s="124"/>
      <c r="T729" s="124"/>
      <c r="U729" s="125"/>
      <c r="V729" s="189"/>
      <c r="W729" s="124"/>
      <c r="X729" s="124"/>
      <c r="Y729" s="124"/>
      <c r="Z729" s="125"/>
      <c r="AA729" s="189"/>
      <c r="AB729" s="124"/>
      <c r="AC729" s="124"/>
      <c r="AD729" s="124"/>
      <c r="AE729" s="125"/>
      <c r="AF729" s="189"/>
      <c r="AG729" s="124"/>
      <c r="AH729" s="124"/>
      <c r="AI729" s="124"/>
      <c r="AJ729" s="125"/>
      <c r="AK729" s="189"/>
      <c r="AL729" s="124"/>
      <c r="AM729" s="124"/>
      <c r="AN729" s="124"/>
      <c r="AO729" s="360"/>
      <c r="AP729" s="360"/>
      <c r="AQ729" s="360"/>
      <c r="AR729" s="360"/>
      <c r="AS729" s="360"/>
      <c r="AT729" s="360"/>
      <c r="AU729" s="360"/>
      <c r="AV729" s="360"/>
      <c r="AW729" s="360"/>
      <c r="AX729" s="360"/>
      <c r="AY729" s="360"/>
      <c r="AZ729" s="360"/>
      <c r="BA729" s="360"/>
      <c r="BB729" s="360"/>
      <c r="BC729" s="360"/>
    </row>
    <row r="730">
      <c r="A730" s="125"/>
      <c r="B730" s="189"/>
      <c r="C730" s="124"/>
      <c r="D730" s="124"/>
      <c r="E730" s="124"/>
      <c r="F730" s="125"/>
      <c r="G730" s="189"/>
      <c r="H730" s="124"/>
      <c r="I730" s="124"/>
      <c r="J730" s="124"/>
      <c r="K730" s="102"/>
      <c r="L730" s="189"/>
      <c r="M730" s="124"/>
      <c r="N730" s="124"/>
      <c r="O730" s="124"/>
      <c r="P730" s="102"/>
      <c r="Q730" s="161"/>
      <c r="R730" s="124"/>
      <c r="S730" s="124"/>
      <c r="T730" s="124"/>
      <c r="U730" s="125"/>
      <c r="V730" s="189"/>
      <c r="W730" s="124"/>
      <c r="X730" s="124"/>
      <c r="Y730" s="124"/>
      <c r="Z730" s="125"/>
      <c r="AA730" s="189"/>
      <c r="AB730" s="124"/>
      <c r="AC730" s="124"/>
      <c r="AD730" s="124"/>
      <c r="AE730" s="125"/>
      <c r="AF730" s="189"/>
      <c r="AG730" s="124"/>
      <c r="AH730" s="124"/>
      <c r="AI730" s="124"/>
      <c r="AJ730" s="125"/>
      <c r="AK730" s="189"/>
      <c r="AL730" s="124"/>
      <c r="AM730" s="124"/>
      <c r="AN730" s="124"/>
      <c r="AO730" s="360"/>
      <c r="AP730" s="360"/>
      <c r="AQ730" s="360"/>
      <c r="AR730" s="360"/>
      <c r="AS730" s="360"/>
      <c r="AT730" s="360"/>
      <c r="AU730" s="360"/>
      <c r="AV730" s="360"/>
      <c r="AW730" s="360"/>
      <c r="AX730" s="360"/>
      <c r="AY730" s="360"/>
      <c r="AZ730" s="360"/>
      <c r="BA730" s="360"/>
      <c r="BB730" s="360"/>
      <c r="BC730" s="360"/>
    </row>
    <row r="731">
      <c r="A731" s="125"/>
      <c r="B731" s="189"/>
      <c r="C731" s="124"/>
      <c r="D731" s="124"/>
      <c r="E731" s="124"/>
      <c r="F731" s="125"/>
      <c r="G731" s="189"/>
      <c r="H731" s="124"/>
      <c r="I731" s="124"/>
      <c r="J731" s="124"/>
      <c r="K731" s="102"/>
      <c r="L731" s="189"/>
      <c r="M731" s="124"/>
      <c r="N731" s="124"/>
      <c r="O731" s="124"/>
      <c r="P731" s="102"/>
      <c r="Q731" s="161"/>
      <c r="R731" s="124"/>
      <c r="S731" s="124"/>
      <c r="T731" s="124"/>
      <c r="U731" s="125"/>
      <c r="V731" s="189"/>
      <c r="W731" s="124"/>
      <c r="X731" s="124"/>
      <c r="Y731" s="124"/>
      <c r="Z731" s="125"/>
      <c r="AA731" s="189"/>
      <c r="AB731" s="124"/>
      <c r="AC731" s="124"/>
      <c r="AD731" s="124"/>
      <c r="AE731" s="125"/>
      <c r="AF731" s="189"/>
      <c r="AG731" s="124"/>
      <c r="AH731" s="124"/>
      <c r="AI731" s="124"/>
      <c r="AJ731" s="125"/>
      <c r="AK731" s="189"/>
      <c r="AL731" s="124"/>
      <c r="AM731" s="124"/>
      <c r="AN731" s="124"/>
      <c r="AO731" s="360"/>
      <c r="AP731" s="360"/>
      <c r="AQ731" s="360"/>
      <c r="AR731" s="360"/>
      <c r="AS731" s="360"/>
      <c r="AT731" s="360"/>
      <c r="AU731" s="360"/>
      <c r="AV731" s="360"/>
      <c r="AW731" s="360"/>
      <c r="AX731" s="360"/>
      <c r="AY731" s="360"/>
      <c r="AZ731" s="360"/>
      <c r="BA731" s="360"/>
      <c r="BB731" s="360"/>
      <c r="BC731" s="360"/>
    </row>
    <row r="732">
      <c r="A732" s="125"/>
      <c r="B732" s="189"/>
      <c r="C732" s="124"/>
      <c r="D732" s="124"/>
      <c r="E732" s="124"/>
      <c r="F732" s="125"/>
      <c r="G732" s="189"/>
      <c r="H732" s="124"/>
      <c r="I732" s="124"/>
      <c r="J732" s="124"/>
      <c r="K732" s="102"/>
      <c r="L732" s="189"/>
      <c r="M732" s="124"/>
      <c r="N732" s="124"/>
      <c r="O732" s="124"/>
      <c r="P732" s="102"/>
      <c r="Q732" s="161"/>
      <c r="R732" s="124"/>
      <c r="S732" s="124"/>
      <c r="T732" s="124"/>
      <c r="U732" s="125"/>
      <c r="V732" s="189"/>
      <c r="W732" s="124"/>
      <c r="X732" s="124"/>
      <c r="Y732" s="124"/>
      <c r="Z732" s="125"/>
      <c r="AA732" s="189"/>
      <c r="AB732" s="124"/>
      <c r="AC732" s="124"/>
      <c r="AD732" s="124"/>
      <c r="AE732" s="125"/>
      <c r="AF732" s="189"/>
      <c r="AG732" s="124"/>
      <c r="AH732" s="124"/>
      <c r="AI732" s="124"/>
      <c r="AJ732" s="125"/>
      <c r="AK732" s="189"/>
      <c r="AL732" s="124"/>
      <c r="AM732" s="124"/>
      <c r="AN732" s="124"/>
      <c r="AO732" s="360"/>
      <c r="AP732" s="360"/>
      <c r="AQ732" s="360"/>
      <c r="AR732" s="360"/>
      <c r="AS732" s="360"/>
      <c r="AT732" s="360"/>
      <c r="AU732" s="360"/>
      <c r="AV732" s="360"/>
      <c r="AW732" s="360"/>
      <c r="AX732" s="360"/>
      <c r="AY732" s="360"/>
      <c r="AZ732" s="360"/>
      <c r="BA732" s="360"/>
      <c r="BB732" s="360"/>
      <c r="BC732" s="360"/>
    </row>
    <row r="733">
      <c r="A733" s="125"/>
      <c r="B733" s="189"/>
      <c r="C733" s="124"/>
      <c r="D733" s="124"/>
      <c r="E733" s="124"/>
      <c r="F733" s="125"/>
      <c r="G733" s="189"/>
      <c r="H733" s="124"/>
      <c r="I733" s="124"/>
      <c r="J733" s="124"/>
      <c r="K733" s="102"/>
      <c r="L733" s="189"/>
      <c r="M733" s="124"/>
      <c r="N733" s="124"/>
      <c r="O733" s="124"/>
      <c r="P733" s="102"/>
      <c r="Q733" s="161"/>
      <c r="R733" s="124"/>
      <c r="S733" s="124"/>
      <c r="T733" s="124"/>
      <c r="U733" s="125"/>
      <c r="V733" s="189"/>
      <c r="W733" s="124"/>
      <c r="X733" s="124"/>
      <c r="Y733" s="124"/>
      <c r="Z733" s="125"/>
      <c r="AA733" s="189"/>
      <c r="AB733" s="124"/>
      <c r="AC733" s="124"/>
      <c r="AD733" s="124"/>
      <c r="AE733" s="125"/>
      <c r="AF733" s="189"/>
      <c r="AG733" s="124"/>
      <c r="AH733" s="124"/>
      <c r="AI733" s="124"/>
      <c r="AJ733" s="125"/>
      <c r="AK733" s="189"/>
      <c r="AL733" s="124"/>
      <c r="AM733" s="124"/>
      <c r="AN733" s="124"/>
      <c r="AO733" s="360"/>
      <c r="AP733" s="360"/>
      <c r="AQ733" s="360"/>
      <c r="AR733" s="360"/>
      <c r="AS733" s="360"/>
      <c r="AT733" s="360"/>
      <c r="AU733" s="360"/>
      <c r="AV733" s="360"/>
      <c r="AW733" s="360"/>
      <c r="AX733" s="360"/>
      <c r="AY733" s="360"/>
      <c r="AZ733" s="360"/>
      <c r="BA733" s="360"/>
      <c r="BB733" s="360"/>
      <c r="BC733" s="360"/>
    </row>
    <row r="734">
      <c r="A734" s="125"/>
      <c r="B734" s="189"/>
      <c r="C734" s="124"/>
      <c r="D734" s="124"/>
      <c r="E734" s="124"/>
      <c r="F734" s="125"/>
      <c r="G734" s="189"/>
      <c r="H734" s="124"/>
      <c r="I734" s="124"/>
      <c r="J734" s="124"/>
      <c r="K734" s="102"/>
      <c r="L734" s="189"/>
      <c r="M734" s="124"/>
      <c r="N734" s="124"/>
      <c r="O734" s="124"/>
      <c r="P734" s="102"/>
      <c r="Q734" s="161"/>
      <c r="R734" s="124"/>
      <c r="S734" s="124"/>
      <c r="T734" s="124"/>
      <c r="U734" s="125"/>
      <c r="V734" s="189"/>
      <c r="W734" s="124"/>
      <c r="X734" s="124"/>
      <c r="Y734" s="124"/>
      <c r="Z734" s="125"/>
      <c r="AA734" s="189"/>
      <c r="AB734" s="124"/>
      <c r="AC734" s="124"/>
      <c r="AD734" s="124"/>
      <c r="AE734" s="125"/>
      <c r="AF734" s="189"/>
      <c r="AG734" s="124"/>
      <c r="AH734" s="124"/>
      <c r="AI734" s="124"/>
      <c r="AJ734" s="125"/>
      <c r="AK734" s="189"/>
      <c r="AL734" s="124"/>
      <c r="AM734" s="124"/>
      <c r="AN734" s="124"/>
      <c r="AO734" s="360"/>
      <c r="AP734" s="360"/>
      <c r="AQ734" s="360"/>
      <c r="AR734" s="360"/>
      <c r="AS734" s="360"/>
      <c r="AT734" s="360"/>
      <c r="AU734" s="360"/>
      <c r="AV734" s="360"/>
      <c r="AW734" s="360"/>
      <c r="AX734" s="360"/>
      <c r="AY734" s="360"/>
      <c r="AZ734" s="360"/>
      <c r="BA734" s="360"/>
      <c r="BB734" s="360"/>
      <c r="BC734" s="360"/>
    </row>
    <row r="735">
      <c r="A735" s="125"/>
      <c r="B735" s="189"/>
      <c r="C735" s="124"/>
      <c r="D735" s="124"/>
      <c r="E735" s="124"/>
      <c r="F735" s="125"/>
      <c r="G735" s="189"/>
      <c r="H735" s="124"/>
      <c r="I735" s="124"/>
      <c r="J735" s="124"/>
      <c r="K735" s="102"/>
      <c r="L735" s="189"/>
      <c r="M735" s="124"/>
      <c r="N735" s="124"/>
      <c r="O735" s="124"/>
      <c r="P735" s="102"/>
      <c r="Q735" s="161"/>
      <c r="R735" s="124"/>
      <c r="S735" s="124"/>
      <c r="T735" s="124"/>
      <c r="U735" s="125"/>
      <c r="V735" s="189"/>
      <c r="W735" s="124"/>
      <c r="X735" s="124"/>
      <c r="Y735" s="124"/>
      <c r="Z735" s="125"/>
      <c r="AA735" s="189"/>
      <c r="AB735" s="124"/>
      <c r="AC735" s="124"/>
      <c r="AD735" s="124"/>
      <c r="AE735" s="125"/>
      <c r="AF735" s="189"/>
      <c r="AG735" s="124"/>
      <c r="AH735" s="124"/>
      <c r="AI735" s="124"/>
      <c r="AJ735" s="125"/>
      <c r="AK735" s="189"/>
      <c r="AL735" s="124"/>
      <c r="AM735" s="124"/>
      <c r="AN735" s="124"/>
      <c r="AO735" s="360"/>
      <c r="AP735" s="360"/>
      <c r="AQ735" s="360"/>
      <c r="AR735" s="360"/>
      <c r="AS735" s="360"/>
      <c r="AT735" s="360"/>
      <c r="AU735" s="360"/>
      <c r="AV735" s="360"/>
      <c r="AW735" s="360"/>
      <c r="AX735" s="360"/>
      <c r="AY735" s="360"/>
      <c r="AZ735" s="360"/>
      <c r="BA735" s="360"/>
      <c r="BB735" s="360"/>
      <c r="BC735" s="360"/>
    </row>
    <row r="736">
      <c r="A736" s="125"/>
      <c r="B736" s="189"/>
      <c r="C736" s="124"/>
      <c r="D736" s="124"/>
      <c r="E736" s="124"/>
      <c r="F736" s="125"/>
      <c r="G736" s="189"/>
      <c r="H736" s="124"/>
      <c r="I736" s="124"/>
      <c r="J736" s="124"/>
      <c r="K736" s="102"/>
      <c r="L736" s="189"/>
      <c r="M736" s="124"/>
      <c r="N736" s="124"/>
      <c r="O736" s="124"/>
      <c r="P736" s="102"/>
      <c r="Q736" s="161"/>
      <c r="R736" s="124"/>
      <c r="S736" s="124"/>
      <c r="T736" s="124"/>
      <c r="U736" s="125"/>
      <c r="V736" s="189"/>
      <c r="W736" s="124"/>
      <c r="X736" s="124"/>
      <c r="Y736" s="124"/>
      <c r="Z736" s="125"/>
      <c r="AA736" s="189"/>
      <c r="AB736" s="124"/>
      <c r="AC736" s="124"/>
      <c r="AD736" s="124"/>
      <c r="AE736" s="125"/>
      <c r="AF736" s="189"/>
      <c r="AG736" s="124"/>
      <c r="AH736" s="124"/>
      <c r="AI736" s="124"/>
      <c r="AJ736" s="125"/>
      <c r="AK736" s="189"/>
      <c r="AL736" s="124"/>
      <c r="AM736" s="124"/>
      <c r="AN736" s="124"/>
      <c r="AO736" s="360"/>
      <c r="AP736" s="360"/>
      <c r="AQ736" s="360"/>
      <c r="AR736" s="360"/>
      <c r="AS736" s="360"/>
      <c r="AT736" s="360"/>
      <c r="AU736" s="360"/>
      <c r="AV736" s="360"/>
      <c r="AW736" s="360"/>
      <c r="AX736" s="360"/>
      <c r="AY736" s="360"/>
      <c r="AZ736" s="360"/>
      <c r="BA736" s="360"/>
      <c r="BB736" s="360"/>
      <c r="BC736" s="360"/>
    </row>
    <row r="737">
      <c r="A737" s="125"/>
      <c r="B737" s="189"/>
      <c r="C737" s="124"/>
      <c r="D737" s="124"/>
      <c r="E737" s="124"/>
      <c r="F737" s="125"/>
      <c r="G737" s="189"/>
      <c r="H737" s="124"/>
      <c r="I737" s="124"/>
      <c r="J737" s="124"/>
      <c r="K737" s="102"/>
      <c r="L737" s="189"/>
      <c r="M737" s="124"/>
      <c r="N737" s="124"/>
      <c r="O737" s="124"/>
      <c r="P737" s="102"/>
      <c r="Q737" s="161"/>
      <c r="R737" s="124"/>
      <c r="S737" s="124"/>
      <c r="T737" s="124"/>
      <c r="U737" s="125"/>
      <c r="V737" s="189"/>
      <c r="W737" s="124"/>
      <c r="X737" s="124"/>
      <c r="Y737" s="124"/>
      <c r="Z737" s="125"/>
      <c r="AA737" s="189"/>
      <c r="AB737" s="124"/>
      <c r="AC737" s="124"/>
      <c r="AD737" s="124"/>
      <c r="AE737" s="125"/>
      <c r="AF737" s="189"/>
      <c r="AG737" s="124"/>
      <c r="AH737" s="124"/>
      <c r="AI737" s="124"/>
      <c r="AJ737" s="125"/>
      <c r="AK737" s="189"/>
      <c r="AL737" s="124"/>
      <c r="AM737" s="124"/>
      <c r="AN737" s="124"/>
      <c r="AO737" s="360"/>
      <c r="AP737" s="360"/>
      <c r="AQ737" s="360"/>
      <c r="AR737" s="360"/>
      <c r="AS737" s="360"/>
      <c r="AT737" s="360"/>
      <c r="AU737" s="360"/>
      <c r="AV737" s="360"/>
      <c r="AW737" s="360"/>
      <c r="AX737" s="360"/>
      <c r="AY737" s="360"/>
      <c r="AZ737" s="360"/>
      <c r="BA737" s="360"/>
      <c r="BB737" s="360"/>
      <c r="BC737" s="360"/>
    </row>
    <row r="738">
      <c r="A738" s="125"/>
      <c r="B738" s="189"/>
      <c r="C738" s="124"/>
      <c r="D738" s="124"/>
      <c r="E738" s="124"/>
      <c r="F738" s="125"/>
      <c r="G738" s="189"/>
      <c r="H738" s="124"/>
      <c r="I738" s="124"/>
      <c r="J738" s="124"/>
      <c r="K738" s="102"/>
      <c r="L738" s="189"/>
      <c r="M738" s="124"/>
      <c r="N738" s="124"/>
      <c r="O738" s="124"/>
      <c r="P738" s="102"/>
      <c r="Q738" s="161"/>
      <c r="R738" s="124"/>
      <c r="S738" s="124"/>
      <c r="T738" s="124"/>
      <c r="U738" s="125"/>
      <c r="V738" s="189"/>
      <c r="W738" s="124"/>
      <c r="X738" s="124"/>
      <c r="Y738" s="124"/>
      <c r="Z738" s="125"/>
      <c r="AA738" s="189"/>
      <c r="AB738" s="124"/>
      <c r="AC738" s="124"/>
      <c r="AD738" s="124"/>
      <c r="AE738" s="125"/>
      <c r="AF738" s="189"/>
      <c r="AG738" s="124"/>
      <c r="AH738" s="124"/>
      <c r="AI738" s="124"/>
      <c r="AJ738" s="125"/>
      <c r="AK738" s="189"/>
      <c r="AL738" s="124"/>
      <c r="AM738" s="124"/>
      <c r="AN738" s="124"/>
      <c r="AO738" s="360"/>
      <c r="AP738" s="360"/>
      <c r="AQ738" s="360"/>
      <c r="AR738" s="360"/>
      <c r="AS738" s="360"/>
      <c r="AT738" s="360"/>
      <c r="AU738" s="360"/>
      <c r="AV738" s="360"/>
      <c r="AW738" s="360"/>
      <c r="AX738" s="360"/>
      <c r="AY738" s="360"/>
      <c r="AZ738" s="360"/>
      <c r="BA738" s="360"/>
      <c r="BB738" s="360"/>
      <c r="BC738" s="360"/>
    </row>
    <row r="739">
      <c r="A739" s="125"/>
      <c r="B739" s="189"/>
      <c r="C739" s="124"/>
      <c r="D739" s="124"/>
      <c r="E739" s="124"/>
      <c r="F739" s="125"/>
      <c r="G739" s="189"/>
      <c r="H739" s="124"/>
      <c r="I739" s="124"/>
      <c r="J739" s="124"/>
      <c r="K739" s="102"/>
      <c r="L739" s="189"/>
      <c r="M739" s="124"/>
      <c r="N739" s="124"/>
      <c r="O739" s="124"/>
      <c r="P739" s="102"/>
      <c r="Q739" s="161"/>
      <c r="R739" s="124"/>
      <c r="S739" s="124"/>
      <c r="T739" s="124"/>
      <c r="U739" s="125"/>
      <c r="V739" s="189"/>
      <c r="W739" s="124"/>
      <c r="X739" s="124"/>
      <c r="Y739" s="124"/>
      <c r="Z739" s="125"/>
      <c r="AA739" s="189"/>
      <c r="AB739" s="124"/>
      <c r="AC739" s="124"/>
      <c r="AD739" s="124"/>
      <c r="AE739" s="125"/>
      <c r="AF739" s="189"/>
      <c r="AG739" s="124"/>
      <c r="AH739" s="124"/>
      <c r="AI739" s="124"/>
      <c r="AJ739" s="125"/>
      <c r="AK739" s="189"/>
      <c r="AL739" s="124"/>
      <c r="AM739" s="124"/>
      <c r="AN739" s="124"/>
      <c r="AO739" s="360"/>
      <c r="AP739" s="360"/>
      <c r="AQ739" s="360"/>
      <c r="AR739" s="360"/>
      <c r="AS739" s="360"/>
      <c r="AT739" s="360"/>
      <c r="AU739" s="360"/>
      <c r="AV739" s="360"/>
      <c r="AW739" s="360"/>
      <c r="AX739" s="360"/>
      <c r="AY739" s="360"/>
      <c r="AZ739" s="360"/>
      <c r="BA739" s="360"/>
      <c r="BB739" s="360"/>
      <c r="BC739" s="360"/>
    </row>
    <row r="740">
      <c r="A740" s="125"/>
      <c r="B740" s="189"/>
      <c r="C740" s="124"/>
      <c r="D740" s="124"/>
      <c r="E740" s="124"/>
      <c r="F740" s="125"/>
      <c r="G740" s="189"/>
      <c r="H740" s="124"/>
      <c r="I740" s="124"/>
      <c r="J740" s="124"/>
      <c r="K740" s="102"/>
      <c r="L740" s="189"/>
      <c r="M740" s="124"/>
      <c r="N740" s="124"/>
      <c r="O740" s="124"/>
      <c r="P740" s="102"/>
      <c r="Q740" s="161"/>
      <c r="R740" s="124"/>
      <c r="S740" s="124"/>
      <c r="T740" s="124"/>
      <c r="U740" s="125"/>
      <c r="V740" s="189"/>
      <c r="W740" s="124"/>
      <c r="X740" s="124"/>
      <c r="Y740" s="124"/>
      <c r="Z740" s="125"/>
      <c r="AA740" s="189"/>
      <c r="AB740" s="124"/>
      <c r="AC740" s="124"/>
      <c r="AD740" s="124"/>
      <c r="AE740" s="125"/>
      <c r="AF740" s="189"/>
      <c r="AG740" s="124"/>
      <c r="AH740" s="124"/>
      <c r="AI740" s="124"/>
      <c r="AJ740" s="125"/>
      <c r="AK740" s="189"/>
      <c r="AL740" s="124"/>
      <c r="AM740" s="124"/>
      <c r="AN740" s="124"/>
      <c r="AO740" s="360"/>
      <c r="AP740" s="360"/>
      <c r="AQ740" s="360"/>
      <c r="AR740" s="360"/>
      <c r="AS740" s="360"/>
      <c r="AT740" s="360"/>
      <c r="AU740" s="360"/>
      <c r="AV740" s="360"/>
      <c r="AW740" s="360"/>
      <c r="AX740" s="360"/>
      <c r="AY740" s="360"/>
      <c r="AZ740" s="360"/>
      <c r="BA740" s="360"/>
      <c r="BB740" s="360"/>
      <c r="BC740" s="360"/>
    </row>
    <row r="741">
      <c r="A741" s="125"/>
      <c r="B741" s="189"/>
      <c r="C741" s="124"/>
      <c r="D741" s="124"/>
      <c r="E741" s="124"/>
      <c r="F741" s="125"/>
      <c r="G741" s="189"/>
      <c r="H741" s="124"/>
      <c r="I741" s="124"/>
      <c r="J741" s="124"/>
      <c r="K741" s="102"/>
      <c r="L741" s="189"/>
      <c r="M741" s="124"/>
      <c r="N741" s="124"/>
      <c r="O741" s="124"/>
      <c r="P741" s="102"/>
      <c r="Q741" s="161"/>
      <c r="R741" s="124"/>
      <c r="S741" s="124"/>
      <c r="T741" s="124"/>
      <c r="U741" s="125"/>
      <c r="V741" s="189"/>
      <c r="W741" s="124"/>
      <c r="X741" s="124"/>
      <c r="Y741" s="124"/>
      <c r="Z741" s="125"/>
      <c r="AA741" s="189"/>
      <c r="AB741" s="124"/>
      <c r="AC741" s="124"/>
      <c r="AD741" s="124"/>
      <c r="AE741" s="125"/>
      <c r="AF741" s="189"/>
      <c r="AG741" s="124"/>
      <c r="AH741" s="124"/>
      <c r="AI741" s="124"/>
      <c r="AJ741" s="125"/>
      <c r="AK741" s="189"/>
      <c r="AL741" s="124"/>
      <c r="AM741" s="124"/>
      <c r="AN741" s="124"/>
      <c r="AO741" s="360"/>
      <c r="AP741" s="360"/>
      <c r="AQ741" s="360"/>
      <c r="AR741" s="360"/>
      <c r="AS741" s="360"/>
      <c r="AT741" s="360"/>
      <c r="AU741" s="360"/>
      <c r="AV741" s="360"/>
      <c r="AW741" s="360"/>
      <c r="AX741" s="360"/>
      <c r="AY741" s="360"/>
      <c r="AZ741" s="360"/>
      <c r="BA741" s="360"/>
      <c r="BB741" s="360"/>
      <c r="BC741" s="360"/>
    </row>
    <row r="742">
      <c r="A742" s="125"/>
      <c r="B742" s="189"/>
      <c r="C742" s="124"/>
      <c r="D742" s="124"/>
      <c r="E742" s="124"/>
      <c r="F742" s="125"/>
      <c r="G742" s="189"/>
      <c r="H742" s="124"/>
      <c r="I742" s="124"/>
      <c r="J742" s="124"/>
      <c r="K742" s="102"/>
      <c r="L742" s="189"/>
      <c r="M742" s="124"/>
      <c r="N742" s="124"/>
      <c r="O742" s="124"/>
      <c r="P742" s="102"/>
      <c r="Q742" s="161"/>
      <c r="R742" s="124"/>
      <c r="S742" s="124"/>
      <c r="T742" s="124"/>
      <c r="U742" s="125"/>
      <c r="V742" s="189"/>
      <c r="W742" s="124"/>
      <c r="X742" s="124"/>
      <c r="Y742" s="124"/>
      <c r="Z742" s="125"/>
      <c r="AA742" s="189"/>
      <c r="AB742" s="124"/>
      <c r="AC742" s="124"/>
      <c r="AD742" s="124"/>
      <c r="AE742" s="125"/>
      <c r="AF742" s="189"/>
      <c r="AG742" s="124"/>
      <c r="AH742" s="124"/>
      <c r="AI742" s="124"/>
      <c r="AJ742" s="125"/>
      <c r="AK742" s="189"/>
      <c r="AL742" s="124"/>
      <c r="AM742" s="124"/>
      <c r="AN742" s="124"/>
      <c r="AO742" s="360"/>
      <c r="AP742" s="360"/>
      <c r="AQ742" s="360"/>
      <c r="AR742" s="360"/>
      <c r="AS742" s="360"/>
      <c r="AT742" s="360"/>
      <c r="AU742" s="360"/>
      <c r="AV742" s="360"/>
      <c r="AW742" s="360"/>
      <c r="AX742" s="360"/>
      <c r="AY742" s="360"/>
      <c r="AZ742" s="360"/>
      <c r="BA742" s="360"/>
      <c r="BB742" s="360"/>
      <c r="BC742" s="360"/>
    </row>
    <row r="743">
      <c r="A743" s="125"/>
      <c r="B743" s="189"/>
      <c r="C743" s="124"/>
      <c r="D743" s="124"/>
      <c r="E743" s="124"/>
      <c r="F743" s="125"/>
      <c r="G743" s="189"/>
      <c r="H743" s="124"/>
      <c r="I743" s="124"/>
      <c r="J743" s="124"/>
      <c r="K743" s="102"/>
      <c r="L743" s="189"/>
      <c r="M743" s="124"/>
      <c r="N743" s="124"/>
      <c r="O743" s="124"/>
      <c r="P743" s="102"/>
      <c r="Q743" s="161"/>
      <c r="R743" s="124"/>
      <c r="S743" s="124"/>
      <c r="T743" s="124"/>
      <c r="U743" s="125"/>
      <c r="V743" s="189"/>
      <c r="W743" s="124"/>
      <c r="X743" s="124"/>
      <c r="Y743" s="124"/>
      <c r="Z743" s="125"/>
      <c r="AA743" s="189"/>
      <c r="AB743" s="124"/>
      <c r="AC743" s="124"/>
      <c r="AD743" s="124"/>
      <c r="AE743" s="125"/>
      <c r="AF743" s="189"/>
      <c r="AG743" s="124"/>
      <c r="AH743" s="124"/>
      <c r="AI743" s="124"/>
      <c r="AJ743" s="125"/>
      <c r="AK743" s="189"/>
      <c r="AL743" s="124"/>
      <c r="AM743" s="124"/>
      <c r="AN743" s="124"/>
      <c r="AO743" s="360"/>
      <c r="AP743" s="360"/>
      <c r="AQ743" s="360"/>
      <c r="AR743" s="360"/>
      <c r="AS743" s="360"/>
      <c r="AT743" s="360"/>
      <c r="AU743" s="360"/>
      <c r="AV743" s="360"/>
      <c r="AW743" s="360"/>
      <c r="AX743" s="360"/>
      <c r="AY743" s="360"/>
      <c r="AZ743" s="360"/>
      <c r="BA743" s="360"/>
      <c r="BB743" s="360"/>
      <c r="BC743" s="360"/>
    </row>
    <row r="744">
      <c r="A744" s="125"/>
      <c r="B744" s="189"/>
      <c r="C744" s="124"/>
      <c r="D744" s="124"/>
      <c r="E744" s="124"/>
      <c r="F744" s="125"/>
      <c r="G744" s="189"/>
      <c r="H744" s="124"/>
      <c r="I744" s="124"/>
      <c r="J744" s="124"/>
      <c r="K744" s="102"/>
      <c r="L744" s="189"/>
      <c r="M744" s="124"/>
      <c r="N744" s="124"/>
      <c r="O744" s="124"/>
      <c r="P744" s="102"/>
      <c r="Q744" s="161"/>
      <c r="R744" s="124"/>
      <c r="S744" s="124"/>
      <c r="T744" s="124"/>
      <c r="U744" s="125"/>
      <c r="V744" s="189"/>
      <c r="W744" s="124"/>
      <c r="X744" s="124"/>
      <c r="Y744" s="124"/>
      <c r="Z744" s="125"/>
      <c r="AA744" s="189"/>
      <c r="AB744" s="124"/>
      <c r="AC744" s="124"/>
      <c r="AD744" s="124"/>
      <c r="AE744" s="125"/>
      <c r="AF744" s="189"/>
      <c r="AG744" s="124"/>
      <c r="AH744" s="124"/>
      <c r="AI744" s="124"/>
      <c r="AJ744" s="125"/>
      <c r="AK744" s="189"/>
      <c r="AL744" s="124"/>
      <c r="AM744" s="124"/>
      <c r="AN744" s="124"/>
      <c r="AO744" s="360"/>
      <c r="AP744" s="360"/>
      <c r="AQ744" s="360"/>
      <c r="AR744" s="360"/>
      <c r="AS744" s="360"/>
      <c r="AT744" s="360"/>
      <c r="AU744" s="360"/>
      <c r="AV744" s="360"/>
      <c r="AW744" s="360"/>
      <c r="AX744" s="360"/>
      <c r="AY744" s="360"/>
      <c r="AZ744" s="360"/>
      <c r="BA744" s="360"/>
      <c r="BB744" s="360"/>
      <c r="BC744" s="360"/>
    </row>
    <row r="745">
      <c r="A745" s="125"/>
      <c r="B745" s="189"/>
      <c r="C745" s="124"/>
      <c r="D745" s="124"/>
      <c r="E745" s="124"/>
      <c r="F745" s="125"/>
      <c r="G745" s="189"/>
      <c r="H745" s="124"/>
      <c r="I745" s="124"/>
      <c r="J745" s="124"/>
      <c r="K745" s="102"/>
      <c r="L745" s="189"/>
      <c r="M745" s="124"/>
      <c r="N745" s="124"/>
      <c r="O745" s="124"/>
      <c r="P745" s="102"/>
      <c r="Q745" s="161"/>
      <c r="R745" s="124"/>
      <c r="S745" s="124"/>
      <c r="T745" s="124"/>
      <c r="U745" s="125"/>
      <c r="V745" s="189"/>
      <c r="W745" s="124"/>
      <c r="X745" s="124"/>
      <c r="Y745" s="124"/>
      <c r="Z745" s="125"/>
      <c r="AA745" s="189"/>
      <c r="AB745" s="124"/>
      <c r="AC745" s="124"/>
      <c r="AD745" s="124"/>
      <c r="AE745" s="125"/>
      <c r="AF745" s="189"/>
      <c r="AG745" s="124"/>
      <c r="AH745" s="124"/>
      <c r="AI745" s="124"/>
      <c r="AJ745" s="125"/>
      <c r="AK745" s="189"/>
      <c r="AL745" s="124"/>
      <c r="AM745" s="124"/>
      <c r="AN745" s="124"/>
      <c r="AO745" s="360"/>
      <c r="AP745" s="360"/>
      <c r="AQ745" s="360"/>
      <c r="AR745" s="360"/>
      <c r="AS745" s="360"/>
      <c r="AT745" s="360"/>
      <c r="AU745" s="360"/>
      <c r="AV745" s="360"/>
      <c r="AW745" s="360"/>
      <c r="AX745" s="360"/>
      <c r="AY745" s="360"/>
      <c r="AZ745" s="360"/>
      <c r="BA745" s="360"/>
      <c r="BB745" s="360"/>
      <c r="BC745" s="360"/>
    </row>
    <row r="746">
      <c r="A746" s="125"/>
      <c r="B746" s="189"/>
      <c r="C746" s="124"/>
      <c r="D746" s="124"/>
      <c r="E746" s="124"/>
      <c r="F746" s="125"/>
      <c r="G746" s="189"/>
      <c r="H746" s="124"/>
      <c r="I746" s="124"/>
      <c r="J746" s="124"/>
      <c r="K746" s="102"/>
      <c r="L746" s="189"/>
      <c r="M746" s="124"/>
      <c r="N746" s="124"/>
      <c r="O746" s="124"/>
      <c r="P746" s="102"/>
      <c r="Q746" s="161"/>
      <c r="R746" s="124"/>
      <c r="S746" s="124"/>
      <c r="T746" s="124"/>
      <c r="U746" s="125"/>
      <c r="V746" s="189"/>
      <c r="W746" s="124"/>
      <c r="X746" s="124"/>
      <c r="Y746" s="124"/>
      <c r="Z746" s="125"/>
      <c r="AA746" s="189"/>
      <c r="AB746" s="124"/>
      <c r="AC746" s="124"/>
      <c r="AD746" s="124"/>
      <c r="AE746" s="125"/>
      <c r="AF746" s="189"/>
      <c r="AG746" s="124"/>
      <c r="AH746" s="124"/>
      <c r="AI746" s="124"/>
      <c r="AJ746" s="125"/>
      <c r="AK746" s="189"/>
      <c r="AL746" s="124"/>
      <c r="AM746" s="124"/>
      <c r="AN746" s="124"/>
      <c r="AO746" s="360"/>
      <c r="AP746" s="360"/>
      <c r="AQ746" s="360"/>
      <c r="AR746" s="360"/>
      <c r="AS746" s="360"/>
      <c r="AT746" s="360"/>
      <c r="AU746" s="360"/>
      <c r="AV746" s="360"/>
      <c r="AW746" s="360"/>
      <c r="AX746" s="360"/>
      <c r="AY746" s="360"/>
      <c r="AZ746" s="360"/>
      <c r="BA746" s="360"/>
      <c r="BB746" s="360"/>
      <c r="BC746" s="360"/>
    </row>
    <row r="747">
      <c r="A747" s="125"/>
      <c r="B747" s="189"/>
      <c r="C747" s="124"/>
      <c r="D747" s="124"/>
      <c r="E747" s="124"/>
      <c r="F747" s="125"/>
      <c r="G747" s="189"/>
      <c r="H747" s="124"/>
      <c r="I747" s="124"/>
      <c r="J747" s="124"/>
      <c r="K747" s="102"/>
      <c r="L747" s="189"/>
      <c r="M747" s="124"/>
      <c r="N747" s="124"/>
      <c r="O747" s="124"/>
      <c r="P747" s="102"/>
      <c r="Q747" s="161"/>
      <c r="R747" s="124"/>
      <c r="S747" s="124"/>
      <c r="T747" s="124"/>
      <c r="U747" s="125"/>
      <c r="V747" s="189"/>
      <c r="W747" s="124"/>
      <c r="X747" s="124"/>
      <c r="Y747" s="124"/>
      <c r="Z747" s="125"/>
      <c r="AA747" s="189"/>
      <c r="AB747" s="124"/>
      <c r="AC747" s="124"/>
      <c r="AD747" s="124"/>
      <c r="AE747" s="125"/>
      <c r="AF747" s="189"/>
      <c r="AG747" s="124"/>
      <c r="AH747" s="124"/>
      <c r="AI747" s="124"/>
      <c r="AJ747" s="125"/>
      <c r="AK747" s="189"/>
      <c r="AL747" s="124"/>
      <c r="AM747" s="124"/>
      <c r="AN747" s="124"/>
      <c r="AO747" s="360"/>
      <c r="AP747" s="360"/>
      <c r="AQ747" s="360"/>
      <c r="AR747" s="360"/>
      <c r="AS747" s="360"/>
      <c r="AT747" s="360"/>
      <c r="AU747" s="360"/>
      <c r="AV747" s="360"/>
      <c r="AW747" s="360"/>
      <c r="AX747" s="360"/>
      <c r="AY747" s="360"/>
      <c r="AZ747" s="360"/>
      <c r="BA747" s="360"/>
      <c r="BB747" s="360"/>
      <c r="BC747" s="360"/>
    </row>
    <row r="748">
      <c r="A748" s="125"/>
      <c r="B748" s="189"/>
      <c r="C748" s="124"/>
      <c r="D748" s="124"/>
      <c r="E748" s="124"/>
      <c r="F748" s="125"/>
      <c r="G748" s="189"/>
      <c r="H748" s="124"/>
      <c r="I748" s="124"/>
      <c r="J748" s="124"/>
      <c r="K748" s="102"/>
      <c r="L748" s="189"/>
      <c r="M748" s="124"/>
      <c r="N748" s="124"/>
      <c r="O748" s="124"/>
      <c r="P748" s="102"/>
      <c r="Q748" s="161"/>
      <c r="R748" s="124"/>
      <c r="S748" s="124"/>
      <c r="T748" s="124"/>
      <c r="U748" s="125"/>
      <c r="V748" s="189"/>
      <c r="W748" s="124"/>
      <c r="X748" s="124"/>
      <c r="Y748" s="124"/>
      <c r="Z748" s="125"/>
      <c r="AA748" s="189"/>
      <c r="AB748" s="124"/>
      <c r="AC748" s="124"/>
      <c r="AD748" s="124"/>
      <c r="AE748" s="125"/>
      <c r="AF748" s="189"/>
      <c r="AG748" s="124"/>
      <c r="AH748" s="124"/>
      <c r="AI748" s="124"/>
      <c r="AJ748" s="125"/>
      <c r="AK748" s="189"/>
      <c r="AL748" s="124"/>
      <c r="AM748" s="124"/>
      <c r="AN748" s="124"/>
      <c r="AO748" s="360"/>
      <c r="AP748" s="360"/>
      <c r="AQ748" s="360"/>
      <c r="AR748" s="360"/>
      <c r="AS748" s="360"/>
      <c r="AT748" s="360"/>
      <c r="AU748" s="360"/>
      <c r="AV748" s="360"/>
      <c r="AW748" s="360"/>
      <c r="AX748" s="360"/>
      <c r="AY748" s="360"/>
      <c r="AZ748" s="360"/>
      <c r="BA748" s="360"/>
      <c r="BB748" s="360"/>
      <c r="BC748" s="360"/>
    </row>
    <row r="749">
      <c r="A749" s="125"/>
      <c r="B749" s="189"/>
      <c r="C749" s="124"/>
      <c r="D749" s="124"/>
      <c r="E749" s="124"/>
      <c r="F749" s="125"/>
      <c r="G749" s="189"/>
      <c r="H749" s="124"/>
      <c r="I749" s="124"/>
      <c r="J749" s="124"/>
      <c r="K749" s="102"/>
      <c r="L749" s="189"/>
      <c r="M749" s="124"/>
      <c r="N749" s="124"/>
      <c r="O749" s="124"/>
      <c r="P749" s="102"/>
      <c r="Q749" s="161"/>
      <c r="R749" s="124"/>
      <c r="S749" s="124"/>
      <c r="T749" s="124"/>
      <c r="U749" s="125"/>
      <c r="V749" s="189"/>
      <c r="W749" s="124"/>
      <c r="X749" s="124"/>
      <c r="Y749" s="124"/>
      <c r="Z749" s="125"/>
      <c r="AA749" s="189"/>
      <c r="AB749" s="124"/>
      <c r="AC749" s="124"/>
      <c r="AD749" s="124"/>
      <c r="AE749" s="125"/>
      <c r="AF749" s="189"/>
      <c r="AG749" s="124"/>
      <c r="AH749" s="124"/>
      <c r="AI749" s="124"/>
      <c r="AJ749" s="125"/>
      <c r="AK749" s="189"/>
      <c r="AL749" s="124"/>
      <c r="AM749" s="124"/>
      <c r="AN749" s="124"/>
      <c r="AO749" s="360"/>
      <c r="AP749" s="360"/>
      <c r="AQ749" s="360"/>
      <c r="AR749" s="360"/>
      <c r="AS749" s="360"/>
      <c r="AT749" s="360"/>
      <c r="AU749" s="360"/>
      <c r="AV749" s="360"/>
      <c r="AW749" s="360"/>
      <c r="AX749" s="360"/>
      <c r="AY749" s="360"/>
      <c r="AZ749" s="360"/>
      <c r="BA749" s="360"/>
      <c r="BB749" s="360"/>
      <c r="BC749" s="360"/>
    </row>
    <row r="750">
      <c r="A750" s="125"/>
      <c r="B750" s="189"/>
      <c r="C750" s="124"/>
      <c r="D750" s="124"/>
      <c r="E750" s="124"/>
      <c r="F750" s="125"/>
      <c r="G750" s="189"/>
      <c r="H750" s="124"/>
      <c r="I750" s="124"/>
      <c r="J750" s="124"/>
      <c r="K750" s="102"/>
      <c r="L750" s="189"/>
      <c r="M750" s="124"/>
      <c r="N750" s="124"/>
      <c r="O750" s="124"/>
      <c r="P750" s="102"/>
      <c r="Q750" s="161"/>
      <c r="R750" s="124"/>
      <c r="S750" s="124"/>
      <c r="T750" s="124"/>
      <c r="U750" s="125"/>
      <c r="V750" s="189"/>
      <c r="W750" s="124"/>
      <c r="X750" s="124"/>
      <c r="Y750" s="124"/>
      <c r="Z750" s="125"/>
      <c r="AA750" s="189"/>
      <c r="AB750" s="124"/>
      <c r="AC750" s="124"/>
      <c r="AD750" s="124"/>
      <c r="AE750" s="125"/>
      <c r="AF750" s="189"/>
      <c r="AG750" s="124"/>
      <c r="AH750" s="124"/>
      <c r="AI750" s="124"/>
      <c r="AJ750" s="125"/>
      <c r="AK750" s="189"/>
      <c r="AL750" s="124"/>
      <c r="AM750" s="124"/>
      <c r="AN750" s="124"/>
      <c r="AO750" s="360"/>
      <c r="AP750" s="360"/>
      <c r="AQ750" s="360"/>
      <c r="AR750" s="360"/>
      <c r="AS750" s="360"/>
      <c r="AT750" s="360"/>
      <c r="AU750" s="360"/>
      <c r="AV750" s="360"/>
      <c r="AW750" s="360"/>
      <c r="AX750" s="360"/>
      <c r="AY750" s="360"/>
      <c r="AZ750" s="360"/>
      <c r="BA750" s="360"/>
      <c r="BB750" s="360"/>
      <c r="BC750" s="360"/>
    </row>
    <row r="751">
      <c r="A751" s="125"/>
      <c r="B751" s="189"/>
      <c r="C751" s="124"/>
      <c r="D751" s="124"/>
      <c r="E751" s="124"/>
      <c r="F751" s="125"/>
      <c r="G751" s="189"/>
      <c r="H751" s="124"/>
      <c r="I751" s="124"/>
      <c r="J751" s="124"/>
      <c r="K751" s="102"/>
      <c r="L751" s="189"/>
      <c r="M751" s="124"/>
      <c r="N751" s="124"/>
      <c r="O751" s="124"/>
      <c r="P751" s="102"/>
      <c r="Q751" s="161"/>
      <c r="R751" s="124"/>
      <c r="S751" s="124"/>
      <c r="T751" s="124"/>
      <c r="U751" s="125"/>
      <c r="V751" s="189"/>
      <c r="W751" s="124"/>
      <c r="X751" s="124"/>
      <c r="Y751" s="124"/>
      <c r="Z751" s="125"/>
      <c r="AA751" s="189"/>
      <c r="AB751" s="124"/>
      <c r="AC751" s="124"/>
      <c r="AD751" s="124"/>
      <c r="AE751" s="125"/>
      <c r="AF751" s="189"/>
      <c r="AG751" s="124"/>
      <c r="AH751" s="124"/>
      <c r="AI751" s="124"/>
      <c r="AJ751" s="125"/>
      <c r="AK751" s="189"/>
      <c r="AL751" s="124"/>
      <c r="AM751" s="124"/>
      <c r="AN751" s="124"/>
      <c r="AO751" s="360"/>
      <c r="AP751" s="360"/>
      <c r="AQ751" s="360"/>
      <c r="AR751" s="360"/>
      <c r="AS751" s="360"/>
      <c r="AT751" s="360"/>
      <c r="AU751" s="360"/>
      <c r="AV751" s="360"/>
      <c r="AW751" s="360"/>
      <c r="AX751" s="360"/>
      <c r="AY751" s="360"/>
      <c r="AZ751" s="360"/>
      <c r="BA751" s="360"/>
      <c r="BB751" s="360"/>
      <c r="BC751" s="360"/>
    </row>
    <row r="752">
      <c r="A752" s="125"/>
      <c r="B752" s="189"/>
      <c r="C752" s="124"/>
      <c r="D752" s="124"/>
      <c r="E752" s="124"/>
      <c r="F752" s="125"/>
      <c r="G752" s="189"/>
      <c r="H752" s="124"/>
      <c r="I752" s="124"/>
      <c r="J752" s="124"/>
      <c r="K752" s="102"/>
      <c r="L752" s="189"/>
      <c r="M752" s="124"/>
      <c r="N752" s="124"/>
      <c r="O752" s="124"/>
      <c r="P752" s="102"/>
      <c r="Q752" s="161"/>
      <c r="R752" s="124"/>
      <c r="S752" s="124"/>
      <c r="T752" s="124"/>
      <c r="U752" s="125"/>
      <c r="V752" s="189"/>
      <c r="W752" s="124"/>
      <c r="X752" s="124"/>
      <c r="Y752" s="124"/>
      <c r="Z752" s="125"/>
      <c r="AA752" s="189"/>
      <c r="AB752" s="124"/>
      <c r="AC752" s="124"/>
      <c r="AD752" s="124"/>
      <c r="AE752" s="125"/>
      <c r="AF752" s="189"/>
      <c r="AG752" s="124"/>
      <c r="AH752" s="124"/>
      <c r="AI752" s="124"/>
      <c r="AJ752" s="125"/>
      <c r="AK752" s="189"/>
      <c r="AL752" s="124"/>
      <c r="AM752" s="124"/>
      <c r="AN752" s="124"/>
      <c r="AO752" s="360"/>
      <c r="AP752" s="360"/>
      <c r="AQ752" s="360"/>
      <c r="AR752" s="360"/>
      <c r="AS752" s="360"/>
      <c r="AT752" s="360"/>
      <c r="AU752" s="360"/>
      <c r="AV752" s="360"/>
      <c r="AW752" s="360"/>
      <c r="AX752" s="360"/>
      <c r="AY752" s="360"/>
      <c r="AZ752" s="360"/>
      <c r="BA752" s="360"/>
      <c r="BB752" s="360"/>
      <c r="BC752" s="360"/>
    </row>
    <row r="753">
      <c r="A753" s="125"/>
      <c r="B753" s="189"/>
      <c r="C753" s="124"/>
      <c r="D753" s="124"/>
      <c r="E753" s="124"/>
      <c r="F753" s="125"/>
      <c r="G753" s="189"/>
      <c r="H753" s="124"/>
      <c r="I753" s="124"/>
      <c r="J753" s="124"/>
      <c r="K753" s="102"/>
      <c r="L753" s="189"/>
      <c r="M753" s="124"/>
      <c r="N753" s="124"/>
      <c r="O753" s="124"/>
      <c r="P753" s="102"/>
      <c r="Q753" s="161"/>
      <c r="R753" s="124"/>
      <c r="S753" s="124"/>
      <c r="T753" s="124"/>
      <c r="U753" s="125"/>
      <c r="V753" s="189"/>
      <c r="W753" s="124"/>
      <c r="X753" s="124"/>
      <c r="Y753" s="124"/>
      <c r="Z753" s="125"/>
      <c r="AA753" s="189"/>
      <c r="AB753" s="124"/>
      <c r="AC753" s="124"/>
      <c r="AD753" s="124"/>
      <c r="AE753" s="125"/>
      <c r="AF753" s="189"/>
      <c r="AG753" s="124"/>
      <c r="AH753" s="124"/>
      <c r="AI753" s="124"/>
      <c r="AJ753" s="125"/>
      <c r="AK753" s="189"/>
      <c r="AL753" s="124"/>
      <c r="AM753" s="124"/>
      <c r="AN753" s="124"/>
      <c r="AO753" s="360"/>
      <c r="AP753" s="360"/>
      <c r="AQ753" s="360"/>
      <c r="AR753" s="360"/>
      <c r="AS753" s="360"/>
      <c r="AT753" s="360"/>
      <c r="AU753" s="360"/>
      <c r="AV753" s="360"/>
      <c r="AW753" s="360"/>
      <c r="AX753" s="360"/>
      <c r="AY753" s="360"/>
      <c r="AZ753" s="360"/>
      <c r="BA753" s="360"/>
      <c r="BB753" s="360"/>
      <c r="BC753" s="360"/>
    </row>
    <row r="754">
      <c r="A754" s="125"/>
      <c r="B754" s="189"/>
      <c r="C754" s="124"/>
      <c r="D754" s="124"/>
      <c r="E754" s="124"/>
      <c r="F754" s="125"/>
      <c r="G754" s="189"/>
      <c r="H754" s="124"/>
      <c r="I754" s="124"/>
      <c r="J754" s="124"/>
      <c r="K754" s="102"/>
      <c r="L754" s="189"/>
      <c r="M754" s="124"/>
      <c r="N754" s="124"/>
      <c r="O754" s="124"/>
      <c r="P754" s="102"/>
      <c r="Q754" s="161"/>
      <c r="R754" s="124"/>
      <c r="S754" s="124"/>
      <c r="T754" s="124"/>
      <c r="U754" s="125"/>
      <c r="V754" s="189"/>
      <c r="W754" s="124"/>
      <c r="X754" s="124"/>
      <c r="Y754" s="124"/>
      <c r="Z754" s="125"/>
      <c r="AA754" s="189"/>
      <c r="AB754" s="124"/>
      <c r="AC754" s="124"/>
      <c r="AD754" s="124"/>
      <c r="AE754" s="125"/>
      <c r="AF754" s="189"/>
      <c r="AG754" s="124"/>
      <c r="AH754" s="124"/>
      <c r="AI754" s="124"/>
      <c r="AJ754" s="125"/>
      <c r="AK754" s="189"/>
      <c r="AL754" s="124"/>
      <c r="AM754" s="124"/>
      <c r="AN754" s="124"/>
      <c r="AO754" s="360"/>
      <c r="AP754" s="360"/>
      <c r="AQ754" s="360"/>
      <c r="AR754" s="360"/>
      <c r="AS754" s="360"/>
      <c r="AT754" s="360"/>
      <c r="AU754" s="360"/>
      <c r="AV754" s="360"/>
      <c r="AW754" s="360"/>
      <c r="AX754" s="360"/>
      <c r="AY754" s="360"/>
      <c r="AZ754" s="360"/>
      <c r="BA754" s="360"/>
      <c r="BB754" s="360"/>
      <c r="BC754" s="360"/>
    </row>
    <row r="755">
      <c r="A755" s="125"/>
      <c r="B755" s="189"/>
      <c r="C755" s="124"/>
      <c r="D755" s="124"/>
      <c r="E755" s="124"/>
      <c r="F755" s="125"/>
      <c r="G755" s="189"/>
      <c r="H755" s="124"/>
      <c r="I755" s="124"/>
      <c r="J755" s="124"/>
      <c r="K755" s="102"/>
      <c r="L755" s="189"/>
      <c r="M755" s="124"/>
      <c r="N755" s="124"/>
      <c r="O755" s="124"/>
      <c r="P755" s="102"/>
      <c r="Q755" s="161"/>
      <c r="R755" s="124"/>
      <c r="S755" s="124"/>
      <c r="T755" s="124"/>
      <c r="U755" s="125"/>
      <c r="V755" s="189"/>
      <c r="W755" s="124"/>
      <c r="X755" s="124"/>
      <c r="Y755" s="124"/>
      <c r="Z755" s="125"/>
      <c r="AA755" s="189"/>
      <c r="AB755" s="124"/>
      <c r="AC755" s="124"/>
      <c r="AD755" s="124"/>
      <c r="AE755" s="125"/>
      <c r="AF755" s="189"/>
      <c r="AG755" s="124"/>
      <c r="AH755" s="124"/>
      <c r="AI755" s="124"/>
      <c r="AJ755" s="125"/>
      <c r="AK755" s="189"/>
      <c r="AL755" s="124"/>
      <c r="AM755" s="124"/>
      <c r="AN755" s="124"/>
      <c r="AO755" s="360"/>
      <c r="AP755" s="360"/>
      <c r="AQ755" s="360"/>
      <c r="AR755" s="360"/>
      <c r="AS755" s="360"/>
      <c r="AT755" s="360"/>
      <c r="AU755" s="360"/>
      <c r="AV755" s="360"/>
      <c r="AW755" s="360"/>
      <c r="AX755" s="360"/>
      <c r="AY755" s="360"/>
      <c r="AZ755" s="360"/>
      <c r="BA755" s="360"/>
      <c r="BB755" s="360"/>
      <c r="BC755" s="360"/>
    </row>
    <row r="756">
      <c r="A756" s="125"/>
      <c r="B756" s="189"/>
      <c r="C756" s="124"/>
      <c r="D756" s="124"/>
      <c r="E756" s="124"/>
      <c r="F756" s="125"/>
      <c r="G756" s="189"/>
      <c r="H756" s="124"/>
      <c r="I756" s="124"/>
      <c r="J756" s="124"/>
      <c r="K756" s="102"/>
      <c r="L756" s="189"/>
      <c r="M756" s="124"/>
      <c r="N756" s="124"/>
      <c r="O756" s="124"/>
      <c r="P756" s="102"/>
      <c r="Q756" s="161"/>
      <c r="R756" s="124"/>
      <c r="S756" s="124"/>
      <c r="T756" s="124"/>
      <c r="U756" s="125"/>
      <c r="V756" s="189"/>
      <c r="W756" s="124"/>
      <c r="X756" s="124"/>
      <c r="Y756" s="124"/>
      <c r="Z756" s="125"/>
      <c r="AA756" s="189"/>
      <c r="AB756" s="124"/>
      <c r="AC756" s="124"/>
      <c r="AD756" s="124"/>
      <c r="AE756" s="125"/>
      <c r="AF756" s="189"/>
      <c r="AG756" s="124"/>
      <c r="AH756" s="124"/>
      <c r="AI756" s="124"/>
      <c r="AJ756" s="125"/>
      <c r="AK756" s="189"/>
      <c r="AL756" s="124"/>
      <c r="AM756" s="124"/>
      <c r="AN756" s="124"/>
      <c r="AO756" s="360"/>
      <c r="AP756" s="360"/>
      <c r="AQ756" s="360"/>
      <c r="AR756" s="360"/>
      <c r="AS756" s="360"/>
      <c r="AT756" s="360"/>
      <c r="AU756" s="360"/>
      <c r="AV756" s="360"/>
      <c r="AW756" s="360"/>
      <c r="AX756" s="360"/>
      <c r="AY756" s="360"/>
      <c r="AZ756" s="360"/>
      <c r="BA756" s="360"/>
      <c r="BB756" s="360"/>
      <c r="BC756" s="360"/>
    </row>
    <row r="757">
      <c r="A757" s="125"/>
      <c r="B757" s="189"/>
      <c r="C757" s="124"/>
      <c r="D757" s="124"/>
      <c r="E757" s="124"/>
      <c r="F757" s="125"/>
      <c r="G757" s="189"/>
      <c r="H757" s="124"/>
      <c r="I757" s="124"/>
      <c r="J757" s="124"/>
      <c r="K757" s="102"/>
      <c r="L757" s="189"/>
      <c r="M757" s="124"/>
      <c r="N757" s="124"/>
      <c r="O757" s="124"/>
      <c r="P757" s="102"/>
      <c r="Q757" s="161"/>
      <c r="R757" s="124"/>
      <c r="S757" s="124"/>
      <c r="T757" s="124"/>
      <c r="U757" s="125"/>
      <c r="V757" s="189"/>
      <c r="W757" s="124"/>
      <c r="X757" s="124"/>
      <c r="Y757" s="124"/>
      <c r="Z757" s="125"/>
      <c r="AA757" s="189"/>
      <c r="AB757" s="124"/>
      <c r="AC757" s="124"/>
      <c r="AD757" s="124"/>
      <c r="AE757" s="125"/>
      <c r="AF757" s="189"/>
      <c r="AG757" s="124"/>
      <c r="AH757" s="124"/>
      <c r="AI757" s="124"/>
      <c r="AJ757" s="125"/>
      <c r="AK757" s="189"/>
      <c r="AL757" s="124"/>
      <c r="AM757" s="124"/>
      <c r="AN757" s="124"/>
      <c r="AO757" s="360"/>
      <c r="AP757" s="360"/>
      <c r="AQ757" s="360"/>
      <c r="AR757" s="360"/>
      <c r="AS757" s="360"/>
      <c r="AT757" s="360"/>
      <c r="AU757" s="360"/>
      <c r="AV757" s="360"/>
      <c r="AW757" s="360"/>
      <c r="AX757" s="360"/>
      <c r="AY757" s="360"/>
      <c r="AZ757" s="360"/>
      <c r="BA757" s="360"/>
      <c r="BB757" s="360"/>
      <c r="BC757" s="360"/>
    </row>
    <row r="758">
      <c r="A758" s="125"/>
      <c r="B758" s="189"/>
      <c r="C758" s="124"/>
      <c r="D758" s="124"/>
      <c r="E758" s="124"/>
      <c r="F758" s="125"/>
      <c r="G758" s="189"/>
      <c r="H758" s="124"/>
      <c r="I758" s="124"/>
      <c r="J758" s="124"/>
      <c r="K758" s="102"/>
      <c r="L758" s="189"/>
      <c r="M758" s="124"/>
      <c r="N758" s="124"/>
      <c r="O758" s="124"/>
      <c r="P758" s="102"/>
      <c r="Q758" s="161"/>
      <c r="R758" s="124"/>
      <c r="S758" s="124"/>
      <c r="T758" s="124"/>
      <c r="U758" s="125"/>
      <c r="V758" s="189"/>
      <c r="W758" s="124"/>
      <c r="X758" s="124"/>
      <c r="Y758" s="124"/>
      <c r="Z758" s="125"/>
      <c r="AA758" s="189"/>
      <c r="AB758" s="124"/>
      <c r="AC758" s="124"/>
      <c r="AD758" s="124"/>
      <c r="AE758" s="125"/>
      <c r="AF758" s="189"/>
      <c r="AG758" s="124"/>
      <c r="AH758" s="124"/>
      <c r="AI758" s="124"/>
      <c r="AJ758" s="125"/>
      <c r="AK758" s="189"/>
      <c r="AL758" s="124"/>
      <c r="AM758" s="124"/>
      <c r="AN758" s="124"/>
      <c r="AO758" s="360"/>
      <c r="AP758" s="360"/>
      <c r="AQ758" s="360"/>
      <c r="AR758" s="360"/>
      <c r="AS758" s="360"/>
      <c r="AT758" s="360"/>
      <c r="AU758" s="360"/>
      <c r="AV758" s="360"/>
      <c r="AW758" s="360"/>
      <c r="AX758" s="360"/>
      <c r="AY758" s="360"/>
      <c r="AZ758" s="360"/>
      <c r="BA758" s="360"/>
      <c r="BB758" s="360"/>
      <c r="BC758" s="360"/>
    </row>
    <row r="759">
      <c r="A759" s="125"/>
      <c r="B759" s="189"/>
      <c r="C759" s="124"/>
      <c r="D759" s="124"/>
      <c r="E759" s="124"/>
      <c r="F759" s="125"/>
      <c r="G759" s="189"/>
      <c r="H759" s="124"/>
      <c r="I759" s="124"/>
      <c r="J759" s="124"/>
      <c r="K759" s="102"/>
      <c r="L759" s="189"/>
      <c r="M759" s="124"/>
      <c r="N759" s="124"/>
      <c r="O759" s="124"/>
      <c r="P759" s="102"/>
      <c r="Q759" s="161"/>
      <c r="R759" s="124"/>
      <c r="S759" s="124"/>
      <c r="T759" s="124"/>
      <c r="U759" s="125"/>
      <c r="V759" s="189"/>
      <c r="W759" s="124"/>
      <c r="X759" s="124"/>
      <c r="Y759" s="124"/>
      <c r="Z759" s="125"/>
      <c r="AA759" s="189"/>
      <c r="AB759" s="124"/>
      <c r="AC759" s="124"/>
      <c r="AD759" s="124"/>
      <c r="AE759" s="125"/>
      <c r="AF759" s="189"/>
      <c r="AG759" s="124"/>
      <c r="AH759" s="124"/>
      <c r="AI759" s="124"/>
      <c r="AJ759" s="125"/>
      <c r="AK759" s="189"/>
      <c r="AL759" s="124"/>
      <c r="AM759" s="124"/>
      <c r="AN759" s="124"/>
      <c r="AO759" s="360"/>
      <c r="AP759" s="360"/>
      <c r="AQ759" s="360"/>
      <c r="AR759" s="360"/>
      <c r="AS759" s="360"/>
      <c r="AT759" s="360"/>
      <c r="AU759" s="360"/>
      <c r="AV759" s="360"/>
      <c r="AW759" s="360"/>
      <c r="AX759" s="360"/>
      <c r="AY759" s="360"/>
      <c r="AZ759" s="360"/>
      <c r="BA759" s="360"/>
      <c r="BB759" s="360"/>
      <c r="BC759" s="360"/>
    </row>
    <row r="760">
      <c r="A760" s="125"/>
      <c r="B760" s="189"/>
      <c r="C760" s="124"/>
      <c r="D760" s="124"/>
      <c r="E760" s="124"/>
      <c r="F760" s="125"/>
      <c r="G760" s="189"/>
      <c r="H760" s="124"/>
      <c r="I760" s="124"/>
      <c r="J760" s="124"/>
      <c r="K760" s="102"/>
      <c r="L760" s="189"/>
      <c r="M760" s="124"/>
      <c r="N760" s="124"/>
      <c r="O760" s="124"/>
      <c r="P760" s="102"/>
      <c r="Q760" s="161"/>
      <c r="R760" s="124"/>
      <c r="S760" s="124"/>
      <c r="T760" s="124"/>
      <c r="U760" s="125"/>
      <c r="V760" s="189"/>
      <c r="W760" s="124"/>
      <c r="X760" s="124"/>
      <c r="Y760" s="124"/>
      <c r="Z760" s="125"/>
      <c r="AA760" s="189"/>
      <c r="AB760" s="124"/>
      <c r="AC760" s="124"/>
      <c r="AD760" s="124"/>
      <c r="AE760" s="125"/>
      <c r="AF760" s="189"/>
      <c r="AG760" s="124"/>
      <c r="AH760" s="124"/>
      <c r="AI760" s="124"/>
      <c r="AJ760" s="125"/>
      <c r="AK760" s="189"/>
      <c r="AL760" s="124"/>
      <c r="AM760" s="124"/>
      <c r="AN760" s="124"/>
      <c r="AO760" s="360"/>
      <c r="AP760" s="360"/>
      <c r="AQ760" s="360"/>
      <c r="AR760" s="360"/>
      <c r="AS760" s="360"/>
      <c r="AT760" s="360"/>
      <c r="AU760" s="360"/>
      <c r="AV760" s="360"/>
      <c r="AW760" s="360"/>
      <c r="AX760" s="360"/>
      <c r="AY760" s="360"/>
      <c r="AZ760" s="360"/>
      <c r="BA760" s="360"/>
      <c r="BB760" s="360"/>
      <c r="BC760" s="360"/>
    </row>
    <row r="761">
      <c r="A761" s="125"/>
      <c r="B761" s="189"/>
      <c r="C761" s="124"/>
      <c r="D761" s="124"/>
      <c r="E761" s="124"/>
      <c r="F761" s="125"/>
      <c r="G761" s="189"/>
      <c r="H761" s="124"/>
      <c r="I761" s="124"/>
      <c r="J761" s="124"/>
      <c r="K761" s="102"/>
      <c r="L761" s="189"/>
      <c r="M761" s="124"/>
      <c r="N761" s="124"/>
      <c r="O761" s="124"/>
      <c r="P761" s="102"/>
      <c r="Q761" s="161"/>
      <c r="R761" s="124"/>
      <c r="S761" s="124"/>
      <c r="T761" s="124"/>
      <c r="U761" s="125"/>
      <c r="V761" s="189"/>
      <c r="W761" s="124"/>
      <c r="X761" s="124"/>
      <c r="Y761" s="124"/>
      <c r="Z761" s="125"/>
      <c r="AA761" s="189"/>
      <c r="AB761" s="124"/>
      <c r="AC761" s="124"/>
      <c r="AD761" s="124"/>
      <c r="AE761" s="125"/>
      <c r="AF761" s="189"/>
      <c r="AG761" s="124"/>
      <c r="AH761" s="124"/>
      <c r="AI761" s="124"/>
      <c r="AJ761" s="125"/>
      <c r="AK761" s="189"/>
      <c r="AL761" s="124"/>
      <c r="AM761" s="124"/>
      <c r="AN761" s="124"/>
      <c r="AO761" s="360"/>
      <c r="AP761" s="360"/>
      <c r="AQ761" s="360"/>
      <c r="AR761" s="360"/>
      <c r="AS761" s="360"/>
      <c r="AT761" s="360"/>
      <c r="AU761" s="360"/>
      <c r="AV761" s="360"/>
      <c r="AW761" s="360"/>
      <c r="AX761" s="360"/>
      <c r="AY761" s="360"/>
      <c r="AZ761" s="360"/>
      <c r="BA761" s="360"/>
      <c r="BB761" s="360"/>
      <c r="BC761" s="360"/>
    </row>
    <row r="762">
      <c r="A762" s="125"/>
      <c r="B762" s="189"/>
      <c r="C762" s="124"/>
      <c r="D762" s="124"/>
      <c r="E762" s="124"/>
      <c r="F762" s="125"/>
      <c r="G762" s="189"/>
      <c r="H762" s="124"/>
      <c r="I762" s="124"/>
      <c r="J762" s="124"/>
      <c r="K762" s="102"/>
      <c r="L762" s="189"/>
      <c r="M762" s="124"/>
      <c r="N762" s="124"/>
      <c r="O762" s="124"/>
      <c r="P762" s="102"/>
      <c r="Q762" s="161"/>
      <c r="R762" s="124"/>
      <c r="S762" s="124"/>
      <c r="T762" s="124"/>
      <c r="U762" s="125"/>
      <c r="V762" s="189"/>
      <c r="W762" s="124"/>
      <c r="X762" s="124"/>
      <c r="Y762" s="124"/>
      <c r="Z762" s="125"/>
      <c r="AA762" s="189"/>
      <c r="AB762" s="124"/>
      <c r="AC762" s="124"/>
      <c r="AD762" s="124"/>
      <c r="AE762" s="125"/>
      <c r="AF762" s="189"/>
      <c r="AG762" s="124"/>
      <c r="AH762" s="124"/>
      <c r="AI762" s="124"/>
      <c r="AJ762" s="125"/>
      <c r="AK762" s="189"/>
      <c r="AL762" s="124"/>
      <c r="AM762" s="124"/>
      <c r="AN762" s="124"/>
      <c r="AO762" s="360"/>
      <c r="AP762" s="360"/>
      <c r="AQ762" s="360"/>
      <c r="AR762" s="360"/>
      <c r="AS762" s="360"/>
      <c r="AT762" s="360"/>
      <c r="AU762" s="360"/>
      <c r="AV762" s="360"/>
      <c r="AW762" s="360"/>
      <c r="AX762" s="360"/>
      <c r="AY762" s="360"/>
      <c r="AZ762" s="360"/>
      <c r="BA762" s="360"/>
      <c r="BB762" s="360"/>
      <c r="BC762" s="360"/>
    </row>
    <row r="763">
      <c r="A763" s="125"/>
      <c r="B763" s="189"/>
      <c r="C763" s="124"/>
      <c r="D763" s="124"/>
      <c r="E763" s="124"/>
      <c r="F763" s="125"/>
      <c r="G763" s="189"/>
      <c r="H763" s="124"/>
      <c r="I763" s="124"/>
      <c r="J763" s="124"/>
      <c r="K763" s="102"/>
      <c r="L763" s="189"/>
      <c r="M763" s="124"/>
      <c r="N763" s="124"/>
      <c r="O763" s="124"/>
      <c r="P763" s="102"/>
      <c r="Q763" s="161"/>
      <c r="R763" s="124"/>
      <c r="S763" s="124"/>
      <c r="T763" s="124"/>
      <c r="U763" s="125"/>
      <c r="V763" s="189"/>
      <c r="W763" s="124"/>
      <c r="X763" s="124"/>
      <c r="Y763" s="124"/>
      <c r="Z763" s="125"/>
      <c r="AA763" s="189"/>
      <c r="AB763" s="124"/>
      <c r="AC763" s="124"/>
      <c r="AD763" s="124"/>
      <c r="AE763" s="125"/>
      <c r="AF763" s="189"/>
      <c r="AG763" s="124"/>
      <c r="AH763" s="124"/>
      <c r="AI763" s="124"/>
      <c r="AJ763" s="125"/>
      <c r="AK763" s="189"/>
      <c r="AL763" s="124"/>
      <c r="AM763" s="124"/>
      <c r="AN763" s="124"/>
      <c r="AO763" s="360"/>
      <c r="AP763" s="360"/>
      <c r="AQ763" s="360"/>
      <c r="AR763" s="360"/>
      <c r="AS763" s="360"/>
      <c r="AT763" s="360"/>
      <c r="AU763" s="360"/>
      <c r="AV763" s="360"/>
      <c r="AW763" s="360"/>
      <c r="AX763" s="360"/>
      <c r="AY763" s="360"/>
      <c r="AZ763" s="360"/>
      <c r="BA763" s="360"/>
      <c r="BB763" s="360"/>
      <c r="BC763" s="360"/>
    </row>
    <row r="764">
      <c r="A764" s="125"/>
      <c r="B764" s="189"/>
      <c r="C764" s="124"/>
      <c r="D764" s="124"/>
      <c r="E764" s="124"/>
      <c r="F764" s="125"/>
      <c r="G764" s="189"/>
      <c r="H764" s="124"/>
      <c r="I764" s="124"/>
      <c r="J764" s="124"/>
      <c r="K764" s="102"/>
      <c r="L764" s="189"/>
      <c r="M764" s="124"/>
      <c r="N764" s="124"/>
      <c r="O764" s="124"/>
      <c r="P764" s="102"/>
      <c r="Q764" s="161"/>
      <c r="R764" s="124"/>
      <c r="S764" s="124"/>
      <c r="T764" s="124"/>
      <c r="U764" s="125"/>
      <c r="V764" s="189"/>
      <c r="W764" s="124"/>
      <c r="X764" s="124"/>
      <c r="Y764" s="124"/>
      <c r="Z764" s="125"/>
      <c r="AA764" s="189"/>
      <c r="AB764" s="124"/>
      <c r="AC764" s="124"/>
      <c r="AD764" s="124"/>
      <c r="AE764" s="125"/>
      <c r="AF764" s="189"/>
      <c r="AG764" s="124"/>
      <c r="AH764" s="124"/>
      <c r="AI764" s="124"/>
      <c r="AJ764" s="125"/>
      <c r="AK764" s="189"/>
      <c r="AL764" s="124"/>
      <c r="AM764" s="124"/>
      <c r="AN764" s="124"/>
      <c r="AO764" s="360"/>
      <c r="AP764" s="360"/>
      <c r="AQ764" s="360"/>
      <c r="AR764" s="360"/>
      <c r="AS764" s="360"/>
      <c r="AT764" s="360"/>
      <c r="AU764" s="360"/>
      <c r="AV764" s="360"/>
      <c r="AW764" s="360"/>
      <c r="AX764" s="360"/>
      <c r="AY764" s="360"/>
      <c r="AZ764" s="360"/>
      <c r="BA764" s="360"/>
      <c r="BB764" s="360"/>
      <c r="BC764" s="360"/>
    </row>
    <row r="765">
      <c r="A765" s="125"/>
      <c r="B765" s="189"/>
      <c r="C765" s="124"/>
      <c r="D765" s="124"/>
      <c r="E765" s="124"/>
      <c r="F765" s="125"/>
      <c r="G765" s="189"/>
      <c r="H765" s="124"/>
      <c r="I765" s="124"/>
      <c r="J765" s="124"/>
      <c r="K765" s="102"/>
      <c r="L765" s="189"/>
      <c r="M765" s="124"/>
      <c r="N765" s="124"/>
      <c r="O765" s="124"/>
      <c r="P765" s="102"/>
      <c r="Q765" s="161"/>
      <c r="R765" s="124"/>
      <c r="S765" s="124"/>
      <c r="T765" s="124"/>
      <c r="U765" s="125"/>
      <c r="V765" s="189"/>
      <c r="W765" s="124"/>
      <c r="X765" s="124"/>
      <c r="Y765" s="124"/>
      <c r="Z765" s="125"/>
      <c r="AA765" s="189"/>
      <c r="AB765" s="124"/>
      <c r="AC765" s="124"/>
      <c r="AD765" s="124"/>
      <c r="AE765" s="125"/>
      <c r="AF765" s="189"/>
      <c r="AG765" s="124"/>
      <c r="AH765" s="124"/>
      <c r="AI765" s="124"/>
      <c r="AJ765" s="125"/>
      <c r="AK765" s="189"/>
      <c r="AL765" s="124"/>
      <c r="AM765" s="124"/>
      <c r="AN765" s="124"/>
      <c r="AO765" s="360"/>
      <c r="AP765" s="360"/>
      <c r="AQ765" s="360"/>
      <c r="AR765" s="360"/>
      <c r="AS765" s="360"/>
      <c r="AT765" s="360"/>
      <c r="AU765" s="360"/>
      <c r="AV765" s="360"/>
      <c r="AW765" s="360"/>
      <c r="AX765" s="360"/>
      <c r="AY765" s="360"/>
      <c r="AZ765" s="360"/>
      <c r="BA765" s="360"/>
      <c r="BB765" s="360"/>
      <c r="BC765" s="360"/>
    </row>
    <row r="766">
      <c r="A766" s="125"/>
      <c r="B766" s="189"/>
      <c r="C766" s="124"/>
      <c r="D766" s="124"/>
      <c r="E766" s="124"/>
      <c r="F766" s="125"/>
      <c r="G766" s="189"/>
      <c r="H766" s="124"/>
      <c r="I766" s="124"/>
      <c r="J766" s="124"/>
      <c r="K766" s="102"/>
      <c r="L766" s="189"/>
      <c r="M766" s="124"/>
      <c r="N766" s="124"/>
      <c r="O766" s="124"/>
      <c r="P766" s="102"/>
      <c r="Q766" s="161"/>
      <c r="R766" s="124"/>
      <c r="S766" s="124"/>
      <c r="T766" s="124"/>
      <c r="U766" s="125"/>
      <c r="V766" s="189"/>
      <c r="W766" s="124"/>
      <c r="X766" s="124"/>
      <c r="Y766" s="124"/>
      <c r="Z766" s="125"/>
      <c r="AA766" s="189"/>
      <c r="AB766" s="124"/>
      <c r="AC766" s="124"/>
      <c r="AD766" s="124"/>
      <c r="AE766" s="125"/>
      <c r="AF766" s="189"/>
      <c r="AG766" s="124"/>
      <c r="AH766" s="124"/>
      <c r="AI766" s="124"/>
      <c r="AJ766" s="125"/>
      <c r="AK766" s="189"/>
      <c r="AL766" s="124"/>
      <c r="AM766" s="124"/>
      <c r="AN766" s="124"/>
      <c r="AO766" s="360"/>
      <c r="AP766" s="360"/>
      <c r="AQ766" s="360"/>
      <c r="AR766" s="360"/>
      <c r="AS766" s="360"/>
      <c r="AT766" s="360"/>
      <c r="AU766" s="360"/>
      <c r="AV766" s="360"/>
      <c r="AW766" s="360"/>
      <c r="AX766" s="360"/>
      <c r="AY766" s="360"/>
      <c r="AZ766" s="360"/>
      <c r="BA766" s="360"/>
      <c r="BB766" s="360"/>
      <c r="BC766" s="360"/>
    </row>
    <row r="767">
      <c r="A767" s="125"/>
      <c r="B767" s="189"/>
      <c r="C767" s="124"/>
      <c r="D767" s="124"/>
      <c r="E767" s="124"/>
      <c r="F767" s="125"/>
      <c r="G767" s="189"/>
      <c r="H767" s="124"/>
      <c r="I767" s="124"/>
      <c r="J767" s="124"/>
      <c r="K767" s="102"/>
      <c r="L767" s="189"/>
      <c r="M767" s="124"/>
      <c r="N767" s="124"/>
      <c r="O767" s="124"/>
      <c r="P767" s="102"/>
      <c r="Q767" s="161"/>
      <c r="R767" s="124"/>
      <c r="S767" s="124"/>
      <c r="T767" s="124"/>
      <c r="U767" s="125"/>
      <c r="V767" s="189"/>
      <c r="W767" s="124"/>
      <c r="X767" s="124"/>
      <c r="Y767" s="124"/>
      <c r="Z767" s="125"/>
      <c r="AA767" s="189"/>
      <c r="AB767" s="124"/>
      <c r="AC767" s="124"/>
      <c r="AD767" s="124"/>
      <c r="AE767" s="125"/>
      <c r="AF767" s="189"/>
      <c r="AG767" s="124"/>
      <c r="AH767" s="124"/>
      <c r="AI767" s="124"/>
      <c r="AJ767" s="125"/>
      <c r="AK767" s="189"/>
      <c r="AL767" s="124"/>
      <c r="AM767" s="124"/>
      <c r="AN767" s="124"/>
      <c r="AO767" s="360"/>
      <c r="AP767" s="360"/>
      <c r="AQ767" s="360"/>
      <c r="AR767" s="360"/>
      <c r="AS767" s="360"/>
      <c r="AT767" s="360"/>
      <c r="AU767" s="360"/>
      <c r="AV767" s="360"/>
      <c r="AW767" s="360"/>
      <c r="AX767" s="360"/>
      <c r="AY767" s="360"/>
      <c r="AZ767" s="360"/>
      <c r="BA767" s="360"/>
      <c r="BB767" s="360"/>
      <c r="BC767" s="360"/>
    </row>
    <row r="768">
      <c r="A768" s="125"/>
      <c r="B768" s="189"/>
      <c r="C768" s="124"/>
      <c r="D768" s="124"/>
      <c r="E768" s="124"/>
      <c r="F768" s="125"/>
      <c r="G768" s="189"/>
      <c r="H768" s="124"/>
      <c r="I768" s="124"/>
      <c r="J768" s="124"/>
      <c r="K768" s="102"/>
      <c r="L768" s="189"/>
      <c r="M768" s="124"/>
      <c r="N768" s="124"/>
      <c r="O768" s="124"/>
      <c r="P768" s="102"/>
      <c r="Q768" s="161"/>
      <c r="R768" s="124"/>
      <c r="S768" s="124"/>
      <c r="T768" s="124"/>
      <c r="U768" s="125"/>
      <c r="V768" s="189"/>
      <c r="W768" s="124"/>
      <c r="X768" s="124"/>
      <c r="Y768" s="124"/>
      <c r="Z768" s="125"/>
      <c r="AA768" s="189"/>
      <c r="AB768" s="124"/>
      <c r="AC768" s="124"/>
      <c r="AD768" s="124"/>
      <c r="AE768" s="125"/>
      <c r="AF768" s="189"/>
      <c r="AG768" s="124"/>
      <c r="AH768" s="124"/>
      <c r="AI768" s="124"/>
      <c r="AJ768" s="125"/>
      <c r="AK768" s="189"/>
      <c r="AL768" s="124"/>
      <c r="AM768" s="124"/>
      <c r="AN768" s="124"/>
      <c r="AO768" s="360"/>
      <c r="AP768" s="360"/>
      <c r="AQ768" s="360"/>
      <c r="AR768" s="360"/>
      <c r="AS768" s="360"/>
      <c r="AT768" s="360"/>
      <c r="AU768" s="360"/>
      <c r="AV768" s="360"/>
      <c r="AW768" s="360"/>
      <c r="AX768" s="360"/>
      <c r="AY768" s="360"/>
      <c r="AZ768" s="360"/>
      <c r="BA768" s="360"/>
      <c r="BB768" s="360"/>
      <c r="BC768" s="360"/>
    </row>
    <row r="769">
      <c r="A769" s="125"/>
      <c r="B769" s="189"/>
      <c r="C769" s="124"/>
      <c r="D769" s="124"/>
      <c r="E769" s="124"/>
      <c r="F769" s="125"/>
      <c r="G769" s="189"/>
      <c r="H769" s="124"/>
      <c r="I769" s="124"/>
      <c r="J769" s="124"/>
      <c r="K769" s="102"/>
      <c r="L769" s="189"/>
      <c r="M769" s="124"/>
      <c r="N769" s="124"/>
      <c r="O769" s="124"/>
      <c r="P769" s="102"/>
      <c r="Q769" s="161"/>
      <c r="R769" s="124"/>
      <c r="S769" s="124"/>
      <c r="T769" s="124"/>
      <c r="U769" s="125"/>
      <c r="V769" s="189"/>
      <c r="W769" s="124"/>
      <c r="X769" s="124"/>
      <c r="Y769" s="124"/>
      <c r="Z769" s="125"/>
      <c r="AA769" s="189"/>
      <c r="AB769" s="124"/>
      <c r="AC769" s="124"/>
      <c r="AD769" s="124"/>
      <c r="AE769" s="125"/>
      <c r="AF769" s="189"/>
      <c r="AG769" s="124"/>
      <c r="AH769" s="124"/>
      <c r="AI769" s="124"/>
      <c r="AJ769" s="125"/>
      <c r="AK769" s="189"/>
      <c r="AL769" s="124"/>
      <c r="AM769" s="124"/>
      <c r="AN769" s="124"/>
      <c r="AO769" s="360"/>
      <c r="AP769" s="360"/>
      <c r="AQ769" s="360"/>
      <c r="AR769" s="360"/>
      <c r="AS769" s="360"/>
      <c r="AT769" s="360"/>
      <c r="AU769" s="360"/>
      <c r="AV769" s="360"/>
      <c r="AW769" s="360"/>
      <c r="AX769" s="360"/>
      <c r="AY769" s="360"/>
      <c r="AZ769" s="360"/>
      <c r="BA769" s="360"/>
      <c r="BB769" s="360"/>
      <c r="BC769" s="360"/>
    </row>
    <row r="770">
      <c r="A770" s="125"/>
      <c r="B770" s="189"/>
      <c r="C770" s="124"/>
      <c r="D770" s="124"/>
      <c r="E770" s="124"/>
      <c r="F770" s="125"/>
      <c r="G770" s="189"/>
      <c r="H770" s="124"/>
      <c r="I770" s="124"/>
      <c r="J770" s="124"/>
      <c r="K770" s="102"/>
      <c r="L770" s="189"/>
      <c r="M770" s="124"/>
      <c r="N770" s="124"/>
      <c r="O770" s="124"/>
      <c r="P770" s="102"/>
      <c r="Q770" s="161"/>
      <c r="R770" s="124"/>
      <c r="S770" s="124"/>
      <c r="T770" s="124"/>
      <c r="U770" s="125"/>
      <c r="V770" s="189"/>
      <c r="W770" s="124"/>
      <c r="X770" s="124"/>
      <c r="Y770" s="124"/>
      <c r="Z770" s="125"/>
      <c r="AA770" s="189"/>
      <c r="AB770" s="124"/>
      <c r="AC770" s="124"/>
      <c r="AD770" s="124"/>
      <c r="AE770" s="125"/>
      <c r="AF770" s="189"/>
      <c r="AG770" s="124"/>
      <c r="AH770" s="124"/>
      <c r="AI770" s="124"/>
      <c r="AJ770" s="125"/>
      <c r="AK770" s="189"/>
      <c r="AL770" s="124"/>
      <c r="AM770" s="124"/>
      <c r="AN770" s="124"/>
      <c r="AO770" s="360"/>
      <c r="AP770" s="360"/>
      <c r="AQ770" s="360"/>
      <c r="AR770" s="360"/>
      <c r="AS770" s="360"/>
      <c r="AT770" s="360"/>
      <c r="AU770" s="360"/>
      <c r="AV770" s="360"/>
      <c r="AW770" s="360"/>
      <c r="AX770" s="360"/>
      <c r="AY770" s="360"/>
      <c r="AZ770" s="360"/>
      <c r="BA770" s="360"/>
      <c r="BB770" s="360"/>
      <c r="BC770" s="360"/>
    </row>
    <row r="771">
      <c r="A771" s="125"/>
      <c r="B771" s="189"/>
      <c r="C771" s="124"/>
      <c r="D771" s="124"/>
      <c r="E771" s="124"/>
      <c r="F771" s="125"/>
      <c r="G771" s="189"/>
      <c r="H771" s="124"/>
      <c r="I771" s="124"/>
      <c r="J771" s="124"/>
      <c r="K771" s="102"/>
      <c r="L771" s="189"/>
      <c r="M771" s="124"/>
      <c r="N771" s="124"/>
      <c r="O771" s="124"/>
      <c r="P771" s="102"/>
      <c r="Q771" s="161"/>
      <c r="R771" s="124"/>
      <c r="S771" s="124"/>
      <c r="T771" s="124"/>
      <c r="U771" s="125"/>
      <c r="V771" s="189"/>
      <c r="W771" s="124"/>
      <c r="X771" s="124"/>
      <c r="Y771" s="124"/>
      <c r="Z771" s="125"/>
      <c r="AA771" s="189"/>
      <c r="AB771" s="124"/>
      <c r="AC771" s="124"/>
      <c r="AD771" s="124"/>
      <c r="AE771" s="125"/>
      <c r="AF771" s="189"/>
      <c r="AG771" s="124"/>
      <c r="AH771" s="124"/>
      <c r="AI771" s="124"/>
      <c r="AJ771" s="125"/>
      <c r="AK771" s="189"/>
      <c r="AL771" s="124"/>
      <c r="AM771" s="124"/>
      <c r="AN771" s="124"/>
      <c r="AO771" s="360"/>
      <c r="AP771" s="360"/>
      <c r="AQ771" s="360"/>
      <c r="AR771" s="360"/>
      <c r="AS771" s="360"/>
      <c r="AT771" s="360"/>
      <c r="AU771" s="360"/>
      <c r="AV771" s="360"/>
      <c r="AW771" s="360"/>
      <c r="AX771" s="360"/>
      <c r="AY771" s="360"/>
      <c r="AZ771" s="360"/>
      <c r="BA771" s="360"/>
      <c r="BB771" s="360"/>
      <c r="BC771" s="360"/>
    </row>
    <row r="772">
      <c r="A772" s="125"/>
      <c r="B772" s="189"/>
      <c r="C772" s="124"/>
      <c r="D772" s="124"/>
      <c r="E772" s="124"/>
      <c r="F772" s="125"/>
      <c r="G772" s="189"/>
      <c r="H772" s="124"/>
      <c r="I772" s="124"/>
      <c r="J772" s="124"/>
      <c r="K772" s="102"/>
      <c r="L772" s="189"/>
      <c r="M772" s="124"/>
      <c r="N772" s="124"/>
      <c r="O772" s="124"/>
      <c r="P772" s="102"/>
      <c r="Q772" s="161"/>
      <c r="R772" s="124"/>
      <c r="S772" s="124"/>
      <c r="T772" s="124"/>
      <c r="U772" s="125"/>
      <c r="V772" s="189"/>
      <c r="W772" s="124"/>
      <c r="X772" s="124"/>
      <c r="Y772" s="124"/>
      <c r="Z772" s="125"/>
      <c r="AA772" s="189"/>
      <c r="AB772" s="124"/>
      <c r="AC772" s="124"/>
      <c r="AD772" s="124"/>
      <c r="AE772" s="125"/>
      <c r="AF772" s="189"/>
      <c r="AG772" s="124"/>
      <c r="AH772" s="124"/>
      <c r="AI772" s="124"/>
      <c r="AJ772" s="125"/>
      <c r="AK772" s="189"/>
      <c r="AL772" s="124"/>
      <c r="AM772" s="124"/>
      <c r="AN772" s="124"/>
      <c r="AO772" s="360"/>
      <c r="AP772" s="360"/>
      <c r="AQ772" s="360"/>
      <c r="AR772" s="360"/>
      <c r="AS772" s="360"/>
      <c r="AT772" s="360"/>
      <c r="AU772" s="360"/>
      <c r="AV772" s="360"/>
      <c r="AW772" s="360"/>
      <c r="AX772" s="360"/>
      <c r="AY772" s="360"/>
      <c r="AZ772" s="360"/>
      <c r="BA772" s="360"/>
      <c r="BB772" s="360"/>
      <c r="BC772" s="360"/>
    </row>
    <row r="773">
      <c r="A773" s="125"/>
      <c r="B773" s="189"/>
      <c r="C773" s="124"/>
      <c r="D773" s="124"/>
      <c r="E773" s="124"/>
      <c r="F773" s="125"/>
      <c r="G773" s="189"/>
      <c r="H773" s="124"/>
      <c r="I773" s="124"/>
      <c r="J773" s="124"/>
      <c r="K773" s="102"/>
      <c r="L773" s="189"/>
      <c r="M773" s="124"/>
      <c r="N773" s="124"/>
      <c r="O773" s="124"/>
      <c r="P773" s="102"/>
      <c r="Q773" s="161"/>
      <c r="R773" s="124"/>
      <c r="S773" s="124"/>
      <c r="T773" s="124"/>
      <c r="U773" s="125"/>
      <c r="V773" s="189"/>
      <c r="W773" s="124"/>
      <c r="X773" s="124"/>
      <c r="Y773" s="124"/>
      <c r="Z773" s="125"/>
      <c r="AA773" s="189"/>
      <c r="AB773" s="124"/>
      <c r="AC773" s="124"/>
      <c r="AD773" s="124"/>
      <c r="AE773" s="125"/>
      <c r="AF773" s="189"/>
      <c r="AG773" s="124"/>
      <c r="AH773" s="124"/>
      <c r="AI773" s="124"/>
      <c r="AJ773" s="125"/>
      <c r="AK773" s="189"/>
      <c r="AL773" s="124"/>
      <c r="AM773" s="124"/>
      <c r="AN773" s="124"/>
      <c r="AO773" s="360"/>
      <c r="AP773" s="360"/>
      <c r="AQ773" s="360"/>
      <c r="AR773" s="360"/>
      <c r="AS773" s="360"/>
      <c r="AT773" s="360"/>
      <c r="AU773" s="360"/>
      <c r="AV773" s="360"/>
      <c r="AW773" s="360"/>
      <c r="AX773" s="360"/>
      <c r="AY773" s="360"/>
      <c r="AZ773" s="360"/>
      <c r="BA773" s="360"/>
      <c r="BB773" s="360"/>
      <c r="BC773" s="360"/>
    </row>
    <row r="774">
      <c r="A774" s="125"/>
      <c r="B774" s="189"/>
      <c r="C774" s="124"/>
      <c r="D774" s="124"/>
      <c r="E774" s="124"/>
      <c r="F774" s="125"/>
      <c r="G774" s="189"/>
      <c r="H774" s="124"/>
      <c r="I774" s="124"/>
      <c r="J774" s="124"/>
      <c r="K774" s="102"/>
      <c r="L774" s="189"/>
      <c r="M774" s="124"/>
      <c r="N774" s="124"/>
      <c r="O774" s="124"/>
      <c r="P774" s="102"/>
      <c r="Q774" s="161"/>
      <c r="R774" s="124"/>
      <c r="S774" s="124"/>
      <c r="T774" s="124"/>
      <c r="U774" s="125"/>
      <c r="V774" s="189"/>
      <c r="W774" s="124"/>
      <c r="X774" s="124"/>
      <c r="Y774" s="124"/>
      <c r="Z774" s="125"/>
      <c r="AA774" s="189"/>
      <c r="AB774" s="124"/>
      <c r="AC774" s="124"/>
      <c r="AD774" s="124"/>
      <c r="AE774" s="125"/>
      <c r="AF774" s="189"/>
      <c r="AG774" s="124"/>
      <c r="AH774" s="124"/>
      <c r="AI774" s="124"/>
      <c r="AJ774" s="125"/>
      <c r="AK774" s="189"/>
      <c r="AL774" s="124"/>
      <c r="AM774" s="124"/>
      <c r="AN774" s="124"/>
      <c r="AO774" s="360"/>
      <c r="AP774" s="360"/>
      <c r="AQ774" s="360"/>
      <c r="AR774" s="360"/>
      <c r="AS774" s="360"/>
      <c r="AT774" s="360"/>
      <c r="AU774" s="360"/>
      <c r="AV774" s="360"/>
      <c r="AW774" s="360"/>
      <c r="AX774" s="360"/>
      <c r="AY774" s="360"/>
      <c r="AZ774" s="360"/>
      <c r="BA774" s="360"/>
      <c r="BB774" s="360"/>
      <c r="BC774" s="360"/>
    </row>
    <row r="775">
      <c r="A775" s="125"/>
      <c r="B775" s="189"/>
      <c r="C775" s="124"/>
      <c r="D775" s="124"/>
      <c r="E775" s="124"/>
      <c r="F775" s="125"/>
      <c r="G775" s="189"/>
      <c r="H775" s="124"/>
      <c r="I775" s="124"/>
      <c r="J775" s="124"/>
      <c r="K775" s="102"/>
      <c r="L775" s="189"/>
      <c r="M775" s="124"/>
      <c r="N775" s="124"/>
      <c r="O775" s="124"/>
      <c r="P775" s="102"/>
      <c r="Q775" s="161"/>
      <c r="R775" s="124"/>
      <c r="S775" s="124"/>
      <c r="T775" s="124"/>
      <c r="U775" s="125"/>
      <c r="V775" s="189"/>
      <c r="W775" s="124"/>
      <c r="X775" s="124"/>
      <c r="Y775" s="124"/>
      <c r="Z775" s="125"/>
      <c r="AA775" s="189"/>
      <c r="AB775" s="124"/>
      <c r="AC775" s="124"/>
      <c r="AD775" s="124"/>
      <c r="AE775" s="125"/>
      <c r="AF775" s="189"/>
      <c r="AG775" s="124"/>
      <c r="AH775" s="124"/>
      <c r="AI775" s="124"/>
      <c r="AJ775" s="125"/>
      <c r="AK775" s="189"/>
      <c r="AL775" s="124"/>
      <c r="AM775" s="124"/>
      <c r="AN775" s="124"/>
      <c r="AO775" s="360"/>
      <c r="AP775" s="360"/>
      <c r="AQ775" s="360"/>
      <c r="AR775" s="360"/>
      <c r="AS775" s="360"/>
      <c r="AT775" s="360"/>
      <c r="AU775" s="360"/>
      <c r="AV775" s="360"/>
      <c r="AW775" s="360"/>
      <c r="AX775" s="360"/>
      <c r="AY775" s="360"/>
      <c r="AZ775" s="360"/>
      <c r="BA775" s="360"/>
      <c r="BB775" s="360"/>
      <c r="BC775" s="360"/>
    </row>
    <row r="776">
      <c r="A776" s="125"/>
      <c r="B776" s="189"/>
      <c r="C776" s="124"/>
      <c r="D776" s="124"/>
      <c r="E776" s="124"/>
      <c r="F776" s="125"/>
      <c r="G776" s="189"/>
      <c r="H776" s="124"/>
      <c r="I776" s="124"/>
      <c r="J776" s="124"/>
      <c r="K776" s="102"/>
      <c r="L776" s="189"/>
      <c r="M776" s="124"/>
      <c r="N776" s="124"/>
      <c r="O776" s="124"/>
      <c r="P776" s="102"/>
      <c r="Q776" s="161"/>
      <c r="R776" s="124"/>
      <c r="S776" s="124"/>
      <c r="T776" s="124"/>
      <c r="U776" s="125"/>
      <c r="V776" s="189"/>
      <c r="W776" s="124"/>
      <c r="X776" s="124"/>
      <c r="Y776" s="124"/>
      <c r="Z776" s="125"/>
      <c r="AA776" s="189"/>
      <c r="AB776" s="124"/>
      <c r="AC776" s="124"/>
      <c r="AD776" s="124"/>
      <c r="AE776" s="125"/>
      <c r="AF776" s="189"/>
      <c r="AG776" s="124"/>
      <c r="AH776" s="124"/>
      <c r="AI776" s="124"/>
      <c r="AJ776" s="125"/>
      <c r="AK776" s="189"/>
      <c r="AL776" s="124"/>
      <c r="AM776" s="124"/>
      <c r="AN776" s="124"/>
      <c r="AO776" s="360"/>
      <c r="AP776" s="360"/>
      <c r="AQ776" s="360"/>
      <c r="AR776" s="360"/>
      <c r="AS776" s="360"/>
      <c r="AT776" s="360"/>
      <c r="AU776" s="360"/>
      <c r="AV776" s="360"/>
      <c r="AW776" s="360"/>
      <c r="AX776" s="360"/>
      <c r="AY776" s="360"/>
      <c r="AZ776" s="360"/>
      <c r="BA776" s="360"/>
      <c r="BB776" s="360"/>
      <c r="BC776" s="360"/>
    </row>
    <row r="777">
      <c r="A777" s="125"/>
      <c r="B777" s="189"/>
      <c r="C777" s="124"/>
      <c r="D777" s="124"/>
      <c r="E777" s="124"/>
      <c r="F777" s="125"/>
      <c r="G777" s="189"/>
      <c r="H777" s="124"/>
      <c r="I777" s="124"/>
      <c r="J777" s="124"/>
      <c r="K777" s="102"/>
      <c r="L777" s="189"/>
      <c r="M777" s="124"/>
      <c r="N777" s="124"/>
      <c r="O777" s="124"/>
      <c r="P777" s="102"/>
      <c r="Q777" s="161"/>
      <c r="R777" s="124"/>
      <c r="S777" s="124"/>
      <c r="T777" s="124"/>
      <c r="U777" s="125"/>
      <c r="V777" s="189"/>
      <c r="W777" s="124"/>
      <c r="X777" s="124"/>
      <c r="Y777" s="124"/>
      <c r="Z777" s="125"/>
      <c r="AA777" s="189"/>
      <c r="AB777" s="124"/>
      <c r="AC777" s="124"/>
      <c r="AD777" s="124"/>
      <c r="AE777" s="125"/>
      <c r="AF777" s="189"/>
      <c r="AG777" s="124"/>
      <c r="AH777" s="124"/>
      <c r="AI777" s="124"/>
      <c r="AJ777" s="125"/>
      <c r="AK777" s="189"/>
      <c r="AL777" s="124"/>
      <c r="AM777" s="124"/>
      <c r="AN777" s="124"/>
      <c r="AO777" s="360"/>
      <c r="AP777" s="360"/>
      <c r="AQ777" s="360"/>
      <c r="AR777" s="360"/>
      <c r="AS777" s="360"/>
      <c r="AT777" s="360"/>
      <c r="AU777" s="360"/>
      <c r="AV777" s="360"/>
      <c r="AW777" s="360"/>
      <c r="AX777" s="360"/>
      <c r="AY777" s="360"/>
      <c r="AZ777" s="360"/>
      <c r="BA777" s="360"/>
      <c r="BB777" s="360"/>
      <c r="BC777" s="360"/>
    </row>
    <row r="778">
      <c r="A778" s="125"/>
      <c r="B778" s="189"/>
      <c r="C778" s="124"/>
      <c r="D778" s="124"/>
      <c r="E778" s="124"/>
      <c r="F778" s="125"/>
      <c r="G778" s="189"/>
      <c r="H778" s="124"/>
      <c r="I778" s="124"/>
      <c r="J778" s="124"/>
      <c r="K778" s="102"/>
      <c r="L778" s="189"/>
      <c r="M778" s="124"/>
      <c r="N778" s="124"/>
      <c r="O778" s="124"/>
      <c r="P778" s="102"/>
      <c r="Q778" s="161"/>
      <c r="R778" s="124"/>
      <c r="S778" s="124"/>
      <c r="T778" s="124"/>
      <c r="U778" s="125"/>
      <c r="V778" s="189"/>
      <c r="W778" s="124"/>
      <c r="X778" s="124"/>
      <c r="Y778" s="124"/>
      <c r="Z778" s="125"/>
      <c r="AA778" s="189"/>
      <c r="AB778" s="124"/>
      <c r="AC778" s="124"/>
      <c r="AD778" s="124"/>
      <c r="AE778" s="125"/>
      <c r="AF778" s="189"/>
      <c r="AG778" s="124"/>
      <c r="AH778" s="124"/>
      <c r="AI778" s="124"/>
      <c r="AJ778" s="125"/>
      <c r="AK778" s="189"/>
      <c r="AL778" s="124"/>
      <c r="AM778" s="124"/>
      <c r="AN778" s="124"/>
      <c r="AO778" s="360"/>
      <c r="AP778" s="360"/>
      <c r="AQ778" s="360"/>
      <c r="AR778" s="360"/>
      <c r="AS778" s="360"/>
      <c r="AT778" s="360"/>
      <c r="AU778" s="360"/>
      <c r="AV778" s="360"/>
      <c r="AW778" s="360"/>
      <c r="AX778" s="360"/>
      <c r="AY778" s="360"/>
      <c r="AZ778" s="360"/>
      <c r="BA778" s="360"/>
      <c r="BB778" s="360"/>
      <c r="BC778" s="360"/>
    </row>
    <row r="779">
      <c r="A779" s="125"/>
      <c r="B779" s="189"/>
      <c r="C779" s="124"/>
      <c r="D779" s="124"/>
      <c r="E779" s="124"/>
      <c r="F779" s="125"/>
      <c r="G779" s="189"/>
      <c r="H779" s="124"/>
      <c r="I779" s="124"/>
      <c r="J779" s="124"/>
      <c r="K779" s="102"/>
      <c r="L779" s="189"/>
      <c r="M779" s="124"/>
      <c r="N779" s="124"/>
      <c r="O779" s="124"/>
      <c r="P779" s="102"/>
      <c r="Q779" s="161"/>
      <c r="R779" s="124"/>
      <c r="S779" s="124"/>
      <c r="T779" s="124"/>
      <c r="U779" s="125"/>
      <c r="V779" s="189"/>
      <c r="W779" s="124"/>
      <c r="X779" s="124"/>
      <c r="Y779" s="124"/>
      <c r="Z779" s="125"/>
      <c r="AA779" s="189"/>
      <c r="AB779" s="124"/>
      <c r="AC779" s="124"/>
      <c r="AD779" s="124"/>
      <c r="AE779" s="125"/>
      <c r="AF779" s="189"/>
      <c r="AG779" s="124"/>
      <c r="AH779" s="124"/>
      <c r="AI779" s="124"/>
      <c r="AJ779" s="125"/>
      <c r="AK779" s="189"/>
      <c r="AL779" s="124"/>
      <c r="AM779" s="124"/>
      <c r="AN779" s="124"/>
      <c r="AO779" s="360"/>
      <c r="AP779" s="360"/>
      <c r="AQ779" s="360"/>
      <c r="AR779" s="360"/>
      <c r="AS779" s="360"/>
      <c r="AT779" s="360"/>
      <c r="AU779" s="360"/>
      <c r="AV779" s="360"/>
      <c r="AW779" s="360"/>
      <c r="AX779" s="360"/>
      <c r="AY779" s="360"/>
      <c r="AZ779" s="360"/>
      <c r="BA779" s="360"/>
      <c r="BB779" s="360"/>
      <c r="BC779" s="360"/>
    </row>
    <row r="780">
      <c r="A780" s="125"/>
      <c r="B780" s="189"/>
      <c r="C780" s="124"/>
      <c r="D780" s="124"/>
      <c r="E780" s="124"/>
      <c r="F780" s="125"/>
      <c r="G780" s="189"/>
      <c r="H780" s="124"/>
      <c r="I780" s="124"/>
      <c r="J780" s="124"/>
      <c r="K780" s="102"/>
      <c r="L780" s="189"/>
      <c r="M780" s="124"/>
      <c r="N780" s="124"/>
      <c r="O780" s="124"/>
      <c r="P780" s="102"/>
      <c r="Q780" s="161"/>
      <c r="R780" s="124"/>
      <c r="S780" s="124"/>
      <c r="T780" s="124"/>
      <c r="U780" s="125"/>
      <c r="V780" s="189"/>
      <c r="W780" s="124"/>
      <c r="X780" s="124"/>
      <c r="Y780" s="124"/>
      <c r="Z780" s="125"/>
      <c r="AA780" s="189"/>
      <c r="AB780" s="124"/>
      <c r="AC780" s="124"/>
      <c r="AD780" s="124"/>
      <c r="AE780" s="125"/>
      <c r="AF780" s="189"/>
      <c r="AG780" s="124"/>
      <c r="AH780" s="124"/>
      <c r="AI780" s="124"/>
      <c r="AJ780" s="125"/>
      <c r="AK780" s="189"/>
      <c r="AL780" s="124"/>
      <c r="AM780" s="124"/>
      <c r="AN780" s="124"/>
      <c r="AO780" s="360"/>
      <c r="AP780" s="360"/>
      <c r="AQ780" s="360"/>
      <c r="AR780" s="360"/>
      <c r="AS780" s="360"/>
      <c r="AT780" s="360"/>
      <c r="AU780" s="360"/>
      <c r="AV780" s="360"/>
      <c r="AW780" s="360"/>
      <c r="AX780" s="360"/>
      <c r="AY780" s="360"/>
      <c r="AZ780" s="360"/>
      <c r="BA780" s="360"/>
      <c r="BB780" s="360"/>
      <c r="BC780" s="360"/>
    </row>
    <row r="781">
      <c r="A781" s="125"/>
      <c r="B781" s="189"/>
      <c r="C781" s="124"/>
      <c r="D781" s="124"/>
      <c r="E781" s="124"/>
      <c r="F781" s="125"/>
      <c r="G781" s="189"/>
      <c r="H781" s="124"/>
      <c r="I781" s="124"/>
      <c r="J781" s="124"/>
      <c r="K781" s="102"/>
      <c r="L781" s="189"/>
      <c r="M781" s="124"/>
      <c r="N781" s="124"/>
      <c r="O781" s="124"/>
      <c r="P781" s="102"/>
      <c r="Q781" s="161"/>
      <c r="R781" s="124"/>
      <c r="S781" s="124"/>
      <c r="T781" s="124"/>
      <c r="U781" s="125"/>
      <c r="V781" s="189"/>
      <c r="W781" s="124"/>
      <c r="X781" s="124"/>
      <c r="Y781" s="124"/>
      <c r="Z781" s="125"/>
      <c r="AA781" s="189"/>
      <c r="AB781" s="124"/>
      <c r="AC781" s="124"/>
      <c r="AD781" s="124"/>
      <c r="AE781" s="125"/>
      <c r="AF781" s="189"/>
      <c r="AG781" s="124"/>
      <c r="AH781" s="124"/>
      <c r="AI781" s="124"/>
      <c r="AJ781" s="125"/>
      <c r="AK781" s="189"/>
      <c r="AL781" s="124"/>
      <c r="AM781" s="124"/>
      <c r="AN781" s="124"/>
      <c r="AO781" s="360"/>
      <c r="AP781" s="360"/>
      <c r="AQ781" s="360"/>
      <c r="AR781" s="360"/>
      <c r="AS781" s="360"/>
      <c r="AT781" s="360"/>
      <c r="AU781" s="360"/>
      <c r="AV781" s="360"/>
      <c r="AW781" s="360"/>
      <c r="AX781" s="360"/>
      <c r="AY781" s="360"/>
      <c r="AZ781" s="360"/>
      <c r="BA781" s="360"/>
      <c r="BB781" s="360"/>
      <c r="BC781" s="360"/>
    </row>
    <row r="782">
      <c r="A782" s="125"/>
      <c r="B782" s="189"/>
      <c r="C782" s="124"/>
      <c r="D782" s="124"/>
      <c r="E782" s="124"/>
      <c r="F782" s="125"/>
      <c r="G782" s="189"/>
      <c r="H782" s="124"/>
      <c r="I782" s="124"/>
      <c r="J782" s="124"/>
      <c r="K782" s="102"/>
      <c r="L782" s="189"/>
      <c r="M782" s="124"/>
      <c r="N782" s="124"/>
      <c r="O782" s="124"/>
      <c r="P782" s="102"/>
      <c r="Q782" s="161"/>
      <c r="R782" s="124"/>
      <c r="S782" s="124"/>
      <c r="T782" s="124"/>
      <c r="U782" s="125"/>
      <c r="V782" s="189"/>
      <c r="W782" s="124"/>
      <c r="X782" s="124"/>
      <c r="Y782" s="124"/>
      <c r="Z782" s="125"/>
      <c r="AA782" s="189"/>
      <c r="AB782" s="124"/>
      <c r="AC782" s="124"/>
      <c r="AD782" s="124"/>
      <c r="AE782" s="125"/>
      <c r="AF782" s="189"/>
      <c r="AG782" s="124"/>
      <c r="AH782" s="124"/>
      <c r="AI782" s="124"/>
      <c r="AJ782" s="125"/>
      <c r="AK782" s="189"/>
      <c r="AL782" s="124"/>
      <c r="AM782" s="124"/>
      <c r="AN782" s="124"/>
      <c r="AO782" s="360"/>
      <c r="AP782" s="360"/>
      <c r="AQ782" s="360"/>
      <c r="AR782" s="360"/>
      <c r="AS782" s="360"/>
      <c r="AT782" s="360"/>
      <c r="AU782" s="360"/>
      <c r="AV782" s="360"/>
      <c r="AW782" s="360"/>
      <c r="AX782" s="360"/>
      <c r="AY782" s="360"/>
      <c r="AZ782" s="360"/>
      <c r="BA782" s="360"/>
      <c r="BB782" s="360"/>
      <c r="BC782" s="360"/>
    </row>
    <row r="783">
      <c r="A783" s="125"/>
      <c r="B783" s="189"/>
      <c r="C783" s="124"/>
      <c r="D783" s="124"/>
      <c r="E783" s="124"/>
      <c r="F783" s="125"/>
      <c r="G783" s="189"/>
      <c r="H783" s="124"/>
      <c r="I783" s="124"/>
      <c r="J783" s="124"/>
      <c r="K783" s="102"/>
      <c r="L783" s="189"/>
      <c r="M783" s="124"/>
      <c r="N783" s="124"/>
      <c r="O783" s="124"/>
      <c r="P783" s="102"/>
      <c r="Q783" s="161"/>
      <c r="R783" s="124"/>
      <c r="S783" s="124"/>
      <c r="T783" s="124"/>
      <c r="U783" s="125"/>
      <c r="V783" s="189"/>
      <c r="W783" s="124"/>
      <c r="X783" s="124"/>
      <c r="Y783" s="124"/>
      <c r="Z783" s="125"/>
      <c r="AA783" s="189"/>
      <c r="AB783" s="124"/>
      <c r="AC783" s="124"/>
      <c r="AD783" s="124"/>
      <c r="AE783" s="125"/>
      <c r="AF783" s="189"/>
      <c r="AG783" s="124"/>
      <c r="AH783" s="124"/>
      <c r="AI783" s="124"/>
      <c r="AJ783" s="125"/>
      <c r="AK783" s="189"/>
      <c r="AL783" s="124"/>
      <c r="AM783" s="124"/>
      <c r="AN783" s="124"/>
      <c r="AO783" s="360"/>
      <c r="AP783" s="360"/>
      <c r="AQ783" s="360"/>
      <c r="AR783" s="360"/>
      <c r="AS783" s="360"/>
      <c r="AT783" s="360"/>
      <c r="AU783" s="360"/>
      <c r="AV783" s="360"/>
      <c r="AW783" s="360"/>
      <c r="AX783" s="360"/>
      <c r="AY783" s="360"/>
      <c r="AZ783" s="360"/>
      <c r="BA783" s="360"/>
      <c r="BB783" s="360"/>
      <c r="BC783" s="360"/>
    </row>
    <row r="784">
      <c r="A784" s="125"/>
      <c r="B784" s="189"/>
      <c r="C784" s="124"/>
      <c r="D784" s="124"/>
      <c r="E784" s="124"/>
      <c r="F784" s="125"/>
      <c r="G784" s="189"/>
      <c r="H784" s="124"/>
      <c r="I784" s="124"/>
      <c r="J784" s="124"/>
      <c r="K784" s="102"/>
      <c r="L784" s="189"/>
      <c r="M784" s="124"/>
      <c r="N784" s="124"/>
      <c r="O784" s="124"/>
      <c r="P784" s="102"/>
      <c r="Q784" s="161"/>
      <c r="R784" s="124"/>
      <c r="S784" s="124"/>
      <c r="T784" s="124"/>
      <c r="U784" s="125"/>
      <c r="V784" s="189"/>
      <c r="W784" s="124"/>
      <c r="X784" s="124"/>
      <c r="Y784" s="124"/>
      <c r="Z784" s="125"/>
      <c r="AA784" s="189"/>
      <c r="AB784" s="124"/>
      <c r="AC784" s="124"/>
      <c r="AD784" s="124"/>
      <c r="AE784" s="125"/>
      <c r="AF784" s="189"/>
      <c r="AG784" s="124"/>
      <c r="AH784" s="124"/>
      <c r="AI784" s="124"/>
      <c r="AJ784" s="125"/>
      <c r="AK784" s="189"/>
      <c r="AL784" s="124"/>
      <c r="AM784" s="124"/>
      <c r="AN784" s="124"/>
      <c r="AO784" s="360"/>
      <c r="AP784" s="360"/>
      <c r="AQ784" s="360"/>
      <c r="AR784" s="360"/>
      <c r="AS784" s="360"/>
      <c r="AT784" s="360"/>
      <c r="AU784" s="360"/>
      <c r="AV784" s="360"/>
      <c r="AW784" s="360"/>
      <c r="AX784" s="360"/>
      <c r="AY784" s="360"/>
      <c r="AZ784" s="360"/>
      <c r="BA784" s="360"/>
      <c r="BB784" s="360"/>
      <c r="BC784" s="360"/>
    </row>
    <row r="785">
      <c r="A785" s="125"/>
      <c r="B785" s="189"/>
      <c r="C785" s="124"/>
      <c r="D785" s="124"/>
      <c r="E785" s="124"/>
      <c r="F785" s="125"/>
      <c r="G785" s="189"/>
      <c r="H785" s="124"/>
      <c r="I785" s="124"/>
      <c r="J785" s="124"/>
      <c r="K785" s="102"/>
      <c r="L785" s="189"/>
      <c r="M785" s="124"/>
      <c r="N785" s="124"/>
      <c r="O785" s="124"/>
      <c r="P785" s="102"/>
      <c r="Q785" s="161"/>
      <c r="R785" s="124"/>
      <c r="S785" s="124"/>
      <c r="T785" s="124"/>
      <c r="U785" s="125"/>
      <c r="V785" s="189"/>
      <c r="W785" s="124"/>
      <c r="X785" s="124"/>
      <c r="Y785" s="124"/>
      <c r="Z785" s="125"/>
      <c r="AA785" s="189"/>
      <c r="AB785" s="124"/>
      <c r="AC785" s="124"/>
      <c r="AD785" s="124"/>
      <c r="AE785" s="125"/>
      <c r="AF785" s="189"/>
      <c r="AG785" s="124"/>
      <c r="AH785" s="124"/>
      <c r="AI785" s="124"/>
      <c r="AJ785" s="125"/>
      <c r="AK785" s="189"/>
      <c r="AL785" s="124"/>
      <c r="AM785" s="124"/>
      <c r="AN785" s="124"/>
      <c r="AO785" s="360"/>
      <c r="AP785" s="360"/>
      <c r="AQ785" s="360"/>
      <c r="AR785" s="360"/>
      <c r="AS785" s="360"/>
      <c r="AT785" s="360"/>
      <c r="AU785" s="360"/>
      <c r="AV785" s="360"/>
      <c r="AW785" s="360"/>
      <c r="AX785" s="360"/>
      <c r="AY785" s="360"/>
      <c r="AZ785" s="360"/>
      <c r="BA785" s="360"/>
      <c r="BB785" s="360"/>
      <c r="BC785" s="360"/>
    </row>
    <row r="786">
      <c r="A786" s="125"/>
      <c r="B786" s="189"/>
      <c r="C786" s="124"/>
      <c r="D786" s="124"/>
      <c r="E786" s="124"/>
      <c r="F786" s="125"/>
      <c r="G786" s="189"/>
      <c r="H786" s="124"/>
      <c r="I786" s="124"/>
      <c r="J786" s="124"/>
      <c r="K786" s="102"/>
      <c r="L786" s="189"/>
      <c r="M786" s="124"/>
      <c r="N786" s="124"/>
      <c r="O786" s="124"/>
      <c r="P786" s="102"/>
      <c r="Q786" s="161"/>
      <c r="R786" s="124"/>
      <c r="S786" s="124"/>
      <c r="T786" s="124"/>
      <c r="U786" s="125"/>
      <c r="V786" s="189"/>
      <c r="W786" s="124"/>
      <c r="X786" s="124"/>
      <c r="Y786" s="124"/>
      <c r="Z786" s="125"/>
      <c r="AA786" s="189"/>
      <c r="AB786" s="124"/>
      <c r="AC786" s="124"/>
      <c r="AD786" s="124"/>
      <c r="AE786" s="125"/>
      <c r="AF786" s="189"/>
      <c r="AG786" s="124"/>
      <c r="AH786" s="124"/>
      <c r="AI786" s="124"/>
      <c r="AJ786" s="125"/>
      <c r="AK786" s="189"/>
      <c r="AL786" s="124"/>
      <c r="AM786" s="124"/>
      <c r="AN786" s="124"/>
      <c r="AO786" s="360"/>
      <c r="AP786" s="360"/>
      <c r="AQ786" s="360"/>
      <c r="AR786" s="360"/>
      <c r="AS786" s="360"/>
      <c r="AT786" s="360"/>
      <c r="AU786" s="360"/>
      <c r="AV786" s="360"/>
      <c r="AW786" s="360"/>
      <c r="AX786" s="360"/>
      <c r="AY786" s="360"/>
      <c r="AZ786" s="360"/>
      <c r="BA786" s="360"/>
      <c r="BB786" s="360"/>
      <c r="BC786" s="360"/>
    </row>
    <row r="787">
      <c r="A787" s="125"/>
      <c r="B787" s="189"/>
      <c r="C787" s="124"/>
      <c r="D787" s="124"/>
      <c r="E787" s="124"/>
      <c r="F787" s="125"/>
      <c r="G787" s="189"/>
      <c r="H787" s="124"/>
      <c r="I787" s="124"/>
      <c r="J787" s="124"/>
      <c r="K787" s="102"/>
      <c r="L787" s="189"/>
      <c r="M787" s="124"/>
      <c r="N787" s="124"/>
      <c r="O787" s="124"/>
      <c r="P787" s="102"/>
      <c r="Q787" s="161"/>
      <c r="R787" s="124"/>
      <c r="S787" s="124"/>
      <c r="T787" s="124"/>
      <c r="U787" s="125"/>
      <c r="V787" s="189"/>
      <c r="W787" s="124"/>
      <c r="X787" s="124"/>
      <c r="Y787" s="124"/>
      <c r="Z787" s="125"/>
      <c r="AA787" s="189"/>
      <c r="AB787" s="124"/>
      <c r="AC787" s="124"/>
      <c r="AD787" s="124"/>
      <c r="AE787" s="125"/>
      <c r="AF787" s="189"/>
      <c r="AG787" s="124"/>
      <c r="AH787" s="124"/>
      <c r="AI787" s="124"/>
      <c r="AJ787" s="125"/>
      <c r="AK787" s="189"/>
      <c r="AL787" s="124"/>
      <c r="AM787" s="124"/>
      <c r="AN787" s="124"/>
      <c r="AO787" s="360"/>
      <c r="AP787" s="360"/>
      <c r="AQ787" s="360"/>
      <c r="AR787" s="360"/>
      <c r="AS787" s="360"/>
      <c r="AT787" s="360"/>
      <c r="AU787" s="360"/>
      <c r="AV787" s="360"/>
      <c r="AW787" s="360"/>
      <c r="AX787" s="360"/>
      <c r="AY787" s="360"/>
      <c r="AZ787" s="360"/>
      <c r="BA787" s="360"/>
      <c r="BB787" s="360"/>
      <c r="BC787" s="360"/>
    </row>
    <row r="788">
      <c r="A788" s="125"/>
      <c r="B788" s="189"/>
      <c r="C788" s="124"/>
      <c r="D788" s="124"/>
      <c r="E788" s="124"/>
      <c r="F788" s="125"/>
      <c r="G788" s="189"/>
      <c r="H788" s="124"/>
      <c r="I788" s="124"/>
      <c r="J788" s="124"/>
      <c r="K788" s="102"/>
      <c r="L788" s="189"/>
      <c r="M788" s="124"/>
      <c r="N788" s="124"/>
      <c r="O788" s="124"/>
      <c r="P788" s="102"/>
      <c r="Q788" s="161"/>
      <c r="R788" s="124"/>
      <c r="S788" s="124"/>
      <c r="T788" s="124"/>
      <c r="U788" s="125"/>
      <c r="V788" s="189"/>
      <c r="W788" s="124"/>
      <c r="X788" s="124"/>
      <c r="Y788" s="124"/>
      <c r="Z788" s="125"/>
      <c r="AA788" s="189"/>
      <c r="AB788" s="124"/>
      <c r="AC788" s="124"/>
      <c r="AD788" s="124"/>
      <c r="AE788" s="125"/>
      <c r="AF788" s="189"/>
      <c r="AG788" s="124"/>
      <c r="AH788" s="124"/>
      <c r="AI788" s="124"/>
      <c r="AJ788" s="125"/>
      <c r="AK788" s="189"/>
      <c r="AL788" s="124"/>
      <c r="AM788" s="124"/>
      <c r="AN788" s="124"/>
      <c r="AO788" s="360"/>
      <c r="AP788" s="360"/>
      <c r="AQ788" s="360"/>
      <c r="AR788" s="360"/>
      <c r="AS788" s="360"/>
      <c r="AT788" s="360"/>
      <c r="AU788" s="360"/>
      <c r="AV788" s="360"/>
      <c r="AW788" s="360"/>
      <c r="AX788" s="360"/>
      <c r="AY788" s="360"/>
      <c r="AZ788" s="360"/>
      <c r="BA788" s="360"/>
      <c r="BB788" s="360"/>
      <c r="BC788" s="360"/>
    </row>
    <row r="789">
      <c r="A789" s="125"/>
      <c r="B789" s="189"/>
      <c r="C789" s="124"/>
      <c r="D789" s="124"/>
      <c r="E789" s="124"/>
      <c r="F789" s="125"/>
      <c r="G789" s="189"/>
      <c r="H789" s="124"/>
      <c r="I789" s="124"/>
      <c r="J789" s="124"/>
      <c r="K789" s="102"/>
      <c r="L789" s="189"/>
      <c r="M789" s="124"/>
      <c r="N789" s="124"/>
      <c r="O789" s="124"/>
      <c r="P789" s="102"/>
      <c r="Q789" s="161"/>
      <c r="R789" s="124"/>
      <c r="S789" s="124"/>
      <c r="T789" s="124"/>
      <c r="U789" s="125"/>
      <c r="V789" s="189"/>
      <c r="W789" s="124"/>
      <c r="X789" s="124"/>
      <c r="Y789" s="124"/>
      <c r="Z789" s="125"/>
      <c r="AA789" s="189"/>
      <c r="AB789" s="124"/>
      <c r="AC789" s="124"/>
      <c r="AD789" s="124"/>
      <c r="AE789" s="125"/>
      <c r="AF789" s="189"/>
      <c r="AG789" s="124"/>
      <c r="AH789" s="124"/>
      <c r="AI789" s="124"/>
      <c r="AJ789" s="125"/>
      <c r="AK789" s="189"/>
      <c r="AL789" s="124"/>
      <c r="AM789" s="124"/>
      <c r="AN789" s="124"/>
      <c r="AO789" s="360"/>
      <c r="AP789" s="360"/>
      <c r="AQ789" s="360"/>
      <c r="AR789" s="360"/>
      <c r="AS789" s="360"/>
      <c r="AT789" s="360"/>
      <c r="AU789" s="360"/>
      <c r="AV789" s="360"/>
      <c r="AW789" s="360"/>
      <c r="AX789" s="360"/>
      <c r="AY789" s="360"/>
      <c r="AZ789" s="360"/>
      <c r="BA789" s="360"/>
      <c r="BB789" s="360"/>
      <c r="BC789" s="360"/>
    </row>
    <row r="790">
      <c r="A790" s="125"/>
      <c r="B790" s="189"/>
      <c r="C790" s="124"/>
      <c r="D790" s="124"/>
      <c r="E790" s="124"/>
      <c r="F790" s="125"/>
      <c r="G790" s="189"/>
      <c r="H790" s="124"/>
      <c r="I790" s="124"/>
      <c r="J790" s="124"/>
      <c r="K790" s="102"/>
      <c r="L790" s="189"/>
      <c r="M790" s="124"/>
      <c r="N790" s="124"/>
      <c r="O790" s="124"/>
      <c r="P790" s="102"/>
      <c r="Q790" s="161"/>
      <c r="R790" s="124"/>
      <c r="S790" s="124"/>
      <c r="T790" s="124"/>
      <c r="U790" s="125"/>
      <c r="V790" s="189"/>
      <c r="W790" s="124"/>
      <c r="X790" s="124"/>
      <c r="Y790" s="124"/>
      <c r="Z790" s="125"/>
      <c r="AA790" s="189"/>
      <c r="AB790" s="124"/>
      <c r="AC790" s="124"/>
      <c r="AD790" s="124"/>
      <c r="AE790" s="125"/>
      <c r="AF790" s="189"/>
      <c r="AG790" s="124"/>
      <c r="AH790" s="124"/>
      <c r="AI790" s="124"/>
      <c r="AJ790" s="125"/>
      <c r="AK790" s="189"/>
      <c r="AL790" s="124"/>
      <c r="AM790" s="124"/>
      <c r="AN790" s="124"/>
      <c r="AO790" s="360"/>
      <c r="AP790" s="360"/>
      <c r="AQ790" s="360"/>
      <c r="AR790" s="360"/>
      <c r="AS790" s="360"/>
      <c r="AT790" s="360"/>
      <c r="AU790" s="360"/>
      <c r="AV790" s="360"/>
      <c r="AW790" s="360"/>
      <c r="AX790" s="360"/>
      <c r="AY790" s="360"/>
      <c r="AZ790" s="360"/>
      <c r="BA790" s="360"/>
      <c r="BB790" s="360"/>
      <c r="BC790" s="360"/>
    </row>
    <row r="791">
      <c r="A791" s="125"/>
      <c r="B791" s="189"/>
      <c r="C791" s="124"/>
      <c r="D791" s="124"/>
      <c r="E791" s="124"/>
      <c r="F791" s="125"/>
      <c r="G791" s="189"/>
      <c r="H791" s="124"/>
      <c r="I791" s="124"/>
      <c r="J791" s="124"/>
      <c r="K791" s="102"/>
      <c r="L791" s="189"/>
      <c r="M791" s="124"/>
      <c r="N791" s="124"/>
      <c r="O791" s="124"/>
      <c r="P791" s="102"/>
      <c r="Q791" s="161"/>
      <c r="R791" s="124"/>
      <c r="S791" s="124"/>
      <c r="T791" s="124"/>
      <c r="U791" s="125"/>
      <c r="V791" s="189"/>
      <c r="W791" s="124"/>
      <c r="X791" s="124"/>
      <c r="Y791" s="124"/>
      <c r="Z791" s="125"/>
      <c r="AA791" s="189"/>
      <c r="AB791" s="124"/>
      <c r="AC791" s="124"/>
      <c r="AD791" s="124"/>
      <c r="AE791" s="125"/>
      <c r="AF791" s="189"/>
      <c r="AG791" s="124"/>
      <c r="AH791" s="124"/>
      <c r="AI791" s="124"/>
      <c r="AJ791" s="125"/>
      <c r="AK791" s="189"/>
      <c r="AL791" s="124"/>
      <c r="AM791" s="124"/>
      <c r="AN791" s="124"/>
      <c r="AO791" s="360"/>
      <c r="AP791" s="360"/>
      <c r="AQ791" s="360"/>
      <c r="AR791" s="360"/>
      <c r="AS791" s="360"/>
      <c r="AT791" s="360"/>
      <c r="AU791" s="360"/>
      <c r="AV791" s="360"/>
      <c r="AW791" s="360"/>
      <c r="AX791" s="360"/>
      <c r="AY791" s="360"/>
      <c r="AZ791" s="360"/>
      <c r="BA791" s="360"/>
      <c r="BB791" s="360"/>
      <c r="BC791" s="360"/>
    </row>
    <row r="792">
      <c r="A792" s="125"/>
      <c r="B792" s="189"/>
      <c r="C792" s="124"/>
      <c r="D792" s="124"/>
      <c r="E792" s="124"/>
      <c r="F792" s="125"/>
      <c r="G792" s="189"/>
      <c r="H792" s="124"/>
      <c r="I792" s="124"/>
      <c r="J792" s="124"/>
      <c r="K792" s="102"/>
      <c r="L792" s="189"/>
      <c r="M792" s="124"/>
      <c r="N792" s="124"/>
      <c r="O792" s="124"/>
      <c r="P792" s="102"/>
      <c r="Q792" s="161"/>
      <c r="R792" s="124"/>
      <c r="S792" s="124"/>
      <c r="T792" s="124"/>
      <c r="U792" s="125"/>
      <c r="V792" s="189"/>
      <c r="W792" s="124"/>
      <c r="X792" s="124"/>
      <c r="Y792" s="124"/>
      <c r="Z792" s="125"/>
      <c r="AA792" s="189"/>
      <c r="AB792" s="124"/>
      <c r="AC792" s="124"/>
      <c r="AD792" s="124"/>
      <c r="AE792" s="125"/>
      <c r="AF792" s="189"/>
      <c r="AG792" s="124"/>
      <c r="AH792" s="124"/>
      <c r="AI792" s="124"/>
      <c r="AJ792" s="125"/>
      <c r="AK792" s="189"/>
      <c r="AL792" s="124"/>
      <c r="AM792" s="124"/>
      <c r="AN792" s="124"/>
      <c r="AO792" s="360"/>
      <c r="AP792" s="360"/>
      <c r="AQ792" s="360"/>
      <c r="AR792" s="360"/>
      <c r="AS792" s="360"/>
      <c r="AT792" s="360"/>
      <c r="AU792" s="360"/>
      <c r="AV792" s="360"/>
      <c r="AW792" s="360"/>
      <c r="AX792" s="360"/>
      <c r="AY792" s="360"/>
      <c r="AZ792" s="360"/>
      <c r="BA792" s="360"/>
      <c r="BB792" s="360"/>
      <c r="BC792" s="360"/>
    </row>
    <row r="793">
      <c r="A793" s="125"/>
      <c r="B793" s="189"/>
      <c r="C793" s="124"/>
      <c r="D793" s="124"/>
      <c r="E793" s="124"/>
      <c r="F793" s="125"/>
      <c r="G793" s="189"/>
      <c r="H793" s="124"/>
      <c r="I793" s="124"/>
      <c r="J793" s="124"/>
      <c r="K793" s="102"/>
      <c r="L793" s="189"/>
      <c r="M793" s="124"/>
      <c r="N793" s="124"/>
      <c r="O793" s="124"/>
      <c r="P793" s="102"/>
      <c r="Q793" s="161"/>
      <c r="R793" s="124"/>
      <c r="S793" s="124"/>
      <c r="T793" s="124"/>
      <c r="U793" s="125"/>
      <c r="V793" s="189"/>
      <c r="W793" s="124"/>
      <c r="X793" s="124"/>
      <c r="Y793" s="124"/>
      <c r="Z793" s="125"/>
      <c r="AA793" s="189"/>
      <c r="AB793" s="124"/>
      <c r="AC793" s="124"/>
      <c r="AD793" s="124"/>
      <c r="AE793" s="125"/>
      <c r="AF793" s="189"/>
      <c r="AG793" s="124"/>
      <c r="AH793" s="124"/>
      <c r="AI793" s="124"/>
      <c r="AJ793" s="125"/>
      <c r="AK793" s="189"/>
      <c r="AL793" s="124"/>
      <c r="AM793" s="124"/>
      <c r="AN793" s="124"/>
      <c r="AO793" s="360"/>
      <c r="AP793" s="360"/>
      <c r="AQ793" s="360"/>
      <c r="AR793" s="360"/>
      <c r="AS793" s="360"/>
      <c r="AT793" s="360"/>
      <c r="AU793" s="360"/>
      <c r="AV793" s="360"/>
      <c r="AW793" s="360"/>
      <c r="AX793" s="360"/>
      <c r="AY793" s="360"/>
      <c r="AZ793" s="360"/>
      <c r="BA793" s="360"/>
      <c r="BB793" s="360"/>
      <c r="BC793" s="360"/>
    </row>
    <row r="794">
      <c r="A794" s="125"/>
      <c r="B794" s="189"/>
      <c r="C794" s="124"/>
      <c r="D794" s="124"/>
      <c r="E794" s="124"/>
      <c r="F794" s="125"/>
      <c r="G794" s="189"/>
      <c r="H794" s="124"/>
      <c r="I794" s="124"/>
      <c r="J794" s="124"/>
      <c r="K794" s="102"/>
      <c r="L794" s="189"/>
      <c r="M794" s="124"/>
      <c r="N794" s="124"/>
      <c r="O794" s="124"/>
      <c r="P794" s="102"/>
      <c r="Q794" s="161"/>
      <c r="R794" s="124"/>
      <c r="S794" s="124"/>
      <c r="T794" s="124"/>
      <c r="U794" s="125"/>
      <c r="V794" s="189"/>
      <c r="W794" s="124"/>
      <c r="X794" s="124"/>
      <c r="Y794" s="124"/>
      <c r="Z794" s="125"/>
      <c r="AA794" s="189"/>
      <c r="AB794" s="124"/>
      <c r="AC794" s="124"/>
      <c r="AD794" s="124"/>
      <c r="AE794" s="125"/>
      <c r="AF794" s="189"/>
      <c r="AG794" s="124"/>
      <c r="AH794" s="124"/>
      <c r="AI794" s="124"/>
      <c r="AJ794" s="125"/>
      <c r="AK794" s="189"/>
      <c r="AL794" s="124"/>
      <c r="AM794" s="124"/>
      <c r="AN794" s="124"/>
      <c r="AO794" s="360"/>
      <c r="AP794" s="360"/>
      <c r="AQ794" s="360"/>
      <c r="AR794" s="360"/>
      <c r="AS794" s="360"/>
      <c r="AT794" s="360"/>
      <c r="AU794" s="360"/>
      <c r="AV794" s="360"/>
      <c r="AW794" s="360"/>
      <c r="AX794" s="360"/>
      <c r="AY794" s="360"/>
      <c r="AZ794" s="360"/>
      <c r="BA794" s="360"/>
      <c r="BB794" s="360"/>
      <c r="BC794" s="360"/>
    </row>
    <row r="795">
      <c r="A795" s="125"/>
      <c r="B795" s="189"/>
      <c r="C795" s="124"/>
      <c r="D795" s="124"/>
      <c r="E795" s="124"/>
      <c r="F795" s="125"/>
      <c r="G795" s="189"/>
      <c r="H795" s="124"/>
      <c r="I795" s="124"/>
      <c r="J795" s="124"/>
      <c r="K795" s="102"/>
      <c r="L795" s="189"/>
      <c r="M795" s="124"/>
      <c r="N795" s="124"/>
      <c r="O795" s="124"/>
      <c r="P795" s="102"/>
      <c r="Q795" s="161"/>
      <c r="R795" s="124"/>
      <c r="S795" s="124"/>
      <c r="T795" s="124"/>
      <c r="U795" s="125"/>
      <c r="V795" s="189"/>
      <c r="W795" s="124"/>
      <c r="X795" s="124"/>
      <c r="Y795" s="124"/>
      <c r="Z795" s="125"/>
      <c r="AA795" s="189"/>
      <c r="AB795" s="124"/>
      <c r="AC795" s="124"/>
      <c r="AD795" s="124"/>
      <c r="AE795" s="125"/>
      <c r="AF795" s="189"/>
      <c r="AG795" s="124"/>
      <c r="AH795" s="124"/>
      <c r="AI795" s="124"/>
      <c r="AJ795" s="125"/>
      <c r="AK795" s="189"/>
      <c r="AL795" s="124"/>
      <c r="AM795" s="124"/>
      <c r="AN795" s="124"/>
      <c r="AO795" s="360"/>
      <c r="AP795" s="360"/>
      <c r="AQ795" s="360"/>
      <c r="AR795" s="360"/>
      <c r="AS795" s="360"/>
      <c r="AT795" s="360"/>
      <c r="AU795" s="360"/>
      <c r="AV795" s="360"/>
      <c r="AW795" s="360"/>
      <c r="AX795" s="360"/>
      <c r="AY795" s="360"/>
      <c r="AZ795" s="360"/>
      <c r="BA795" s="360"/>
      <c r="BB795" s="360"/>
      <c r="BC795" s="360"/>
    </row>
    <row r="796">
      <c r="A796" s="125"/>
      <c r="B796" s="189"/>
      <c r="C796" s="124"/>
      <c r="D796" s="124"/>
      <c r="E796" s="124"/>
      <c r="F796" s="125"/>
      <c r="G796" s="189"/>
      <c r="H796" s="124"/>
      <c r="I796" s="124"/>
      <c r="J796" s="124"/>
      <c r="K796" s="102"/>
      <c r="L796" s="189"/>
      <c r="M796" s="124"/>
      <c r="N796" s="124"/>
      <c r="O796" s="124"/>
      <c r="P796" s="102"/>
      <c r="Q796" s="161"/>
      <c r="R796" s="124"/>
      <c r="S796" s="124"/>
      <c r="T796" s="124"/>
      <c r="U796" s="125"/>
      <c r="V796" s="189"/>
      <c r="W796" s="124"/>
      <c r="X796" s="124"/>
      <c r="Y796" s="124"/>
      <c r="Z796" s="125"/>
      <c r="AA796" s="189"/>
      <c r="AB796" s="124"/>
      <c r="AC796" s="124"/>
      <c r="AD796" s="124"/>
      <c r="AE796" s="125"/>
      <c r="AF796" s="189"/>
      <c r="AG796" s="124"/>
      <c r="AH796" s="124"/>
      <c r="AI796" s="124"/>
      <c r="AJ796" s="125"/>
      <c r="AK796" s="189"/>
      <c r="AL796" s="124"/>
      <c r="AM796" s="124"/>
      <c r="AN796" s="124"/>
      <c r="AO796" s="360"/>
      <c r="AP796" s="360"/>
      <c r="AQ796" s="360"/>
      <c r="AR796" s="360"/>
      <c r="AS796" s="360"/>
      <c r="AT796" s="360"/>
      <c r="AU796" s="360"/>
      <c r="AV796" s="360"/>
      <c r="AW796" s="360"/>
      <c r="AX796" s="360"/>
      <c r="AY796" s="360"/>
      <c r="AZ796" s="360"/>
      <c r="BA796" s="360"/>
      <c r="BB796" s="360"/>
      <c r="BC796" s="360"/>
    </row>
    <row r="797">
      <c r="A797" s="125"/>
      <c r="B797" s="189"/>
      <c r="C797" s="124"/>
      <c r="D797" s="124"/>
      <c r="E797" s="124"/>
      <c r="F797" s="125"/>
      <c r="G797" s="189"/>
      <c r="H797" s="124"/>
      <c r="I797" s="124"/>
      <c r="J797" s="124"/>
      <c r="K797" s="102"/>
      <c r="L797" s="189"/>
      <c r="M797" s="124"/>
      <c r="N797" s="124"/>
      <c r="O797" s="124"/>
      <c r="P797" s="102"/>
      <c r="Q797" s="161"/>
      <c r="R797" s="124"/>
      <c r="S797" s="124"/>
      <c r="T797" s="124"/>
      <c r="U797" s="125"/>
      <c r="V797" s="189"/>
      <c r="W797" s="124"/>
      <c r="X797" s="124"/>
      <c r="Y797" s="124"/>
      <c r="Z797" s="125"/>
      <c r="AA797" s="189"/>
      <c r="AB797" s="124"/>
      <c r="AC797" s="124"/>
      <c r="AD797" s="124"/>
      <c r="AE797" s="125"/>
      <c r="AF797" s="189"/>
      <c r="AG797" s="124"/>
      <c r="AH797" s="124"/>
      <c r="AI797" s="124"/>
      <c r="AJ797" s="125"/>
      <c r="AK797" s="189"/>
      <c r="AL797" s="124"/>
      <c r="AM797" s="124"/>
      <c r="AN797" s="124"/>
      <c r="AO797" s="360"/>
      <c r="AP797" s="360"/>
      <c r="AQ797" s="360"/>
      <c r="AR797" s="360"/>
      <c r="AS797" s="360"/>
      <c r="AT797" s="360"/>
      <c r="AU797" s="360"/>
      <c r="AV797" s="360"/>
      <c r="AW797" s="360"/>
      <c r="AX797" s="360"/>
      <c r="AY797" s="360"/>
      <c r="AZ797" s="360"/>
      <c r="BA797" s="360"/>
      <c r="BB797" s="360"/>
      <c r="BC797" s="360"/>
    </row>
    <row r="798">
      <c r="A798" s="125"/>
      <c r="B798" s="189"/>
      <c r="C798" s="124"/>
      <c r="D798" s="124"/>
      <c r="E798" s="124"/>
      <c r="F798" s="125"/>
      <c r="G798" s="189"/>
      <c r="H798" s="124"/>
      <c r="I798" s="124"/>
      <c r="J798" s="124"/>
      <c r="K798" s="102"/>
      <c r="L798" s="189"/>
      <c r="M798" s="124"/>
      <c r="N798" s="124"/>
      <c r="O798" s="124"/>
      <c r="P798" s="102"/>
      <c r="Q798" s="161"/>
      <c r="R798" s="124"/>
      <c r="S798" s="124"/>
      <c r="T798" s="124"/>
      <c r="U798" s="125"/>
      <c r="V798" s="189"/>
      <c r="W798" s="124"/>
      <c r="X798" s="124"/>
      <c r="Y798" s="124"/>
      <c r="Z798" s="125"/>
      <c r="AA798" s="189"/>
      <c r="AB798" s="124"/>
      <c r="AC798" s="124"/>
      <c r="AD798" s="124"/>
      <c r="AE798" s="125"/>
      <c r="AF798" s="189"/>
      <c r="AG798" s="124"/>
      <c r="AH798" s="124"/>
      <c r="AI798" s="124"/>
      <c r="AJ798" s="125"/>
      <c r="AK798" s="189"/>
      <c r="AL798" s="124"/>
      <c r="AM798" s="124"/>
      <c r="AN798" s="124"/>
      <c r="AO798" s="360"/>
      <c r="AP798" s="360"/>
      <c r="AQ798" s="360"/>
      <c r="AR798" s="360"/>
      <c r="AS798" s="360"/>
      <c r="AT798" s="360"/>
      <c r="AU798" s="360"/>
      <c r="AV798" s="360"/>
      <c r="AW798" s="360"/>
      <c r="AX798" s="360"/>
      <c r="AY798" s="360"/>
      <c r="AZ798" s="360"/>
      <c r="BA798" s="360"/>
      <c r="BB798" s="360"/>
      <c r="BC798" s="360"/>
    </row>
    <row r="799">
      <c r="A799" s="125"/>
      <c r="B799" s="189"/>
      <c r="C799" s="124"/>
      <c r="D799" s="124"/>
      <c r="E799" s="124"/>
      <c r="F799" s="125"/>
      <c r="G799" s="189"/>
      <c r="H799" s="124"/>
      <c r="I799" s="124"/>
      <c r="J799" s="124"/>
      <c r="K799" s="102"/>
      <c r="L799" s="189"/>
      <c r="M799" s="124"/>
      <c r="N799" s="124"/>
      <c r="O799" s="124"/>
      <c r="P799" s="102"/>
      <c r="Q799" s="161"/>
      <c r="R799" s="124"/>
      <c r="S799" s="124"/>
      <c r="T799" s="124"/>
      <c r="U799" s="125"/>
      <c r="V799" s="189"/>
      <c r="W799" s="124"/>
      <c r="X799" s="124"/>
      <c r="Y799" s="124"/>
      <c r="Z799" s="125"/>
      <c r="AA799" s="189"/>
      <c r="AB799" s="124"/>
      <c r="AC799" s="124"/>
      <c r="AD799" s="124"/>
      <c r="AE799" s="125"/>
      <c r="AF799" s="189"/>
      <c r="AG799" s="124"/>
      <c r="AH799" s="124"/>
      <c r="AI799" s="124"/>
      <c r="AJ799" s="125"/>
      <c r="AK799" s="189"/>
      <c r="AL799" s="124"/>
      <c r="AM799" s="124"/>
      <c r="AN799" s="124"/>
      <c r="AO799" s="360"/>
      <c r="AP799" s="360"/>
      <c r="AQ799" s="360"/>
      <c r="AR799" s="360"/>
      <c r="AS799" s="360"/>
      <c r="AT799" s="360"/>
      <c r="AU799" s="360"/>
      <c r="AV799" s="360"/>
      <c r="AW799" s="360"/>
      <c r="AX799" s="360"/>
      <c r="AY799" s="360"/>
      <c r="AZ799" s="360"/>
      <c r="BA799" s="360"/>
      <c r="BB799" s="360"/>
      <c r="BC799" s="360"/>
    </row>
    <row r="800">
      <c r="A800" s="125"/>
      <c r="B800" s="189"/>
      <c r="C800" s="124"/>
      <c r="D800" s="124"/>
      <c r="E800" s="124"/>
      <c r="F800" s="125"/>
      <c r="G800" s="189"/>
      <c r="H800" s="124"/>
      <c r="I800" s="124"/>
      <c r="J800" s="124"/>
      <c r="K800" s="102"/>
      <c r="L800" s="189"/>
      <c r="M800" s="124"/>
      <c r="N800" s="124"/>
      <c r="O800" s="124"/>
      <c r="P800" s="102"/>
      <c r="Q800" s="161"/>
      <c r="R800" s="124"/>
      <c r="S800" s="124"/>
      <c r="T800" s="124"/>
      <c r="U800" s="125"/>
      <c r="V800" s="189"/>
      <c r="W800" s="124"/>
      <c r="X800" s="124"/>
      <c r="Y800" s="124"/>
      <c r="Z800" s="125"/>
      <c r="AA800" s="189"/>
      <c r="AB800" s="124"/>
      <c r="AC800" s="124"/>
      <c r="AD800" s="124"/>
      <c r="AE800" s="125"/>
      <c r="AF800" s="189"/>
      <c r="AG800" s="124"/>
      <c r="AH800" s="124"/>
      <c r="AI800" s="124"/>
      <c r="AJ800" s="125"/>
      <c r="AK800" s="189"/>
      <c r="AL800" s="124"/>
      <c r="AM800" s="124"/>
      <c r="AN800" s="124"/>
      <c r="AO800" s="360"/>
      <c r="AP800" s="360"/>
      <c r="AQ800" s="360"/>
      <c r="AR800" s="360"/>
      <c r="AS800" s="360"/>
      <c r="AT800" s="360"/>
      <c r="AU800" s="360"/>
      <c r="AV800" s="360"/>
      <c r="AW800" s="360"/>
      <c r="AX800" s="360"/>
      <c r="AY800" s="360"/>
      <c r="AZ800" s="360"/>
      <c r="BA800" s="360"/>
      <c r="BB800" s="360"/>
      <c r="BC800" s="360"/>
    </row>
    <row r="801">
      <c r="A801" s="125"/>
      <c r="B801" s="189"/>
      <c r="C801" s="124"/>
      <c r="D801" s="124"/>
      <c r="E801" s="124"/>
      <c r="F801" s="125"/>
      <c r="G801" s="189"/>
      <c r="H801" s="124"/>
      <c r="I801" s="124"/>
      <c r="J801" s="124"/>
      <c r="K801" s="102"/>
      <c r="L801" s="189"/>
      <c r="M801" s="124"/>
      <c r="N801" s="124"/>
      <c r="O801" s="124"/>
      <c r="P801" s="102"/>
      <c r="Q801" s="161"/>
      <c r="R801" s="124"/>
      <c r="S801" s="124"/>
      <c r="T801" s="124"/>
      <c r="U801" s="125"/>
      <c r="V801" s="189"/>
      <c r="W801" s="124"/>
      <c r="X801" s="124"/>
      <c r="Y801" s="124"/>
      <c r="Z801" s="125"/>
      <c r="AA801" s="189"/>
      <c r="AB801" s="124"/>
      <c r="AC801" s="124"/>
      <c r="AD801" s="124"/>
      <c r="AE801" s="125"/>
      <c r="AF801" s="189"/>
      <c r="AG801" s="124"/>
      <c r="AH801" s="124"/>
      <c r="AI801" s="124"/>
      <c r="AJ801" s="125"/>
      <c r="AK801" s="189"/>
      <c r="AL801" s="124"/>
      <c r="AM801" s="124"/>
      <c r="AN801" s="124"/>
      <c r="AO801" s="360"/>
      <c r="AP801" s="360"/>
      <c r="AQ801" s="360"/>
      <c r="AR801" s="360"/>
      <c r="AS801" s="360"/>
      <c r="AT801" s="360"/>
      <c r="AU801" s="360"/>
      <c r="AV801" s="360"/>
      <c r="AW801" s="360"/>
      <c r="AX801" s="360"/>
      <c r="AY801" s="360"/>
      <c r="AZ801" s="360"/>
      <c r="BA801" s="360"/>
      <c r="BB801" s="360"/>
      <c r="BC801" s="360"/>
    </row>
    <row r="802">
      <c r="A802" s="125"/>
      <c r="B802" s="189"/>
      <c r="C802" s="124"/>
      <c r="D802" s="124"/>
      <c r="E802" s="124"/>
      <c r="F802" s="125"/>
      <c r="G802" s="189"/>
      <c r="H802" s="124"/>
      <c r="I802" s="124"/>
      <c r="J802" s="124"/>
      <c r="K802" s="102"/>
      <c r="L802" s="189"/>
      <c r="M802" s="124"/>
      <c r="N802" s="124"/>
      <c r="O802" s="124"/>
      <c r="P802" s="102"/>
      <c r="Q802" s="161"/>
      <c r="R802" s="124"/>
      <c r="S802" s="124"/>
      <c r="T802" s="124"/>
      <c r="U802" s="125"/>
      <c r="V802" s="189"/>
      <c r="W802" s="124"/>
      <c r="X802" s="124"/>
      <c r="Y802" s="124"/>
      <c r="Z802" s="125"/>
      <c r="AA802" s="189"/>
      <c r="AB802" s="124"/>
      <c r="AC802" s="124"/>
      <c r="AD802" s="124"/>
      <c r="AE802" s="125"/>
      <c r="AF802" s="189"/>
      <c r="AG802" s="124"/>
      <c r="AH802" s="124"/>
      <c r="AI802" s="124"/>
      <c r="AJ802" s="125"/>
      <c r="AK802" s="189"/>
      <c r="AL802" s="124"/>
      <c r="AM802" s="124"/>
      <c r="AN802" s="124"/>
      <c r="AO802" s="360"/>
      <c r="AP802" s="360"/>
      <c r="AQ802" s="360"/>
      <c r="AR802" s="360"/>
      <c r="AS802" s="360"/>
      <c r="AT802" s="360"/>
      <c r="AU802" s="360"/>
      <c r="AV802" s="360"/>
      <c r="AW802" s="360"/>
      <c r="AX802" s="360"/>
      <c r="AY802" s="360"/>
      <c r="AZ802" s="360"/>
      <c r="BA802" s="360"/>
      <c r="BB802" s="360"/>
      <c r="BC802" s="360"/>
    </row>
    <row r="803">
      <c r="A803" s="125"/>
      <c r="B803" s="189"/>
      <c r="C803" s="124"/>
      <c r="D803" s="124"/>
      <c r="E803" s="124"/>
      <c r="F803" s="125"/>
      <c r="G803" s="189"/>
      <c r="H803" s="124"/>
      <c r="I803" s="124"/>
      <c r="J803" s="124"/>
      <c r="K803" s="102"/>
      <c r="L803" s="189"/>
      <c r="M803" s="124"/>
      <c r="N803" s="124"/>
      <c r="O803" s="124"/>
      <c r="P803" s="102"/>
      <c r="Q803" s="161"/>
      <c r="R803" s="124"/>
      <c r="S803" s="124"/>
      <c r="T803" s="124"/>
      <c r="U803" s="125"/>
      <c r="V803" s="189"/>
      <c r="W803" s="124"/>
      <c r="X803" s="124"/>
      <c r="Y803" s="124"/>
      <c r="Z803" s="125"/>
      <c r="AA803" s="189"/>
      <c r="AB803" s="124"/>
      <c r="AC803" s="124"/>
      <c r="AD803" s="124"/>
      <c r="AE803" s="125"/>
      <c r="AF803" s="189"/>
      <c r="AG803" s="124"/>
      <c r="AH803" s="124"/>
      <c r="AI803" s="124"/>
      <c r="AJ803" s="125"/>
      <c r="AK803" s="189"/>
      <c r="AL803" s="124"/>
      <c r="AM803" s="124"/>
      <c r="AN803" s="124"/>
      <c r="AO803" s="360"/>
      <c r="AP803" s="360"/>
      <c r="AQ803" s="360"/>
      <c r="AR803" s="360"/>
      <c r="AS803" s="360"/>
      <c r="AT803" s="360"/>
      <c r="AU803" s="360"/>
      <c r="AV803" s="360"/>
      <c r="AW803" s="360"/>
      <c r="AX803" s="360"/>
      <c r="AY803" s="360"/>
      <c r="AZ803" s="360"/>
      <c r="BA803" s="360"/>
      <c r="BB803" s="360"/>
      <c r="BC803" s="360"/>
    </row>
    <row r="804">
      <c r="A804" s="125"/>
      <c r="B804" s="189"/>
      <c r="C804" s="124"/>
      <c r="D804" s="124"/>
      <c r="E804" s="124"/>
      <c r="F804" s="125"/>
      <c r="G804" s="189"/>
      <c r="H804" s="124"/>
      <c r="I804" s="124"/>
      <c r="J804" s="124"/>
      <c r="K804" s="102"/>
      <c r="L804" s="189"/>
      <c r="M804" s="124"/>
      <c r="N804" s="124"/>
      <c r="O804" s="124"/>
      <c r="P804" s="102"/>
      <c r="Q804" s="161"/>
      <c r="R804" s="124"/>
      <c r="S804" s="124"/>
      <c r="T804" s="124"/>
      <c r="U804" s="125"/>
      <c r="V804" s="189"/>
      <c r="W804" s="124"/>
      <c r="X804" s="124"/>
      <c r="Y804" s="124"/>
      <c r="Z804" s="125"/>
      <c r="AA804" s="189"/>
      <c r="AB804" s="124"/>
      <c r="AC804" s="124"/>
      <c r="AD804" s="124"/>
      <c r="AE804" s="125"/>
      <c r="AF804" s="189"/>
      <c r="AG804" s="124"/>
      <c r="AH804" s="124"/>
      <c r="AI804" s="124"/>
      <c r="AJ804" s="125"/>
      <c r="AK804" s="189"/>
      <c r="AL804" s="124"/>
      <c r="AM804" s="124"/>
      <c r="AN804" s="124"/>
      <c r="AO804" s="360"/>
      <c r="AP804" s="360"/>
      <c r="AQ804" s="360"/>
      <c r="AR804" s="360"/>
      <c r="AS804" s="360"/>
      <c r="AT804" s="360"/>
      <c r="AU804" s="360"/>
      <c r="AV804" s="360"/>
      <c r="AW804" s="360"/>
      <c r="AX804" s="360"/>
      <c r="AY804" s="360"/>
      <c r="AZ804" s="360"/>
      <c r="BA804" s="360"/>
      <c r="BB804" s="360"/>
      <c r="BC804" s="360"/>
    </row>
    <row r="805">
      <c r="A805" s="125"/>
      <c r="B805" s="189"/>
      <c r="C805" s="124"/>
      <c r="D805" s="124"/>
      <c r="E805" s="124"/>
      <c r="F805" s="125"/>
      <c r="G805" s="189"/>
      <c r="H805" s="124"/>
      <c r="I805" s="124"/>
      <c r="J805" s="124"/>
      <c r="K805" s="102"/>
      <c r="L805" s="189"/>
      <c r="M805" s="124"/>
      <c r="N805" s="124"/>
      <c r="O805" s="124"/>
      <c r="P805" s="102"/>
      <c r="Q805" s="161"/>
      <c r="R805" s="124"/>
      <c r="S805" s="124"/>
      <c r="T805" s="124"/>
      <c r="U805" s="125"/>
      <c r="V805" s="189"/>
      <c r="W805" s="124"/>
      <c r="X805" s="124"/>
      <c r="Y805" s="124"/>
      <c r="Z805" s="125"/>
      <c r="AA805" s="189"/>
      <c r="AB805" s="124"/>
      <c r="AC805" s="124"/>
      <c r="AD805" s="124"/>
      <c r="AE805" s="125"/>
      <c r="AF805" s="189"/>
      <c r="AG805" s="124"/>
      <c r="AH805" s="124"/>
      <c r="AI805" s="124"/>
      <c r="AJ805" s="125"/>
      <c r="AK805" s="189"/>
      <c r="AL805" s="124"/>
      <c r="AM805" s="124"/>
      <c r="AN805" s="124"/>
      <c r="AO805" s="360"/>
      <c r="AP805" s="360"/>
      <c r="AQ805" s="360"/>
      <c r="AR805" s="360"/>
      <c r="AS805" s="360"/>
      <c r="AT805" s="360"/>
      <c r="AU805" s="360"/>
      <c r="AV805" s="360"/>
      <c r="AW805" s="360"/>
      <c r="AX805" s="360"/>
      <c r="AY805" s="360"/>
      <c r="AZ805" s="360"/>
      <c r="BA805" s="360"/>
      <c r="BB805" s="360"/>
      <c r="BC805" s="360"/>
    </row>
    <row r="806">
      <c r="A806" s="125"/>
      <c r="B806" s="189"/>
      <c r="C806" s="124"/>
      <c r="D806" s="124"/>
      <c r="E806" s="124"/>
      <c r="F806" s="125"/>
      <c r="G806" s="189"/>
      <c r="H806" s="124"/>
      <c r="I806" s="124"/>
      <c r="J806" s="124"/>
      <c r="K806" s="102"/>
      <c r="L806" s="189"/>
      <c r="M806" s="124"/>
      <c r="N806" s="124"/>
      <c r="O806" s="124"/>
      <c r="P806" s="102"/>
      <c r="Q806" s="161"/>
      <c r="R806" s="124"/>
      <c r="S806" s="124"/>
      <c r="T806" s="124"/>
      <c r="U806" s="125"/>
      <c r="V806" s="189"/>
      <c r="W806" s="124"/>
      <c r="X806" s="124"/>
      <c r="Y806" s="124"/>
      <c r="Z806" s="125"/>
      <c r="AA806" s="189"/>
      <c r="AB806" s="124"/>
      <c r="AC806" s="124"/>
      <c r="AD806" s="124"/>
      <c r="AE806" s="125"/>
      <c r="AF806" s="189"/>
      <c r="AG806" s="124"/>
      <c r="AH806" s="124"/>
      <c r="AI806" s="124"/>
      <c r="AJ806" s="125"/>
      <c r="AK806" s="189"/>
      <c r="AL806" s="124"/>
      <c r="AM806" s="124"/>
      <c r="AN806" s="124"/>
      <c r="AO806" s="360"/>
      <c r="AP806" s="360"/>
      <c r="AQ806" s="360"/>
      <c r="AR806" s="360"/>
      <c r="AS806" s="360"/>
      <c r="AT806" s="360"/>
      <c r="AU806" s="360"/>
      <c r="AV806" s="360"/>
      <c r="AW806" s="360"/>
      <c r="AX806" s="360"/>
      <c r="AY806" s="360"/>
      <c r="AZ806" s="360"/>
      <c r="BA806" s="360"/>
      <c r="BB806" s="360"/>
      <c r="BC806" s="360"/>
    </row>
    <row r="807">
      <c r="A807" s="125"/>
      <c r="B807" s="189"/>
      <c r="C807" s="124"/>
      <c r="D807" s="124"/>
      <c r="E807" s="124"/>
      <c r="F807" s="125"/>
      <c r="G807" s="189"/>
      <c r="H807" s="124"/>
      <c r="I807" s="124"/>
      <c r="J807" s="124"/>
      <c r="K807" s="102"/>
      <c r="L807" s="189"/>
      <c r="M807" s="124"/>
      <c r="N807" s="124"/>
      <c r="O807" s="124"/>
      <c r="P807" s="102"/>
      <c r="Q807" s="161"/>
      <c r="R807" s="124"/>
      <c r="S807" s="124"/>
      <c r="T807" s="124"/>
      <c r="U807" s="125"/>
      <c r="V807" s="189"/>
      <c r="W807" s="124"/>
      <c r="X807" s="124"/>
      <c r="Y807" s="124"/>
      <c r="Z807" s="125"/>
      <c r="AA807" s="189"/>
      <c r="AB807" s="124"/>
      <c r="AC807" s="124"/>
      <c r="AD807" s="124"/>
      <c r="AE807" s="125"/>
      <c r="AF807" s="189"/>
      <c r="AG807" s="124"/>
      <c r="AH807" s="124"/>
      <c r="AI807" s="124"/>
      <c r="AJ807" s="125"/>
      <c r="AK807" s="189"/>
      <c r="AL807" s="124"/>
      <c r="AM807" s="124"/>
      <c r="AN807" s="124"/>
      <c r="AO807" s="360"/>
      <c r="AP807" s="360"/>
      <c r="AQ807" s="360"/>
      <c r="AR807" s="360"/>
      <c r="AS807" s="360"/>
      <c r="AT807" s="360"/>
      <c r="AU807" s="360"/>
      <c r="AV807" s="360"/>
      <c r="AW807" s="360"/>
      <c r="AX807" s="360"/>
      <c r="AY807" s="360"/>
      <c r="AZ807" s="360"/>
      <c r="BA807" s="360"/>
      <c r="BB807" s="360"/>
      <c r="BC807" s="360"/>
    </row>
    <row r="808">
      <c r="A808" s="125"/>
      <c r="B808" s="189"/>
      <c r="C808" s="124"/>
      <c r="D808" s="124"/>
      <c r="E808" s="124"/>
      <c r="F808" s="125"/>
      <c r="G808" s="189"/>
      <c r="H808" s="124"/>
      <c r="I808" s="124"/>
      <c r="J808" s="124"/>
      <c r="K808" s="102"/>
      <c r="L808" s="189"/>
      <c r="M808" s="124"/>
      <c r="N808" s="124"/>
      <c r="O808" s="124"/>
      <c r="P808" s="102"/>
      <c r="Q808" s="161"/>
      <c r="R808" s="124"/>
      <c r="S808" s="124"/>
      <c r="T808" s="124"/>
      <c r="U808" s="125"/>
      <c r="V808" s="189"/>
      <c r="W808" s="124"/>
      <c r="X808" s="124"/>
      <c r="Y808" s="124"/>
      <c r="Z808" s="125"/>
      <c r="AA808" s="189"/>
      <c r="AB808" s="124"/>
      <c r="AC808" s="124"/>
      <c r="AD808" s="124"/>
      <c r="AE808" s="125"/>
      <c r="AF808" s="189"/>
      <c r="AG808" s="124"/>
      <c r="AH808" s="124"/>
      <c r="AI808" s="124"/>
      <c r="AJ808" s="125"/>
      <c r="AK808" s="189"/>
      <c r="AL808" s="124"/>
      <c r="AM808" s="124"/>
      <c r="AN808" s="124"/>
      <c r="AO808" s="360"/>
      <c r="AP808" s="360"/>
      <c r="AQ808" s="360"/>
      <c r="AR808" s="360"/>
      <c r="AS808" s="360"/>
      <c r="AT808" s="360"/>
      <c r="AU808" s="360"/>
      <c r="AV808" s="360"/>
      <c r="AW808" s="360"/>
      <c r="AX808" s="360"/>
      <c r="AY808" s="360"/>
      <c r="AZ808" s="360"/>
      <c r="BA808" s="360"/>
      <c r="BB808" s="360"/>
      <c r="BC808" s="360"/>
    </row>
    <row r="809">
      <c r="A809" s="125"/>
      <c r="B809" s="189"/>
      <c r="C809" s="124"/>
      <c r="D809" s="124"/>
      <c r="E809" s="124"/>
      <c r="F809" s="125"/>
      <c r="G809" s="189"/>
      <c r="H809" s="124"/>
      <c r="I809" s="124"/>
      <c r="J809" s="124"/>
      <c r="K809" s="102"/>
      <c r="L809" s="189"/>
      <c r="M809" s="124"/>
      <c r="N809" s="124"/>
      <c r="O809" s="124"/>
      <c r="P809" s="102"/>
      <c r="Q809" s="161"/>
      <c r="R809" s="124"/>
      <c r="S809" s="124"/>
      <c r="T809" s="124"/>
      <c r="U809" s="125"/>
      <c r="V809" s="189"/>
      <c r="W809" s="124"/>
      <c r="X809" s="124"/>
      <c r="Y809" s="124"/>
      <c r="Z809" s="125"/>
      <c r="AA809" s="189"/>
      <c r="AB809" s="124"/>
      <c r="AC809" s="124"/>
      <c r="AD809" s="124"/>
      <c r="AE809" s="125"/>
      <c r="AF809" s="189"/>
      <c r="AG809" s="124"/>
      <c r="AH809" s="124"/>
      <c r="AI809" s="124"/>
      <c r="AJ809" s="125"/>
      <c r="AK809" s="189"/>
      <c r="AL809" s="124"/>
      <c r="AM809" s="124"/>
      <c r="AN809" s="124"/>
      <c r="AO809" s="360"/>
      <c r="AP809" s="360"/>
      <c r="AQ809" s="360"/>
      <c r="AR809" s="360"/>
      <c r="AS809" s="360"/>
      <c r="AT809" s="360"/>
      <c r="AU809" s="360"/>
      <c r="AV809" s="360"/>
      <c r="AW809" s="360"/>
      <c r="AX809" s="360"/>
      <c r="AY809" s="360"/>
      <c r="AZ809" s="360"/>
      <c r="BA809" s="360"/>
      <c r="BB809" s="360"/>
      <c r="BC809" s="360"/>
    </row>
    <row r="810">
      <c r="A810" s="125"/>
      <c r="B810" s="189"/>
      <c r="C810" s="124"/>
      <c r="D810" s="124"/>
      <c r="E810" s="124"/>
      <c r="F810" s="125"/>
      <c r="G810" s="189"/>
      <c r="H810" s="124"/>
      <c r="I810" s="124"/>
      <c r="J810" s="124"/>
      <c r="K810" s="102"/>
      <c r="L810" s="189"/>
      <c r="M810" s="124"/>
      <c r="N810" s="124"/>
      <c r="O810" s="124"/>
      <c r="P810" s="102"/>
      <c r="Q810" s="161"/>
      <c r="R810" s="124"/>
      <c r="S810" s="124"/>
      <c r="T810" s="124"/>
      <c r="U810" s="125"/>
      <c r="V810" s="189"/>
      <c r="W810" s="124"/>
      <c r="X810" s="124"/>
      <c r="Y810" s="124"/>
      <c r="Z810" s="125"/>
      <c r="AA810" s="189"/>
      <c r="AB810" s="124"/>
      <c r="AC810" s="124"/>
      <c r="AD810" s="124"/>
      <c r="AE810" s="125"/>
      <c r="AF810" s="189"/>
      <c r="AG810" s="124"/>
      <c r="AH810" s="124"/>
      <c r="AI810" s="124"/>
      <c r="AJ810" s="125"/>
      <c r="AK810" s="189"/>
      <c r="AL810" s="124"/>
      <c r="AM810" s="124"/>
      <c r="AN810" s="124"/>
      <c r="AO810" s="360"/>
      <c r="AP810" s="360"/>
      <c r="AQ810" s="360"/>
      <c r="AR810" s="360"/>
      <c r="AS810" s="360"/>
      <c r="AT810" s="360"/>
      <c r="AU810" s="360"/>
      <c r="AV810" s="360"/>
      <c r="AW810" s="360"/>
      <c r="AX810" s="360"/>
      <c r="AY810" s="360"/>
      <c r="AZ810" s="360"/>
      <c r="BA810" s="360"/>
      <c r="BB810" s="360"/>
      <c r="BC810" s="360"/>
    </row>
    <row r="811">
      <c r="A811" s="125"/>
      <c r="B811" s="189"/>
      <c r="C811" s="124"/>
      <c r="D811" s="124"/>
      <c r="E811" s="124"/>
      <c r="F811" s="125"/>
      <c r="G811" s="189"/>
      <c r="H811" s="124"/>
      <c r="I811" s="124"/>
      <c r="J811" s="124"/>
      <c r="K811" s="102"/>
      <c r="L811" s="189"/>
      <c r="M811" s="124"/>
      <c r="N811" s="124"/>
      <c r="O811" s="124"/>
      <c r="P811" s="102"/>
      <c r="Q811" s="161"/>
      <c r="R811" s="124"/>
      <c r="S811" s="124"/>
      <c r="T811" s="124"/>
      <c r="U811" s="125"/>
      <c r="V811" s="189"/>
      <c r="W811" s="124"/>
      <c r="X811" s="124"/>
      <c r="Y811" s="124"/>
      <c r="Z811" s="125"/>
      <c r="AA811" s="189"/>
      <c r="AB811" s="124"/>
      <c r="AC811" s="124"/>
      <c r="AD811" s="124"/>
      <c r="AE811" s="125"/>
      <c r="AF811" s="189"/>
      <c r="AG811" s="124"/>
      <c r="AH811" s="124"/>
      <c r="AI811" s="124"/>
      <c r="AJ811" s="125"/>
      <c r="AK811" s="189"/>
      <c r="AL811" s="124"/>
      <c r="AM811" s="124"/>
      <c r="AN811" s="124"/>
      <c r="AO811" s="360"/>
      <c r="AP811" s="360"/>
      <c r="AQ811" s="360"/>
      <c r="AR811" s="360"/>
      <c r="AS811" s="360"/>
      <c r="AT811" s="360"/>
      <c r="AU811" s="360"/>
      <c r="AV811" s="360"/>
      <c r="AW811" s="360"/>
      <c r="AX811" s="360"/>
      <c r="AY811" s="360"/>
      <c r="AZ811" s="360"/>
      <c r="BA811" s="360"/>
      <c r="BB811" s="360"/>
      <c r="BC811" s="360"/>
    </row>
    <row r="812">
      <c r="A812" s="125"/>
      <c r="B812" s="189"/>
      <c r="C812" s="124"/>
      <c r="D812" s="124"/>
      <c r="E812" s="124"/>
      <c r="F812" s="125"/>
      <c r="G812" s="189"/>
      <c r="H812" s="124"/>
      <c r="I812" s="124"/>
      <c r="J812" s="124"/>
      <c r="K812" s="102"/>
      <c r="L812" s="189"/>
      <c r="M812" s="124"/>
      <c r="N812" s="124"/>
      <c r="O812" s="124"/>
      <c r="P812" s="102"/>
      <c r="Q812" s="161"/>
      <c r="R812" s="124"/>
      <c r="S812" s="124"/>
      <c r="T812" s="124"/>
      <c r="U812" s="125"/>
      <c r="V812" s="189"/>
      <c r="W812" s="124"/>
      <c r="X812" s="124"/>
      <c r="Y812" s="124"/>
      <c r="Z812" s="125"/>
      <c r="AA812" s="189"/>
      <c r="AB812" s="124"/>
      <c r="AC812" s="124"/>
      <c r="AD812" s="124"/>
      <c r="AE812" s="125"/>
      <c r="AF812" s="189"/>
      <c r="AG812" s="124"/>
      <c r="AH812" s="124"/>
      <c r="AI812" s="124"/>
      <c r="AJ812" s="125"/>
      <c r="AK812" s="189"/>
      <c r="AL812" s="124"/>
      <c r="AM812" s="124"/>
      <c r="AN812" s="124"/>
      <c r="AO812" s="360"/>
      <c r="AP812" s="360"/>
      <c r="AQ812" s="360"/>
      <c r="AR812" s="360"/>
      <c r="AS812" s="360"/>
      <c r="AT812" s="360"/>
      <c r="AU812" s="360"/>
      <c r="AV812" s="360"/>
      <c r="AW812" s="360"/>
      <c r="AX812" s="360"/>
      <c r="AY812" s="360"/>
      <c r="AZ812" s="360"/>
      <c r="BA812" s="360"/>
      <c r="BB812" s="360"/>
      <c r="BC812" s="360"/>
    </row>
    <row r="813">
      <c r="A813" s="125"/>
      <c r="B813" s="189"/>
      <c r="C813" s="124"/>
      <c r="D813" s="124"/>
      <c r="E813" s="124"/>
      <c r="F813" s="125"/>
      <c r="G813" s="189"/>
      <c r="H813" s="124"/>
      <c r="I813" s="124"/>
      <c r="J813" s="124"/>
      <c r="K813" s="102"/>
      <c r="L813" s="189"/>
      <c r="M813" s="124"/>
      <c r="N813" s="124"/>
      <c r="O813" s="124"/>
      <c r="P813" s="102"/>
      <c r="Q813" s="161"/>
      <c r="R813" s="124"/>
      <c r="S813" s="124"/>
      <c r="T813" s="124"/>
      <c r="U813" s="125"/>
      <c r="V813" s="189"/>
      <c r="W813" s="124"/>
      <c r="X813" s="124"/>
      <c r="Y813" s="124"/>
      <c r="Z813" s="125"/>
      <c r="AA813" s="189"/>
      <c r="AB813" s="124"/>
      <c r="AC813" s="124"/>
      <c r="AD813" s="124"/>
      <c r="AE813" s="125"/>
      <c r="AF813" s="189"/>
      <c r="AG813" s="124"/>
      <c r="AH813" s="124"/>
      <c r="AI813" s="124"/>
      <c r="AJ813" s="125"/>
      <c r="AK813" s="189"/>
      <c r="AL813" s="124"/>
      <c r="AM813" s="124"/>
      <c r="AN813" s="124"/>
      <c r="AO813" s="360"/>
      <c r="AP813" s="360"/>
      <c r="AQ813" s="360"/>
      <c r="AR813" s="360"/>
      <c r="AS813" s="360"/>
      <c r="AT813" s="360"/>
      <c r="AU813" s="360"/>
      <c r="AV813" s="360"/>
      <c r="AW813" s="360"/>
      <c r="AX813" s="360"/>
      <c r="AY813" s="360"/>
      <c r="AZ813" s="360"/>
      <c r="BA813" s="360"/>
      <c r="BB813" s="360"/>
      <c r="BC813" s="360"/>
    </row>
    <row r="814">
      <c r="A814" s="125"/>
      <c r="B814" s="189"/>
      <c r="C814" s="124"/>
      <c r="D814" s="124"/>
      <c r="E814" s="124"/>
      <c r="F814" s="125"/>
      <c r="G814" s="189"/>
      <c r="H814" s="124"/>
      <c r="I814" s="124"/>
      <c r="J814" s="124"/>
      <c r="K814" s="102"/>
      <c r="L814" s="189"/>
      <c r="M814" s="124"/>
      <c r="N814" s="124"/>
      <c r="O814" s="124"/>
      <c r="P814" s="102"/>
      <c r="Q814" s="161"/>
      <c r="R814" s="124"/>
      <c r="S814" s="124"/>
      <c r="T814" s="124"/>
      <c r="U814" s="125"/>
      <c r="V814" s="189"/>
      <c r="W814" s="124"/>
      <c r="X814" s="124"/>
      <c r="Y814" s="124"/>
      <c r="Z814" s="125"/>
      <c r="AA814" s="189"/>
      <c r="AB814" s="124"/>
      <c r="AC814" s="124"/>
      <c r="AD814" s="124"/>
      <c r="AE814" s="125"/>
      <c r="AF814" s="189"/>
      <c r="AG814" s="124"/>
      <c r="AH814" s="124"/>
      <c r="AI814" s="124"/>
      <c r="AJ814" s="125"/>
      <c r="AK814" s="189"/>
      <c r="AL814" s="124"/>
      <c r="AM814" s="124"/>
      <c r="AN814" s="124"/>
      <c r="AO814" s="360"/>
      <c r="AP814" s="360"/>
      <c r="AQ814" s="360"/>
      <c r="AR814" s="360"/>
      <c r="AS814" s="360"/>
      <c r="AT814" s="360"/>
      <c r="AU814" s="360"/>
      <c r="AV814" s="360"/>
      <c r="AW814" s="360"/>
      <c r="AX814" s="360"/>
      <c r="AY814" s="360"/>
      <c r="AZ814" s="360"/>
      <c r="BA814" s="360"/>
      <c r="BB814" s="360"/>
      <c r="BC814" s="360"/>
    </row>
    <row r="815">
      <c r="A815" s="125"/>
      <c r="B815" s="189"/>
      <c r="C815" s="124"/>
      <c r="D815" s="124"/>
      <c r="E815" s="124"/>
      <c r="F815" s="125"/>
      <c r="G815" s="189"/>
      <c r="H815" s="124"/>
      <c r="I815" s="124"/>
      <c r="J815" s="124"/>
      <c r="K815" s="102"/>
      <c r="L815" s="189"/>
      <c r="M815" s="124"/>
      <c r="N815" s="124"/>
      <c r="O815" s="124"/>
      <c r="P815" s="102"/>
      <c r="Q815" s="161"/>
      <c r="R815" s="124"/>
      <c r="S815" s="124"/>
      <c r="T815" s="124"/>
      <c r="U815" s="125"/>
      <c r="V815" s="189"/>
      <c r="W815" s="124"/>
      <c r="X815" s="124"/>
      <c r="Y815" s="124"/>
      <c r="Z815" s="125"/>
      <c r="AA815" s="189"/>
      <c r="AB815" s="124"/>
      <c r="AC815" s="124"/>
      <c r="AD815" s="124"/>
      <c r="AE815" s="125"/>
      <c r="AF815" s="189"/>
      <c r="AG815" s="124"/>
      <c r="AH815" s="124"/>
      <c r="AI815" s="124"/>
      <c r="AJ815" s="125"/>
      <c r="AK815" s="189"/>
      <c r="AL815" s="124"/>
      <c r="AM815" s="124"/>
      <c r="AN815" s="124"/>
      <c r="AO815" s="360"/>
      <c r="AP815" s="360"/>
      <c r="AQ815" s="360"/>
      <c r="AR815" s="360"/>
      <c r="AS815" s="360"/>
      <c r="AT815" s="360"/>
      <c r="AU815" s="360"/>
      <c r="AV815" s="360"/>
      <c r="AW815" s="360"/>
      <c r="AX815" s="360"/>
      <c r="AY815" s="360"/>
      <c r="AZ815" s="360"/>
      <c r="BA815" s="360"/>
      <c r="BB815" s="360"/>
      <c r="BC815" s="360"/>
    </row>
    <row r="816">
      <c r="A816" s="125"/>
      <c r="B816" s="189"/>
      <c r="C816" s="124"/>
      <c r="D816" s="124"/>
      <c r="E816" s="124"/>
      <c r="F816" s="125"/>
      <c r="G816" s="189"/>
      <c r="H816" s="124"/>
      <c r="I816" s="124"/>
      <c r="J816" s="124"/>
      <c r="K816" s="102"/>
      <c r="L816" s="189"/>
      <c r="M816" s="124"/>
      <c r="N816" s="124"/>
      <c r="O816" s="124"/>
      <c r="P816" s="102"/>
      <c r="Q816" s="161"/>
      <c r="R816" s="124"/>
      <c r="S816" s="124"/>
      <c r="T816" s="124"/>
      <c r="U816" s="125"/>
      <c r="V816" s="189"/>
      <c r="W816" s="124"/>
      <c r="X816" s="124"/>
      <c r="Y816" s="124"/>
      <c r="Z816" s="125"/>
      <c r="AA816" s="189"/>
      <c r="AB816" s="124"/>
      <c r="AC816" s="124"/>
      <c r="AD816" s="124"/>
      <c r="AE816" s="125"/>
      <c r="AF816" s="189"/>
      <c r="AG816" s="124"/>
      <c r="AH816" s="124"/>
      <c r="AI816" s="124"/>
      <c r="AJ816" s="125"/>
      <c r="AK816" s="189"/>
      <c r="AL816" s="124"/>
      <c r="AM816" s="124"/>
      <c r="AN816" s="124"/>
      <c r="AO816" s="360"/>
      <c r="AP816" s="360"/>
      <c r="AQ816" s="360"/>
      <c r="AR816" s="360"/>
      <c r="AS816" s="360"/>
      <c r="AT816" s="360"/>
      <c r="AU816" s="360"/>
      <c r="AV816" s="360"/>
      <c r="AW816" s="360"/>
      <c r="AX816" s="360"/>
      <c r="AY816" s="360"/>
      <c r="AZ816" s="360"/>
      <c r="BA816" s="360"/>
      <c r="BB816" s="360"/>
      <c r="BC816" s="360"/>
    </row>
    <row r="817">
      <c r="A817" s="125"/>
      <c r="B817" s="189"/>
      <c r="C817" s="124"/>
      <c r="D817" s="124"/>
      <c r="E817" s="124"/>
      <c r="F817" s="125"/>
      <c r="G817" s="189"/>
      <c r="H817" s="124"/>
      <c r="I817" s="124"/>
      <c r="J817" s="124"/>
      <c r="K817" s="102"/>
      <c r="L817" s="189"/>
      <c r="M817" s="124"/>
      <c r="N817" s="124"/>
      <c r="O817" s="124"/>
      <c r="P817" s="102"/>
      <c r="Q817" s="161"/>
      <c r="R817" s="124"/>
      <c r="S817" s="124"/>
      <c r="T817" s="124"/>
      <c r="U817" s="125"/>
      <c r="V817" s="189"/>
      <c r="W817" s="124"/>
      <c r="X817" s="124"/>
      <c r="Y817" s="124"/>
      <c r="Z817" s="125"/>
      <c r="AA817" s="189"/>
      <c r="AB817" s="124"/>
      <c r="AC817" s="124"/>
      <c r="AD817" s="124"/>
      <c r="AE817" s="125"/>
      <c r="AF817" s="189"/>
      <c r="AG817" s="124"/>
      <c r="AH817" s="124"/>
      <c r="AI817" s="124"/>
      <c r="AJ817" s="125"/>
      <c r="AK817" s="189"/>
      <c r="AL817" s="124"/>
      <c r="AM817" s="124"/>
      <c r="AN817" s="124"/>
      <c r="AO817" s="360"/>
      <c r="AP817" s="360"/>
      <c r="AQ817" s="360"/>
      <c r="AR817" s="360"/>
      <c r="AS817" s="360"/>
      <c r="AT817" s="360"/>
      <c r="AU817" s="360"/>
      <c r="AV817" s="360"/>
      <c r="AW817" s="360"/>
      <c r="AX817" s="360"/>
      <c r="AY817" s="360"/>
      <c r="AZ817" s="360"/>
      <c r="BA817" s="360"/>
      <c r="BB817" s="360"/>
      <c r="BC817" s="360"/>
    </row>
    <row r="818">
      <c r="A818" s="125"/>
      <c r="B818" s="189"/>
      <c r="C818" s="124"/>
      <c r="D818" s="124"/>
      <c r="E818" s="124"/>
      <c r="F818" s="125"/>
      <c r="G818" s="189"/>
      <c r="H818" s="124"/>
      <c r="I818" s="124"/>
      <c r="J818" s="124"/>
      <c r="K818" s="102"/>
      <c r="L818" s="189"/>
      <c r="M818" s="124"/>
      <c r="N818" s="124"/>
      <c r="O818" s="124"/>
      <c r="P818" s="102"/>
      <c r="Q818" s="161"/>
      <c r="R818" s="124"/>
      <c r="S818" s="124"/>
      <c r="T818" s="124"/>
      <c r="U818" s="125"/>
      <c r="V818" s="189"/>
      <c r="W818" s="124"/>
      <c r="X818" s="124"/>
      <c r="Y818" s="124"/>
      <c r="Z818" s="125"/>
      <c r="AA818" s="189"/>
      <c r="AB818" s="124"/>
      <c r="AC818" s="124"/>
      <c r="AD818" s="124"/>
      <c r="AE818" s="125"/>
      <c r="AF818" s="189"/>
      <c r="AG818" s="124"/>
      <c r="AH818" s="124"/>
      <c r="AI818" s="124"/>
      <c r="AJ818" s="125"/>
      <c r="AK818" s="189"/>
      <c r="AL818" s="124"/>
      <c r="AM818" s="124"/>
      <c r="AN818" s="124"/>
      <c r="AO818" s="360"/>
      <c r="AP818" s="360"/>
      <c r="AQ818" s="360"/>
      <c r="AR818" s="360"/>
      <c r="AS818" s="360"/>
      <c r="AT818" s="360"/>
      <c r="AU818" s="360"/>
      <c r="AV818" s="360"/>
      <c r="AW818" s="360"/>
      <c r="AX818" s="360"/>
      <c r="AY818" s="360"/>
      <c r="AZ818" s="360"/>
      <c r="BA818" s="360"/>
      <c r="BB818" s="360"/>
      <c r="BC818" s="360"/>
    </row>
    <row r="819">
      <c r="A819" s="125"/>
      <c r="B819" s="189"/>
      <c r="C819" s="124"/>
      <c r="D819" s="124"/>
      <c r="E819" s="124"/>
      <c r="F819" s="125"/>
      <c r="G819" s="189"/>
      <c r="H819" s="124"/>
      <c r="I819" s="124"/>
      <c r="J819" s="124"/>
      <c r="K819" s="102"/>
      <c r="L819" s="189"/>
      <c r="M819" s="124"/>
      <c r="N819" s="124"/>
      <c r="O819" s="124"/>
      <c r="P819" s="102"/>
      <c r="Q819" s="161"/>
      <c r="R819" s="124"/>
      <c r="S819" s="124"/>
      <c r="T819" s="124"/>
      <c r="U819" s="125"/>
      <c r="V819" s="189"/>
      <c r="W819" s="124"/>
      <c r="X819" s="124"/>
      <c r="Y819" s="124"/>
      <c r="Z819" s="125"/>
      <c r="AA819" s="189"/>
      <c r="AB819" s="124"/>
      <c r="AC819" s="124"/>
      <c r="AD819" s="124"/>
      <c r="AE819" s="125"/>
      <c r="AF819" s="189"/>
      <c r="AG819" s="124"/>
      <c r="AH819" s="124"/>
      <c r="AI819" s="124"/>
      <c r="AJ819" s="125"/>
      <c r="AK819" s="189"/>
      <c r="AL819" s="124"/>
      <c r="AM819" s="124"/>
      <c r="AN819" s="124"/>
      <c r="AO819" s="360"/>
      <c r="AP819" s="360"/>
      <c r="AQ819" s="360"/>
      <c r="AR819" s="360"/>
      <c r="AS819" s="360"/>
      <c r="AT819" s="360"/>
      <c r="AU819" s="360"/>
      <c r="AV819" s="360"/>
      <c r="AW819" s="360"/>
      <c r="AX819" s="360"/>
      <c r="AY819" s="360"/>
      <c r="AZ819" s="360"/>
      <c r="BA819" s="360"/>
      <c r="BB819" s="360"/>
      <c r="BC819" s="360"/>
    </row>
    <row r="820">
      <c r="A820" s="125"/>
      <c r="B820" s="189"/>
      <c r="C820" s="124"/>
      <c r="D820" s="124"/>
      <c r="E820" s="124"/>
      <c r="F820" s="125"/>
      <c r="G820" s="189"/>
      <c r="H820" s="124"/>
      <c r="I820" s="124"/>
      <c r="J820" s="124"/>
      <c r="K820" s="102"/>
      <c r="L820" s="189"/>
      <c r="M820" s="124"/>
      <c r="N820" s="124"/>
      <c r="O820" s="124"/>
      <c r="P820" s="102"/>
      <c r="Q820" s="161"/>
      <c r="R820" s="124"/>
      <c r="S820" s="124"/>
      <c r="T820" s="124"/>
      <c r="U820" s="125"/>
      <c r="V820" s="189"/>
      <c r="W820" s="124"/>
      <c r="X820" s="124"/>
      <c r="Y820" s="124"/>
      <c r="Z820" s="125"/>
      <c r="AA820" s="189"/>
      <c r="AB820" s="124"/>
      <c r="AC820" s="124"/>
      <c r="AD820" s="124"/>
      <c r="AE820" s="125"/>
      <c r="AF820" s="189"/>
      <c r="AG820" s="124"/>
      <c r="AH820" s="124"/>
      <c r="AI820" s="124"/>
      <c r="AJ820" s="125"/>
      <c r="AK820" s="189"/>
      <c r="AL820" s="124"/>
      <c r="AM820" s="124"/>
      <c r="AN820" s="124"/>
      <c r="AO820" s="360"/>
      <c r="AP820" s="360"/>
      <c r="AQ820" s="360"/>
      <c r="AR820" s="360"/>
      <c r="AS820" s="360"/>
      <c r="AT820" s="360"/>
      <c r="AU820" s="360"/>
      <c r="AV820" s="360"/>
      <c r="AW820" s="360"/>
      <c r="AX820" s="360"/>
      <c r="AY820" s="360"/>
      <c r="AZ820" s="360"/>
      <c r="BA820" s="360"/>
      <c r="BB820" s="360"/>
      <c r="BC820" s="360"/>
    </row>
    <row r="821">
      <c r="A821" s="125"/>
      <c r="B821" s="189"/>
      <c r="C821" s="124"/>
      <c r="D821" s="124"/>
      <c r="E821" s="124"/>
      <c r="F821" s="125"/>
      <c r="G821" s="189"/>
      <c r="H821" s="124"/>
      <c r="I821" s="124"/>
      <c r="J821" s="124"/>
      <c r="K821" s="102"/>
      <c r="L821" s="189"/>
      <c r="M821" s="124"/>
      <c r="N821" s="124"/>
      <c r="O821" s="124"/>
      <c r="P821" s="102"/>
      <c r="Q821" s="161"/>
      <c r="R821" s="124"/>
      <c r="S821" s="124"/>
      <c r="T821" s="124"/>
      <c r="U821" s="125"/>
      <c r="V821" s="189"/>
      <c r="W821" s="124"/>
      <c r="X821" s="124"/>
      <c r="Y821" s="124"/>
      <c r="Z821" s="125"/>
      <c r="AA821" s="189"/>
      <c r="AB821" s="124"/>
      <c r="AC821" s="124"/>
      <c r="AD821" s="124"/>
      <c r="AE821" s="125"/>
      <c r="AF821" s="189"/>
      <c r="AG821" s="124"/>
      <c r="AH821" s="124"/>
      <c r="AI821" s="124"/>
      <c r="AJ821" s="125"/>
      <c r="AK821" s="189"/>
      <c r="AL821" s="124"/>
      <c r="AM821" s="124"/>
      <c r="AN821" s="124"/>
      <c r="AO821" s="360"/>
      <c r="AP821" s="360"/>
      <c r="AQ821" s="360"/>
      <c r="AR821" s="360"/>
      <c r="AS821" s="360"/>
      <c r="AT821" s="360"/>
      <c r="AU821" s="360"/>
      <c r="AV821" s="360"/>
      <c r="AW821" s="360"/>
      <c r="AX821" s="360"/>
      <c r="AY821" s="360"/>
      <c r="AZ821" s="360"/>
      <c r="BA821" s="360"/>
      <c r="BB821" s="360"/>
      <c r="BC821" s="360"/>
    </row>
    <row r="822">
      <c r="A822" s="125"/>
      <c r="B822" s="189"/>
      <c r="C822" s="124"/>
      <c r="D822" s="124"/>
      <c r="E822" s="124"/>
      <c r="F822" s="125"/>
      <c r="G822" s="189"/>
      <c r="H822" s="124"/>
      <c r="I822" s="124"/>
      <c r="J822" s="124"/>
      <c r="K822" s="102"/>
      <c r="L822" s="189"/>
      <c r="M822" s="124"/>
      <c r="N822" s="124"/>
      <c r="O822" s="124"/>
      <c r="P822" s="102"/>
      <c r="Q822" s="161"/>
      <c r="R822" s="124"/>
      <c r="S822" s="124"/>
      <c r="T822" s="124"/>
      <c r="U822" s="125"/>
      <c r="V822" s="189"/>
      <c r="W822" s="124"/>
      <c r="X822" s="124"/>
      <c r="Y822" s="124"/>
      <c r="Z822" s="125"/>
      <c r="AA822" s="189"/>
      <c r="AB822" s="124"/>
      <c r="AC822" s="124"/>
      <c r="AD822" s="124"/>
      <c r="AE822" s="125"/>
      <c r="AF822" s="189"/>
      <c r="AG822" s="124"/>
      <c r="AH822" s="124"/>
      <c r="AI822" s="124"/>
      <c r="AJ822" s="125"/>
      <c r="AK822" s="189"/>
      <c r="AL822" s="124"/>
      <c r="AM822" s="124"/>
      <c r="AN822" s="124"/>
      <c r="AO822" s="360"/>
      <c r="AP822" s="360"/>
      <c r="AQ822" s="360"/>
      <c r="AR822" s="360"/>
      <c r="AS822" s="360"/>
      <c r="AT822" s="360"/>
      <c r="AU822" s="360"/>
      <c r="AV822" s="360"/>
      <c r="AW822" s="360"/>
      <c r="AX822" s="360"/>
      <c r="AY822" s="360"/>
      <c r="AZ822" s="360"/>
      <c r="BA822" s="360"/>
      <c r="BB822" s="360"/>
      <c r="BC822" s="360"/>
    </row>
    <row r="823">
      <c r="A823" s="125"/>
      <c r="B823" s="189"/>
      <c r="C823" s="124"/>
      <c r="D823" s="124"/>
      <c r="E823" s="124"/>
      <c r="F823" s="125"/>
      <c r="G823" s="189"/>
      <c r="H823" s="124"/>
      <c r="I823" s="124"/>
      <c r="J823" s="124"/>
      <c r="K823" s="102"/>
      <c r="L823" s="189"/>
      <c r="M823" s="124"/>
      <c r="N823" s="124"/>
      <c r="O823" s="124"/>
      <c r="P823" s="102"/>
      <c r="Q823" s="161"/>
      <c r="R823" s="124"/>
      <c r="S823" s="124"/>
      <c r="T823" s="124"/>
      <c r="U823" s="125"/>
      <c r="V823" s="189"/>
      <c r="W823" s="124"/>
      <c r="X823" s="124"/>
      <c r="Y823" s="124"/>
      <c r="Z823" s="125"/>
      <c r="AA823" s="189"/>
      <c r="AB823" s="124"/>
      <c r="AC823" s="124"/>
      <c r="AD823" s="124"/>
      <c r="AE823" s="125"/>
      <c r="AF823" s="189"/>
      <c r="AG823" s="124"/>
      <c r="AH823" s="124"/>
      <c r="AI823" s="124"/>
      <c r="AJ823" s="125"/>
      <c r="AK823" s="189"/>
      <c r="AL823" s="124"/>
      <c r="AM823" s="124"/>
      <c r="AN823" s="124"/>
      <c r="AO823" s="360"/>
      <c r="AP823" s="360"/>
      <c r="AQ823" s="360"/>
      <c r="AR823" s="360"/>
      <c r="AS823" s="360"/>
      <c r="AT823" s="360"/>
      <c r="AU823" s="360"/>
      <c r="AV823" s="360"/>
      <c r="AW823" s="360"/>
      <c r="AX823" s="360"/>
      <c r="AY823" s="360"/>
      <c r="AZ823" s="360"/>
      <c r="BA823" s="360"/>
      <c r="BB823" s="360"/>
      <c r="BC823" s="360"/>
    </row>
    <row r="824">
      <c r="A824" s="125"/>
      <c r="B824" s="189"/>
      <c r="C824" s="124"/>
      <c r="D824" s="124"/>
      <c r="E824" s="124"/>
      <c r="F824" s="125"/>
      <c r="G824" s="189"/>
      <c r="H824" s="124"/>
      <c r="I824" s="124"/>
      <c r="J824" s="124"/>
      <c r="K824" s="102"/>
      <c r="L824" s="189"/>
      <c r="M824" s="124"/>
      <c r="N824" s="124"/>
      <c r="O824" s="124"/>
      <c r="P824" s="102"/>
      <c r="Q824" s="161"/>
      <c r="R824" s="124"/>
      <c r="S824" s="124"/>
      <c r="T824" s="124"/>
      <c r="U824" s="125"/>
      <c r="V824" s="189"/>
      <c r="W824" s="124"/>
      <c r="X824" s="124"/>
      <c r="Y824" s="124"/>
      <c r="Z824" s="125"/>
      <c r="AA824" s="189"/>
      <c r="AB824" s="124"/>
      <c r="AC824" s="124"/>
      <c r="AD824" s="124"/>
      <c r="AE824" s="125"/>
      <c r="AF824" s="189"/>
      <c r="AG824" s="124"/>
      <c r="AH824" s="124"/>
      <c r="AI824" s="124"/>
      <c r="AJ824" s="125"/>
      <c r="AK824" s="189"/>
      <c r="AL824" s="124"/>
      <c r="AM824" s="124"/>
      <c r="AN824" s="124"/>
      <c r="AO824" s="360"/>
      <c r="AP824" s="360"/>
      <c r="AQ824" s="360"/>
      <c r="AR824" s="360"/>
      <c r="AS824" s="360"/>
      <c r="AT824" s="360"/>
      <c r="AU824" s="360"/>
      <c r="AV824" s="360"/>
      <c r="AW824" s="360"/>
      <c r="AX824" s="360"/>
      <c r="AY824" s="360"/>
      <c r="AZ824" s="360"/>
      <c r="BA824" s="360"/>
      <c r="BB824" s="360"/>
      <c r="BC824" s="360"/>
    </row>
    <row r="825">
      <c r="A825" s="125"/>
      <c r="B825" s="189"/>
      <c r="C825" s="124"/>
      <c r="D825" s="124"/>
      <c r="E825" s="124"/>
      <c r="F825" s="125"/>
      <c r="G825" s="189"/>
      <c r="H825" s="124"/>
      <c r="I825" s="124"/>
      <c r="J825" s="124"/>
      <c r="K825" s="102"/>
      <c r="L825" s="189"/>
      <c r="M825" s="124"/>
      <c r="N825" s="124"/>
      <c r="O825" s="124"/>
      <c r="P825" s="102"/>
      <c r="Q825" s="161"/>
      <c r="R825" s="124"/>
      <c r="S825" s="124"/>
      <c r="T825" s="124"/>
      <c r="U825" s="125"/>
      <c r="V825" s="189"/>
      <c r="W825" s="124"/>
      <c r="X825" s="124"/>
      <c r="Y825" s="124"/>
      <c r="Z825" s="125"/>
      <c r="AA825" s="189"/>
      <c r="AB825" s="124"/>
      <c r="AC825" s="124"/>
      <c r="AD825" s="124"/>
      <c r="AE825" s="125"/>
      <c r="AF825" s="189"/>
      <c r="AG825" s="124"/>
      <c r="AH825" s="124"/>
      <c r="AI825" s="124"/>
      <c r="AJ825" s="125"/>
      <c r="AK825" s="189"/>
      <c r="AL825" s="124"/>
      <c r="AM825" s="124"/>
      <c r="AN825" s="124"/>
      <c r="AO825" s="360"/>
      <c r="AP825" s="360"/>
      <c r="AQ825" s="360"/>
      <c r="AR825" s="360"/>
      <c r="AS825" s="360"/>
      <c r="AT825" s="360"/>
      <c r="AU825" s="360"/>
      <c r="AV825" s="360"/>
      <c r="AW825" s="360"/>
      <c r="AX825" s="360"/>
      <c r="AY825" s="360"/>
      <c r="AZ825" s="360"/>
      <c r="BA825" s="360"/>
      <c r="BB825" s="360"/>
      <c r="BC825" s="360"/>
    </row>
    <row r="826">
      <c r="A826" s="125"/>
      <c r="B826" s="189"/>
      <c r="C826" s="124"/>
      <c r="D826" s="124"/>
      <c r="E826" s="124"/>
      <c r="F826" s="125"/>
      <c r="G826" s="189"/>
      <c r="H826" s="124"/>
      <c r="I826" s="124"/>
      <c r="J826" s="124"/>
      <c r="K826" s="102"/>
      <c r="L826" s="189"/>
      <c r="M826" s="124"/>
      <c r="N826" s="124"/>
      <c r="O826" s="124"/>
      <c r="P826" s="102"/>
      <c r="Q826" s="161"/>
      <c r="R826" s="124"/>
      <c r="S826" s="124"/>
      <c r="T826" s="124"/>
      <c r="U826" s="125"/>
      <c r="V826" s="189"/>
      <c r="W826" s="124"/>
      <c r="X826" s="124"/>
      <c r="Y826" s="124"/>
      <c r="Z826" s="125"/>
      <c r="AA826" s="189"/>
      <c r="AB826" s="124"/>
      <c r="AC826" s="124"/>
      <c r="AD826" s="124"/>
      <c r="AE826" s="125"/>
      <c r="AF826" s="189"/>
      <c r="AG826" s="124"/>
      <c r="AH826" s="124"/>
      <c r="AI826" s="124"/>
      <c r="AJ826" s="125"/>
      <c r="AK826" s="189"/>
      <c r="AL826" s="124"/>
      <c r="AM826" s="124"/>
      <c r="AN826" s="124"/>
      <c r="AO826" s="360"/>
      <c r="AP826" s="360"/>
      <c r="AQ826" s="360"/>
      <c r="AR826" s="360"/>
      <c r="AS826" s="360"/>
      <c r="AT826" s="360"/>
      <c r="AU826" s="360"/>
      <c r="AV826" s="360"/>
      <c r="AW826" s="360"/>
      <c r="AX826" s="360"/>
      <c r="AY826" s="360"/>
      <c r="AZ826" s="360"/>
      <c r="BA826" s="360"/>
      <c r="BB826" s="360"/>
      <c r="BC826" s="360"/>
    </row>
    <row r="827">
      <c r="A827" s="125"/>
      <c r="B827" s="189"/>
      <c r="C827" s="124"/>
      <c r="D827" s="124"/>
      <c r="E827" s="124"/>
      <c r="F827" s="125"/>
      <c r="G827" s="189"/>
      <c r="H827" s="124"/>
      <c r="I827" s="124"/>
      <c r="J827" s="124"/>
      <c r="K827" s="102"/>
      <c r="L827" s="189"/>
      <c r="M827" s="124"/>
      <c r="N827" s="124"/>
      <c r="O827" s="124"/>
      <c r="P827" s="102"/>
      <c r="Q827" s="161"/>
      <c r="R827" s="124"/>
      <c r="S827" s="124"/>
      <c r="T827" s="124"/>
      <c r="U827" s="125"/>
      <c r="V827" s="189"/>
      <c r="W827" s="124"/>
      <c r="X827" s="124"/>
      <c r="Y827" s="124"/>
      <c r="Z827" s="125"/>
      <c r="AA827" s="189"/>
      <c r="AB827" s="124"/>
      <c r="AC827" s="124"/>
      <c r="AD827" s="124"/>
      <c r="AE827" s="125"/>
      <c r="AF827" s="189"/>
      <c r="AG827" s="124"/>
      <c r="AH827" s="124"/>
      <c r="AI827" s="124"/>
      <c r="AJ827" s="125"/>
      <c r="AK827" s="189"/>
      <c r="AL827" s="124"/>
      <c r="AM827" s="124"/>
      <c r="AN827" s="124"/>
      <c r="AO827" s="360"/>
      <c r="AP827" s="360"/>
      <c r="AQ827" s="360"/>
      <c r="AR827" s="360"/>
      <c r="AS827" s="360"/>
      <c r="AT827" s="360"/>
      <c r="AU827" s="360"/>
      <c r="AV827" s="360"/>
      <c r="AW827" s="360"/>
      <c r="AX827" s="360"/>
      <c r="AY827" s="360"/>
      <c r="AZ827" s="360"/>
      <c r="BA827" s="360"/>
      <c r="BB827" s="360"/>
      <c r="BC827" s="360"/>
    </row>
    <row r="828">
      <c r="A828" s="125"/>
      <c r="B828" s="189"/>
      <c r="C828" s="124"/>
      <c r="D828" s="124"/>
      <c r="E828" s="124"/>
      <c r="F828" s="125"/>
      <c r="G828" s="189"/>
      <c r="H828" s="124"/>
      <c r="I828" s="124"/>
      <c r="J828" s="124"/>
      <c r="K828" s="102"/>
      <c r="L828" s="189"/>
      <c r="M828" s="124"/>
      <c r="N828" s="124"/>
      <c r="O828" s="124"/>
      <c r="P828" s="102"/>
      <c r="Q828" s="161"/>
      <c r="R828" s="124"/>
      <c r="S828" s="124"/>
      <c r="T828" s="124"/>
      <c r="U828" s="125"/>
      <c r="V828" s="189"/>
      <c r="W828" s="124"/>
      <c r="X828" s="124"/>
      <c r="Y828" s="124"/>
      <c r="Z828" s="125"/>
      <c r="AA828" s="189"/>
      <c r="AB828" s="124"/>
      <c r="AC828" s="124"/>
      <c r="AD828" s="124"/>
      <c r="AE828" s="125"/>
      <c r="AF828" s="189"/>
      <c r="AG828" s="124"/>
      <c r="AH828" s="124"/>
      <c r="AI828" s="124"/>
      <c r="AJ828" s="125"/>
      <c r="AK828" s="189"/>
      <c r="AL828" s="124"/>
      <c r="AM828" s="124"/>
      <c r="AN828" s="124"/>
      <c r="AO828" s="360"/>
      <c r="AP828" s="360"/>
      <c r="AQ828" s="360"/>
      <c r="AR828" s="360"/>
      <c r="AS828" s="360"/>
      <c r="AT828" s="360"/>
      <c r="AU828" s="360"/>
      <c r="AV828" s="360"/>
      <c r="AW828" s="360"/>
      <c r="AX828" s="360"/>
      <c r="AY828" s="360"/>
      <c r="AZ828" s="360"/>
      <c r="BA828" s="360"/>
      <c r="BB828" s="360"/>
      <c r="BC828" s="360"/>
    </row>
    <row r="829">
      <c r="A829" s="125"/>
      <c r="B829" s="189"/>
      <c r="C829" s="124"/>
      <c r="D829" s="124"/>
      <c r="E829" s="124"/>
      <c r="F829" s="125"/>
      <c r="G829" s="189"/>
      <c r="H829" s="124"/>
      <c r="I829" s="124"/>
      <c r="J829" s="124"/>
      <c r="K829" s="102"/>
      <c r="L829" s="189"/>
      <c r="M829" s="124"/>
      <c r="N829" s="124"/>
      <c r="O829" s="124"/>
      <c r="P829" s="102"/>
      <c r="Q829" s="161"/>
      <c r="R829" s="124"/>
      <c r="S829" s="124"/>
      <c r="T829" s="124"/>
      <c r="U829" s="125"/>
      <c r="V829" s="189"/>
      <c r="W829" s="124"/>
      <c r="X829" s="124"/>
      <c r="Y829" s="124"/>
      <c r="Z829" s="125"/>
      <c r="AA829" s="189"/>
      <c r="AB829" s="124"/>
      <c r="AC829" s="124"/>
      <c r="AD829" s="124"/>
      <c r="AE829" s="125"/>
      <c r="AF829" s="189"/>
      <c r="AG829" s="124"/>
      <c r="AH829" s="124"/>
      <c r="AI829" s="124"/>
      <c r="AJ829" s="125"/>
      <c r="AK829" s="189"/>
      <c r="AL829" s="124"/>
      <c r="AM829" s="124"/>
      <c r="AN829" s="124"/>
      <c r="AO829" s="360"/>
      <c r="AP829" s="360"/>
      <c r="AQ829" s="360"/>
      <c r="AR829" s="360"/>
      <c r="AS829" s="360"/>
      <c r="AT829" s="360"/>
      <c r="AU829" s="360"/>
      <c r="AV829" s="360"/>
      <c r="AW829" s="360"/>
      <c r="AX829" s="360"/>
      <c r="AY829" s="360"/>
      <c r="AZ829" s="360"/>
      <c r="BA829" s="360"/>
      <c r="BB829" s="360"/>
      <c r="BC829" s="360"/>
    </row>
    <row r="830">
      <c r="A830" s="125"/>
      <c r="B830" s="189"/>
      <c r="C830" s="124"/>
      <c r="D830" s="124"/>
      <c r="E830" s="124"/>
      <c r="F830" s="125"/>
      <c r="G830" s="189"/>
      <c r="H830" s="124"/>
      <c r="I830" s="124"/>
      <c r="J830" s="124"/>
      <c r="K830" s="102"/>
      <c r="L830" s="189"/>
      <c r="M830" s="124"/>
      <c r="N830" s="124"/>
      <c r="O830" s="124"/>
      <c r="P830" s="102"/>
      <c r="Q830" s="161"/>
      <c r="R830" s="124"/>
      <c r="S830" s="124"/>
      <c r="T830" s="124"/>
      <c r="U830" s="125"/>
      <c r="V830" s="189"/>
      <c r="W830" s="124"/>
      <c r="X830" s="124"/>
      <c r="Y830" s="124"/>
      <c r="Z830" s="125"/>
      <c r="AA830" s="189"/>
      <c r="AB830" s="124"/>
      <c r="AC830" s="124"/>
      <c r="AD830" s="124"/>
      <c r="AE830" s="125"/>
      <c r="AF830" s="189"/>
      <c r="AG830" s="124"/>
      <c r="AH830" s="124"/>
      <c r="AI830" s="124"/>
      <c r="AJ830" s="125"/>
      <c r="AK830" s="189"/>
      <c r="AL830" s="124"/>
      <c r="AM830" s="124"/>
      <c r="AN830" s="124"/>
      <c r="AO830" s="360"/>
      <c r="AP830" s="360"/>
      <c r="AQ830" s="360"/>
      <c r="AR830" s="360"/>
      <c r="AS830" s="360"/>
      <c r="AT830" s="360"/>
      <c r="AU830" s="360"/>
      <c r="AV830" s="360"/>
      <c r="AW830" s="360"/>
      <c r="AX830" s="360"/>
      <c r="AY830" s="360"/>
      <c r="AZ830" s="360"/>
      <c r="BA830" s="360"/>
      <c r="BB830" s="360"/>
      <c r="BC830" s="360"/>
    </row>
    <row r="831">
      <c r="A831" s="125"/>
      <c r="B831" s="189"/>
      <c r="C831" s="124"/>
      <c r="D831" s="124"/>
      <c r="E831" s="124"/>
      <c r="F831" s="125"/>
      <c r="G831" s="189"/>
      <c r="H831" s="124"/>
      <c r="I831" s="124"/>
      <c r="J831" s="124"/>
      <c r="K831" s="102"/>
      <c r="L831" s="189"/>
      <c r="M831" s="124"/>
      <c r="N831" s="124"/>
      <c r="O831" s="124"/>
      <c r="P831" s="102"/>
      <c r="Q831" s="161"/>
      <c r="R831" s="124"/>
      <c r="S831" s="124"/>
      <c r="T831" s="124"/>
      <c r="U831" s="125"/>
      <c r="V831" s="189"/>
      <c r="W831" s="124"/>
      <c r="X831" s="124"/>
      <c r="Y831" s="124"/>
      <c r="Z831" s="125"/>
      <c r="AA831" s="189"/>
      <c r="AB831" s="124"/>
      <c r="AC831" s="124"/>
      <c r="AD831" s="124"/>
      <c r="AE831" s="125"/>
      <c r="AF831" s="189"/>
      <c r="AG831" s="124"/>
      <c r="AH831" s="124"/>
      <c r="AI831" s="124"/>
      <c r="AJ831" s="125"/>
      <c r="AK831" s="189"/>
      <c r="AL831" s="124"/>
      <c r="AM831" s="124"/>
      <c r="AN831" s="124"/>
      <c r="AO831" s="360"/>
      <c r="AP831" s="360"/>
      <c r="AQ831" s="360"/>
      <c r="AR831" s="360"/>
      <c r="AS831" s="360"/>
      <c r="AT831" s="360"/>
      <c r="AU831" s="360"/>
      <c r="AV831" s="360"/>
      <c r="AW831" s="360"/>
      <c r="AX831" s="360"/>
      <c r="AY831" s="360"/>
      <c r="AZ831" s="360"/>
      <c r="BA831" s="360"/>
      <c r="BB831" s="360"/>
      <c r="BC831" s="360"/>
    </row>
    <row r="832">
      <c r="A832" s="125"/>
      <c r="B832" s="189"/>
      <c r="C832" s="124"/>
      <c r="D832" s="124"/>
      <c r="E832" s="124"/>
      <c r="F832" s="125"/>
      <c r="G832" s="189"/>
      <c r="H832" s="124"/>
      <c r="I832" s="124"/>
      <c r="J832" s="124"/>
      <c r="K832" s="102"/>
      <c r="L832" s="189"/>
      <c r="M832" s="124"/>
      <c r="N832" s="124"/>
      <c r="O832" s="124"/>
      <c r="P832" s="102"/>
      <c r="Q832" s="161"/>
      <c r="R832" s="124"/>
      <c r="S832" s="124"/>
      <c r="T832" s="124"/>
      <c r="U832" s="125"/>
      <c r="V832" s="189"/>
      <c r="W832" s="124"/>
      <c r="X832" s="124"/>
      <c r="Y832" s="124"/>
      <c r="Z832" s="125"/>
      <c r="AA832" s="189"/>
      <c r="AB832" s="124"/>
      <c r="AC832" s="124"/>
      <c r="AD832" s="124"/>
      <c r="AE832" s="125"/>
      <c r="AF832" s="189"/>
      <c r="AG832" s="124"/>
      <c r="AH832" s="124"/>
      <c r="AI832" s="124"/>
      <c r="AJ832" s="125"/>
      <c r="AK832" s="189"/>
      <c r="AL832" s="124"/>
      <c r="AM832" s="124"/>
      <c r="AN832" s="124"/>
      <c r="AO832" s="360"/>
      <c r="AP832" s="360"/>
      <c r="AQ832" s="360"/>
      <c r="AR832" s="360"/>
      <c r="AS832" s="360"/>
      <c r="AT832" s="360"/>
      <c r="AU832" s="360"/>
      <c r="AV832" s="360"/>
      <c r="AW832" s="360"/>
      <c r="AX832" s="360"/>
      <c r="AY832" s="360"/>
      <c r="AZ832" s="360"/>
      <c r="BA832" s="360"/>
      <c r="BB832" s="360"/>
      <c r="BC832" s="360"/>
    </row>
    <row r="833">
      <c r="A833" s="125"/>
      <c r="B833" s="189"/>
      <c r="C833" s="124"/>
      <c r="D833" s="124"/>
      <c r="E833" s="124"/>
      <c r="F833" s="125"/>
      <c r="G833" s="189"/>
      <c r="H833" s="124"/>
      <c r="I833" s="124"/>
      <c r="J833" s="124"/>
      <c r="K833" s="102"/>
      <c r="L833" s="189"/>
      <c r="M833" s="124"/>
      <c r="N833" s="124"/>
      <c r="O833" s="124"/>
      <c r="P833" s="102"/>
      <c r="Q833" s="161"/>
      <c r="R833" s="124"/>
      <c r="S833" s="124"/>
      <c r="T833" s="124"/>
      <c r="U833" s="125"/>
      <c r="V833" s="189"/>
      <c r="W833" s="124"/>
      <c r="X833" s="124"/>
      <c r="Y833" s="124"/>
      <c r="Z833" s="125"/>
      <c r="AA833" s="189"/>
      <c r="AB833" s="124"/>
      <c r="AC833" s="124"/>
      <c r="AD833" s="124"/>
      <c r="AE833" s="125"/>
      <c r="AF833" s="189"/>
      <c r="AG833" s="124"/>
      <c r="AH833" s="124"/>
      <c r="AI833" s="124"/>
      <c r="AJ833" s="125"/>
      <c r="AK833" s="189"/>
      <c r="AL833" s="124"/>
      <c r="AM833" s="124"/>
      <c r="AN833" s="124"/>
      <c r="AO833" s="360"/>
      <c r="AP833" s="360"/>
      <c r="AQ833" s="360"/>
      <c r="AR833" s="360"/>
      <c r="AS833" s="360"/>
      <c r="AT833" s="360"/>
      <c r="AU833" s="360"/>
      <c r="AV833" s="360"/>
      <c r="AW833" s="360"/>
      <c r="AX833" s="360"/>
      <c r="AY833" s="360"/>
      <c r="AZ833" s="360"/>
      <c r="BA833" s="360"/>
      <c r="BB833" s="360"/>
      <c r="BC833" s="360"/>
    </row>
    <row r="834">
      <c r="A834" s="125"/>
      <c r="B834" s="189"/>
      <c r="C834" s="124"/>
      <c r="D834" s="124"/>
      <c r="E834" s="124"/>
      <c r="F834" s="125"/>
      <c r="G834" s="189"/>
      <c r="H834" s="124"/>
      <c r="I834" s="124"/>
      <c r="J834" s="124"/>
      <c r="K834" s="102"/>
      <c r="L834" s="189"/>
      <c r="M834" s="124"/>
      <c r="N834" s="124"/>
      <c r="O834" s="124"/>
      <c r="P834" s="102"/>
      <c r="Q834" s="161"/>
      <c r="R834" s="124"/>
      <c r="S834" s="124"/>
      <c r="T834" s="124"/>
      <c r="U834" s="125"/>
      <c r="V834" s="189"/>
      <c r="W834" s="124"/>
      <c r="X834" s="124"/>
      <c r="Y834" s="124"/>
      <c r="Z834" s="125"/>
      <c r="AA834" s="189"/>
      <c r="AB834" s="124"/>
      <c r="AC834" s="124"/>
      <c r="AD834" s="124"/>
      <c r="AE834" s="125"/>
      <c r="AF834" s="189"/>
      <c r="AG834" s="124"/>
      <c r="AH834" s="124"/>
      <c r="AI834" s="124"/>
      <c r="AJ834" s="125"/>
      <c r="AK834" s="189"/>
      <c r="AL834" s="124"/>
      <c r="AM834" s="124"/>
      <c r="AN834" s="124"/>
      <c r="AO834" s="360"/>
      <c r="AP834" s="360"/>
      <c r="AQ834" s="360"/>
      <c r="AR834" s="360"/>
      <c r="AS834" s="360"/>
      <c r="AT834" s="360"/>
      <c r="AU834" s="360"/>
      <c r="AV834" s="360"/>
      <c r="AW834" s="360"/>
      <c r="AX834" s="360"/>
      <c r="AY834" s="360"/>
      <c r="AZ834" s="360"/>
      <c r="BA834" s="360"/>
      <c r="BB834" s="360"/>
      <c r="BC834" s="360"/>
    </row>
    <row r="835">
      <c r="A835" s="125"/>
      <c r="B835" s="189"/>
      <c r="C835" s="124"/>
      <c r="D835" s="124"/>
      <c r="E835" s="124"/>
      <c r="F835" s="125"/>
      <c r="G835" s="189"/>
      <c r="H835" s="124"/>
      <c r="I835" s="124"/>
      <c r="J835" s="124"/>
      <c r="K835" s="102"/>
      <c r="L835" s="189"/>
      <c r="M835" s="124"/>
      <c r="N835" s="124"/>
      <c r="O835" s="124"/>
      <c r="P835" s="102"/>
      <c r="Q835" s="161"/>
      <c r="R835" s="124"/>
      <c r="S835" s="124"/>
      <c r="T835" s="124"/>
      <c r="U835" s="125"/>
      <c r="V835" s="189"/>
      <c r="W835" s="124"/>
      <c r="X835" s="124"/>
      <c r="Y835" s="124"/>
      <c r="Z835" s="125"/>
      <c r="AA835" s="189"/>
      <c r="AB835" s="124"/>
      <c r="AC835" s="124"/>
      <c r="AD835" s="124"/>
      <c r="AE835" s="125"/>
      <c r="AF835" s="189"/>
      <c r="AG835" s="124"/>
      <c r="AH835" s="124"/>
      <c r="AI835" s="124"/>
      <c r="AJ835" s="125"/>
      <c r="AK835" s="189"/>
      <c r="AL835" s="124"/>
      <c r="AM835" s="124"/>
      <c r="AN835" s="124"/>
      <c r="AO835" s="360"/>
      <c r="AP835" s="360"/>
      <c r="AQ835" s="360"/>
      <c r="AR835" s="360"/>
      <c r="AS835" s="360"/>
      <c r="AT835" s="360"/>
      <c r="AU835" s="360"/>
      <c r="AV835" s="360"/>
      <c r="AW835" s="360"/>
      <c r="AX835" s="360"/>
      <c r="AY835" s="360"/>
      <c r="AZ835" s="360"/>
      <c r="BA835" s="360"/>
      <c r="BB835" s="360"/>
      <c r="BC835" s="360"/>
    </row>
    <row r="836">
      <c r="A836" s="125"/>
      <c r="B836" s="189"/>
      <c r="C836" s="124"/>
      <c r="D836" s="124"/>
      <c r="E836" s="124"/>
      <c r="F836" s="125"/>
      <c r="G836" s="189"/>
      <c r="H836" s="124"/>
      <c r="I836" s="124"/>
      <c r="J836" s="124"/>
      <c r="K836" s="102"/>
      <c r="L836" s="189"/>
      <c r="M836" s="124"/>
      <c r="N836" s="124"/>
      <c r="O836" s="124"/>
      <c r="P836" s="102"/>
      <c r="Q836" s="161"/>
      <c r="R836" s="124"/>
      <c r="S836" s="124"/>
      <c r="T836" s="124"/>
      <c r="U836" s="125"/>
      <c r="V836" s="189"/>
      <c r="W836" s="124"/>
      <c r="X836" s="124"/>
      <c r="Y836" s="124"/>
      <c r="Z836" s="125"/>
      <c r="AA836" s="189"/>
      <c r="AB836" s="124"/>
      <c r="AC836" s="124"/>
      <c r="AD836" s="124"/>
      <c r="AE836" s="125"/>
      <c r="AF836" s="189"/>
      <c r="AG836" s="124"/>
      <c r="AH836" s="124"/>
      <c r="AI836" s="124"/>
      <c r="AJ836" s="125"/>
      <c r="AK836" s="189"/>
      <c r="AL836" s="124"/>
      <c r="AM836" s="124"/>
      <c r="AN836" s="124"/>
      <c r="AO836" s="360"/>
      <c r="AP836" s="360"/>
      <c r="AQ836" s="360"/>
      <c r="AR836" s="360"/>
      <c r="AS836" s="360"/>
      <c r="AT836" s="360"/>
      <c r="AU836" s="360"/>
      <c r="AV836" s="360"/>
      <c r="AW836" s="360"/>
      <c r="AX836" s="360"/>
      <c r="AY836" s="360"/>
      <c r="AZ836" s="360"/>
      <c r="BA836" s="360"/>
      <c r="BB836" s="360"/>
      <c r="BC836" s="360"/>
    </row>
    <row r="837">
      <c r="A837" s="125"/>
      <c r="B837" s="189"/>
      <c r="C837" s="124"/>
      <c r="D837" s="124"/>
      <c r="E837" s="124"/>
      <c r="F837" s="125"/>
      <c r="G837" s="189"/>
      <c r="H837" s="124"/>
      <c r="I837" s="124"/>
      <c r="J837" s="124"/>
      <c r="K837" s="102"/>
      <c r="L837" s="189"/>
      <c r="M837" s="124"/>
      <c r="N837" s="124"/>
      <c r="O837" s="124"/>
      <c r="P837" s="102"/>
      <c r="Q837" s="161"/>
      <c r="R837" s="124"/>
      <c r="S837" s="124"/>
      <c r="T837" s="124"/>
      <c r="U837" s="125"/>
      <c r="V837" s="189"/>
      <c r="W837" s="124"/>
      <c r="X837" s="124"/>
      <c r="Y837" s="124"/>
      <c r="Z837" s="125"/>
      <c r="AA837" s="189"/>
      <c r="AB837" s="124"/>
      <c r="AC837" s="124"/>
      <c r="AD837" s="124"/>
      <c r="AE837" s="125"/>
      <c r="AF837" s="189"/>
      <c r="AG837" s="124"/>
      <c r="AH837" s="124"/>
      <c r="AI837" s="124"/>
      <c r="AJ837" s="125"/>
      <c r="AK837" s="189"/>
      <c r="AL837" s="124"/>
      <c r="AM837" s="124"/>
      <c r="AN837" s="124"/>
      <c r="AO837" s="360"/>
      <c r="AP837" s="360"/>
      <c r="AQ837" s="360"/>
      <c r="AR837" s="360"/>
      <c r="AS837" s="360"/>
      <c r="AT837" s="360"/>
      <c r="AU837" s="360"/>
      <c r="AV837" s="360"/>
      <c r="AW837" s="360"/>
      <c r="AX837" s="360"/>
      <c r="AY837" s="360"/>
      <c r="AZ837" s="360"/>
      <c r="BA837" s="360"/>
      <c r="BB837" s="360"/>
      <c r="BC837" s="360"/>
    </row>
    <row r="838">
      <c r="A838" s="125"/>
      <c r="B838" s="189"/>
      <c r="C838" s="124"/>
      <c r="D838" s="124"/>
      <c r="E838" s="124"/>
      <c r="F838" s="125"/>
      <c r="G838" s="189"/>
      <c r="H838" s="124"/>
      <c r="I838" s="124"/>
      <c r="J838" s="124"/>
      <c r="K838" s="102"/>
      <c r="L838" s="189"/>
      <c r="M838" s="124"/>
      <c r="N838" s="124"/>
      <c r="O838" s="124"/>
      <c r="P838" s="102"/>
      <c r="Q838" s="161"/>
      <c r="R838" s="124"/>
      <c r="S838" s="124"/>
      <c r="T838" s="124"/>
      <c r="U838" s="125"/>
      <c r="V838" s="189"/>
      <c r="W838" s="124"/>
      <c r="X838" s="124"/>
      <c r="Y838" s="124"/>
      <c r="Z838" s="125"/>
      <c r="AA838" s="189"/>
      <c r="AB838" s="124"/>
      <c r="AC838" s="124"/>
      <c r="AD838" s="124"/>
      <c r="AE838" s="125"/>
      <c r="AF838" s="189"/>
      <c r="AG838" s="124"/>
      <c r="AH838" s="124"/>
      <c r="AI838" s="124"/>
      <c r="AJ838" s="125"/>
      <c r="AK838" s="189"/>
      <c r="AL838" s="124"/>
      <c r="AM838" s="124"/>
      <c r="AN838" s="124"/>
      <c r="AO838" s="360"/>
      <c r="AP838" s="360"/>
      <c r="AQ838" s="360"/>
      <c r="AR838" s="360"/>
      <c r="AS838" s="360"/>
      <c r="AT838" s="360"/>
      <c r="AU838" s="360"/>
      <c r="AV838" s="360"/>
      <c r="AW838" s="360"/>
      <c r="AX838" s="360"/>
      <c r="AY838" s="360"/>
      <c r="AZ838" s="360"/>
      <c r="BA838" s="360"/>
      <c r="BB838" s="360"/>
      <c r="BC838" s="360"/>
    </row>
    <row r="839">
      <c r="A839" s="125"/>
      <c r="B839" s="189"/>
      <c r="C839" s="124"/>
      <c r="D839" s="124"/>
      <c r="E839" s="124"/>
      <c r="F839" s="125"/>
      <c r="G839" s="189"/>
      <c r="H839" s="124"/>
      <c r="I839" s="124"/>
      <c r="J839" s="124"/>
      <c r="K839" s="102"/>
      <c r="L839" s="189"/>
      <c r="M839" s="124"/>
      <c r="N839" s="124"/>
      <c r="O839" s="124"/>
      <c r="P839" s="102"/>
      <c r="Q839" s="161"/>
      <c r="R839" s="124"/>
      <c r="S839" s="124"/>
      <c r="T839" s="124"/>
      <c r="U839" s="125"/>
      <c r="V839" s="189"/>
      <c r="W839" s="124"/>
      <c r="X839" s="124"/>
      <c r="Y839" s="124"/>
      <c r="Z839" s="125"/>
      <c r="AA839" s="189"/>
      <c r="AB839" s="124"/>
      <c r="AC839" s="124"/>
      <c r="AD839" s="124"/>
      <c r="AE839" s="125"/>
      <c r="AF839" s="189"/>
      <c r="AG839" s="124"/>
      <c r="AH839" s="124"/>
      <c r="AI839" s="124"/>
      <c r="AJ839" s="125"/>
      <c r="AK839" s="189"/>
      <c r="AL839" s="124"/>
      <c r="AM839" s="124"/>
      <c r="AN839" s="124"/>
      <c r="AO839" s="360"/>
      <c r="AP839" s="360"/>
      <c r="AQ839" s="360"/>
      <c r="AR839" s="360"/>
      <c r="AS839" s="360"/>
      <c r="AT839" s="360"/>
      <c r="AU839" s="360"/>
      <c r="AV839" s="360"/>
      <c r="AW839" s="360"/>
      <c r="AX839" s="360"/>
      <c r="AY839" s="360"/>
      <c r="AZ839" s="360"/>
      <c r="BA839" s="360"/>
      <c r="BB839" s="360"/>
      <c r="BC839" s="360"/>
    </row>
    <row r="840">
      <c r="A840" s="125"/>
      <c r="B840" s="189"/>
      <c r="C840" s="124"/>
      <c r="D840" s="124"/>
      <c r="E840" s="124"/>
      <c r="F840" s="125"/>
      <c r="G840" s="189"/>
      <c r="H840" s="124"/>
      <c r="I840" s="124"/>
      <c r="J840" s="124"/>
      <c r="K840" s="102"/>
      <c r="L840" s="189"/>
      <c r="M840" s="124"/>
      <c r="N840" s="124"/>
      <c r="O840" s="124"/>
      <c r="P840" s="102"/>
      <c r="Q840" s="161"/>
      <c r="R840" s="124"/>
      <c r="S840" s="124"/>
      <c r="T840" s="124"/>
      <c r="U840" s="125"/>
      <c r="V840" s="189"/>
      <c r="W840" s="124"/>
      <c r="X840" s="124"/>
      <c r="Y840" s="124"/>
      <c r="Z840" s="125"/>
      <c r="AA840" s="189"/>
      <c r="AB840" s="124"/>
      <c r="AC840" s="124"/>
      <c r="AD840" s="124"/>
      <c r="AE840" s="125"/>
      <c r="AF840" s="189"/>
      <c r="AG840" s="124"/>
      <c r="AH840" s="124"/>
      <c r="AI840" s="124"/>
      <c r="AJ840" s="125"/>
      <c r="AK840" s="189"/>
      <c r="AL840" s="124"/>
      <c r="AM840" s="124"/>
      <c r="AN840" s="124"/>
      <c r="AO840" s="360"/>
      <c r="AP840" s="360"/>
      <c r="AQ840" s="360"/>
      <c r="AR840" s="360"/>
      <c r="AS840" s="360"/>
      <c r="AT840" s="360"/>
      <c r="AU840" s="360"/>
      <c r="AV840" s="360"/>
      <c r="AW840" s="360"/>
      <c r="AX840" s="360"/>
      <c r="AY840" s="360"/>
      <c r="AZ840" s="360"/>
      <c r="BA840" s="360"/>
      <c r="BB840" s="360"/>
      <c r="BC840" s="360"/>
    </row>
    <row r="841">
      <c r="A841" s="125"/>
      <c r="B841" s="189"/>
      <c r="C841" s="124"/>
      <c r="D841" s="124"/>
      <c r="E841" s="124"/>
      <c r="F841" s="125"/>
      <c r="G841" s="189"/>
      <c r="H841" s="124"/>
      <c r="I841" s="124"/>
      <c r="J841" s="124"/>
      <c r="K841" s="102"/>
      <c r="L841" s="189"/>
      <c r="M841" s="124"/>
      <c r="N841" s="124"/>
      <c r="O841" s="124"/>
      <c r="P841" s="102"/>
      <c r="Q841" s="161"/>
      <c r="R841" s="124"/>
      <c r="S841" s="124"/>
      <c r="T841" s="124"/>
      <c r="U841" s="125"/>
      <c r="V841" s="189"/>
      <c r="W841" s="124"/>
      <c r="X841" s="124"/>
      <c r="Y841" s="124"/>
      <c r="Z841" s="125"/>
      <c r="AA841" s="189"/>
      <c r="AB841" s="124"/>
      <c r="AC841" s="124"/>
      <c r="AD841" s="124"/>
      <c r="AE841" s="125"/>
      <c r="AF841" s="189"/>
      <c r="AG841" s="124"/>
      <c r="AH841" s="124"/>
      <c r="AI841" s="124"/>
      <c r="AJ841" s="125"/>
      <c r="AK841" s="189"/>
      <c r="AL841" s="124"/>
      <c r="AM841" s="124"/>
      <c r="AN841" s="124"/>
      <c r="AO841" s="360"/>
      <c r="AP841" s="360"/>
      <c r="AQ841" s="360"/>
      <c r="AR841" s="360"/>
      <c r="AS841" s="360"/>
      <c r="AT841" s="360"/>
      <c r="AU841" s="360"/>
      <c r="AV841" s="360"/>
      <c r="AW841" s="360"/>
      <c r="AX841" s="360"/>
      <c r="AY841" s="360"/>
      <c r="AZ841" s="360"/>
      <c r="BA841" s="360"/>
      <c r="BB841" s="360"/>
      <c r="BC841" s="360"/>
    </row>
    <row r="842">
      <c r="A842" s="125"/>
      <c r="B842" s="189"/>
      <c r="C842" s="124"/>
      <c r="D842" s="124"/>
      <c r="E842" s="124"/>
      <c r="F842" s="125"/>
      <c r="G842" s="189"/>
      <c r="H842" s="124"/>
      <c r="I842" s="124"/>
      <c r="J842" s="124"/>
      <c r="K842" s="102"/>
      <c r="L842" s="189"/>
      <c r="M842" s="124"/>
      <c r="N842" s="124"/>
      <c r="O842" s="124"/>
      <c r="P842" s="102"/>
      <c r="Q842" s="161"/>
      <c r="R842" s="124"/>
      <c r="S842" s="124"/>
      <c r="T842" s="124"/>
      <c r="U842" s="125"/>
      <c r="V842" s="189"/>
      <c r="W842" s="124"/>
      <c r="X842" s="124"/>
      <c r="Y842" s="124"/>
      <c r="Z842" s="125"/>
      <c r="AA842" s="189"/>
      <c r="AB842" s="124"/>
      <c r="AC842" s="124"/>
      <c r="AD842" s="124"/>
      <c r="AE842" s="125"/>
      <c r="AF842" s="189"/>
      <c r="AG842" s="124"/>
      <c r="AH842" s="124"/>
      <c r="AI842" s="124"/>
      <c r="AJ842" s="125"/>
      <c r="AK842" s="189"/>
      <c r="AL842" s="124"/>
      <c r="AM842" s="124"/>
      <c r="AN842" s="124"/>
      <c r="AO842" s="360"/>
      <c r="AP842" s="360"/>
      <c r="AQ842" s="360"/>
      <c r="AR842" s="360"/>
      <c r="AS842" s="360"/>
      <c r="AT842" s="360"/>
      <c r="AU842" s="360"/>
      <c r="AV842" s="360"/>
      <c r="AW842" s="360"/>
      <c r="AX842" s="360"/>
      <c r="AY842" s="360"/>
      <c r="AZ842" s="360"/>
      <c r="BA842" s="360"/>
      <c r="BB842" s="360"/>
      <c r="BC842" s="360"/>
    </row>
    <row r="843">
      <c r="A843" s="125"/>
      <c r="B843" s="189"/>
      <c r="C843" s="124"/>
      <c r="D843" s="124"/>
      <c r="E843" s="124"/>
      <c r="F843" s="125"/>
      <c r="G843" s="189"/>
      <c r="H843" s="124"/>
      <c r="I843" s="124"/>
      <c r="J843" s="124"/>
      <c r="K843" s="102"/>
      <c r="L843" s="189"/>
      <c r="M843" s="124"/>
      <c r="N843" s="124"/>
      <c r="O843" s="124"/>
      <c r="P843" s="102"/>
      <c r="Q843" s="161"/>
      <c r="R843" s="124"/>
      <c r="S843" s="124"/>
      <c r="T843" s="124"/>
      <c r="U843" s="125"/>
      <c r="V843" s="189"/>
      <c r="W843" s="124"/>
      <c r="X843" s="124"/>
      <c r="Y843" s="124"/>
      <c r="Z843" s="125"/>
      <c r="AA843" s="189"/>
      <c r="AB843" s="124"/>
      <c r="AC843" s="124"/>
      <c r="AD843" s="124"/>
      <c r="AE843" s="125"/>
      <c r="AF843" s="189"/>
      <c r="AG843" s="124"/>
      <c r="AH843" s="124"/>
      <c r="AI843" s="124"/>
      <c r="AJ843" s="125"/>
      <c r="AK843" s="189"/>
      <c r="AL843" s="124"/>
      <c r="AM843" s="124"/>
      <c r="AN843" s="124"/>
      <c r="AO843" s="360"/>
      <c r="AP843" s="360"/>
      <c r="AQ843" s="360"/>
      <c r="AR843" s="360"/>
      <c r="AS843" s="360"/>
      <c r="AT843" s="360"/>
      <c r="AU843" s="360"/>
      <c r="AV843" s="360"/>
      <c r="AW843" s="360"/>
      <c r="AX843" s="360"/>
      <c r="AY843" s="360"/>
      <c r="AZ843" s="360"/>
      <c r="BA843" s="360"/>
      <c r="BB843" s="360"/>
      <c r="BC843" s="360"/>
    </row>
    <row r="844">
      <c r="A844" s="125"/>
      <c r="B844" s="189"/>
      <c r="C844" s="124"/>
      <c r="D844" s="124"/>
      <c r="E844" s="124"/>
      <c r="F844" s="125"/>
      <c r="G844" s="189"/>
      <c r="H844" s="124"/>
      <c r="I844" s="124"/>
      <c r="J844" s="124"/>
      <c r="K844" s="102"/>
      <c r="L844" s="189"/>
      <c r="M844" s="124"/>
      <c r="N844" s="124"/>
      <c r="O844" s="124"/>
      <c r="P844" s="102"/>
      <c r="Q844" s="161"/>
      <c r="R844" s="124"/>
      <c r="S844" s="124"/>
      <c r="T844" s="124"/>
      <c r="U844" s="125"/>
      <c r="V844" s="189"/>
      <c r="W844" s="124"/>
      <c r="X844" s="124"/>
      <c r="Y844" s="124"/>
      <c r="Z844" s="125"/>
      <c r="AA844" s="189"/>
      <c r="AB844" s="124"/>
      <c r="AC844" s="124"/>
      <c r="AD844" s="124"/>
      <c r="AE844" s="125"/>
      <c r="AF844" s="189"/>
      <c r="AG844" s="124"/>
      <c r="AH844" s="124"/>
      <c r="AI844" s="124"/>
      <c r="AJ844" s="125"/>
      <c r="AK844" s="189"/>
      <c r="AL844" s="124"/>
      <c r="AM844" s="124"/>
      <c r="AN844" s="124"/>
      <c r="AO844" s="360"/>
      <c r="AP844" s="360"/>
      <c r="AQ844" s="360"/>
      <c r="AR844" s="360"/>
      <c r="AS844" s="360"/>
      <c r="AT844" s="360"/>
      <c r="AU844" s="360"/>
      <c r="AV844" s="360"/>
      <c r="AW844" s="360"/>
      <c r="AX844" s="360"/>
      <c r="AY844" s="360"/>
      <c r="AZ844" s="360"/>
      <c r="BA844" s="360"/>
      <c r="BB844" s="360"/>
      <c r="BC844" s="360"/>
    </row>
    <row r="845">
      <c r="A845" s="125"/>
      <c r="B845" s="189"/>
      <c r="C845" s="124"/>
      <c r="D845" s="124"/>
      <c r="E845" s="124"/>
      <c r="F845" s="125"/>
      <c r="G845" s="189"/>
      <c r="H845" s="124"/>
      <c r="I845" s="124"/>
      <c r="J845" s="124"/>
      <c r="K845" s="102"/>
      <c r="L845" s="189"/>
      <c r="M845" s="124"/>
      <c r="N845" s="124"/>
      <c r="O845" s="124"/>
      <c r="P845" s="102"/>
      <c r="Q845" s="161"/>
      <c r="R845" s="124"/>
      <c r="S845" s="124"/>
      <c r="T845" s="124"/>
      <c r="U845" s="125"/>
      <c r="V845" s="189"/>
      <c r="W845" s="124"/>
      <c r="X845" s="124"/>
      <c r="Y845" s="124"/>
      <c r="Z845" s="125"/>
      <c r="AA845" s="189"/>
      <c r="AB845" s="124"/>
      <c r="AC845" s="124"/>
      <c r="AD845" s="124"/>
      <c r="AE845" s="125"/>
      <c r="AF845" s="189"/>
      <c r="AG845" s="124"/>
      <c r="AH845" s="124"/>
      <c r="AI845" s="124"/>
      <c r="AJ845" s="125"/>
      <c r="AK845" s="189"/>
      <c r="AL845" s="124"/>
      <c r="AM845" s="124"/>
      <c r="AN845" s="124"/>
      <c r="AO845" s="360"/>
      <c r="AP845" s="360"/>
      <c r="AQ845" s="360"/>
      <c r="AR845" s="360"/>
      <c r="AS845" s="360"/>
      <c r="AT845" s="360"/>
      <c r="AU845" s="360"/>
      <c r="AV845" s="360"/>
      <c r="AW845" s="360"/>
      <c r="AX845" s="360"/>
      <c r="AY845" s="360"/>
      <c r="AZ845" s="360"/>
      <c r="BA845" s="360"/>
      <c r="BB845" s="360"/>
      <c r="BC845" s="360"/>
    </row>
    <row r="846">
      <c r="A846" s="125"/>
      <c r="B846" s="189"/>
      <c r="C846" s="124"/>
      <c r="D846" s="124"/>
      <c r="E846" s="124"/>
      <c r="F846" s="125"/>
      <c r="G846" s="189"/>
      <c r="H846" s="124"/>
      <c r="I846" s="124"/>
      <c r="J846" s="124"/>
      <c r="K846" s="102"/>
      <c r="L846" s="189"/>
      <c r="M846" s="124"/>
      <c r="N846" s="124"/>
      <c r="O846" s="124"/>
      <c r="P846" s="102"/>
      <c r="Q846" s="161"/>
      <c r="R846" s="124"/>
      <c r="S846" s="124"/>
      <c r="T846" s="124"/>
      <c r="U846" s="125"/>
      <c r="V846" s="189"/>
      <c r="W846" s="124"/>
      <c r="X846" s="124"/>
      <c r="Y846" s="124"/>
      <c r="Z846" s="125"/>
      <c r="AA846" s="189"/>
      <c r="AB846" s="124"/>
      <c r="AC846" s="124"/>
      <c r="AD846" s="124"/>
      <c r="AE846" s="125"/>
      <c r="AF846" s="189"/>
      <c r="AG846" s="124"/>
      <c r="AH846" s="124"/>
      <c r="AI846" s="124"/>
      <c r="AJ846" s="125"/>
      <c r="AK846" s="189"/>
      <c r="AL846" s="124"/>
      <c r="AM846" s="124"/>
      <c r="AN846" s="124"/>
      <c r="AO846" s="360"/>
      <c r="AP846" s="360"/>
      <c r="AQ846" s="360"/>
      <c r="AR846" s="360"/>
      <c r="AS846" s="360"/>
      <c r="AT846" s="360"/>
      <c r="AU846" s="360"/>
      <c r="AV846" s="360"/>
      <c r="AW846" s="360"/>
      <c r="AX846" s="360"/>
      <c r="AY846" s="360"/>
      <c r="AZ846" s="360"/>
      <c r="BA846" s="360"/>
      <c r="BB846" s="360"/>
      <c r="BC846" s="360"/>
    </row>
    <row r="847">
      <c r="A847" s="125"/>
      <c r="B847" s="189"/>
      <c r="C847" s="124"/>
      <c r="D847" s="124"/>
      <c r="E847" s="124"/>
      <c r="F847" s="125"/>
      <c r="G847" s="189"/>
      <c r="H847" s="124"/>
      <c r="I847" s="124"/>
      <c r="J847" s="124"/>
      <c r="K847" s="102"/>
      <c r="L847" s="189"/>
      <c r="M847" s="124"/>
      <c r="N847" s="124"/>
      <c r="O847" s="124"/>
      <c r="P847" s="102"/>
      <c r="Q847" s="161"/>
      <c r="R847" s="124"/>
      <c r="S847" s="124"/>
      <c r="T847" s="124"/>
      <c r="U847" s="125"/>
      <c r="V847" s="189"/>
      <c r="W847" s="124"/>
      <c r="X847" s="124"/>
      <c r="Y847" s="124"/>
      <c r="Z847" s="125"/>
      <c r="AA847" s="189"/>
      <c r="AB847" s="124"/>
      <c r="AC847" s="124"/>
      <c r="AD847" s="124"/>
      <c r="AE847" s="125"/>
      <c r="AF847" s="189"/>
      <c r="AG847" s="124"/>
      <c r="AH847" s="124"/>
      <c r="AI847" s="124"/>
      <c r="AJ847" s="125"/>
      <c r="AK847" s="189"/>
      <c r="AL847" s="124"/>
      <c r="AM847" s="124"/>
      <c r="AN847" s="124"/>
      <c r="AO847" s="360"/>
      <c r="AP847" s="360"/>
      <c r="AQ847" s="360"/>
      <c r="AR847" s="360"/>
      <c r="AS847" s="360"/>
      <c r="AT847" s="360"/>
      <c r="AU847" s="360"/>
      <c r="AV847" s="360"/>
      <c r="AW847" s="360"/>
      <c r="AX847" s="360"/>
      <c r="AY847" s="360"/>
      <c r="AZ847" s="360"/>
      <c r="BA847" s="360"/>
      <c r="BB847" s="360"/>
      <c r="BC847" s="360"/>
    </row>
    <row r="848">
      <c r="A848" s="125"/>
      <c r="B848" s="189"/>
      <c r="C848" s="124"/>
      <c r="D848" s="124"/>
      <c r="E848" s="124"/>
      <c r="F848" s="125"/>
      <c r="G848" s="189"/>
      <c r="H848" s="124"/>
      <c r="I848" s="124"/>
      <c r="J848" s="124"/>
      <c r="K848" s="102"/>
      <c r="L848" s="189"/>
      <c r="M848" s="124"/>
      <c r="N848" s="124"/>
      <c r="O848" s="124"/>
      <c r="P848" s="102"/>
      <c r="Q848" s="161"/>
      <c r="R848" s="124"/>
      <c r="S848" s="124"/>
      <c r="T848" s="124"/>
      <c r="U848" s="125"/>
      <c r="V848" s="189"/>
      <c r="W848" s="124"/>
      <c r="X848" s="124"/>
      <c r="Y848" s="124"/>
      <c r="Z848" s="125"/>
      <c r="AA848" s="189"/>
      <c r="AB848" s="124"/>
      <c r="AC848" s="124"/>
      <c r="AD848" s="124"/>
      <c r="AE848" s="125"/>
      <c r="AF848" s="189"/>
      <c r="AG848" s="124"/>
      <c r="AH848" s="124"/>
      <c r="AI848" s="124"/>
      <c r="AJ848" s="125"/>
      <c r="AK848" s="189"/>
      <c r="AL848" s="124"/>
      <c r="AM848" s="124"/>
      <c r="AN848" s="124"/>
      <c r="AO848" s="360"/>
      <c r="AP848" s="360"/>
      <c r="AQ848" s="360"/>
      <c r="AR848" s="360"/>
      <c r="AS848" s="360"/>
      <c r="AT848" s="360"/>
      <c r="AU848" s="360"/>
      <c r="AV848" s="360"/>
      <c r="AW848" s="360"/>
      <c r="AX848" s="360"/>
      <c r="AY848" s="360"/>
      <c r="AZ848" s="360"/>
      <c r="BA848" s="360"/>
      <c r="BB848" s="360"/>
      <c r="BC848" s="360"/>
    </row>
    <row r="849">
      <c r="A849" s="125"/>
      <c r="B849" s="189"/>
      <c r="C849" s="124"/>
      <c r="D849" s="124"/>
      <c r="E849" s="124"/>
      <c r="F849" s="125"/>
      <c r="G849" s="189"/>
      <c r="H849" s="124"/>
      <c r="I849" s="124"/>
      <c r="J849" s="124"/>
      <c r="K849" s="102"/>
      <c r="L849" s="189"/>
      <c r="M849" s="124"/>
      <c r="N849" s="124"/>
      <c r="O849" s="124"/>
      <c r="P849" s="102"/>
      <c r="Q849" s="161"/>
      <c r="R849" s="124"/>
      <c r="S849" s="124"/>
      <c r="T849" s="124"/>
      <c r="U849" s="125"/>
      <c r="V849" s="189"/>
      <c r="W849" s="124"/>
      <c r="X849" s="124"/>
      <c r="Y849" s="124"/>
      <c r="Z849" s="125"/>
      <c r="AA849" s="189"/>
      <c r="AB849" s="124"/>
      <c r="AC849" s="124"/>
      <c r="AD849" s="124"/>
      <c r="AE849" s="125"/>
      <c r="AF849" s="189"/>
      <c r="AG849" s="124"/>
      <c r="AH849" s="124"/>
      <c r="AI849" s="124"/>
      <c r="AJ849" s="125"/>
      <c r="AK849" s="189"/>
      <c r="AL849" s="124"/>
      <c r="AM849" s="124"/>
      <c r="AN849" s="124"/>
      <c r="AO849" s="360"/>
      <c r="AP849" s="360"/>
      <c r="AQ849" s="360"/>
      <c r="AR849" s="360"/>
      <c r="AS849" s="360"/>
      <c r="AT849" s="360"/>
      <c r="AU849" s="360"/>
      <c r="AV849" s="360"/>
      <c r="AW849" s="360"/>
      <c r="AX849" s="360"/>
      <c r="AY849" s="360"/>
      <c r="AZ849" s="360"/>
      <c r="BA849" s="360"/>
      <c r="BB849" s="360"/>
      <c r="BC849" s="360"/>
    </row>
    <row r="850">
      <c r="A850" s="125"/>
      <c r="B850" s="189"/>
      <c r="C850" s="124"/>
      <c r="D850" s="124"/>
      <c r="E850" s="124"/>
      <c r="F850" s="125"/>
      <c r="G850" s="189"/>
      <c r="H850" s="124"/>
      <c r="I850" s="124"/>
      <c r="J850" s="124"/>
      <c r="K850" s="102"/>
      <c r="L850" s="189"/>
      <c r="M850" s="124"/>
      <c r="N850" s="124"/>
      <c r="O850" s="124"/>
      <c r="P850" s="102"/>
      <c r="Q850" s="161"/>
      <c r="R850" s="124"/>
      <c r="S850" s="124"/>
      <c r="T850" s="124"/>
      <c r="U850" s="125"/>
      <c r="V850" s="189"/>
      <c r="W850" s="124"/>
      <c r="X850" s="124"/>
      <c r="Y850" s="124"/>
      <c r="Z850" s="125"/>
      <c r="AA850" s="189"/>
      <c r="AB850" s="124"/>
      <c r="AC850" s="124"/>
      <c r="AD850" s="124"/>
      <c r="AE850" s="125"/>
      <c r="AF850" s="189"/>
      <c r="AG850" s="124"/>
      <c r="AH850" s="124"/>
      <c r="AI850" s="124"/>
      <c r="AJ850" s="125"/>
      <c r="AK850" s="189"/>
      <c r="AL850" s="124"/>
      <c r="AM850" s="124"/>
      <c r="AN850" s="124"/>
      <c r="AO850" s="360"/>
      <c r="AP850" s="360"/>
      <c r="AQ850" s="360"/>
      <c r="AR850" s="360"/>
      <c r="AS850" s="360"/>
      <c r="AT850" s="360"/>
      <c r="AU850" s="360"/>
      <c r="AV850" s="360"/>
      <c r="AW850" s="360"/>
      <c r="AX850" s="360"/>
      <c r="AY850" s="360"/>
      <c r="AZ850" s="360"/>
      <c r="BA850" s="360"/>
      <c r="BB850" s="360"/>
      <c r="BC850" s="360"/>
    </row>
    <row r="851">
      <c r="A851" s="125"/>
      <c r="B851" s="189"/>
      <c r="C851" s="124"/>
      <c r="D851" s="124"/>
      <c r="E851" s="124"/>
      <c r="F851" s="125"/>
      <c r="G851" s="189"/>
      <c r="H851" s="124"/>
      <c r="I851" s="124"/>
      <c r="J851" s="124"/>
      <c r="K851" s="102"/>
      <c r="L851" s="189"/>
      <c r="M851" s="124"/>
      <c r="N851" s="124"/>
      <c r="O851" s="124"/>
      <c r="P851" s="102"/>
      <c r="Q851" s="161"/>
      <c r="R851" s="124"/>
      <c r="S851" s="124"/>
      <c r="T851" s="124"/>
      <c r="U851" s="125"/>
      <c r="V851" s="189"/>
      <c r="W851" s="124"/>
      <c r="X851" s="124"/>
      <c r="Y851" s="124"/>
      <c r="Z851" s="125"/>
      <c r="AA851" s="189"/>
      <c r="AB851" s="124"/>
      <c r="AC851" s="124"/>
      <c r="AD851" s="124"/>
      <c r="AE851" s="125"/>
      <c r="AF851" s="189"/>
      <c r="AG851" s="124"/>
      <c r="AH851" s="124"/>
      <c r="AI851" s="124"/>
      <c r="AJ851" s="125"/>
      <c r="AK851" s="189"/>
      <c r="AL851" s="124"/>
      <c r="AM851" s="124"/>
      <c r="AN851" s="124"/>
      <c r="AO851" s="360"/>
      <c r="AP851" s="360"/>
      <c r="AQ851" s="360"/>
      <c r="AR851" s="360"/>
      <c r="AS851" s="360"/>
      <c r="AT851" s="360"/>
      <c r="AU851" s="360"/>
      <c r="AV851" s="360"/>
      <c r="AW851" s="360"/>
      <c r="AX851" s="360"/>
      <c r="AY851" s="360"/>
      <c r="AZ851" s="360"/>
      <c r="BA851" s="360"/>
      <c r="BB851" s="360"/>
      <c r="BC851" s="360"/>
    </row>
    <row r="852">
      <c r="A852" s="125"/>
      <c r="B852" s="189"/>
      <c r="C852" s="124"/>
      <c r="D852" s="124"/>
      <c r="E852" s="124"/>
      <c r="F852" s="125"/>
      <c r="G852" s="189"/>
      <c r="H852" s="124"/>
      <c r="I852" s="124"/>
      <c r="J852" s="124"/>
      <c r="K852" s="102"/>
      <c r="L852" s="189"/>
      <c r="M852" s="124"/>
      <c r="N852" s="124"/>
      <c r="O852" s="124"/>
      <c r="P852" s="102"/>
      <c r="Q852" s="161"/>
      <c r="R852" s="124"/>
      <c r="S852" s="124"/>
      <c r="T852" s="124"/>
      <c r="U852" s="125"/>
      <c r="V852" s="189"/>
      <c r="W852" s="124"/>
      <c r="X852" s="124"/>
      <c r="Y852" s="124"/>
      <c r="Z852" s="125"/>
      <c r="AA852" s="189"/>
      <c r="AB852" s="124"/>
      <c r="AC852" s="124"/>
      <c r="AD852" s="124"/>
      <c r="AE852" s="125"/>
      <c r="AF852" s="189"/>
      <c r="AG852" s="124"/>
      <c r="AH852" s="124"/>
      <c r="AI852" s="124"/>
      <c r="AJ852" s="125"/>
      <c r="AK852" s="189"/>
      <c r="AL852" s="124"/>
      <c r="AM852" s="124"/>
      <c r="AN852" s="124"/>
      <c r="AO852" s="360"/>
      <c r="AP852" s="360"/>
      <c r="AQ852" s="360"/>
      <c r="AR852" s="360"/>
      <c r="AS852" s="360"/>
      <c r="AT852" s="360"/>
      <c r="AU852" s="360"/>
      <c r="AV852" s="360"/>
      <c r="AW852" s="360"/>
      <c r="AX852" s="360"/>
      <c r="AY852" s="360"/>
      <c r="AZ852" s="360"/>
      <c r="BA852" s="360"/>
      <c r="BB852" s="360"/>
      <c r="BC852" s="360"/>
    </row>
    <row r="853">
      <c r="A853" s="125"/>
      <c r="B853" s="189"/>
      <c r="C853" s="124"/>
      <c r="D853" s="124"/>
      <c r="E853" s="124"/>
      <c r="F853" s="125"/>
      <c r="G853" s="189"/>
      <c r="H853" s="124"/>
      <c r="I853" s="124"/>
      <c r="J853" s="124"/>
      <c r="K853" s="102"/>
      <c r="L853" s="189"/>
      <c r="M853" s="124"/>
      <c r="N853" s="124"/>
      <c r="O853" s="124"/>
      <c r="P853" s="102"/>
      <c r="Q853" s="161"/>
      <c r="R853" s="124"/>
      <c r="S853" s="124"/>
      <c r="T853" s="124"/>
      <c r="U853" s="125"/>
      <c r="V853" s="189"/>
      <c r="W853" s="124"/>
      <c r="X853" s="124"/>
      <c r="Y853" s="124"/>
      <c r="Z853" s="125"/>
      <c r="AA853" s="189"/>
      <c r="AB853" s="124"/>
      <c r="AC853" s="124"/>
      <c r="AD853" s="124"/>
      <c r="AE853" s="125"/>
      <c r="AF853" s="189"/>
      <c r="AG853" s="124"/>
      <c r="AH853" s="124"/>
      <c r="AI853" s="124"/>
      <c r="AJ853" s="125"/>
      <c r="AK853" s="189"/>
      <c r="AL853" s="124"/>
      <c r="AM853" s="124"/>
      <c r="AN853" s="124"/>
      <c r="AO853" s="360"/>
      <c r="AP853" s="360"/>
      <c r="AQ853" s="360"/>
      <c r="AR853" s="360"/>
      <c r="AS853" s="360"/>
      <c r="AT853" s="360"/>
      <c r="AU853" s="360"/>
      <c r="AV853" s="360"/>
      <c r="AW853" s="360"/>
      <c r="AX853" s="360"/>
      <c r="AY853" s="360"/>
      <c r="AZ853" s="360"/>
      <c r="BA853" s="360"/>
      <c r="BB853" s="360"/>
      <c r="BC853" s="360"/>
    </row>
    <row r="854">
      <c r="A854" s="125"/>
      <c r="B854" s="189"/>
      <c r="C854" s="124"/>
      <c r="D854" s="124"/>
      <c r="E854" s="124"/>
      <c r="F854" s="125"/>
      <c r="G854" s="189"/>
      <c r="H854" s="124"/>
      <c r="I854" s="124"/>
      <c r="J854" s="124"/>
      <c r="K854" s="102"/>
      <c r="L854" s="189"/>
      <c r="M854" s="124"/>
      <c r="N854" s="124"/>
      <c r="O854" s="124"/>
      <c r="P854" s="102"/>
      <c r="Q854" s="161"/>
      <c r="R854" s="124"/>
      <c r="S854" s="124"/>
      <c r="T854" s="124"/>
      <c r="U854" s="125"/>
      <c r="V854" s="189"/>
      <c r="W854" s="124"/>
      <c r="X854" s="124"/>
      <c r="Y854" s="124"/>
      <c r="Z854" s="125"/>
      <c r="AA854" s="189"/>
      <c r="AB854" s="124"/>
      <c r="AC854" s="124"/>
      <c r="AD854" s="124"/>
      <c r="AE854" s="125"/>
      <c r="AF854" s="189"/>
      <c r="AG854" s="124"/>
      <c r="AH854" s="124"/>
      <c r="AI854" s="124"/>
      <c r="AJ854" s="125"/>
      <c r="AK854" s="189"/>
      <c r="AL854" s="124"/>
      <c r="AM854" s="124"/>
      <c r="AN854" s="124"/>
      <c r="AO854" s="360"/>
      <c r="AP854" s="360"/>
      <c r="AQ854" s="360"/>
      <c r="AR854" s="360"/>
      <c r="AS854" s="360"/>
      <c r="AT854" s="360"/>
      <c r="AU854" s="360"/>
      <c r="AV854" s="360"/>
      <c r="AW854" s="360"/>
      <c r="AX854" s="360"/>
      <c r="AY854" s="360"/>
      <c r="AZ854" s="360"/>
      <c r="BA854" s="360"/>
      <c r="BB854" s="360"/>
      <c r="BC854" s="360"/>
    </row>
    <row r="855">
      <c r="A855" s="125"/>
      <c r="B855" s="189"/>
      <c r="C855" s="124"/>
      <c r="D855" s="124"/>
      <c r="E855" s="124"/>
      <c r="F855" s="125"/>
      <c r="G855" s="189"/>
      <c r="H855" s="124"/>
      <c r="I855" s="124"/>
      <c r="J855" s="124"/>
      <c r="K855" s="102"/>
      <c r="L855" s="189"/>
      <c r="M855" s="124"/>
      <c r="N855" s="124"/>
      <c r="O855" s="124"/>
      <c r="P855" s="102"/>
      <c r="Q855" s="161"/>
      <c r="R855" s="124"/>
      <c r="S855" s="124"/>
      <c r="T855" s="124"/>
      <c r="U855" s="125"/>
      <c r="V855" s="189"/>
      <c r="W855" s="124"/>
      <c r="X855" s="124"/>
      <c r="Y855" s="124"/>
      <c r="Z855" s="125"/>
      <c r="AA855" s="189"/>
      <c r="AB855" s="124"/>
      <c r="AC855" s="124"/>
      <c r="AD855" s="124"/>
      <c r="AE855" s="125"/>
      <c r="AF855" s="189"/>
      <c r="AG855" s="124"/>
      <c r="AH855" s="124"/>
      <c r="AI855" s="124"/>
      <c r="AJ855" s="125"/>
      <c r="AK855" s="189"/>
      <c r="AL855" s="124"/>
      <c r="AM855" s="124"/>
      <c r="AN855" s="124"/>
      <c r="AO855" s="360"/>
      <c r="AP855" s="360"/>
      <c r="AQ855" s="360"/>
      <c r="AR855" s="360"/>
      <c r="AS855" s="360"/>
      <c r="AT855" s="360"/>
      <c r="AU855" s="360"/>
      <c r="AV855" s="360"/>
      <c r="AW855" s="360"/>
      <c r="AX855" s="360"/>
      <c r="AY855" s="360"/>
      <c r="AZ855" s="360"/>
      <c r="BA855" s="360"/>
      <c r="BB855" s="360"/>
      <c r="BC855" s="360"/>
    </row>
    <row r="856">
      <c r="A856" s="125"/>
      <c r="B856" s="189"/>
      <c r="C856" s="124"/>
      <c r="D856" s="124"/>
      <c r="E856" s="124"/>
      <c r="F856" s="125"/>
      <c r="G856" s="189"/>
      <c r="H856" s="124"/>
      <c r="I856" s="124"/>
      <c r="J856" s="124"/>
      <c r="K856" s="102"/>
      <c r="L856" s="189"/>
      <c r="M856" s="124"/>
      <c r="N856" s="124"/>
      <c r="O856" s="124"/>
      <c r="P856" s="102"/>
      <c r="Q856" s="161"/>
      <c r="R856" s="124"/>
      <c r="S856" s="124"/>
      <c r="T856" s="124"/>
      <c r="U856" s="125"/>
      <c r="V856" s="189"/>
      <c r="W856" s="124"/>
      <c r="X856" s="124"/>
      <c r="Y856" s="124"/>
      <c r="Z856" s="125"/>
      <c r="AA856" s="189"/>
      <c r="AB856" s="124"/>
      <c r="AC856" s="124"/>
      <c r="AD856" s="124"/>
      <c r="AE856" s="125"/>
      <c r="AF856" s="189"/>
      <c r="AG856" s="124"/>
      <c r="AH856" s="124"/>
      <c r="AI856" s="124"/>
      <c r="AJ856" s="125"/>
      <c r="AK856" s="189"/>
      <c r="AL856" s="124"/>
      <c r="AM856" s="124"/>
      <c r="AN856" s="124"/>
      <c r="AO856" s="360"/>
      <c r="AP856" s="360"/>
      <c r="AQ856" s="360"/>
      <c r="AR856" s="360"/>
      <c r="AS856" s="360"/>
      <c r="AT856" s="360"/>
      <c r="AU856" s="360"/>
      <c r="AV856" s="360"/>
      <c r="AW856" s="360"/>
      <c r="AX856" s="360"/>
      <c r="AY856" s="360"/>
      <c r="AZ856" s="360"/>
      <c r="BA856" s="360"/>
      <c r="BB856" s="360"/>
      <c r="BC856" s="360"/>
    </row>
    <row r="857">
      <c r="A857" s="125"/>
      <c r="B857" s="189"/>
      <c r="C857" s="124"/>
      <c r="D857" s="124"/>
      <c r="E857" s="124"/>
      <c r="F857" s="125"/>
      <c r="G857" s="189"/>
      <c r="H857" s="124"/>
      <c r="I857" s="124"/>
      <c r="J857" s="124"/>
      <c r="K857" s="102"/>
      <c r="L857" s="189"/>
      <c r="M857" s="124"/>
      <c r="N857" s="124"/>
      <c r="O857" s="124"/>
      <c r="P857" s="102"/>
      <c r="Q857" s="161"/>
      <c r="R857" s="124"/>
      <c r="S857" s="124"/>
      <c r="T857" s="124"/>
      <c r="U857" s="125"/>
      <c r="V857" s="189"/>
      <c r="W857" s="124"/>
      <c r="X857" s="124"/>
      <c r="Y857" s="124"/>
      <c r="Z857" s="125"/>
      <c r="AA857" s="189"/>
      <c r="AB857" s="124"/>
      <c r="AC857" s="124"/>
      <c r="AD857" s="124"/>
      <c r="AE857" s="125"/>
      <c r="AF857" s="189"/>
      <c r="AG857" s="124"/>
      <c r="AH857" s="124"/>
      <c r="AI857" s="124"/>
      <c r="AJ857" s="125"/>
      <c r="AK857" s="189"/>
      <c r="AL857" s="124"/>
      <c r="AM857" s="124"/>
      <c r="AN857" s="124"/>
      <c r="AO857" s="360"/>
      <c r="AP857" s="360"/>
      <c r="AQ857" s="360"/>
      <c r="AR857" s="360"/>
      <c r="AS857" s="360"/>
      <c r="AT857" s="360"/>
      <c r="AU857" s="360"/>
      <c r="AV857" s="360"/>
      <c r="AW857" s="360"/>
      <c r="AX857" s="360"/>
      <c r="AY857" s="360"/>
      <c r="AZ857" s="360"/>
      <c r="BA857" s="360"/>
      <c r="BB857" s="360"/>
      <c r="BC857" s="360"/>
    </row>
    <row r="858">
      <c r="A858" s="125"/>
      <c r="B858" s="189"/>
      <c r="C858" s="124"/>
      <c r="D858" s="124"/>
      <c r="E858" s="124"/>
      <c r="F858" s="125"/>
      <c r="G858" s="189"/>
      <c r="H858" s="124"/>
      <c r="I858" s="124"/>
      <c r="J858" s="124"/>
      <c r="K858" s="102"/>
      <c r="L858" s="189"/>
      <c r="M858" s="124"/>
      <c r="N858" s="124"/>
      <c r="O858" s="124"/>
      <c r="P858" s="102"/>
      <c r="Q858" s="161"/>
      <c r="R858" s="124"/>
      <c r="S858" s="124"/>
      <c r="T858" s="124"/>
      <c r="U858" s="125"/>
      <c r="V858" s="189"/>
      <c r="W858" s="124"/>
      <c r="X858" s="124"/>
      <c r="Y858" s="124"/>
      <c r="Z858" s="125"/>
      <c r="AA858" s="189"/>
      <c r="AB858" s="124"/>
      <c r="AC858" s="124"/>
      <c r="AD858" s="124"/>
      <c r="AE858" s="125"/>
      <c r="AF858" s="189"/>
      <c r="AG858" s="124"/>
      <c r="AH858" s="124"/>
      <c r="AI858" s="124"/>
      <c r="AJ858" s="125"/>
      <c r="AK858" s="189"/>
      <c r="AL858" s="124"/>
      <c r="AM858" s="124"/>
      <c r="AN858" s="124"/>
      <c r="AO858" s="360"/>
      <c r="AP858" s="360"/>
      <c r="AQ858" s="360"/>
      <c r="AR858" s="360"/>
      <c r="AS858" s="360"/>
      <c r="AT858" s="360"/>
      <c r="AU858" s="360"/>
      <c r="AV858" s="360"/>
      <c r="AW858" s="360"/>
      <c r="AX858" s="360"/>
      <c r="AY858" s="360"/>
      <c r="AZ858" s="360"/>
      <c r="BA858" s="360"/>
      <c r="BB858" s="360"/>
      <c r="BC858" s="360"/>
    </row>
    <row r="859">
      <c r="A859" s="125"/>
      <c r="B859" s="189"/>
      <c r="C859" s="124"/>
      <c r="D859" s="124"/>
      <c r="E859" s="124"/>
      <c r="F859" s="125"/>
      <c r="G859" s="189"/>
      <c r="H859" s="124"/>
      <c r="I859" s="124"/>
      <c r="J859" s="124"/>
      <c r="K859" s="102"/>
      <c r="L859" s="189"/>
      <c r="M859" s="124"/>
      <c r="N859" s="124"/>
      <c r="O859" s="124"/>
      <c r="P859" s="102"/>
      <c r="Q859" s="161"/>
      <c r="R859" s="124"/>
      <c r="S859" s="124"/>
      <c r="T859" s="124"/>
      <c r="U859" s="125"/>
      <c r="V859" s="189"/>
      <c r="W859" s="124"/>
      <c r="X859" s="124"/>
      <c r="Y859" s="124"/>
      <c r="Z859" s="125"/>
      <c r="AA859" s="189"/>
      <c r="AB859" s="124"/>
      <c r="AC859" s="124"/>
      <c r="AD859" s="124"/>
      <c r="AE859" s="125"/>
      <c r="AF859" s="189"/>
      <c r="AG859" s="124"/>
      <c r="AH859" s="124"/>
      <c r="AI859" s="124"/>
      <c r="AJ859" s="125"/>
      <c r="AK859" s="189"/>
      <c r="AL859" s="124"/>
      <c r="AM859" s="124"/>
      <c r="AN859" s="124"/>
      <c r="AO859" s="360"/>
      <c r="AP859" s="360"/>
      <c r="AQ859" s="360"/>
      <c r="AR859" s="360"/>
      <c r="AS859" s="360"/>
      <c r="AT859" s="360"/>
      <c r="AU859" s="360"/>
      <c r="AV859" s="360"/>
      <c r="AW859" s="360"/>
      <c r="AX859" s="360"/>
      <c r="AY859" s="360"/>
      <c r="AZ859" s="360"/>
      <c r="BA859" s="360"/>
      <c r="BB859" s="360"/>
      <c r="BC859" s="360"/>
    </row>
    <row r="860">
      <c r="A860" s="125"/>
      <c r="B860" s="189"/>
      <c r="C860" s="124"/>
      <c r="D860" s="124"/>
      <c r="E860" s="124"/>
      <c r="F860" s="125"/>
      <c r="G860" s="189"/>
      <c r="H860" s="124"/>
      <c r="I860" s="124"/>
      <c r="J860" s="124"/>
      <c r="K860" s="102"/>
      <c r="L860" s="189"/>
      <c r="M860" s="124"/>
      <c r="N860" s="124"/>
      <c r="O860" s="124"/>
      <c r="P860" s="102"/>
      <c r="Q860" s="161"/>
      <c r="R860" s="124"/>
      <c r="S860" s="124"/>
      <c r="T860" s="124"/>
      <c r="U860" s="125"/>
      <c r="V860" s="189"/>
      <c r="W860" s="124"/>
      <c r="X860" s="124"/>
      <c r="Y860" s="124"/>
      <c r="Z860" s="125"/>
      <c r="AA860" s="189"/>
      <c r="AB860" s="124"/>
      <c r="AC860" s="124"/>
      <c r="AD860" s="124"/>
      <c r="AE860" s="125"/>
      <c r="AF860" s="189"/>
      <c r="AG860" s="124"/>
      <c r="AH860" s="124"/>
      <c r="AI860" s="124"/>
      <c r="AJ860" s="125"/>
      <c r="AK860" s="189"/>
      <c r="AL860" s="124"/>
      <c r="AM860" s="124"/>
      <c r="AN860" s="124"/>
      <c r="AO860" s="360"/>
      <c r="AP860" s="360"/>
      <c r="AQ860" s="360"/>
      <c r="AR860" s="360"/>
      <c r="AS860" s="360"/>
      <c r="AT860" s="360"/>
      <c r="AU860" s="360"/>
      <c r="AV860" s="360"/>
      <c r="AW860" s="360"/>
      <c r="AX860" s="360"/>
      <c r="AY860" s="360"/>
      <c r="AZ860" s="360"/>
      <c r="BA860" s="360"/>
      <c r="BB860" s="360"/>
      <c r="BC860" s="360"/>
    </row>
    <row r="861">
      <c r="A861" s="125"/>
      <c r="B861" s="189"/>
      <c r="C861" s="124"/>
      <c r="D861" s="124"/>
      <c r="E861" s="124"/>
      <c r="F861" s="125"/>
      <c r="G861" s="189"/>
      <c r="H861" s="124"/>
      <c r="I861" s="124"/>
      <c r="J861" s="124"/>
      <c r="K861" s="102"/>
      <c r="L861" s="189"/>
      <c r="M861" s="124"/>
      <c r="N861" s="124"/>
      <c r="O861" s="124"/>
      <c r="P861" s="102"/>
      <c r="Q861" s="161"/>
      <c r="R861" s="124"/>
      <c r="S861" s="124"/>
      <c r="T861" s="124"/>
      <c r="U861" s="125"/>
      <c r="V861" s="189"/>
      <c r="W861" s="124"/>
      <c r="X861" s="124"/>
      <c r="Y861" s="124"/>
      <c r="Z861" s="125"/>
      <c r="AA861" s="189"/>
      <c r="AB861" s="124"/>
      <c r="AC861" s="124"/>
      <c r="AD861" s="124"/>
      <c r="AE861" s="125"/>
      <c r="AF861" s="189"/>
      <c r="AG861" s="124"/>
      <c r="AH861" s="124"/>
      <c r="AI861" s="124"/>
      <c r="AJ861" s="125"/>
      <c r="AK861" s="189"/>
      <c r="AL861" s="124"/>
      <c r="AM861" s="124"/>
      <c r="AN861" s="124"/>
      <c r="AO861" s="360"/>
      <c r="AP861" s="360"/>
      <c r="AQ861" s="360"/>
      <c r="AR861" s="360"/>
      <c r="AS861" s="360"/>
      <c r="AT861" s="360"/>
      <c r="AU861" s="360"/>
      <c r="AV861" s="360"/>
      <c r="AW861" s="360"/>
      <c r="AX861" s="360"/>
      <c r="AY861" s="360"/>
      <c r="AZ861" s="360"/>
      <c r="BA861" s="360"/>
      <c r="BB861" s="360"/>
      <c r="BC861" s="360"/>
    </row>
    <row r="862">
      <c r="A862" s="125"/>
      <c r="B862" s="189"/>
      <c r="C862" s="124"/>
      <c r="D862" s="124"/>
      <c r="E862" s="124"/>
      <c r="F862" s="125"/>
      <c r="G862" s="189"/>
      <c r="H862" s="124"/>
      <c r="I862" s="124"/>
      <c r="J862" s="124"/>
      <c r="K862" s="102"/>
      <c r="L862" s="189"/>
      <c r="M862" s="124"/>
      <c r="N862" s="124"/>
      <c r="O862" s="124"/>
      <c r="P862" s="102"/>
      <c r="Q862" s="161"/>
      <c r="R862" s="124"/>
      <c r="S862" s="124"/>
      <c r="T862" s="124"/>
      <c r="U862" s="125"/>
      <c r="V862" s="189"/>
      <c r="W862" s="124"/>
      <c r="X862" s="124"/>
      <c r="Y862" s="124"/>
      <c r="Z862" s="125"/>
      <c r="AA862" s="189"/>
      <c r="AB862" s="124"/>
      <c r="AC862" s="124"/>
      <c r="AD862" s="124"/>
      <c r="AE862" s="125"/>
      <c r="AF862" s="189"/>
      <c r="AG862" s="124"/>
      <c r="AH862" s="124"/>
      <c r="AI862" s="124"/>
      <c r="AJ862" s="125"/>
      <c r="AK862" s="189"/>
      <c r="AL862" s="124"/>
      <c r="AM862" s="124"/>
      <c r="AN862" s="124"/>
      <c r="AO862" s="360"/>
      <c r="AP862" s="360"/>
      <c r="AQ862" s="360"/>
      <c r="AR862" s="360"/>
      <c r="AS862" s="360"/>
      <c r="AT862" s="360"/>
      <c r="AU862" s="360"/>
      <c r="AV862" s="360"/>
      <c r="AW862" s="360"/>
      <c r="AX862" s="360"/>
      <c r="AY862" s="360"/>
      <c r="AZ862" s="360"/>
      <c r="BA862" s="360"/>
      <c r="BB862" s="360"/>
      <c r="BC862" s="360"/>
    </row>
    <row r="863">
      <c r="A863" s="125"/>
      <c r="B863" s="189"/>
      <c r="C863" s="124"/>
      <c r="D863" s="124"/>
      <c r="E863" s="124"/>
      <c r="F863" s="125"/>
      <c r="G863" s="189"/>
      <c r="H863" s="124"/>
      <c r="I863" s="124"/>
      <c r="J863" s="124"/>
      <c r="K863" s="102"/>
      <c r="L863" s="189"/>
      <c r="M863" s="124"/>
      <c r="N863" s="124"/>
      <c r="O863" s="124"/>
      <c r="P863" s="102"/>
      <c r="Q863" s="161"/>
      <c r="R863" s="124"/>
      <c r="S863" s="124"/>
      <c r="T863" s="124"/>
      <c r="U863" s="125"/>
      <c r="V863" s="189"/>
      <c r="W863" s="124"/>
      <c r="X863" s="124"/>
      <c r="Y863" s="124"/>
      <c r="Z863" s="125"/>
      <c r="AA863" s="189"/>
      <c r="AB863" s="124"/>
      <c r="AC863" s="124"/>
      <c r="AD863" s="124"/>
      <c r="AE863" s="125"/>
      <c r="AF863" s="189"/>
      <c r="AG863" s="124"/>
      <c r="AH863" s="124"/>
      <c r="AI863" s="124"/>
      <c r="AJ863" s="125"/>
      <c r="AK863" s="189"/>
      <c r="AL863" s="124"/>
      <c r="AM863" s="124"/>
      <c r="AN863" s="124"/>
      <c r="AO863" s="360"/>
      <c r="AP863" s="360"/>
      <c r="AQ863" s="360"/>
      <c r="AR863" s="360"/>
      <c r="AS863" s="360"/>
      <c r="AT863" s="360"/>
      <c r="AU863" s="360"/>
      <c r="AV863" s="360"/>
      <c r="AW863" s="360"/>
      <c r="AX863" s="360"/>
      <c r="AY863" s="360"/>
      <c r="AZ863" s="360"/>
      <c r="BA863" s="360"/>
      <c r="BB863" s="360"/>
      <c r="BC863" s="360"/>
    </row>
    <row r="864">
      <c r="A864" s="125"/>
      <c r="B864" s="189"/>
      <c r="C864" s="124"/>
      <c r="D864" s="124"/>
      <c r="E864" s="124"/>
      <c r="F864" s="125"/>
      <c r="G864" s="189"/>
      <c r="H864" s="124"/>
      <c r="I864" s="124"/>
      <c r="J864" s="124"/>
      <c r="K864" s="102"/>
      <c r="L864" s="189"/>
      <c r="M864" s="124"/>
      <c r="N864" s="124"/>
      <c r="O864" s="124"/>
      <c r="P864" s="102"/>
      <c r="Q864" s="161"/>
      <c r="R864" s="124"/>
      <c r="S864" s="124"/>
      <c r="T864" s="124"/>
      <c r="U864" s="125"/>
      <c r="V864" s="189"/>
      <c r="W864" s="124"/>
      <c r="X864" s="124"/>
      <c r="Y864" s="124"/>
      <c r="Z864" s="125"/>
      <c r="AA864" s="189"/>
      <c r="AB864" s="124"/>
      <c r="AC864" s="124"/>
      <c r="AD864" s="124"/>
      <c r="AE864" s="125"/>
      <c r="AF864" s="189"/>
      <c r="AG864" s="124"/>
      <c r="AH864" s="124"/>
      <c r="AI864" s="124"/>
      <c r="AJ864" s="125"/>
      <c r="AK864" s="189"/>
      <c r="AL864" s="124"/>
      <c r="AM864" s="124"/>
      <c r="AN864" s="124"/>
      <c r="AO864" s="360"/>
      <c r="AP864" s="360"/>
      <c r="AQ864" s="360"/>
      <c r="AR864" s="360"/>
      <c r="AS864" s="360"/>
      <c r="AT864" s="360"/>
      <c r="AU864" s="360"/>
      <c r="AV864" s="360"/>
      <c r="AW864" s="360"/>
      <c r="AX864" s="360"/>
      <c r="AY864" s="360"/>
      <c r="AZ864" s="360"/>
      <c r="BA864" s="360"/>
      <c r="BB864" s="360"/>
      <c r="BC864" s="360"/>
    </row>
    <row r="865">
      <c r="A865" s="125"/>
      <c r="B865" s="189"/>
      <c r="C865" s="124"/>
      <c r="D865" s="124"/>
      <c r="E865" s="124"/>
      <c r="F865" s="125"/>
      <c r="G865" s="189"/>
      <c r="H865" s="124"/>
      <c r="I865" s="124"/>
      <c r="J865" s="124"/>
      <c r="K865" s="102"/>
      <c r="L865" s="189"/>
      <c r="M865" s="124"/>
      <c r="N865" s="124"/>
      <c r="O865" s="124"/>
      <c r="P865" s="102"/>
      <c r="Q865" s="161"/>
      <c r="R865" s="124"/>
      <c r="S865" s="124"/>
      <c r="T865" s="124"/>
      <c r="U865" s="125"/>
      <c r="V865" s="189"/>
      <c r="W865" s="124"/>
      <c r="X865" s="124"/>
      <c r="Y865" s="124"/>
      <c r="Z865" s="125"/>
      <c r="AA865" s="189"/>
      <c r="AB865" s="124"/>
      <c r="AC865" s="124"/>
      <c r="AD865" s="124"/>
      <c r="AE865" s="125"/>
      <c r="AF865" s="189"/>
      <c r="AG865" s="124"/>
      <c r="AH865" s="124"/>
      <c r="AI865" s="124"/>
      <c r="AJ865" s="125"/>
      <c r="AK865" s="189"/>
      <c r="AL865" s="124"/>
      <c r="AM865" s="124"/>
      <c r="AN865" s="124"/>
      <c r="AO865" s="360"/>
      <c r="AP865" s="360"/>
      <c r="AQ865" s="360"/>
      <c r="AR865" s="360"/>
      <c r="AS865" s="360"/>
      <c r="AT865" s="360"/>
      <c r="AU865" s="360"/>
      <c r="AV865" s="360"/>
      <c r="AW865" s="360"/>
      <c r="AX865" s="360"/>
      <c r="AY865" s="360"/>
      <c r="AZ865" s="360"/>
      <c r="BA865" s="360"/>
      <c r="BB865" s="360"/>
      <c r="BC865" s="360"/>
    </row>
    <row r="866">
      <c r="A866" s="125"/>
      <c r="B866" s="189"/>
      <c r="C866" s="124"/>
      <c r="D866" s="124"/>
      <c r="E866" s="124"/>
      <c r="F866" s="125"/>
      <c r="G866" s="189"/>
      <c r="H866" s="124"/>
      <c r="I866" s="124"/>
      <c r="J866" s="124"/>
      <c r="K866" s="102"/>
      <c r="L866" s="189"/>
      <c r="M866" s="124"/>
      <c r="N866" s="124"/>
      <c r="O866" s="124"/>
      <c r="P866" s="102"/>
      <c r="Q866" s="161"/>
      <c r="R866" s="124"/>
      <c r="S866" s="124"/>
      <c r="T866" s="124"/>
      <c r="U866" s="125"/>
      <c r="V866" s="189"/>
      <c r="W866" s="124"/>
      <c r="X866" s="124"/>
      <c r="Y866" s="124"/>
      <c r="Z866" s="125"/>
      <c r="AA866" s="189"/>
      <c r="AB866" s="124"/>
      <c r="AC866" s="124"/>
      <c r="AD866" s="124"/>
      <c r="AE866" s="125"/>
      <c r="AF866" s="189"/>
      <c r="AG866" s="124"/>
      <c r="AH866" s="124"/>
      <c r="AI866" s="124"/>
      <c r="AJ866" s="125"/>
      <c r="AK866" s="189"/>
      <c r="AL866" s="124"/>
      <c r="AM866" s="124"/>
      <c r="AN866" s="124"/>
      <c r="AO866" s="360"/>
      <c r="AP866" s="360"/>
      <c r="AQ866" s="360"/>
      <c r="AR866" s="360"/>
      <c r="AS866" s="360"/>
      <c r="AT866" s="360"/>
      <c r="AU866" s="360"/>
      <c r="AV866" s="360"/>
      <c r="AW866" s="360"/>
      <c r="AX866" s="360"/>
      <c r="AY866" s="360"/>
      <c r="AZ866" s="360"/>
      <c r="BA866" s="360"/>
      <c r="BB866" s="360"/>
      <c r="BC866" s="360"/>
    </row>
    <row r="867">
      <c r="A867" s="125"/>
      <c r="B867" s="189"/>
      <c r="C867" s="124"/>
      <c r="D867" s="124"/>
      <c r="E867" s="124"/>
      <c r="F867" s="125"/>
      <c r="G867" s="189"/>
      <c r="H867" s="124"/>
      <c r="I867" s="124"/>
      <c r="J867" s="124"/>
      <c r="K867" s="102"/>
      <c r="L867" s="189"/>
      <c r="M867" s="124"/>
      <c r="N867" s="124"/>
      <c r="O867" s="124"/>
      <c r="P867" s="102"/>
      <c r="Q867" s="161"/>
      <c r="R867" s="124"/>
      <c r="S867" s="124"/>
      <c r="T867" s="124"/>
      <c r="U867" s="125"/>
      <c r="V867" s="189"/>
      <c r="W867" s="124"/>
      <c r="X867" s="124"/>
      <c r="Y867" s="124"/>
      <c r="Z867" s="125"/>
      <c r="AA867" s="189"/>
      <c r="AB867" s="124"/>
      <c r="AC867" s="124"/>
      <c r="AD867" s="124"/>
      <c r="AE867" s="125"/>
      <c r="AF867" s="189"/>
      <c r="AG867" s="124"/>
      <c r="AH867" s="124"/>
      <c r="AI867" s="124"/>
      <c r="AJ867" s="125"/>
      <c r="AK867" s="189"/>
      <c r="AL867" s="124"/>
      <c r="AM867" s="124"/>
      <c r="AN867" s="124"/>
      <c r="AO867" s="360"/>
      <c r="AP867" s="360"/>
      <c r="AQ867" s="360"/>
      <c r="AR867" s="360"/>
      <c r="AS867" s="360"/>
      <c r="AT867" s="360"/>
      <c r="AU867" s="360"/>
      <c r="AV867" s="360"/>
      <c r="AW867" s="360"/>
      <c r="AX867" s="360"/>
      <c r="AY867" s="360"/>
      <c r="AZ867" s="360"/>
      <c r="BA867" s="360"/>
      <c r="BB867" s="360"/>
      <c r="BC867" s="360"/>
    </row>
    <row r="868">
      <c r="A868" s="125"/>
      <c r="B868" s="189"/>
      <c r="C868" s="124"/>
      <c r="D868" s="124"/>
      <c r="E868" s="124"/>
      <c r="F868" s="125"/>
      <c r="G868" s="189"/>
      <c r="H868" s="124"/>
      <c r="I868" s="124"/>
      <c r="J868" s="124"/>
      <c r="K868" s="102"/>
      <c r="L868" s="189"/>
      <c r="M868" s="124"/>
      <c r="N868" s="124"/>
      <c r="O868" s="124"/>
      <c r="P868" s="102"/>
      <c r="Q868" s="161"/>
      <c r="R868" s="124"/>
      <c r="S868" s="124"/>
      <c r="T868" s="124"/>
      <c r="U868" s="125"/>
      <c r="V868" s="189"/>
      <c r="W868" s="124"/>
      <c r="X868" s="124"/>
      <c r="Y868" s="124"/>
      <c r="Z868" s="125"/>
      <c r="AA868" s="189"/>
      <c r="AB868" s="124"/>
      <c r="AC868" s="124"/>
      <c r="AD868" s="124"/>
      <c r="AE868" s="125"/>
      <c r="AF868" s="189"/>
      <c r="AG868" s="124"/>
      <c r="AH868" s="124"/>
      <c r="AI868" s="124"/>
      <c r="AJ868" s="125"/>
      <c r="AK868" s="189"/>
      <c r="AL868" s="124"/>
      <c r="AM868" s="124"/>
      <c r="AN868" s="124"/>
      <c r="AO868" s="360"/>
      <c r="AP868" s="360"/>
      <c r="AQ868" s="360"/>
      <c r="AR868" s="360"/>
      <c r="AS868" s="360"/>
      <c r="AT868" s="360"/>
      <c r="AU868" s="360"/>
      <c r="AV868" s="360"/>
      <c r="AW868" s="360"/>
      <c r="AX868" s="360"/>
      <c r="AY868" s="360"/>
      <c r="AZ868" s="360"/>
      <c r="BA868" s="360"/>
      <c r="BB868" s="360"/>
      <c r="BC868" s="360"/>
    </row>
    <row r="869">
      <c r="A869" s="125"/>
      <c r="B869" s="189"/>
      <c r="C869" s="124"/>
      <c r="D869" s="124"/>
      <c r="E869" s="124"/>
      <c r="F869" s="125"/>
      <c r="G869" s="189"/>
      <c r="H869" s="124"/>
      <c r="I869" s="124"/>
      <c r="J869" s="124"/>
      <c r="K869" s="102"/>
      <c r="L869" s="189"/>
      <c r="M869" s="124"/>
      <c r="N869" s="124"/>
      <c r="O869" s="124"/>
      <c r="P869" s="102"/>
      <c r="Q869" s="161"/>
      <c r="R869" s="124"/>
      <c r="S869" s="124"/>
      <c r="T869" s="124"/>
      <c r="U869" s="125"/>
      <c r="V869" s="189"/>
      <c r="W869" s="124"/>
      <c r="X869" s="124"/>
      <c r="Y869" s="124"/>
      <c r="Z869" s="125"/>
      <c r="AA869" s="189"/>
      <c r="AB869" s="124"/>
      <c r="AC869" s="124"/>
      <c r="AD869" s="124"/>
      <c r="AE869" s="125"/>
      <c r="AF869" s="189"/>
      <c r="AG869" s="124"/>
      <c r="AH869" s="124"/>
      <c r="AI869" s="124"/>
      <c r="AJ869" s="125"/>
      <c r="AK869" s="189"/>
      <c r="AL869" s="124"/>
      <c r="AM869" s="124"/>
      <c r="AN869" s="124"/>
      <c r="AO869" s="360"/>
      <c r="AP869" s="360"/>
      <c r="AQ869" s="360"/>
      <c r="AR869" s="360"/>
      <c r="AS869" s="360"/>
      <c r="AT869" s="360"/>
      <c r="AU869" s="360"/>
      <c r="AV869" s="360"/>
      <c r="AW869" s="360"/>
      <c r="AX869" s="360"/>
      <c r="AY869" s="360"/>
      <c r="AZ869" s="360"/>
      <c r="BA869" s="360"/>
      <c r="BB869" s="360"/>
      <c r="BC869" s="360"/>
    </row>
    <row r="870">
      <c r="A870" s="125"/>
      <c r="B870" s="189"/>
      <c r="C870" s="124"/>
      <c r="D870" s="124"/>
      <c r="E870" s="124"/>
      <c r="F870" s="125"/>
      <c r="G870" s="189"/>
      <c r="H870" s="124"/>
      <c r="I870" s="124"/>
      <c r="J870" s="124"/>
      <c r="K870" s="102"/>
      <c r="L870" s="189"/>
      <c r="M870" s="124"/>
      <c r="N870" s="124"/>
      <c r="O870" s="124"/>
      <c r="P870" s="102"/>
      <c r="Q870" s="161"/>
      <c r="R870" s="124"/>
      <c r="S870" s="124"/>
      <c r="T870" s="124"/>
      <c r="U870" s="125"/>
      <c r="V870" s="189"/>
      <c r="W870" s="124"/>
      <c r="X870" s="124"/>
      <c r="Y870" s="124"/>
      <c r="Z870" s="125"/>
      <c r="AA870" s="189"/>
      <c r="AB870" s="124"/>
      <c r="AC870" s="124"/>
      <c r="AD870" s="124"/>
      <c r="AE870" s="125"/>
      <c r="AF870" s="189"/>
      <c r="AG870" s="124"/>
      <c r="AH870" s="124"/>
      <c r="AI870" s="124"/>
      <c r="AJ870" s="125"/>
      <c r="AK870" s="189"/>
      <c r="AL870" s="124"/>
      <c r="AM870" s="124"/>
      <c r="AN870" s="124"/>
      <c r="AO870" s="360"/>
      <c r="AP870" s="360"/>
      <c r="AQ870" s="360"/>
      <c r="AR870" s="360"/>
      <c r="AS870" s="360"/>
      <c r="AT870" s="360"/>
      <c r="AU870" s="360"/>
      <c r="AV870" s="360"/>
      <c r="AW870" s="360"/>
      <c r="AX870" s="360"/>
      <c r="AY870" s="360"/>
      <c r="AZ870" s="360"/>
      <c r="BA870" s="360"/>
      <c r="BB870" s="360"/>
      <c r="BC870" s="360"/>
    </row>
    <row r="871">
      <c r="A871" s="125"/>
      <c r="B871" s="189"/>
      <c r="C871" s="124"/>
      <c r="D871" s="124"/>
      <c r="E871" s="124"/>
      <c r="F871" s="125"/>
      <c r="G871" s="189"/>
      <c r="H871" s="124"/>
      <c r="I871" s="124"/>
      <c r="J871" s="124"/>
      <c r="K871" s="102"/>
      <c r="L871" s="189"/>
      <c r="M871" s="124"/>
      <c r="N871" s="124"/>
      <c r="O871" s="124"/>
      <c r="P871" s="102"/>
      <c r="Q871" s="161"/>
      <c r="R871" s="124"/>
      <c r="S871" s="124"/>
      <c r="T871" s="124"/>
      <c r="U871" s="125"/>
      <c r="V871" s="189"/>
      <c r="W871" s="124"/>
      <c r="X871" s="124"/>
      <c r="Y871" s="124"/>
      <c r="Z871" s="125"/>
      <c r="AA871" s="189"/>
      <c r="AB871" s="124"/>
      <c r="AC871" s="124"/>
      <c r="AD871" s="124"/>
      <c r="AE871" s="125"/>
      <c r="AF871" s="189"/>
      <c r="AG871" s="124"/>
      <c r="AH871" s="124"/>
      <c r="AI871" s="124"/>
      <c r="AJ871" s="125"/>
      <c r="AK871" s="189"/>
      <c r="AL871" s="124"/>
      <c r="AM871" s="124"/>
      <c r="AN871" s="124"/>
      <c r="AO871" s="360"/>
      <c r="AP871" s="360"/>
      <c r="AQ871" s="360"/>
      <c r="AR871" s="360"/>
      <c r="AS871" s="360"/>
      <c r="AT871" s="360"/>
      <c r="AU871" s="360"/>
      <c r="AV871" s="360"/>
      <c r="AW871" s="360"/>
      <c r="AX871" s="360"/>
      <c r="AY871" s="360"/>
      <c r="AZ871" s="360"/>
      <c r="BA871" s="360"/>
      <c r="BB871" s="360"/>
      <c r="BC871" s="360"/>
    </row>
    <row r="872">
      <c r="A872" s="125"/>
      <c r="B872" s="189"/>
      <c r="C872" s="124"/>
      <c r="D872" s="124"/>
      <c r="E872" s="124"/>
      <c r="F872" s="125"/>
      <c r="G872" s="189"/>
      <c r="H872" s="124"/>
      <c r="I872" s="124"/>
      <c r="J872" s="124"/>
      <c r="K872" s="102"/>
      <c r="L872" s="189"/>
      <c r="M872" s="124"/>
      <c r="N872" s="124"/>
      <c r="O872" s="124"/>
      <c r="P872" s="102"/>
      <c r="Q872" s="161"/>
      <c r="R872" s="124"/>
      <c r="S872" s="124"/>
      <c r="T872" s="124"/>
      <c r="U872" s="125"/>
      <c r="V872" s="189"/>
      <c r="W872" s="124"/>
      <c r="X872" s="124"/>
      <c r="Y872" s="124"/>
      <c r="Z872" s="125"/>
      <c r="AA872" s="189"/>
      <c r="AB872" s="124"/>
      <c r="AC872" s="124"/>
      <c r="AD872" s="124"/>
      <c r="AE872" s="125"/>
      <c r="AF872" s="189"/>
      <c r="AG872" s="124"/>
      <c r="AH872" s="124"/>
      <c r="AI872" s="124"/>
      <c r="AJ872" s="125"/>
      <c r="AK872" s="189"/>
      <c r="AL872" s="124"/>
      <c r="AM872" s="124"/>
      <c r="AN872" s="124"/>
      <c r="AO872" s="360"/>
      <c r="AP872" s="360"/>
      <c r="AQ872" s="360"/>
      <c r="AR872" s="360"/>
      <c r="AS872" s="360"/>
      <c r="AT872" s="360"/>
      <c r="AU872" s="360"/>
      <c r="AV872" s="360"/>
      <c r="AW872" s="360"/>
      <c r="AX872" s="360"/>
      <c r="AY872" s="360"/>
      <c r="AZ872" s="360"/>
      <c r="BA872" s="360"/>
      <c r="BB872" s="360"/>
      <c r="BC872" s="360"/>
    </row>
    <row r="873">
      <c r="A873" s="125"/>
      <c r="B873" s="189"/>
      <c r="C873" s="124"/>
      <c r="D873" s="124"/>
      <c r="E873" s="124"/>
      <c r="F873" s="125"/>
      <c r="G873" s="189"/>
      <c r="H873" s="124"/>
      <c r="I873" s="124"/>
      <c r="J873" s="124"/>
      <c r="K873" s="102"/>
      <c r="L873" s="189"/>
      <c r="M873" s="124"/>
      <c r="N873" s="124"/>
      <c r="O873" s="124"/>
      <c r="P873" s="102"/>
      <c r="Q873" s="161"/>
      <c r="R873" s="124"/>
      <c r="S873" s="124"/>
      <c r="T873" s="124"/>
      <c r="U873" s="125"/>
      <c r="V873" s="189"/>
      <c r="W873" s="124"/>
      <c r="X873" s="124"/>
      <c r="Y873" s="124"/>
      <c r="Z873" s="125"/>
      <c r="AA873" s="189"/>
      <c r="AB873" s="124"/>
      <c r="AC873" s="124"/>
      <c r="AD873" s="124"/>
      <c r="AE873" s="125"/>
      <c r="AF873" s="189"/>
      <c r="AG873" s="124"/>
      <c r="AH873" s="124"/>
      <c r="AI873" s="124"/>
      <c r="AJ873" s="125"/>
      <c r="AK873" s="189"/>
      <c r="AL873" s="124"/>
      <c r="AM873" s="124"/>
      <c r="AN873" s="124"/>
      <c r="AO873" s="360"/>
      <c r="AP873" s="360"/>
      <c r="AQ873" s="360"/>
      <c r="AR873" s="360"/>
      <c r="AS873" s="360"/>
      <c r="AT873" s="360"/>
      <c r="AU873" s="360"/>
      <c r="AV873" s="360"/>
      <c r="AW873" s="360"/>
      <c r="AX873" s="360"/>
      <c r="AY873" s="360"/>
      <c r="AZ873" s="360"/>
      <c r="BA873" s="360"/>
      <c r="BB873" s="360"/>
      <c r="BC873" s="360"/>
    </row>
    <row r="874">
      <c r="A874" s="125"/>
      <c r="B874" s="189"/>
      <c r="C874" s="124"/>
      <c r="D874" s="124"/>
      <c r="E874" s="124"/>
      <c r="F874" s="125"/>
      <c r="G874" s="189"/>
      <c r="H874" s="124"/>
      <c r="I874" s="124"/>
      <c r="J874" s="124"/>
      <c r="K874" s="102"/>
      <c r="L874" s="189"/>
      <c r="M874" s="124"/>
      <c r="N874" s="124"/>
      <c r="O874" s="124"/>
      <c r="P874" s="102"/>
      <c r="Q874" s="161"/>
      <c r="R874" s="124"/>
      <c r="S874" s="124"/>
      <c r="T874" s="124"/>
      <c r="U874" s="125"/>
      <c r="V874" s="189"/>
      <c r="W874" s="124"/>
      <c r="X874" s="124"/>
      <c r="Y874" s="124"/>
      <c r="Z874" s="125"/>
      <c r="AA874" s="189"/>
      <c r="AB874" s="124"/>
      <c r="AC874" s="124"/>
      <c r="AD874" s="124"/>
      <c r="AE874" s="125"/>
      <c r="AF874" s="189"/>
      <c r="AG874" s="124"/>
      <c r="AH874" s="124"/>
      <c r="AI874" s="124"/>
      <c r="AJ874" s="125"/>
      <c r="AK874" s="189"/>
      <c r="AL874" s="124"/>
      <c r="AM874" s="124"/>
      <c r="AN874" s="124"/>
      <c r="AO874" s="360"/>
      <c r="AP874" s="360"/>
      <c r="AQ874" s="360"/>
      <c r="AR874" s="360"/>
      <c r="AS874" s="360"/>
      <c r="AT874" s="360"/>
      <c r="AU874" s="360"/>
      <c r="AV874" s="360"/>
      <c r="AW874" s="360"/>
      <c r="AX874" s="360"/>
      <c r="AY874" s="360"/>
      <c r="AZ874" s="360"/>
      <c r="BA874" s="360"/>
      <c r="BB874" s="360"/>
      <c r="BC874" s="360"/>
    </row>
    <row r="875">
      <c r="A875" s="125"/>
      <c r="B875" s="189"/>
      <c r="C875" s="124"/>
      <c r="D875" s="124"/>
      <c r="E875" s="124"/>
      <c r="F875" s="125"/>
      <c r="G875" s="189"/>
      <c r="H875" s="124"/>
      <c r="I875" s="124"/>
      <c r="J875" s="124"/>
      <c r="K875" s="102"/>
      <c r="L875" s="189"/>
      <c r="M875" s="124"/>
      <c r="N875" s="124"/>
      <c r="O875" s="124"/>
      <c r="P875" s="102"/>
      <c r="Q875" s="161"/>
      <c r="R875" s="124"/>
      <c r="S875" s="124"/>
      <c r="T875" s="124"/>
      <c r="U875" s="125"/>
      <c r="V875" s="189"/>
      <c r="W875" s="124"/>
      <c r="X875" s="124"/>
      <c r="Y875" s="124"/>
      <c r="Z875" s="125"/>
      <c r="AA875" s="189"/>
      <c r="AB875" s="124"/>
      <c r="AC875" s="124"/>
      <c r="AD875" s="124"/>
      <c r="AE875" s="125"/>
      <c r="AF875" s="189"/>
      <c r="AG875" s="124"/>
      <c r="AH875" s="124"/>
      <c r="AI875" s="124"/>
      <c r="AJ875" s="125"/>
      <c r="AK875" s="189"/>
      <c r="AL875" s="124"/>
      <c r="AM875" s="124"/>
      <c r="AN875" s="124"/>
      <c r="AO875" s="360"/>
      <c r="AP875" s="360"/>
      <c r="AQ875" s="360"/>
      <c r="AR875" s="360"/>
      <c r="AS875" s="360"/>
      <c r="AT875" s="360"/>
      <c r="AU875" s="360"/>
      <c r="AV875" s="360"/>
      <c r="AW875" s="360"/>
      <c r="AX875" s="360"/>
      <c r="AY875" s="360"/>
      <c r="AZ875" s="360"/>
      <c r="BA875" s="360"/>
      <c r="BB875" s="360"/>
      <c r="BC875" s="360"/>
    </row>
    <row r="876">
      <c r="A876" s="125"/>
      <c r="B876" s="189"/>
      <c r="C876" s="124"/>
      <c r="D876" s="124"/>
      <c r="E876" s="124"/>
      <c r="F876" s="125"/>
      <c r="G876" s="189"/>
      <c r="H876" s="124"/>
      <c r="I876" s="124"/>
      <c r="J876" s="124"/>
      <c r="K876" s="102"/>
      <c r="L876" s="189"/>
      <c r="M876" s="124"/>
      <c r="N876" s="124"/>
      <c r="O876" s="124"/>
      <c r="P876" s="102"/>
      <c r="Q876" s="161"/>
      <c r="R876" s="124"/>
      <c r="S876" s="124"/>
      <c r="T876" s="124"/>
      <c r="U876" s="125"/>
      <c r="V876" s="189"/>
      <c r="W876" s="124"/>
      <c r="X876" s="124"/>
      <c r="Y876" s="124"/>
      <c r="Z876" s="125"/>
      <c r="AA876" s="189"/>
      <c r="AB876" s="124"/>
      <c r="AC876" s="124"/>
      <c r="AD876" s="124"/>
      <c r="AE876" s="125"/>
      <c r="AF876" s="189"/>
      <c r="AG876" s="124"/>
      <c r="AH876" s="124"/>
      <c r="AI876" s="124"/>
      <c r="AJ876" s="125"/>
      <c r="AK876" s="189"/>
      <c r="AL876" s="124"/>
      <c r="AM876" s="124"/>
      <c r="AN876" s="124"/>
      <c r="AO876" s="360"/>
      <c r="AP876" s="360"/>
      <c r="AQ876" s="360"/>
      <c r="AR876" s="360"/>
      <c r="AS876" s="360"/>
      <c r="AT876" s="360"/>
      <c r="AU876" s="360"/>
      <c r="AV876" s="360"/>
      <c r="AW876" s="360"/>
      <c r="AX876" s="360"/>
      <c r="AY876" s="360"/>
      <c r="AZ876" s="360"/>
      <c r="BA876" s="360"/>
      <c r="BB876" s="360"/>
      <c r="BC876" s="360"/>
    </row>
    <row r="877">
      <c r="A877" s="125"/>
      <c r="B877" s="189"/>
      <c r="C877" s="124"/>
      <c r="D877" s="124"/>
      <c r="E877" s="124"/>
      <c r="F877" s="125"/>
      <c r="G877" s="189"/>
      <c r="H877" s="124"/>
      <c r="I877" s="124"/>
      <c r="J877" s="124"/>
      <c r="K877" s="102"/>
      <c r="L877" s="189"/>
      <c r="M877" s="124"/>
      <c r="N877" s="124"/>
      <c r="O877" s="124"/>
      <c r="P877" s="102"/>
      <c r="Q877" s="161"/>
      <c r="R877" s="124"/>
      <c r="S877" s="124"/>
      <c r="T877" s="124"/>
      <c r="U877" s="125"/>
      <c r="V877" s="189"/>
      <c r="W877" s="124"/>
      <c r="X877" s="124"/>
      <c r="Y877" s="124"/>
      <c r="Z877" s="125"/>
      <c r="AA877" s="189"/>
      <c r="AB877" s="124"/>
      <c r="AC877" s="124"/>
      <c r="AD877" s="124"/>
      <c r="AE877" s="125"/>
      <c r="AF877" s="189"/>
      <c r="AG877" s="124"/>
      <c r="AH877" s="124"/>
      <c r="AI877" s="124"/>
      <c r="AJ877" s="125"/>
      <c r="AK877" s="189"/>
      <c r="AL877" s="124"/>
      <c r="AM877" s="124"/>
      <c r="AN877" s="124"/>
      <c r="AO877" s="360"/>
      <c r="AP877" s="360"/>
      <c r="AQ877" s="360"/>
      <c r="AR877" s="360"/>
      <c r="AS877" s="360"/>
      <c r="AT877" s="360"/>
      <c r="AU877" s="360"/>
      <c r="AV877" s="360"/>
      <c r="AW877" s="360"/>
      <c r="AX877" s="360"/>
      <c r="AY877" s="360"/>
      <c r="AZ877" s="360"/>
      <c r="BA877" s="360"/>
      <c r="BB877" s="360"/>
      <c r="BC877" s="360"/>
    </row>
    <row r="878">
      <c r="A878" s="125"/>
      <c r="B878" s="189"/>
      <c r="C878" s="124"/>
      <c r="D878" s="124"/>
      <c r="E878" s="124"/>
      <c r="F878" s="125"/>
      <c r="G878" s="189"/>
      <c r="H878" s="124"/>
      <c r="I878" s="124"/>
      <c r="J878" s="124"/>
      <c r="K878" s="102"/>
      <c r="L878" s="189"/>
      <c r="M878" s="124"/>
      <c r="N878" s="124"/>
      <c r="O878" s="124"/>
      <c r="P878" s="102"/>
      <c r="Q878" s="161"/>
      <c r="R878" s="124"/>
      <c r="S878" s="124"/>
      <c r="T878" s="124"/>
      <c r="U878" s="125"/>
      <c r="V878" s="189"/>
      <c r="W878" s="124"/>
      <c r="X878" s="124"/>
      <c r="Y878" s="124"/>
      <c r="Z878" s="125"/>
      <c r="AA878" s="189"/>
      <c r="AB878" s="124"/>
      <c r="AC878" s="124"/>
      <c r="AD878" s="124"/>
      <c r="AE878" s="125"/>
      <c r="AF878" s="189"/>
      <c r="AG878" s="124"/>
      <c r="AH878" s="124"/>
      <c r="AI878" s="124"/>
      <c r="AJ878" s="125"/>
      <c r="AK878" s="189"/>
      <c r="AL878" s="124"/>
      <c r="AM878" s="124"/>
      <c r="AN878" s="124"/>
      <c r="AO878" s="360"/>
      <c r="AP878" s="360"/>
      <c r="AQ878" s="360"/>
      <c r="AR878" s="360"/>
      <c r="AS878" s="360"/>
      <c r="AT878" s="360"/>
      <c r="AU878" s="360"/>
      <c r="AV878" s="360"/>
      <c r="AW878" s="360"/>
      <c r="AX878" s="360"/>
      <c r="AY878" s="360"/>
      <c r="AZ878" s="360"/>
      <c r="BA878" s="360"/>
      <c r="BB878" s="360"/>
      <c r="BC878" s="360"/>
    </row>
    <row r="879">
      <c r="A879" s="125"/>
      <c r="B879" s="189"/>
      <c r="C879" s="124"/>
      <c r="D879" s="124"/>
      <c r="E879" s="124"/>
      <c r="F879" s="125"/>
      <c r="G879" s="189"/>
      <c r="H879" s="124"/>
      <c r="I879" s="124"/>
      <c r="J879" s="124"/>
      <c r="K879" s="102"/>
      <c r="L879" s="189"/>
      <c r="M879" s="124"/>
      <c r="N879" s="124"/>
      <c r="O879" s="124"/>
      <c r="P879" s="102"/>
      <c r="Q879" s="161"/>
      <c r="R879" s="124"/>
      <c r="S879" s="124"/>
      <c r="T879" s="124"/>
      <c r="U879" s="125"/>
      <c r="V879" s="189"/>
      <c r="W879" s="124"/>
      <c r="X879" s="124"/>
      <c r="Y879" s="124"/>
      <c r="Z879" s="125"/>
      <c r="AA879" s="189"/>
      <c r="AB879" s="124"/>
      <c r="AC879" s="124"/>
      <c r="AD879" s="124"/>
      <c r="AE879" s="125"/>
      <c r="AF879" s="189"/>
      <c r="AG879" s="124"/>
      <c r="AH879" s="124"/>
      <c r="AI879" s="124"/>
      <c r="AJ879" s="125"/>
      <c r="AK879" s="189"/>
      <c r="AL879" s="124"/>
      <c r="AM879" s="124"/>
      <c r="AN879" s="124"/>
      <c r="AO879" s="360"/>
      <c r="AP879" s="360"/>
      <c r="AQ879" s="360"/>
      <c r="AR879" s="360"/>
      <c r="AS879" s="360"/>
      <c r="AT879" s="360"/>
      <c r="AU879" s="360"/>
      <c r="AV879" s="360"/>
      <c r="AW879" s="360"/>
      <c r="AX879" s="360"/>
      <c r="AY879" s="360"/>
      <c r="AZ879" s="360"/>
      <c r="BA879" s="360"/>
      <c r="BB879" s="360"/>
      <c r="BC879" s="360"/>
    </row>
    <row r="880">
      <c r="A880" s="125"/>
      <c r="B880" s="189"/>
      <c r="C880" s="124"/>
      <c r="D880" s="124"/>
      <c r="E880" s="124"/>
      <c r="F880" s="125"/>
      <c r="G880" s="189"/>
      <c r="H880" s="124"/>
      <c r="I880" s="124"/>
      <c r="J880" s="124"/>
      <c r="K880" s="102"/>
      <c r="L880" s="189"/>
      <c r="M880" s="124"/>
      <c r="N880" s="124"/>
      <c r="O880" s="124"/>
      <c r="P880" s="102"/>
      <c r="Q880" s="161"/>
      <c r="R880" s="124"/>
      <c r="S880" s="124"/>
      <c r="T880" s="124"/>
      <c r="U880" s="125"/>
      <c r="V880" s="189"/>
      <c r="W880" s="124"/>
      <c r="X880" s="124"/>
      <c r="Y880" s="124"/>
      <c r="Z880" s="125"/>
      <c r="AA880" s="189"/>
      <c r="AB880" s="124"/>
      <c r="AC880" s="124"/>
      <c r="AD880" s="124"/>
      <c r="AE880" s="125"/>
      <c r="AF880" s="189"/>
      <c r="AG880" s="124"/>
      <c r="AH880" s="124"/>
      <c r="AI880" s="124"/>
      <c r="AJ880" s="125"/>
      <c r="AK880" s="189"/>
      <c r="AL880" s="124"/>
      <c r="AM880" s="124"/>
      <c r="AN880" s="124"/>
      <c r="AO880" s="360"/>
      <c r="AP880" s="360"/>
      <c r="AQ880" s="360"/>
      <c r="AR880" s="360"/>
      <c r="AS880" s="360"/>
      <c r="AT880" s="360"/>
      <c r="AU880" s="360"/>
      <c r="AV880" s="360"/>
      <c r="AW880" s="360"/>
      <c r="AX880" s="360"/>
      <c r="AY880" s="360"/>
      <c r="AZ880" s="360"/>
      <c r="BA880" s="360"/>
      <c r="BB880" s="360"/>
      <c r="BC880" s="360"/>
    </row>
    <row r="881">
      <c r="A881" s="125"/>
      <c r="B881" s="189"/>
      <c r="C881" s="124"/>
      <c r="D881" s="124"/>
      <c r="E881" s="124"/>
      <c r="F881" s="125"/>
      <c r="G881" s="189"/>
      <c r="H881" s="124"/>
      <c r="I881" s="124"/>
      <c r="J881" s="124"/>
      <c r="K881" s="102"/>
      <c r="L881" s="189"/>
      <c r="M881" s="124"/>
      <c r="N881" s="124"/>
      <c r="O881" s="124"/>
      <c r="P881" s="102"/>
      <c r="Q881" s="161"/>
      <c r="R881" s="124"/>
      <c r="S881" s="124"/>
      <c r="T881" s="124"/>
      <c r="U881" s="125"/>
      <c r="V881" s="189"/>
      <c r="W881" s="124"/>
      <c r="X881" s="124"/>
      <c r="Y881" s="124"/>
      <c r="Z881" s="125"/>
      <c r="AA881" s="189"/>
      <c r="AB881" s="124"/>
      <c r="AC881" s="124"/>
      <c r="AD881" s="124"/>
      <c r="AE881" s="125"/>
      <c r="AF881" s="189"/>
      <c r="AG881" s="124"/>
      <c r="AH881" s="124"/>
      <c r="AI881" s="124"/>
      <c r="AJ881" s="125"/>
      <c r="AK881" s="189"/>
      <c r="AL881" s="124"/>
      <c r="AM881" s="124"/>
      <c r="AN881" s="124"/>
      <c r="AO881" s="360"/>
      <c r="AP881" s="360"/>
      <c r="AQ881" s="360"/>
      <c r="AR881" s="360"/>
      <c r="AS881" s="360"/>
      <c r="AT881" s="360"/>
      <c r="AU881" s="360"/>
      <c r="AV881" s="360"/>
      <c r="AW881" s="360"/>
      <c r="AX881" s="360"/>
      <c r="AY881" s="360"/>
      <c r="AZ881" s="360"/>
      <c r="BA881" s="360"/>
      <c r="BB881" s="360"/>
      <c r="BC881" s="360"/>
    </row>
    <row r="882">
      <c r="A882" s="125"/>
      <c r="B882" s="189"/>
      <c r="C882" s="124"/>
      <c r="D882" s="124"/>
      <c r="E882" s="124"/>
      <c r="F882" s="125"/>
      <c r="G882" s="189"/>
      <c r="H882" s="124"/>
      <c r="I882" s="124"/>
      <c r="J882" s="124"/>
      <c r="K882" s="102"/>
      <c r="L882" s="189"/>
      <c r="M882" s="124"/>
      <c r="N882" s="124"/>
      <c r="O882" s="124"/>
      <c r="P882" s="102"/>
      <c r="Q882" s="161"/>
      <c r="R882" s="124"/>
      <c r="S882" s="124"/>
      <c r="T882" s="124"/>
      <c r="U882" s="125"/>
      <c r="V882" s="189"/>
      <c r="W882" s="124"/>
      <c r="X882" s="124"/>
      <c r="Y882" s="124"/>
      <c r="Z882" s="125"/>
      <c r="AA882" s="189"/>
      <c r="AB882" s="124"/>
      <c r="AC882" s="124"/>
      <c r="AD882" s="124"/>
      <c r="AE882" s="125"/>
      <c r="AF882" s="189"/>
      <c r="AG882" s="124"/>
      <c r="AH882" s="124"/>
      <c r="AI882" s="124"/>
      <c r="AJ882" s="125"/>
      <c r="AK882" s="189"/>
      <c r="AL882" s="124"/>
      <c r="AM882" s="124"/>
      <c r="AN882" s="124"/>
      <c r="AO882" s="360"/>
      <c r="AP882" s="360"/>
      <c r="AQ882" s="360"/>
      <c r="AR882" s="360"/>
      <c r="AS882" s="360"/>
      <c r="AT882" s="360"/>
      <c r="AU882" s="360"/>
      <c r="AV882" s="360"/>
      <c r="AW882" s="360"/>
      <c r="AX882" s="360"/>
      <c r="AY882" s="360"/>
      <c r="AZ882" s="360"/>
      <c r="BA882" s="360"/>
      <c r="BB882" s="360"/>
      <c r="BC882" s="360"/>
    </row>
    <row r="883">
      <c r="A883" s="125"/>
      <c r="B883" s="189"/>
      <c r="C883" s="124"/>
      <c r="D883" s="124"/>
      <c r="E883" s="124"/>
      <c r="F883" s="125"/>
      <c r="G883" s="189"/>
      <c r="H883" s="124"/>
      <c r="I883" s="124"/>
      <c r="J883" s="124"/>
      <c r="K883" s="102"/>
      <c r="L883" s="189"/>
      <c r="M883" s="124"/>
      <c r="N883" s="124"/>
      <c r="O883" s="124"/>
      <c r="P883" s="102"/>
      <c r="Q883" s="161"/>
      <c r="R883" s="124"/>
      <c r="S883" s="124"/>
      <c r="T883" s="124"/>
      <c r="U883" s="125"/>
      <c r="V883" s="189"/>
      <c r="W883" s="124"/>
      <c r="X883" s="124"/>
      <c r="Y883" s="124"/>
      <c r="Z883" s="125"/>
      <c r="AA883" s="189"/>
      <c r="AB883" s="124"/>
      <c r="AC883" s="124"/>
      <c r="AD883" s="124"/>
      <c r="AE883" s="125"/>
      <c r="AF883" s="189"/>
      <c r="AG883" s="124"/>
      <c r="AH883" s="124"/>
      <c r="AI883" s="124"/>
      <c r="AJ883" s="125"/>
      <c r="AK883" s="189"/>
      <c r="AL883" s="124"/>
      <c r="AM883" s="124"/>
      <c r="AN883" s="124"/>
      <c r="AO883" s="360"/>
      <c r="AP883" s="360"/>
      <c r="AQ883" s="360"/>
      <c r="AR883" s="360"/>
      <c r="AS883" s="360"/>
      <c r="AT883" s="360"/>
      <c r="AU883" s="360"/>
      <c r="AV883" s="360"/>
      <c r="AW883" s="360"/>
      <c r="AX883" s="360"/>
      <c r="AY883" s="360"/>
      <c r="AZ883" s="360"/>
      <c r="BA883" s="360"/>
      <c r="BB883" s="360"/>
      <c r="BC883" s="360"/>
    </row>
    <row r="884">
      <c r="A884" s="125"/>
      <c r="B884" s="189"/>
      <c r="C884" s="124"/>
      <c r="D884" s="124"/>
      <c r="E884" s="124"/>
      <c r="F884" s="125"/>
      <c r="G884" s="189"/>
      <c r="H884" s="124"/>
      <c r="I884" s="124"/>
      <c r="J884" s="124"/>
      <c r="K884" s="102"/>
      <c r="L884" s="189"/>
      <c r="M884" s="124"/>
      <c r="N884" s="124"/>
      <c r="O884" s="124"/>
      <c r="P884" s="102"/>
      <c r="Q884" s="161"/>
      <c r="R884" s="124"/>
      <c r="S884" s="124"/>
      <c r="T884" s="124"/>
      <c r="U884" s="125"/>
      <c r="V884" s="189"/>
      <c r="W884" s="124"/>
      <c r="X884" s="124"/>
      <c r="Y884" s="124"/>
      <c r="Z884" s="125"/>
      <c r="AA884" s="189"/>
      <c r="AB884" s="124"/>
      <c r="AC884" s="124"/>
      <c r="AD884" s="124"/>
      <c r="AE884" s="125"/>
      <c r="AF884" s="189"/>
      <c r="AG884" s="124"/>
      <c r="AH884" s="124"/>
      <c r="AI884" s="124"/>
      <c r="AJ884" s="125"/>
      <c r="AK884" s="189"/>
      <c r="AL884" s="124"/>
      <c r="AM884" s="124"/>
      <c r="AN884" s="124"/>
      <c r="AO884" s="360"/>
      <c r="AP884" s="360"/>
      <c r="AQ884" s="360"/>
      <c r="AR884" s="360"/>
      <c r="AS884" s="360"/>
      <c r="AT884" s="360"/>
      <c r="AU884" s="360"/>
      <c r="AV884" s="360"/>
      <c r="AW884" s="360"/>
      <c r="AX884" s="360"/>
      <c r="AY884" s="360"/>
      <c r="AZ884" s="360"/>
      <c r="BA884" s="360"/>
      <c r="BB884" s="360"/>
      <c r="BC884" s="360"/>
    </row>
    <row r="885">
      <c r="A885" s="125"/>
      <c r="B885" s="189"/>
      <c r="C885" s="124"/>
      <c r="D885" s="124"/>
      <c r="E885" s="124"/>
      <c r="F885" s="125"/>
      <c r="G885" s="189"/>
      <c r="H885" s="124"/>
      <c r="I885" s="124"/>
      <c r="J885" s="124"/>
      <c r="K885" s="102"/>
      <c r="L885" s="189"/>
      <c r="M885" s="124"/>
      <c r="N885" s="124"/>
      <c r="O885" s="124"/>
      <c r="P885" s="102"/>
      <c r="Q885" s="161"/>
      <c r="R885" s="124"/>
      <c r="S885" s="124"/>
      <c r="T885" s="124"/>
      <c r="U885" s="125"/>
      <c r="V885" s="189"/>
      <c r="W885" s="124"/>
      <c r="X885" s="124"/>
      <c r="Y885" s="124"/>
      <c r="Z885" s="125"/>
      <c r="AA885" s="189"/>
      <c r="AB885" s="124"/>
      <c r="AC885" s="124"/>
      <c r="AD885" s="124"/>
      <c r="AE885" s="125"/>
      <c r="AF885" s="189"/>
      <c r="AG885" s="124"/>
      <c r="AH885" s="124"/>
      <c r="AI885" s="124"/>
      <c r="AJ885" s="125"/>
      <c r="AK885" s="189"/>
      <c r="AL885" s="124"/>
      <c r="AM885" s="124"/>
      <c r="AN885" s="124"/>
      <c r="AO885" s="360"/>
      <c r="AP885" s="360"/>
      <c r="AQ885" s="360"/>
      <c r="AR885" s="360"/>
      <c r="AS885" s="360"/>
      <c r="AT885" s="360"/>
      <c r="AU885" s="360"/>
      <c r="AV885" s="360"/>
      <c r="AW885" s="360"/>
      <c r="AX885" s="360"/>
      <c r="AY885" s="360"/>
      <c r="AZ885" s="360"/>
      <c r="BA885" s="360"/>
      <c r="BB885" s="360"/>
      <c r="BC885" s="360"/>
    </row>
    <row r="886">
      <c r="A886" s="125"/>
      <c r="B886" s="189"/>
      <c r="C886" s="124"/>
      <c r="D886" s="124"/>
      <c r="E886" s="124"/>
      <c r="F886" s="125"/>
      <c r="G886" s="189"/>
      <c r="H886" s="124"/>
      <c r="I886" s="124"/>
      <c r="J886" s="124"/>
      <c r="K886" s="102"/>
      <c r="L886" s="189"/>
      <c r="M886" s="124"/>
      <c r="N886" s="124"/>
      <c r="O886" s="124"/>
      <c r="P886" s="102"/>
      <c r="Q886" s="161"/>
      <c r="R886" s="124"/>
      <c r="S886" s="124"/>
      <c r="T886" s="124"/>
      <c r="U886" s="125"/>
      <c r="V886" s="189"/>
      <c r="W886" s="124"/>
      <c r="X886" s="124"/>
      <c r="Y886" s="124"/>
      <c r="Z886" s="125"/>
      <c r="AA886" s="189"/>
      <c r="AB886" s="124"/>
      <c r="AC886" s="124"/>
      <c r="AD886" s="124"/>
      <c r="AE886" s="125"/>
      <c r="AF886" s="189"/>
      <c r="AG886" s="124"/>
      <c r="AH886" s="124"/>
      <c r="AI886" s="124"/>
      <c r="AJ886" s="125"/>
      <c r="AK886" s="189"/>
      <c r="AL886" s="124"/>
      <c r="AM886" s="124"/>
      <c r="AN886" s="124"/>
      <c r="AO886" s="360"/>
      <c r="AP886" s="360"/>
      <c r="AQ886" s="360"/>
      <c r="AR886" s="360"/>
      <c r="AS886" s="360"/>
      <c r="AT886" s="360"/>
      <c r="AU886" s="360"/>
      <c r="AV886" s="360"/>
      <c r="AW886" s="360"/>
      <c r="AX886" s="360"/>
      <c r="AY886" s="360"/>
      <c r="AZ886" s="360"/>
      <c r="BA886" s="360"/>
      <c r="BB886" s="360"/>
      <c r="BC886" s="360"/>
    </row>
    <row r="887">
      <c r="A887" s="125"/>
      <c r="B887" s="189"/>
      <c r="C887" s="124"/>
      <c r="D887" s="124"/>
      <c r="E887" s="124"/>
      <c r="F887" s="125"/>
      <c r="G887" s="189"/>
      <c r="H887" s="124"/>
      <c r="I887" s="124"/>
      <c r="J887" s="124"/>
      <c r="K887" s="102"/>
      <c r="L887" s="189"/>
      <c r="M887" s="124"/>
      <c r="N887" s="124"/>
      <c r="O887" s="124"/>
      <c r="P887" s="102"/>
      <c r="Q887" s="161"/>
      <c r="R887" s="124"/>
      <c r="S887" s="124"/>
      <c r="T887" s="124"/>
      <c r="U887" s="125"/>
      <c r="V887" s="189"/>
      <c r="W887" s="124"/>
      <c r="X887" s="124"/>
      <c r="Y887" s="124"/>
      <c r="Z887" s="125"/>
      <c r="AA887" s="189"/>
      <c r="AB887" s="124"/>
      <c r="AC887" s="124"/>
      <c r="AD887" s="124"/>
      <c r="AE887" s="125"/>
      <c r="AF887" s="189"/>
      <c r="AG887" s="124"/>
      <c r="AH887" s="124"/>
      <c r="AI887" s="124"/>
      <c r="AJ887" s="125"/>
      <c r="AK887" s="189"/>
      <c r="AL887" s="124"/>
      <c r="AM887" s="124"/>
      <c r="AN887" s="124"/>
      <c r="AO887" s="360"/>
      <c r="AP887" s="360"/>
      <c r="AQ887" s="360"/>
      <c r="AR887" s="360"/>
      <c r="AS887" s="360"/>
      <c r="AT887" s="360"/>
      <c r="AU887" s="360"/>
      <c r="AV887" s="360"/>
      <c r="AW887" s="360"/>
      <c r="AX887" s="360"/>
      <c r="AY887" s="360"/>
      <c r="AZ887" s="360"/>
      <c r="BA887" s="360"/>
      <c r="BB887" s="360"/>
      <c r="BC887" s="360"/>
    </row>
    <row r="888">
      <c r="A888" s="125"/>
      <c r="B888" s="189"/>
      <c r="C888" s="124"/>
      <c r="D888" s="124"/>
      <c r="E888" s="124"/>
      <c r="F888" s="125"/>
      <c r="G888" s="189"/>
      <c r="H888" s="124"/>
      <c r="I888" s="124"/>
      <c r="J888" s="124"/>
      <c r="K888" s="102"/>
      <c r="L888" s="189"/>
      <c r="M888" s="124"/>
      <c r="N888" s="124"/>
      <c r="O888" s="124"/>
      <c r="P888" s="102"/>
      <c r="Q888" s="161"/>
      <c r="R888" s="124"/>
      <c r="S888" s="124"/>
      <c r="T888" s="124"/>
      <c r="U888" s="125"/>
      <c r="V888" s="189"/>
      <c r="W888" s="124"/>
      <c r="X888" s="124"/>
      <c r="Y888" s="124"/>
      <c r="Z888" s="125"/>
      <c r="AA888" s="189"/>
      <c r="AB888" s="124"/>
      <c r="AC888" s="124"/>
      <c r="AD888" s="124"/>
      <c r="AE888" s="125"/>
      <c r="AF888" s="189"/>
      <c r="AG888" s="124"/>
      <c r="AH888" s="124"/>
      <c r="AI888" s="124"/>
      <c r="AJ888" s="125"/>
      <c r="AK888" s="189"/>
      <c r="AL888" s="124"/>
      <c r="AM888" s="124"/>
      <c r="AN888" s="124"/>
      <c r="AO888" s="360"/>
      <c r="AP888" s="360"/>
      <c r="AQ888" s="360"/>
      <c r="AR888" s="360"/>
      <c r="AS888" s="360"/>
      <c r="AT888" s="360"/>
      <c r="AU888" s="360"/>
      <c r="AV888" s="360"/>
      <c r="AW888" s="360"/>
      <c r="AX888" s="360"/>
      <c r="AY888" s="360"/>
      <c r="AZ888" s="360"/>
      <c r="BA888" s="360"/>
      <c r="BB888" s="360"/>
      <c r="BC888" s="360"/>
    </row>
    <row r="889">
      <c r="A889" s="125"/>
      <c r="B889" s="189"/>
      <c r="C889" s="124"/>
      <c r="D889" s="124"/>
      <c r="E889" s="124"/>
      <c r="F889" s="125"/>
      <c r="G889" s="189"/>
      <c r="H889" s="124"/>
      <c r="I889" s="124"/>
      <c r="J889" s="124"/>
      <c r="K889" s="102"/>
      <c r="L889" s="189"/>
      <c r="M889" s="124"/>
      <c r="N889" s="124"/>
      <c r="O889" s="124"/>
      <c r="P889" s="102"/>
      <c r="Q889" s="161"/>
      <c r="R889" s="124"/>
      <c r="S889" s="124"/>
      <c r="T889" s="124"/>
      <c r="U889" s="125"/>
      <c r="V889" s="189"/>
      <c r="W889" s="124"/>
      <c r="X889" s="124"/>
      <c r="Y889" s="124"/>
      <c r="Z889" s="125"/>
      <c r="AA889" s="189"/>
      <c r="AB889" s="124"/>
      <c r="AC889" s="124"/>
      <c r="AD889" s="124"/>
      <c r="AE889" s="125"/>
      <c r="AF889" s="189"/>
      <c r="AG889" s="124"/>
      <c r="AH889" s="124"/>
      <c r="AI889" s="124"/>
      <c r="AJ889" s="125"/>
      <c r="AK889" s="189"/>
      <c r="AL889" s="124"/>
      <c r="AM889" s="124"/>
      <c r="AN889" s="124"/>
      <c r="AO889" s="360"/>
      <c r="AP889" s="360"/>
      <c r="AQ889" s="360"/>
      <c r="AR889" s="360"/>
      <c r="AS889" s="360"/>
      <c r="AT889" s="360"/>
      <c r="AU889" s="360"/>
      <c r="AV889" s="360"/>
      <c r="AW889" s="360"/>
      <c r="AX889" s="360"/>
      <c r="AY889" s="360"/>
      <c r="AZ889" s="360"/>
      <c r="BA889" s="360"/>
      <c r="BB889" s="360"/>
      <c r="BC889" s="360"/>
    </row>
    <row r="890">
      <c r="A890" s="125"/>
      <c r="B890" s="189"/>
      <c r="C890" s="124"/>
      <c r="D890" s="124"/>
      <c r="E890" s="124"/>
      <c r="F890" s="125"/>
      <c r="G890" s="189"/>
      <c r="H890" s="124"/>
      <c r="I890" s="124"/>
      <c r="J890" s="124"/>
      <c r="K890" s="102"/>
      <c r="L890" s="189"/>
      <c r="M890" s="124"/>
      <c r="N890" s="124"/>
      <c r="O890" s="124"/>
      <c r="P890" s="102"/>
      <c r="Q890" s="161"/>
      <c r="R890" s="124"/>
      <c r="S890" s="124"/>
      <c r="T890" s="124"/>
      <c r="U890" s="125"/>
      <c r="V890" s="189"/>
      <c r="W890" s="124"/>
      <c r="X890" s="124"/>
      <c r="Y890" s="124"/>
      <c r="Z890" s="125"/>
      <c r="AA890" s="189"/>
      <c r="AB890" s="124"/>
      <c r="AC890" s="124"/>
      <c r="AD890" s="124"/>
      <c r="AE890" s="125"/>
      <c r="AF890" s="189"/>
      <c r="AG890" s="124"/>
      <c r="AH890" s="124"/>
      <c r="AI890" s="124"/>
      <c r="AJ890" s="125"/>
      <c r="AK890" s="189"/>
      <c r="AL890" s="124"/>
      <c r="AM890" s="124"/>
      <c r="AN890" s="124"/>
      <c r="AO890" s="360"/>
      <c r="AP890" s="360"/>
      <c r="AQ890" s="360"/>
      <c r="AR890" s="360"/>
      <c r="AS890" s="360"/>
      <c r="AT890" s="360"/>
      <c r="AU890" s="360"/>
      <c r="AV890" s="360"/>
      <c r="AW890" s="360"/>
      <c r="AX890" s="360"/>
      <c r="AY890" s="360"/>
      <c r="AZ890" s="360"/>
      <c r="BA890" s="360"/>
      <c r="BB890" s="360"/>
      <c r="BC890" s="360"/>
    </row>
    <row r="891">
      <c r="A891" s="125"/>
      <c r="B891" s="189"/>
      <c r="C891" s="124"/>
      <c r="D891" s="124"/>
      <c r="E891" s="124"/>
      <c r="F891" s="125"/>
      <c r="G891" s="189"/>
      <c r="H891" s="124"/>
      <c r="I891" s="124"/>
      <c r="J891" s="124"/>
      <c r="K891" s="102"/>
      <c r="L891" s="189"/>
      <c r="M891" s="124"/>
      <c r="N891" s="124"/>
      <c r="O891" s="124"/>
      <c r="P891" s="102"/>
      <c r="Q891" s="161"/>
      <c r="R891" s="124"/>
      <c r="S891" s="124"/>
      <c r="T891" s="124"/>
      <c r="U891" s="125"/>
      <c r="V891" s="189"/>
      <c r="W891" s="124"/>
      <c r="X891" s="124"/>
      <c r="Y891" s="124"/>
      <c r="Z891" s="125"/>
      <c r="AA891" s="189"/>
      <c r="AB891" s="124"/>
      <c r="AC891" s="124"/>
      <c r="AD891" s="124"/>
      <c r="AE891" s="125"/>
      <c r="AF891" s="189"/>
      <c r="AG891" s="124"/>
      <c r="AH891" s="124"/>
      <c r="AI891" s="124"/>
      <c r="AJ891" s="125"/>
      <c r="AK891" s="189"/>
      <c r="AL891" s="124"/>
      <c r="AM891" s="124"/>
      <c r="AN891" s="124"/>
      <c r="AO891" s="360"/>
      <c r="AP891" s="360"/>
      <c r="AQ891" s="360"/>
      <c r="AR891" s="360"/>
      <c r="AS891" s="360"/>
      <c r="AT891" s="360"/>
      <c r="AU891" s="360"/>
      <c r="AV891" s="360"/>
      <c r="AW891" s="360"/>
      <c r="AX891" s="360"/>
      <c r="AY891" s="360"/>
      <c r="AZ891" s="360"/>
      <c r="BA891" s="360"/>
      <c r="BB891" s="360"/>
      <c r="BC891" s="360"/>
    </row>
    <row r="892">
      <c r="A892" s="125"/>
      <c r="B892" s="189"/>
      <c r="C892" s="124"/>
      <c r="D892" s="124"/>
      <c r="E892" s="124"/>
      <c r="F892" s="125"/>
      <c r="G892" s="189"/>
      <c r="H892" s="124"/>
      <c r="I892" s="124"/>
      <c r="J892" s="124"/>
      <c r="K892" s="102"/>
      <c r="L892" s="189"/>
      <c r="M892" s="124"/>
      <c r="N892" s="124"/>
      <c r="O892" s="124"/>
      <c r="P892" s="102"/>
      <c r="Q892" s="161"/>
      <c r="R892" s="124"/>
      <c r="S892" s="124"/>
      <c r="T892" s="124"/>
      <c r="U892" s="125"/>
      <c r="V892" s="189"/>
      <c r="W892" s="124"/>
      <c r="X892" s="124"/>
      <c r="Y892" s="124"/>
      <c r="Z892" s="125"/>
      <c r="AA892" s="189"/>
      <c r="AB892" s="124"/>
      <c r="AC892" s="124"/>
      <c r="AD892" s="124"/>
      <c r="AE892" s="125"/>
      <c r="AF892" s="189"/>
      <c r="AG892" s="124"/>
      <c r="AH892" s="124"/>
      <c r="AI892" s="124"/>
      <c r="AJ892" s="125"/>
      <c r="AK892" s="189"/>
      <c r="AL892" s="124"/>
      <c r="AM892" s="124"/>
      <c r="AN892" s="124"/>
      <c r="AO892" s="360"/>
      <c r="AP892" s="360"/>
      <c r="AQ892" s="360"/>
      <c r="AR892" s="360"/>
      <c r="AS892" s="360"/>
      <c r="AT892" s="360"/>
      <c r="AU892" s="360"/>
      <c r="AV892" s="360"/>
      <c r="AW892" s="360"/>
      <c r="AX892" s="360"/>
      <c r="AY892" s="360"/>
      <c r="AZ892" s="360"/>
      <c r="BA892" s="360"/>
      <c r="BB892" s="360"/>
      <c r="BC892" s="360"/>
    </row>
    <row r="893">
      <c r="A893" s="125"/>
      <c r="B893" s="189"/>
      <c r="C893" s="124"/>
      <c r="D893" s="124"/>
      <c r="E893" s="124"/>
      <c r="F893" s="125"/>
      <c r="G893" s="189"/>
      <c r="H893" s="124"/>
      <c r="I893" s="124"/>
      <c r="J893" s="124"/>
      <c r="K893" s="102"/>
      <c r="L893" s="189"/>
      <c r="M893" s="124"/>
      <c r="N893" s="124"/>
      <c r="O893" s="124"/>
      <c r="P893" s="102"/>
      <c r="Q893" s="161"/>
      <c r="R893" s="124"/>
      <c r="S893" s="124"/>
      <c r="T893" s="124"/>
      <c r="U893" s="125"/>
      <c r="V893" s="189"/>
      <c r="W893" s="124"/>
      <c r="X893" s="124"/>
      <c r="Y893" s="124"/>
      <c r="Z893" s="125"/>
      <c r="AA893" s="189"/>
      <c r="AB893" s="124"/>
      <c r="AC893" s="124"/>
      <c r="AD893" s="124"/>
      <c r="AE893" s="125"/>
      <c r="AF893" s="189"/>
      <c r="AG893" s="124"/>
      <c r="AH893" s="124"/>
      <c r="AI893" s="124"/>
      <c r="AJ893" s="125"/>
      <c r="AK893" s="189"/>
      <c r="AL893" s="124"/>
      <c r="AM893" s="124"/>
      <c r="AN893" s="124"/>
      <c r="AO893" s="360"/>
      <c r="AP893" s="360"/>
      <c r="AQ893" s="360"/>
      <c r="AR893" s="360"/>
      <c r="AS893" s="360"/>
      <c r="AT893" s="360"/>
      <c r="AU893" s="360"/>
      <c r="AV893" s="360"/>
      <c r="AW893" s="360"/>
      <c r="AX893" s="360"/>
      <c r="AY893" s="360"/>
      <c r="AZ893" s="360"/>
      <c r="BA893" s="360"/>
      <c r="BB893" s="360"/>
      <c r="BC893" s="360"/>
    </row>
    <row r="894">
      <c r="A894" s="125"/>
      <c r="B894" s="189"/>
      <c r="C894" s="124"/>
      <c r="D894" s="124"/>
      <c r="E894" s="124"/>
      <c r="F894" s="125"/>
      <c r="G894" s="189"/>
      <c r="H894" s="124"/>
      <c r="I894" s="124"/>
      <c r="J894" s="124"/>
      <c r="K894" s="102"/>
      <c r="L894" s="189"/>
      <c r="M894" s="124"/>
      <c r="N894" s="124"/>
      <c r="O894" s="124"/>
      <c r="P894" s="102"/>
      <c r="Q894" s="161"/>
      <c r="R894" s="124"/>
      <c r="S894" s="124"/>
      <c r="T894" s="124"/>
      <c r="U894" s="125"/>
      <c r="V894" s="189"/>
      <c r="W894" s="124"/>
      <c r="X894" s="124"/>
      <c r="Y894" s="124"/>
      <c r="Z894" s="125"/>
      <c r="AA894" s="189"/>
      <c r="AB894" s="124"/>
      <c r="AC894" s="124"/>
      <c r="AD894" s="124"/>
      <c r="AE894" s="125"/>
      <c r="AF894" s="189"/>
      <c r="AG894" s="124"/>
      <c r="AH894" s="124"/>
      <c r="AI894" s="124"/>
      <c r="AJ894" s="125"/>
      <c r="AK894" s="189"/>
      <c r="AL894" s="124"/>
      <c r="AM894" s="124"/>
      <c r="AN894" s="124"/>
      <c r="AO894" s="360"/>
      <c r="AP894" s="360"/>
      <c r="AQ894" s="360"/>
      <c r="AR894" s="360"/>
      <c r="AS894" s="360"/>
      <c r="AT894" s="360"/>
      <c r="AU894" s="360"/>
      <c r="AV894" s="360"/>
      <c r="AW894" s="360"/>
      <c r="AX894" s="360"/>
      <c r="AY894" s="360"/>
      <c r="AZ894" s="360"/>
      <c r="BA894" s="360"/>
      <c r="BB894" s="360"/>
      <c r="BC894" s="360"/>
    </row>
    <row r="895">
      <c r="A895" s="125"/>
      <c r="B895" s="189"/>
      <c r="C895" s="124"/>
      <c r="D895" s="124"/>
      <c r="E895" s="124"/>
      <c r="F895" s="125"/>
      <c r="G895" s="189"/>
      <c r="H895" s="124"/>
      <c r="I895" s="124"/>
      <c r="J895" s="124"/>
      <c r="K895" s="102"/>
      <c r="L895" s="189"/>
      <c r="M895" s="124"/>
      <c r="N895" s="124"/>
      <c r="O895" s="124"/>
      <c r="P895" s="102"/>
      <c r="Q895" s="161"/>
      <c r="R895" s="124"/>
      <c r="S895" s="124"/>
      <c r="T895" s="124"/>
      <c r="U895" s="125"/>
      <c r="V895" s="189"/>
      <c r="W895" s="124"/>
      <c r="X895" s="124"/>
      <c r="Y895" s="124"/>
      <c r="Z895" s="125"/>
      <c r="AA895" s="189"/>
      <c r="AB895" s="124"/>
      <c r="AC895" s="124"/>
      <c r="AD895" s="124"/>
      <c r="AE895" s="125"/>
      <c r="AF895" s="189"/>
      <c r="AG895" s="124"/>
      <c r="AH895" s="124"/>
      <c r="AI895" s="124"/>
      <c r="AJ895" s="125"/>
      <c r="AK895" s="189"/>
      <c r="AL895" s="124"/>
      <c r="AM895" s="124"/>
      <c r="AN895" s="124"/>
      <c r="AO895" s="360"/>
      <c r="AP895" s="360"/>
      <c r="AQ895" s="360"/>
      <c r="AR895" s="360"/>
      <c r="AS895" s="360"/>
      <c r="AT895" s="360"/>
      <c r="AU895" s="360"/>
      <c r="AV895" s="360"/>
      <c r="AW895" s="360"/>
      <c r="AX895" s="360"/>
      <c r="AY895" s="360"/>
      <c r="AZ895" s="360"/>
      <c r="BA895" s="360"/>
      <c r="BB895" s="360"/>
      <c r="BC895" s="360"/>
    </row>
    <row r="896">
      <c r="A896" s="125"/>
      <c r="B896" s="189"/>
      <c r="C896" s="124"/>
      <c r="D896" s="124"/>
      <c r="E896" s="124"/>
      <c r="F896" s="125"/>
      <c r="G896" s="189"/>
      <c r="H896" s="124"/>
      <c r="I896" s="124"/>
      <c r="J896" s="124"/>
      <c r="K896" s="102"/>
      <c r="L896" s="189"/>
      <c r="M896" s="124"/>
      <c r="N896" s="124"/>
      <c r="O896" s="124"/>
      <c r="P896" s="102"/>
      <c r="Q896" s="161"/>
      <c r="R896" s="124"/>
      <c r="S896" s="124"/>
      <c r="T896" s="124"/>
      <c r="U896" s="125"/>
      <c r="V896" s="189"/>
      <c r="W896" s="124"/>
      <c r="X896" s="124"/>
      <c r="Y896" s="124"/>
      <c r="Z896" s="125"/>
      <c r="AA896" s="189"/>
      <c r="AB896" s="124"/>
      <c r="AC896" s="124"/>
      <c r="AD896" s="124"/>
      <c r="AE896" s="125"/>
      <c r="AF896" s="189"/>
      <c r="AG896" s="124"/>
      <c r="AH896" s="124"/>
      <c r="AI896" s="124"/>
      <c r="AJ896" s="125"/>
      <c r="AK896" s="189"/>
      <c r="AL896" s="124"/>
      <c r="AM896" s="124"/>
      <c r="AN896" s="124"/>
      <c r="AO896" s="360"/>
      <c r="AP896" s="360"/>
      <c r="AQ896" s="360"/>
      <c r="AR896" s="360"/>
      <c r="AS896" s="360"/>
      <c r="AT896" s="360"/>
      <c r="AU896" s="360"/>
      <c r="AV896" s="360"/>
      <c r="AW896" s="360"/>
      <c r="AX896" s="360"/>
      <c r="AY896" s="360"/>
      <c r="AZ896" s="360"/>
      <c r="BA896" s="360"/>
      <c r="BB896" s="360"/>
      <c r="BC896" s="360"/>
    </row>
    <row r="897">
      <c r="A897" s="125"/>
      <c r="B897" s="189"/>
      <c r="C897" s="124"/>
      <c r="D897" s="124"/>
      <c r="E897" s="124"/>
      <c r="F897" s="125"/>
      <c r="G897" s="189"/>
      <c r="H897" s="124"/>
      <c r="I897" s="124"/>
      <c r="J897" s="124"/>
      <c r="K897" s="102"/>
      <c r="L897" s="189"/>
      <c r="M897" s="124"/>
      <c r="N897" s="124"/>
      <c r="O897" s="124"/>
      <c r="P897" s="102"/>
      <c r="Q897" s="161"/>
      <c r="R897" s="124"/>
      <c r="S897" s="124"/>
      <c r="T897" s="124"/>
      <c r="U897" s="125"/>
      <c r="V897" s="189"/>
      <c r="W897" s="124"/>
      <c r="X897" s="124"/>
      <c r="Y897" s="124"/>
      <c r="Z897" s="125"/>
      <c r="AA897" s="189"/>
      <c r="AB897" s="124"/>
      <c r="AC897" s="124"/>
      <c r="AD897" s="124"/>
      <c r="AE897" s="125"/>
      <c r="AF897" s="189"/>
      <c r="AG897" s="124"/>
      <c r="AH897" s="124"/>
      <c r="AI897" s="124"/>
      <c r="AJ897" s="125"/>
      <c r="AK897" s="189"/>
      <c r="AL897" s="124"/>
      <c r="AM897" s="124"/>
      <c r="AN897" s="124"/>
      <c r="AO897" s="360"/>
      <c r="AP897" s="360"/>
      <c r="AQ897" s="360"/>
      <c r="AR897" s="360"/>
      <c r="AS897" s="360"/>
      <c r="AT897" s="360"/>
      <c r="AU897" s="360"/>
      <c r="AV897" s="360"/>
      <c r="AW897" s="360"/>
      <c r="AX897" s="360"/>
      <c r="AY897" s="360"/>
      <c r="AZ897" s="360"/>
      <c r="BA897" s="360"/>
      <c r="BB897" s="360"/>
      <c r="BC897" s="360"/>
    </row>
    <row r="898">
      <c r="A898" s="125"/>
      <c r="B898" s="189"/>
      <c r="C898" s="124"/>
      <c r="D898" s="124"/>
      <c r="E898" s="124"/>
      <c r="F898" s="125"/>
      <c r="G898" s="189"/>
      <c r="H898" s="124"/>
      <c r="I898" s="124"/>
      <c r="J898" s="124"/>
      <c r="K898" s="102"/>
      <c r="L898" s="189"/>
      <c r="M898" s="124"/>
      <c r="N898" s="124"/>
      <c r="O898" s="124"/>
      <c r="P898" s="102"/>
      <c r="Q898" s="161"/>
      <c r="R898" s="124"/>
      <c r="S898" s="124"/>
      <c r="T898" s="124"/>
      <c r="U898" s="125"/>
      <c r="V898" s="189"/>
      <c r="W898" s="124"/>
      <c r="X898" s="124"/>
      <c r="Y898" s="124"/>
      <c r="Z898" s="125"/>
      <c r="AA898" s="189"/>
      <c r="AB898" s="124"/>
      <c r="AC898" s="124"/>
      <c r="AD898" s="124"/>
      <c r="AE898" s="125"/>
      <c r="AF898" s="189"/>
      <c r="AG898" s="124"/>
      <c r="AH898" s="124"/>
      <c r="AI898" s="124"/>
      <c r="AJ898" s="125"/>
      <c r="AK898" s="189"/>
      <c r="AL898" s="124"/>
      <c r="AM898" s="124"/>
      <c r="AN898" s="124"/>
      <c r="AO898" s="360"/>
      <c r="AP898" s="360"/>
      <c r="AQ898" s="360"/>
      <c r="AR898" s="360"/>
      <c r="AS898" s="360"/>
      <c r="AT898" s="360"/>
      <c r="AU898" s="360"/>
      <c r="AV898" s="360"/>
      <c r="AW898" s="360"/>
      <c r="AX898" s="360"/>
      <c r="AY898" s="360"/>
      <c r="AZ898" s="360"/>
      <c r="BA898" s="360"/>
      <c r="BB898" s="360"/>
      <c r="BC898" s="360"/>
    </row>
    <row r="899">
      <c r="A899" s="125"/>
      <c r="B899" s="189"/>
      <c r="C899" s="124"/>
      <c r="D899" s="124"/>
      <c r="E899" s="124"/>
      <c r="F899" s="125"/>
      <c r="G899" s="189"/>
      <c r="H899" s="124"/>
      <c r="I899" s="124"/>
      <c r="J899" s="124"/>
      <c r="K899" s="102"/>
      <c r="L899" s="189"/>
      <c r="M899" s="124"/>
      <c r="N899" s="124"/>
      <c r="O899" s="124"/>
      <c r="P899" s="102"/>
      <c r="Q899" s="161"/>
      <c r="R899" s="124"/>
      <c r="S899" s="124"/>
      <c r="T899" s="124"/>
      <c r="U899" s="125"/>
      <c r="V899" s="189"/>
      <c r="W899" s="124"/>
      <c r="X899" s="124"/>
      <c r="Y899" s="124"/>
      <c r="Z899" s="125"/>
      <c r="AA899" s="189"/>
      <c r="AB899" s="124"/>
      <c r="AC899" s="124"/>
      <c r="AD899" s="124"/>
      <c r="AE899" s="125"/>
      <c r="AF899" s="189"/>
      <c r="AG899" s="124"/>
      <c r="AH899" s="124"/>
      <c r="AI899" s="124"/>
      <c r="AJ899" s="125"/>
      <c r="AK899" s="189"/>
      <c r="AL899" s="124"/>
      <c r="AM899" s="124"/>
      <c r="AN899" s="124"/>
      <c r="AO899" s="360"/>
      <c r="AP899" s="360"/>
      <c r="AQ899" s="360"/>
      <c r="AR899" s="360"/>
      <c r="AS899" s="360"/>
      <c r="AT899" s="360"/>
      <c r="AU899" s="360"/>
      <c r="AV899" s="360"/>
      <c r="AW899" s="360"/>
      <c r="AX899" s="360"/>
      <c r="AY899" s="360"/>
      <c r="AZ899" s="360"/>
      <c r="BA899" s="360"/>
      <c r="BB899" s="360"/>
      <c r="BC899" s="360"/>
    </row>
    <row r="900">
      <c r="A900" s="125"/>
      <c r="B900" s="189"/>
      <c r="C900" s="124"/>
      <c r="D900" s="124"/>
      <c r="E900" s="124"/>
      <c r="F900" s="125"/>
      <c r="G900" s="189"/>
      <c r="H900" s="124"/>
      <c r="I900" s="124"/>
      <c r="J900" s="124"/>
      <c r="K900" s="102"/>
      <c r="L900" s="189"/>
      <c r="M900" s="124"/>
      <c r="N900" s="124"/>
      <c r="O900" s="124"/>
      <c r="P900" s="102"/>
      <c r="Q900" s="161"/>
      <c r="R900" s="124"/>
      <c r="S900" s="124"/>
      <c r="T900" s="124"/>
      <c r="U900" s="125"/>
      <c r="V900" s="189"/>
      <c r="W900" s="124"/>
      <c r="X900" s="124"/>
      <c r="Y900" s="124"/>
      <c r="Z900" s="125"/>
      <c r="AA900" s="189"/>
      <c r="AB900" s="124"/>
      <c r="AC900" s="124"/>
      <c r="AD900" s="124"/>
      <c r="AE900" s="125"/>
      <c r="AF900" s="189"/>
      <c r="AG900" s="124"/>
      <c r="AH900" s="124"/>
      <c r="AI900" s="124"/>
      <c r="AJ900" s="125"/>
      <c r="AK900" s="189"/>
      <c r="AL900" s="124"/>
      <c r="AM900" s="124"/>
      <c r="AN900" s="124"/>
      <c r="AO900" s="360"/>
      <c r="AP900" s="360"/>
      <c r="AQ900" s="360"/>
      <c r="AR900" s="360"/>
      <c r="AS900" s="360"/>
      <c r="AT900" s="360"/>
      <c r="AU900" s="360"/>
      <c r="AV900" s="360"/>
      <c r="AW900" s="360"/>
      <c r="AX900" s="360"/>
      <c r="AY900" s="360"/>
      <c r="AZ900" s="360"/>
      <c r="BA900" s="360"/>
      <c r="BB900" s="360"/>
      <c r="BC900" s="360"/>
    </row>
    <row r="901">
      <c r="A901" s="125"/>
      <c r="B901" s="189"/>
      <c r="C901" s="124"/>
      <c r="D901" s="124"/>
      <c r="E901" s="124"/>
      <c r="F901" s="125"/>
      <c r="G901" s="189"/>
      <c r="H901" s="124"/>
      <c r="I901" s="124"/>
      <c r="J901" s="124"/>
      <c r="K901" s="102"/>
      <c r="L901" s="189"/>
      <c r="M901" s="124"/>
      <c r="N901" s="124"/>
      <c r="O901" s="124"/>
      <c r="P901" s="102"/>
      <c r="Q901" s="161"/>
      <c r="R901" s="124"/>
      <c r="S901" s="124"/>
      <c r="T901" s="124"/>
      <c r="U901" s="125"/>
      <c r="V901" s="189"/>
      <c r="W901" s="124"/>
      <c r="X901" s="124"/>
      <c r="Y901" s="124"/>
      <c r="Z901" s="125"/>
      <c r="AA901" s="189"/>
      <c r="AB901" s="124"/>
      <c r="AC901" s="124"/>
      <c r="AD901" s="124"/>
      <c r="AE901" s="125"/>
      <c r="AF901" s="189"/>
      <c r="AG901" s="124"/>
      <c r="AH901" s="124"/>
      <c r="AI901" s="124"/>
      <c r="AJ901" s="125"/>
      <c r="AK901" s="189"/>
      <c r="AL901" s="124"/>
      <c r="AM901" s="124"/>
      <c r="AN901" s="124"/>
      <c r="AO901" s="360"/>
      <c r="AP901" s="360"/>
      <c r="AQ901" s="360"/>
      <c r="AR901" s="360"/>
      <c r="AS901" s="360"/>
      <c r="AT901" s="360"/>
      <c r="AU901" s="360"/>
      <c r="AV901" s="360"/>
      <c r="AW901" s="360"/>
      <c r="AX901" s="360"/>
      <c r="AY901" s="360"/>
      <c r="AZ901" s="360"/>
      <c r="BA901" s="360"/>
      <c r="BB901" s="360"/>
      <c r="BC901" s="360"/>
    </row>
    <row r="902">
      <c r="A902" s="125"/>
      <c r="B902" s="189"/>
      <c r="C902" s="124"/>
      <c r="D902" s="124"/>
      <c r="E902" s="124"/>
      <c r="F902" s="125"/>
      <c r="G902" s="189"/>
      <c r="H902" s="124"/>
      <c r="I902" s="124"/>
      <c r="J902" s="124"/>
      <c r="K902" s="102"/>
      <c r="L902" s="189"/>
      <c r="M902" s="124"/>
      <c r="N902" s="124"/>
      <c r="O902" s="124"/>
      <c r="P902" s="102"/>
      <c r="Q902" s="161"/>
      <c r="R902" s="124"/>
      <c r="S902" s="124"/>
      <c r="T902" s="124"/>
      <c r="U902" s="125"/>
      <c r="V902" s="189"/>
      <c r="W902" s="124"/>
      <c r="X902" s="124"/>
      <c r="Y902" s="124"/>
      <c r="Z902" s="125"/>
      <c r="AA902" s="189"/>
      <c r="AB902" s="124"/>
      <c r="AC902" s="124"/>
      <c r="AD902" s="124"/>
      <c r="AE902" s="125"/>
      <c r="AF902" s="189"/>
      <c r="AG902" s="124"/>
      <c r="AH902" s="124"/>
      <c r="AI902" s="124"/>
      <c r="AJ902" s="125"/>
      <c r="AK902" s="189"/>
      <c r="AL902" s="124"/>
      <c r="AM902" s="124"/>
      <c r="AN902" s="124"/>
      <c r="AO902" s="360"/>
      <c r="AP902" s="360"/>
      <c r="AQ902" s="360"/>
      <c r="AR902" s="360"/>
      <c r="AS902" s="360"/>
      <c r="AT902" s="360"/>
      <c r="AU902" s="360"/>
      <c r="AV902" s="360"/>
      <c r="AW902" s="360"/>
      <c r="AX902" s="360"/>
      <c r="AY902" s="360"/>
      <c r="AZ902" s="360"/>
      <c r="BA902" s="360"/>
      <c r="BB902" s="360"/>
      <c r="BC902" s="360"/>
    </row>
    <row r="903">
      <c r="A903" s="125"/>
      <c r="B903" s="189"/>
      <c r="C903" s="124"/>
      <c r="D903" s="124"/>
      <c r="E903" s="124"/>
      <c r="F903" s="125"/>
      <c r="G903" s="189"/>
      <c r="H903" s="124"/>
      <c r="I903" s="124"/>
      <c r="J903" s="124"/>
      <c r="K903" s="102"/>
      <c r="L903" s="189"/>
      <c r="M903" s="124"/>
      <c r="N903" s="124"/>
      <c r="O903" s="124"/>
      <c r="P903" s="102"/>
      <c r="Q903" s="161"/>
      <c r="R903" s="124"/>
      <c r="S903" s="124"/>
      <c r="T903" s="124"/>
      <c r="U903" s="125"/>
      <c r="V903" s="189"/>
      <c r="W903" s="124"/>
      <c r="X903" s="124"/>
      <c r="Y903" s="124"/>
      <c r="Z903" s="125"/>
      <c r="AA903" s="189"/>
      <c r="AB903" s="124"/>
      <c r="AC903" s="124"/>
      <c r="AD903" s="124"/>
      <c r="AE903" s="125"/>
      <c r="AF903" s="189"/>
      <c r="AG903" s="124"/>
      <c r="AH903" s="124"/>
      <c r="AI903" s="124"/>
      <c r="AJ903" s="125"/>
      <c r="AK903" s="189"/>
      <c r="AL903" s="124"/>
      <c r="AM903" s="124"/>
      <c r="AN903" s="124"/>
      <c r="AO903" s="360"/>
      <c r="AP903" s="360"/>
      <c r="AQ903" s="360"/>
      <c r="AR903" s="360"/>
      <c r="AS903" s="360"/>
      <c r="AT903" s="360"/>
      <c r="AU903" s="360"/>
      <c r="AV903" s="360"/>
      <c r="AW903" s="360"/>
      <c r="AX903" s="360"/>
      <c r="AY903" s="360"/>
      <c r="AZ903" s="360"/>
      <c r="BA903" s="360"/>
      <c r="BB903" s="360"/>
      <c r="BC903" s="360"/>
    </row>
    <row r="904">
      <c r="A904" s="125"/>
      <c r="B904" s="189"/>
      <c r="C904" s="124"/>
      <c r="D904" s="124"/>
      <c r="E904" s="124"/>
      <c r="F904" s="125"/>
      <c r="G904" s="189"/>
      <c r="H904" s="124"/>
      <c r="I904" s="124"/>
      <c r="J904" s="124"/>
      <c r="K904" s="102"/>
      <c r="L904" s="189"/>
      <c r="M904" s="124"/>
      <c r="N904" s="124"/>
      <c r="O904" s="124"/>
      <c r="P904" s="102"/>
      <c r="Q904" s="161"/>
      <c r="R904" s="124"/>
      <c r="S904" s="124"/>
      <c r="T904" s="124"/>
      <c r="U904" s="125"/>
      <c r="V904" s="189"/>
      <c r="W904" s="124"/>
      <c r="X904" s="124"/>
      <c r="Y904" s="124"/>
      <c r="Z904" s="125"/>
      <c r="AA904" s="189"/>
      <c r="AB904" s="124"/>
      <c r="AC904" s="124"/>
      <c r="AD904" s="124"/>
      <c r="AE904" s="125"/>
      <c r="AF904" s="189"/>
      <c r="AG904" s="124"/>
      <c r="AH904" s="124"/>
      <c r="AI904" s="124"/>
      <c r="AJ904" s="125"/>
      <c r="AK904" s="189"/>
      <c r="AL904" s="124"/>
      <c r="AM904" s="124"/>
      <c r="AN904" s="124"/>
      <c r="AO904" s="360"/>
      <c r="AP904" s="360"/>
      <c r="AQ904" s="360"/>
      <c r="AR904" s="360"/>
      <c r="AS904" s="360"/>
      <c r="AT904" s="360"/>
      <c r="AU904" s="360"/>
      <c r="AV904" s="360"/>
      <c r="AW904" s="360"/>
      <c r="AX904" s="360"/>
      <c r="AY904" s="360"/>
      <c r="AZ904" s="360"/>
      <c r="BA904" s="360"/>
      <c r="BB904" s="360"/>
      <c r="BC904" s="360"/>
    </row>
    <row r="905">
      <c r="A905" s="125"/>
      <c r="B905" s="189"/>
      <c r="C905" s="124"/>
      <c r="D905" s="124"/>
      <c r="E905" s="124"/>
      <c r="F905" s="125"/>
      <c r="G905" s="189"/>
      <c r="H905" s="124"/>
      <c r="I905" s="124"/>
      <c r="J905" s="124"/>
      <c r="K905" s="102"/>
      <c r="L905" s="189"/>
      <c r="M905" s="124"/>
      <c r="N905" s="124"/>
      <c r="O905" s="124"/>
      <c r="P905" s="102"/>
      <c r="Q905" s="161"/>
      <c r="R905" s="124"/>
      <c r="S905" s="124"/>
      <c r="T905" s="124"/>
      <c r="U905" s="125"/>
      <c r="V905" s="189"/>
      <c r="W905" s="124"/>
      <c r="X905" s="124"/>
      <c r="Y905" s="124"/>
      <c r="Z905" s="125"/>
      <c r="AA905" s="189"/>
      <c r="AB905" s="124"/>
      <c r="AC905" s="124"/>
      <c r="AD905" s="124"/>
      <c r="AE905" s="125"/>
      <c r="AF905" s="189"/>
      <c r="AG905" s="124"/>
      <c r="AH905" s="124"/>
      <c r="AI905" s="124"/>
      <c r="AJ905" s="125"/>
      <c r="AK905" s="189"/>
      <c r="AL905" s="124"/>
      <c r="AM905" s="124"/>
      <c r="AN905" s="124"/>
      <c r="AO905" s="360"/>
      <c r="AP905" s="360"/>
      <c r="AQ905" s="360"/>
      <c r="AR905" s="360"/>
      <c r="AS905" s="360"/>
      <c r="AT905" s="360"/>
      <c r="AU905" s="360"/>
      <c r="AV905" s="360"/>
      <c r="AW905" s="360"/>
      <c r="AX905" s="360"/>
      <c r="AY905" s="360"/>
      <c r="AZ905" s="360"/>
      <c r="BA905" s="360"/>
      <c r="BB905" s="360"/>
      <c r="BC905" s="360"/>
    </row>
    <row r="906">
      <c r="A906" s="125"/>
      <c r="B906" s="189"/>
      <c r="C906" s="124"/>
      <c r="D906" s="124"/>
      <c r="E906" s="124"/>
      <c r="F906" s="125"/>
      <c r="G906" s="189"/>
      <c r="H906" s="124"/>
      <c r="I906" s="124"/>
      <c r="J906" s="124"/>
      <c r="K906" s="102"/>
      <c r="L906" s="189"/>
      <c r="M906" s="124"/>
      <c r="N906" s="124"/>
      <c r="O906" s="124"/>
      <c r="P906" s="102"/>
      <c r="Q906" s="161"/>
      <c r="R906" s="124"/>
      <c r="S906" s="124"/>
      <c r="T906" s="124"/>
      <c r="U906" s="125"/>
      <c r="V906" s="189"/>
      <c r="W906" s="124"/>
      <c r="X906" s="124"/>
      <c r="Y906" s="124"/>
      <c r="Z906" s="125"/>
      <c r="AA906" s="189"/>
      <c r="AB906" s="124"/>
      <c r="AC906" s="124"/>
      <c r="AD906" s="124"/>
      <c r="AE906" s="125"/>
      <c r="AF906" s="189"/>
      <c r="AG906" s="124"/>
      <c r="AH906" s="124"/>
      <c r="AI906" s="124"/>
      <c r="AJ906" s="125"/>
      <c r="AK906" s="189"/>
      <c r="AL906" s="124"/>
      <c r="AM906" s="124"/>
      <c r="AN906" s="124"/>
      <c r="AO906" s="360"/>
      <c r="AP906" s="360"/>
      <c r="AQ906" s="360"/>
      <c r="AR906" s="360"/>
      <c r="AS906" s="360"/>
      <c r="AT906" s="360"/>
      <c r="AU906" s="360"/>
      <c r="AV906" s="360"/>
      <c r="AW906" s="360"/>
      <c r="AX906" s="360"/>
      <c r="AY906" s="360"/>
      <c r="AZ906" s="360"/>
      <c r="BA906" s="360"/>
      <c r="BB906" s="360"/>
      <c r="BC906" s="360"/>
    </row>
    <row r="907">
      <c r="A907" s="125"/>
      <c r="B907" s="189"/>
      <c r="C907" s="124"/>
      <c r="D907" s="124"/>
      <c r="E907" s="124"/>
      <c r="F907" s="125"/>
      <c r="G907" s="189"/>
      <c r="H907" s="124"/>
      <c r="I907" s="124"/>
      <c r="J907" s="124"/>
      <c r="K907" s="102"/>
      <c r="L907" s="189"/>
      <c r="M907" s="124"/>
      <c r="N907" s="124"/>
      <c r="O907" s="124"/>
      <c r="P907" s="102"/>
      <c r="Q907" s="161"/>
      <c r="R907" s="124"/>
      <c r="S907" s="124"/>
      <c r="T907" s="124"/>
      <c r="U907" s="125"/>
      <c r="V907" s="189"/>
      <c r="W907" s="124"/>
      <c r="X907" s="124"/>
      <c r="Y907" s="124"/>
      <c r="Z907" s="125"/>
      <c r="AA907" s="189"/>
      <c r="AB907" s="124"/>
      <c r="AC907" s="124"/>
      <c r="AD907" s="124"/>
      <c r="AE907" s="125"/>
      <c r="AF907" s="189"/>
      <c r="AG907" s="124"/>
      <c r="AH907" s="124"/>
      <c r="AI907" s="124"/>
      <c r="AJ907" s="125"/>
      <c r="AK907" s="189"/>
      <c r="AL907" s="124"/>
      <c r="AM907" s="124"/>
      <c r="AN907" s="124"/>
      <c r="AO907" s="360"/>
      <c r="AP907" s="360"/>
      <c r="AQ907" s="360"/>
      <c r="AR907" s="360"/>
      <c r="AS907" s="360"/>
      <c r="AT907" s="360"/>
      <c r="AU907" s="360"/>
      <c r="AV907" s="360"/>
      <c r="AW907" s="360"/>
      <c r="AX907" s="360"/>
      <c r="AY907" s="360"/>
      <c r="AZ907" s="360"/>
      <c r="BA907" s="360"/>
      <c r="BB907" s="360"/>
      <c r="BC907" s="360"/>
    </row>
    <row r="908">
      <c r="A908" s="125"/>
      <c r="B908" s="189"/>
      <c r="C908" s="124"/>
      <c r="D908" s="124"/>
      <c r="E908" s="124"/>
      <c r="F908" s="125"/>
      <c r="G908" s="189"/>
      <c r="H908" s="124"/>
      <c r="I908" s="124"/>
      <c r="J908" s="124"/>
      <c r="K908" s="102"/>
      <c r="L908" s="189"/>
      <c r="M908" s="124"/>
      <c r="N908" s="124"/>
      <c r="O908" s="124"/>
      <c r="P908" s="102"/>
      <c r="Q908" s="161"/>
      <c r="R908" s="124"/>
      <c r="S908" s="124"/>
      <c r="T908" s="124"/>
      <c r="U908" s="125"/>
      <c r="V908" s="189"/>
      <c r="W908" s="124"/>
      <c r="X908" s="124"/>
      <c r="Y908" s="124"/>
      <c r="Z908" s="125"/>
      <c r="AA908" s="189"/>
      <c r="AB908" s="124"/>
      <c r="AC908" s="124"/>
      <c r="AD908" s="124"/>
      <c r="AE908" s="125"/>
      <c r="AF908" s="189"/>
      <c r="AG908" s="124"/>
      <c r="AH908" s="124"/>
      <c r="AI908" s="124"/>
      <c r="AJ908" s="125"/>
      <c r="AK908" s="189"/>
      <c r="AL908" s="124"/>
      <c r="AM908" s="124"/>
      <c r="AN908" s="124"/>
      <c r="AO908" s="360"/>
      <c r="AP908" s="360"/>
      <c r="AQ908" s="360"/>
      <c r="AR908" s="360"/>
      <c r="AS908" s="360"/>
      <c r="AT908" s="360"/>
      <c r="AU908" s="360"/>
      <c r="AV908" s="360"/>
      <c r="AW908" s="360"/>
      <c r="AX908" s="360"/>
      <c r="AY908" s="360"/>
      <c r="AZ908" s="360"/>
      <c r="BA908" s="360"/>
      <c r="BB908" s="360"/>
      <c r="BC908" s="360"/>
    </row>
    <row r="909">
      <c r="A909" s="125"/>
      <c r="B909" s="189"/>
      <c r="C909" s="124"/>
      <c r="D909" s="124"/>
      <c r="E909" s="124"/>
      <c r="F909" s="125"/>
      <c r="G909" s="189"/>
      <c r="H909" s="124"/>
      <c r="I909" s="124"/>
      <c r="J909" s="124"/>
      <c r="K909" s="102"/>
      <c r="L909" s="189"/>
      <c r="M909" s="124"/>
      <c r="N909" s="124"/>
      <c r="O909" s="124"/>
      <c r="P909" s="102"/>
      <c r="Q909" s="161"/>
      <c r="R909" s="124"/>
      <c r="S909" s="124"/>
      <c r="T909" s="124"/>
      <c r="U909" s="125"/>
      <c r="V909" s="189"/>
      <c r="W909" s="124"/>
      <c r="X909" s="124"/>
      <c r="Y909" s="124"/>
      <c r="Z909" s="125"/>
      <c r="AA909" s="189"/>
      <c r="AB909" s="124"/>
      <c r="AC909" s="124"/>
      <c r="AD909" s="124"/>
      <c r="AE909" s="125"/>
      <c r="AF909" s="189"/>
      <c r="AG909" s="124"/>
      <c r="AH909" s="124"/>
      <c r="AI909" s="124"/>
      <c r="AJ909" s="125"/>
      <c r="AK909" s="189"/>
      <c r="AL909" s="124"/>
      <c r="AM909" s="124"/>
      <c r="AN909" s="124"/>
      <c r="AO909" s="360"/>
      <c r="AP909" s="360"/>
      <c r="AQ909" s="360"/>
      <c r="AR909" s="360"/>
      <c r="AS909" s="360"/>
      <c r="AT909" s="360"/>
      <c r="AU909" s="360"/>
      <c r="AV909" s="360"/>
      <c r="AW909" s="360"/>
      <c r="AX909" s="360"/>
      <c r="AY909" s="360"/>
      <c r="AZ909" s="360"/>
      <c r="BA909" s="360"/>
      <c r="BB909" s="360"/>
      <c r="BC909" s="360"/>
    </row>
    <row r="910">
      <c r="A910" s="125"/>
      <c r="B910" s="189"/>
      <c r="C910" s="124"/>
      <c r="D910" s="124"/>
      <c r="E910" s="124"/>
      <c r="F910" s="125"/>
      <c r="G910" s="189"/>
      <c r="H910" s="124"/>
      <c r="I910" s="124"/>
      <c r="J910" s="124"/>
      <c r="K910" s="102"/>
      <c r="L910" s="189"/>
      <c r="M910" s="124"/>
      <c r="N910" s="124"/>
      <c r="O910" s="124"/>
      <c r="P910" s="102"/>
      <c r="Q910" s="161"/>
      <c r="R910" s="124"/>
      <c r="S910" s="124"/>
      <c r="T910" s="124"/>
      <c r="U910" s="125"/>
      <c r="V910" s="189"/>
      <c r="W910" s="124"/>
      <c r="X910" s="124"/>
      <c r="Y910" s="124"/>
      <c r="Z910" s="125"/>
      <c r="AA910" s="189"/>
      <c r="AB910" s="124"/>
      <c r="AC910" s="124"/>
      <c r="AD910" s="124"/>
      <c r="AE910" s="125"/>
      <c r="AF910" s="189"/>
      <c r="AG910" s="124"/>
      <c r="AH910" s="124"/>
      <c r="AI910" s="124"/>
      <c r="AJ910" s="125"/>
      <c r="AK910" s="189"/>
      <c r="AL910" s="124"/>
      <c r="AM910" s="124"/>
      <c r="AN910" s="124"/>
      <c r="AO910" s="360"/>
      <c r="AP910" s="360"/>
      <c r="AQ910" s="360"/>
      <c r="AR910" s="360"/>
      <c r="AS910" s="360"/>
      <c r="AT910" s="360"/>
      <c r="AU910" s="360"/>
      <c r="AV910" s="360"/>
      <c r="AW910" s="360"/>
      <c r="AX910" s="360"/>
      <c r="AY910" s="360"/>
      <c r="AZ910" s="360"/>
      <c r="BA910" s="360"/>
      <c r="BB910" s="360"/>
      <c r="BC910" s="360"/>
    </row>
    <row r="911">
      <c r="A911" s="125"/>
      <c r="B911" s="189"/>
      <c r="C911" s="124"/>
      <c r="D911" s="124"/>
      <c r="E911" s="124"/>
      <c r="F911" s="125"/>
      <c r="G911" s="189"/>
      <c r="H911" s="124"/>
      <c r="I911" s="124"/>
      <c r="J911" s="124"/>
      <c r="K911" s="102"/>
      <c r="L911" s="189"/>
      <c r="M911" s="124"/>
      <c r="N911" s="124"/>
      <c r="O911" s="124"/>
      <c r="P911" s="102"/>
      <c r="Q911" s="161"/>
      <c r="R911" s="124"/>
      <c r="S911" s="124"/>
      <c r="T911" s="124"/>
      <c r="U911" s="125"/>
      <c r="V911" s="189"/>
      <c r="W911" s="124"/>
      <c r="X911" s="124"/>
      <c r="Y911" s="124"/>
      <c r="Z911" s="125"/>
      <c r="AA911" s="189"/>
      <c r="AB911" s="124"/>
      <c r="AC911" s="124"/>
      <c r="AD911" s="124"/>
      <c r="AE911" s="125"/>
      <c r="AF911" s="189"/>
      <c r="AG911" s="124"/>
      <c r="AH911" s="124"/>
      <c r="AI911" s="124"/>
      <c r="AJ911" s="125"/>
      <c r="AK911" s="189"/>
      <c r="AL911" s="124"/>
      <c r="AM911" s="124"/>
      <c r="AN911" s="124"/>
      <c r="AO911" s="360"/>
      <c r="AP911" s="360"/>
      <c r="AQ911" s="360"/>
      <c r="AR911" s="360"/>
      <c r="AS911" s="360"/>
      <c r="AT911" s="360"/>
      <c r="AU911" s="360"/>
      <c r="AV911" s="360"/>
      <c r="AW911" s="360"/>
      <c r="AX911" s="360"/>
      <c r="AY911" s="360"/>
      <c r="AZ911" s="360"/>
      <c r="BA911" s="360"/>
      <c r="BB911" s="360"/>
      <c r="BC911" s="360"/>
    </row>
    <row r="912">
      <c r="A912" s="125"/>
      <c r="B912" s="189"/>
      <c r="C912" s="124"/>
      <c r="D912" s="124"/>
      <c r="E912" s="124"/>
      <c r="F912" s="125"/>
      <c r="G912" s="189"/>
      <c r="H912" s="124"/>
      <c r="I912" s="124"/>
      <c r="J912" s="124"/>
      <c r="K912" s="102"/>
      <c r="L912" s="189"/>
      <c r="M912" s="124"/>
      <c r="N912" s="124"/>
      <c r="O912" s="124"/>
      <c r="P912" s="102"/>
      <c r="Q912" s="161"/>
      <c r="R912" s="124"/>
      <c r="S912" s="124"/>
      <c r="T912" s="124"/>
      <c r="U912" s="125"/>
      <c r="V912" s="189"/>
      <c r="W912" s="124"/>
      <c r="X912" s="124"/>
      <c r="Y912" s="124"/>
      <c r="Z912" s="125"/>
      <c r="AA912" s="189"/>
      <c r="AB912" s="124"/>
      <c r="AC912" s="124"/>
      <c r="AD912" s="124"/>
      <c r="AE912" s="125"/>
      <c r="AF912" s="189"/>
      <c r="AG912" s="124"/>
      <c r="AH912" s="124"/>
      <c r="AI912" s="124"/>
      <c r="AJ912" s="125"/>
      <c r="AK912" s="189"/>
      <c r="AL912" s="124"/>
      <c r="AM912" s="124"/>
      <c r="AN912" s="124"/>
      <c r="AO912" s="360"/>
      <c r="AP912" s="360"/>
      <c r="AQ912" s="360"/>
      <c r="AR912" s="360"/>
      <c r="AS912" s="360"/>
      <c r="AT912" s="360"/>
      <c r="AU912" s="360"/>
      <c r="AV912" s="360"/>
      <c r="AW912" s="360"/>
      <c r="AX912" s="360"/>
      <c r="AY912" s="360"/>
      <c r="AZ912" s="360"/>
      <c r="BA912" s="360"/>
      <c r="BB912" s="360"/>
      <c r="BC912" s="360"/>
    </row>
    <row r="913">
      <c r="A913" s="125"/>
      <c r="B913" s="189"/>
      <c r="C913" s="124"/>
      <c r="D913" s="124"/>
      <c r="E913" s="124"/>
      <c r="F913" s="125"/>
      <c r="G913" s="189"/>
      <c r="H913" s="124"/>
      <c r="I913" s="124"/>
      <c r="J913" s="124"/>
      <c r="K913" s="102"/>
      <c r="L913" s="189"/>
      <c r="M913" s="124"/>
      <c r="N913" s="124"/>
      <c r="O913" s="124"/>
      <c r="P913" s="102"/>
      <c r="Q913" s="161"/>
      <c r="R913" s="124"/>
      <c r="S913" s="124"/>
      <c r="T913" s="124"/>
      <c r="U913" s="125"/>
      <c r="V913" s="189"/>
      <c r="W913" s="124"/>
      <c r="X913" s="124"/>
      <c r="Y913" s="124"/>
      <c r="Z913" s="125"/>
      <c r="AA913" s="189"/>
      <c r="AB913" s="124"/>
      <c r="AC913" s="124"/>
      <c r="AD913" s="124"/>
      <c r="AE913" s="125"/>
      <c r="AF913" s="189"/>
      <c r="AG913" s="124"/>
      <c r="AH913" s="124"/>
      <c r="AI913" s="124"/>
      <c r="AJ913" s="125"/>
      <c r="AK913" s="189"/>
      <c r="AL913" s="124"/>
      <c r="AM913" s="124"/>
      <c r="AN913" s="124"/>
      <c r="AO913" s="360"/>
      <c r="AP913" s="360"/>
      <c r="AQ913" s="360"/>
      <c r="AR913" s="360"/>
      <c r="AS913" s="360"/>
      <c r="AT913" s="360"/>
      <c r="AU913" s="360"/>
      <c r="AV913" s="360"/>
      <c r="AW913" s="360"/>
      <c r="AX913" s="360"/>
      <c r="AY913" s="360"/>
      <c r="AZ913" s="360"/>
      <c r="BA913" s="360"/>
      <c r="BB913" s="360"/>
      <c r="BC913" s="360"/>
    </row>
    <row r="914">
      <c r="A914" s="125"/>
      <c r="B914" s="189"/>
      <c r="C914" s="124"/>
      <c r="D914" s="124"/>
      <c r="E914" s="124"/>
      <c r="F914" s="125"/>
      <c r="G914" s="189"/>
      <c r="H914" s="124"/>
      <c r="I914" s="124"/>
      <c r="J914" s="124"/>
      <c r="K914" s="102"/>
      <c r="L914" s="189"/>
      <c r="M914" s="124"/>
      <c r="N914" s="124"/>
      <c r="O914" s="124"/>
      <c r="P914" s="102"/>
      <c r="Q914" s="161"/>
      <c r="R914" s="124"/>
      <c r="S914" s="124"/>
      <c r="T914" s="124"/>
      <c r="U914" s="125"/>
      <c r="V914" s="189"/>
      <c r="W914" s="124"/>
      <c r="X914" s="124"/>
      <c r="Y914" s="124"/>
      <c r="Z914" s="125"/>
      <c r="AA914" s="189"/>
      <c r="AB914" s="124"/>
      <c r="AC914" s="124"/>
      <c r="AD914" s="124"/>
      <c r="AE914" s="125"/>
      <c r="AF914" s="189"/>
      <c r="AG914" s="124"/>
      <c r="AH914" s="124"/>
      <c r="AI914" s="124"/>
      <c r="AJ914" s="125"/>
      <c r="AK914" s="189"/>
      <c r="AL914" s="124"/>
      <c r="AM914" s="124"/>
      <c r="AN914" s="124"/>
      <c r="AO914" s="360"/>
      <c r="AP914" s="360"/>
      <c r="AQ914" s="360"/>
      <c r="AR914" s="360"/>
      <c r="AS914" s="360"/>
      <c r="AT914" s="360"/>
      <c r="AU914" s="360"/>
      <c r="AV914" s="360"/>
      <c r="AW914" s="360"/>
      <c r="AX914" s="360"/>
      <c r="AY914" s="360"/>
      <c r="AZ914" s="360"/>
      <c r="BA914" s="360"/>
      <c r="BB914" s="360"/>
      <c r="BC914" s="360"/>
    </row>
    <row r="915">
      <c r="A915" s="125"/>
      <c r="B915" s="189"/>
      <c r="C915" s="124"/>
      <c r="D915" s="124"/>
      <c r="E915" s="124"/>
      <c r="F915" s="125"/>
      <c r="G915" s="189"/>
      <c r="H915" s="124"/>
      <c r="I915" s="124"/>
      <c r="J915" s="124"/>
      <c r="K915" s="102"/>
      <c r="L915" s="189"/>
      <c r="M915" s="124"/>
      <c r="N915" s="124"/>
      <c r="O915" s="124"/>
      <c r="P915" s="102"/>
      <c r="Q915" s="161"/>
      <c r="R915" s="124"/>
      <c r="S915" s="124"/>
      <c r="T915" s="124"/>
      <c r="U915" s="125"/>
      <c r="V915" s="189"/>
      <c r="W915" s="124"/>
      <c r="X915" s="124"/>
      <c r="Y915" s="124"/>
      <c r="Z915" s="125"/>
      <c r="AA915" s="189"/>
      <c r="AB915" s="124"/>
      <c r="AC915" s="124"/>
      <c r="AD915" s="124"/>
      <c r="AE915" s="125"/>
      <c r="AF915" s="189"/>
      <c r="AG915" s="124"/>
      <c r="AH915" s="124"/>
      <c r="AI915" s="124"/>
      <c r="AJ915" s="125"/>
      <c r="AK915" s="189"/>
      <c r="AL915" s="124"/>
      <c r="AM915" s="124"/>
      <c r="AN915" s="124"/>
      <c r="AO915" s="360"/>
      <c r="AP915" s="360"/>
      <c r="AQ915" s="360"/>
      <c r="AR915" s="360"/>
      <c r="AS915" s="360"/>
      <c r="AT915" s="360"/>
      <c r="AU915" s="360"/>
      <c r="AV915" s="360"/>
      <c r="AW915" s="360"/>
      <c r="AX915" s="360"/>
      <c r="AY915" s="360"/>
      <c r="AZ915" s="360"/>
      <c r="BA915" s="360"/>
      <c r="BB915" s="360"/>
      <c r="BC915" s="360"/>
    </row>
    <row r="916">
      <c r="A916" s="125"/>
      <c r="B916" s="189"/>
      <c r="C916" s="124"/>
      <c r="D916" s="124"/>
      <c r="E916" s="124"/>
      <c r="F916" s="125"/>
      <c r="G916" s="189"/>
      <c r="H916" s="124"/>
      <c r="I916" s="124"/>
      <c r="J916" s="124"/>
      <c r="K916" s="102"/>
      <c r="L916" s="189"/>
      <c r="M916" s="124"/>
      <c r="N916" s="124"/>
      <c r="O916" s="124"/>
      <c r="P916" s="102"/>
      <c r="Q916" s="161"/>
      <c r="R916" s="124"/>
      <c r="S916" s="124"/>
      <c r="T916" s="124"/>
      <c r="U916" s="125"/>
      <c r="V916" s="189"/>
      <c r="W916" s="124"/>
      <c r="X916" s="124"/>
      <c r="Y916" s="124"/>
      <c r="Z916" s="125"/>
      <c r="AA916" s="189"/>
      <c r="AB916" s="124"/>
      <c r="AC916" s="124"/>
      <c r="AD916" s="124"/>
      <c r="AE916" s="125"/>
      <c r="AF916" s="189"/>
      <c r="AG916" s="124"/>
      <c r="AH916" s="124"/>
      <c r="AI916" s="124"/>
      <c r="AJ916" s="125"/>
      <c r="AK916" s="189"/>
      <c r="AL916" s="124"/>
      <c r="AM916" s="124"/>
      <c r="AN916" s="124"/>
      <c r="AO916" s="360"/>
      <c r="AP916" s="360"/>
      <c r="AQ916" s="360"/>
      <c r="AR916" s="360"/>
      <c r="AS916" s="360"/>
      <c r="AT916" s="360"/>
      <c r="AU916" s="360"/>
      <c r="AV916" s="360"/>
      <c r="AW916" s="360"/>
      <c r="AX916" s="360"/>
      <c r="AY916" s="360"/>
      <c r="AZ916" s="360"/>
      <c r="BA916" s="360"/>
      <c r="BB916" s="360"/>
      <c r="BC916" s="360"/>
    </row>
    <row r="917">
      <c r="A917" s="125"/>
      <c r="B917" s="189"/>
      <c r="C917" s="124"/>
      <c r="D917" s="124"/>
      <c r="E917" s="124"/>
      <c r="F917" s="125"/>
      <c r="G917" s="189"/>
      <c r="H917" s="124"/>
      <c r="I917" s="124"/>
      <c r="J917" s="124"/>
      <c r="K917" s="102"/>
      <c r="L917" s="189"/>
      <c r="M917" s="124"/>
      <c r="N917" s="124"/>
      <c r="O917" s="124"/>
      <c r="P917" s="102"/>
      <c r="Q917" s="161"/>
      <c r="R917" s="124"/>
      <c r="S917" s="124"/>
      <c r="T917" s="124"/>
      <c r="U917" s="125"/>
      <c r="V917" s="189"/>
      <c r="W917" s="124"/>
      <c r="X917" s="124"/>
      <c r="Y917" s="124"/>
      <c r="Z917" s="125"/>
      <c r="AA917" s="189"/>
      <c r="AB917" s="124"/>
      <c r="AC917" s="124"/>
      <c r="AD917" s="124"/>
      <c r="AE917" s="125"/>
      <c r="AF917" s="189"/>
      <c r="AG917" s="124"/>
      <c r="AH917" s="124"/>
      <c r="AI917" s="124"/>
      <c r="AJ917" s="125"/>
      <c r="AK917" s="189"/>
      <c r="AL917" s="124"/>
      <c r="AM917" s="124"/>
      <c r="AN917" s="124"/>
      <c r="AO917" s="360"/>
      <c r="AP917" s="360"/>
      <c r="AQ917" s="360"/>
      <c r="AR917" s="360"/>
      <c r="AS917" s="360"/>
      <c r="AT917" s="360"/>
      <c r="AU917" s="360"/>
      <c r="AV917" s="360"/>
      <c r="AW917" s="360"/>
      <c r="AX917" s="360"/>
      <c r="AY917" s="360"/>
      <c r="AZ917" s="360"/>
      <c r="BA917" s="360"/>
      <c r="BB917" s="360"/>
      <c r="BC917" s="360"/>
    </row>
    <row r="918">
      <c r="A918" s="125"/>
      <c r="B918" s="189"/>
      <c r="C918" s="124"/>
      <c r="D918" s="124"/>
      <c r="E918" s="124"/>
      <c r="F918" s="125"/>
      <c r="G918" s="189"/>
      <c r="H918" s="124"/>
      <c r="I918" s="124"/>
      <c r="J918" s="124"/>
      <c r="K918" s="102"/>
      <c r="L918" s="189"/>
      <c r="M918" s="124"/>
      <c r="N918" s="124"/>
      <c r="O918" s="124"/>
      <c r="P918" s="102"/>
      <c r="Q918" s="161"/>
      <c r="R918" s="124"/>
      <c r="S918" s="124"/>
      <c r="T918" s="124"/>
      <c r="U918" s="125"/>
      <c r="V918" s="189"/>
      <c r="W918" s="124"/>
      <c r="X918" s="124"/>
      <c r="Y918" s="124"/>
      <c r="Z918" s="125"/>
      <c r="AA918" s="189"/>
      <c r="AB918" s="124"/>
      <c r="AC918" s="124"/>
      <c r="AD918" s="124"/>
      <c r="AE918" s="125"/>
      <c r="AF918" s="189"/>
      <c r="AG918" s="124"/>
      <c r="AH918" s="124"/>
      <c r="AI918" s="124"/>
      <c r="AJ918" s="125"/>
      <c r="AK918" s="189"/>
      <c r="AL918" s="124"/>
      <c r="AM918" s="124"/>
      <c r="AN918" s="124"/>
      <c r="AO918" s="360"/>
      <c r="AP918" s="360"/>
      <c r="AQ918" s="360"/>
      <c r="AR918" s="360"/>
      <c r="AS918" s="360"/>
      <c r="AT918" s="360"/>
      <c r="AU918" s="360"/>
      <c r="AV918" s="360"/>
      <c r="AW918" s="360"/>
      <c r="AX918" s="360"/>
      <c r="AY918" s="360"/>
      <c r="AZ918" s="360"/>
      <c r="BA918" s="360"/>
      <c r="BB918" s="360"/>
      <c r="BC918" s="360"/>
    </row>
    <row r="919">
      <c r="A919" s="125"/>
      <c r="B919" s="189"/>
      <c r="C919" s="124"/>
      <c r="D919" s="124"/>
      <c r="E919" s="124"/>
      <c r="F919" s="125"/>
      <c r="G919" s="189"/>
      <c r="H919" s="124"/>
      <c r="I919" s="124"/>
      <c r="J919" s="124"/>
      <c r="K919" s="102"/>
      <c r="L919" s="189"/>
      <c r="M919" s="124"/>
      <c r="N919" s="124"/>
      <c r="O919" s="124"/>
      <c r="P919" s="102"/>
      <c r="Q919" s="161"/>
      <c r="R919" s="124"/>
      <c r="S919" s="124"/>
      <c r="T919" s="124"/>
      <c r="U919" s="125"/>
      <c r="V919" s="189"/>
      <c r="W919" s="124"/>
      <c r="X919" s="124"/>
      <c r="Y919" s="124"/>
      <c r="Z919" s="125"/>
      <c r="AA919" s="189"/>
      <c r="AB919" s="124"/>
      <c r="AC919" s="124"/>
      <c r="AD919" s="124"/>
      <c r="AE919" s="125"/>
      <c r="AF919" s="189"/>
      <c r="AG919" s="124"/>
      <c r="AH919" s="124"/>
      <c r="AI919" s="124"/>
      <c r="AJ919" s="125"/>
      <c r="AK919" s="189"/>
      <c r="AL919" s="124"/>
      <c r="AM919" s="124"/>
      <c r="AN919" s="124"/>
      <c r="AO919" s="360"/>
      <c r="AP919" s="360"/>
      <c r="AQ919" s="360"/>
      <c r="AR919" s="360"/>
      <c r="AS919" s="360"/>
      <c r="AT919" s="360"/>
      <c r="AU919" s="360"/>
      <c r="AV919" s="360"/>
      <c r="AW919" s="360"/>
      <c r="AX919" s="360"/>
      <c r="AY919" s="360"/>
      <c r="AZ919" s="360"/>
      <c r="BA919" s="360"/>
      <c r="BB919" s="360"/>
      <c r="BC919" s="360"/>
    </row>
    <row r="920">
      <c r="A920" s="125"/>
      <c r="B920" s="189"/>
      <c r="C920" s="124"/>
      <c r="D920" s="124"/>
      <c r="E920" s="124"/>
      <c r="F920" s="125"/>
      <c r="G920" s="189"/>
      <c r="H920" s="124"/>
      <c r="I920" s="124"/>
      <c r="J920" s="124"/>
      <c r="K920" s="102"/>
      <c r="L920" s="189"/>
      <c r="M920" s="124"/>
      <c r="N920" s="124"/>
      <c r="O920" s="124"/>
      <c r="P920" s="102"/>
      <c r="Q920" s="161"/>
      <c r="R920" s="124"/>
      <c r="S920" s="124"/>
      <c r="T920" s="124"/>
      <c r="U920" s="125"/>
      <c r="V920" s="189"/>
      <c r="W920" s="124"/>
      <c r="X920" s="124"/>
      <c r="Y920" s="124"/>
      <c r="Z920" s="125"/>
      <c r="AA920" s="189"/>
      <c r="AB920" s="124"/>
      <c r="AC920" s="124"/>
      <c r="AD920" s="124"/>
      <c r="AE920" s="125"/>
      <c r="AF920" s="189"/>
      <c r="AG920" s="124"/>
      <c r="AH920" s="124"/>
      <c r="AI920" s="124"/>
      <c r="AJ920" s="125"/>
      <c r="AK920" s="189"/>
      <c r="AL920" s="124"/>
      <c r="AM920" s="124"/>
      <c r="AN920" s="124"/>
      <c r="AO920" s="360"/>
      <c r="AP920" s="360"/>
      <c r="AQ920" s="360"/>
      <c r="AR920" s="360"/>
      <c r="AS920" s="360"/>
      <c r="AT920" s="360"/>
      <c r="AU920" s="360"/>
      <c r="AV920" s="360"/>
      <c r="AW920" s="360"/>
      <c r="AX920" s="360"/>
      <c r="AY920" s="360"/>
      <c r="AZ920" s="360"/>
      <c r="BA920" s="360"/>
      <c r="BB920" s="360"/>
      <c r="BC920" s="360"/>
    </row>
    <row r="921">
      <c r="A921" s="125"/>
      <c r="B921" s="189"/>
      <c r="C921" s="124"/>
      <c r="D921" s="124"/>
      <c r="E921" s="124"/>
      <c r="F921" s="125"/>
      <c r="G921" s="189"/>
      <c r="H921" s="124"/>
      <c r="I921" s="124"/>
      <c r="J921" s="124"/>
      <c r="K921" s="102"/>
      <c r="L921" s="189"/>
      <c r="M921" s="124"/>
      <c r="N921" s="124"/>
      <c r="O921" s="124"/>
      <c r="P921" s="102"/>
      <c r="Q921" s="161"/>
      <c r="R921" s="124"/>
      <c r="S921" s="124"/>
      <c r="T921" s="124"/>
      <c r="U921" s="125"/>
      <c r="V921" s="189"/>
      <c r="W921" s="124"/>
      <c r="X921" s="124"/>
      <c r="Y921" s="124"/>
      <c r="Z921" s="125"/>
      <c r="AA921" s="189"/>
      <c r="AB921" s="124"/>
      <c r="AC921" s="124"/>
      <c r="AD921" s="124"/>
      <c r="AE921" s="125"/>
      <c r="AF921" s="189"/>
      <c r="AG921" s="124"/>
      <c r="AH921" s="124"/>
      <c r="AI921" s="124"/>
      <c r="AJ921" s="125"/>
      <c r="AK921" s="189"/>
      <c r="AL921" s="124"/>
      <c r="AM921" s="124"/>
      <c r="AN921" s="124"/>
      <c r="AO921" s="360"/>
      <c r="AP921" s="360"/>
      <c r="AQ921" s="360"/>
      <c r="AR921" s="360"/>
      <c r="AS921" s="360"/>
      <c r="AT921" s="360"/>
      <c r="AU921" s="360"/>
      <c r="AV921" s="360"/>
      <c r="AW921" s="360"/>
      <c r="AX921" s="360"/>
      <c r="AY921" s="360"/>
      <c r="AZ921" s="360"/>
      <c r="BA921" s="360"/>
      <c r="BB921" s="360"/>
      <c r="BC921" s="360"/>
    </row>
    <row r="922">
      <c r="A922" s="125"/>
      <c r="B922" s="189"/>
      <c r="C922" s="124"/>
      <c r="D922" s="124"/>
      <c r="E922" s="124"/>
      <c r="F922" s="125"/>
      <c r="G922" s="189"/>
      <c r="H922" s="124"/>
      <c r="I922" s="124"/>
      <c r="J922" s="124"/>
      <c r="K922" s="102"/>
      <c r="L922" s="189"/>
      <c r="M922" s="124"/>
      <c r="N922" s="124"/>
      <c r="O922" s="124"/>
      <c r="P922" s="102"/>
      <c r="Q922" s="161"/>
      <c r="R922" s="124"/>
      <c r="S922" s="124"/>
      <c r="T922" s="124"/>
      <c r="U922" s="125"/>
      <c r="V922" s="189"/>
      <c r="W922" s="124"/>
      <c r="X922" s="124"/>
      <c r="Y922" s="124"/>
      <c r="Z922" s="125"/>
      <c r="AA922" s="189"/>
      <c r="AB922" s="124"/>
      <c r="AC922" s="124"/>
      <c r="AD922" s="124"/>
      <c r="AE922" s="125"/>
      <c r="AF922" s="189"/>
      <c r="AG922" s="124"/>
      <c r="AH922" s="124"/>
      <c r="AI922" s="124"/>
      <c r="AJ922" s="125"/>
      <c r="AK922" s="189"/>
      <c r="AL922" s="124"/>
      <c r="AM922" s="124"/>
      <c r="AN922" s="124"/>
      <c r="AO922" s="360"/>
      <c r="AP922" s="360"/>
      <c r="AQ922" s="360"/>
      <c r="AR922" s="360"/>
      <c r="AS922" s="360"/>
      <c r="AT922" s="360"/>
      <c r="AU922" s="360"/>
      <c r="AV922" s="360"/>
      <c r="AW922" s="360"/>
      <c r="AX922" s="360"/>
      <c r="AY922" s="360"/>
      <c r="AZ922" s="360"/>
      <c r="BA922" s="360"/>
      <c r="BB922" s="360"/>
      <c r="BC922" s="360"/>
    </row>
    <row r="923">
      <c r="A923" s="125"/>
      <c r="B923" s="189"/>
      <c r="C923" s="124"/>
      <c r="D923" s="124"/>
      <c r="E923" s="124"/>
      <c r="F923" s="125"/>
      <c r="G923" s="189"/>
      <c r="H923" s="124"/>
      <c r="I923" s="124"/>
      <c r="J923" s="124"/>
      <c r="K923" s="102"/>
      <c r="L923" s="189"/>
      <c r="M923" s="124"/>
      <c r="N923" s="124"/>
      <c r="O923" s="124"/>
      <c r="P923" s="102"/>
      <c r="Q923" s="161"/>
      <c r="R923" s="124"/>
      <c r="S923" s="124"/>
      <c r="T923" s="124"/>
      <c r="U923" s="125"/>
      <c r="V923" s="189"/>
      <c r="W923" s="124"/>
      <c r="X923" s="124"/>
      <c r="Y923" s="124"/>
      <c r="Z923" s="125"/>
      <c r="AA923" s="189"/>
      <c r="AB923" s="124"/>
      <c r="AC923" s="124"/>
      <c r="AD923" s="124"/>
      <c r="AE923" s="125"/>
      <c r="AF923" s="189"/>
      <c r="AG923" s="124"/>
      <c r="AH923" s="124"/>
      <c r="AI923" s="124"/>
      <c r="AJ923" s="125"/>
      <c r="AK923" s="189"/>
      <c r="AL923" s="124"/>
      <c r="AM923" s="124"/>
      <c r="AN923" s="124"/>
      <c r="AO923" s="360"/>
      <c r="AP923" s="360"/>
      <c r="AQ923" s="360"/>
      <c r="AR923" s="360"/>
      <c r="AS923" s="360"/>
      <c r="AT923" s="360"/>
      <c r="AU923" s="360"/>
      <c r="AV923" s="360"/>
      <c r="AW923" s="360"/>
      <c r="AX923" s="360"/>
      <c r="AY923" s="360"/>
      <c r="AZ923" s="360"/>
      <c r="BA923" s="360"/>
      <c r="BB923" s="360"/>
      <c r="BC923" s="360"/>
    </row>
    <row r="924">
      <c r="A924" s="125"/>
      <c r="B924" s="189"/>
      <c r="C924" s="124"/>
      <c r="D924" s="124"/>
      <c r="E924" s="124"/>
      <c r="F924" s="125"/>
      <c r="G924" s="189"/>
      <c r="H924" s="124"/>
      <c r="I924" s="124"/>
      <c r="J924" s="124"/>
      <c r="K924" s="102"/>
      <c r="L924" s="189"/>
      <c r="M924" s="124"/>
      <c r="N924" s="124"/>
      <c r="O924" s="124"/>
      <c r="P924" s="102"/>
      <c r="Q924" s="161"/>
      <c r="R924" s="124"/>
      <c r="S924" s="124"/>
      <c r="T924" s="124"/>
      <c r="U924" s="125"/>
      <c r="V924" s="189"/>
      <c r="W924" s="124"/>
      <c r="X924" s="124"/>
      <c r="Y924" s="124"/>
      <c r="Z924" s="125"/>
      <c r="AA924" s="189"/>
      <c r="AB924" s="124"/>
      <c r="AC924" s="124"/>
      <c r="AD924" s="124"/>
      <c r="AE924" s="125"/>
      <c r="AF924" s="189"/>
      <c r="AG924" s="124"/>
      <c r="AH924" s="124"/>
      <c r="AI924" s="124"/>
      <c r="AJ924" s="125"/>
      <c r="AK924" s="189"/>
      <c r="AL924" s="124"/>
      <c r="AM924" s="124"/>
      <c r="AN924" s="124"/>
      <c r="AO924" s="360"/>
      <c r="AP924" s="360"/>
      <c r="AQ924" s="360"/>
      <c r="AR924" s="360"/>
      <c r="AS924" s="360"/>
      <c r="AT924" s="360"/>
      <c r="AU924" s="360"/>
      <c r="AV924" s="360"/>
      <c r="AW924" s="360"/>
      <c r="AX924" s="360"/>
      <c r="AY924" s="360"/>
      <c r="AZ924" s="360"/>
      <c r="BA924" s="360"/>
      <c r="BB924" s="360"/>
      <c r="BC924" s="360"/>
    </row>
    <row r="925">
      <c r="A925" s="125"/>
      <c r="B925" s="189"/>
      <c r="C925" s="124"/>
      <c r="D925" s="124"/>
      <c r="E925" s="124"/>
      <c r="F925" s="125"/>
      <c r="G925" s="189"/>
      <c r="H925" s="124"/>
      <c r="I925" s="124"/>
      <c r="J925" s="124"/>
      <c r="K925" s="102"/>
      <c r="L925" s="189"/>
      <c r="M925" s="124"/>
      <c r="N925" s="124"/>
      <c r="O925" s="124"/>
      <c r="P925" s="102"/>
      <c r="Q925" s="161"/>
      <c r="R925" s="124"/>
      <c r="S925" s="124"/>
      <c r="T925" s="124"/>
      <c r="U925" s="125"/>
      <c r="V925" s="189"/>
      <c r="W925" s="124"/>
      <c r="X925" s="124"/>
      <c r="Y925" s="124"/>
      <c r="Z925" s="125"/>
      <c r="AA925" s="189"/>
      <c r="AB925" s="124"/>
      <c r="AC925" s="124"/>
      <c r="AD925" s="124"/>
      <c r="AE925" s="125"/>
      <c r="AF925" s="189"/>
      <c r="AG925" s="124"/>
      <c r="AH925" s="124"/>
      <c r="AI925" s="124"/>
      <c r="AJ925" s="125"/>
      <c r="AK925" s="189"/>
      <c r="AL925" s="124"/>
      <c r="AM925" s="124"/>
      <c r="AN925" s="124"/>
      <c r="AO925" s="360"/>
      <c r="AP925" s="360"/>
      <c r="AQ925" s="360"/>
      <c r="AR925" s="360"/>
      <c r="AS925" s="360"/>
      <c r="AT925" s="360"/>
      <c r="AU925" s="360"/>
      <c r="AV925" s="360"/>
      <c r="AW925" s="360"/>
      <c r="AX925" s="360"/>
      <c r="AY925" s="360"/>
      <c r="AZ925" s="360"/>
      <c r="BA925" s="360"/>
      <c r="BB925" s="360"/>
      <c r="BC925" s="360"/>
    </row>
    <row r="926">
      <c r="A926" s="125"/>
      <c r="B926" s="189"/>
      <c r="C926" s="124"/>
      <c r="D926" s="124"/>
      <c r="E926" s="124"/>
      <c r="F926" s="125"/>
      <c r="G926" s="189"/>
      <c r="H926" s="124"/>
      <c r="I926" s="124"/>
      <c r="J926" s="124"/>
      <c r="K926" s="102"/>
      <c r="L926" s="189"/>
      <c r="M926" s="124"/>
      <c r="N926" s="124"/>
      <c r="O926" s="124"/>
      <c r="P926" s="102"/>
      <c r="Q926" s="161"/>
      <c r="R926" s="124"/>
      <c r="S926" s="124"/>
      <c r="T926" s="124"/>
      <c r="U926" s="125"/>
      <c r="V926" s="189"/>
      <c r="W926" s="124"/>
      <c r="X926" s="124"/>
      <c r="Y926" s="124"/>
      <c r="Z926" s="125"/>
      <c r="AA926" s="189"/>
      <c r="AB926" s="124"/>
      <c r="AC926" s="124"/>
      <c r="AD926" s="124"/>
      <c r="AE926" s="125"/>
      <c r="AF926" s="189"/>
      <c r="AG926" s="124"/>
      <c r="AH926" s="124"/>
      <c r="AI926" s="124"/>
      <c r="AJ926" s="125"/>
      <c r="AK926" s="189"/>
      <c r="AL926" s="124"/>
      <c r="AM926" s="124"/>
      <c r="AN926" s="124"/>
      <c r="AO926" s="360"/>
      <c r="AP926" s="360"/>
      <c r="AQ926" s="360"/>
      <c r="AR926" s="360"/>
      <c r="AS926" s="360"/>
      <c r="AT926" s="360"/>
      <c r="AU926" s="360"/>
      <c r="AV926" s="360"/>
      <c r="AW926" s="360"/>
      <c r="AX926" s="360"/>
      <c r="AY926" s="360"/>
      <c r="AZ926" s="360"/>
      <c r="BA926" s="360"/>
      <c r="BB926" s="360"/>
      <c r="BC926" s="360"/>
    </row>
    <row r="927">
      <c r="A927" s="125"/>
      <c r="B927" s="189"/>
      <c r="C927" s="124"/>
      <c r="D927" s="124"/>
      <c r="E927" s="124"/>
      <c r="F927" s="125"/>
      <c r="G927" s="189"/>
      <c r="H927" s="124"/>
      <c r="I927" s="124"/>
      <c r="J927" s="124"/>
      <c r="K927" s="102"/>
      <c r="L927" s="189"/>
      <c r="M927" s="124"/>
      <c r="N927" s="124"/>
      <c r="O927" s="124"/>
      <c r="P927" s="102"/>
      <c r="Q927" s="161"/>
      <c r="R927" s="124"/>
      <c r="S927" s="124"/>
      <c r="T927" s="124"/>
      <c r="U927" s="125"/>
      <c r="V927" s="189"/>
      <c r="W927" s="124"/>
      <c r="X927" s="124"/>
      <c r="Y927" s="124"/>
      <c r="Z927" s="125"/>
      <c r="AA927" s="189"/>
      <c r="AB927" s="124"/>
      <c r="AC927" s="124"/>
      <c r="AD927" s="124"/>
      <c r="AE927" s="125"/>
      <c r="AF927" s="189"/>
      <c r="AG927" s="124"/>
      <c r="AH927" s="124"/>
      <c r="AI927" s="124"/>
      <c r="AJ927" s="125"/>
      <c r="AK927" s="189"/>
      <c r="AL927" s="124"/>
      <c r="AM927" s="124"/>
      <c r="AN927" s="124"/>
      <c r="AO927" s="360"/>
      <c r="AP927" s="360"/>
      <c r="AQ927" s="360"/>
      <c r="AR927" s="360"/>
      <c r="AS927" s="360"/>
      <c r="AT927" s="360"/>
      <c r="AU927" s="360"/>
      <c r="AV927" s="360"/>
      <c r="AW927" s="360"/>
      <c r="AX927" s="360"/>
      <c r="AY927" s="360"/>
      <c r="AZ927" s="360"/>
      <c r="BA927" s="360"/>
      <c r="BB927" s="360"/>
      <c r="BC927" s="360"/>
    </row>
    <row r="928">
      <c r="A928" s="125"/>
      <c r="B928" s="189"/>
      <c r="C928" s="124"/>
      <c r="D928" s="124"/>
      <c r="E928" s="124"/>
      <c r="F928" s="125"/>
      <c r="G928" s="189"/>
      <c r="H928" s="124"/>
      <c r="I928" s="124"/>
      <c r="J928" s="124"/>
      <c r="K928" s="102"/>
      <c r="L928" s="189"/>
      <c r="M928" s="124"/>
      <c r="N928" s="124"/>
      <c r="O928" s="124"/>
      <c r="P928" s="102"/>
      <c r="Q928" s="161"/>
      <c r="R928" s="124"/>
      <c r="S928" s="124"/>
      <c r="T928" s="124"/>
      <c r="U928" s="125"/>
      <c r="V928" s="189"/>
      <c r="W928" s="124"/>
      <c r="X928" s="124"/>
      <c r="Y928" s="124"/>
      <c r="Z928" s="125"/>
      <c r="AA928" s="189"/>
      <c r="AB928" s="124"/>
      <c r="AC928" s="124"/>
      <c r="AD928" s="124"/>
      <c r="AE928" s="125"/>
      <c r="AF928" s="189"/>
      <c r="AG928" s="124"/>
      <c r="AH928" s="124"/>
      <c r="AI928" s="124"/>
      <c r="AJ928" s="125"/>
      <c r="AK928" s="189"/>
      <c r="AL928" s="124"/>
      <c r="AM928" s="124"/>
      <c r="AN928" s="124"/>
      <c r="AO928" s="360"/>
      <c r="AP928" s="360"/>
      <c r="AQ928" s="360"/>
      <c r="AR928" s="360"/>
      <c r="AS928" s="360"/>
      <c r="AT928" s="360"/>
      <c r="AU928" s="360"/>
      <c r="AV928" s="360"/>
      <c r="AW928" s="360"/>
      <c r="AX928" s="360"/>
      <c r="AY928" s="360"/>
      <c r="AZ928" s="360"/>
      <c r="BA928" s="360"/>
      <c r="BB928" s="360"/>
      <c r="BC928" s="360"/>
    </row>
    <row r="929">
      <c r="A929" s="125"/>
      <c r="B929" s="189"/>
      <c r="C929" s="124"/>
      <c r="D929" s="124"/>
      <c r="E929" s="124"/>
      <c r="F929" s="125"/>
      <c r="G929" s="189"/>
      <c r="H929" s="124"/>
      <c r="I929" s="124"/>
      <c r="J929" s="124"/>
      <c r="K929" s="102"/>
      <c r="L929" s="189"/>
      <c r="M929" s="124"/>
      <c r="N929" s="124"/>
      <c r="O929" s="124"/>
      <c r="P929" s="102"/>
      <c r="Q929" s="161"/>
      <c r="R929" s="124"/>
      <c r="S929" s="124"/>
      <c r="T929" s="124"/>
      <c r="U929" s="125"/>
      <c r="V929" s="189"/>
      <c r="W929" s="124"/>
      <c r="X929" s="124"/>
      <c r="Y929" s="124"/>
      <c r="Z929" s="125"/>
      <c r="AA929" s="189"/>
      <c r="AB929" s="124"/>
      <c r="AC929" s="124"/>
      <c r="AD929" s="124"/>
      <c r="AE929" s="125"/>
      <c r="AF929" s="189"/>
      <c r="AG929" s="124"/>
      <c r="AH929" s="124"/>
      <c r="AI929" s="124"/>
      <c r="AJ929" s="125"/>
      <c r="AK929" s="189"/>
      <c r="AL929" s="124"/>
      <c r="AM929" s="124"/>
      <c r="AN929" s="124"/>
      <c r="AO929" s="360"/>
      <c r="AP929" s="360"/>
      <c r="AQ929" s="360"/>
      <c r="AR929" s="360"/>
      <c r="AS929" s="360"/>
      <c r="AT929" s="360"/>
      <c r="AU929" s="360"/>
      <c r="AV929" s="360"/>
      <c r="AW929" s="360"/>
      <c r="AX929" s="360"/>
      <c r="AY929" s="360"/>
      <c r="AZ929" s="360"/>
      <c r="BA929" s="360"/>
      <c r="BB929" s="360"/>
      <c r="BC929" s="360"/>
    </row>
    <row r="930">
      <c r="A930" s="125"/>
      <c r="B930" s="189"/>
      <c r="C930" s="124"/>
      <c r="D930" s="124"/>
      <c r="E930" s="124"/>
      <c r="F930" s="125"/>
      <c r="G930" s="189"/>
      <c r="H930" s="124"/>
      <c r="I930" s="124"/>
      <c r="J930" s="124"/>
      <c r="K930" s="102"/>
      <c r="L930" s="189"/>
      <c r="M930" s="124"/>
      <c r="N930" s="124"/>
      <c r="O930" s="124"/>
      <c r="P930" s="102"/>
      <c r="Q930" s="161"/>
      <c r="R930" s="124"/>
      <c r="S930" s="124"/>
      <c r="T930" s="124"/>
      <c r="U930" s="125"/>
      <c r="V930" s="189"/>
      <c r="W930" s="124"/>
      <c r="X930" s="124"/>
      <c r="Y930" s="124"/>
      <c r="Z930" s="125"/>
      <c r="AA930" s="189"/>
      <c r="AB930" s="124"/>
      <c r="AC930" s="124"/>
      <c r="AD930" s="124"/>
      <c r="AE930" s="125"/>
      <c r="AF930" s="189"/>
      <c r="AG930" s="124"/>
      <c r="AH930" s="124"/>
      <c r="AI930" s="124"/>
      <c r="AJ930" s="125"/>
      <c r="AK930" s="189"/>
      <c r="AL930" s="124"/>
      <c r="AM930" s="124"/>
      <c r="AN930" s="124"/>
      <c r="AO930" s="360"/>
      <c r="AP930" s="360"/>
      <c r="AQ930" s="360"/>
      <c r="AR930" s="360"/>
      <c r="AS930" s="360"/>
      <c r="AT930" s="360"/>
      <c r="AU930" s="360"/>
      <c r="AV930" s="360"/>
      <c r="AW930" s="360"/>
      <c r="AX930" s="360"/>
      <c r="AY930" s="360"/>
      <c r="AZ930" s="360"/>
      <c r="BA930" s="360"/>
      <c r="BB930" s="360"/>
      <c r="BC930" s="360"/>
    </row>
    <row r="931">
      <c r="A931" s="125"/>
      <c r="B931" s="189"/>
      <c r="C931" s="124"/>
      <c r="D931" s="124"/>
      <c r="E931" s="124"/>
      <c r="F931" s="125"/>
      <c r="G931" s="189"/>
      <c r="H931" s="124"/>
      <c r="I931" s="124"/>
      <c r="J931" s="124"/>
      <c r="K931" s="102"/>
      <c r="L931" s="189"/>
      <c r="M931" s="124"/>
      <c r="N931" s="124"/>
      <c r="O931" s="124"/>
      <c r="P931" s="102"/>
      <c r="Q931" s="161"/>
      <c r="R931" s="124"/>
      <c r="S931" s="124"/>
      <c r="T931" s="124"/>
      <c r="U931" s="125"/>
      <c r="V931" s="189"/>
      <c r="W931" s="124"/>
      <c r="X931" s="124"/>
      <c r="Y931" s="124"/>
      <c r="Z931" s="125"/>
      <c r="AA931" s="189"/>
      <c r="AB931" s="124"/>
      <c r="AC931" s="124"/>
      <c r="AD931" s="124"/>
      <c r="AE931" s="125"/>
      <c r="AF931" s="189"/>
      <c r="AG931" s="124"/>
      <c r="AH931" s="124"/>
      <c r="AI931" s="124"/>
      <c r="AJ931" s="125"/>
      <c r="AK931" s="189"/>
      <c r="AL931" s="124"/>
      <c r="AM931" s="124"/>
      <c r="AN931" s="124"/>
      <c r="AO931" s="360"/>
      <c r="AP931" s="360"/>
      <c r="AQ931" s="360"/>
      <c r="AR931" s="360"/>
      <c r="AS931" s="360"/>
      <c r="AT931" s="360"/>
      <c r="AU931" s="360"/>
      <c r="AV931" s="360"/>
      <c r="AW931" s="360"/>
      <c r="AX931" s="360"/>
      <c r="AY931" s="360"/>
      <c r="AZ931" s="360"/>
      <c r="BA931" s="360"/>
      <c r="BB931" s="360"/>
      <c r="BC931" s="360"/>
    </row>
    <row r="932">
      <c r="A932" s="125"/>
      <c r="B932" s="189"/>
      <c r="C932" s="124"/>
      <c r="D932" s="124"/>
      <c r="E932" s="124"/>
      <c r="F932" s="125"/>
      <c r="G932" s="189"/>
      <c r="H932" s="124"/>
      <c r="I932" s="124"/>
      <c r="J932" s="124"/>
      <c r="K932" s="102"/>
      <c r="L932" s="189"/>
      <c r="M932" s="124"/>
      <c r="N932" s="124"/>
      <c r="O932" s="124"/>
      <c r="P932" s="102"/>
      <c r="Q932" s="161"/>
      <c r="R932" s="124"/>
      <c r="S932" s="124"/>
      <c r="T932" s="124"/>
      <c r="U932" s="125"/>
      <c r="V932" s="189"/>
      <c r="W932" s="124"/>
      <c r="X932" s="124"/>
      <c r="Y932" s="124"/>
      <c r="Z932" s="125"/>
      <c r="AA932" s="189"/>
      <c r="AB932" s="124"/>
      <c r="AC932" s="124"/>
      <c r="AD932" s="124"/>
      <c r="AE932" s="125"/>
      <c r="AF932" s="189"/>
      <c r="AG932" s="124"/>
      <c r="AH932" s="124"/>
      <c r="AI932" s="124"/>
      <c r="AJ932" s="125"/>
      <c r="AK932" s="189"/>
      <c r="AL932" s="124"/>
      <c r="AM932" s="124"/>
      <c r="AN932" s="124"/>
      <c r="AO932" s="360"/>
      <c r="AP932" s="360"/>
      <c r="AQ932" s="360"/>
      <c r="AR932" s="360"/>
      <c r="AS932" s="360"/>
      <c r="AT932" s="360"/>
      <c r="AU932" s="360"/>
      <c r="AV932" s="360"/>
      <c r="AW932" s="360"/>
      <c r="AX932" s="360"/>
      <c r="AY932" s="360"/>
      <c r="AZ932" s="360"/>
      <c r="BA932" s="360"/>
      <c r="BB932" s="360"/>
      <c r="BC932" s="360"/>
    </row>
    <row r="933">
      <c r="A933" s="125"/>
      <c r="B933" s="189"/>
      <c r="C933" s="124"/>
      <c r="D933" s="124"/>
      <c r="E933" s="124"/>
      <c r="F933" s="125"/>
      <c r="G933" s="189"/>
      <c r="H933" s="124"/>
      <c r="I933" s="124"/>
      <c r="J933" s="124"/>
      <c r="K933" s="102"/>
      <c r="L933" s="189"/>
      <c r="M933" s="124"/>
      <c r="N933" s="124"/>
      <c r="O933" s="124"/>
      <c r="P933" s="102"/>
      <c r="Q933" s="161"/>
      <c r="R933" s="124"/>
      <c r="S933" s="124"/>
      <c r="T933" s="124"/>
      <c r="U933" s="125"/>
      <c r="V933" s="189"/>
      <c r="W933" s="124"/>
      <c r="X933" s="124"/>
      <c r="Y933" s="124"/>
      <c r="Z933" s="125"/>
      <c r="AA933" s="189"/>
      <c r="AB933" s="124"/>
      <c r="AC933" s="124"/>
      <c r="AD933" s="124"/>
      <c r="AE933" s="125"/>
      <c r="AF933" s="189"/>
      <c r="AG933" s="124"/>
      <c r="AH933" s="124"/>
      <c r="AI933" s="124"/>
      <c r="AJ933" s="125"/>
      <c r="AK933" s="189"/>
      <c r="AL933" s="124"/>
      <c r="AM933" s="124"/>
      <c r="AN933" s="124"/>
      <c r="AO933" s="360"/>
      <c r="AP933" s="360"/>
      <c r="AQ933" s="360"/>
      <c r="AR933" s="360"/>
      <c r="AS933" s="360"/>
      <c r="AT933" s="360"/>
      <c r="AU933" s="360"/>
      <c r="AV933" s="360"/>
      <c r="AW933" s="360"/>
      <c r="AX933" s="360"/>
      <c r="AY933" s="360"/>
      <c r="AZ933" s="360"/>
      <c r="BA933" s="360"/>
      <c r="BB933" s="360"/>
      <c r="BC933" s="360"/>
    </row>
    <row r="934">
      <c r="A934" s="125"/>
      <c r="B934" s="189"/>
      <c r="C934" s="124"/>
      <c r="D934" s="124"/>
      <c r="E934" s="124"/>
      <c r="F934" s="125"/>
      <c r="G934" s="189"/>
      <c r="H934" s="124"/>
      <c r="I934" s="124"/>
      <c r="J934" s="124"/>
      <c r="K934" s="102"/>
      <c r="L934" s="189"/>
      <c r="M934" s="124"/>
      <c r="N934" s="124"/>
      <c r="O934" s="124"/>
      <c r="P934" s="102"/>
      <c r="Q934" s="161"/>
      <c r="R934" s="124"/>
      <c r="S934" s="124"/>
      <c r="T934" s="124"/>
      <c r="U934" s="125"/>
      <c r="V934" s="189"/>
      <c r="W934" s="124"/>
      <c r="X934" s="124"/>
      <c r="Y934" s="124"/>
      <c r="Z934" s="125"/>
      <c r="AA934" s="189"/>
      <c r="AB934" s="124"/>
      <c r="AC934" s="124"/>
      <c r="AD934" s="124"/>
      <c r="AE934" s="125"/>
      <c r="AF934" s="189"/>
      <c r="AG934" s="124"/>
      <c r="AH934" s="124"/>
      <c r="AI934" s="124"/>
      <c r="AJ934" s="125"/>
      <c r="AK934" s="189"/>
      <c r="AL934" s="124"/>
      <c r="AM934" s="124"/>
      <c r="AN934" s="124"/>
      <c r="AO934" s="360"/>
      <c r="AP934" s="360"/>
      <c r="AQ934" s="360"/>
      <c r="AR934" s="360"/>
      <c r="AS934" s="360"/>
      <c r="AT934" s="360"/>
      <c r="AU934" s="360"/>
      <c r="AV934" s="360"/>
      <c r="AW934" s="360"/>
      <c r="AX934" s="360"/>
      <c r="AY934" s="360"/>
      <c r="AZ934" s="360"/>
      <c r="BA934" s="360"/>
      <c r="BB934" s="360"/>
      <c r="BC934" s="360"/>
    </row>
    <row r="935">
      <c r="A935" s="125"/>
      <c r="B935" s="189"/>
      <c r="C935" s="124"/>
      <c r="D935" s="124"/>
      <c r="E935" s="124"/>
      <c r="F935" s="125"/>
      <c r="G935" s="189"/>
      <c r="H935" s="124"/>
      <c r="I935" s="124"/>
      <c r="J935" s="124"/>
      <c r="K935" s="102"/>
      <c r="L935" s="189"/>
      <c r="M935" s="124"/>
      <c r="N935" s="124"/>
      <c r="O935" s="124"/>
      <c r="P935" s="102"/>
      <c r="Q935" s="161"/>
      <c r="R935" s="124"/>
      <c r="S935" s="124"/>
      <c r="T935" s="124"/>
      <c r="U935" s="125"/>
      <c r="V935" s="189"/>
      <c r="W935" s="124"/>
      <c r="X935" s="124"/>
      <c r="Y935" s="124"/>
      <c r="Z935" s="125"/>
      <c r="AA935" s="189"/>
      <c r="AB935" s="124"/>
      <c r="AC935" s="124"/>
      <c r="AD935" s="124"/>
      <c r="AE935" s="125"/>
      <c r="AF935" s="189"/>
      <c r="AG935" s="124"/>
      <c r="AH935" s="124"/>
      <c r="AI935" s="124"/>
      <c r="AJ935" s="125"/>
      <c r="AK935" s="189"/>
      <c r="AL935" s="124"/>
      <c r="AM935" s="124"/>
      <c r="AN935" s="124"/>
      <c r="AO935" s="360"/>
      <c r="AP935" s="360"/>
      <c r="AQ935" s="360"/>
      <c r="AR935" s="360"/>
      <c r="AS935" s="360"/>
      <c r="AT935" s="360"/>
      <c r="AU935" s="360"/>
      <c r="AV935" s="360"/>
      <c r="AW935" s="360"/>
      <c r="AX935" s="360"/>
      <c r="AY935" s="360"/>
      <c r="AZ935" s="360"/>
      <c r="BA935" s="360"/>
      <c r="BB935" s="360"/>
      <c r="BC935" s="360"/>
    </row>
    <row r="936">
      <c r="A936" s="125"/>
      <c r="B936" s="189"/>
      <c r="C936" s="124"/>
      <c r="D936" s="124"/>
      <c r="E936" s="124"/>
      <c r="F936" s="125"/>
      <c r="G936" s="189"/>
      <c r="H936" s="124"/>
      <c r="I936" s="124"/>
      <c r="J936" s="124"/>
      <c r="K936" s="102"/>
      <c r="L936" s="189"/>
      <c r="M936" s="124"/>
      <c r="N936" s="124"/>
      <c r="O936" s="124"/>
      <c r="P936" s="102"/>
      <c r="Q936" s="161"/>
      <c r="R936" s="124"/>
      <c r="S936" s="124"/>
      <c r="T936" s="124"/>
      <c r="U936" s="125"/>
      <c r="V936" s="189"/>
      <c r="W936" s="124"/>
      <c r="X936" s="124"/>
      <c r="Y936" s="124"/>
      <c r="Z936" s="125"/>
      <c r="AA936" s="189"/>
      <c r="AB936" s="124"/>
      <c r="AC936" s="124"/>
      <c r="AD936" s="124"/>
      <c r="AE936" s="125"/>
      <c r="AF936" s="189"/>
      <c r="AG936" s="124"/>
      <c r="AH936" s="124"/>
      <c r="AI936" s="124"/>
      <c r="AJ936" s="125"/>
      <c r="AK936" s="189"/>
      <c r="AL936" s="124"/>
      <c r="AM936" s="124"/>
      <c r="AN936" s="124"/>
      <c r="AO936" s="360"/>
      <c r="AP936" s="360"/>
      <c r="AQ936" s="360"/>
      <c r="AR936" s="360"/>
      <c r="AS936" s="360"/>
      <c r="AT936" s="360"/>
      <c r="AU936" s="360"/>
      <c r="AV936" s="360"/>
      <c r="AW936" s="360"/>
      <c r="AX936" s="360"/>
      <c r="AY936" s="360"/>
      <c r="AZ936" s="360"/>
      <c r="BA936" s="360"/>
      <c r="BB936" s="360"/>
      <c r="BC936" s="360"/>
    </row>
    <row r="937">
      <c r="A937" s="125"/>
      <c r="B937" s="189"/>
      <c r="C937" s="124"/>
      <c r="D937" s="124"/>
      <c r="E937" s="124"/>
      <c r="F937" s="125"/>
      <c r="G937" s="189"/>
      <c r="H937" s="124"/>
      <c r="I937" s="124"/>
      <c r="J937" s="124"/>
      <c r="K937" s="102"/>
      <c r="L937" s="189"/>
      <c r="M937" s="124"/>
      <c r="N937" s="124"/>
      <c r="O937" s="124"/>
      <c r="P937" s="102"/>
      <c r="Q937" s="161"/>
      <c r="R937" s="124"/>
      <c r="S937" s="124"/>
      <c r="T937" s="124"/>
      <c r="U937" s="125"/>
      <c r="V937" s="189"/>
      <c r="W937" s="124"/>
      <c r="X937" s="124"/>
      <c r="Y937" s="124"/>
      <c r="Z937" s="125"/>
      <c r="AA937" s="189"/>
      <c r="AB937" s="124"/>
      <c r="AC937" s="124"/>
      <c r="AD937" s="124"/>
      <c r="AE937" s="125"/>
      <c r="AF937" s="189"/>
      <c r="AG937" s="124"/>
      <c r="AH937" s="124"/>
      <c r="AI937" s="124"/>
      <c r="AJ937" s="125"/>
      <c r="AK937" s="189"/>
      <c r="AL937" s="124"/>
      <c r="AM937" s="124"/>
      <c r="AN937" s="124"/>
      <c r="AO937" s="360"/>
      <c r="AP937" s="360"/>
      <c r="AQ937" s="360"/>
      <c r="AR937" s="360"/>
      <c r="AS937" s="360"/>
      <c r="AT937" s="360"/>
      <c r="AU937" s="360"/>
      <c r="AV937" s="360"/>
      <c r="AW937" s="360"/>
      <c r="AX937" s="360"/>
      <c r="AY937" s="360"/>
      <c r="AZ937" s="360"/>
      <c r="BA937" s="360"/>
      <c r="BB937" s="360"/>
      <c r="BC937" s="360"/>
    </row>
    <row r="938">
      <c r="A938" s="125"/>
      <c r="B938" s="189"/>
      <c r="C938" s="124"/>
      <c r="D938" s="124"/>
      <c r="E938" s="124"/>
      <c r="F938" s="125"/>
      <c r="G938" s="189"/>
      <c r="H938" s="124"/>
      <c r="I938" s="124"/>
      <c r="J938" s="124"/>
      <c r="K938" s="102"/>
      <c r="L938" s="189"/>
      <c r="M938" s="124"/>
      <c r="N938" s="124"/>
      <c r="O938" s="124"/>
      <c r="P938" s="102"/>
      <c r="Q938" s="161"/>
      <c r="R938" s="124"/>
      <c r="S938" s="124"/>
      <c r="T938" s="124"/>
      <c r="U938" s="125"/>
      <c r="V938" s="189"/>
      <c r="W938" s="124"/>
      <c r="X938" s="124"/>
      <c r="Y938" s="124"/>
      <c r="Z938" s="125"/>
      <c r="AA938" s="189"/>
      <c r="AB938" s="124"/>
      <c r="AC938" s="124"/>
      <c r="AD938" s="124"/>
      <c r="AE938" s="125"/>
      <c r="AF938" s="189"/>
      <c r="AG938" s="124"/>
      <c r="AH938" s="124"/>
      <c r="AI938" s="124"/>
      <c r="AJ938" s="125"/>
      <c r="AK938" s="189"/>
      <c r="AL938" s="124"/>
      <c r="AM938" s="124"/>
      <c r="AN938" s="124"/>
      <c r="AO938" s="360"/>
      <c r="AP938" s="360"/>
      <c r="AQ938" s="360"/>
      <c r="AR938" s="360"/>
      <c r="AS938" s="360"/>
      <c r="AT938" s="360"/>
      <c r="AU938" s="360"/>
      <c r="AV938" s="360"/>
      <c r="AW938" s="360"/>
      <c r="AX938" s="360"/>
      <c r="AY938" s="360"/>
      <c r="AZ938" s="360"/>
      <c r="BA938" s="360"/>
      <c r="BB938" s="360"/>
      <c r="BC938" s="360"/>
    </row>
    <row r="939">
      <c r="A939" s="125"/>
      <c r="B939" s="189"/>
      <c r="C939" s="124"/>
      <c r="D939" s="124"/>
      <c r="E939" s="124"/>
      <c r="F939" s="125"/>
      <c r="G939" s="189"/>
      <c r="H939" s="124"/>
      <c r="I939" s="124"/>
      <c r="J939" s="124"/>
      <c r="K939" s="102"/>
      <c r="L939" s="189"/>
      <c r="M939" s="124"/>
      <c r="N939" s="124"/>
      <c r="O939" s="124"/>
      <c r="P939" s="102"/>
      <c r="Q939" s="161"/>
      <c r="R939" s="124"/>
      <c r="S939" s="124"/>
      <c r="T939" s="124"/>
      <c r="U939" s="125"/>
      <c r="V939" s="189"/>
      <c r="W939" s="124"/>
      <c r="X939" s="124"/>
      <c r="Y939" s="124"/>
      <c r="Z939" s="125"/>
      <c r="AA939" s="189"/>
      <c r="AB939" s="124"/>
      <c r="AC939" s="124"/>
      <c r="AD939" s="124"/>
      <c r="AE939" s="125"/>
      <c r="AF939" s="189"/>
      <c r="AG939" s="124"/>
      <c r="AH939" s="124"/>
      <c r="AI939" s="124"/>
      <c r="AJ939" s="125"/>
      <c r="AK939" s="189"/>
      <c r="AL939" s="124"/>
      <c r="AM939" s="124"/>
      <c r="AN939" s="124"/>
      <c r="AO939" s="360"/>
      <c r="AP939" s="360"/>
      <c r="AQ939" s="360"/>
      <c r="AR939" s="360"/>
      <c r="AS939" s="360"/>
      <c r="AT939" s="360"/>
      <c r="AU939" s="360"/>
      <c r="AV939" s="360"/>
      <c r="AW939" s="360"/>
      <c r="AX939" s="360"/>
      <c r="AY939" s="360"/>
      <c r="AZ939" s="360"/>
      <c r="BA939" s="360"/>
      <c r="BB939" s="360"/>
      <c r="BC939" s="360"/>
    </row>
    <row r="940">
      <c r="A940" s="125"/>
      <c r="B940" s="189"/>
      <c r="C940" s="124"/>
      <c r="D940" s="124"/>
      <c r="E940" s="124"/>
      <c r="F940" s="125"/>
      <c r="G940" s="189"/>
      <c r="H940" s="124"/>
      <c r="I940" s="124"/>
      <c r="J940" s="124"/>
      <c r="K940" s="102"/>
      <c r="L940" s="189"/>
      <c r="M940" s="124"/>
      <c r="N940" s="124"/>
      <c r="O940" s="124"/>
      <c r="P940" s="102"/>
      <c r="Q940" s="161"/>
      <c r="R940" s="124"/>
      <c r="S940" s="124"/>
      <c r="T940" s="124"/>
      <c r="U940" s="125"/>
      <c r="V940" s="189"/>
      <c r="W940" s="124"/>
      <c r="X940" s="124"/>
      <c r="Y940" s="124"/>
      <c r="Z940" s="125"/>
      <c r="AA940" s="189"/>
      <c r="AB940" s="124"/>
      <c r="AC940" s="124"/>
      <c r="AD940" s="124"/>
      <c r="AE940" s="125"/>
      <c r="AF940" s="189"/>
      <c r="AG940" s="124"/>
      <c r="AH940" s="124"/>
      <c r="AI940" s="124"/>
      <c r="AJ940" s="125"/>
      <c r="AK940" s="189"/>
      <c r="AL940" s="124"/>
      <c r="AM940" s="124"/>
      <c r="AN940" s="124"/>
      <c r="AO940" s="360"/>
      <c r="AP940" s="360"/>
      <c r="AQ940" s="360"/>
      <c r="AR940" s="360"/>
      <c r="AS940" s="360"/>
      <c r="AT940" s="360"/>
      <c r="AU940" s="360"/>
      <c r="AV940" s="360"/>
      <c r="AW940" s="360"/>
      <c r="AX940" s="360"/>
      <c r="AY940" s="360"/>
      <c r="AZ940" s="360"/>
      <c r="BA940" s="360"/>
      <c r="BB940" s="360"/>
      <c r="BC940" s="360"/>
    </row>
    <row r="941">
      <c r="A941" s="125"/>
      <c r="B941" s="189"/>
      <c r="C941" s="124"/>
      <c r="D941" s="124"/>
      <c r="E941" s="124"/>
      <c r="F941" s="125"/>
      <c r="G941" s="189"/>
      <c r="H941" s="124"/>
      <c r="I941" s="124"/>
      <c r="J941" s="124"/>
      <c r="K941" s="102"/>
      <c r="L941" s="189"/>
      <c r="M941" s="124"/>
      <c r="N941" s="124"/>
      <c r="O941" s="124"/>
      <c r="P941" s="102"/>
      <c r="Q941" s="161"/>
      <c r="R941" s="124"/>
      <c r="S941" s="124"/>
      <c r="T941" s="124"/>
      <c r="U941" s="125"/>
      <c r="V941" s="189"/>
      <c r="W941" s="124"/>
      <c r="X941" s="124"/>
      <c r="Y941" s="124"/>
      <c r="Z941" s="125"/>
      <c r="AA941" s="189"/>
      <c r="AB941" s="124"/>
      <c r="AC941" s="124"/>
      <c r="AD941" s="124"/>
      <c r="AE941" s="125"/>
      <c r="AF941" s="189"/>
      <c r="AG941" s="124"/>
      <c r="AH941" s="124"/>
      <c r="AI941" s="124"/>
      <c r="AJ941" s="125"/>
      <c r="AK941" s="189"/>
      <c r="AL941" s="124"/>
      <c r="AM941" s="124"/>
      <c r="AN941" s="124"/>
      <c r="AO941" s="360"/>
      <c r="AP941" s="360"/>
      <c r="AQ941" s="360"/>
      <c r="AR941" s="360"/>
      <c r="AS941" s="360"/>
      <c r="AT941" s="360"/>
      <c r="AU941" s="360"/>
      <c r="AV941" s="360"/>
      <c r="AW941" s="360"/>
      <c r="AX941" s="360"/>
      <c r="AY941" s="360"/>
      <c r="AZ941" s="360"/>
      <c r="BA941" s="360"/>
      <c r="BB941" s="360"/>
      <c r="BC941" s="360"/>
    </row>
    <row r="942">
      <c r="A942" s="125"/>
      <c r="B942" s="189"/>
      <c r="C942" s="124"/>
      <c r="D942" s="124"/>
      <c r="E942" s="124"/>
      <c r="F942" s="125"/>
      <c r="G942" s="189"/>
      <c r="H942" s="124"/>
      <c r="I942" s="124"/>
      <c r="J942" s="124"/>
      <c r="K942" s="102"/>
      <c r="L942" s="189"/>
      <c r="M942" s="124"/>
      <c r="N942" s="124"/>
      <c r="O942" s="124"/>
      <c r="P942" s="102"/>
      <c r="Q942" s="161"/>
      <c r="R942" s="124"/>
      <c r="S942" s="124"/>
      <c r="T942" s="124"/>
      <c r="U942" s="125"/>
      <c r="V942" s="189"/>
      <c r="W942" s="124"/>
      <c r="X942" s="124"/>
      <c r="Y942" s="124"/>
      <c r="Z942" s="125"/>
      <c r="AA942" s="189"/>
      <c r="AB942" s="124"/>
      <c r="AC942" s="124"/>
      <c r="AD942" s="124"/>
      <c r="AE942" s="125"/>
      <c r="AF942" s="189"/>
      <c r="AG942" s="124"/>
      <c r="AH942" s="124"/>
      <c r="AI942" s="124"/>
      <c r="AJ942" s="125"/>
      <c r="AK942" s="189"/>
      <c r="AL942" s="124"/>
      <c r="AM942" s="124"/>
      <c r="AN942" s="124"/>
      <c r="AO942" s="360"/>
      <c r="AP942" s="360"/>
      <c r="AQ942" s="360"/>
      <c r="AR942" s="360"/>
      <c r="AS942" s="360"/>
      <c r="AT942" s="360"/>
      <c r="AU942" s="360"/>
      <c r="AV942" s="360"/>
      <c r="AW942" s="360"/>
      <c r="AX942" s="360"/>
      <c r="AY942" s="360"/>
      <c r="AZ942" s="360"/>
      <c r="BA942" s="360"/>
      <c r="BB942" s="360"/>
      <c r="BC942" s="360"/>
    </row>
    <row r="943">
      <c r="A943" s="125"/>
      <c r="B943" s="189"/>
      <c r="C943" s="124"/>
      <c r="D943" s="124"/>
      <c r="E943" s="124"/>
      <c r="F943" s="125"/>
      <c r="G943" s="189"/>
      <c r="H943" s="124"/>
      <c r="I943" s="124"/>
      <c r="J943" s="124"/>
      <c r="K943" s="102"/>
      <c r="L943" s="189"/>
      <c r="M943" s="124"/>
      <c r="N943" s="124"/>
      <c r="O943" s="124"/>
      <c r="P943" s="102"/>
      <c r="Q943" s="161"/>
      <c r="R943" s="124"/>
      <c r="S943" s="124"/>
      <c r="T943" s="124"/>
      <c r="U943" s="125"/>
      <c r="V943" s="189"/>
      <c r="W943" s="124"/>
      <c r="X943" s="124"/>
      <c r="Y943" s="124"/>
      <c r="Z943" s="125"/>
      <c r="AA943" s="189"/>
      <c r="AB943" s="124"/>
      <c r="AC943" s="124"/>
      <c r="AD943" s="124"/>
      <c r="AE943" s="125"/>
      <c r="AF943" s="189"/>
      <c r="AG943" s="124"/>
      <c r="AH943" s="124"/>
      <c r="AI943" s="124"/>
      <c r="AJ943" s="125"/>
      <c r="AK943" s="189"/>
      <c r="AL943" s="124"/>
      <c r="AM943" s="124"/>
      <c r="AN943" s="124"/>
      <c r="AO943" s="360"/>
      <c r="AP943" s="360"/>
      <c r="AQ943" s="360"/>
      <c r="AR943" s="360"/>
      <c r="AS943" s="360"/>
      <c r="AT943" s="360"/>
      <c r="AU943" s="360"/>
      <c r="AV943" s="360"/>
      <c r="AW943" s="360"/>
      <c r="AX943" s="360"/>
      <c r="AY943" s="360"/>
      <c r="AZ943" s="360"/>
      <c r="BA943" s="360"/>
      <c r="BB943" s="360"/>
      <c r="BC943" s="360"/>
    </row>
    <row r="944">
      <c r="A944" s="125"/>
      <c r="B944" s="189"/>
      <c r="C944" s="124"/>
      <c r="D944" s="124"/>
      <c r="E944" s="124"/>
      <c r="F944" s="125"/>
      <c r="G944" s="189"/>
      <c r="H944" s="124"/>
      <c r="I944" s="124"/>
      <c r="J944" s="124"/>
      <c r="K944" s="102"/>
      <c r="L944" s="189"/>
      <c r="M944" s="124"/>
      <c r="N944" s="124"/>
      <c r="O944" s="124"/>
      <c r="P944" s="102"/>
      <c r="Q944" s="161"/>
      <c r="R944" s="124"/>
      <c r="S944" s="124"/>
      <c r="T944" s="124"/>
      <c r="U944" s="125"/>
      <c r="V944" s="189"/>
      <c r="W944" s="124"/>
      <c r="X944" s="124"/>
      <c r="Y944" s="124"/>
      <c r="Z944" s="125"/>
      <c r="AA944" s="189"/>
      <c r="AB944" s="124"/>
      <c r="AC944" s="124"/>
      <c r="AD944" s="124"/>
      <c r="AE944" s="125"/>
      <c r="AF944" s="189"/>
      <c r="AG944" s="124"/>
      <c r="AH944" s="124"/>
      <c r="AI944" s="124"/>
      <c r="AJ944" s="125"/>
      <c r="AK944" s="189"/>
      <c r="AL944" s="124"/>
      <c r="AM944" s="124"/>
      <c r="AN944" s="124"/>
      <c r="AO944" s="360"/>
      <c r="AP944" s="360"/>
      <c r="AQ944" s="360"/>
      <c r="AR944" s="360"/>
      <c r="AS944" s="360"/>
      <c r="AT944" s="360"/>
      <c r="AU944" s="360"/>
      <c r="AV944" s="360"/>
      <c r="AW944" s="360"/>
      <c r="AX944" s="360"/>
      <c r="AY944" s="360"/>
      <c r="AZ944" s="360"/>
      <c r="BA944" s="360"/>
      <c r="BB944" s="360"/>
      <c r="BC944" s="360"/>
    </row>
    <row r="945">
      <c r="A945" s="125"/>
      <c r="B945" s="189"/>
      <c r="C945" s="124"/>
      <c r="D945" s="124"/>
      <c r="E945" s="124"/>
      <c r="F945" s="125"/>
      <c r="G945" s="189"/>
      <c r="H945" s="124"/>
      <c r="I945" s="124"/>
      <c r="J945" s="124"/>
      <c r="K945" s="102"/>
      <c r="L945" s="189"/>
      <c r="M945" s="124"/>
      <c r="N945" s="124"/>
      <c r="O945" s="124"/>
      <c r="P945" s="102"/>
      <c r="Q945" s="161"/>
      <c r="R945" s="124"/>
      <c r="S945" s="124"/>
      <c r="T945" s="124"/>
      <c r="U945" s="125"/>
      <c r="V945" s="189"/>
      <c r="W945" s="124"/>
      <c r="X945" s="124"/>
      <c r="Y945" s="124"/>
      <c r="Z945" s="125"/>
      <c r="AA945" s="189"/>
      <c r="AB945" s="124"/>
      <c r="AC945" s="124"/>
      <c r="AD945" s="124"/>
      <c r="AE945" s="125"/>
      <c r="AF945" s="189"/>
      <c r="AG945" s="124"/>
      <c r="AH945" s="124"/>
      <c r="AI945" s="124"/>
      <c r="AJ945" s="125"/>
      <c r="AK945" s="189"/>
      <c r="AL945" s="124"/>
      <c r="AM945" s="124"/>
      <c r="AN945" s="124"/>
      <c r="AO945" s="360"/>
      <c r="AP945" s="360"/>
      <c r="AQ945" s="360"/>
      <c r="AR945" s="360"/>
      <c r="AS945" s="360"/>
      <c r="AT945" s="360"/>
      <c r="AU945" s="360"/>
      <c r="AV945" s="360"/>
      <c r="AW945" s="360"/>
      <c r="AX945" s="360"/>
      <c r="AY945" s="360"/>
      <c r="AZ945" s="360"/>
      <c r="BA945" s="360"/>
      <c r="BB945" s="360"/>
      <c r="BC945" s="360"/>
    </row>
    <row r="946">
      <c r="A946" s="125"/>
      <c r="B946" s="189"/>
      <c r="C946" s="124"/>
      <c r="D946" s="124"/>
      <c r="E946" s="124"/>
      <c r="F946" s="125"/>
      <c r="G946" s="189"/>
      <c r="H946" s="124"/>
      <c r="I946" s="124"/>
      <c r="J946" s="124"/>
      <c r="K946" s="102"/>
      <c r="L946" s="189"/>
      <c r="M946" s="124"/>
      <c r="N946" s="124"/>
      <c r="O946" s="124"/>
      <c r="P946" s="102"/>
      <c r="Q946" s="161"/>
      <c r="R946" s="124"/>
      <c r="S946" s="124"/>
      <c r="T946" s="124"/>
      <c r="U946" s="125"/>
      <c r="V946" s="189"/>
      <c r="W946" s="124"/>
      <c r="X946" s="124"/>
      <c r="Y946" s="124"/>
      <c r="Z946" s="125"/>
      <c r="AA946" s="189"/>
      <c r="AB946" s="124"/>
      <c r="AC946" s="124"/>
      <c r="AD946" s="124"/>
      <c r="AE946" s="125"/>
      <c r="AF946" s="189"/>
      <c r="AG946" s="124"/>
      <c r="AH946" s="124"/>
      <c r="AI946" s="124"/>
      <c r="AJ946" s="125"/>
      <c r="AK946" s="189"/>
      <c r="AL946" s="124"/>
      <c r="AM946" s="124"/>
      <c r="AN946" s="124"/>
      <c r="AO946" s="360"/>
      <c r="AP946" s="360"/>
      <c r="AQ946" s="360"/>
      <c r="AR946" s="360"/>
      <c r="AS946" s="360"/>
      <c r="AT946" s="360"/>
      <c r="AU946" s="360"/>
      <c r="AV946" s="360"/>
      <c r="AW946" s="360"/>
      <c r="AX946" s="360"/>
      <c r="AY946" s="360"/>
      <c r="AZ946" s="360"/>
      <c r="BA946" s="360"/>
      <c r="BB946" s="360"/>
      <c r="BC946" s="360"/>
    </row>
    <row r="947">
      <c r="A947" s="125"/>
      <c r="B947" s="189"/>
      <c r="C947" s="124"/>
      <c r="D947" s="124"/>
      <c r="E947" s="124"/>
      <c r="F947" s="125"/>
      <c r="G947" s="189"/>
      <c r="H947" s="124"/>
      <c r="I947" s="124"/>
      <c r="J947" s="124"/>
      <c r="K947" s="102"/>
      <c r="L947" s="189"/>
      <c r="M947" s="124"/>
      <c r="N947" s="124"/>
      <c r="O947" s="124"/>
      <c r="P947" s="102"/>
      <c r="Q947" s="161"/>
      <c r="R947" s="124"/>
      <c r="S947" s="124"/>
      <c r="T947" s="124"/>
      <c r="U947" s="125"/>
      <c r="V947" s="189"/>
      <c r="W947" s="124"/>
      <c r="X947" s="124"/>
      <c r="Y947" s="124"/>
      <c r="Z947" s="125"/>
      <c r="AA947" s="189"/>
      <c r="AB947" s="124"/>
      <c r="AC947" s="124"/>
      <c r="AD947" s="124"/>
      <c r="AE947" s="125"/>
      <c r="AF947" s="189"/>
      <c r="AG947" s="124"/>
      <c r="AH947" s="124"/>
      <c r="AI947" s="124"/>
      <c r="AJ947" s="125"/>
      <c r="AK947" s="189"/>
      <c r="AL947" s="124"/>
      <c r="AM947" s="124"/>
      <c r="AN947" s="124"/>
      <c r="AO947" s="360"/>
      <c r="AP947" s="360"/>
      <c r="AQ947" s="360"/>
      <c r="AR947" s="360"/>
      <c r="AS947" s="360"/>
      <c r="AT947" s="360"/>
      <c r="AU947" s="360"/>
      <c r="AV947" s="360"/>
      <c r="AW947" s="360"/>
      <c r="AX947" s="360"/>
      <c r="AY947" s="360"/>
      <c r="AZ947" s="360"/>
      <c r="BA947" s="360"/>
      <c r="BB947" s="360"/>
      <c r="BC947" s="360"/>
    </row>
    <row r="948">
      <c r="A948" s="125"/>
      <c r="B948" s="189"/>
      <c r="C948" s="124"/>
      <c r="D948" s="124"/>
      <c r="E948" s="124"/>
      <c r="F948" s="125"/>
      <c r="G948" s="189"/>
      <c r="H948" s="124"/>
      <c r="I948" s="124"/>
      <c r="J948" s="124"/>
      <c r="K948" s="102"/>
      <c r="L948" s="189"/>
      <c r="M948" s="124"/>
      <c r="N948" s="124"/>
      <c r="O948" s="124"/>
      <c r="P948" s="102"/>
      <c r="Q948" s="161"/>
      <c r="R948" s="124"/>
      <c r="S948" s="124"/>
      <c r="T948" s="124"/>
      <c r="U948" s="125"/>
      <c r="V948" s="189"/>
      <c r="W948" s="124"/>
      <c r="X948" s="124"/>
      <c r="Y948" s="124"/>
      <c r="Z948" s="125"/>
      <c r="AA948" s="189"/>
      <c r="AB948" s="124"/>
      <c r="AC948" s="124"/>
      <c r="AD948" s="124"/>
      <c r="AE948" s="125"/>
      <c r="AF948" s="189"/>
      <c r="AG948" s="124"/>
      <c r="AH948" s="124"/>
      <c r="AI948" s="124"/>
      <c r="AJ948" s="125"/>
      <c r="AK948" s="189"/>
      <c r="AL948" s="124"/>
      <c r="AM948" s="124"/>
      <c r="AN948" s="124"/>
      <c r="AO948" s="360"/>
      <c r="AP948" s="360"/>
      <c r="AQ948" s="360"/>
      <c r="AR948" s="360"/>
      <c r="AS948" s="360"/>
      <c r="AT948" s="360"/>
      <c r="AU948" s="360"/>
      <c r="AV948" s="360"/>
      <c r="AW948" s="360"/>
      <c r="AX948" s="360"/>
      <c r="AY948" s="360"/>
      <c r="AZ948" s="360"/>
      <c r="BA948" s="360"/>
      <c r="BB948" s="360"/>
      <c r="BC948" s="360"/>
    </row>
    <row r="949">
      <c r="A949" s="125"/>
      <c r="B949" s="189"/>
      <c r="C949" s="124"/>
      <c r="D949" s="124"/>
      <c r="E949" s="124"/>
      <c r="F949" s="125"/>
      <c r="G949" s="189"/>
      <c r="H949" s="124"/>
      <c r="I949" s="124"/>
      <c r="J949" s="124"/>
      <c r="K949" s="102"/>
      <c r="L949" s="189"/>
      <c r="M949" s="124"/>
      <c r="N949" s="124"/>
      <c r="O949" s="124"/>
      <c r="P949" s="102"/>
      <c r="Q949" s="161"/>
      <c r="R949" s="124"/>
      <c r="S949" s="124"/>
      <c r="T949" s="124"/>
      <c r="U949" s="125"/>
      <c r="V949" s="189"/>
      <c r="W949" s="124"/>
      <c r="X949" s="124"/>
      <c r="Y949" s="124"/>
      <c r="Z949" s="125"/>
      <c r="AA949" s="189"/>
      <c r="AB949" s="124"/>
      <c r="AC949" s="124"/>
      <c r="AD949" s="124"/>
      <c r="AE949" s="125"/>
      <c r="AF949" s="189"/>
      <c r="AG949" s="124"/>
      <c r="AH949" s="124"/>
      <c r="AI949" s="124"/>
      <c r="AJ949" s="125"/>
      <c r="AK949" s="189"/>
      <c r="AL949" s="124"/>
      <c r="AM949" s="124"/>
      <c r="AN949" s="124"/>
      <c r="AO949" s="360"/>
      <c r="AP949" s="360"/>
      <c r="AQ949" s="360"/>
      <c r="AR949" s="360"/>
      <c r="AS949" s="360"/>
      <c r="AT949" s="360"/>
      <c r="AU949" s="360"/>
      <c r="AV949" s="360"/>
      <c r="AW949" s="360"/>
      <c r="AX949" s="360"/>
      <c r="AY949" s="360"/>
      <c r="AZ949" s="360"/>
      <c r="BA949" s="360"/>
      <c r="BB949" s="360"/>
      <c r="BC949" s="360"/>
    </row>
    <row r="950">
      <c r="A950" s="125"/>
      <c r="B950" s="189"/>
      <c r="C950" s="124"/>
      <c r="D950" s="124"/>
      <c r="E950" s="124"/>
      <c r="F950" s="125"/>
      <c r="G950" s="189"/>
      <c r="H950" s="124"/>
      <c r="I950" s="124"/>
      <c r="J950" s="124"/>
      <c r="K950" s="102"/>
      <c r="L950" s="189"/>
      <c r="M950" s="124"/>
      <c r="N950" s="124"/>
      <c r="O950" s="124"/>
      <c r="P950" s="102"/>
      <c r="Q950" s="161"/>
      <c r="R950" s="124"/>
      <c r="S950" s="124"/>
      <c r="T950" s="124"/>
      <c r="U950" s="125"/>
      <c r="V950" s="189"/>
      <c r="W950" s="124"/>
      <c r="X950" s="124"/>
      <c r="Y950" s="124"/>
      <c r="Z950" s="125"/>
      <c r="AA950" s="189"/>
      <c r="AB950" s="124"/>
      <c r="AC950" s="124"/>
      <c r="AD950" s="124"/>
      <c r="AE950" s="125"/>
      <c r="AF950" s="189"/>
      <c r="AG950" s="124"/>
      <c r="AH950" s="124"/>
      <c r="AI950" s="124"/>
      <c r="AJ950" s="125"/>
      <c r="AK950" s="189"/>
      <c r="AL950" s="124"/>
      <c r="AM950" s="124"/>
      <c r="AN950" s="124"/>
      <c r="AO950" s="360"/>
      <c r="AP950" s="360"/>
      <c r="AQ950" s="360"/>
      <c r="AR950" s="360"/>
      <c r="AS950" s="360"/>
      <c r="AT950" s="360"/>
      <c r="AU950" s="360"/>
      <c r="AV950" s="360"/>
      <c r="AW950" s="360"/>
      <c r="AX950" s="360"/>
      <c r="AY950" s="360"/>
      <c r="AZ950" s="360"/>
      <c r="BA950" s="360"/>
      <c r="BB950" s="360"/>
      <c r="BC950" s="360"/>
    </row>
    <row r="951">
      <c r="A951" s="125"/>
      <c r="B951" s="189"/>
      <c r="C951" s="124"/>
      <c r="D951" s="124"/>
      <c r="E951" s="124"/>
      <c r="F951" s="125"/>
      <c r="G951" s="189"/>
      <c r="H951" s="124"/>
      <c r="I951" s="124"/>
      <c r="J951" s="124"/>
      <c r="K951" s="102"/>
      <c r="L951" s="189"/>
      <c r="M951" s="124"/>
      <c r="N951" s="124"/>
      <c r="O951" s="124"/>
      <c r="P951" s="102"/>
      <c r="Q951" s="161"/>
      <c r="R951" s="124"/>
      <c r="S951" s="124"/>
      <c r="T951" s="124"/>
      <c r="U951" s="125"/>
      <c r="V951" s="189"/>
      <c r="W951" s="124"/>
      <c r="X951" s="124"/>
      <c r="Y951" s="124"/>
      <c r="Z951" s="125"/>
      <c r="AA951" s="189"/>
      <c r="AB951" s="124"/>
      <c r="AC951" s="124"/>
      <c r="AD951" s="124"/>
      <c r="AE951" s="125"/>
      <c r="AF951" s="189"/>
      <c r="AG951" s="124"/>
      <c r="AH951" s="124"/>
      <c r="AI951" s="124"/>
      <c r="AJ951" s="125"/>
      <c r="AK951" s="189"/>
      <c r="AL951" s="124"/>
      <c r="AM951" s="124"/>
      <c r="AN951" s="124"/>
      <c r="AO951" s="360"/>
      <c r="AP951" s="360"/>
      <c r="AQ951" s="360"/>
      <c r="AR951" s="360"/>
      <c r="AS951" s="360"/>
      <c r="AT951" s="360"/>
      <c r="AU951" s="360"/>
      <c r="AV951" s="360"/>
      <c r="AW951" s="360"/>
      <c r="AX951" s="360"/>
      <c r="AY951" s="360"/>
      <c r="AZ951" s="360"/>
      <c r="BA951" s="360"/>
      <c r="BB951" s="360"/>
      <c r="BC951" s="360"/>
    </row>
    <row r="952">
      <c r="A952" s="125"/>
      <c r="B952" s="189"/>
      <c r="C952" s="124"/>
      <c r="D952" s="124"/>
      <c r="E952" s="124"/>
      <c r="F952" s="125"/>
      <c r="G952" s="189"/>
      <c r="H952" s="124"/>
      <c r="I952" s="124"/>
      <c r="J952" s="124"/>
      <c r="K952" s="102"/>
      <c r="L952" s="189"/>
      <c r="M952" s="124"/>
      <c r="N952" s="124"/>
      <c r="O952" s="124"/>
      <c r="P952" s="102"/>
      <c r="Q952" s="161"/>
      <c r="R952" s="124"/>
      <c r="S952" s="124"/>
      <c r="T952" s="124"/>
      <c r="U952" s="125"/>
      <c r="V952" s="189"/>
      <c r="W952" s="124"/>
      <c r="X952" s="124"/>
      <c r="Y952" s="124"/>
      <c r="Z952" s="125"/>
      <c r="AA952" s="189"/>
      <c r="AB952" s="124"/>
      <c r="AC952" s="124"/>
      <c r="AD952" s="124"/>
      <c r="AE952" s="125"/>
      <c r="AF952" s="189"/>
      <c r="AG952" s="124"/>
      <c r="AH952" s="124"/>
      <c r="AI952" s="124"/>
      <c r="AJ952" s="125"/>
      <c r="AK952" s="189"/>
      <c r="AL952" s="124"/>
      <c r="AM952" s="124"/>
      <c r="AN952" s="124"/>
      <c r="AO952" s="360"/>
      <c r="AP952" s="360"/>
      <c r="AQ952" s="360"/>
      <c r="AR952" s="360"/>
      <c r="AS952" s="360"/>
      <c r="AT952" s="360"/>
      <c r="AU952" s="360"/>
      <c r="AV952" s="360"/>
      <c r="AW952" s="360"/>
      <c r="AX952" s="360"/>
      <c r="AY952" s="360"/>
      <c r="AZ952" s="360"/>
      <c r="BA952" s="360"/>
      <c r="BB952" s="360"/>
      <c r="BC952" s="360"/>
    </row>
    <row r="953">
      <c r="A953" s="125"/>
      <c r="B953" s="189"/>
      <c r="C953" s="124"/>
      <c r="D953" s="124"/>
      <c r="E953" s="124"/>
      <c r="F953" s="125"/>
      <c r="G953" s="189"/>
      <c r="H953" s="124"/>
      <c r="I953" s="124"/>
      <c r="J953" s="124"/>
      <c r="K953" s="102"/>
      <c r="L953" s="189"/>
      <c r="M953" s="124"/>
      <c r="N953" s="124"/>
      <c r="O953" s="124"/>
      <c r="P953" s="102"/>
      <c r="Q953" s="161"/>
      <c r="R953" s="124"/>
      <c r="S953" s="124"/>
      <c r="T953" s="124"/>
      <c r="U953" s="125"/>
      <c r="V953" s="189"/>
      <c r="W953" s="124"/>
      <c r="X953" s="124"/>
      <c r="Y953" s="124"/>
      <c r="Z953" s="125"/>
      <c r="AA953" s="189"/>
      <c r="AB953" s="124"/>
      <c r="AC953" s="124"/>
      <c r="AD953" s="124"/>
      <c r="AE953" s="125"/>
      <c r="AF953" s="189"/>
      <c r="AG953" s="124"/>
      <c r="AH953" s="124"/>
      <c r="AI953" s="124"/>
      <c r="AJ953" s="125"/>
      <c r="AK953" s="189"/>
      <c r="AL953" s="124"/>
      <c r="AM953" s="124"/>
      <c r="AN953" s="124"/>
      <c r="AO953" s="360"/>
      <c r="AP953" s="360"/>
      <c r="AQ953" s="360"/>
      <c r="AR953" s="360"/>
      <c r="AS953" s="360"/>
      <c r="AT953" s="360"/>
      <c r="AU953" s="360"/>
      <c r="AV953" s="360"/>
      <c r="AW953" s="360"/>
      <c r="AX953" s="360"/>
      <c r="AY953" s="360"/>
      <c r="AZ953" s="360"/>
      <c r="BA953" s="360"/>
      <c r="BB953" s="360"/>
      <c r="BC953" s="360"/>
    </row>
    <row r="954">
      <c r="A954" s="125"/>
      <c r="B954" s="189"/>
      <c r="C954" s="124"/>
      <c r="D954" s="124"/>
      <c r="E954" s="124"/>
      <c r="F954" s="125"/>
      <c r="G954" s="189"/>
      <c r="H954" s="124"/>
      <c r="I954" s="124"/>
      <c r="J954" s="124"/>
      <c r="K954" s="102"/>
      <c r="L954" s="189"/>
      <c r="M954" s="124"/>
      <c r="N954" s="124"/>
      <c r="O954" s="124"/>
      <c r="P954" s="102"/>
      <c r="Q954" s="161"/>
      <c r="R954" s="124"/>
      <c r="S954" s="124"/>
      <c r="T954" s="124"/>
      <c r="U954" s="125"/>
      <c r="V954" s="189"/>
      <c r="W954" s="124"/>
      <c r="X954" s="124"/>
      <c r="Y954" s="124"/>
      <c r="Z954" s="125"/>
      <c r="AA954" s="189"/>
      <c r="AB954" s="124"/>
      <c r="AC954" s="124"/>
      <c r="AD954" s="124"/>
      <c r="AE954" s="125"/>
      <c r="AF954" s="189"/>
      <c r="AG954" s="124"/>
      <c r="AH954" s="124"/>
      <c r="AI954" s="124"/>
      <c r="AJ954" s="125"/>
      <c r="AK954" s="189"/>
      <c r="AL954" s="124"/>
      <c r="AM954" s="124"/>
      <c r="AN954" s="124"/>
      <c r="AO954" s="360"/>
      <c r="AP954" s="360"/>
      <c r="AQ954" s="360"/>
      <c r="AR954" s="360"/>
      <c r="AS954" s="360"/>
      <c r="AT954" s="360"/>
      <c r="AU954" s="360"/>
      <c r="AV954" s="360"/>
      <c r="AW954" s="360"/>
      <c r="AX954" s="360"/>
      <c r="AY954" s="360"/>
      <c r="AZ954" s="360"/>
      <c r="BA954" s="360"/>
      <c r="BB954" s="360"/>
      <c r="BC954" s="360"/>
    </row>
    <row r="955">
      <c r="A955" s="125"/>
      <c r="B955" s="189"/>
      <c r="C955" s="124"/>
      <c r="D955" s="124"/>
      <c r="E955" s="124"/>
      <c r="F955" s="125"/>
      <c r="G955" s="189"/>
      <c r="H955" s="124"/>
      <c r="I955" s="124"/>
      <c r="J955" s="124"/>
      <c r="K955" s="102"/>
      <c r="L955" s="189"/>
      <c r="M955" s="124"/>
      <c r="N955" s="124"/>
      <c r="O955" s="124"/>
      <c r="P955" s="102"/>
      <c r="Q955" s="161"/>
      <c r="R955" s="124"/>
      <c r="S955" s="124"/>
      <c r="T955" s="124"/>
      <c r="U955" s="125"/>
      <c r="V955" s="189"/>
      <c r="W955" s="124"/>
      <c r="X955" s="124"/>
      <c r="Y955" s="124"/>
      <c r="Z955" s="125"/>
      <c r="AA955" s="189"/>
      <c r="AB955" s="124"/>
      <c r="AC955" s="124"/>
      <c r="AD955" s="124"/>
      <c r="AE955" s="125"/>
      <c r="AF955" s="189"/>
      <c r="AG955" s="124"/>
      <c r="AH955" s="124"/>
      <c r="AI955" s="124"/>
      <c r="AJ955" s="125"/>
      <c r="AK955" s="189"/>
      <c r="AL955" s="124"/>
      <c r="AM955" s="124"/>
      <c r="AN955" s="124"/>
      <c r="AO955" s="360"/>
      <c r="AP955" s="360"/>
      <c r="AQ955" s="360"/>
      <c r="AR955" s="360"/>
      <c r="AS955" s="360"/>
      <c r="AT955" s="360"/>
      <c r="AU955" s="360"/>
      <c r="AV955" s="360"/>
      <c r="AW955" s="360"/>
      <c r="AX955" s="360"/>
      <c r="AY955" s="360"/>
      <c r="AZ955" s="360"/>
      <c r="BA955" s="360"/>
      <c r="BB955" s="360"/>
      <c r="BC955" s="360"/>
    </row>
    <row r="956">
      <c r="A956" s="125"/>
      <c r="B956" s="189"/>
      <c r="C956" s="124"/>
      <c r="D956" s="124"/>
      <c r="E956" s="124"/>
      <c r="F956" s="125"/>
      <c r="G956" s="189"/>
      <c r="H956" s="124"/>
      <c r="I956" s="124"/>
      <c r="J956" s="124"/>
      <c r="K956" s="102"/>
      <c r="L956" s="189"/>
      <c r="M956" s="124"/>
      <c r="N956" s="124"/>
      <c r="O956" s="124"/>
      <c r="P956" s="102"/>
      <c r="Q956" s="161"/>
      <c r="R956" s="124"/>
      <c r="S956" s="124"/>
      <c r="T956" s="124"/>
      <c r="U956" s="125"/>
      <c r="V956" s="189"/>
      <c r="W956" s="124"/>
      <c r="X956" s="124"/>
      <c r="Y956" s="124"/>
      <c r="Z956" s="125"/>
      <c r="AA956" s="189"/>
      <c r="AB956" s="124"/>
      <c r="AC956" s="124"/>
      <c r="AD956" s="124"/>
      <c r="AE956" s="125"/>
      <c r="AF956" s="189"/>
      <c r="AG956" s="124"/>
      <c r="AH956" s="124"/>
      <c r="AI956" s="124"/>
      <c r="AJ956" s="125"/>
      <c r="AK956" s="189"/>
      <c r="AL956" s="124"/>
      <c r="AM956" s="124"/>
      <c r="AN956" s="124"/>
      <c r="AO956" s="360"/>
      <c r="AP956" s="360"/>
      <c r="AQ956" s="360"/>
      <c r="AR956" s="360"/>
      <c r="AS956" s="360"/>
      <c r="AT956" s="360"/>
      <c r="AU956" s="360"/>
      <c r="AV956" s="360"/>
      <c r="AW956" s="360"/>
      <c r="AX956" s="360"/>
      <c r="AY956" s="360"/>
      <c r="AZ956" s="360"/>
      <c r="BA956" s="360"/>
      <c r="BB956" s="360"/>
      <c r="BC956" s="360"/>
    </row>
    <row r="957">
      <c r="A957" s="125"/>
      <c r="B957" s="189"/>
      <c r="C957" s="124"/>
      <c r="D957" s="124"/>
      <c r="E957" s="124"/>
      <c r="F957" s="125"/>
      <c r="G957" s="189"/>
      <c r="H957" s="124"/>
      <c r="I957" s="124"/>
      <c r="J957" s="124"/>
      <c r="K957" s="102"/>
      <c r="L957" s="189"/>
      <c r="M957" s="124"/>
      <c r="N957" s="124"/>
      <c r="O957" s="124"/>
      <c r="P957" s="102"/>
      <c r="Q957" s="161"/>
      <c r="R957" s="124"/>
      <c r="S957" s="124"/>
      <c r="T957" s="124"/>
      <c r="U957" s="125"/>
      <c r="V957" s="189"/>
      <c r="W957" s="124"/>
      <c r="X957" s="124"/>
      <c r="Y957" s="124"/>
      <c r="Z957" s="125"/>
      <c r="AA957" s="189"/>
      <c r="AB957" s="124"/>
      <c r="AC957" s="124"/>
      <c r="AD957" s="124"/>
      <c r="AE957" s="125"/>
      <c r="AF957" s="189"/>
      <c r="AG957" s="124"/>
      <c r="AH957" s="124"/>
      <c r="AI957" s="124"/>
      <c r="AJ957" s="125"/>
      <c r="AK957" s="189"/>
      <c r="AL957" s="124"/>
      <c r="AM957" s="124"/>
      <c r="AN957" s="124"/>
      <c r="AO957" s="360"/>
      <c r="AP957" s="360"/>
      <c r="AQ957" s="360"/>
      <c r="AR957" s="360"/>
      <c r="AS957" s="360"/>
      <c r="AT957" s="360"/>
      <c r="AU957" s="360"/>
      <c r="AV957" s="360"/>
      <c r="AW957" s="360"/>
      <c r="AX957" s="360"/>
      <c r="AY957" s="360"/>
      <c r="AZ957" s="360"/>
      <c r="BA957" s="360"/>
      <c r="BB957" s="360"/>
      <c r="BC957" s="360"/>
    </row>
    <row r="958">
      <c r="A958" s="125"/>
      <c r="B958" s="189"/>
      <c r="C958" s="124"/>
      <c r="D958" s="124"/>
      <c r="E958" s="124"/>
      <c r="F958" s="125"/>
      <c r="G958" s="189"/>
      <c r="H958" s="124"/>
      <c r="I958" s="124"/>
      <c r="J958" s="124"/>
      <c r="K958" s="102"/>
      <c r="L958" s="189"/>
      <c r="M958" s="124"/>
      <c r="N958" s="124"/>
      <c r="O958" s="124"/>
      <c r="P958" s="102"/>
      <c r="Q958" s="161"/>
      <c r="R958" s="124"/>
      <c r="S958" s="124"/>
      <c r="T958" s="124"/>
      <c r="U958" s="125"/>
      <c r="V958" s="189"/>
      <c r="W958" s="124"/>
      <c r="X958" s="124"/>
      <c r="Y958" s="124"/>
      <c r="Z958" s="125"/>
      <c r="AA958" s="189"/>
      <c r="AB958" s="124"/>
      <c r="AC958" s="124"/>
      <c r="AD958" s="124"/>
      <c r="AE958" s="125"/>
      <c r="AF958" s="189"/>
      <c r="AG958" s="124"/>
      <c r="AH958" s="124"/>
      <c r="AI958" s="124"/>
      <c r="AJ958" s="125"/>
      <c r="AK958" s="189"/>
      <c r="AL958" s="124"/>
      <c r="AM958" s="124"/>
      <c r="AN958" s="124"/>
      <c r="AO958" s="360"/>
      <c r="AP958" s="360"/>
      <c r="AQ958" s="360"/>
      <c r="AR958" s="360"/>
      <c r="AS958" s="360"/>
      <c r="AT958" s="360"/>
      <c r="AU958" s="360"/>
      <c r="AV958" s="360"/>
      <c r="AW958" s="360"/>
      <c r="AX958" s="360"/>
      <c r="AY958" s="360"/>
      <c r="AZ958" s="360"/>
      <c r="BA958" s="360"/>
      <c r="BB958" s="360"/>
      <c r="BC958" s="360"/>
    </row>
    <row r="959">
      <c r="A959" s="125"/>
      <c r="B959" s="189"/>
      <c r="C959" s="124"/>
      <c r="D959" s="124"/>
      <c r="E959" s="124"/>
      <c r="F959" s="125"/>
      <c r="G959" s="189"/>
      <c r="H959" s="124"/>
      <c r="I959" s="124"/>
      <c r="J959" s="124"/>
      <c r="K959" s="102"/>
      <c r="L959" s="189"/>
      <c r="M959" s="124"/>
      <c r="N959" s="124"/>
      <c r="O959" s="124"/>
      <c r="P959" s="102"/>
      <c r="Q959" s="161"/>
      <c r="R959" s="124"/>
      <c r="S959" s="124"/>
      <c r="T959" s="124"/>
      <c r="U959" s="125"/>
      <c r="V959" s="189"/>
      <c r="W959" s="124"/>
      <c r="X959" s="124"/>
      <c r="Y959" s="124"/>
      <c r="Z959" s="125"/>
      <c r="AA959" s="189"/>
      <c r="AB959" s="124"/>
      <c r="AC959" s="124"/>
      <c r="AD959" s="124"/>
      <c r="AE959" s="125"/>
      <c r="AF959" s="189"/>
      <c r="AG959" s="124"/>
      <c r="AH959" s="124"/>
      <c r="AI959" s="124"/>
      <c r="AJ959" s="125"/>
      <c r="AK959" s="189"/>
      <c r="AL959" s="124"/>
      <c r="AM959" s="124"/>
      <c r="AN959" s="124"/>
      <c r="AO959" s="360"/>
      <c r="AP959" s="360"/>
      <c r="AQ959" s="360"/>
      <c r="AR959" s="360"/>
      <c r="AS959" s="360"/>
      <c r="AT959" s="360"/>
      <c r="AU959" s="360"/>
      <c r="AV959" s="360"/>
      <c r="AW959" s="360"/>
      <c r="AX959" s="360"/>
      <c r="AY959" s="360"/>
      <c r="AZ959" s="360"/>
      <c r="BA959" s="360"/>
      <c r="BB959" s="360"/>
      <c r="BC959" s="360"/>
    </row>
    <row r="960">
      <c r="A960" s="125"/>
      <c r="B960" s="189"/>
      <c r="C960" s="124"/>
      <c r="D960" s="124"/>
      <c r="E960" s="124"/>
      <c r="F960" s="125"/>
      <c r="G960" s="189"/>
      <c r="H960" s="124"/>
      <c r="I960" s="124"/>
      <c r="J960" s="124"/>
      <c r="K960" s="102"/>
      <c r="L960" s="189"/>
      <c r="M960" s="124"/>
      <c r="N960" s="124"/>
      <c r="O960" s="124"/>
      <c r="P960" s="102"/>
      <c r="Q960" s="161"/>
      <c r="R960" s="124"/>
      <c r="S960" s="124"/>
      <c r="T960" s="124"/>
      <c r="U960" s="125"/>
      <c r="V960" s="189"/>
      <c r="W960" s="124"/>
      <c r="X960" s="124"/>
      <c r="Y960" s="124"/>
      <c r="Z960" s="125"/>
      <c r="AA960" s="189"/>
      <c r="AB960" s="124"/>
      <c r="AC960" s="124"/>
      <c r="AD960" s="124"/>
      <c r="AE960" s="125"/>
      <c r="AF960" s="189"/>
      <c r="AG960" s="124"/>
      <c r="AH960" s="124"/>
      <c r="AI960" s="124"/>
      <c r="AJ960" s="125"/>
      <c r="AK960" s="189"/>
      <c r="AL960" s="124"/>
      <c r="AM960" s="124"/>
      <c r="AN960" s="124"/>
      <c r="AO960" s="360"/>
      <c r="AP960" s="360"/>
      <c r="AQ960" s="360"/>
      <c r="AR960" s="360"/>
      <c r="AS960" s="360"/>
      <c r="AT960" s="360"/>
      <c r="AU960" s="360"/>
      <c r="AV960" s="360"/>
      <c r="AW960" s="360"/>
      <c r="AX960" s="360"/>
      <c r="AY960" s="360"/>
      <c r="AZ960" s="360"/>
      <c r="BA960" s="360"/>
      <c r="BB960" s="360"/>
      <c r="BC960" s="360"/>
    </row>
    <row r="961">
      <c r="A961" s="125"/>
      <c r="B961" s="189"/>
      <c r="C961" s="124"/>
      <c r="D961" s="124"/>
      <c r="E961" s="124"/>
      <c r="F961" s="125"/>
      <c r="G961" s="189"/>
      <c r="H961" s="124"/>
      <c r="I961" s="124"/>
      <c r="J961" s="124"/>
      <c r="K961" s="102"/>
      <c r="L961" s="189"/>
      <c r="M961" s="124"/>
      <c r="N961" s="124"/>
      <c r="O961" s="124"/>
      <c r="P961" s="102"/>
      <c r="Q961" s="161"/>
      <c r="R961" s="124"/>
      <c r="S961" s="124"/>
      <c r="T961" s="124"/>
      <c r="U961" s="125"/>
      <c r="V961" s="189"/>
      <c r="W961" s="124"/>
      <c r="X961" s="124"/>
      <c r="Y961" s="124"/>
      <c r="Z961" s="125"/>
      <c r="AA961" s="189"/>
      <c r="AB961" s="124"/>
      <c r="AC961" s="124"/>
      <c r="AD961" s="124"/>
      <c r="AE961" s="125"/>
      <c r="AF961" s="189"/>
      <c r="AG961" s="124"/>
      <c r="AH961" s="124"/>
      <c r="AI961" s="124"/>
      <c r="AJ961" s="125"/>
      <c r="AK961" s="189"/>
      <c r="AL961" s="124"/>
      <c r="AM961" s="124"/>
      <c r="AN961" s="124"/>
      <c r="AO961" s="360"/>
      <c r="AP961" s="360"/>
      <c r="AQ961" s="360"/>
      <c r="AR961" s="360"/>
      <c r="AS961" s="360"/>
      <c r="AT961" s="360"/>
      <c r="AU961" s="360"/>
      <c r="AV961" s="360"/>
      <c r="AW961" s="360"/>
      <c r="AX961" s="360"/>
      <c r="AY961" s="360"/>
      <c r="AZ961" s="360"/>
      <c r="BA961" s="360"/>
      <c r="BB961" s="360"/>
      <c r="BC961" s="360"/>
    </row>
    <row r="962">
      <c r="A962" s="125"/>
      <c r="B962" s="189"/>
      <c r="C962" s="124"/>
      <c r="D962" s="124"/>
      <c r="E962" s="124"/>
      <c r="F962" s="125"/>
      <c r="G962" s="189"/>
      <c r="H962" s="124"/>
      <c r="I962" s="124"/>
      <c r="J962" s="124"/>
      <c r="K962" s="102"/>
      <c r="L962" s="189"/>
      <c r="M962" s="124"/>
      <c r="N962" s="124"/>
      <c r="O962" s="124"/>
      <c r="P962" s="102"/>
      <c r="Q962" s="161"/>
      <c r="R962" s="124"/>
      <c r="S962" s="124"/>
      <c r="T962" s="124"/>
      <c r="U962" s="125"/>
      <c r="V962" s="189"/>
      <c r="W962" s="124"/>
      <c r="X962" s="124"/>
      <c r="Y962" s="124"/>
      <c r="Z962" s="125"/>
      <c r="AA962" s="189"/>
      <c r="AB962" s="124"/>
      <c r="AC962" s="124"/>
      <c r="AD962" s="124"/>
      <c r="AE962" s="125"/>
      <c r="AF962" s="189"/>
      <c r="AG962" s="124"/>
      <c r="AH962" s="124"/>
      <c r="AI962" s="124"/>
      <c r="AJ962" s="125"/>
      <c r="AK962" s="189"/>
      <c r="AL962" s="124"/>
      <c r="AM962" s="124"/>
      <c r="AN962" s="124"/>
      <c r="AO962" s="360"/>
      <c r="AP962" s="360"/>
      <c r="AQ962" s="360"/>
      <c r="AR962" s="360"/>
      <c r="AS962" s="360"/>
      <c r="AT962" s="360"/>
      <c r="AU962" s="360"/>
      <c r="AV962" s="360"/>
      <c r="AW962" s="360"/>
      <c r="AX962" s="360"/>
      <c r="AY962" s="360"/>
      <c r="AZ962" s="360"/>
      <c r="BA962" s="360"/>
      <c r="BB962" s="360"/>
      <c r="BC962" s="360"/>
    </row>
    <row r="963">
      <c r="A963" s="125"/>
      <c r="B963" s="189"/>
      <c r="C963" s="124"/>
      <c r="D963" s="124"/>
      <c r="E963" s="124"/>
      <c r="F963" s="125"/>
      <c r="G963" s="189"/>
      <c r="H963" s="124"/>
      <c r="I963" s="124"/>
      <c r="J963" s="124"/>
      <c r="K963" s="102"/>
      <c r="L963" s="189"/>
      <c r="M963" s="124"/>
      <c r="N963" s="124"/>
      <c r="O963" s="124"/>
      <c r="P963" s="102"/>
      <c r="Q963" s="161"/>
      <c r="R963" s="124"/>
      <c r="S963" s="124"/>
      <c r="T963" s="124"/>
      <c r="U963" s="125"/>
      <c r="V963" s="189"/>
      <c r="W963" s="124"/>
      <c r="X963" s="124"/>
      <c r="Y963" s="124"/>
      <c r="Z963" s="125"/>
      <c r="AA963" s="189"/>
      <c r="AB963" s="124"/>
      <c r="AC963" s="124"/>
      <c r="AD963" s="124"/>
      <c r="AE963" s="125"/>
      <c r="AF963" s="189"/>
      <c r="AG963" s="124"/>
      <c r="AH963" s="124"/>
      <c r="AI963" s="124"/>
      <c r="AJ963" s="125"/>
      <c r="AK963" s="189"/>
      <c r="AL963" s="124"/>
      <c r="AM963" s="124"/>
      <c r="AN963" s="124"/>
      <c r="AO963" s="360"/>
      <c r="AP963" s="360"/>
      <c r="AQ963" s="360"/>
      <c r="AR963" s="360"/>
      <c r="AS963" s="360"/>
      <c r="AT963" s="360"/>
      <c r="AU963" s="360"/>
      <c r="AV963" s="360"/>
      <c r="AW963" s="360"/>
      <c r="AX963" s="360"/>
      <c r="AY963" s="360"/>
      <c r="AZ963" s="360"/>
      <c r="BA963" s="360"/>
      <c r="BB963" s="360"/>
      <c r="BC963" s="360"/>
    </row>
    <row r="964">
      <c r="A964" s="125"/>
      <c r="B964" s="189"/>
      <c r="C964" s="124"/>
      <c r="D964" s="124"/>
      <c r="E964" s="124"/>
      <c r="F964" s="125"/>
      <c r="G964" s="189"/>
      <c r="H964" s="124"/>
      <c r="I964" s="124"/>
      <c r="J964" s="124"/>
      <c r="K964" s="102"/>
      <c r="L964" s="189"/>
      <c r="M964" s="124"/>
      <c r="N964" s="124"/>
      <c r="O964" s="124"/>
      <c r="P964" s="102"/>
      <c r="Q964" s="161"/>
      <c r="R964" s="124"/>
      <c r="S964" s="124"/>
      <c r="T964" s="124"/>
      <c r="U964" s="125"/>
      <c r="V964" s="189"/>
      <c r="W964" s="124"/>
      <c r="X964" s="124"/>
      <c r="Y964" s="124"/>
      <c r="Z964" s="125"/>
      <c r="AA964" s="189"/>
      <c r="AB964" s="124"/>
      <c r="AC964" s="124"/>
      <c r="AD964" s="124"/>
      <c r="AE964" s="125"/>
      <c r="AF964" s="189"/>
      <c r="AG964" s="124"/>
      <c r="AH964" s="124"/>
      <c r="AI964" s="124"/>
      <c r="AJ964" s="125"/>
      <c r="AK964" s="189"/>
      <c r="AL964" s="124"/>
      <c r="AM964" s="124"/>
      <c r="AN964" s="124"/>
      <c r="AO964" s="360"/>
      <c r="AP964" s="360"/>
      <c r="AQ964" s="360"/>
      <c r="AR964" s="360"/>
      <c r="AS964" s="360"/>
      <c r="AT964" s="360"/>
      <c r="AU964" s="360"/>
      <c r="AV964" s="360"/>
      <c r="AW964" s="360"/>
      <c r="AX964" s="360"/>
      <c r="AY964" s="360"/>
      <c r="AZ964" s="360"/>
      <c r="BA964" s="360"/>
      <c r="BB964" s="360"/>
      <c r="BC964" s="360"/>
    </row>
    <row r="965">
      <c r="A965" s="125"/>
      <c r="B965" s="189"/>
      <c r="C965" s="124"/>
      <c r="D965" s="124"/>
      <c r="E965" s="124"/>
      <c r="F965" s="125"/>
      <c r="G965" s="189"/>
      <c r="H965" s="124"/>
      <c r="I965" s="124"/>
      <c r="J965" s="124"/>
      <c r="K965" s="102"/>
      <c r="L965" s="189"/>
      <c r="M965" s="124"/>
      <c r="N965" s="124"/>
      <c r="O965" s="124"/>
      <c r="P965" s="102"/>
      <c r="Q965" s="161"/>
      <c r="R965" s="124"/>
      <c r="S965" s="124"/>
      <c r="T965" s="124"/>
      <c r="U965" s="125"/>
      <c r="V965" s="189"/>
      <c r="W965" s="124"/>
      <c r="X965" s="124"/>
      <c r="Y965" s="124"/>
      <c r="Z965" s="125"/>
      <c r="AA965" s="189"/>
      <c r="AB965" s="124"/>
      <c r="AC965" s="124"/>
      <c r="AD965" s="124"/>
      <c r="AE965" s="125"/>
      <c r="AF965" s="189"/>
      <c r="AG965" s="124"/>
      <c r="AH965" s="124"/>
      <c r="AI965" s="124"/>
      <c r="AJ965" s="125"/>
      <c r="AK965" s="189"/>
      <c r="AL965" s="124"/>
      <c r="AM965" s="124"/>
      <c r="AN965" s="124"/>
      <c r="AO965" s="360"/>
      <c r="AP965" s="360"/>
      <c r="AQ965" s="360"/>
      <c r="AR965" s="360"/>
      <c r="AS965" s="360"/>
      <c r="AT965" s="360"/>
      <c r="AU965" s="360"/>
      <c r="AV965" s="360"/>
      <c r="AW965" s="360"/>
      <c r="AX965" s="360"/>
      <c r="AY965" s="360"/>
      <c r="AZ965" s="360"/>
      <c r="BA965" s="360"/>
      <c r="BB965" s="360"/>
      <c r="BC965" s="360"/>
    </row>
    <row r="966">
      <c r="A966" s="125"/>
      <c r="B966" s="189"/>
      <c r="C966" s="124"/>
      <c r="D966" s="124"/>
      <c r="E966" s="124"/>
      <c r="F966" s="125"/>
      <c r="G966" s="189"/>
      <c r="H966" s="124"/>
      <c r="I966" s="124"/>
      <c r="J966" s="124"/>
      <c r="K966" s="102"/>
      <c r="L966" s="189"/>
      <c r="M966" s="124"/>
      <c r="N966" s="124"/>
      <c r="O966" s="124"/>
      <c r="P966" s="102"/>
      <c r="Q966" s="161"/>
      <c r="R966" s="124"/>
      <c r="S966" s="124"/>
      <c r="T966" s="124"/>
      <c r="U966" s="125"/>
      <c r="V966" s="189"/>
      <c r="W966" s="124"/>
      <c r="X966" s="124"/>
      <c r="Y966" s="124"/>
      <c r="Z966" s="125"/>
      <c r="AA966" s="189"/>
      <c r="AB966" s="124"/>
      <c r="AC966" s="124"/>
      <c r="AD966" s="124"/>
      <c r="AE966" s="125"/>
      <c r="AF966" s="189"/>
      <c r="AG966" s="124"/>
      <c r="AH966" s="124"/>
      <c r="AI966" s="124"/>
      <c r="AJ966" s="125"/>
      <c r="AK966" s="189"/>
      <c r="AL966" s="124"/>
      <c r="AM966" s="124"/>
      <c r="AN966" s="124"/>
      <c r="AO966" s="360"/>
      <c r="AP966" s="360"/>
      <c r="AQ966" s="360"/>
      <c r="AR966" s="360"/>
      <c r="AS966" s="360"/>
      <c r="AT966" s="360"/>
      <c r="AU966" s="360"/>
      <c r="AV966" s="360"/>
      <c r="AW966" s="360"/>
      <c r="AX966" s="360"/>
      <c r="AY966" s="360"/>
      <c r="AZ966" s="360"/>
      <c r="BA966" s="360"/>
      <c r="BB966" s="360"/>
      <c r="BC966" s="360"/>
    </row>
    <row r="967">
      <c r="A967" s="125"/>
      <c r="B967" s="189"/>
      <c r="C967" s="124"/>
      <c r="D967" s="124"/>
      <c r="E967" s="124"/>
      <c r="F967" s="125"/>
      <c r="G967" s="189"/>
      <c r="H967" s="124"/>
      <c r="I967" s="124"/>
      <c r="J967" s="124"/>
      <c r="K967" s="102"/>
      <c r="L967" s="189"/>
      <c r="M967" s="124"/>
      <c r="N967" s="124"/>
      <c r="O967" s="124"/>
      <c r="P967" s="102"/>
      <c r="Q967" s="161"/>
      <c r="R967" s="124"/>
      <c r="S967" s="124"/>
      <c r="T967" s="124"/>
      <c r="U967" s="125"/>
      <c r="V967" s="189"/>
      <c r="W967" s="124"/>
      <c r="X967" s="124"/>
      <c r="Y967" s="124"/>
      <c r="Z967" s="125"/>
      <c r="AA967" s="189"/>
      <c r="AB967" s="124"/>
      <c r="AC967" s="124"/>
      <c r="AD967" s="124"/>
      <c r="AE967" s="125"/>
      <c r="AF967" s="189"/>
      <c r="AG967" s="124"/>
      <c r="AH967" s="124"/>
      <c r="AI967" s="124"/>
      <c r="AJ967" s="125"/>
      <c r="AK967" s="189"/>
      <c r="AL967" s="124"/>
      <c r="AM967" s="124"/>
      <c r="AN967" s="124"/>
      <c r="AO967" s="360"/>
      <c r="AP967" s="360"/>
      <c r="AQ967" s="360"/>
      <c r="AR967" s="360"/>
      <c r="AS967" s="360"/>
      <c r="AT967" s="360"/>
      <c r="AU967" s="360"/>
      <c r="AV967" s="360"/>
      <c r="AW967" s="360"/>
      <c r="AX967" s="360"/>
      <c r="AY967" s="360"/>
      <c r="AZ967" s="360"/>
      <c r="BA967" s="360"/>
      <c r="BB967" s="360"/>
      <c r="BC967" s="360"/>
    </row>
    <row r="968">
      <c r="A968" s="125"/>
      <c r="B968" s="189"/>
      <c r="C968" s="124"/>
      <c r="D968" s="124"/>
      <c r="E968" s="124"/>
      <c r="F968" s="125"/>
      <c r="G968" s="189"/>
      <c r="H968" s="124"/>
      <c r="I968" s="124"/>
      <c r="J968" s="124"/>
      <c r="K968" s="102"/>
      <c r="L968" s="189"/>
      <c r="M968" s="124"/>
      <c r="N968" s="124"/>
      <c r="O968" s="124"/>
      <c r="P968" s="102"/>
      <c r="Q968" s="161"/>
      <c r="R968" s="124"/>
      <c r="S968" s="124"/>
      <c r="T968" s="124"/>
      <c r="U968" s="125"/>
      <c r="V968" s="189"/>
      <c r="W968" s="124"/>
      <c r="X968" s="124"/>
      <c r="Y968" s="124"/>
      <c r="Z968" s="125"/>
      <c r="AA968" s="189"/>
      <c r="AB968" s="124"/>
      <c r="AC968" s="124"/>
      <c r="AD968" s="124"/>
      <c r="AE968" s="125"/>
      <c r="AF968" s="189"/>
      <c r="AG968" s="124"/>
      <c r="AH968" s="124"/>
      <c r="AI968" s="124"/>
      <c r="AJ968" s="125"/>
      <c r="AK968" s="189"/>
      <c r="AL968" s="124"/>
      <c r="AM968" s="124"/>
      <c r="AN968" s="124"/>
      <c r="AO968" s="360"/>
      <c r="AP968" s="360"/>
      <c r="AQ968" s="360"/>
      <c r="AR968" s="360"/>
      <c r="AS968" s="360"/>
      <c r="AT968" s="360"/>
      <c r="AU968" s="360"/>
      <c r="AV968" s="360"/>
      <c r="AW968" s="360"/>
      <c r="AX968" s="360"/>
      <c r="AY968" s="360"/>
      <c r="AZ968" s="360"/>
      <c r="BA968" s="360"/>
      <c r="BB968" s="360"/>
      <c r="BC968" s="360"/>
    </row>
    <row r="969">
      <c r="A969" s="125"/>
      <c r="B969" s="189"/>
      <c r="C969" s="124"/>
      <c r="D969" s="124"/>
      <c r="E969" s="124"/>
      <c r="F969" s="125"/>
      <c r="G969" s="189"/>
      <c r="H969" s="124"/>
      <c r="I969" s="124"/>
      <c r="J969" s="124"/>
      <c r="K969" s="102"/>
      <c r="L969" s="189"/>
      <c r="M969" s="124"/>
      <c r="N969" s="124"/>
      <c r="O969" s="124"/>
      <c r="P969" s="102"/>
      <c r="Q969" s="161"/>
      <c r="R969" s="124"/>
      <c r="S969" s="124"/>
      <c r="T969" s="124"/>
      <c r="U969" s="125"/>
      <c r="V969" s="189"/>
      <c r="W969" s="124"/>
      <c r="X969" s="124"/>
      <c r="Y969" s="124"/>
      <c r="Z969" s="125"/>
      <c r="AA969" s="189"/>
      <c r="AB969" s="124"/>
      <c r="AC969" s="124"/>
      <c r="AD969" s="124"/>
      <c r="AE969" s="125"/>
      <c r="AF969" s="189"/>
      <c r="AG969" s="124"/>
      <c r="AH969" s="124"/>
      <c r="AI969" s="124"/>
      <c r="AJ969" s="125"/>
      <c r="AK969" s="189"/>
      <c r="AL969" s="124"/>
      <c r="AM969" s="124"/>
      <c r="AN969" s="124"/>
      <c r="AO969" s="360"/>
      <c r="AP969" s="360"/>
      <c r="AQ969" s="360"/>
      <c r="AR969" s="360"/>
      <c r="AS969" s="360"/>
      <c r="AT969" s="360"/>
      <c r="AU969" s="360"/>
      <c r="AV969" s="360"/>
      <c r="AW969" s="360"/>
      <c r="AX969" s="360"/>
      <c r="AY969" s="360"/>
      <c r="AZ969" s="360"/>
      <c r="BA969" s="360"/>
      <c r="BB969" s="360"/>
      <c r="BC969" s="360"/>
    </row>
    <row r="970">
      <c r="A970" s="125"/>
      <c r="B970" s="189"/>
      <c r="C970" s="124"/>
      <c r="D970" s="124"/>
      <c r="E970" s="124"/>
      <c r="F970" s="125"/>
      <c r="G970" s="189"/>
      <c r="H970" s="124"/>
      <c r="I970" s="124"/>
      <c r="J970" s="124"/>
      <c r="K970" s="102"/>
      <c r="L970" s="189"/>
      <c r="M970" s="124"/>
      <c r="N970" s="124"/>
      <c r="O970" s="124"/>
      <c r="P970" s="102"/>
      <c r="Q970" s="161"/>
      <c r="R970" s="124"/>
      <c r="S970" s="124"/>
      <c r="T970" s="124"/>
      <c r="U970" s="125"/>
      <c r="V970" s="189"/>
      <c r="W970" s="124"/>
      <c r="X970" s="124"/>
      <c r="Y970" s="124"/>
      <c r="Z970" s="125"/>
      <c r="AA970" s="189"/>
      <c r="AB970" s="124"/>
      <c r="AC970" s="124"/>
      <c r="AD970" s="124"/>
      <c r="AE970" s="125"/>
      <c r="AF970" s="189"/>
      <c r="AG970" s="124"/>
      <c r="AH970" s="124"/>
      <c r="AI970" s="124"/>
      <c r="AJ970" s="125"/>
      <c r="AK970" s="189"/>
      <c r="AL970" s="124"/>
      <c r="AM970" s="124"/>
      <c r="AN970" s="124"/>
      <c r="AO970" s="360"/>
      <c r="AP970" s="360"/>
      <c r="AQ970" s="360"/>
      <c r="AR970" s="360"/>
      <c r="AS970" s="360"/>
      <c r="AT970" s="360"/>
      <c r="AU970" s="360"/>
      <c r="AV970" s="360"/>
      <c r="AW970" s="360"/>
      <c r="AX970" s="360"/>
      <c r="AY970" s="360"/>
      <c r="AZ970" s="360"/>
      <c r="BA970" s="360"/>
      <c r="BB970" s="360"/>
      <c r="BC970" s="360"/>
    </row>
    <row r="971">
      <c r="A971" s="125"/>
      <c r="B971" s="189"/>
      <c r="C971" s="124"/>
      <c r="D971" s="124"/>
      <c r="E971" s="124"/>
      <c r="F971" s="125"/>
      <c r="G971" s="189"/>
      <c r="H971" s="124"/>
      <c r="I971" s="124"/>
      <c r="J971" s="124"/>
      <c r="K971" s="102"/>
      <c r="L971" s="189"/>
      <c r="M971" s="124"/>
      <c r="N971" s="124"/>
      <c r="O971" s="124"/>
      <c r="P971" s="102"/>
      <c r="Q971" s="161"/>
      <c r="R971" s="124"/>
      <c r="S971" s="124"/>
      <c r="T971" s="124"/>
      <c r="U971" s="125"/>
      <c r="V971" s="189"/>
      <c r="W971" s="124"/>
      <c r="X971" s="124"/>
      <c r="Y971" s="124"/>
      <c r="Z971" s="125"/>
      <c r="AA971" s="189"/>
      <c r="AB971" s="124"/>
      <c r="AC971" s="124"/>
      <c r="AD971" s="124"/>
      <c r="AE971" s="125"/>
      <c r="AF971" s="189"/>
      <c r="AG971" s="124"/>
      <c r="AH971" s="124"/>
      <c r="AI971" s="124"/>
      <c r="AJ971" s="125"/>
      <c r="AK971" s="189"/>
      <c r="AL971" s="124"/>
      <c r="AM971" s="124"/>
      <c r="AN971" s="124"/>
      <c r="AO971" s="360"/>
      <c r="AP971" s="360"/>
      <c r="AQ971" s="360"/>
      <c r="AR971" s="360"/>
      <c r="AS971" s="360"/>
      <c r="AT971" s="360"/>
      <c r="AU971" s="360"/>
      <c r="AV971" s="360"/>
      <c r="AW971" s="360"/>
      <c r="AX971" s="360"/>
      <c r="AY971" s="360"/>
      <c r="AZ971" s="360"/>
      <c r="BA971" s="360"/>
      <c r="BB971" s="360"/>
      <c r="BC971" s="360"/>
    </row>
    <row r="972">
      <c r="A972" s="125"/>
      <c r="B972" s="189"/>
      <c r="C972" s="124"/>
      <c r="D972" s="124"/>
      <c r="E972" s="124"/>
      <c r="F972" s="125"/>
      <c r="G972" s="189"/>
      <c r="H972" s="124"/>
      <c r="I972" s="124"/>
      <c r="J972" s="124"/>
      <c r="K972" s="102"/>
      <c r="L972" s="189"/>
      <c r="M972" s="124"/>
      <c r="N972" s="124"/>
      <c r="O972" s="124"/>
      <c r="P972" s="102"/>
      <c r="Q972" s="161"/>
      <c r="R972" s="124"/>
      <c r="S972" s="124"/>
      <c r="T972" s="124"/>
      <c r="U972" s="125"/>
      <c r="V972" s="189"/>
      <c r="W972" s="124"/>
      <c r="X972" s="124"/>
      <c r="Y972" s="124"/>
      <c r="Z972" s="125"/>
      <c r="AA972" s="189"/>
      <c r="AB972" s="124"/>
      <c r="AC972" s="124"/>
      <c r="AD972" s="124"/>
      <c r="AE972" s="125"/>
      <c r="AF972" s="189"/>
      <c r="AG972" s="124"/>
      <c r="AH972" s="124"/>
      <c r="AI972" s="124"/>
      <c r="AJ972" s="125"/>
      <c r="AK972" s="189"/>
      <c r="AL972" s="124"/>
      <c r="AM972" s="124"/>
      <c r="AN972" s="124"/>
      <c r="AO972" s="360"/>
      <c r="AP972" s="360"/>
      <c r="AQ972" s="360"/>
      <c r="AR972" s="360"/>
      <c r="AS972" s="360"/>
      <c r="AT972" s="360"/>
      <c r="AU972" s="360"/>
      <c r="AV972" s="360"/>
      <c r="AW972" s="360"/>
      <c r="AX972" s="360"/>
      <c r="AY972" s="360"/>
      <c r="AZ972" s="360"/>
      <c r="BA972" s="360"/>
      <c r="BB972" s="360"/>
      <c r="BC972" s="360"/>
    </row>
    <row r="973">
      <c r="A973" s="125"/>
      <c r="B973" s="189"/>
      <c r="C973" s="124"/>
      <c r="D973" s="124"/>
      <c r="E973" s="124"/>
      <c r="F973" s="125"/>
      <c r="G973" s="189"/>
      <c r="H973" s="124"/>
      <c r="I973" s="124"/>
      <c r="J973" s="124"/>
      <c r="K973" s="102"/>
      <c r="L973" s="189"/>
      <c r="M973" s="124"/>
      <c r="N973" s="124"/>
      <c r="O973" s="124"/>
      <c r="P973" s="102"/>
      <c r="Q973" s="161"/>
      <c r="R973" s="124"/>
      <c r="S973" s="124"/>
      <c r="T973" s="124"/>
      <c r="U973" s="125"/>
      <c r="V973" s="189"/>
      <c r="W973" s="124"/>
      <c r="X973" s="124"/>
      <c r="Y973" s="124"/>
      <c r="Z973" s="125"/>
      <c r="AA973" s="189"/>
      <c r="AB973" s="124"/>
      <c r="AC973" s="124"/>
      <c r="AD973" s="124"/>
      <c r="AE973" s="125"/>
      <c r="AF973" s="189"/>
      <c r="AG973" s="124"/>
      <c r="AH973" s="124"/>
      <c r="AI973" s="124"/>
      <c r="AJ973" s="125"/>
      <c r="AK973" s="189"/>
      <c r="AL973" s="124"/>
      <c r="AM973" s="124"/>
      <c r="AN973" s="124"/>
      <c r="AO973" s="360"/>
      <c r="AP973" s="360"/>
      <c r="AQ973" s="360"/>
      <c r="AR973" s="360"/>
      <c r="AS973" s="360"/>
      <c r="AT973" s="360"/>
      <c r="AU973" s="360"/>
      <c r="AV973" s="360"/>
      <c r="AW973" s="360"/>
      <c r="AX973" s="360"/>
      <c r="AY973" s="360"/>
      <c r="AZ973" s="360"/>
      <c r="BA973" s="360"/>
      <c r="BB973" s="360"/>
      <c r="BC973" s="360"/>
    </row>
    <row r="974">
      <c r="A974" s="125"/>
      <c r="B974" s="189"/>
      <c r="C974" s="124"/>
      <c r="D974" s="124"/>
      <c r="E974" s="124"/>
      <c r="F974" s="125"/>
      <c r="G974" s="189"/>
      <c r="H974" s="124"/>
      <c r="I974" s="124"/>
      <c r="J974" s="124"/>
      <c r="K974" s="102"/>
      <c r="L974" s="189"/>
      <c r="M974" s="124"/>
      <c r="N974" s="124"/>
      <c r="O974" s="124"/>
      <c r="P974" s="102"/>
      <c r="Q974" s="161"/>
      <c r="R974" s="124"/>
      <c r="S974" s="124"/>
      <c r="T974" s="124"/>
      <c r="U974" s="125"/>
      <c r="V974" s="189"/>
      <c r="W974" s="124"/>
      <c r="X974" s="124"/>
      <c r="Y974" s="124"/>
      <c r="Z974" s="125"/>
      <c r="AA974" s="189"/>
      <c r="AB974" s="124"/>
      <c r="AC974" s="124"/>
      <c r="AD974" s="124"/>
      <c r="AE974" s="125"/>
      <c r="AF974" s="189"/>
      <c r="AG974" s="124"/>
      <c r="AH974" s="124"/>
      <c r="AI974" s="124"/>
      <c r="AJ974" s="125"/>
      <c r="AK974" s="189"/>
      <c r="AL974" s="124"/>
      <c r="AM974" s="124"/>
      <c r="AN974" s="124"/>
      <c r="AO974" s="360"/>
      <c r="AP974" s="360"/>
      <c r="AQ974" s="360"/>
      <c r="AR974" s="360"/>
      <c r="AS974" s="360"/>
      <c r="AT974" s="360"/>
      <c r="AU974" s="360"/>
      <c r="AV974" s="360"/>
      <c r="AW974" s="360"/>
      <c r="AX974" s="360"/>
      <c r="AY974" s="360"/>
      <c r="AZ974" s="360"/>
      <c r="BA974" s="360"/>
      <c r="BB974" s="360"/>
      <c r="BC974" s="360"/>
    </row>
    <row r="975">
      <c r="A975" s="125"/>
      <c r="B975" s="189"/>
      <c r="C975" s="124"/>
      <c r="D975" s="124"/>
      <c r="E975" s="124"/>
      <c r="F975" s="125"/>
      <c r="G975" s="189"/>
      <c r="H975" s="124"/>
      <c r="I975" s="124"/>
      <c r="J975" s="124"/>
      <c r="K975" s="102"/>
      <c r="L975" s="189"/>
      <c r="M975" s="124"/>
      <c r="N975" s="124"/>
      <c r="O975" s="124"/>
      <c r="P975" s="102"/>
      <c r="Q975" s="161"/>
      <c r="R975" s="124"/>
      <c r="S975" s="124"/>
      <c r="T975" s="124"/>
      <c r="U975" s="125"/>
      <c r="V975" s="189"/>
      <c r="W975" s="124"/>
      <c r="X975" s="124"/>
      <c r="Y975" s="124"/>
      <c r="Z975" s="125"/>
      <c r="AA975" s="189"/>
      <c r="AB975" s="124"/>
      <c r="AC975" s="124"/>
      <c r="AD975" s="124"/>
      <c r="AE975" s="125"/>
      <c r="AF975" s="189"/>
      <c r="AG975" s="124"/>
      <c r="AH975" s="124"/>
      <c r="AI975" s="124"/>
      <c r="AJ975" s="125"/>
      <c r="AK975" s="189"/>
      <c r="AL975" s="124"/>
      <c r="AM975" s="124"/>
      <c r="AN975" s="124"/>
      <c r="AO975" s="360"/>
      <c r="AP975" s="360"/>
      <c r="AQ975" s="360"/>
      <c r="AR975" s="360"/>
      <c r="AS975" s="360"/>
      <c r="AT975" s="360"/>
      <c r="AU975" s="360"/>
      <c r="AV975" s="360"/>
      <c r="AW975" s="360"/>
      <c r="AX975" s="360"/>
      <c r="AY975" s="360"/>
      <c r="AZ975" s="360"/>
      <c r="BA975" s="360"/>
      <c r="BB975" s="360"/>
      <c r="BC975" s="360"/>
    </row>
    <row r="976">
      <c r="A976" s="125"/>
      <c r="B976" s="189"/>
      <c r="C976" s="124"/>
      <c r="D976" s="124"/>
      <c r="E976" s="124"/>
      <c r="F976" s="125"/>
      <c r="G976" s="189"/>
      <c r="H976" s="124"/>
      <c r="I976" s="124"/>
      <c r="J976" s="124"/>
      <c r="K976" s="102"/>
      <c r="L976" s="189"/>
      <c r="M976" s="124"/>
      <c r="N976" s="124"/>
      <c r="O976" s="124"/>
      <c r="P976" s="102"/>
      <c r="Q976" s="161"/>
      <c r="R976" s="124"/>
      <c r="S976" s="124"/>
      <c r="T976" s="124"/>
      <c r="U976" s="125"/>
      <c r="V976" s="189"/>
      <c r="W976" s="124"/>
      <c r="X976" s="124"/>
      <c r="Y976" s="124"/>
      <c r="Z976" s="125"/>
      <c r="AA976" s="189"/>
      <c r="AB976" s="124"/>
      <c r="AC976" s="124"/>
      <c r="AD976" s="124"/>
      <c r="AE976" s="125"/>
      <c r="AF976" s="189"/>
      <c r="AG976" s="124"/>
      <c r="AH976" s="124"/>
      <c r="AI976" s="124"/>
      <c r="AJ976" s="125"/>
      <c r="AK976" s="189"/>
      <c r="AL976" s="124"/>
      <c r="AM976" s="124"/>
      <c r="AN976" s="124"/>
      <c r="AO976" s="360"/>
      <c r="AP976" s="360"/>
      <c r="AQ976" s="360"/>
      <c r="AR976" s="360"/>
      <c r="AS976" s="360"/>
      <c r="AT976" s="360"/>
      <c r="AU976" s="360"/>
      <c r="AV976" s="360"/>
      <c r="AW976" s="360"/>
      <c r="AX976" s="360"/>
      <c r="AY976" s="360"/>
      <c r="AZ976" s="360"/>
      <c r="BA976" s="360"/>
      <c r="BB976" s="360"/>
      <c r="BC976" s="360"/>
    </row>
    <row r="977">
      <c r="A977" s="125"/>
      <c r="B977" s="189"/>
      <c r="C977" s="124"/>
      <c r="D977" s="124"/>
      <c r="E977" s="124"/>
      <c r="F977" s="125"/>
      <c r="G977" s="189"/>
      <c r="H977" s="124"/>
      <c r="I977" s="124"/>
      <c r="J977" s="124"/>
      <c r="K977" s="102"/>
      <c r="L977" s="189"/>
      <c r="M977" s="124"/>
      <c r="N977" s="124"/>
      <c r="O977" s="124"/>
      <c r="P977" s="102"/>
      <c r="Q977" s="161"/>
      <c r="R977" s="124"/>
      <c r="S977" s="124"/>
      <c r="T977" s="124"/>
      <c r="U977" s="125"/>
      <c r="V977" s="189"/>
      <c r="W977" s="124"/>
      <c r="X977" s="124"/>
      <c r="Y977" s="124"/>
      <c r="Z977" s="125"/>
      <c r="AA977" s="189"/>
      <c r="AB977" s="124"/>
      <c r="AC977" s="124"/>
      <c r="AD977" s="124"/>
      <c r="AE977" s="125"/>
      <c r="AF977" s="189"/>
      <c r="AG977" s="124"/>
      <c r="AH977" s="124"/>
      <c r="AI977" s="124"/>
      <c r="AJ977" s="125"/>
      <c r="AK977" s="189"/>
      <c r="AL977" s="124"/>
      <c r="AM977" s="124"/>
      <c r="AN977" s="124"/>
      <c r="AO977" s="360"/>
      <c r="AP977" s="360"/>
      <c r="AQ977" s="360"/>
      <c r="AR977" s="360"/>
      <c r="AS977" s="360"/>
      <c r="AT977" s="360"/>
      <c r="AU977" s="360"/>
      <c r="AV977" s="360"/>
      <c r="AW977" s="360"/>
      <c r="AX977" s="360"/>
      <c r="AY977" s="360"/>
      <c r="AZ977" s="360"/>
      <c r="BA977" s="360"/>
      <c r="BB977" s="360"/>
      <c r="BC977" s="360"/>
    </row>
    <row r="978">
      <c r="A978" s="125"/>
      <c r="B978" s="189"/>
      <c r="C978" s="124"/>
      <c r="D978" s="124"/>
      <c r="E978" s="124"/>
      <c r="F978" s="125"/>
      <c r="G978" s="189"/>
      <c r="H978" s="124"/>
      <c r="I978" s="124"/>
      <c r="J978" s="124"/>
      <c r="K978" s="102"/>
      <c r="L978" s="189"/>
      <c r="M978" s="124"/>
      <c r="N978" s="124"/>
      <c r="O978" s="124"/>
      <c r="P978" s="102"/>
      <c r="Q978" s="161"/>
      <c r="R978" s="124"/>
      <c r="S978" s="124"/>
      <c r="T978" s="124"/>
      <c r="U978" s="125"/>
      <c r="V978" s="189"/>
      <c r="W978" s="124"/>
      <c r="X978" s="124"/>
      <c r="Y978" s="124"/>
      <c r="Z978" s="125"/>
      <c r="AA978" s="189"/>
      <c r="AB978" s="124"/>
      <c r="AC978" s="124"/>
      <c r="AD978" s="124"/>
      <c r="AE978" s="125"/>
      <c r="AF978" s="189"/>
      <c r="AG978" s="124"/>
      <c r="AH978" s="124"/>
      <c r="AI978" s="124"/>
      <c r="AJ978" s="125"/>
      <c r="AK978" s="189"/>
      <c r="AL978" s="124"/>
      <c r="AM978" s="124"/>
      <c r="AN978" s="124"/>
      <c r="AO978" s="360"/>
      <c r="AP978" s="360"/>
      <c r="AQ978" s="360"/>
      <c r="AR978" s="360"/>
      <c r="AS978" s="360"/>
      <c r="AT978" s="360"/>
      <c r="AU978" s="360"/>
      <c r="AV978" s="360"/>
      <c r="AW978" s="360"/>
      <c r="AX978" s="360"/>
      <c r="AY978" s="360"/>
      <c r="AZ978" s="360"/>
      <c r="BA978" s="360"/>
      <c r="BB978" s="360"/>
      <c r="BC978" s="360"/>
    </row>
    <row r="979">
      <c r="A979" s="125"/>
      <c r="B979" s="189"/>
      <c r="C979" s="124"/>
      <c r="D979" s="124"/>
      <c r="E979" s="124"/>
      <c r="F979" s="125"/>
      <c r="G979" s="189"/>
      <c r="H979" s="124"/>
      <c r="I979" s="124"/>
      <c r="J979" s="124"/>
      <c r="K979" s="102"/>
      <c r="L979" s="189"/>
      <c r="M979" s="124"/>
      <c r="N979" s="124"/>
      <c r="O979" s="124"/>
      <c r="P979" s="102"/>
      <c r="Q979" s="161"/>
      <c r="R979" s="124"/>
      <c r="S979" s="124"/>
      <c r="T979" s="124"/>
      <c r="U979" s="125"/>
      <c r="V979" s="189"/>
      <c r="W979" s="124"/>
      <c r="X979" s="124"/>
      <c r="Y979" s="124"/>
      <c r="Z979" s="125"/>
      <c r="AA979" s="189"/>
      <c r="AB979" s="124"/>
      <c r="AC979" s="124"/>
      <c r="AD979" s="124"/>
      <c r="AE979" s="125"/>
      <c r="AF979" s="189"/>
      <c r="AG979" s="124"/>
      <c r="AH979" s="124"/>
      <c r="AI979" s="124"/>
      <c r="AJ979" s="125"/>
      <c r="AK979" s="189"/>
      <c r="AL979" s="124"/>
      <c r="AM979" s="124"/>
      <c r="AN979" s="124"/>
      <c r="AO979" s="360"/>
      <c r="AP979" s="360"/>
      <c r="AQ979" s="360"/>
      <c r="AR979" s="360"/>
      <c r="AS979" s="360"/>
      <c r="AT979" s="360"/>
      <c r="AU979" s="360"/>
      <c r="AV979" s="360"/>
      <c r="AW979" s="360"/>
      <c r="AX979" s="360"/>
      <c r="AY979" s="360"/>
      <c r="AZ979" s="360"/>
      <c r="BA979" s="360"/>
      <c r="BB979" s="360"/>
      <c r="BC979" s="360"/>
    </row>
    <row r="980">
      <c r="A980" s="125"/>
      <c r="B980" s="189"/>
      <c r="C980" s="124"/>
      <c r="D980" s="124"/>
      <c r="E980" s="124"/>
      <c r="F980" s="125"/>
      <c r="G980" s="189"/>
      <c r="H980" s="124"/>
      <c r="I980" s="124"/>
      <c r="J980" s="124"/>
      <c r="K980" s="102"/>
      <c r="L980" s="189"/>
      <c r="M980" s="124"/>
      <c r="N980" s="124"/>
      <c r="O980" s="124"/>
      <c r="P980" s="102"/>
      <c r="Q980" s="161"/>
      <c r="R980" s="124"/>
      <c r="S980" s="124"/>
      <c r="T980" s="124"/>
      <c r="U980" s="125"/>
      <c r="V980" s="189"/>
      <c r="W980" s="124"/>
      <c r="X980" s="124"/>
      <c r="Y980" s="124"/>
      <c r="Z980" s="125"/>
      <c r="AA980" s="189"/>
      <c r="AB980" s="124"/>
      <c r="AC980" s="124"/>
      <c r="AD980" s="124"/>
      <c r="AE980" s="125"/>
      <c r="AF980" s="189"/>
      <c r="AG980" s="124"/>
      <c r="AH980" s="124"/>
      <c r="AI980" s="124"/>
      <c r="AJ980" s="125"/>
      <c r="AK980" s="189"/>
      <c r="AL980" s="124"/>
      <c r="AM980" s="124"/>
      <c r="AN980" s="124"/>
      <c r="AO980" s="360"/>
      <c r="AP980" s="360"/>
      <c r="AQ980" s="360"/>
      <c r="AR980" s="360"/>
      <c r="AS980" s="360"/>
      <c r="AT980" s="360"/>
      <c r="AU980" s="360"/>
      <c r="AV980" s="360"/>
      <c r="AW980" s="360"/>
      <c r="AX980" s="360"/>
      <c r="AY980" s="360"/>
      <c r="AZ980" s="360"/>
      <c r="BA980" s="360"/>
      <c r="BB980" s="360"/>
      <c r="BC980" s="360"/>
    </row>
    <row r="981">
      <c r="A981" s="125"/>
      <c r="B981" s="189"/>
      <c r="C981" s="124"/>
      <c r="D981" s="124"/>
      <c r="E981" s="124"/>
      <c r="F981" s="125"/>
      <c r="G981" s="189"/>
      <c r="H981" s="124"/>
      <c r="I981" s="124"/>
      <c r="J981" s="124"/>
      <c r="K981" s="102"/>
      <c r="L981" s="189"/>
      <c r="M981" s="124"/>
      <c r="N981" s="124"/>
      <c r="O981" s="124"/>
      <c r="P981" s="102"/>
      <c r="Q981" s="161"/>
      <c r="R981" s="124"/>
      <c r="S981" s="124"/>
      <c r="T981" s="124"/>
      <c r="U981" s="125"/>
      <c r="V981" s="189"/>
      <c r="W981" s="124"/>
      <c r="X981" s="124"/>
      <c r="Y981" s="124"/>
      <c r="Z981" s="125"/>
      <c r="AA981" s="189"/>
      <c r="AB981" s="124"/>
      <c r="AC981" s="124"/>
      <c r="AD981" s="124"/>
      <c r="AE981" s="125"/>
      <c r="AF981" s="189"/>
      <c r="AG981" s="124"/>
      <c r="AH981" s="124"/>
      <c r="AI981" s="124"/>
      <c r="AJ981" s="125"/>
      <c r="AK981" s="189"/>
      <c r="AL981" s="124"/>
      <c r="AM981" s="124"/>
      <c r="AN981" s="124"/>
      <c r="AO981" s="360"/>
      <c r="AP981" s="360"/>
      <c r="AQ981" s="360"/>
      <c r="AR981" s="360"/>
      <c r="AS981" s="360"/>
      <c r="AT981" s="360"/>
      <c r="AU981" s="360"/>
      <c r="AV981" s="360"/>
      <c r="AW981" s="360"/>
      <c r="AX981" s="360"/>
      <c r="AY981" s="360"/>
      <c r="AZ981" s="360"/>
      <c r="BA981" s="360"/>
      <c r="BB981" s="360"/>
      <c r="BC981" s="360"/>
    </row>
    <row r="982">
      <c r="A982" s="125"/>
      <c r="B982" s="189"/>
      <c r="C982" s="124"/>
      <c r="D982" s="124"/>
      <c r="E982" s="124"/>
      <c r="F982" s="125"/>
      <c r="G982" s="189"/>
      <c r="H982" s="124"/>
      <c r="I982" s="124"/>
      <c r="J982" s="124"/>
      <c r="K982" s="102"/>
      <c r="L982" s="189"/>
      <c r="M982" s="124"/>
      <c r="N982" s="124"/>
      <c r="O982" s="124"/>
      <c r="P982" s="102"/>
      <c r="Q982" s="161"/>
      <c r="R982" s="124"/>
      <c r="S982" s="124"/>
      <c r="T982" s="124"/>
      <c r="U982" s="125"/>
      <c r="V982" s="189"/>
      <c r="W982" s="124"/>
      <c r="X982" s="124"/>
      <c r="Y982" s="124"/>
      <c r="Z982" s="125"/>
      <c r="AA982" s="189"/>
      <c r="AB982" s="124"/>
      <c r="AC982" s="124"/>
      <c r="AD982" s="124"/>
      <c r="AE982" s="125"/>
      <c r="AF982" s="189"/>
      <c r="AG982" s="124"/>
      <c r="AH982" s="124"/>
      <c r="AI982" s="124"/>
      <c r="AJ982" s="125"/>
      <c r="AK982" s="189"/>
      <c r="AL982" s="124"/>
      <c r="AM982" s="124"/>
      <c r="AN982" s="124"/>
      <c r="AO982" s="360"/>
      <c r="AP982" s="360"/>
      <c r="AQ982" s="360"/>
      <c r="AR982" s="360"/>
      <c r="AS982" s="360"/>
      <c r="AT982" s="360"/>
      <c r="AU982" s="360"/>
      <c r="AV982" s="360"/>
      <c r="AW982" s="360"/>
      <c r="AX982" s="360"/>
      <c r="AY982" s="360"/>
      <c r="AZ982" s="360"/>
      <c r="BA982" s="360"/>
      <c r="BB982" s="360"/>
      <c r="BC982" s="360"/>
    </row>
    <row r="983">
      <c r="A983" s="125"/>
      <c r="B983" s="189"/>
      <c r="C983" s="124"/>
      <c r="D983" s="124"/>
      <c r="E983" s="124"/>
      <c r="F983" s="125"/>
      <c r="G983" s="189"/>
      <c r="H983" s="124"/>
      <c r="I983" s="124"/>
      <c r="J983" s="124"/>
      <c r="K983" s="102"/>
      <c r="L983" s="189"/>
      <c r="M983" s="124"/>
      <c r="N983" s="124"/>
      <c r="O983" s="124"/>
      <c r="P983" s="102"/>
      <c r="Q983" s="161"/>
      <c r="R983" s="124"/>
      <c r="S983" s="124"/>
      <c r="T983" s="124"/>
      <c r="U983" s="125"/>
      <c r="V983" s="189"/>
      <c r="W983" s="124"/>
      <c r="X983" s="124"/>
      <c r="Y983" s="124"/>
      <c r="Z983" s="125"/>
      <c r="AA983" s="189"/>
      <c r="AB983" s="124"/>
      <c r="AC983" s="124"/>
      <c r="AD983" s="124"/>
      <c r="AE983" s="125"/>
      <c r="AF983" s="189"/>
      <c r="AG983" s="124"/>
      <c r="AH983" s="124"/>
      <c r="AI983" s="124"/>
      <c r="AJ983" s="125"/>
      <c r="AK983" s="189"/>
      <c r="AL983" s="124"/>
      <c r="AM983" s="124"/>
      <c r="AN983" s="124"/>
      <c r="AO983" s="360"/>
      <c r="AP983" s="360"/>
      <c r="AQ983" s="360"/>
      <c r="AR983" s="360"/>
      <c r="AS983" s="360"/>
      <c r="AT983" s="360"/>
      <c r="AU983" s="360"/>
      <c r="AV983" s="360"/>
      <c r="AW983" s="360"/>
      <c r="AX983" s="360"/>
      <c r="AY983" s="360"/>
      <c r="AZ983" s="360"/>
      <c r="BA983" s="360"/>
      <c r="BB983" s="360"/>
      <c r="BC983" s="360"/>
    </row>
    <row r="984">
      <c r="A984" s="125"/>
      <c r="B984" s="189"/>
      <c r="C984" s="124"/>
      <c r="D984" s="124"/>
      <c r="E984" s="124"/>
      <c r="F984" s="125"/>
      <c r="G984" s="189"/>
      <c r="H984" s="124"/>
      <c r="I984" s="124"/>
      <c r="J984" s="124"/>
      <c r="K984" s="102"/>
      <c r="L984" s="189"/>
      <c r="M984" s="124"/>
      <c r="N984" s="124"/>
      <c r="O984" s="124"/>
      <c r="P984" s="102"/>
      <c r="Q984" s="161"/>
      <c r="R984" s="124"/>
      <c r="S984" s="124"/>
      <c r="T984" s="124"/>
      <c r="U984" s="125"/>
      <c r="V984" s="189"/>
      <c r="W984" s="124"/>
      <c r="X984" s="124"/>
      <c r="Y984" s="124"/>
      <c r="Z984" s="125"/>
      <c r="AA984" s="189"/>
      <c r="AB984" s="124"/>
      <c r="AC984" s="124"/>
      <c r="AD984" s="124"/>
      <c r="AE984" s="125"/>
      <c r="AF984" s="189"/>
      <c r="AG984" s="124"/>
      <c r="AH984" s="124"/>
      <c r="AI984" s="124"/>
      <c r="AJ984" s="125"/>
      <c r="AK984" s="189"/>
      <c r="AL984" s="124"/>
      <c r="AM984" s="124"/>
      <c r="AN984" s="124"/>
      <c r="AO984" s="360"/>
      <c r="AP984" s="360"/>
      <c r="AQ984" s="360"/>
      <c r="AR984" s="360"/>
      <c r="AS984" s="360"/>
      <c r="AT984" s="360"/>
      <c r="AU984" s="360"/>
      <c r="AV984" s="360"/>
      <c r="AW984" s="360"/>
      <c r="AX984" s="360"/>
      <c r="AY984" s="360"/>
      <c r="AZ984" s="360"/>
      <c r="BA984" s="360"/>
      <c r="BB984" s="360"/>
      <c r="BC984" s="360"/>
    </row>
    <row r="985">
      <c r="A985" s="125"/>
      <c r="B985" s="189"/>
      <c r="C985" s="124"/>
      <c r="D985" s="124"/>
      <c r="E985" s="124"/>
      <c r="F985" s="125"/>
      <c r="G985" s="189"/>
      <c r="H985" s="124"/>
      <c r="I985" s="124"/>
      <c r="J985" s="124"/>
      <c r="K985" s="102"/>
      <c r="L985" s="189"/>
      <c r="M985" s="124"/>
      <c r="N985" s="124"/>
      <c r="O985" s="124"/>
      <c r="P985" s="102"/>
      <c r="Q985" s="161"/>
      <c r="R985" s="124"/>
      <c r="S985" s="124"/>
      <c r="T985" s="124"/>
      <c r="U985" s="125"/>
      <c r="V985" s="189"/>
      <c r="W985" s="124"/>
      <c r="X985" s="124"/>
      <c r="Y985" s="124"/>
      <c r="Z985" s="125"/>
      <c r="AA985" s="189"/>
      <c r="AB985" s="124"/>
      <c r="AC985" s="124"/>
      <c r="AD985" s="124"/>
      <c r="AE985" s="125"/>
      <c r="AF985" s="189"/>
      <c r="AG985" s="124"/>
      <c r="AH985" s="124"/>
      <c r="AI985" s="124"/>
      <c r="AJ985" s="125"/>
      <c r="AK985" s="189"/>
      <c r="AL985" s="124"/>
      <c r="AM985" s="124"/>
      <c r="AN985" s="124"/>
      <c r="AO985" s="360"/>
      <c r="AP985" s="360"/>
      <c r="AQ985" s="360"/>
      <c r="AR985" s="360"/>
      <c r="AS985" s="360"/>
      <c r="AT985" s="360"/>
      <c r="AU985" s="360"/>
      <c r="AV985" s="360"/>
      <c r="AW985" s="360"/>
      <c r="AX985" s="360"/>
      <c r="AY985" s="360"/>
      <c r="AZ985" s="360"/>
      <c r="BA985" s="360"/>
      <c r="BB985" s="360"/>
      <c r="BC985" s="360"/>
    </row>
    <row r="986">
      <c r="A986" s="125"/>
      <c r="B986" s="189"/>
      <c r="C986" s="124"/>
      <c r="D986" s="124"/>
      <c r="E986" s="124"/>
      <c r="F986" s="125"/>
      <c r="G986" s="189"/>
      <c r="H986" s="124"/>
      <c r="I986" s="124"/>
      <c r="J986" s="124"/>
      <c r="K986" s="102"/>
      <c r="L986" s="189"/>
      <c r="M986" s="124"/>
      <c r="N986" s="124"/>
      <c r="O986" s="124"/>
      <c r="P986" s="102"/>
      <c r="Q986" s="161"/>
      <c r="R986" s="124"/>
      <c r="S986" s="124"/>
      <c r="T986" s="124"/>
      <c r="U986" s="125"/>
      <c r="V986" s="189"/>
      <c r="W986" s="124"/>
      <c r="X986" s="124"/>
      <c r="Y986" s="124"/>
      <c r="Z986" s="125"/>
      <c r="AA986" s="189"/>
      <c r="AB986" s="124"/>
      <c r="AC986" s="124"/>
      <c r="AD986" s="124"/>
      <c r="AE986" s="125"/>
      <c r="AF986" s="189"/>
      <c r="AG986" s="124"/>
      <c r="AH986" s="124"/>
      <c r="AI986" s="124"/>
      <c r="AJ986" s="125"/>
      <c r="AK986" s="189"/>
      <c r="AL986" s="124"/>
      <c r="AM986" s="124"/>
      <c r="AN986" s="124"/>
      <c r="AO986" s="360"/>
      <c r="AP986" s="360"/>
      <c r="AQ986" s="360"/>
      <c r="AR986" s="360"/>
      <c r="AS986" s="360"/>
      <c r="AT986" s="360"/>
      <c r="AU986" s="360"/>
      <c r="AV986" s="360"/>
      <c r="AW986" s="360"/>
      <c r="AX986" s="360"/>
      <c r="AY986" s="360"/>
      <c r="AZ986" s="360"/>
      <c r="BA986" s="360"/>
      <c r="BB986" s="360"/>
      <c r="BC986" s="360"/>
    </row>
    <row r="987">
      <c r="A987" s="125"/>
      <c r="B987" s="189"/>
      <c r="C987" s="124"/>
      <c r="D987" s="124"/>
      <c r="E987" s="124"/>
      <c r="F987" s="125"/>
      <c r="G987" s="189"/>
      <c r="H987" s="124"/>
      <c r="I987" s="124"/>
      <c r="J987" s="124"/>
      <c r="K987" s="102"/>
      <c r="L987" s="189"/>
      <c r="M987" s="124"/>
      <c r="N987" s="124"/>
      <c r="O987" s="124"/>
      <c r="P987" s="102"/>
      <c r="Q987" s="161"/>
      <c r="R987" s="124"/>
      <c r="S987" s="124"/>
      <c r="T987" s="124"/>
      <c r="U987" s="125"/>
      <c r="V987" s="189"/>
      <c r="W987" s="124"/>
      <c r="X987" s="124"/>
      <c r="Y987" s="124"/>
      <c r="Z987" s="125"/>
      <c r="AA987" s="189"/>
      <c r="AB987" s="124"/>
      <c r="AC987" s="124"/>
      <c r="AD987" s="124"/>
      <c r="AE987" s="125"/>
      <c r="AF987" s="189"/>
      <c r="AG987" s="124"/>
      <c r="AH987" s="124"/>
      <c r="AI987" s="124"/>
      <c r="AJ987" s="125"/>
      <c r="AK987" s="189"/>
      <c r="AL987" s="124"/>
      <c r="AM987" s="124"/>
      <c r="AN987" s="124"/>
      <c r="AO987" s="360"/>
      <c r="AP987" s="360"/>
      <c r="AQ987" s="360"/>
      <c r="AR987" s="360"/>
      <c r="AS987" s="360"/>
      <c r="AT987" s="360"/>
      <c r="AU987" s="360"/>
      <c r="AV987" s="360"/>
      <c r="AW987" s="360"/>
      <c r="AX987" s="360"/>
      <c r="AY987" s="360"/>
      <c r="AZ987" s="360"/>
      <c r="BA987" s="360"/>
      <c r="BB987" s="360"/>
      <c r="BC987" s="360"/>
    </row>
    <row r="988">
      <c r="A988" s="125"/>
      <c r="B988" s="189"/>
      <c r="C988" s="124"/>
      <c r="D988" s="124"/>
      <c r="E988" s="124"/>
      <c r="F988" s="125"/>
      <c r="G988" s="189"/>
      <c r="H988" s="124"/>
      <c r="I988" s="124"/>
      <c r="J988" s="124"/>
      <c r="K988" s="102"/>
      <c r="L988" s="189"/>
      <c r="M988" s="124"/>
      <c r="N988" s="124"/>
      <c r="O988" s="124"/>
      <c r="P988" s="102"/>
      <c r="Q988" s="161"/>
      <c r="R988" s="124"/>
      <c r="S988" s="124"/>
      <c r="T988" s="124"/>
      <c r="U988" s="125"/>
      <c r="V988" s="189"/>
      <c r="W988" s="124"/>
      <c r="X988" s="124"/>
      <c r="Y988" s="124"/>
      <c r="Z988" s="125"/>
      <c r="AA988" s="189"/>
      <c r="AB988" s="124"/>
      <c r="AC988" s="124"/>
      <c r="AD988" s="124"/>
      <c r="AE988" s="125"/>
      <c r="AF988" s="189"/>
      <c r="AG988" s="124"/>
      <c r="AH988" s="124"/>
      <c r="AI988" s="124"/>
      <c r="AJ988" s="125"/>
      <c r="AK988" s="189"/>
      <c r="AL988" s="124"/>
      <c r="AM988" s="124"/>
      <c r="AN988" s="124"/>
      <c r="AO988" s="360"/>
      <c r="AP988" s="360"/>
      <c r="AQ988" s="360"/>
      <c r="AR988" s="360"/>
      <c r="AS988" s="360"/>
      <c r="AT988" s="360"/>
      <c r="AU988" s="360"/>
      <c r="AV988" s="360"/>
      <c r="AW988" s="360"/>
      <c r="AX988" s="360"/>
      <c r="AY988" s="360"/>
      <c r="AZ988" s="360"/>
      <c r="BA988" s="360"/>
      <c r="BB988" s="360"/>
      <c r="BC988" s="360"/>
    </row>
    <row r="989">
      <c r="A989" s="125"/>
      <c r="B989" s="189"/>
      <c r="C989" s="124"/>
      <c r="D989" s="124"/>
      <c r="E989" s="124"/>
      <c r="F989" s="125"/>
      <c r="G989" s="189"/>
      <c r="H989" s="124"/>
      <c r="I989" s="124"/>
      <c r="J989" s="124"/>
      <c r="K989" s="102"/>
      <c r="L989" s="189"/>
      <c r="M989" s="124"/>
      <c r="N989" s="124"/>
      <c r="O989" s="124"/>
      <c r="P989" s="102"/>
      <c r="Q989" s="161"/>
      <c r="R989" s="124"/>
      <c r="S989" s="124"/>
      <c r="T989" s="124"/>
      <c r="U989" s="125"/>
      <c r="V989" s="189"/>
      <c r="W989" s="124"/>
      <c r="X989" s="124"/>
      <c r="Y989" s="124"/>
      <c r="Z989" s="125"/>
      <c r="AA989" s="189"/>
      <c r="AB989" s="124"/>
      <c r="AC989" s="124"/>
      <c r="AD989" s="124"/>
      <c r="AE989" s="125"/>
      <c r="AF989" s="189"/>
      <c r="AG989" s="124"/>
      <c r="AH989" s="124"/>
      <c r="AI989" s="124"/>
      <c r="AJ989" s="125"/>
      <c r="AK989" s="189"/>
      <c r="AL989" s="124"/>
      <c r="AM989" s="124"/>
      <c r="AN989" s="124"/>
      <c r="AO989" s="360"/>
      <c r="AP989" s="360"/>
      <c r="AQ989" s="360"/>
      <c r="AR989" s="360"/>
      <c r="AS989" s="360"/>
      <c r="AT989" s="360"/>
      <c r="AU989" s="360"/>
      <c r="AV989" s="360"/>
      <c r="AW989" s="360"/>
      <c r="AX989" s="360"/>
      <c r="AY989" s="360"/>
      <c r="AZ989" s="360"/>
      <c r="BA989" s="360"/>
      <c r="BB989" s="360"/>
      <c r="BC989" s="360"/>
    </row>
    <row r="990">
      <c r="A990" s="125"/>
      <c r="B990" s="189"/>
      <c r="C990" s="124"/>
      <c r="D990" s="124"/>
      <c r="E990" s="124"/>
      <c r="F990" s="125"/>
      <c r="G990" s="189"/>
      <c r="H990" s="124"/>
      <c r="I990" s="124"/>
      <c r="J990" s="124"/>
      <c r="K990" s="102"/>
      <c r="L990" s="189"/>
      <c r="M990" s="124"/>
      <c r="N990" s="124"/>
      <c r="O990" s="124"/>
      <c r="P990" s="102"/>
      <c r="Q990" s="161"/>
      <c r="R990" s="124"/>
      <c r="S990" s="124"/>
      <c r="T990" s="124"/>
      <c r="U990" s="125"/>
      <c r="V990" s="189"/>
      <c r="W990" s="124"/>
      <c r="X990" s="124"/>
      <c r="Y990" s="124"/>
      <c r="Z990" s="125"/>
      <c r="AA990" s="189"/>
      <c r="AB990" s="124"/>
      <c r="AC990" s="124"/>
      <c r="AD990" s="124"/>
      <c r="AE990" s="125"/>
      <c r="AF990" s="189"/>
      <c r="AG990" s="124"/>
      <c r="AH990" s="124"/>
      <c r="AI990" s="124"/>
      <c r="AJ990" s="125"/>
      <c r="AK990" s="189"/>
      <c r="AL990" s="124"/>
      <c r="AM990" s="124"/>
      <c r="AN990" s="124"/>
      <c r="AO990" s="360"/>
      <c r="AP990" s="360"/>
      <c r="AQ990" s="360"/>
      <c r="AR990" s="360"/>
      <c r="AS990" s="360"/>
      <c r="AT990" s="360"/>
      <c r="AU990" s="360"/>
      <c r="AV990" s="360"/>
      <c r="AW990" s="360"/>
      <c r="AX990" s="360"/>
      <c r="AY990" s="360"/>
      <c r="AZ990" s="360"/>
      <c r="BA990" s="360"/>
      <c r="BB990" s="360"/>
      <c r="BC990" s="360"/>
    </row>
    <row r="991">
      <c r="A991" s="125"/>
      <c r="B991" s="189"/>
      <c r="C991" s="124"/>
      <c r="D991" s="124"/>
      <c r="E991" s="124"/>
      <c r="F991" s="125"/>
      <c r="G991" s="189"/>
      <c r="H991" s="124"/>
      <c r="I991" s="124"/>
      <c r="J991" s="124"/>
      <c r="K991" s="102"/>
      <c r="L991" s="189"/>
      <c r="M991" s="124"/>
      <c r="N991" s="124"/>
      <c r="O991" s="124"/>
      <c r="P991" s="102"/>
      <c r="Q991" s="161"/>
      <c r="R991" s="124"/>
      <c r="S991" s="124"/>
      <c r="T991" s="124"/>
      <c r="U991" s="125"/>
      <c r="V991" s="189"/>
      <c r="W991" s="124"/>
      <c r="X991" s="124"/>
      <c r="Y991" s="124"/>
      <c r="Z991" s="125"/>
      <c r="AA991" s="189"/>
      <c r="AB991" s="124"/>
      <c r="AC991" s="124"/>
      <c r="AD991" s="124"/>
      <c r="AE991" s="125"/>
      <c r="AF991" s="189"/>
      <c r="AG991" s="124"/>
      <c r="AH991" s="124"/>
      <c r="AI991" s="124"/>
      <c r="AJ991" s="125"/>
      <c r="AK991" s="189"/>
      <c r="AL991" s="124"/>
      <c r="AM991" s="124"/>
      <c r="AN991" s="124"/>
      <c r="AO991" s="360"/>
      <c r="AP991" s="360"/>
      <c r="AQ991" s="360"/>
      <c r="AR991" s="360"/>
      <c r="AS991" s="360"/>
      <c r="AT991" s="360"/>
      <c r="AU991" s="360"/>
      <c r="AV991" s="360"/>
      <c r="AW991" s="360"/>
      <c r="AX991" s="360"/>
      <c r="AY991" s="360"/>
      <c r="AZ991" s="360"/>
      <c r="BA991" s="360"/>
      <c r="BB991" s="360"/>
      <c r="BC991" s="360"/>
    </row>
    <row r="992">
      <c r="A992" s="125"/>
      <c r="B992" s="189"/>
      <c r="C992" s="124"/>
      <c r="D992" s="124"/>
      <c r="E992" s="124"/>
      <c r="F992" s="125"/>
      <c r="G992" s="189"/>
      <c r="H992" s="124"/>
      <c r="I992" s="124"/>
      <c r="J992" s="124"/>
      <c r="K992" s="102"/>
      <c r="L992" s="189"/>
      <c r="M992" s="124"/>
      <c r="N992" s="124"/>
      <c r="O992" s="124"/>
      <c r="P992" s="102"/>
      <c r="Q992" s="161"/>
      <c r="R992" s="124"/>
      <c r="S992" s="124"/>
      <c r="T992" s="124"/>
      <c r="U992" s="125"/>
      <c r="V992" s="189"/>
      <c r="W992" s="124"/>
      <c r="X992" s="124"/>
      <c r="Y992" s="124"/>
      <c r="Z992" s="125"/>
      <c r="AA992" s="189"/>
      <c r="AB992" s="124"/>
      <c r="AC992" s="124"/>
      <c r="AD992" s="124"/>
      <c r="AE992" s="125"/>
      <c r="AF992" s="189"/>
      <c r="AG992" s="124"/>
      <c r="AH992" s="124"/>
      <c r="AI992" s="124"/>
      <c r="AJ992" s="125"/>
      <c r="AK992" s="189"/>
      <c r="AL992" s="124"/>
      <c r="AM992" s="124"/>
      <c r="AN992" s="124"/>
      <c r="AO992" s="360"/>
      <c r="AP992" s="360"/>
      <c r="AQ992" s="360"/>
      <c r="AR992" s="360"/>
      <c r="AS992" s="360"/>
      <c r="AT992" s="360"/>
      <c r="AU992" s="360"/>
      <c r="AV992" s="360"/>
      <c r="AW992" s="360"/>
      <c r="AX992" s="360"/>
      <c r="AY992" s="360"/>
      <c r="AZ992" s="360"/>
      <c r="BA992" s="360"/>
      <c r="BB992" s="360"/>
      <c r="BC992" s="360"/>
    </row>
    <row r="993">
      <c r="A993" s="125"/>
      <c r="B993" s="189"/>
      <c r="C993" s="124"/>
      <c r="D993" s="124"/>
      <c r="E993" s="124"/>
      <c r="F993" s="125"/>
      <c r="G993" s="189"/>
      <c r="H993" s="124"/>
      <c r="I993" s="124"/>
      <c r="J993" s="124"/>
      <c r="K993" s="102"/>
      <c r="L993" s="189"/>
      <c r="M993" s="124"/>
      <c r="N993" s="124"/>
      <c r="O993" s="124"/>
      <c r="P993" s="102"/>
      <c r="Q993" s="161"/>
      <c r="R993" s="124"/>
      <c r="S993" s="124"/>
      <c r="T993" s="124"/>
      <c r="U993" s="125"/>
      <c r="V993" s="189"/>
      <c r="W993" s="124"/>
      <c r="X993" s="124"/>
      <c r="Y993" s="124"/>
      <c r="Z993" s="125"/>
      <c r="AA993" s="189"/>
      <c r="AB993" s="124"/>
      <c r="AC993" s="124"/>
      <c r="AD993" s="124"/>
      <c r="AE993" s="125"/>
      <c r="AF993" s="189"/>
      <c r="AG993" s="124"/>
      <c r="AH993" s="124"/>
      <c r="AI993" s="124"/>
      <c r="AJ993" s="125"/>
      <c r="AK993" s="189"/>
      <c r="AL993" s="124"/>
      <c r="AM993" s="124"/>
      <c r="AN993" s="124"/>
      <c r="AO993" s="360"/>
      <c r="AP993" s="360"/>
      <c r="AQ993" s="360"/>
      <c r="AR993" s="360"/>
      <c r="AS993" s="360"/>
      <c r="AT993" s="360"/>
      <c r="AU993" s="360"/>
      <c r="AV993" s="360"/>
      <c r="AW993" s="360"/>
      <c r="AX993" s="360"/>
      <c r="AY993" s="360"/>
      <c r="AZ993" s="360"/>
      <c r="BA993" s="360"/>
      <c r="BB993" s="360"/>
      <c r="BC993" s="360"/>
    </row>
    <row r="994">
      <c r="A994" s="125"/>
      <c r="B994" s="189"/>
      <c r="C994" s="124"/>
      <c r="D994" s="124"/>
      <c r="E994" s="124"/>
      <c r="F994" s="125"/>
      <c r="G994" s="189"/>
      <c r="H994" s="124"/>
      <c r="I994" s="124"/>
      <c r="J994" s="124"/>
      <c r="K994" s="102"/>
      <c r="L994" s="189"/>
      <c r="M994" s="124"/>
      <c r="N994" s="124"/>
      <c r="O994" s="124"/>
      <c r="P994" s="102"/>
      <c r="Q994" s="161"/>
      <c r="R994" s="124"/>
      <c r="S994" s="124"/>
      <c r="T994" s="124"/>
      <c r="U994" s="125"/>
      <c r="V994" s="189"/>
      <c r="W994" s="124"/>
      <c r="X994" s="124"/>
      <c r="Y994" s="124"/>
      <c r="Z994" s="125"/>
      <c r="AA994" s="189"/>
      <c r="AB994" s="124"/>
      <c r="AC994" s="124"/>
      <c r="AD994" s="124"/>
      <c r="AE994" s="125"/>
      <c r="AF994" s="189"/>
      <c r="AG994" s="124"/>
      <c r="AH994" s="124"/>
      <c r="AI994" s="124"/>
      <c r="AJ994" s="125"/>
      <c r="AK994" s="189"/>
      <c r="AL994" s="124"/>
      <c r="AM994" s="124"/>
      <c r="AN994" s="124"/>
      <c r="AO994" s="360"/>
      <c r="AP994" s="360"/>
      <c r="AQ994" s="360"/>
      <c r="AR994" s="360"/>
      <c r="AS994" s="360"/>
      <c r="AT994" s="360"/>
      <c r="AU994" s="360"/>
      <c r="AV994" s="360"/>
      <c r="AW994" s="360"/>
      <c r="AX994" s="360"/>
      <c r="AY994" s="360"/>
      <c r="AZ994" s="360"/>
      <c r="BA994" s="360"/>
      <c r="BB994" s="360"/>
      <c r="BC994" s="360"/>
    </row>
    <row r="995">
      <c r="A995" s="125"/>
      <c r="B995" s="189"/>
      <c r="C995" s="124"/>
      <c r="D995" s="124"/>
      <c r="E995" s="124"/>
      <c r="F995" s="125"/>
      <c r="G995" s="189"/>
      <c r="H995" s="124"/>
      <c r="I995" s="124"/>
      <c r="J995" s="124"/>
      <c r="K995" s="102"/>
      <c r="L995" s="189"/>
      <c r="M995" s="124"/>
      <c r="N995" s="124"/>
      <c r="O995" s="124"/>
      <c r="P995" s="102"/>
      <c r="Q995" s="161"/>
      <c r="R995" s="124"/>
      <c r="S995" s="124"/>
      <c r="T995" s="124"/>
      <c r="U995" s="125"/>
      <c r="V995" s="189"/>
      <c r="W995" s="124"/>
      <c r="X995" s="124"/>
      <c r="Y995" s="124"/>
      <c r="Z995" s="125"/>
      <c r="AA995" s="189"/>
      <c r="AB995" s="124"/>
      <c r="AC995" s="124"/>
      <c r="AD995" s="124"/>
      <c r="AE995" s="125"/>
      <c r="AF995" s="189"/>
      <c r="AG995" s="124"/>
      <c r="AH995" s="124"/>
      <c r="AI995" s="124"/>
      <c r="AJ995" s="125"/>
      <c r="AK995" s="189"/>
      <c r="AL995" s="124"/>
      <c r="AM995" s="124"/>
      <c r="AN995" s="124"/>
      <c r="AO995" s="360"/>
      <c r="AP995" s="360"/>
      <c r="AQ995" s="360"/>
      <c r="AR995" s="360"/>
      <c r="AS995" s="360"/>
      <c r="AT995" s="360"/>
      <c r="AU995" s="360"/>
      <c r="AV995" s="360"/>
      <c r="AW995" s="360"/>
      <c r="AX995" s="360"/>
      <c r="AY995" s="360"/>
      <c r="AZ995" s="360"/>
      <c r="BA995" s="360"/>
      <c r="BB995" s="360"/>
      <c r="BC995" s="360"/>
    </row>
    <row r="996">
      <c r="A996" s="125"/>
      <c r="B996" s="189"/>
      <c r="C996" s="124"/>
      <c r="D996" s="124"/>
      <c r="E996" s="124"/>
      <c r="F996" s="125"/>
      <c r="G996" s="189"/>
      <c r="H996" s="124"/>
      <c r="I996" s="124"/>
      <c r="J996" s="124"/>
      <c r="K996" s="102"/>
      <c r="L996" s="189"/>
      <c r="M996" s="124"/>
      <c r="N996" s="124"/>
      <c r="O996" s="124"/>
      <c r="P996" s="102"/>
      <c r="Q996" s="161"/>
      <c r="R996" s="124"/>
      <c r="S996" s="124"/>
      <c r="T996" s="124"/>
      <c r="U996" s="125"/>
      <c r="V996" s="189"/>
      <c r="W996" s="124"/>
      <c r="X996" s="124"/>
      <c r="Y996" s="124"/>
      <c r="Z996" s="125"/>
      <c r="AA996" s="189"/>
      <c r="AB996" s="124"/>
      <c r="AC996" s="124"/>
      <c r="AD996" s="124"/>
      <c r="AE996" s="125"/>
      <c r="AF996" s="189"/>
      <c r="AG996" s="124"/>
      <c r="AH996" s="124"/>
      <c r="AI996" s="124"/>
      <c r="AJ996" s="125"/>
      <c r="AK996" s="189"/>
      <c r="AL996" s="124"/>
      <c r="AM996" s="124"/>
      <c r="AN996" s="124"/>
      <c r="AO996" s="360"/>
      <c r="AP996" s="360"/>
      <c r="AQ996" s="360"/>
      <c r="AR996" s="360"/>
      <c r="AS996" s="360"/>
      <c r="AT996" s="360"/>
      <c r="AU996" s="360"/>
      <c r="AV996" s="360"/>
      <c r="AW996" s="360"/>
      <c r="AX996" s="360"/>
      <c r="AY996" s="360"/>
      <c r="AZ996" s="360"/>
      <c r="BA996" s="360"/>
      <c r="BB996" s="360"/>
      <c r="BC996" s="360"/>
    </row>
    <row r="997">
      <c r="A997" s="125"/>
      <c r="B997" s="189"/>
      <c r="C997" s="124"/>
      <c r="D997" s="124"/>
      <c r="E997" s="124"/>
      <c r="F997" s="125"/>
      <c r="G997" s="189"/>
      <c r="H997" s="124"/>
      <c r="I997" s="124"/>
      <c r="J997" s="124"/>
      <c r="K997" s="102"/>
      <c r="L997" s="189"/>
      <c r="M997" s="124"/>
      <c r="N997" s="124"/>
      <c r="O997" s="124"/>
      <c r="P997" s="102"/>
      <c r="Q997" s="161"/>
      <c r="R997" s="124"/>
      <c r="S997" s="124"/>
      <c r="T997" s="124"/>
      <c r="U997" s="125"/>
      <c r="V997" s="189"/>
      <c r="W997" s="124"/>
      <c r="X997" s="124"/>
      <c r="Y997" s="124"/>
      <c r="Z997" s="125"/>
      <c r="AA997" s="189"/>
      <c r="AB997" s="124"/>
      <c r="AC997" s="124"/>
      <c r="AD997" s="124"/>
      <c r="AE997" s="125"/>
      <c r="AF997" s="189"/>
      <c r="AG997" s="124"/>
      <c r="AH997" s="124"/>
      <c r="AI997" s="124"/>
      <c r="AJ997" s="125"/>
      <c r="AK997" s="189"/>
      <c r="AL997" s="124"/>
      <c r="AM997" s="124"/>
      <c r="AN997" s="124"/>
      <c r="AO997" s="360"/>
      <c r="AP997" s="360"/>
      <c r="AQ997" s="360"/>
      <c r="AR997" s="360"/>
      <c r="AS997" s="360"/>
      <c r="AT997" s="360"/>
      <c r="AU997" s="360"/>
      <c r="AV997" s="360"/>
      <c r="AW997" s="360"/>
      <c r="AX997" s="360"/>
      <c r="AY997" s="360"/>
      <c r="AZ997" s="360"/>
      <c r="BA997" s="360"/>
      <c r="BB997" s="360"/>
      <c r="BC997" s="360"/>
    </row>
    <row r="998">
      <c r="A998" s="125"/>
      <c r="B998" s="189"/>
      <c r="C998" s="124"/>
      <c r="D998" s="124"/>
      <c r="E998" s="124"/>
      <c r="F998" s="125"/>
      <c r="G998" s="189"/>
      <c r="H998" s="124"/>
      <c r="I998" s="124"/>
      <c r="J998" s="124"/>
      <c r="K998" s="102"/>
      <c r="L998" s="189"/>
      <c r="M998" s="124"/>
      <c r="N998" s="124"/>
      <c r="O998" s="124"/>
      <c r="P998" s="102"/>
      <c r="Q998" s="161"/>
      <c r="R998" s="124"/>
      <c r="S998" s="124"/>
      <c r="T998" s="124"/>
      <c r="U998" s="125"/>
      <c r="V998" s="189"/>
      <c r="W998" s="124"/>
      <c r="X998" s="124"/>
      <c r="Y998" s="124"/>
      <c r="Z998" s="125"/>
      <c r="AA998" s="189"/>
      <c r="AB998" s="124"/>
      <c r="AC998" s="124"/>
      <c r="AD998" s="124"/>
      <c r="AE998" s="125"/>
      <c r="AF998" s="189"/>
      <c r="AG998" s="124"/>
      <c r="AH998" s="124"/>
      <c r="AI998" s="124"/>
      <c r="AJ998" s="125"/>
      <c r="AK998" s="189"/>
      <c r="AL998" s="124"/>
      <c r="AM998" s="124"/>
      <c r="AN998" s="124"/>
      <c r="AO998" s="360"/>
      <c r="AP998" s="360"/>
      <c r="AQ998" s="360"/>
      <c r="AR998" s="360"/>
      <c r="AS998" s="360"/>
      <c r="AT998" s="360"/>
      <c r="AU998" s="360"/>
      <c r="AV998" s="360"/>
      <c r="AW998" s="360"/>
      <c r="AX998" s="360"/>
      <c r="AY998" s="360"/>
      <c r="AZ998" s="360"/>
      <c r="BA998" s="360"/>
      <c r="BB998" s="360"/>
      <c r="BC998" s="360"/>
    </row>
    <row r="999">
      <c r="A999" s="125"/>
      <c r="B999" s="189"/>
      <c r="C999" s="124"/>
      <c r="D999" s="124"/>
      <c r="E999" s="124"/>
      <c r="F999" s="125"/>
      <c r="G999" s="189"/>
      <c r="H999" s="124"/>
      <c r="I999" s="124"/>
      <c r="J999" s="124"/>
      <c r="K999" s="102"/>
      <c r="L999" s="189"/>
      <c r="M999" s="124"/>
      <c r="N999" s="124"/>
      <c r="O999" s="124"/>
      <c r="P999" s="102"/>
      <c r="Q999" s="161"/>
      <c r="R999" s="124"/>
      <c r="S999" s="124"/>
      <c r="T999" s="124"/>
      <c r="U999" s="125"/>
      <c r="V999" s="189"/>
      <c r="W999" s="124"/>
      <c r="X999" s="124"/>
      <c r="Y999" s="124"/>
      <c r="Z999" s="125"/>
      <c r="AA999" s="189"/>
      <c r="AB999" s="124"/>
      <c r="AC999" s="124"/>
      <c r="AD999" s="124"/>
      <c r="AE999" s="125"/>
      <c r="AF999" s="189"/>
      <c r="AG999" s="124"/>
      <c r="AH999" s="124"/>
      <c r="AI999" s="124"/>
      <c r="AJ999" s="125"/>
      <c r="AK999" s="189"/>
      <c r="AL999" s="124"/>
      <c r="AM999" s="124"/>
      <c r="AN999" s="124"/>
      <c r="AO999" s="360"/>
      <c r="AP999" s="360"/>
      <c r="AQ999" s="360"/>
      <c r="AR999" s="360"/>
      <c r="AS999" s="360"/>
      <c r="AT999" s="360"/>
      <c r="AU999" s="360"/>
      <c r="AV999" s="360"/>
      <c r="AW999" s="360"/>
      <c r="AX999" s="360"/>
      <c r="AY999" s="360"/>
      <c r="AZ999" s="360"/>
      <c r="BA999" s="360"/>
      <c r="BB999" s="360"/>
      <c r="BC999" s="360"/>
    </row>
    <row r="1000">
      <c r="A1000" s="125"/>
      <c r="B1000" s="189"/>
      <c r="C1000" s="124"/>
      <c r="D1000" s="124"/>
      <c r="E1000" s="124"/>
      <c r="F1000" s="125"/>
      <c r="G1000" s="189"/>
      <c r="H1000" s="124"/>
      <c r="I1000" s="124"/>
      <c r="J1000" s="124"/>
      <c r="K1000" s="102"/>
      <c r="L1000" s="189"/>
      <c r="M1000" s="124"/>
      <c r="N1000" s="124"/>
      <c r="O1000" s="124"/>
      <c r="P1000" s="102"/>
      <c r="Q1000" s="161"/>
      <c r="R1000" s="124"/>
      <c r="S1000" s="124"/>
      <c r="T1000" s="124"/>
      <c r="U1000" s="125"/>
      <c r="V1000" s="189"/>
      <c r="W1000" s="124"/>
      <c r="X1000" s="124"/>
      <c r="Y1000" s="124"/>
      <c r="Z1000" s="125"/>
      <c r="AA1000" s="189"/>
      <c r="AB1000" s="124"/>
      <c r="AC1000" s="124"/>
      <c r="AD1000" s="124"/>
      <c r="AE1000" s="125"/>
      <c r="AF1000" s="189"/>
      <c r="AG1000" s="124"/>
      <c r="AH1000" s="124"/>
      <c r="AI1000" s="124"/>
      <c r="AJ1000" s="125"/>
      <c r="AK1000" s="189"/>
      <c r="AL1000" s="124"/>
      <c r="AM1000" s="124"/>
      <c r="AN1000" s="124"/>
      <c r="AO1000" s="360"/>
      <c r="AP1000" s="360"/>
      <c r="AQ1000" s="360"/>
      <c r="AR1000" s="360"/>
      <c r="AS1000" s="360"/>
      <c r="AT1000" s="360"/>
      <c r="AU1000" s="360"/>
      <c r="AV1000" s="360"/>
      <c r="AW1000" s="360"/>
      <c r="AX1000" s="360"/>
      <c r="AY1000" s="360"/>
      <c r="AZ1000" s="360"/>
      <c r="BA1000" s="360"/>
      <c r="BB1000" s="360"/>
      <c r="BC1000" s="360"/>
    </row>
  </sheetData>
  <mergeCells count="16">
    <mergeCell ref="AL1:AN3"/>
    <mergeCell ref="AQ1:AS3"/>
    <mergeCell ref="AV1:AX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6.75"/>
    <col customWidth="1" min="38" max="38" width="40.5"/>
    <col customWidth="1" min="39" max="39" width="19.38"/>
    <col customWidth="1" min="40" max="40" width="17.25"/>
    <col customWidth="1" min="41" max="42" width="16.75"/>
  </cols>
  <sheetData>
    <row r="1" ht="45.0" customHeight="1">
      <c r="A1" s="72" t="s">
        <v>233</v>
      </c>
      <c r="E1" s="72"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72" t="s">
        <v>234</v>
      </c>
      <c r="M1" s="72"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73"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73"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73"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73"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306" t="s">
        <v>8211</v>
      </c>
      <c r="AK1" s="306" t="s">
        <v>237</v>
      </c>
      <c r="AO1" s="381"/>
      <c r="AP1" s="381"/>
    </row>
    <row r="2" ht="45.0" customHeight="1">
      <c r="AO2" s="381"/>
      <c r="AP2" s="381"/>
    </row>
    <row r="3" ht="55.5" customHeight="1">
      <c r="A3" s="382" t="s">
        <v>8212</v>
      </c>
      <c r="B3" s="25" t="s">
        <v>8213</v>
      </c>
      <c r="C3" s="383" t="s">
        <v>8214</v>
      </c>
      <c r="D3" s="156" t="s">
        <v>8215</v>
      </c>
      <c r="E3" s="384" t="str">
        <f>IFERROR(__xludf.DUMMYFUNCTION("GOOGLETRANSLATE(A3,""zh-tw"",""ja"")"),"ステータス図")</f>
        <v>ステータス図</v>
      </c>
      <c r="F3" s="53" t="str">
        <f>IFERROR(__xludf.DUMMYFUNCTION("GOOGLETRANSLATE(B3,""zh-tw"",""ja"")"),"名前")</f>
        <v>名前</v>
      </c>
      <c r="G3" s="385" t="str">
        <f>IFERROR(__xludf.DUMMYFUNCTION("GOOGLETRANSLATE(C3,""zh-tw"",""ja"")"),"物語")</f>
        <v>物語</v>
      </c>
      <c r="H3" s="155" t="str">
        <f>IFERROR(__xludf.DUMMYFUNCTION("GOOGLETRANSLATE(D3,""zh-tw"",""ja"")"),"例えば")</f>
        <v>例えば</v>
      </c>
      <c r="I3" s="382" t="s">
        <v>8216</v>
      </c>
      <c r="J3" s="25" t="s">
        <v>8217</v>
      </c>
      <c r="K3" s="383" t="s">
        <v>8218</v>
      </c>
      <c r="L3" s="156" t="s">
        <v>8219</v>
      </c>
      <c r="M3" s="384" t="str">
        <f>IFERROR(__xludf.DUMMYFUNCTION("GOOGLETRANSLATE(A3,""zh-tw"",""zh"")"),"状态图示")</f>
        <v>状态图示</v>
      </c>
      <c r="N3" s="53" t="str">
        <f>IFERROR(__xludf.DUMMYFUNCTION("GOOGLETRANSLATE(B3,""zh-tw"",""zh"")"),"名称")</f>
        <v>名称</v>
      </c>
      <c r="O3" s="385" t="str">
        <f>IFERROR(__xludf.DUMMYFUNCTION("GOOGLETRANSLATE(C3,""zh-tw"",""zh"")"),"叙述")</f>
        <v>叙述</v>
      </c>
      <c r="P3" s="155" t="str">
        <f>IFERROR(__xludf.DUMMYFUNCTION("GOOGLETRANSLATE(D3,""zh-tw"",""zh"")"),"举例")</f>
        <v>举例</v>
      </c>
      <c r="Q3" s="384" t="str">
        <f>IFERROR(__xludf.DUMMYFUNCTION("GOOGLETRANSLATE(A3,""zh-tw"",""es-MX"")"),"Diagrama de estado")</f>
        <v>Diagrama de estado</v>
      </c>
      <c r="R3" s="53" t="str">
        <f>IFERROR(__xludf.DUMMYFUNCTION("GOOGLETRANSLATE(B3,""zh-tw"",""es-MX"")"),"nombre")</f>
        <v>nombre</v>
      </c>
      <c r="S3" s="385" t="str">
        <f>IFERROR(__xludf.DUMMYFUNCTION("GOOGLETRANSLATE(C3,""zh-tw"",""es-MX"")"),"Narrativo")</f>
        <v>Narrativo</v>
      </c>
      <c r="T3" s="155" t="str">
        <f>IFERROR(__xludf.DUMMYFUNCTION("GOOGLETRANSLATE(D3,""zh-tw"",""es-MX"")"),"Por ejemplo")</f>
        <v>Por ejemplo</v>
      </c>
      <c r="U3" s="384" t="str">
        <f>IFERROR(__xludf.DUMMYFUNCTION("GOOGLETRANSLATE(A3,""zh-tw"",""KO"")"),"상태 다이어그램")</f>
        <v>상태 다이어그램</v>
      </c>
      <c r="V3" s="53" t="str">
        <f>IFERROR(__xludf.DUMMYFUNCTION("GOOGLETRANSLATE(B3,""zh-tw"",""KO"")"),"이름")</f>
        <v>이름</v>
      </c>
      <c r="W3" s="385" t="str">
        <f>IFERROR(__xludf.DUMMYFUNCTION("GOOGLETRANSLATE(C3,""zh-tw"",""KO"")"),"이야기")</f>
        <v>이야기</v>
      </c>
      <c r="X3" s="155" t="str">
        <f>IFERROR(__xludf.DUMMYFUNCTION("GOOGLETRANSLATE(D3,""zh-tw"",""KO"")"),"예를 들어")</f>
        <v>예를 들어</v>
      </c>
      <c r="Y3" s="384" t="str">
        <f>IFERROR(__xludf.DUMMYFUNCTION("GOOGLETRANSLATE(A3,""zh-tw"",""RU"")"),"Диаграмма состояния")</f>
        <v>Диаграмма состояния</v>
      </c>
      <c r="Z3" s="53" t="str">
        <f>IFERROR(__xludf.DUMMYFUNCTION("GOOGLETRANSLATE(B3,""zh-tw"",""RU"")"),"имя")</f>
        <v>имя</v>
      </c>
      <c r="AA3" s="385" t="str">
        <f>IFERROR(__xludf.DUMMYFUNCTION("GOOGLETRANSLATE(C3,""zh-tw"",""RU"")"),"Повествование")</f>
        <v>Повествование</v>
      </c>
      <c r="AB3" s="155" t="str">
        <f>IFERROR(__xludf.DUMMYFUNCTION("GOOGLETRANSLATE(D3,""zh-tw"",""RU"")"),"Например")</f>
        <v>Например</v>
      </c>
      <c r="AC3" s="384" t="str">
        <f>IFERROR(__xludf.DUMMYFUNCTION("GOOGLETRANSLATE(A3,""zh-tw"",""DE"")"),"Statusdiagramm")</f>
        <v>Statusdiagramm</v>
      </c>
      <c r="AD3" s="53" t="str">
        <f>IFERROR(__xludf.DUMMYFUNCTION("GOOGLETRANSLATE(B3,""zh-tw"",""DE"")"),"Name")</f>
        <v>Name</v>
      </c>
      <c r="AE3" s="385" t="str">
        <f>IFERROR(__xludf.DUMMYFUNCTION("GOOGLETRANSLATE(C3,""zh-tw"",""DE"")"),"Erzählung")</f>
        <v>Erzählung</v>
      </c>
      <c r="AF3" s="155" t="str">
        <f>IFERROR(__xludf.DUMMYFUNCTION("GOOGLETRANSLATE(D3,""zh-tw"",""DE"")"),"Zum Beispiel")</f>
        <v>Zum Beispiel</v>
      </c>
      <c r="AG3" s="386" t="s">
        <v>8220</v>
      </c>
      <c r="AH3" s="387" t="s">
        <v>8221</v>
      </c>
      <c r="AI3" s="388" t="s">
        <v>8222</v>
      </c>
      <c r="AJ3" s="389" t="s">
        <v>4811</v>
      </c>
      <c r="AK3" s="158" t="s">
        <v>8223</v>
      </c>
      <c r="AL3" s="160" t="s">
        <v>8224</v>
      </c>
      <c r="AM3" s="390" t="s">
        <v>8225</v>
      </c>
      <c r="AN3" s="391" t="s">
        <v>4815</v>
      </c>
      <c r="AO3" s="392"/>
      <c r="AP3" s="392"/>
    </row>
    <row r="4" ht="26.25" customHeight="1">
      <c r="A4" s="175" t="s">
        <v>8226</v>
      </c>
      <c r="B4" s="315" t="s">
        <v>8227</v>
      </c>
      <c r="C4" s="214" t="s">
        <v>813</v>
      </c>
      <c r="D4" s="393" t="s">
        <v>8228</v>
      </c>
      <c r="E4" s="175" t="s">
        <v>8229</v>
      </c>
      <c r="F4" s="317" t="str">
        <f>IFERROR(__xludf.DUMMYFUNCTION("GOOGLETRANSLATE(B4,""zh-tw"",""ja"")"),"少し落ち着かない気分です")</f>
        <v>少し落ち着かない気分です</v>
      </c>
      <c r="G4" s="394" t="str">
        <f>IFERROR(__xludf.DUMMYFUNCTION("GOOGLETRANSLATE(C4,""zh-tw"",""ja"")"),"-")</f>
        <v>-</v>
      </c>
      <c r="H4" s="393" t="s">
        <v>8230</v>
      </c>
      <c r="I4" s="175" t="s">
        <v>8231</v>
      </c>
      <c r="J4" s="315" t="s">
        <v>8232</v>
      </c>
      <c r="K4" s="394" t="str">
        <f>IFERROR(__xludf.DUMMYFUNCTION("GOOGLETRANSLATE(C4,""zh-tw"",""en"")"),"-")</f>
        <v>-</v>
      </c>
      <c r="L4" s="393" t="s">
        <v>8233</v>
      </c>
      <c r="M4" s="395" t="str">
        <f>IFERROR(__xludf.DUMMYFUNCTION("GOOGLETRANSLATE(A4,""zh-tw"",""zh"")"),"兴奋")</f>
        <v>兴奋</v>
      </c>
      <c r="N4" s="317" t="str">
        <f>IFERROR(__xludf.DUMMYFUNCTION("GOOGLETRANSLATE(B4,""zh-tw"",""zh"")"),"感觉有些躁动")</f>
        <v>感觉有些躁动</v>
      </c>
      <c r="O4" s="394" t="str">
        <f>IFERROR(__xludf.DUMMYFUNCTION("GOOGLETRANSLATE(C4,""zh-tw"",""zh"")"),"-")</f>
        <v>-</v>
      </c>
      <c r="P4" s="396" t="str">
        <f>IFERROR(__xludf.DUMMYFUNCTION("GOOGLETRANSLATE(D4,""zh-tw"",""zh"")"),"哥哥有些性欲")</f>
        <v>哥哥有些性欲</v>
      </c>
      <c r="Q4" s="138" t="str">
        <f>IFERROR(__xludf.DUMMYFUNCTION("GOOGLETRANSLATE(A4,""zh-tw"",""es-MX"")"),"entusiasmado")</f>
        <v>entusiasmado</v>
      </c>
      <c r="R4" s="142" t="str">
        <f>IFERROR(__xludf.DUMMYFUNCTION("GOOGLETRANSLATE(B4,""zh-tw"",""es-MX"")"),"Me siento un poco inquieto")</f>
        <v>Me siento un poco inquieto</v>
      </c>
      <c r="S4" s="303" t="str">
        <f>IFERROR(__xludf.DUMMYFUNCTION("GOOGLETRANSLATE(C4,""zh-tw"",""es-MX"")"),"-")</f>
        <v>-</v>
      </c>
      <c r="T4" s="141" t="str">
        <f>IFERROR(__xludf.DUMMYFUNCTION("GOOGLETRANSLATE(D4,""zh-tw"",""es-MX"")"),"Mi hermano tiene algún deseo sexual.")</f>
        <v>Mi hermano tiene algún deseo sexual.</v>
      </c>
      <c r="U4" s="138" t="str">
        <f>IFERROR(__xludf.DUMMYFUNCTION("GOOGLETRANSLATE(A4,""zh-tw"",""KO"")"),"흥분한")</f>
        <v>흥분한</v>
      </c>
      <c r="V4" s="142" t="str">
        <f>IFERROR(__xludf.DUMMYFUNCTION("GOOGLETRANSLATE(B4,""zh-tw"",""KO"")"),"나는 조금 불안하다")</f>
        <v>나는 조금 불안하다</v>
      </c>
      <c r="W4" s="303" t="str">
        <f>IFERROR(__xludf.DUMMYFUNCTION("GOOGLETRANSLATE(C4,""zh-tw"",""KO"")"),"-")</f>
        <v>-</v>
      </c>
      <c r="X4" s="141" t="str">
        <f>IFERROR(__xludf.DUMMYFUNCTION("GOOGLETRANSLATE(D4,""zh-tw"",""KO"")"),"내 동생은 성적 욕망이 있어요.")</f>
        <v>내 동생은 성적 욕망이 있어요.</v>
      </c>
      <c r="Y4" s="395" t="str">
        <f>IFERROR(__xludf.DUMMYFUNCTION("GOOGLETRANSLATE(A4,""zh-tw"",""RU"")"),"взволнованный")</f>
        <v>взволнованный</v>
      </c>
      <c r="Z4" s="317" t="str">
        <f>IFERROR(__xludf.DUMMYFUNCTION("GOOGLETRANSLATE(B4,""zh-tw"",""RU"")"),"Я чувствую себя немного беспокойно.")</f>
        <v>Я чувствую себя немного беспокойно.</v>
      </c>
      <c r="AA4" s="394" t="str">
        <f>IFERROR(__xludf.DUMMYFUNCTION("GOOGLETRANSLATE(C4,""zh-tw"",""RU"")"),"-")</f>
        <v>-</v>
      </c>
      <c r="AB4" s="396" t="str">
        <f>IFERROR(__xludf.DUMMYFUNCTION("GOOGLETRANSLATE(D4,""zh-tw"",""RU"")"),"У моего брата есть сексуальное желание.")</f>
        <v>У моего брата есть сексуальное желание.</v>
      </c>
      <c r="AC4" s="395" t="str">
        <f>IFERROR(__xludf.DUMMYFUNCTION("GOOGLETRANSLATE(A4,""zh-tw"",""DE"")"),"aufgeregt")</f>
        <v>aufgeregt</v>
      </c>
      <c r="AD4" s="317" t="str">
        <f>IFERROR(__xludf.DUMMYFUNCTION("GOOGLETRANSLATE(B4,""zh-tw"",""DE"")"),"Ich fühle mich etwas unruhig")</f>
        <v>Ich fühle mich etwas unruhig</v>
      </c>
      <c r="AE4" s="394" t="str">
        <f>IFERROR(__xludf.DUMMYFUNCTION("GOOGLETRANSLATE(C4,""zh-tw"",""DE"")"),"-")</f>
        <v>-</v>
      </c>
      <c r="AF4" s="396" t="str">
        <f>IFERROR(__xludf.DUMMYFUNCTION("GOOGLETRANSLATE(D4,""zh-tw"",""DE"")"),"Mein Bruder hat sexuelle Bedürfnisse.")</f>
        <v>Mein Bruder hat sexuelle Bedürfnisse.</v>
      </c>
      <c r="AG4" s="106" t="s">
        <v>8234</v>
      </c>
      <c r="AH4" s="51" t="s">
        <v>8235</v>
      </c>
      <c r="AI4" s="304" t="s">
        <v>813</v>
      </c>
      <c r="AJ4" s="122" t="s">
        <v>8236</v>
      </c>
      <c r="AK4" s="106" t="s">
        <v>8237</v>
      </c>
      <c r="AL4" s="51" t="s">
        <v>8238</v>
      </c>
      <c r="AM4" s="304" t="s">
        <v>813</v>
      </c>
      <c r="AN4" s="122" t="s">
        <v>8239</v>
      </c>
      <c r="AO4" s="397"/>
      <c r="AP4" s="397"/>
    </row>
    <row r="5" ht="26.25" customHeight="1">
      <c r="A5" s="175" t="s">
        <v>8226</v>
      </c>
      <c r="B5" s="315" t="s">
        <v>8240</v>
      </c>
      <c r="C5" s="214" t="s">
        <v>813</v>
      </c>
      <c r="D5" s="393" t="s">
        <v>8241</v>
      </c>
      <c r="E5" s="175" t="s">
        <v>8229</v>
      </c>
      <c r="F5" s="317" t="str">
        <f>IFERROR(__xludf.DUMMYFUNCTION("GOOGLETRANSLATE(B5,""zh-tw"",""ja"")"),"体全体が何らかの刺激を求めている。")</f>
        <v>体全体が何らかの刺激を求めている。</v>
      </c>
      <c r="G5" s="214" t="s">
        <v>813</v>
      </c>
      <c r="H5" s="393" t="s">
        <v>8242</v>
      </c>
      <c r="I5" s="175" t="s">
        <v>8231</v>
      </c>
      <c r="J5" s="315" t="s">
        <v>8243</v>
      </c>
      <c r="K5" s="214" t="s">
        <v>813</v>
      </c>
      <c r="L5" s="393" t="s">
        <v>8244</v>
      </c>
      <c r="M5" s="395" t="str">
        <f>IFERROR(__xludf.DUMMYFUNCTION("GOOGLETRANSLATE(A5,""zh-tw"",""zh"")"),"兴奋")</f>
        <v>兴奋</v>
      </c>
      <c r="N5" s="317" t="str">
        <f>IFERROR(__xludf.DUMMYFUNCTION("GOOGLETRANSLATE(B5,""zh-tw"",""zh"")"),"全身都在渴望着某种刺激")</f>
        <v>全身都在渴望着某种刺激</v>
      </c>
      <c r="O5" s="394" t="str">
        <f>IFERROR(__xludf.DUMMYFUNCTION("GOOGLETRANSLATE(C5,""zh-tw"",""zh"")"),"-")</f>
        <v>-</v>
      </c>
      <c r="P5" s="396" t="str">
        <f>IFERROR(__xludf.DUMMYFUNCTION("GOOGLETRANSLATE(D5,""zh-tw"",""zh"")"),"哥哥有许多性欲")</f>
        <v>哥哥有许多性欲</v>
      </c>
      <c r="Q5" s="138" t="str">
        <f>IFERROR(__xludf.DUMMYFUNCTION("GOOGLETRANSLATE(A5,""zh-tw"",""es-MX"")"),"entusiasmado")</f>
        <v>entusiasmado</v>
      </c>
      <c r="R5" s="142" t="str">
        <f>IFERROR(__xludf.DUMMYFUNCTION("GOOGLETRANSLATE(B5,""zh-tw"",""es-MX"")"),"Todo mi cuerpo anhela algún tipo de estimulación.")</f>
        <v>Todo mi cuerpo anhela algún tipo de estimulación.</v>
      </c>
      <c r="S5" s="303" t="str">
        <f>IFERROR(__xludf.DUMMYFUNCTION("GOOGLETRANSLATE(C5,""zh-tw"",""es-MX"")"),"-")</f>
        <v>-</v>
      </c>
      <c r="T5" s="141" t="str">
        <f>IFERROR(__xludf.DUMMYFUNCTION("GOOGLETRANSLATE(D5,""zh-tw"",""es-MX"")"),"Mi hermano tiene un alto deseo sexual.")</f>
        <v>Mi hermano tiene un alto deseo sexual.</v>
      </c>
      <c r="U5" s="138" t="str">
        <f>IFERROR(__xludf.DUMMYFUNCTION("GOOGLETRANSLATE(A5,""zh-tw"",""KO"")"),"흥분한")</f>
        <v>흥분한</v>
      </c>
      <c r="V5" s="142" t="str">
        <f>IFERROR(__xludf.DUMMYFUNCTION("GOOGLETRANSLATE(B5,""zh-tw"",""KO"")"),"내 온몸은 어떤 종류의 자극을 갈구하고 있어요.")</f>
        <v>내 온몸은 어떤 종류의 자극을 갈구하고 있어요.</v>
      </c>
      <c r="W5" s="303" t="str">
        <f>IFERROR(__xludf.DUMMYFUNCTION("GOOGLETRANSLATE(C5,""zh-tw"",""KO"")"),"-")</f>
        <v>-</v>
      </c>
      <c r="X5" s="141" t="str">
        <f>IFERROR(__xludf.DUMMYFUNCTION("GOOGLETRANSLATE(D5,""zh-tw"",""KO"")"),"내 동생은 성욕이 강해요.")</f>
        <v>내 동생은 성욕이 강해요.</v>
      </c>
      <c r="Y5" s="395" t="str">
        <f>IFERROR(__xludf.DUMMYFUNCTION("GOOGLETRANSLATE(A5,""zh-tw"",""RU"")"),"взволнованный")</f>
        <v>взволнованный</v>
      </c>
      <c r="Z5" s="317" t="str">
        <f>IFERROR(__xludf.DUMMYFUNCTION("GOOGLETRANSLATE(B5,""zh-tw"",""RU"")"),"Все мое тело жаждет какой-то стимуляции.")</f>
        <v>Все мое тело жаждет какой-то стимуляции.</v>
      </c>
      <c r="AA5" s="394" t="str">
        <f>IFERROR(__xludf.DUMMYFUNCTION("GOOGLETRANSLATE(C5,""zh-tw"",""RU"")"),"-")</f>
        <v>-</v>
      </c>
      <c r="AB5" s="396" t="str">
        <f>IFERROR(__xludf.DUMMYFUNCTION("GOOGLETRANSLATE(D5,""zh-tw"",""RU"")"),"У моего брата высокое сексуальное влечение.")</f>
        <v>У моего брата высокое сексуальное влечение.</v>
      </c>
      <c r="AC5" s="395" t="str">
        <f>IFERROR(__xludf.DUMMYFUNCTION("GOOGLETRANSLATE(A5,""zh-tw"",""DE"")"),"aufgeregt")</f>
        <v>aufgeregt</v>
      </c>
      <c r="AD5" s="317" t="str">
        <f>IFERROR(__xludf.DUMMYFUNCTION("GOOGLETRANSLATE(B5,""zh-tw"",""DE"")"),"Mein ganzer Körper verlangt nach irgendeiner Art von Stimulation.")</f>
        <v>Mein ganzer Körper verlangt nach irgendeiner Art von Stimulation.</v>
      </c>
      <c r="AE5" s="394" t="str">
        <f>IFERROR(__xludf.DUMMYFUNCTION("GOOGLETRANSLATE(C5,""zh-tw"",""DE"")"),"-")</f>
        <v>-</v>
      </c>
      <c r="AF5" s="396" t="str">
        <f>IFERROR(__xludf.DUMMYFUNCTION("GOOGLETRANSLATE(D5,""zh-tw"",""DE"")"),"Mein Bruder hat einen starken Sexualtrieb.")</f>
        <v>Mein Bruder hat einen starken Sexualtrieb.</v>
      </c>
      <c r="AG5" s="106" t="s">
        <v>8234</v>
      </c>
      <c r="AH5" s="51" t="s">
        <v>8245</v>
      </c>
      <c r="AI5" s="304" t="s">
        <v>813</v>
      </c>
      <c r="AJ5" s="122" t="s">
        <v>8246</v>
      </c>
      <c r="AK5" s="106" t="s">
        <v>8237</v>
      </c>
      <c r="AL5" s="51" t="s">
        <v>8247</v>
      </c>
      <c r="AM5" s="304" t="s">
        <v>813</v>
      </c>
      <c r="AN5" s="122" t="s">
        <v>8248</v>
      </c>
      <c r="AO5" s="397"/>
      <c r="AP5" s="397"/>
    </row>
    <row r="6" ht="26.25" customHeight="1">
      <c r="A6" s="175" t="s">
        <v>8226</v>
      </c>
      <c r="B6" s="315" t="s">
        <v>8249</v>
      </c>
      <c r="C6" s="214" t="s">
        <v>813</v>
      </c>
      <c r="D6" s="393" t="s">
        <v>8250</v>
      </c>
      <c r="E6" s="175" t="s">
        <v>8229</v>
      </c>
      <c r="F6" s="317" t="str">
        <f>IFERROR(__xludf.DUMMYFUNCTION("GOOGLETRANSLATE(B6,""zh-tw"",""ja"")"),"もう自分をコントロールできない。")</f>
        <v>もう自分をコントロールできない。</v>
      </c>
      <c r="G6" s="214" t="s">
        <v>813</v>
      </c>
      <c r="H6" s="393" t="s">
        <v>8251</v>
      </c>
      <c r="I6" s="175" t="s">
        <v>8231</v>
      </c>
      <c r="J6" s="315" t="s">
        <v>8252</v>
      </c>
      <c r="K6" s="214" t="s">
        <v>813</v>
      </c>
      <c r="L6" s="393" t="s">
        <v>8253</v>
      </c>
      <c r="M6" s="395" t="str">
        <f>IFERROR(__xludf.DUMMYFUNCTION("GOOGLETRANSLATE(A6,""zh-tw"",""zh"")"),"兴奋")</f>
        <v>兴奋</v>
      </c>
      <c r="N6" s="317" t="str">
        <f>IFERROR(__xludf.DUMMYFUNCTION("GOOGLETRANSLATE(B6,""zh-tw"",""zh"")"),"要控制不住自己了")</f>
        <v>要控制不住自己了</v>
      </c>
      <c r="O6" s="394" t="str">
        <f>IFERROR(__xludf.DUMMYFUNCTION("GOOGLETRANSLATE(C6,""zh-tw"",""zh"")"),"-")</f>
        <v>-</v>
      </c>
      <c r="P6" s="396" t="str">
        <f>IFERROR(__xludf.DUMMYFUNCTION("GOOGLETRANSLATE(D6,""zh-tw"",""zh"")"),"哥哥更多性欲")</f>
        <v>哥哥更多性欲</v>
      </c>
      <c r="Q6" s="138" t="str">
        <f>IFERROR(__xludf.DUMMYFUNCTION("GOOGLETRANSLATE(A6,""zh-tw"",""es-MX"")"),"entusiasmado")</f>
        <v>entusiasmado</v>
      </c>
      <c r="R6" s="142" t="str">
        <f>IFERROR(__xludf.DUMMYFUNCTION("GOOGLETRANSLATE(B6,""zh-tw"",""es-MX"")"),"Ya no puedo controlarme más.")</f>
        <v>Ya no puedo controlarme más.</v>
      </c>
      <c r="S6" s="303" t="str">
        <f>IFERROR(__xludf.DUMMYFUNCTION("GOOGLETRANSLATE(C6,""zh-tw"",""es-MX"")"),"-")</f>
        <v>-</v>
      </c>
      <c r="T6" s="141" t="str">
        <f>IFERROR(__xludf.DUMMYFUNCTION("GOOGLETRANSLATE(D6,""zh-tw"",""es-MX"")"),"El hermano mayor tiene un mayor deseo sexual.")</f>
        <v>El hermano mayor tiene un mayor deseo sexual.</v>
      </c>
      <c r="U6" s="138" t="str">
        <f>IFERROR(__xludf.DUMMYFUNCTION("GOOGLETRANSLATE(A6,""zh-tw"",""KO"")"),"흥분한")</f>
        <v>흥분한</v>
      </c>
      <c r="V6" s="142" t="str">
        <f>IFERROR(__xludf.DUMMYFUNCTION("GOOGLETRANSLATE(B6,""zh-tw"",""KO"")"),"나는 더 이상 나 자신을 통제할 수 없어.")</f>
        <v>나는 더 이상 나 자신을 통제할 수 없어.</v>
      </c>
      <c r="W6" s="303" t="str">
        <f>IFERROR(__xludf.DUMMYFUNCTION("GOOGLETRANSLATE(C6,""zh-tw"",""KO"")"),"-")</f>
        <v>-</v>
      </c>
      <c r="X6" s="141" t="str">
        <f>IFERROR(__xludf.DUMMYFUNCTION("GOOGLETRANSLATE(D6,""zh-tw"",""KO"")"),"형은 성욕이 더 강하다")</f>
        <v>형은 성욕이 더 강하다</v>
      </c>
      <c r="Y6" s="395" t="str">
        <f>IFERROR(__xludf.DUMMYFUNCTION("GOOGLETRANSLATE(A6,""zh-tw"",""RU"")"),"взволнованный")</f>
        <v>взволнованный</v>
      </c>
      <c r="Z6" s="317" t="str">
        <f>IFERROR(__xludf.DUMMYFUNCTION("GOOGLETRANSLATE(B6,""zh-tw"",""RU"")"),"Я больше не могу себя контролировать.")</f>
        <v>Я больше не могу себя контролировать.</v>
      </c>
      <c r="AA6" s="394" t="str">
        <f>IFERROR(__xludf.DUMMYFUNCTION("GOOGLETRANSLATE(C6,""zh-tw"",""RU"")"),"-")</f>
        <v>-</v>
      </c>
      <c r="AB6" s="396" t="str">
        <f>IFERROR(__xludf.DUMMYFUNCTION("GOOGLETRANSLATE(D6,""zh-tw"",""RU"")"),"У старшего брата более сильное сексуальное влечение")</f>
        <v>У старшего брата более сильное сексуальное влечение</v>
      </c>
      <c r="AC6" s="395" t="str">
        <f>IFERROR(__xludf.DUMMYFUNCTION("GOOGLETRANSLATE(A6,""zh-tw"",""DE"")"),"aufgeregt")</f>
        <v>aufgeregt</v>
      </c>
      <c r="AD6" s="317" t="str">
        <f>IFERROR(__xludf.DUMMYFUNCTION("GOOGLETRANSLATE(B6,""zh-tw"",""DE"")"),"Ich kann mich nicht mehr beherrschen.")</f>
        <v>Ich kann mich nicht mehr beherrschen.</v>
      </c>
      <c r="AE6" s="394" t="str">
        <f>IFERROR(__xludf.DUMMYFUNCTION("GOOGLETRANSLATE(C6,""zh-tw"",""DE"")"),"-")</f>
        <v>-</v>
      </c>
      <c r="AF6" s="396" t="str">
        <f>IFERROR(__xludf.DUMMYFUNCTION("GOOGLETRANSLATE(D6,""zh-tw"",""DE"")"),"Der ältere Bruder hat einen stärkeren Sexualtrieb.")</f>
        <v>Der ältere Bruder hat einen stärkeren Sexualtrieb.</v>
      </c>
      <c r="AG6" s="106" t="s">
        <v>8234</v>
      </c>
      <c r="AH6" s="51" t="s">
        <v>8254</v>
      </c>
      <c r="AI6" s="304" t="s">
        <v>813</v>
      </c>
      <c r="AJ6" s="122" t="s">
        <v>8255</v>
      </c>
      <c r="AK6" s="106" t="s">
        <v>8237</v>
      </c>
      <c r="AL6" s="51" t="s">
        <v>8256</v>
      </c>
      <c r="AM6" s="304" t="s">
        <v>813</v>
      </c>
      <c r="AN6" s="122" t="s">
        <v>8257</v>
      </c>
      <c r="AO6" s="397"/>
      <c r="AP6" s="397"/>
    </row>
    <row r="7">
      <c r="A7" s="175" t="s">
        <v>8258</v>
      </c>
      <c r="B7" s="315" t="s">
        <v>8259</v>
      </c>
      <c r="C7" s="214" t="s">
        <v>8260</v>
      </c>
      <c r="D7" s="393" t="s">
        <v>8261</v>
      </c>
      <c r="E7" s="175" t="s">
        <v>8262</v>
      </c>
      <c r="F7" s="317" t="str">
        <f>IFERROR(__xludf.DUMMYFUNCTION("GOOGLETRANSLATE(B7,""zh-tw"",""ja"")"),"うーん…")</f>
        <v>うーん…</v>
      </c>
      <c r="G7" s="214" t="s">
        <v>8263</v>
      </c>
      <c r="H7" s="393" t="s">
        <v>8264</v>
      </c>
      <c r="I7" s="175" t="s">
        <v>8265</v>
      </c>
      <c r="J7" s="315" t="s">
        <v>8266</v>
      </c>
      <c r="K7" s="214" t="s">
        <v>8267</v>
      </c>
      <c r="L7" s="393" t="s">
        <v>8268</v>
      </c>
      <c r="M7" s="395" t="str">
        <f>IFERROR(__xludf.DUMMYFUNCTION("GOOGLETRANSLATE(A7,""zh-tw"",""zh"")"),"兽人")</f>
        <v>兽人</v>
      </c>
      <c r="N7" s="317" t="str">
        <f>IFERROR(__xludf.DUMMYFUNCTION("GOOGLETRANSLATE(B7,""zh-tw"",""zh"")"),"唔噢噢噢噢.......!")</f>
        <v>唔噢噢噢噢.......!</v>
      </c>
      <c r="O7" s="394" t="str">
        <f>IFERROR(__xludf.DUMMYFUNCTION("GOOGLETRANSLATE(C7,""zh-tw"",""zh"")"),"扭曲为了满脑子都是欲望的Beast！")</f>
        <v>扭曲为了满脑子都是欲望的Beast！</v>
      </c>
      <c r="P7" s="396" t="str">
        <f>IFERROR(__xludf.DUMMYFUNCTION("GOOGLETRANSLATE(D7,""zh-tw"",""zh"")"),"哥哥性欲极高")</f>
        <v>哥哥性欲极高</v>
      </c>
      <c r="Q7" s="138" t="str">
        <f>IFERROR(__xludf.DUMMYFUNCTION("GOOGLETRANSLATE(A7,""zh-tw"",""es-MX"")"),"Orcos")</f>
        <v>Orcos</v>
      </c>
      <c r="R7" s="142" t="str">
        <f>IFERROR(__xludf.DUMMYFUNCTION("GOOGLETRANSLATE(B7,""zh-tw"",""es-MX"")"),"Ughh...")</f>
        <v>Ughh...</v>
      </c>
      <c r="S7" s="303" t="str">
        <f>IFERROR(__xludf.DUMMYFUNCTION("GOOGLETRANSLATE(C7,""zh-tw"",""es-MX"")"),"¡Se ha transformado en una Bestia cuya mente está llena de deseo!")</f>
        <v>¡Se ha transformado en una Bestia cuya mente está llena de deseo!</v>
      </c>
      <c r="T7" s="141" t="str">
        <f>IFERROR(__xludf.DUMMYFUNCTION("GOOGLETRANSLATE(D7,""zh-tw"",""es-MX"")"),"Mi hermano tiene un deseo sexual extremadamente alto.")</f>
        <v>Mi hermano tiene un deseo sexual extremadamente alto.</v>
      </c>
      <c r="U7" s="138" t="str">
        <f>IFERROR(__xludf.DUMMYFUNCTION("GOOGLETRANSLATE(A7,""zh-tw"",""KO"")"),"오크들")</f>
        <v>오크들</v>
      </c>
      <c r="V7" s="142" t="str">
        <f>IFERROR(__xludf.DUMMYFUNCTION("GOOGLETRANSLATE(B7,""zh-tw"",""KO"")"),"으악...")</f>
        <v>으악...</v>
      </c>
      <c r="W7" s="303" t="str">
        <f>IFERROR(__xludf.DUMMYFUNCTION("GOOGLETRANSLATE(C7,""zh-tw"",""KO"")"),"그것은 욕망으로 가득 찬 마음을 가진 짐승으로 뒤틀렸습니다!")</f>
        <v>그것은 욕망으로 가득 찬 마음을 가진 짐승으로 뒤틀렸습니다!</v>
      </c>
      <c r="X7" s="141" t="str">
        <f>IFERROR(__xludf.DUMMYFUNCTION("GOOGLETRANSLATE(D7,""zh-tw"",""KO"")"),"내 동생은 성욕이 매우 강해요.")</f>
        <v>내 동생은 성욕이 매우 강해요.</v>
      </c>
      <c r="Y7" s="395" t="str">
        <f>IFERROR(__xludf.DUMMYFUNCTION("GOOGLETRANSLATE(A7,""zh-tw"",""RU"")"),"Орки")</f>
        <v>Орки</v>
      </c>
      <c r="Z7" s="317" t="str">
        <f>IFERROR(__xludf.DUMMYFUNCTION("GOOGLETRANSLATE(B7,""zh-tw"",""RU"")"),"Уф...")</f>
        <v>Уф...</v>
      </c>
      <c r="AA7" s="394" t="str">
        <f>IFERROR(__xludf.DUMMYFUNCTION("GOOGLETRANSLATE(C7,""zh-tw"",""RU"")"),"Он превратился в Зверя, разум которого полон желания!")</f>
        <v>Он превратился в Зверя, разум которого полон желания!</v>
      </c>
      <c r="AB7" s="396" t="str">
        <f>IFERROR(__xludf.DUMMYFUNCTION("GOOGLETRANSLATE(D7,""zh-tw"",""RU"")"),"У моего брата чрезвычайно высокое сексуальное влечение.")</f>
        <v>У моего брата чрезвычайно высокое сексуальное влечение.</v>
      </c>
      <c r="AC7" s="395" t="str">
        <f>IFERROR(__xludf.DUMMYFUNCTION("GOOGLETRANSLATE(A7,""zh-tw"",""DE"")"),"Orks")</f>
        <v>Orks</v>
      </c>
      <c r="AD7" s="317" t="str">
        <f>IFERROR(__xludf.DUMMYFUNCTION("GOOGLETRANSLATE(B7,""zh-tw"",""DE"")"),"Ugh ...")</f>
        <v>Ugh ...</v>
      </c>
      <c r="AE7" s="394" t="str">
        <f>IFERROR(__xludf.DUMMYFUNCTION("GOOGLETRANSLATE(C7,""zh-tw"",""DE"")"),"Es wurde zu einem Ungeheuer verdreht, dessen Geist von Begierde erfüllt ist!")</f>
        <v>Es wurde zu einem Ungeheuer verdreht, dessen Geist von Begierde erfüllt ist!</v>
      </c>
      <c r="AF7" s="396" t="str">
        <f>IFERROR(__xludf.DUMMYFUNCTION("GOOGLETRANSLATE(D7,""zh-tw"",""DE"")"),"Mein Bruder hat einen extrem hohen Sexualtrieb.")</f>
        <v>Mein Bruder hat einen extrem hohen Sexualtrieb.</v>
      </c>
      <c r="AG7" s="106" t="s">
        <v>8265</v>
      </c>
      <c r="AH7" s="136" t="s">
        <v>8269</v>
      </c>
      <c r="AI7" s="304" t="s">
        <v>8270</v>
      </c>
      <c r="AJ7" s="122" t="s">
        <v>8271</v>
      </c>
      <c r="AK7" s="106" t="s">
        <v>8265</v>
      </c>
      <c r="AL7" s="51" t="s">
        <v>8266</v>
      </c>
      <c r="AM7" s="213" t="s">
        <v>8272</v>
      </c>
      <c r="AN7" s="122" t="s">
        <v>8273</v>
      </c>
      <c r="AO7" s="397"/>
      <c r="AP7" s="397"/>
    </row>
    <row r="8">
      <c r="A8" s="175" t="s">
        <v>8274</v>
      </c>
      <c r="B8" s="315" t="s">
        <v>8275</v>
      </c>
      <c r="C8" s="214" t="s">
        <v>8276</v>
      </c>
      <c r="D8" s="393" t="s">
        <v>8277</v>
      </c>
      <c r="E8" s="175" t="s">
        <v>8278</v>
      </c>
      <c r="F8" s="315" t="s">
        <v>8279</v>
      </c>
      <c r="G8" s="394" t="str">
        <f>IFERROR(__xludf.DUMMYFUNCTION("GOOGLETRANSLATE(C8,""zh-tw"",""ja"")"),"賢者モードに入ると、すべての属性が上昇します。")</f>
        <v>賢者モードに入ると、すべての属性が上昇します。</v>
      </c>
      <c r="H8" s="393" t="s">
        <v>8280</v>
      </c>
      <c r="I8" s="175" t="s">
        <v>8281</v>
      </c>
      <c r="J8" s="315" t="s">
        <v>8282</v>
      </c>
      <c r="K8" s="214" t="s">
        <v>8283</v>
      </c>
      <c r="L8" s="393" t="s">
        <v>8284</v>
      </c>
      <c r="M8" s="395" t="str">
        <f>IFERROR(__xludf.DUMMYFUNCTION("GOOGLETRANSLATE(A8,""zh-tw"",""zh"")"),"贤者")</f>
        <v>贤者</v>
      </c>
      <c r="N8" s="317" t="str">
        <f>IFERROR(__xludf.DUMMYFUNCTION("GOOGLETRANSLATE(B8,""zh-tw"",""zh"")"),"现在我感觉自己无所不能。")</f>
        <v>现在我感觉自己无所不能。</v>
      </c>
      <c r="O8" s="394" t="str">
        <f>IFERROR(__xludf.DUMMYFUNCTION("GOOGLETRANSLATE(C8,""zh-tw"",""zh"")"),"进入了贤者模式，全属性上升")</f>
        <v>进入了贤者模式，全属性上升</v>
      </c>
      <c r="P8" s="396" t="str">
        <f>IFERROR(__xludf.DUMMYFUNCTION("GOOGLETRANSLATE(D8,""zh-tw"",""zh"")"),"哥哥毫无性欲")</f>
        <v>哥哥毫无性欲</v>
      </c>
      <c r="Q8" s="138" t="str">
        <f>IFERROR(__xludf.DUMMYFUNCTION("GOOGLETRANSLATE(A8,""zh-tw"",""es-MX"")"),"Sabio")</f>
        <v>Sabio</v>
      </c>
      <c r="R8" s="142" t="str">
        <f>IFERROR(__xludf.DUMMYFUNCTION("GOOGLETRANSLATE(B8,""zh-tw"",""es-MX"")"),"Siento que puedo hacer cualquier cosa ahora mismo.")</f>
        <v>Siento que puedo hacer cualquier cosa ahora mismo.</v>
      </c>
      <c r="S8" s="303" t="str">
        <f>IFERROR(__xludf.DUMMYFUNCTION("GOOGLETRANSLATE(C8,""zh-tw"",""es-MX"")"),"Al ingresar al modo sabio, todos los atributos aumentan.")</f>
        <v>Al ingresar al modo sabio, todos los atributos aumentan.</v>
      </c>
      <c r="T8" s="141" t="str">
        <f>IFERROR(__xludf.DUMMYFUNCTION("GOOGLETRANSLATE(D8,""zh-tw"",""es-MX"")"),"Mi hermano no tiene deseo sexual.")</f>
        <v>Mi hermano no tiene deseo sexual.</v>
      </c>
      <c r="U8" s="138" t="str">
        <f>IFERROR(__xludf.DUMMYFUNCTION("GOOGLETRANSLATE(A8,""zh-tw"",""KO"")"),"세이지")</f>
        <v>세이지</v>
      </c>
      <c r="V8" s="142" t="str">
        <f>IFERROR(__xludf.DUMMYFUNCTION("GOOGLETRANSLATE(B8,""zh-tw"",""KO"")"),"지금은 무엇이든 할 수 있을 것 같은 기분이 들어요.")</f>
        <v>지금은 무엇이든 할 수 있을 것 같은 기분이 들어요.</v>
      </c>
      <c r="W8" s="303" t="str">
        <f>IFERROR(__xludf.DUMMYFUNCTION("GOOGLETRANSLATE(C8,""zh-tw"",""KO"")"),"세이지 모드에 들어가면 모든 속성이 증가합니다.")</f>
        <v>세이지 모드에 들어가면 모든 속성이 증가합니다.</v>
      </c>
      <c r="X8" s="141" t="str">
        <f>IFERROR(__xludf.DUMMYFUNCTION("GOOGLETRANSLATE(D8,""zh-tw"",""KO"")"),"내 동생은 성욕이 없어요.")</f>
        <v>내 동생은 성욕이 없어요.</v>
      </c>
      <c r="Y8" s="395" t="str">
        <f>IFERROR(__xludf.DUMMYFUNCTION("GOOGLETRANSLATE(A8,""zh-tw"",""RU"")"),"Мудрец")</f>
        <v>Мудрец</v>
      </c>
      <c r="Z8" s="317" t="str">
        <f>IFERROR(__xludf.DUMMYFUNCTION("GOOGLETRANSLATE(B8,""zh-tw"",""RU"")"),"Я чувствую, что сейчас я могу сделать все, что угодно.")</f>
        <v>Я чувствую, что сейчас я могу сделать все, что угодно.</v>
      </c>
      <c r="AA8" s="394"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96" t="str">
        <f>IFERROR(__xludf.DUMMYFUNCTION("GOOGLETRANSLATE(D8,""zh-tw"",""RU"")"),"У моего брата нет сексуального влечения.")</f>
        <v>У моего брата нет сексуального влечения.</v>
      </c>
      <c r="AC8" s="395" t="str">
        <f>IFERROR(__xludf.DUMMYFUNCTION("GOOGLETRANSLATE(A8,""zh-tw"",""DE"")"),"Salbei")</f>
        <v>Salbei</v>
      </c>
      <c r="AD8" s="317" t="str">
        <f>IFERROR(__xludf.DUMMYFUNCTION("GOOGLETRANSLATE(B8,""zh-tw"",""DE"")"),"Ich habe das Gefühl, ich kann im Moment alles schaffen.")</f>
        <v>Ich habe das Gefühl, ich kann im Moment alles schaffen.</v>
      </c>
      <c r="AE8" s="394" t="str">
        <f>IFERROR(__xludf.DUMMYFUNCTION("GOOGLETRANSLATE(C8,""zh-tw"",""DE"")"),"Beim Aktivieren des Sage-Modus erhöhen sich alle Attribute.")</f>
        <v>Beim Aktivieren des Sage-Modus erhöhen sich alle Attribute.</v>
      </c>
      <c r="AF8" s="396" t="str">
        <f>IFERROR(__xludf.DUMMYFUNCTION("GOOGLETRANSLATE(D8,""zh-tw"",""DE"")"),"Mein Bruder hat kein sexuelles Verlangen.")</f>
        <v>Mein Bruder hat kein sexuelles Verlangen.</v>
      </c>
      <c r="AG8" s="106" t="s">
        <v>8285</v>
      </c>
      <c r="AH8" s="136" t="s">
        <v>8286</v>
      </c>
      <c r="AI8" s="213" t="s">
        <v>8287</v>
      </c>
      <c r="AJ8" s="122" t="s">
        <v>8288</v>
      </c>
      <c r="AK8" s="106" t="s">
        <v>8289</v>
      </c>
      <c r="AL8" s="51" t="s">
        <v>8290</v>
      </c>
      <c r="AM8" s="304" t="s">
        <v>8291</v>
      </c>
      <c r="AN8" s="122" t="s">
        <v>8292</v>
      </c>
      <c r="AO8" s="397"/>
      <c r="AP8" s="397"/>
    </row>
    <row r="9">
      <c r="A9" s="175" t="s">
        <v>8293</v>
      </c>
      <c r="B9" s="315" t="s">
        <v>813</v>
      </c>
      <c r="C9" s="214" t="s">
        <v>8294</v>
      </c>
      <c r="D9" s="393" t="s">
        <v>8295</v>
      </c>
      <c r="E9" s="395" t="str">
        <f>IFERROR(__xludf.DUMMYFUNCTION("GOOGLETRANSLATE(A9,""zh-tw"",""ja"")"),"集中")</f>
        <v>集中</v>
      </c>
      <c r="F9" s="317" t="str">
        <f>IFERROR(__xludf.DUMMYFUNCTION("GOOGLETRANSLATE(B9,""zh-tw"",""ja"")"),"-")</f>
        <v>-</v>
      </c>
      <c r="G9" s="214" t="s">
        <v>8296</v>
      </c>
      <c r="H9" s="393" t="s">
        <v>8297</v>
      </c>
      <c r="I9" s="175" t="s">
        <v>8298</v>
      </c>
      <c r="J9" s="317" t="str">
        <f>IFERROR(__xludf.DUMMYFUNCTION("GOOGLETRANSLATE(B9,""zh-tw"",""en"")"),"-")</f>
        <v>-</v>
      </c>
      <c r="K9" s="214" t="s">
        <v>8299</v>
      </c>
      <c r="L9" s="393" t="s">
        <v>8300</v>
      </c>
      <c r="M9" s="395" t="str">
        <f>IFERROR(__xludf.DUMMYFUNCTION("GOOGLETRANSLATE(A9,""zh-tw"",""zh"")"),"专注")</f>
        <v>专注</v>
      </c>
      <c r="N9" s="317" t="str">
        <f>IFERROR(__xludf.DUMMYFUNCTION("GOOGLETRANSLATE(B9,""zh-tw"",""zh"")"),"-")</f>
        <v>-</v>
      </c>
      <c r="O9" s="394" t="str">
        <f>IFERROR(__xludf.DUMMYFUNCTION("GOOGLETRANSLATE(C9,""zh-tw"",""zh"")"),"集中精力为下一击做准被，移动速度下降")</f>
        <v>集中精力为下一击做准被，移动速度下降</v>
      </c>
      <c r="P9" s="396" t="str">
        <f>IFERROR(__xludf.DUMMYFUNCTION("GOOGLETRANSLATE(D9,""zh-tw"",""zh"")"),"近战武器滑鼠右键")</f>
        <v>近战武器滑鼠右键</v>
      </c>
      <c r="Q9" s="138" t="str">
        <f>IFERROR(__xludf.DUMMYFUNCTION("GOOGLETRANSLATE(A9,""zh-tw"",""es-MX"")"),"Enfocar")</f>
        <v>Enfocar</v>
      </c>
      <c r="R9" s="142" t="str">
        <f>IFERROR(__xludf.DUMMYFUNCTION("GOOGLETRANSLATE(B9,""zh-tw"",""es-MX"")"),"-")</f>
        <v>-</v>
      </c>
      <c r="S9" s="303" t="str">
        <f>IFERROR(__xludf.DUMMYFUNCTION("GOOGLETRANSLATE(C9,""zh-tw"",""es-MX"")"),"Concentrarse en prepararse para el próximo ataque reduce la velocidad de movimiento.")</f>
        <v>Concentrarse en prepararse para el próximo ataque reduce la velocidad de movimiento.</v>
      </c>
      <c r="T9" s="141" t="str">
        <f>IFERROR(__xludf.DUMMYFUNCTION("GOOGLETRANSLATE(D9,""zh-tw"",""es-MX"")"),"Botón derecho del ratón para arma cuerpo a cuerpo")</f>
        <v>Botón derecho del ratón para arma cuerpo a cuerpo</v>
      </c>
      <c r="U9" s="138" t="str">
        <f>IFERROR(__xludf.DUMMYFUNCTION("GOOGLETRANSLATE(A9,""zh-tw"",""KO"")"),"집중하다")</f>
        <v>집중하다</v>
      </c>
      <c r="V9" s="142" t="str">
        <f>IFERROR(__xludf.DUMMYFUNCTION("GOOGLETRANSLATE(B9,""zh-tw"",""KO"")"),"-")</f>
        <v>-</v>
      </c>
      <c r="W9" s="303" t="str">
        <f>IFERROR(__xludf.DUMMYFUNCTION("GOOGLETRANSLATE(C9,""zh-tw"",""KO"")"),"다음 공격에 대비하는 데 집중하면 이동 속도가 감소합니다.")</f>
        <v>다음 공격에 대비하는 데 집중하면 이동 속도가 감소합니다.</v>
      </c>
      <c r="X9" s="141" t="str">
        <f>IFERROR(__xludf.DUMMYFUNCTION("GOOGLETRANSLATE(D9,""zh-tw"",""KO"")"),"근접 무기 오른쪽 마우스 버튼")</f>
        <v>근접 무기 오른쪽 마우스 버튼</v>
      </c>
      <c r="Y9" s="395" t="str">
        <f>IFERROR(__xludf.DUMMYFUNCTION("GOOGLETRANSLATE(A9,""zh-tw"",""RU"")"),"Фокус")</f>
        <v>Фокус</v>
      </c>
      <c r="Z9" s="317" t="str">
        <f>IFERROR(__xludf.DUMMYFUNCTION("GOOGLETRANSLATE(B9,""zh-tw"",""RU"")"),"-")</f>
        <v>-</v>
      </c>
      <c r="AA9" s="394"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96" t="str">
        <f>IFERROR(__xludf.DUMMYFUNCTION("GOOGLETRANSLATE(D9,""zh-tw"",""RU"")"),"Оружие ближнего боя правая кнопка мыши")</f>
        <v>Оружие ближнего боя правая кнопка мыши</v>
      </c>
      <c r="AC9" s="395" t="str">
        <f>IFERROR(__xludf.DUMMYFUNCTION("GOOGLETRANSLATE(A9,""zh-tw"",""DE"")"),"Fokus")</f>
        <v>Fokus</v>
      </c>
      <c r="AD9" s="317" t="str">
        <f>IFERROR(__xludf.DUMMYFUNCTION("GOOGLETRANSLATE(B9,""zh-tw"",""DE"")"),"-")</f>
        <v>-</v>
      </c>
      <c r="AE9" s="394" t="str">
        <f>IFERROR(__xludf.DUMMYFUNCTION("GOOGLETRANSLATE(C9,""zh-tw"",""DE"")"),"Die Konzentration auf die Vorbereitung des nächsten Angriffs verringert die Bewegungsgeschwindigkeit.")</f>
        <v>Die Konzentration auf die Vorbereitung des nächsten Angriffs verringert die Bewegungsgeschwindigkeit.</v>
      </c>
      <c r="AF9" s="396" t="str">
        <f>IFERROR(__xludf.DUMMYFUNCTION("GOOGLETRANSLATE(D9,""zh-tw"",""DE"")"),"rechte Maustaste für Nahkampfwaffen")</f>
        <v>rechte Maustaste für Nahkampfwaffen</v>
      </c>
      <c r="AG9" s="106" t="s">
        <v>8301</v>
      </c>
      <c r="AH9" s="51" t="s">
        <v>813</v>
      </c>
      <c r="AI9" s="213" t="s">
        <v>8302</v>
      </c>
      <c r="AJ9" s="122" t="s">
        <v>8303</v>
      </c>
      <c r="AK9" s="106" t="s">
        <v>8298</v>
      </c>
      <c r="AL9" s="51" t="s">
        <v>813</v>
      </c>
      <c r="AM9" s="304" t="s">
        <v>8304</v>
      </c>
      <c r="AN9" s="122" t="s">
        <v>8305</v>
      </c>
      <c r="AO9" s="397"/>
      <c r="AP9" s="397"/>
    </row>
    <row r="10">
      <c r="A10" s="175" t="s">
        <v>8306</v>
      </c>
      <c r="B10" s="315" t="s">
        <v>8307</v>
      </c>
      <c r="C10" s="214" t="s">
        <v>813</v>
      </c>
      <c r="D10" s="393" t="s">
        <v>8308</v>
      </c>
      <c r="E10" s="175" t="s">
        <v>8309</v>
      </c>
      <c r="F10" s="315" t="s">
        <v>8310</v>
      </c>
      <c r="G10" s="394" t="str">
        <f>IFERROR(__xludf.DUMMYFUNCTION("GOOGLETRANSLATE(C10,""zh-tw"",""ja"")"),"-")</f>
        <v>-</v>
      </c>
      <c r="H10" s="393" t="s">
        <v>8311</v>
      </c>
      <c r="I10" s="175" t="s">
        <v>8312</v>
      </c>
      <c r="J10" s="315" t="s">
        <v>8313</v>
      </c>
      <c r="K10" s="394" t="str">
        <f>IFERROR(__xludf.DUMMYFUNCTION("GOOGLETRANSLATE(C10,""zh-tw"",""en"")"),"-")</f>
        <v>-</v>
      </c>
      <c r="L10" s="393" t="s">
        <v>8314</v>
      </c>
      <c r="M10" s="395" t="str">
        <f>IFERROR(__xludf.DUMMYFUNCTION("GOOGLETRANSLATE(A10,""zh-tw"",""zh"")"),"闪步")</f>
        <v>闪步</v>
      </c>
      <c r="N10" s="317" t="str">
        <f>IFERROR(__xludf.DUMMYFUNCTION("GOOGLETRANSLATE(B10,""zh-tw"",""zh"")"),"真红的三倍速")</f>
        <v>真红的三倍速</v>
      </c>
      <c r="O10" s="394" t="str">
        <f>IFERROR(__xludf.DUMMYFUNCTION("GOOGLETRANSLATE(C10,""zh-tw"",""zh"")"),"-")</f>
        <v>-</v>
      </c>
      <c r="P10" s="396" t="str">
        <f>IFERROR(__xludf.DUMMYFUNCTION("GOOGLETRANSLATE(D10,""zh-tw"",""zh"")"),"闪步过程中或过图时永久BUG")</f>
        <v>闪步过程中或过图时永久BUG</v>
      </c>
      <c r="Q10" s="138" t="str">
        <f>IFERROR(__xludf.DUMMYFUNCTION("GOOGLETRANSLATE(A10,""zh-tw"",""es-MX"")"),"Paso rápido")</f>
        <v>Paso rápido</v>
      </c>
      <c r="R10" s="142" t="str">
        <f>IFERROR(__xludf.DUMMYFUNCTION("GOOGLETRANSLATE(B10,""zh-tw"",""es-MX"")"),"Triple velocidad carmesí")</f>
        <v>Triple velocidad carmesí</v>
      </c>
      <c r="S10" s="303" t="str">
        <f>IFERROR(__xludf.DUMMYFUNCTION("GOOGLETRANSLATE(C10,""zh-tw"",""es-MX"")"),"-")</f>
        <v>-</v>
      </c>
      <c r="T10" s="141" t="str">
        <f>IFERROR(__xludf.DUMMYFUNCTION("GOOGLETRANSLATE(D10,""zh-tw"",""es-MX"")"),"Error permanente durante el paso de flash o la transición del mapa")</f>
        <v>Error permanente durante el paso de flash o la transición del mapa</v>
      </c>
      <c r="U10" s="138" t="str">
        <f>IFERROR(__xludf.DUMMYFUNCTION("GOOGLETRANSLATE(A10,""zh-tw"",""KO"")"),"플래시 스텝")</f>
        <v>플래시 스텝</v>
      </c>
      <c r="V10" s="142" t="str">
        <f>IFERROR(__xludf.DUMMYFUNCTION("GOOGLETRANSLATE(B10,""zh-tw"",""KO"")"),"크림슨 트리플 스피드")</f>
        <v>크림슨 트리플 스피드</v>
      </c>
      <c r="W10" s="303" t="str">
        <f>IFERROR(__xludf.DUMMYFUNCTION("GOOGLETRANSLATE(C10,""zh-tw"",""KO"")"),"-")</f>
        <v>-</v>
      </c>
      <c r="X10" s="141" t="str">
        <f>IFERROR(__xludf.DUMMYFUNCTION("GOOGLETRANSLATE(D10,""zh-tw"",""KO"")"),"플래시 스텝이나 맵 전환 중 영구적인 버그 발생")</f>
        <v>플래시 스텝이나 맵 전환 중 영구적인 버그 발생</v>
      </c>
      <c r="Y10" s="395" t="str">
        <f>IFERROR(__xludf.DUMMYFUNCTION("GOOGLETRANSLATE(A10,""zh-tw"",""RU"")"),"Флэш-шаг")</f>
        <v>Флэш-шаг</v>
      </c>
      <c r="Z10" s="317" t="str">
        <f>IFERROR(__xludf.DUMMYFUNCTION("GOOGLETRANSLATE(B10,""zh-tw"",""RU"")"),"Багровая тройная скорость")</f>
        <v>Багровая тройная скорость</v>
      </c>
      <c r="AA10" s="394" t="str">
        <f>IFERROR(__xludf.DUMMYFUNCTION("GOOGLETRANSLATE(C10,""zh-tw"",""RU"")"),"-")</f>
        <v>-</v>
      </c>
      <c r="AB10" s="396"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95" t="str">
        <f>IFERROR(__xludf.DUMMYFUNCTION("GOOGLETRANSLATE(A10,""zh-tw"",""DE"")"),"Blitzschritt")</f>
        <v>Blitzschritt</v>
      </c>
      <c r="AD10" s="317" t="str">
        <f>IFERROR(__xludf.DUMMYFUNCTION("GOOGLETRANSLATE(B10,""zh-tw"",""DE"")"),"Crimson Triple Speed")</f>
        <v>Crimson Triple Speed</v>
      </c>
      <c r="AE10" s="394" t="str">
        <f>IFERROR(__xludf.DUMMYFUNCTION("GOOGLETRANSLATE(C10,""zh-tw"",""DE"")"),"-")</f>
        <v>-</v>
      </c>
      <c r="AF10" s="396" t="str">
        <f>IFERROR(__xludf.DUMMYFUNCTION("GOOGLETRANSLATE(D10,""zh-tw"",""DE"")"),"Permanenter Fehler während des Flash-Schritts oder Kartenübergangs")</f>
        <v>Permanenter Fehler während des Flash-Schritts oder Kartenübergangs</v>
      </c>
      <c r="AG10" s="106" t="s">
        <v>8312</v>
      </c>
      <c r="AH10" s="136" t="s">
        <v>8315</v>
      </c>
      <c r="AI10" s="304" t="s">
        <v>813</v>
      </c>
      <c r="AJ10" s="122" t="s">
        <v>8316</v>
      </c>
      <c r="AK10" s="106" t="s">
        <v>8312</v>
      </c>
      <c r="AL10" s="51" t="s">
        <v>8317</v>
      </c>
      <c r="AM10" s="304" t="s">
        <v>813</v>
      </c>
      <c r="AN10" s="122" t="s">
        <v>8318</v>
      </c>
      <c r="AO10" s="397"/>
      <c r="AP10" s="397"/>
    </row>
    <row r="11">
      <c r="A11" s="175" t="s">
        <v>8319</v>
      </c>
      <c r="B11" s="315" t="s">
        <v>813</v>
      </c>
      <c r="C11" s="214" t="s">
        <v>8320</v>
      </c>
      <c r="D11" s="393" t="s">
        <v>8321</v>
      </c>
      <c r="E11" s="175" t="s">
        <v>8322</v>
      </c>
      <c r="F11" s="317" t="str">
        <f>IFERROR(__xludf.DUMMYFUNCTION("GOOGLETRANSLATE(B11,""zh-tw"",""ja"")"),"-")</f>
        <v>-</v>
      </c>
      <c r="G11" s="214" t="s">
        <v>8323</v>
      </c>
      <c r="H11" s="393" t="s">
        <v>8324</v>
      </c>
      <c r="I11" s="175" t="s">
        <v>8325</v>
      </c>
      <c r="J11" s="317" t="str">
        <f>IFERROR(__xludf.DUMMYFUNCTION("GOOGLETRANSLATE(B11,""zh-tw"",""en"")"),"-")</f>
        <v>-</v>
      </c>
      <c r="K11" s="214" t="s">
        <v>8326</v>
      </c>
      <c r="L11" s="393" t="s">
        <v>8327</v>
      </c>
      <c r="M11" s="395" t="str">
        <f>IFERROR(__xludf.DUMMYFUNCTION("GOOGLETRANSLATE(A11,""zh-tw"",""zh"")"),"闪步禁止")</f>
        <v>闪步禁止</v>
      </c>
      <c r="N11" s="317" t="str">
        <f>IFERROR(__xludf.DUMMYFUNCTION("GOOGLETRANSLATE(B11,""zh-tw"",""zh"")"),"-")</f>
        <v>-</v>
      </c>
      <c r="O11" s="394" t="str">
        <f>IFERROR(__xludf.DUMMYFUNCTION("GOOGLETRANSLATE(C11,""zh-tw"",""zh"")"),"禁止发动闪步")</f>
        <v>禁止发动闪步</v>
      </c>
      <c r="P11" s="396" t="str">
        <f>IFERROR(__xludf.DUMMYFUNCTION("GOOGLETRANSLATE(D11,""zh-tw"",""zh"")"),"闪步cd期间")</f>
        <v>闪步cd期间</v>
      </c>
      <c r="Q11" s="138" t="str">
        <f>IFERROR(__xludf.DUMMYFUNCTION("GOOGLETRANSLATE(A11,""zh-tw"",""es-MX"")"),"Paso de flash prohibido")</f>
        <v>Paso de flash prohibido</v>
      </c>
      <c r="R11" s="142" t="str">
        <f>IFERROR(__xludf.DUMMYFUNCTION("GOOGLETRANSLATE(B11,""zh-tw"",""es-MX"")"),"-")</f>
        <v>-</v>
      </c>
      <c r="S11" s="303" t="str">
        <f>IFERROR(__xludf.DUMMYFUNCTION("GOOGLETRANSLATE(C11,""zh-tw"",""es-MX"")"),"No utilice Flash Step")</f>
        <v>No utilice Flash Step</v>
      </c>
      <c r="T11" s="141" t="str">
        <f>IFERROR(__xludf.DUMMYFUNCTION("GOOGLETRANSLATE(D11,""zh-tw"",""es-MX"")"),"Tiempo de reutilización de Paso relámpago")</f>
        <v>Tiempo de reutilización de Paso relámpago</v>
      </c>
      <c r="U11" s="138" t="str">
        <f>IFERROR(__xludf.DUMMYFUNCTION("GOOGLETRANSLATE(A11,""zh-tw"",""KO"")"),"플래시 스텝 금지")</f>
        <v>플래시 스텝 금지</v>
      </c>
      <c r="V11" s="142" t="str">
        <f>IFERROR(__xludf.DUMMYFUNCTION("GOOGLETRANSLATE(B11,""zh-tw"",""KO"")"),"-")</f>
        <v>-</v>
      </c>
      <c r="W11" s="303" t="str">
        <f>IFERROR(__xludf.DUMMYFUNCTION("GOOGLETRANSLATE(C11,""zh-tw"",""KO"")"),"플래시 스텝을 사용하지 마세요")</f>
        <v>플래시 스텝을 사용하지 마세요</v>
      </c>
      <c r="X11" s="141" t="str">
        <f>IFERROR(__xludf.DUMMYFUNCTION("GOOGLETRANSLATE(D11,""zh-tw"",""KO"")"),"플래시 스텝 쿨다운")</f>
        <v>플래시 스텝 쿨다운</v>
      </c>
      <c r="Y11" s="395" t="str">
        <f>IFERROR(__xludf.DUMMYFUNCTION("GOOGLETRANSLATE(A11,""zh-tw"",""RU"")"),"Флэш-шаг запрещен")</f>
        <v>Флэш-шаг запрещен</v>
      </c>
      <c r="Z11" s="317" t="str">
        <f>IFERROR(__xludf.DUMMYFUNCTION("GOOGLETRANSLATE(B11,""zh-tw"",""RU"")"),"-")</f>
        <v>-</v>
      </c>
      <c r="AA11" s="394" t="str">
        <f>IFERROR(__xludf.DUMMYFUNCTION("GOOGLETRANSLATE(C11,""zh-tw"",""RU"")"),"Не используйте Flash Step")</f>
        <v>Не используйте Flash Step</v>
      </c>
      <c r="AB11" s="396" t="str">
        <f>IFERROR(__xludf.DUMMYFUNCTION("GOOGLETRANSLATE(D11,""zh-tw"",""RU"")"),"Перезарядка Flash Step")</f>
        <v>Перезарядка Flash Step</v>
      </c>
      <c r="AC11" s="395" t="str">
        <f>IFERROR(__xludf.DUMMYFUNCTION("GOOGLETRANSLATE(A11,""zh-tw"",""DE"")"),"Blitzschritt verboten")</f>
        <v>Blitzschritt verboten</v>
      </c>
      <c r="AD11" s="317" t="str">
        <f>IFERROR(__xludf.DUMMYFUNCTION("GOOGLETRANSLATE(B11,""zh-tw"",""DE"")"),"-")</f>
        <v>-</v>
      </c>
      <c r="AE11" s="394" t="str">
        <f>IFERROR(__xludf.DUMMYFUNCTION("GOOGLETRANSLATE(C11,""zh-tw"",""DE"")"),"Flash Step nicht verwenden")</f>
        <v>Flash Step nicht verwenden</v>
      </c>
      <c r="AF11" s="396" t="str">
        <f>IFERROR(__xludf.DUMMYFUNCTION("GOOGLETRANSLATE(D11,""zh-tw"",""DE"")"),"Flash Step-Abklingzeit")</f>
        <v>Flash Step-Abklingzeit</v>
      </c>
      <c r="AG11" s="106" t="s">
        <v>8328</v>
      </c>
      <c r="AH11" s="51" t="s">
        <v>813</v>
      </c>
      <c r="AI11" s="304" t="s">
        <v>8329</v>
      </c>
      <c r="AJ11" s="122" t="s">
        <v>8330</v>
      </c>
      <c r="AK11" s="106" t="s">
        <v>8331</v>
      </c>
      <c r="AL11" s="51" t="s">
        <v>813</v>
      </c>
      <c r="AM11" s="304" t="s">
        <v>8331</v>
      </c>
      <c r="AN11" s="122" t="s">
        <v>8332</v>
      </c>
      <c r="AO11" s="397"/>
      <c r="AP11" s="397"/>
    </row>
    <row r="12">
      <c r="A12" s="175" t="s">
        <v>8333</v>
      </c>
      <c r="B12" s="315" t="s">
        <v>813</v>
      </c>
      <c r="C12" s="214" t="s">
        <v>8334</v>
      </c>
      <c r="D12" s="393" t="s">
        <v>8335</v>
      </c>
      <c r="E12" s="175" t="s">
        <v>8336</v>
      </c>
      <c r="F12" s="317" t="str">
        <f>IFERROR(__xludf.DUMMYFUNCTION("GOOGLETRANSLATE(B12,""zh-tw"",""ja"")"),"-")</f>
        <v>-</v>
      </c>
      <c r="G12" s="214" t="s">
        <v>8337</v>
      </c>
      <c r="H12" s="393" t="s">
        <v>8338</v>
      </c>
      <c r="I12" s="175" t="s">
        <v>8339</v>
      </c>
      <c r="J12" s="317" t="str">
        <f>IFERROR(__xludf.DUMMYFUNCTION("GOOGLETRANSLATE(B12,""zh-tw"",""en"")"),"-")</f>
        <v>-</v>
      </c>
      <c r="K12" s="214" t="s">
        <v>8340</v>
      </c>
      <c r="L12" s="393" t="s">
        <v>8341</v>
      </c>
      <c r="M12" s="395" t="str">
        <f>IFERROR(__xludf.DUMMYFUNCTION("GOOGLETRANSLATE(A12,""zh-tw"",""zh"")"),"眩晕")</f>
        <v>眩晕</v>
      </c>
      <c r="N12" s="317" t="str">
        <f>IFERROR(__xludf.DUMMYFUNCTION("GOOGLETRANSLATE(B12,""zh-tw"",""zh"")"),"-")</f>
        <v>-</v>
      </c>
      <c r="O12" s="394" t="str">
        <f>IFERROR(__xludf.DUMMYFUNCTION("GOOGLETRANSLATE(C12,""zh-tw"",""zh"")"),"转的头晕了。")</f>
        <v>转的头晕了。</v>
      </c>
      <c r="P12" s="396" t="str">
        <f>IFERROR(__xludf.DUMMYFUNCTION("GOOGLETRANSLATE(D12,""zh-tw"",""zh"")"),"近战武器滑鼠右键结束后")</f>
        <v>近战武器滑鼠右键结束后</v>
      </c>
      <c r="Q12" s="138" t="str">
        <f>IFERROR(__xludf.DUMMYFUNCTION("GOOGLETRANSLATE(A12,""zh-tw"",""es-MX"")"),"mareo")</f>
        <v>mareo</v>
      </c>
      <c r="R12" s="142" t="str">
        <f>IFERROR(__xludf.DUMMYFUNCTION("GOOGLETRANSLATE(B12,""zh-tw"",""es-MX"")"),"-")</f>
        <v>-</v>
      </c>
      <c r="S12" s="303" t="str">
        <f>IFERROR(__xludf.DUMMYFUNCTION("GOOGLETRANSLATE(C12,""zh-tw"",""es-MX"")"),"Estoy mareado de dar vueltas.")</f>
        <v>Estoy mareado de dar vueltas.</v>
      </c>
      <c r="T12" s="141" t="str">
        <f>IFERROR(__xludf.DUMMYFUNCTION("GOOGLETRANSLATE(D12,""zh-tw"",""es-MX"")"),"Después de hacer clic derecho en el arma cuerpo a cuerpo...")</f>
        <v>Después de hacer clic derecho en el arma cuerpo a cuerpo...</v>
      </c>
      <c r="U12" s="138" t="str">
        <f>IFERROR(__xludf.DUMMYFUNCTION("GOOGLETRANSLATE(A12,""zh-tw"",""KO"")"),"현기증")</f>
        <v>현기증</v>
      </c>
      <c r="V12" s="142" t="str">
        <f>IFERROR(__xludf.DUMMYFUNCTION("GOOGLETRANSLATE(B12,""zh-tw"",""KO"")"),"-")</f>
        <v>-</v>
      </c>
      <c r="W12" s="303" t="str">
        <f>IFERROR(__xludf.DUMMYFUNCTION("GOOGLETRANSLATE(C12,""zh-tw"",""KO"")"),"나는 빙빙 돌아서서 어지러움을 느낀다.")</f>
        <v>나는 빙빙 돌아서서 어지러움을 느낀다.</v>
      </c>
      <c r="X12" s="141" t="str">
        <f>IFERROR(__xludf.DUMMYFUNCTION("GOOGLETRANSLATE(D12,""zh-tw"",""KO"")"),"근접 무기를 마우스 오른쪽 버튼으로 클릭한 후...")</f>
        <v>근접 무기를 마우스 오른쪽 버튼으로 클릭한 후...</v>
      </c>
      <c r="Y12" s="395" t="str">
        <f>IFERROR(__xludf.DUMMYFUNCTION("GOOGLETRANSLATE(A12,""zh-tw"",""RU"")"),"головокружение")</f>
        <v>головокружение</v>
      </c>
      <c r="Z12" s="317" t="str">
        <f>IFERROR(__xludf.DUMMYFUNCTION("GOOGLETRANSLATE(B12,""zh-tw"",""RU"")"),"-")</f>
        <v>-</v>
      </c>
      <c r="AA12" s="394" t="str">
        <f>IFERROR(__xludf.DUMMYFUNCTION("GOOGLETRANSLATE(C12,""zh-tw"",""RU"")"),"У меня кружится голова от вращения.")</f>
        <v>У меня кружится голова от вращения.</v>
      </c>
      <c r="AB12" s="396" t="str">
        <f>IFERROR(__xludf.DUMMYFUNCTION("GOOGLETRANSLATE(D12,""zh-tw"",""RU"")"),"После щелчка правой кнопкой мыши по оружию ближнего боя...")</f>
        <v>После щелчка правой кнопкой мыши по оружию ближнего боя...</v>
      </c>
      <c r="AC12" s="395" t="str">
        <f>IFERROR(__xludf.DUMMYFUNCTION("GOOGLETRANSLATE(A12,""zh-tw"",""DE"")"),"Schwindel")</f>
        <v>Schwindel</v>
      </c>
      <c r="AD12" s="317" t="str">
        <f>IFERROR(__xludf.DUMMYFUNCTION("GOOGLETRANSLATE(B12,""zh-tw"",""DE"")"),"-")</f>
        <v>-</v>
      </c>
      <c r="AE12" s="394" t="str">
        <f>IFERROR(__xludf.DUMMYFUNCTION("GOOGLETRANSLATE(C12,""zh-tw"",""DE"")"),"Mir ist schwindlig vom vielen Drehen.")</f>
        <v>Mir ist schwindlig vom vielen Drehen.</v>
      </c>
      <c r="AF12" s="396" t="str">
        <f>IFERROR(__xludf.DUMMYFUNCTION("GOOGLETRANSLATE(D12,""zh-tw"",""DE"")"),"Nach einem Rechtsklick auf die Nahkampfwaffe...")</f>
        <v>Nach einem Rechtsklick auf die Nahkampfwaffe...</v>
      </c>
      <c r="AG12" s="106" t="s">
        <v>8342</v>
      </c>
      <c r="AH12" s="51" t="s">
        <v>813</v>
      </c>
      <c r="AI12" s="304" t="s">
        <v>8343</v>
      </c>
      <c r="AJ12" s="122" t="s">
        <v>8344</v>
      </c>
      <c r="AK12" s="106" t="s">
        <v>8345</v>
      </c>
      <c r="AL12" s="51" t="s">
        <v>813</v>
      </c>
      <c r="AM12" s="304" t="s">
        <v>8346</v>
      </c>
      <c r="AN12" s="122" t="s">
        <v>8347</v>
      </c>
      <c r="AO12" s="397"/>
      <c r="AP12" s="397"/>
    </row>
    <row r="13">
      <c r="A13" s="175" t="s">
        <v>8348</v>
      </c>
      <c r="B13" s="315" t="s">
        <v>813</v>
      </c>
      <c r="C13" s="214" t="s">
        <v>8349</v>
      </c>
      <c r="D13" s="393" t="s">
        <v>8350</v>
      </c>
      <c r="E13" s="395" t="str">
        <f>IFERROR(__xludf.DUMMYFUNCTION("GOOGLETRANSLATE(A13,""zh-tw"",""ja"")"),"呪文詠唱")</f>
        <v>呪文詠唱</v>
      </c>
      <c r="F13" s="317" t="str">
        <f>IFERROR(__xludf.DUMMYFUNCTION("GOOGLETRANSLATE(B13,""zh-tw"",""ja"")"),"-")</f>
        <v>-</v>
      </c>
      <c r="G13" s="394" t="str">
        <f>IFERROR(__xludf.DUMMYFUNCTION("GOOGLETRANSLATE(C13,""zh-tw"",""ja"")"),"魔法の詠唱中")</f>
        <v>魔法の詠唱中</v>
      </c>
      <c r="H13" s="396" t="str">
        <f>IFERROR(__xludf.DUMMYFUNCTION("GOOGLETRANSLATE(D13,""zh-tw"",""ja"")"),"杖武器を右クリックします。")</f>
        <v>杖武器を右クリックします。</v>
      </c>
      <c r="I13" s="175" t="s">
        <v>8351</v>
      </c>
      <c r="J13" s="317" t="str">
        <f>IFERROR(__xludf.DUMMYFUNCTION("GOOGLETRANSLATE(B13,""zh-tw"",""en"")"),"-")</f>
        <v>-</v>
      </c>
      <c r="K13" s="214" t="s">
        <v>8352</v>
      </c>
      <c r="L13" s="393" t="s">
        <v>8353</v>
      </c>
      <c r="M13" s="395" t="str">
        <f>IFERROR(__xludf.DUMMYFUNCTION("GOOGLETRANSLATE(A13,""zh-tw"",""zh"")"),"施法")</f>
        <v>施法</v>
      </c>
      <c r="N13" s="317" t="str">
        <f>IFERROR(__xludf.DUMMYFUNCTION("GOOGLETRANSLATE(B13,""zh-tw"",""zh"")"),"-")</f>
        <v>-</v>
      </c>
      <c r="O13" s="394" t="str">
        <f>IFERROR(__xludf.DUMMYFUNCTION("GOOGLETRANSLATE(C13,""zh-tw"",""zh"")"),"魔法吟唱中")</f>
        <v>魔法吟唱中</v>
      </c>
      <c r="P13" s="396" t="str">
        <f>IFERROR(__xludf.DUMMYFUNCTION("GOOGLETRANSLATE(D13,""zh-tw"",""zh"")"),"法杖武器滑鼠右键")</f>
        <v>法杖武器滑鼠右键</v>
      </c>
      <c r="Q13" s="138" t="str">
        <f>IFERROR(__xludf.DUMMYFUNCTION("GOOGLETRANSLATE(A13,""zh-tw"",""es-MX"")"),"Lanzamiento de hechizos")</f>
        <v>Lanzamiento de hechizos</v>
      </c>
      <c r="R13" s="142" t="str">
        <f>IFERROR(__xludf.DUMMYFUNCTION("GOOGLETRANSLATE(B13,""zh-tw"",""es-MX"")"),"-")</f>
        <v>-</v>
      </c>
      <c r="S13" s="303" t="str">
        <f>IFERROR(__xludf.DUMMYFUNCTION("GOOGLETRANSLATE(C13,""zh-tw"",""es-MX"")"),"Durante el canto mágico")</f>
        <v>Durante el canto mágico</v>
      </c>
      <c r="T13" s="141" t="str">
        <f>IFERROR(__xludf.DUMMYFUNCTION("GOOGLETRANSLATE(D13,""zh-tw"",""es-MX"")"),"Haz clic derecho en el arma del bastón.")</f>
        <v>Haz clic derecho en el arma del bastón.</v>
      </c>
      <c r="U13" s="138" t="str">
        <f>IFERROR(__xludf.DUMMYFUNCTION("GOOGLETRANSLATE(A13,""zh-tw"",""KO"")"),"주문시전")</f>
        <v>주문시전</v>
      </c>
      <c r="V13" s="142" t="str">
        <f>IFERROR(__xludf.DUMMYFUNCTION("GOOGLETRANSLATE(B13,""zh-tw"",""KO"")"),"-")</f>
        <v>-</v>
      </c>
      <c r="W13" s="303" t="str">
        <f>IFERROR(__xludf.DUMMYFUNCTION("GOOGLETRANSLATE(C13,""zh-tw"",""KO"")"),"마법의 주문을 외우는 동안")</f>
        <v>마법의 주문을 외우는 동안</v>
      </c>
      <c r="X13" s="141" t="str">
        <f>IFERROR(__xludf.DUMMYFUNCTION("GOOGLETRANSLATE(D13,""zh-tw"",""KO"")"),"지팡이 무기를 마우스 오른쪽 버튼으로 클릭합니다.")</f>
        <v>지팡이 무기를 마우스 오른쪽 버튼으로 클릭합니다.</v>
      </c>
      <c r="Y13" s="395" t="str">
        <f>IFERROR(__xludf.DUMMYFUNCTION("GOOGLETRANSLATE(A13,""zh-tw"",""RU"")"),"Колдовство")</f>
        <v>Колдовство</v>
      </c>
      <c r="Z13" s="317" t="str">
        <f>IFERROR(__xludf.DUMMYFUNCTION("GOOGLETRANSLATE(B13,""zh-tw"",""RU"")"),"-")</f>
        <v>-</v>
      </c>
      <c r="AA13" s="394" t="str">
        <f>IFERROR(__xludf.DUMMYFUNCTION("GOOGLETRANSLATE(C13,""zh-tw"",""RU"")"),"Во время магического песнопения")</f>
        <v>Во время магического песнопения</v>
      </c>
      <c r="AB13" s="396" t="str">
        <f>IFERROR(__xludf.DUMMYFUNCTION("GOOGLETRANSLATE(D13,""zh-tw"",""RU"")"),"Щелкните правой кнопкой мыши по оружию-посоху.")</f>
        <v>Щелкните правой кнопкой мыши по оружию-посоху.</v>
      </c>
      <c r="AC13" s="395" t="str">
        <f>IFERROR(__xludf.DUMMYFUNCTION("GOOGLETRANSLATE(A13,""zh-tw"",""DE"")"),"Zauberwirken")</f>
        <v>Zauberwirken</v>
      </c>
      <c r="AD13" s="317" t="str">
        <f>IFERROR(__xludf.DUMMYFUNCTION("GOOGLETRANSLATE(B13,""zh-tw"",""DE"")"),"-")</f>
        <v>-</v>
      </c>
      <c r="AE13" s="394" t="str">
        <f>IFERROR(__xludf.DUMMYFUNCTION("GOOGLETRANSLATE(C13,""zh-tw"",""DE"")"),"Während des Zaubergesangs")</f>
        <v>Während des Zaubergesangs</v>
      </c>
      <c r="AF13" s="396" t="str">
        <f>IFERROR(__xludf.DUMMYFUNCTION("GOOGLETRANSLATE(D13,""zh-tw"",""DE"")"),"Rechtsklicken Sie auf die Stabwaffe.")</f>
        <v>Rechtsklicken Sie auf die Stabwaffe.</v>
      </c>
      <c r="AG13" s="118" t="s">
        <v>8354</v>
      </c>
      <c r="AH13" s="51" t="s">
        <v>813</v>
      </c>
      <c r="AI13" s="213" t="s">
        <v>8355</v>
      </c>
      <c r="AJ13" s="122" t="s">
        <v>8356</v>
      </c>
      <c r="AK13" s="106" t="s">
        <v>8357</v>
      </c>
      <c r="AL13" s="51" t="s">
        <v>813</v>
      </c>
      <c r="AM13" s="304" t="s">
        <v>8358</v>
      </c>
      <c r="AN13" s="122" t="s">
        <v>8359</v>
      </c>
      <c r="AO13" s="397"/>
      <c r="AP13" s="397"/>
    </row>
    <row r="14">
      <c r="A14" s="175" t="s">
        <v>8360</v>
      </c>
      <c r="B14" s="315" t="s">
        <v>8361</v>
      </c>
      <c r="C14" s="214" t="s">
        <v>8362</v>
      </c>
      <c r="D14" s="393" t="s">
        <v>8363</v>
      </c>
      <c r="E14" s="175" t="s">
        <v>8360</v>
      </c>
      <c r="F14" s="315" t="s">
        <v>8364</v>
      </c>
      <c r="G14" s="214" t="s">
        <v>8365</v>
      </c>
      <c r="H14" s="393" t="s">
        <v>8366</v>
      </c>
      <c r="I14" s="175" t="s">
        <v>8367</v>
      </c>
      <c r="J14" s="315" t="s">
        <v>8368</v>
      </c>
      <c r="K14" s="214" t="s">
        <v>8369</v>
      </c>
      <c r="L14" s="393" t="s">
        <v>8370</v>
      </c>
      <c r="M14" s="395" t="str">
        <f>IFERROR(__xludf.DUMMYFUNCTION("GOOGLETRANSLATE(A14,""zh-tw"",""zh"")"),"中毒")</f>
        <v>中毒</v>
      </c>
      <c r="N14" s="317" t="str">
        <f>IFERROR(__xludf.DUMMYFUNCTION("GOOGLETRANSLATE(B14,""zh-tw"",""zh"")"),"体内感染了毒素")</f>
        <v>体内感染了毒素</v>
      </c>
      <c r="O14" s="394" t="str">
        <f>IFERROR(__xludf.DUMMYFUNCTION("GOOGLETRANSLATE(C14,""zh-tw"",""zh"")"),"随时间经过受到更多伤害")</f>
        <v>随时间经过受到更多伤害</v>
      </c>
      <c r="P14" s="396" t="str">
        <f>IFERROR(__xludf.DUMMYFUNCTION("GOOGLETRANSLATE(D14,""zh-tw"",""zh"")"),"被丧尸攻击")</f>
        <v>被丧尸攻击</v>
      </c>
      <c r="Q14" s="138" t="str">
        <f>IFERROR(__xludf.DUMMYFUNCTION("GOOGLETRANSLATE(A14,""zh-tw"",""es-MX"")"),"Envenenamiento")</f>
        <v>Envenenamiento</v>
      </c>
      <c r="R14" s="142" t="str">
        <f>IFERROR(__xludf.DUMMYFUNCTION("GOOGLETRANSLATE(B14,""zh-tw"",""es-MX"")"),"Infección con toxinas")</f>
        <v>Infección con toxinas</v>
      </c>
      <c r="S14" s="303" t="str">
        <f>IFERROR(__xludf.DUMMYFUNCTION("GOOGLETRANSLATE(C14,""zh-tw"",""es-MX"")"),"Más daños con el tiempo")</f>
        <v>Más daños con el tiempo</v>
      </c>
      <c r="T14" s="141" t="str">
        <f>IFERROR(__xludf.DUMMYFUNCTION("GOOGLETRANSLATE(D14,""zh-tw"",""es-MX"")"),"Atacado por zombies")</f>
        <v>Atacado por zombies</v>
      </c>
      <c r="U14" s="138" t="str">
        <f>IFERROR(__xludf.DUMMYFUNCTION("GOOGLETRANSLATE(A14,""zh-tw"",""KO"")"),"중독")</f>
        <v>중독</v>
      </c>
      <c r="V14" s="142" t="str">
        <f>IFERROR(__xludf.DUMMYFUNCTION("GOOGLETRANSLATE(B14,""zh-tw"",""KO"")"),"독소 감염")</f>
        <v>독소 감염</v>
      </c>
      <c r="W14" s="303" t="str">
        <f>IFERROR(__xludf.DUMMYFUNCTION("GOOGLETRANSLATE(C14,""zh-tw"",""KO"")"),"시간이 지남에 따라 더 많은 손상")</f>
        <v>시간이 지남에 따라 더 많은 손상</v>
      </c>
      <c r="X14" s="141" t="str">
        <f>IFERROR(__xludf.DUMMYFUNCTION("GOOGLETRANSLATE(D14,""zh-tw"",""KO"")"),"좀비의 공격을 받다")</f>
        <v>좀비의 공격을 받다</v>
      </c>
      <c r="Y14" s="395" t="str">
        <f>IFERROR(__xludf.DUMMYFUNCTION("GOOGLETRANSLATE(A14,""zh-tw"",""RU"")"),"Отравление")</f>
        <v>Отравление</v>
      </c>
      <c r="Z14" s="317" t="str">
        <f>IFERROR(__xludf.DUMMYFUNCTION("GOOGLETRANSLATE(B14,""zh-tw"",""RU"")"),"Заражение токсинами")</f>
        <v>Заражение токсинами</v>
      </c>
      <c r="AA14" s="394" t="str">
        <f>IFERROR(__xludf.DUMMYFUNCTION("GOOGLETRANSLATE(C14,""zh-tw"",""RU"")"),"Со временем ущерб увеличивается")</f>
        <v>Со временем ущерб увеличивается</v>
      </c>
      <c r="AB14" s="396" t="str">
        <f>IFERROR(__xludf.DUMMYFUNCTION("GOOGLETRANSLATE(D14,""zh-tw"",""RU"")"),"Напали зомби")</f>
        <v>Напали зомби</v>
      </c>
      <c r="AC14" s="395" t="str">
        <f>IFERROR(__xludf.DUMMYFUNCTION("GOOGLETRANSLATE(A14,""zh-tw"",""DE"")"),"Vergiftung")</f>
        <v>Vergiftung</v>
      </c>
      <c r="AD14" s="317" t="str">
        <f>IFERROR(__xludf.DUMMYFUNCTION("GOOGLETRANSLATE(B14,""zh-tw"",""DE"")"),"Infektion mit Toxinen")</f>
        <v>Infektion mit Toxinen</v>
      </c>
      <c r="AE14" s="394" t="str">
        <f>IFERROR(__xludf.DUMMYFUNCTION("GOOGLETRANSLATE(C14,""zh-tw"",""DE"")"),"Mehr Schaden im Laufe der Zeit")</f>
        <v>Mehr Schaden im Laufe der Zeit</v>
      </c>
      <c r="AF14" s="396" t="str">
        <f>IFERROR(__xludf.DUMMYFUNCTION("GOOGLETRANSLATE(D14,""zh-tw"",""DE"")"),"Von Zombies angegriffen")</f>
        <v>Von Zombies angegriffen</v>
      </c>
      <c r="AG14" s="106" t="s">
        <v>8371</v>
      </c>
      <c r="AH14" s="136" t="s">
        <v>8372</v>
      </c>
      <c r="AI14" s="304" t="s">
        <v>8373</v>
      </c>
      <c r="AJ14" s="122" t="s">
        <v>8374</v>
      </c>
      <c r="AK14" s="106" t="s">
        <v>8375</v>
      </c>
      <c r="AL14" s="51" t="s">
        <v>8376</v>
      </c>
      <c r="AM14" s="304" t="s">
        <v>8377</v>
      </c>
      <c r="AN14" s="122" t="s">
        <v>8378</v>
      </c>
      <c r="AO14" s="397"/>
      <c r="AP14" s="397"/>
    </row>
    <row r="15">
      <c r="A15" s="175" t="s">
        <v>8379</v>
      </c>
      <c r="B15" s="315" t="s">
        <v>8380</v>
      </c>
      <c r="C15" s="214" t="s">
        <v>8381</v>
      </c>
      <c r="D15" s="393" t="s">
        <v>8382</v>
      </c>
      <c r="E15" s="395" t="str">
        <f>IFERROR(__xludf.DUMMYFUNCTION("GOOGLETRANSLATE(A15,""zh-tw"",""ja"")"),"出血")</f>
        <v>出血</v>
      </c>
      <c r="F15" s="315" t="s">
        <v>8383</v>
      </c>
      <c r="G15" s="394" t="str">
        <f>IFERROR(__xludf.DUMMYFUNCTION("GOOGLETRANSLATE(C15,""zh-tw"",""ja"")"),"受けるダメージは最大スタミナに基づいて決まります。")</f>
        <v>受けるダメージは最大スタミナに基づいて決まります。</v>
      </c>
      <c r="H15" s="393" t="s">
        <v>8384</v>
      </c>
      <c r="I15" s="395" t="str">
        <f>IFERROR(__xludf.DUMMYFUNCTION("GOOGLETRANSLATE(A15,""zh-tw"",""en"")"),"Bleeding")</f>
        <v>Bleeding</v>
      </c>
      <c r="J15" s="315" t="s">
        <v>8385</v>
      </c>
      <c r="K15" s="214" t="s">
        <v>8386</v>
      </c>
      <c r="L15" s="393" t="s">
        <v>8387</v>
      </c>
      <c r="M15" s="395" t="str">
        <f>IFERROR(__xludf.DUMMYFUNCTION("GOOGLETRANSLATE(A15,""zh-tw"",""zh"")"),"出血")</f>
        <v>出血</v>
      </c>
      <c r="N15" s="317" t="str">
        <f>IFERROR(__xludf.DUMMYFUNCTION("GOOGLETRANSLATE(B15,""zh-tw"",""zh"")"),"血流不止。")</f>
        <v>血流不止。</v>
      </c>
      <c r="O15" s="394" t="str">
        <f>IFERROR(__xludf.DUMMYFUNCTION("GOOGLETRANSLATE(C15,""zh-tw"",""zh"")"),"根据体力上限受到伤害")</f>
        <v>根据体力上限受到伤害</v>
      </c>
      <c r="P15" s="396" t="str">
        <f>IFERROR(__xludf.DUMMYFUNCTION("GOOGLETRANSLATE(D15,""zh-tw"",""zh"")"),"被小红兽攻击")</f>
        <v>被小红兽攻击</v>
      </c>
      <c r="Q15" s="138" t="str">
        <f>IFERROR(__xludf.DUMMYFUNCTION("GOOGLETRANSLATE(A15,""zh-tw"",""es-MX"")"),"Sangría")</f>
        <v>Sangría</v>
      </c>
      <c r="R15" s="142" t="str">
        <f>IFERROR(__xludf.DUMMYFUNCTION("GOOGLETRANSLATE(B15,""zh-tw"",""es-MX"")"),"El sangrado no se detenía.")</f>
        <v>El sangrado no se detenía.</v>
      </c>
      <c r="S15" s="303" t="str">
        <f>IFERROR(__xludf.DUMMYFUNCTION("GOOGLETRANSLATE(C15,""zh-tw"",""es-MX"")"),"Daño recibido según la resistencia máxima.")</f>
        <v>Daño recibido según la resistencia máxima.</v>
      </c>
      <c r="T15" s="141" t="str">
        <f>IFERROR(__xludf.DUMMYFUNCTION("GOOGLETRANSLATE(D15,""zh-tw"",""es-MX"")"),"Atacado por la pequeña bestia roja")</f>
        <v>Atacado por la pequeña bestia roja</v>
      </c>
      <c r="U15" s="138" t="str">
        <f>IFERROR(__xludf.DUMMYFUNCTION("GOOGLETRANSLATE(A15,""zh-tw"",""KO"")"),"출혈")</f>
        <v>출혈</v>
      </c>
      <c r="V15" s="142" t="str">
        <f>IFERROR(__xludf.DUMMYFUNCTION("GOOGLETRANSLATE(B15,""zh-tw"",""KO"")"),"출혈이 멈추지 않았습니다.")</f>
        <v>출혈이 멈추지 않았습니다.</v>
      </c>
      <c r="W15" s="303" t="str">
        <f>IFERROR(__xludf.DUMMYFUNCTION("GOOGLETRANSLATE(C15,""zh-tw"",""KO"")"),"최대 체력에 따라 받은 피해량입니다.")</f>
        <v>최대 체력에 따라 받은 피해량입니다.</v>
      </c>
      <c r="X15" s="141" t="str">
        <f>IFERROR(__xludf.DUMMYFUNCTION("GOOGLETRANSLATE(D15,""zh-tw"",""KO"")"),"작은 붉은 짐승에게 공격당함")</f>
        <v>작은 붉은 짐승에게 공격당함</v>
      </c>
      <c r="Y15" s="395" t="str">
        <f>IFERROR(__xludf.DUMMYFUNCTION("GOOGLETRANSLATE(A15,""zh-tw"",""RU"")"),"Кровотечение")</f>
        <v>Кровотечение</v>
      </c>
      <c r="Z15" s="317" t="str">
        <f>IFERROR(__xludf.DUMMYFUNCTION("GOOGLETRANSLATE(B15,""zh-tw"",""RU"")"),"Кровотечение не останавливалось.")</f>
        <v>Кровотечение не останавливалось.</v>
      </c>
      <c r="AA15" s="394"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96" t="str">
        <f>IFERROR(__xludf.DUMMYFUNCTION("GOOGLETRANSLATE(D15,""zh-tw"",""RU"")"),"Напал маленький красный зверь")</f>
        <v>Напал маленький красный зверь</v>
      </c>
      <c r="AC15" s="395" t="str">
        <f>IFERROR(__xludf.DUMMYFUNCTION("GOOGLETRANSLATE(A15,""zh-tw"",""DE"")"),"Blutung")</f>
        <v>Blutung</v>
      </c>
      <c r="AD15" s="317" t="str">
        <f>IFERROR(__xludf.DUMMYFUNCTION("GOOGLETRANSLATE(B15,""zh-tw"",""DE"")"),"Die Blutung hörte nicht auf.")</f>
        <v>Die Blutung hörte nicht auf.</v>
      </c>
      <c r="AE15" s="394" t="str">
        <f>IFERROR(__xludf.DUMMYFUNCTION("GOOGLETRANSLATE(C15,""zh-tw"",""DE"")"),"Der erlittene Schaden basiert auf der maximalen Ausdauer.")</f>
        <v>Der erlittene Schaden basiert auf der maximalen Ausdauer.</v>
      </c>
      <c r="AF15" s="396" t="str">
        <f>IFERROR(__xludf.DUMMYFUNCTION("GOOGLETRANSLATE(D15,""zh-tw"",""DE"")"),"Angegriffen von dem kleinen roten Biest")</f>
        <v>Angegriffen von dem kleinen roten Biest</v>
      </c>
      <c r="AG15" s="106" t="s">
        <v>8388</v>
      </c>
      <c r="AH15" s="136" t="s">
        <v>8389</v>
      </c>
      <c r="AI15" s="304" t="s">
        <v>8390</v>
      </c>
      <c r="AJ15" s="122" t="s">
        <v>8391</v>
      </c>
      <c r="AK15" s="106" t="s">
        <v>8392</v>
      </c>
      <c r="AL15" s="51" t="s">
        <v>8393</v>
      </c>
      <c r="AM15" s="304" t="s">
        <v>8394</v>
      </c>
      <c r="AN15" s="122" t="s">
        <v>8395</v>
      </c>
      <c r="AO15" s="397"/>
      <c r="AP15" s="397"/>
    </row>
    <row r="16">
      <c r="A16" s="175" t="s">
        <v>8396</v>
      </c>
      <c r="B16" s="315" t="s">
        <v>8397</v>
      </c>
      <c r="C16" s="214" t="s">
        <v>8398</v>
      </c>
      <c r="D16" s="393" t="s">
        <v>8399</v>
      </c>
      <c r="E16" s="175" t="s">
        <v>8400</v>
      </c>
      <c r="F16" s="317" t="str">
        <f>IFERROR(__xludf.DUMMYFUNCTION("GOOGLETRANSLATE(B16,""zh-tw"",""ja"")"),"見てください、この男は雷に打たれました！")</f>
        <v>見てください、この男は雷に打たれました！</v>
      </c>
      <c r="G16" s="214" t="s">
        <v>8401</v>
      </c>
      <c r="H16" s="393" t="s">
        <v>8402</v>
      </c>
      <c r="I16" s="175" t="s">
        <v>8403</v>
      </c>
      <c r="J16" s="315" t="s">
        <v>8404</v>
      </c>
      <c r="K16" s="214" t="s">
        <v>8405</v>
      </c>
      <c r="L16" s="393" t="s">
        <v>8406</v>
      </c>
      <c r="M16" s="395" t="str">
        <f>IFERROR(__xludf.DUMMYFUNCTION("GOOGLETRANSLATE(A16,""zh-tw"",""zh"")"),"打雷")</f>
        <v>打雷</v>
      </c>
      <c r="N16" s="317" t="str">
        <f>IFERROR(__xludf.DUMMYFUNCTION("GOOGLETRANSLATE(B16,""zh-tw"",""zh"")"),"看啊，这家伙被雷劈了！")</f>
        <v>看啊，这家伙被雷劈了！</v>
      </c>
      <c r="O16" s="394" t="str">
        <f>IFERROR(__xludf.DUMMYFUNCTION("GOOGLETRANSLATE(C16,""zh-tw"",""zh"")"),"全身麻痹无法动弹！")</f>
        <v>全身麻痹无法动弹！</v>
      </c>
      <c r="P16" s="396" t="str">
        <f>IFERROR(__xludf.DUMMYFUNCTION("GOOGLETRANSLATE(D16,""zh-tw"",""zh"")"),"会漏电的的不良品、哔哩哔哩史莱姆")</f>
        <v>会漏电的的不良品、哔哩哔哩史莱姆</v>
      </c>
      <c r="Q16" s="138" t="str">
        <f>IFERROR(__xludf.DUMMYFUNCTION("GOOGLETRANSLATE(A16,""zh-tw"",""es-MX"")"),"trueno")</f>
        <v>trueno</v>
      </c>
      <c r="R16" s="142" t="str">
        <f>IFERROR(__xludf.DUMMYFUNCTION("GOOGLETRANSLATE(B16,""zh-tw"",""es-MX"")"),"¡Mira, a este tipo le cayó un rayo!")</f>
        <v>¡Mira, a este tipo le cayó un rayo!</v>
      </c>
      <c r="S16" s="303" t="str">
        <f>IFERROR(__xludf.DUMMYFUNCTION("GOOGLETRANSLATE(C16,""zh-tw"",""es-MX"")"),"¡Parálisis completa, incapaz de moverse!")</f>
        <v>¡Parálisis completa, incapaz de moverse!</v>
      </c>
      <c r="T16" s="141" t="str">
        <f>IFERROR(__xludf.DUMMYFUNCTION("GOOGLETRANSLATE(D16,""zh-tw"",""es-MX"")"),"Productos defectuosos que pierden electricidad; limo Bilibili")</f>
        <v>Productos defectuosos que pierden electricidad; limo Bilibili</v>
      </c>
      <c r="U16" s="138" t="str">
        <f>IFERROR(__xludf.DUMMYFUNCTION("GOOGLETRANSLATE(A16,""zh-tw"",""KO"")"),"우뢰")</f>
        <v>우뢰</v>
      </c>
      <c r="V16" s="142" t="str">
        <f>IFERROR(__xludf.DUMMYFUNCTION("GOOGLETRANSLATE(B16,""zh-tw"",""KO"")"),"보세요, 이 사람이 번개를 맞았어요!")</f>
        <v>보세요, 이 사람이 번개를 맞았어요!</v>
      </c>
      <c r="W16" s="303" t="str">
        <f>IFERROR(__xludf.DUMMYFUNCTION("GOOGLETRANSLATE(C16,""zh-tw"",""KO"")"),"완전 마비로 움직일 수 없습니다!")</f>
        <v>완전 마비로 움직일 수 없습니다!</v>
      </c>
      <c r="X16" s="141" t="str">
        <f>IFERROR(__xludf.DUMMYFUNCTION("GOOGLETRANSLATE(D16,""zh-tw"",""KO"")"),"전기가 새는 불량품, 빌리빌리 슬라임")</f>
        <v>전기가 새는 불량품, 빌리빌리 슬라임</v>
      </c>
      <c r="Y16" s="395" t="str">
        <f>IFERROR(__xludf.DUMMYFUNCTION("GOOGLETRANSLATE(A16,""zh-tw"",""RU"")"),"гром")</f>
        <v>гром</v>
      </c>
      <c r="Z16" s="317" t="str">
        <f>IFERROR(__xludf.DUMMYFUNCTION("GOOGLETRANSLATE(B16,""zh-tw"",""RU"")"),"Смотри, в этого парня ударила молния!")</f>
        <v>Смотри, в этого парня ударила молния!</v>
      </c>
      <c r="AA16" s="394" t="str">
        <f>IFERROR(__xludf.DUMMYFUNCTION("GOOGLETRANSLATE(C16,""zh-tw"",""RU"")"),"Полный паралич, не могу пошевелиться!")</f>
        <v>Полный паралич, не могу пошевелиться!</v>
      </c>
      <c r="AB16" s="396" t="str">
        <f>IFERROR(__xludf.DUMMYFUNCTION("GOOGLETRANSLATE(D16,""zh-tw"",""RU"")"),"Дефектные продукты, пропускающие электричество; слизь Bilibili")</f>
        <v>Дефектные продукты, пропускающие электричество; слизь Bilibili</v>
      </c>
      <c r="AC16" s="395" t="str">
        <f>IFERROR(__xludf.DUMMYFUNCTION("GOOGLETRANSLATE(A16,""zh-tw"",""DE"")"),"Donner")</f>
        <v>Donner</v>
      </c>
      <c r="AD16" s="317" t="str">
        <f>IFERROR(__xludf.DUMMYFUNCTION("GOOGLETRANSLATE(B16,""zh-tw"",""DE"")"),"Schau mal, dieser Typ wurde vom Blitz getroffen!")</f>
        <v>Schau mal, dieser Typ wurde vom Blitz getroffen!</v>
      </c>
      <c r="AE16" s="394" t="str">
        <f>IFERROR(__xludf.DUMMYFUNCTION("GOOGLETRANSLATE(C16,""zh-tw"",""DE"")"),"Völlige Lähmung, unfähig sich zu bewegen!")</f>
        <v>Völlige Lähmung, unfähig sich zu bewegen!</v>
      </c>
      <c r="AF16" s="396" t="str">
        <f>IFERROR(__xludf.DUMMYFUNCTION("GOOGLETRANSLATE(D16,""zh-tw"",""DE"")"),"Defekte Produkte, die Strom verlieren; Bilibili-Schleim")</f>
        <v>Defekte Produkte, die Strom verlieren; Bilibili-Schleim</v>
      </c>
      <c r="AG16" s="106" t="s">
        <v>8407</v>
      </c>
      <c r="AH16" s="136" t="s">
        <v>8408</v>
      </c>
      <c r="AI16" s="213" t="s">
        <v>8409</v>
      </c>
      <c r="AJ16" s="122" t="s">
        <v>8410</v>
      </c>
      <c r="AK16" s="106" t="s">
        <v>8411</v>
      </c>
      <c r="AL16" s="51" t="s">
        <v>8412</v>
      </c>
      <c r="AM16" s="304" t="s">
        <v>8413</v>
      </c>
      <c r="AN16" s="122" t="s">
        <v>8414</v>
      </c>
      <c r="AO16" s="397"/>
      <c r="AP16" s="397"/>
    </row>
    <row r="17">
      <c r="A17" s="175" t="s">
        <v>8415</v>
      </c>
      <c r="B17" s="315" t="s">
        <v>8416</v>
      </c>
      <c r="C17" s="214" t="s">
        <v>8417</v>
      </c>
      <c r="D17" s="393" t="s">
        <v>8418</v>
      </c>
      <c r="E17" s="175" t="s">
        <v>8415</v>
      </c>
      <c r="F17" s="317" t="str">
        <f>IFERROR(__xludf.DUMMYFUNCTION("GOOGLETRANSLATE(B17,""zh-tw"",""ja"")"),"暑い！暑い！暑い！暑い！")</f>
        <v>暑い！暑い！暑い！暑い！</v>
      </c>
      <c r="G17" s="214" t="s">
        <v>8419</v>
      </c>
      <c r="H17" s="393" t="s">
        <v>8420</v>
      </c>
      <c r="I17" s="175" t="s">
        <v>8421</v>
      </c>
      <c r="J17" s="315" t="s">
        <v>8422</v>
      </c>
      <c r="K17" s="214" t="s">
        <v>8423</v>
      </c>
      <c r="L17" s="393" t="s">
        <v>8424</v>
      </c>
      <c r="M17" s="395" t="str">
        <f>IFERROR(__xludf.DUMMYFUNCTION("GOOGLETRANSLATE(A17,""zh-tw"",""zh"")"),"炎上")</f>
        <v>炎上</v>
      </c>
      <c r="N17" s="317" t="str">
        <f>IFERROR(__xludf.DUMMYFUNCTION("GOOGLETRANSLATE(B17,""zh-tw"",""zh"")"),"好烫好烫好烫——！")</f>
        <v>好烫好烫好烫——！</v>
      </c>
      <c r="O17" s="394" t="str">
        <f>IFERROR(__xludf.DUMMYFUNCTION("GOOGLETRANSLATE(C17,""zh-tw"",""zh"")"),"对自身范围内所有单位持续的灼烧")</f>
        <v>对自身范围内所有单位持续的灼烧</v>
      </c>
      <c r="P17" s="396" t="str">
        <f>IFERROR(__xludf.DUMMYFUNCTION("GOOGLETRANSLATE(D17,""zh-tw"",""zh"")"),"被火焰属性攻击")</f>
        <v>被火焰属性攻击</v>
      </c>
      <c r="Q17" s="138" t="str">
        <f>IFERROR(__xludf.DUMMYFUNCTION("GOOGLETRANSLATE(A17,""zh-tw"",""es-MX"")"),"Yan Shang")</f>
        <v>Yan Shang</v>
      </c>
      <c r="R17" s="142" t="str">
        <f>IFERROR(__xludf.DUMMYFUNCTION("GOOGLETRANSLATE(B17,""zh-tw"",""es-MX"")"),"¡Hace mucho calor! ¡Hace mucho calor! ¡Hace mucho calor!")</f>
        <v>¡Hace mucho calor! ¡Hace mucho calor! ¡Hace mucho calor!</v>
      </c>
      <c r="S17" s="303" t="str">
        <f>IFERROR(__xludf.DUMMYFUNCTION("GOOGLETRANSLATE(C17,""zh-tw"",""es-MX"")"),"Quema continua de todas las unidades dentro de su alcance.")</f>
        <v>Quema continua de todas las unidades dentro de su alcance.</v>
      </c>
      <c r="T17" s="141" t="str">
        <f>IFERROR(__xludf.DUMMYFUNCTION("GOOGLETRANSLATE(D17,""zh-tw"",""es-MX"")"),"Atacado por el fuego")</f>
        <v>Atacado por el fuego</v>
      </c>
      <c r="U17" s="138" t="str">
        <f>IFERROR(__xludf.DUMMYFUNCTION("GOOGLETRANSLATE(A17,""zh-tw"",""KO"")"),"옌샹")</f>
        <v>옌샹</v>
      </c>
      <c r="V17" s="142" t="str">
        <f>IFERROR(__xludf.DUMMYFUNCTION("GOOGLETRANSLATE(B17,""zh-tw"",""KO"")"),"너무 더워요! 너무 더워요! 너무 더워요!")</f>
        <v>너무 더워요! 너무 더워요! 너무 더워요!</v>
      </c>
      <c r="W17" s="303" t="str">
        <f>IFERROR(__xludf.DUMMYFUNCTION("GOOGLETRANSLATE(C17,""zh-tw"",""KO"")"),"범위 내의 모든 유닛을 지속적으로 불태웁니다.")</f>
        <v>범위 내의 모든 유닛을 지속적으로 불태웁니다.</v>
      </c>
      <c r="X17" s="141" t="str">
        <f>IFERROR(__xludf.DUMMYFUNCTION("GOOGLETRANSLATE(D17,""zh-tw"",""KO"")"),"화재로 공격받다")</f>
        <v>화재로 공격받다</v>
      </c>
      <c r="Y17" s="395" t="str">
        <f>IFERROR(__xludf.DUMMYFUNCTION("GOOGLETRANSLATE(A17,""zh-tw"",""RU"")"),"Ян Шан")</f>
        <v>Ян Шан</v>
      </c>
      <c r="Z17" s="317" t="str">
        <f>IFERROR(__xludf.DUMMYFUNCTION("GOOGLETRANSLATE(B17,""zh-tw"",""RU"")"),"Так жарко! Так жарко! Так жарко!")</f>
        <v>Так жарко! Так жарко! Так жарко!</v>
      </c>
      <c r="AA17" s="394" t="str">
        <f>IFERROR(__xludf.DUMMYFUNCTION("GOOGLETRANSLATE(C17,""zh-tw"",""RU"")"),"Непрерывное горение всех единиц в радиусе действия.")</f>
        <v>Непрерывное горение всех единиц в радиусе действия.</v>
      </c>
      <c r="AB17" s="396" t="str">
        <f>IFERROR(__xludf.DUMMYFUNCTION("GOOGLETRANSLATE(D17,""zh-tw"",""RU"")"),"Атакован огнем")</f>
        <v>Атакован огнем</v>
      </c>
      <c r="AC17" s="395" t="str">
        <f>IFERROR(__xludf.DUMMYFUNCTION("GOOGLETRANSLATE(A17,""zh-tw"",""DE"")"),"Yan Shang")</f>
        <v>Yan Shang</v>
      </c>
      <c r="AD17" s="317" t="str">
        <f>IFERROR(__xludf.DUMMYFUNCTION("GOOGLETRANSLATE(B17,""zh-tw"",""DE"")"),"Es ist so heiß! Es ist so heiß! Es ist so heiß!")</f>
        <v>Es ist so heiß! Es ist so heiß! Es ist so heiß!</v>
      </c>
      <c r="AE17" s="394" t="str">
        <f>IFERROR(__xludf.DUMMYFUNCTION("GOOGLETRANSLATE(C17,""zh-tw"",""DE"")"),"Kontinuierliches Abbrennen aller Einheiten innerhalb seiner Reichweite.")</f>
        <v>Kontinuierliches Abbrennen aller Einheiten innerhalb seiner Reichweite.</v>
      </c>
      <c r="AF17" s="396" t="str">
        <f>IFERROR(__xludf.DUMMYFUNCTION("GOOGLETRANSLATE(D17,""zh-tw"",""DE"")"),"Von Feuer angegriffen")</f>
        <v>Von Feuer angegriffen</v>
      </c>
      <c r="AG17" s="106" t="s">
        <v>8425</v>
      </c>
      <c r="AH17" s="51" t="s">
        <v>8426</v>
      </c>
      <c r="AI17" s="213" t="s">
        <v>8427</v>
      </c>
      <c r="AJ17" s="135" t="s">
        <v>8428</v>
      </c>
      <c r="AK17" s="106" t="s">
        <v>8429</v>
      </c>
      <c r="AL17" s="51" t="s">
        <v>8430</v>
      </c>
      <c r="AM17" s="304" t="s">
        <v>8431</v>
      </c>
      <c r="AN17" s="122" t="s">
        <v>8432</v>
      </c>
      <c r="AO17" s="397"/>
      <c r="AP17" s="397"/>
    </row>
    <row r="18">
      <c r="A18" s="175" t="s">
        <v>8433</v>
      </c>
      <c r="B18" s="315" t="s">
        <v>8434</v>
      </c>
      <c r="C18" s="214" t="s">
        <v>8435</v>
      </c>
      <c r="D18" s="393" t="s">
        <v>4876</v>
      </c>
      <c r="E18" s="175" t="s">
        <v>8436</v>
      </c>
      <c r="F18" s="317" t="str">
        <f>IFERROR(__xludf.DUMMYFUNCTION("GOOGLETRANSLATE(B18,""zh-tw"",""ja"")"),"アイスキャンディーにしてみよう！")</f>
        <v>アイスキャンディーにしてみよう！</v>
      </c>
      <c r="G18" s="214" t="s">
        <v>8437</v>
      </c>
      <c r="H18" s="393" t="s">
        <v>8438</v>
      </c>
      <c r="I18" s="175" t="s">
        <v>8439</v>
      </c>
      <c r="J18" s="315" t="s">
        <v>8440</v>
      </c>
      <c r="K18" s="214" t="s">
        <v>8441</v>
      </c>
      <c r="L18" s="393" t="s">
        <v>4881</v>
      </c>
      <c r="M18" s="395" t="str">
        <f>IFERROR(__xludf.DUMMYFUNCTION("GOOGLETRANSLATE(A18,""zh-tw"",""zh"")"),"冰结")</f>
        <v>冰结</v>
      </c>
      <c r="N18" s="317" t="str">
        <f>IFERROR(__xludf.DUMMYFUNCTION("GOOGLETRANSLATE(B18,""zh-tw"",""zh"")"),"变成冰棍吧！")</f>
        <v>变成冰棍吧！</v>
      </c>
      <c r="O18" s="394" t="str">
        <f>IFERROR(__xludf.DUMMYFUNCTION("GOOGLETRANSLATE(C18,""zh-tw"",""zh"")"),"被冻住了！")</f>
        <v>被冻住了！</v>
      </c>
      <c r="P18" s="396" t="str">
        <f>IFERROR(__xludf.DUMMYFUNCTION("GOOGLETRANSLATE(D18,""zh-tw"",""zh"")"),"急冻史莱姆")</f>
        <v>急冻史莱姆</v>
      </c>
      <c r="Q18" s="138" t="str">
        <f>IFERROR(__xludf.DUMMYFUNCTION("GOOGLETRANSLATE(A18,""zh-tw"",""es-MX"")"),"Hielo")</f>
        <v>Hielo</v>
      </c>
      <c r="R18" s="142" t="str">
        <f>IFERROR(__xludf.DUMMYFUNCTION("GOOGLETRANSLATE(B18,""zh-tw"",""es-MX"")"),"¡Conviértelo en un helado!")</f>
        <v>¡Conviértelo en un helado!</v>
      </c>
      <c r="S18" s="303" t="str">
        <f>IFERROR(__xludf.DUMMYFUNCTION("GOOGLETRANSLATE(C18,""zh-tw"",""es-MX"")"),"¡Está completamente congelado!")</f>
        <v>¡Está completamente congelado!</v>
      </c>
      <c r="T18" s="141" t="str">
        <f>IFERROR(__xludf.DUMMYFUNCTION("GOOGLETRANSLATE(D18,""zh-tw"",""es-MX"")"),"Slime congelado")</f>
        <v>Slime congelado</v>
      </c>
      <c r="U18" s="138" t="str">
        <f>IFERROR(__xludf.DUMMYFUNCTION("GOOGLETRANSLATE(A18,""zh-tw"",""KO"")"),"얼음")</f>
        <v>얼음</v>
      </c>
      <c r="V18" s="142" t="str">
        <f>IFERROR(__xludf.DUMMYFUNCTION("GOOGLETRANSLATE(B18,""zh-tw"",""KO"")"),"아이스팝으로 만들어 보세요!")</f>
        <v>아이스팝으로 만들어 보세요!</v>
      </c>
      <c r="W18" s="303" t="str">
        <f>IFERROR(__xludf.DUMMYFUNCTION("GOOGLETRANSLATE(C18,""zh-tw"",""KO"")"),"완전히 얼어붙어 버렸어요!")</f>
        <v>완전히 얼어붙어 버렸어요!</v>
      </c>
      <c r="X18" s="141" t="str">
        <f>IFERROR(__xludf.DUMMYFUNCTION("GOOGLETRANSLATE(D18,""zh-tw"",""KO"")"),"얼어붙은 슬라임")</f>
        <v>얼어붙은 슬라임</v>
      </c>
      <c r="Y18" s="395" t="str">
        <f>IFERROR(__xludf.DUMMYFUNCTION("GOOGLETRANSLATE(A18,""zh-tw"",""RU"")"),"Лед")</f>
        <v>Лед</v>
      </c>
      <c r="Z18" s="317" t="str">
        <f>IFERROR(__xludf.DUMMYFUNCTION("GOOGLETRANSLATE(B18,""zh-tw"",""RU"")"),"Превратите его в фруктовый лед!")</f>
        <v>Превратите его в фруктовый лед!</v>
      </c>
      <c r="AA18" s="394" t="str">
        <f>IFERROR(__xludf.DUMMYFUNCTION("GOOGLETRANSLATE(C18,""zh-tw"",""RU"")"),"Он замерз!")</f>
        <v>Он замерз!</v>
      </c>
      <c r="AB18" s="396" t="str">
        <f>IFERROR(__xludf.DUMMYFUNCTION("GOOGLETRANSLATE(D18,""zh-tw"",""RU"")"),"Замороженная слизь")</f>
        <v>Замороженная слизь</v>
      </c>
      <c r="AC18" s="395" t="str">
        <f>IFERROR(__xludf.DUMMYFUNCTION("GOOGLETRANSLATE(A18,""zh-tw"",""DE"")"),"Eis")</f>
        <v>Eis</v>
      </c>
      <c r="AD18" s="317" t="str">
        <f>IFERROR(__xludf.DUMMYFUNCTION("GOOGLETRANSLATE(B18,""zh-tw"",""DE"")"),"Verwandle es in ein Eis am Stiel!")</f>
        <v>Verwandle es in ein Eis am Stiel!</v>
      </c>
      <c r="AE18" s="394" t="str">
        <f>IFERROR(__xludf.DUMMYFUNCTION("GOOGLETRANSLATE(C18,""zh-tw"",""DE"")"),"Es ist komplett durchgefroren!")</f>
        <v>Es ist komplett durchgefroren!</v>
      </c>
      <c r="AF18" s="396" t="str">
        <f>IFERROR(__xludf.DUMMYFUNCTION("GOOGLETRANSLATE(D18,""zh-tw"",""DE"")"),"Gefrorener Schleim")</f>
        <v>Gefrorener Schleim</v>
      </c>
      <c r="AG18" s="106" t="s">
        <v>8442</v>
      </c>
      <c r="AH18" s="136" t="s">
        <v>8443</v>
      </c>
      <c r="AI18" s="213" t="s">
        <v>8444</v>
      </c>
      <c r="AJ18" s="122" t="s">
        <v>4887</v>
      </c>
      <c r="AK18" s="106" t="s">
        <v>8445</v>
      </c>
      <c r="AL18" s="51" t="s">
        <v>8446</v>
      </c>
      <c r="AM18" s="304" t="s">
        <v>8447</v>
      </c>
      <c r="AN18" s="122" t="s">
        <v>4889</v>
      </c>
      <c r="AO18" s="397"/>
      <c r="AP18" s="397"/>
    </row>
    <row r="19">
      <c r="A19" s="175" t="s">
        <v>8448</v>
      </c>
      <c r="B19" s="315" t="s">
        <v>8449</v>
      </c>
      <c r="C19" s="214" t="s">
        <v>8450</v>
      </c>
      <c r="D19" s="393" t="s">
        <v>8451</v>
      </c>
      <c r="E19" s="175" t="s">
        <v>8452</v>
      </c>
      <c r="F19" s="317" t="str">
        <f>IFERROR(__xludf.DUMMYFUNCTION("GOOGLETRANSLATE(B19,""zh-tw"",""ja"")"),"ふふ、私に反抗するとこうなるのね～♡")</f>
        <v>ふふ、私に反抗するとこうなるのね～♡</v>
      </c>
      <c r="G19" s="214" t="s">
        <v>8453</v>
      </c>
      <c r="H19" s="396" t="str">
        <f>IFERROR(__xludf.DUMMYFUNCTION("GOOGLETRANSLATE(D19,""zh-tw"",""ja"")"),"ミステリーショップでは魚はもらえません。")</f>
        <v>ミステリーショップでは魚はもらえません。</v>
      </c>
      <c r="I19" s="175" t="s">
        <v>8454</v>
      </c>
      <c r="J19" s="315" t="s">
        <v>8455</v>
      </c>
      <c r="K19" s="214" t="s">
        <v>8456</v>
      </c>
      <c r="L19" s="393" t="s">
        <v>8457</v>
      </c>
      <c r="M19" s="395" t="str">
        <f>IFERROR(__xludf.DUMMYFUNCTION("GOOGLETRANSLATE(A19,""zh-tw"",""zh"")"),"恶魔诅咒")</f>
        <v>恶魔诅咒</v>
      </c>
      <c r="N19" s="317" t="str">
        <f>IFERROR(__xludf.DUMMYFUNCTION("GOOGLETRANSLATE(B19,""zh-tw"",""zh"")"),"呋呋，这就是反抗我的下场噢~♡")</f>
        <v>呋呋，这就是反抗我的下场噢~♡</v>
      </c>
      <c r="O19" s="394" t="str">
        <f>IFERROR(__xludf.DUMMYFUNCTION("GOOGLETRANSLATE(C19,""zh-tw"",""zh"")"),"被奇怪的小鬼店长诅咒了")</f>
        <v>被奇怪的小鬼店长诅咒了</v>
      </c>
      <c r="P19" s="396" t="str">
        <f>IFERROR(__xludf.DUMMYFUNCTION("GOOGLETRANSLATE(D19,""zh-tw"",""zh"")"),"神秘商店不给鱼")</f>
        <v>神秘商店不给鱼</v>
      </c>
      <c r="Q19" s="138" t="str">
        <f>IFERROR(__xludf.DUMMYFUNCTION("GOOGLETRANSLATE(A19,""zh-tw"",""es-MX"")"),"Maldición del demonio")</f>
        <v>Maldición del demonio</v>
      </c>
      <c r="R19" s="142" t="str">
        <f>IFERROR(__xludf.DUMMYFUNCTION("GOOGLETRANSLATE(B19,""zh-tw"",""es-MX"")"),"Fufu, esto es lo que pasa cuando te rebelas contra mí~♡")</f>
        <v>Fufu, esto es lo que pasa cuando te rebelas contra mí~♡</v>
      </c>
      <c r="S19" s="303" t="str">
        <f>IFERROR(__xludf.DUMMYFUNCTION("GOOGLETRANSLATE(C19,""zh-tw"",""es-MX"")"),"Maldecido por el extraño y diablillo tendero")</f>
        <v>Maldecido por el extraño y diablillo tendero</v>
      </c>
      <c r="T19" s="141" t="str">
        <f>IFERROR(__xludf.DUMMYFUNCTION("GOOGLETRANSLATE(D19,""zh-tw"",""es-MX"")"),"La tienda misteriosa no te da pescado.")</f>
        <v>La tienda misteriosa no te da pescado.</v>
      </c>
      <c r="U19" s="138" t="str">
        <f>IFERROR(__xludf.DUMMYFUNCTION("GOOGLETRANSLATE(A19,""zh-tw"",""KO"")"),"악마의 저주")</f>
        <v>악마의 저주</v>
      </c>
      <c r="V19" s="142" t="str">
        <f>IFERROR(__xludf.DUMMYFUNCTION("GOOGLETRANSLATE(B19,""zh-tw"",""KO"")"),"후후, 나한테 반항하면 이렇게 되는 거야~♡")</f>
        <v>후후, 나한테 반항하면 이렇게 되는 거야~♡</v>
      </c>
      <c r="W19" s="303" t="str">
        <f>IFERROR(__xludf.DUMMYFUNCTION("GOOGLETRANSLATE(C19,""zh-tw"",""KO"")"),"이상한 작은 악마 가게 주인의 저주를 받았습니다")</f>
        <v>이상한 작은 악마 가게 주인의 저주를 받았습니다</v>
      </c>
      <c r="X19" s="141" t="str">
        <f>IFERROR(__xludf.DUMMYFUNCTION("GOOGLETRANSLATE(D19,""zh-tw"",""KO"")"),"미스터리 샵에서는 물고기를 팔지 않습니다.")</f>
        <v>미스터리 샵에서는 물고기를 팔지 않습니다.</v>
      </c>
      <c r="Y19" s="395" t="str">
        <f>IFERROR(__xludf.DUMMYFUNCTION("GOOGLETRANSLATE(A19,""zh-tw"",""RU"")"),"Проклятие демона")</f>
        <v>Проклятие демона</v>
      </c>
      <c r="Z19" s="317" t="str">
        <f>IFERROR(__xludf.DUMMYFUNCTION("GOOGLETRANSLATE(B19,""zh-tw"",""RU"")"),"Фуфу, вот что происходит, когда ты восстаёшь против меня~♡")</f>
        <v>Фуфу, вот что происходит, когда ты восстаёшь против меня~♡</v>
      </c>
      <c r="AA19" s="394" t="str">
        <f>IFERROR(__xludf.DUMMYFUNCTION("GOOGLETRANSLATE(C19,""zh-tw"",""RU"")"),"Проклят странным маленьким дьяволом-торговцем")</f>
        <v>Проклят странным маленьким дьяволом-торговцем</v>
      </c>
      <c r="AB19" s="396" t="str">
        <f>IFERROR(__xludf.DUMMYFUNCTION("GOOGLETRANSLATE(D19,""zh-tw"",""RU"")"),"Таинственный магазин не даст вам рыбу.")</f>
        <v>Таинственный магазин не даст вам рыбу.</v>
      </c>
      <c r="AC19" s="395" t="str">
        <f>IFERROR(__xludf.DUMMYFUNCTION("GOOGLETRANSLATE(A19,""zh-tw"",""DE"")"),"Dämonenfluch")</f>
        <v>Dämonenfluch</v>
      </c>
      <c r="AD19" s="317" t="str">
        <f>IFERROR(__xludf.DUMMYFUNCTION("GOOGLETRANSLATE(B19,""zh-tw"",""DE"")"),"Fufu, das passiert, wenn man gegen mich rebelliert~♡")</f>
        <v>Fufu, das passiert, wenn man gegen mich rebelliert~♡</v>
      </c>
      <c r="AE19" s="394" t="str">
        <f>IFERROR(__xludf.DUMMYFUNCTION("GOOGLETRANSLATE(C19,""zh-tw"",""DE"")"),"Verflucht von dem seltsamen kleinen Teufelsladenbesitzer")</f>
        <v>Verflucht von dem seltsamen kleinen Teufelsladenbesitzer</v>
      </c>
      <c r="AF19" s="396" t="str">
        <f>IFERROR(__xludf.DUMMYFUNCTION("GOOGLETRANSLATE(D19,""zh-tw"",""DE"")"),"Der Mystery Shop schenkt Ihnen keinen Fisch.")</f>
        <v>Der Mystery Shop schenkt Ihnen keinen Fisch.</v>
      </c>
      <c r="AG19" s="106" t="s">
        <v>8458</v>
      </c>
      <c r="AH19" s="136" t="s">
        <v>8459</v>
      </c>
      <c r="AI19" s="304" t="s">
        <v>8460</v>
      </c>
      <c r="AJ19" s="135" t="s">
        <v>8461</v>
      </c>
      <c r="AK19" s="106" t="s">
        <v>8462</v>
      </c>
      <c r="AL19" s="51" t="s">
        <v>8463</v>
      </c>
      <c r="AM19" s="304" t="s">
        <v>8464</v>
      </c>
      <c r="AN19" s="122" t="s">
        <v>8465</v>
      </c>
      <c r="AO19" s="397"/>
      <c r="AP19" s="397"/>
    </row>
    <row r="20">
      <c r="A20" s="175" t="s">
        <v>8466</v>
      </c>
      <c r="B20" s="315" t="s">
        <v>8467</v>
      </c>
      <c r="C20" s="214" t="s">
        <v>8468</v>
      </c>
      <c r="D20" s="393" t="s">
        <v>8469</v>
      </c>
      <c r="E20" s="175" t="s">
        <v>8470</v>
      </c>
      <c r="F20" s="317" t="str">
        <f>IFERROR(__xludf.DUMMYFUNCTION("GOOGLETRANSLATE(B20,""zh-tw"",""ja"")"),"ここは私の領土だから悪いことはしちゃダメよ！♡")</f>
        <v>ここは私の領土だから悪いことはしちゃダメよ！♡</v>
      </c>
      <c r="G20" s="394" t="str">
        <f>IFERROR(__xludf.DUMMYFUNCTION("GOOGLETRANSLATE(C20,""zh-tw"",""ja"")"),"攻撃行為は禁止されています")</f>
        <v>攻撃行為は禁止されています</v>
      </c>
      <c r="H20" s="396" t="str">
        <f>IFERROR(__xludf.DUMMYFUNCTION("GOOGLETRANSLATE(D20,""zh-tw"",""ja"")"),"ミステリーショップの近く")</f>
        <v>ミステリーショップの近く</v>
      </c>
      <c r="I20" s="175" t="s">
        <v>8471</v>
      </c>
      <c r="J20" s="315" t="s">
        <v>8472</v>
      </c>
      <c r="K20" s="214" t="s">
        <v>8473</v>
      </c>
      <c r="L20" s="393" t="s">
        <v>8474</v>
      </c>
      <c r="M20" s="395" t="str">
        <f>IFERROR(__xludf.DUMMYFUNCTION("GOOGLETRANSLATE(A20,""zh-tw"",""zh"")"),"禁止攻击")</f>
        <v>禁止攻击</v>
      </c>
      <c r="N20" s="317" t="str">
        <f>IFERROR(__xludf.DUMMYFUNCTION("GOOGLETRANSLATE(B20,""zh-tw"",""zh"")"),"这里可是我的领域噢，可不能做坏事呢♡！")</f>
        <v>这里可是我的领域噢，可不能做坏事呢♡！</v>
      </c>
      <c r="O20" s="394" t="str">
        <f>IFERROR(__xludf.DUMMYFUNCTION("GOOGLETRANSLATE(C20,""zh-tw"",""zh"")"),"攻击行为禁止")</f>
        <v>攻击行为禁止</v>
      </c>
      <c r="P20" s="396" t="str">
        <f>IFERROR(__xludf.DUMMYFUNCTION("GOOGLETRANSLATE(D20,""zh-tw"",""zh"")"),"神秘商店附近")</f>
        <v>神秘商店附近</v>
      </c>
      <c r="Q20" s="138" t="str">
        <f>IFERROR(__xludf.DUMMYFUNCTION("GOOGLETRANSLATE(A20,""zh-tw"",""es-MX"")"),"No ataques")</f>
        <v>No ataques</v>
      </c>
      <c r="R20" s="142" t="str">
        <f>IFERROR(__xludf.DUMMYFUNCTION("GOOGLETRANSLATE(B20,""zh-tw"",""es-MX"")"),"Este es mi territorio, ¡no puedes hacer nada malo aquí!♡")</f>
        <v>Este es mi territorio, ¡no puedes hacer nada malo aquí!♡</v>
      </c>
      <c r="S20" s="303" t="str">
        <f>IFERROR(__xludf.DUMMYFUNCTION("GOOGLETRANSLATE(C20,""zh-tw"",""es-MX"")"),"Conducta de ataque prohibida")</f>
        <v>Conducta de ataque prohibida</v>
      </c>
      <c r="T20" s="141" t="str">
        <f>IFERROR(__xludf.DUMMYFUNCTION("GOOGLETRANSLATE(D20,""zh-tw"",""es-MX"")"),"Cerca de la tienda misteriosa")</f>
        <v>Cerca de la tienda misteriosa</v>
      </c>
      <c r="U20" s="138" t="str">
        <f>IFERROR(__xludf.DUMMYFUNCTION("GOOGLETRANSLATE(A20,""zh-tw"",""KO"")"),"공격하지 마세요")</f>
        <v>공격하지 마세요</v>
      </c>
      <c r="V20" s="142" t="str">
        <f>IFERROR(__xludf.DUMMYFUNCTION("GOOGLETRANSLATE(B20,""zh-tw"",""KO"")"),"여긴 내 영역이야, 여기서는 나쁜 짓을 하면 안 돼!♡")</f>
        <v>여긴 내 영역이야, 여기서는 나쁜 짓을 하면 안 돼!♡</v>
      </c>
      <c r="W20" s="303" t="str">
        <f>IFERROR(__xludf.DUMMYFUNCTION("GOOGLETRANSLATE(C20,""zh-tw"",""KO"")"),"공격 행위 금지")</f>
        <v>공격 행위 금지</v>
      </c>
      <c r="X20" s="141" t="str">
        <f>IFERROR(__xludf.DUMMYFUNCTION("GOOGLETRANSLATE(D20,""zh-tw"",""KO"")"),"미스터리 샵 근처")</f>
        <v>미스터리 샵 근처</v>
      </c>
      <c r="Y20" s="395" t="str">
        <f>IFERROR(__xludf.DUMMYFUNCTION("GOOGLETRANSLATE(A20,""zh-tw"",""RU"")"),"Не нападать")</f>
        <v>Не нападать</v>
      </c>
      <c r="Z20" s="317" t="str">
        <f>IFERROR(__xludf.DUMMYFUNCTION("GOOGLETRANSLATE(B20,""zh-tw"",""RU"")"),"Это моя территория, здесь нельзя делать ничего плохого!♡")</f>
        <v>Это моя территория, здесь нельзя делать ничего плохого!♡</v>
      </c>
      <c r="AA20" s="394" t="str">
        <f>IFERROR(__xludf.DUMMYFUNCTION("GOOGLETRANSLATE(C20,""zh-tw"",""RU"")"),"Атакующее поведение запрещено")</f>
        <v>Атакующее поведение запрещено</v>
      </c>
      <c r="AB20" s="396" t="str">
        <f>IFERROR(__xludf.DUMMYFUNCTION("GOOGLETRANSLATE(D20,""zh-tw"",""RU"")"),"Рядом с таинственным магазином")</f>
        <v>Рядом с таинственным магазином</v>
      </c>
      <c r="AC20" s="395" t="str">
        <f>IFERROR(__xludf.DUMMYFUNCTION("GOOGLETRANSLATE(A20,""zh-tw"",""DE"")"),"Nicht angreifen")</f>
        <v>Nicht angreifen</v>
      </c>
      <c r="AD20" s="317" t="str">
        <f>IFERROR(__xludf.DUMMYFUNCTION("GOOGLETRANSLATE(B20,""zh-tw"",""DE"")"),"Das ist mein Revier, hier kannst du nichts Schlimmes anstellen! ♡")</f>
        <v>Das ist mein Revier, hier kannst du nichts Schlimmes anstellen! ♡</v>
      </c>
      <c r="AE20" s="394" t="str">
        <f>IFERROR(__xludf.DUMMYFUNCTION("GOOGLETRANSLATE(C20,""zh-tw"",""DE"")"),"Angriffsverhalten verboten")</f>
        <v>Angriffsverhalten verboten</v>
      </c>
      <c r="AF20" s="396" t="str">
        <f>IFERROR(__xludf.DUMMYFUNCTION("GOOGLETRANSLATE(D20,""zh-tw"",""DE"")"),"In der Nähe des Mystery Shops")</f>
        <v>In der Nähe des Mystery Shops</v>
      </c>
      <c r="AG20" s="106" t="s">
        <v>8475</v>
      </c>
      <c r="AH20" s="136" t="s">
        <v>8476</v>
      </c>
      <c r="AI20" s="213" t="s">
        <v>8477</v>
      </c>
      <c r="AJ20" s="122" t="s">
        <v>8478</v>
      </c>
      <c r="AK20" s="106" t="s">
        <v>8479</v>
      </c>
      <c r="AL20" s="51" t="s">
        <v>8480</v>
      </c>
      <c r="AM20" s="304" t="s">
        <v>8481</v>
      </c>
      <c r="AN20" s="122" t="s">
        <v>8482</v>
      </c>
      <c r="AO20" s="397"/>
      <c r="AP20" s="397"/>
    </row>
    <row r="21">
      <c r="A21" s="175" t="s">
        <v>8483</v>
      </c>
      <c r="B21" s="315" t="s">
        <v>8484</v>
      </c>
      <c r="C21" s="214" t="s">
        <v>8485</v>
      </c>
      <c r="D21" s="393" t="s">
        <v>8486</v>
      </c>
      <c r="E21" s="175" t="s">
        <v>8487</v>
      </c>
      <c r="F21" s="315" t="s">
        <v>8488</v>
      </c>
      <c r="G21" s="214" t="s">
        <v>8489</v>
      </c>
      <c r="H21" s="396" t="str">
        <f>IFERROR(__xludf.DUMMYFUNCTION("GOOGLETRANSLATE(D21,""zh-tw"",""ja"")"),"妹にいたずらをすると怒る")</f>
        <v>妹にいたずらをすると怒る</v>
      </c>
      <c r="I21" s="175" t="s">
        <v>8490</v>
      </c>
      <c r="J21" s="315" t="s">
        <v>8491</v>
      </c>
      <c r="K21" s="214" t="s">
        <v>8492</v>
      </c>
      <c r="L21" s="393" t="s">
        <v>8493</v>
      </c>
      <c r="M21" s="395" t="str">
        <f>IFERROR(__xludf.DUMMYFUNCTION("GOOGLETRANSLATE(A21,""zh-tw"",""zh"")"),"不要受伤")</f>
        <v>不要受伤</v>
      </c>
      <c r="N21" s="317" t="str">
        <f>IFERROR(__xludf.DUMMYFUNCTION("GOOGLETRANSLATE(B21,""zh-tw"",""zh"")"),"和妹妹重要的约定，必须要遵守呢")</f>
        <v>和妹妹重要的约定，必须要遵守呢</v>
      </c>
      <c r="O21" s="394" t="str">
        <f>IFERROR(__xludf.DUMMYFUNCTION("GOOGLETRANSLATE(C21,""zh-tw"",""zh"")"),"不要重伤回家")</f>
        <v>不要重伤回家</v>
      </c>
      <c r="P21" s="396" t="str">
        <f>IFERROR(__xludf.DUMMYFUNCTION("GOOGLETRANSLATE(D21,""zh-tw"",""zh"")"),"对妹妹恶作剧时生气")</f>
        <v>对妹妹恶作剧时生气</v>
      </c>
      <c r="Q21" s="138" t="str">
        <f>IFERROR(__xludf.DUMMYFUNCTION("GOOGLETRANSLATE(A21,""zh-tw"",""es-MX"")"),"No te lastimes.")</f>
        <v>No te lastimes.</v>
      </c>
      <c r="R21" s="142" t="str">
        <f>IFERROR(__xludf.DUMMYFUNCTION("GOOGLETRANSLATE(B21,""zh-tw"",""es-MX"")"),"Debo cumplir mi importante promesa a mi hermana.")</f>
        <v>Debo cumplir mi importante promesa a mi hermana.</v>
      </c>
      <c r="S21" s="303" t="str">
        <f>IFERROR(__xludf.DUMMYFUNCTION("GOOGLETRANSLATE(C21,""zh-tw"",""es-MX"")"),"No regrese a casa con heridas graves.")</f>
        <v>No regrese a casa con heridas graves.</v>
      </c>
      <c r="T21" s="141" t="str">
        <f>IFERROR(__xludf.DUMMYFUNCTION("GOOGLETRANSLATE(D21,""zh-tw"",""es-MX"")"),"Me enojo cuando le hago bromas a mi hermana menor.")</f>
        <v>Me enojo cuando le hago bromas a mi hermana menor.</v>
      </c>
      <c r="U21" s="138" t="str">
        <f>IFERROR(__xludf.DUMMYFUNCTION("GOOGLETRANSLATE(A21,""zh-tw"",""KO"")"),"다치지 마세요.")</f>
        <v>다치지 마세요.</v>
      </c>
      <c r="V21" s="142" t="str">
        <f>IFERROR(__xludf.DUMMYFUNCTION("GOOGLETRANSLATE(B21,""zh-tw"",""KO"")"),"나는 언니와의 중요한 약속을 지켜야 한다.")</f>
        <v>나는 언니와의 중요한 약속을 지켜야 한다.</v>
      </c>
      <c r="W21" s="303" t="str">
        <f>IFERROR(__xludf.DUMMYFUNCTION("GOOGLETRANSLATE(C21,""zh-tw"",""KO"")"),"심각한 부상을 입고 집으로 돌아가지 마세요.")</f>
        <v>심각한 부상을 입고 집으로 돌아가지 마세요.</v>
      </c>
      <c r="X21" s="141" t="str">
        <f>IFERROR(__xludf.DUMMYFUNCTION("GOOGLETRANSLATE(D21,""zh-tw"",""KO"")"),"여동생에게 장난을 치다가 화가 난다")</f>
        <v>여동생에게 장난을 치다가 화가 난다</v>
      </c>
      <c r="Y21" s="395" t="str">
        <f>IFERROR(__xludf.DUMMYFUNCTION("GOOGLETRANSLATE(A21,""zh-tw"",""RU"")"),"Не пораньтесь.")</f>
        <v>Не пораньтесь.</v>
      </c>
      <c r="Z21" s="317" t="str">
        <f>IFERROR(__xludf.DUMMYFUNCTION("GOOGLETRANSLATE(B21,""zh-tw"",""RU"")"),"Я должен сдержать важное обещание, данное моей сестре.")</f>
        <v>Я должен сдержать важное обещание, данное моей сестре.</v>
      </c>
      <c r="AA21" s="394" t="str">
        <f>IFERROR(__xludf.DUMMYFUNCTION("GOOGLETRANSLATE(C21,""zh-tw"",""RU"")"),"Не возвращайтесь домой с серьезными травмами.")</f>
        <v>Не возвращайтесь домой с серьезными травмами.</v>
      </c>
      <c r="AB21" s="396" t="str">
        <f>IFERROR(__xludf.DUMMYFUNCTION("GOOGLETRANSLATE(D21,""zh-tw"",""RU"")"),"Я злюсь, когда подшучиваю над своей младшей сестрой.")</f>
        <v>Я злюсь, когда подшучиваю над своей младшей сестрой.</v>
      </c>
      <c r="AC21" s="395" t="str">
        <f>IFERROR(__xludf.DUMMYFUNCTION("GOOGLETRANSLATE(A21,""zh-tw"",""DE"")"),"Verletz dich nicht.")</f>
        <v>Verletz dich nicht.</v>
      </c>
      <c r="AD21" s="317" t="str">
        <f>IFERROR(__xludf.DUMMYFUNCTION("GOOGLETRANSLATE(B21,""zh-tw"",""DE"")"),"Ich muss mein wichtiges Versprechen an meine Schwester halten.")</f>
        <v>Ich muss mein wichtiges Versprechen an meine Schwester halten.</v>
      </c>
      <c r="AE21" s="394" t="str">
        <f>IFERROR(__xludf.DUMMYFUNCTION("GOOGLETRANSLATE(C21,""zh-tw"",""DE"")"),"Kehren Sie nicht mit schweren Verletzungen nach Hause zurück.")</f>
        <v>Kehren Sie nicht mit schweren Verletzungen nach Hause zurück.</v>
      </c>
      <c r="AF21" s="396" t="str">
        <f>IFERROR(__xludf.DUMMYFUNCTION("GOOGLETRANSLATE(D21,""zh-tw"",""DE"")"),"Ich werde wütend, wenn ich meiner jüngeren Schwester Streiche spiele")</f>
        <v>Ich werde wütend, wenn ich meiner jüngeren Schwester Streiche spiele</v>
      </c>
      <c r="AG21" s="106" t="s">
        <v>8494</v>
      </c>
      <c r="AH21" s="136" t="s">
        <v>8495</v>
      </c>
      <c r="AI21" s="304" t="s">
        <v>8494</v>
      </c>
      <c r="AJ21" s="135" t="s">
        <v>8496</v>
      </c>
      <c r="AK21" s="106" t="s">
        <v>8497</v>
      </c>
      <c r="AL21" s="51" t="s">
        <v>8498</v>
      </c>
      <c r="AM21" s="304" t="s">
        <v>8499</v>
      </c>
      <c r="AN21" s="122" t="s">
        <v>8500</v>
      </c>
      <c r="AO21" s="397"/>
      <c r="AP21" s="397"/>
    </row>
    <row r="22">
      <c r="A22" s="175" t="s">
        <v>8501</v>
      </c>
      <c r="B22" s="315" t="s">
        <v>8484</v>
      </c>
      <c r="C22" s="214" t="s">
        <v>8502</v>
      </c>
      <c r="D22" s="393" t="s">
        <v>8486</v>
      </c>
      <c r="E22" s="175" t="s">
        <v>8503</v>
      </c>
      <c r="F22" s="315" t="s">
        <v>8488</v>
      </c>
      <c r="G22" s="394" t="str">
        <f>IFERROR(__xludf.DUMMYFUNCTION("GOOGLETRANSLATE(C22,""zh-tw"",""ja"")"),"肉料理を作る")</f>
        <v>肉料理を作る</v>
      </c>
      <c r="H22" s="396" t="str">
        <f>IFERROR(__xludf.DUMMYFUNCTION("GOOGLETRANSLATE(D22,""zh-tw"",""ja"")"),"妹にいたずらをすると怒る")</f>
        <v>妹にいたずらをすると怒る</v>
      </c>
      <c r="I22" s="175" t="s">
        <v>8504</v>
      </c>
      <c r="J22" s="315" t="s">
        <v>8491</v>
      </c>
      <c r="K22" s="394" t="str">
        <f>IFERROR(__xludf.DUMMYFUNCTION("GOOGLETRANSLATE(C22,""zh-tw"",""en"")"),"Making meat dishes")</f>
        <v>Making meat dishes</v>
      </c>
      <c r="L22" s="393" t="s">
        <v>8493</v>
      </c>
      <c r="M22" s="395" t="str">
        <f>IFERROR(__xludf.DUMMYFUNCTION("GOOGLETRANSLATE(A22,""zh-tw"",""zh"")"),"肉料理")</f>
        <v>肉料理</v>
      </c>
      <c r="N22" s="317" t="str">
        <f>IFERROR(__xludf.DUMMYFUNCTION("GOOGLETRANSLATE(B22,""zh-tw"",""zh"")"),"和妹妹重要的约定，必须要遵守呢")</f>
        <v>和妹妹重要的约定，必须要遵守呢</v>
      </c>
      <c r="O22" s="394" t="str">
        <f>IFERROR(__xludf.DUMMYFUNCTION("GOOGLETRANSLATE(C22,""zh-tw"",""zh"")"),"做肉料理")</f>
        <v>做肉料理</v>
      </c>
      <c r="P22" s="396" t="str">
        <f>IFERROR(__xludf.DUMMYFUNCTION("GOOGLETRANSLATE(D22,""zh-tw"",""zh"")"),"对妹妹恶作剧时生气")</f>
        <v>对妹妹恶作剧时生气</v>
      </c>
      <c r="Q22" s="138" t="str">
        <f>IFERROR(__xludf.DUMMYFUNCTION("GOOGLETRANSLATE(A22,""zh-tw"",""es-MX"")"),"Platos de carne")</f>
        <v>Platos de carne</v>
      </c>
      <c r="R22" s="142" t="str">
        <f>IFERROR(__xludf.DUMMYFUNCTION("GOOGLETRANSLATE(B22,""zh-tw"",""es-MX"")"),"Debo cumplir mi importante promesa a mi hermana.")</f>
        <v>Debo cumplir mi importante promesa a mi hermana.</v>
      </c>
      <c r="S22" s="303" t="str">
        <f>IFERROR(__xludf.DUMMYFUNCTION("GOOGLETRANSLATE(C22,""zh-tw"",""es-MX"")"),"Preparación de platos de carne")</f>
        <v>Preparación de platos de carne</v>
      </c>
      <c r="T22" s="141" t="str">
        <f>IFERROR(__xludf.DUMMYFUNCTION("GOOGLETRANSLATE(D22,""zh-tw"",""es-MX"")"),"Me enojo cuando le hago bromas a mi hermana menor.")</f>
        <v>Me enojo cuando le hago bromas a mi hermana menor.</v>
      </c>
      <c r="U22" s="138" t="str">
        <f>IFERROR(__xludf.DUMMYFUNCTION("GOOGLETRANSLATE(A22,""zh-tw"",""KO"")"),"고기 요리")</f>
        <v>고기 요리</v>
      </c>
      <c r="V22" s="142" t="str">
        <f>IFERROR(__xludf.DUMMYFUNCTION("GOOGLETRANSLATE(B22,""zh-tw"",""KO"")"),"나는 언니와의 중요한 약속을 지켜야 한다.")</f>
        <v>나는 언니와의 중요한 약속을 지켜야 한다.</v>
      </c>
      <c r="W22" s="303" t="str">
        <f>IFERROR(__xludf.DUMMYFUNCTION("GOOGLETRANSLATE(C22,""zh-tw"",""KO"")"),"고기 요리 만들기")</f>
        <v>고기 요리 만들기</v>
      </c>
      <c r="X22" s="141" t="str">
        <f>IFERROR(__xludf.DUMMYFUNCTION("GOOGLETRANSLATE(D22,""zh-tw"",""KO"")"),"여동생에게 장난을 치다가 화가 난다")</f>
        <v>여동생에게 장난을 치다가 화가 난다</v>
      </c>
      <c r="Y22" s="395" t="str">
        <f>IFERROR(__xludf.DUMMYFUNCTION("GOOGLETRANSLATE(A22,""zh-tw"",""RU"")"),"Мясные блюда")</f>
        <v>Мясные блюда</v>
      </c>
      <c r="Z22" s="317" t="str">
        <f>IFERROR(__xludf.DUMMYFUNCTION("GOOGLETRANSLATE(B22,""zh-tw"",""RU"")"),"Я должен сдержать важное обещание, данное моей сестре.")</f>
        <v>Я должен сдержать важное обещание, данное моей сестре.</v>
      </c>
      <c r="AA22" s="394" t="str">
        <f>IFERROR(__xludf.DUMMYFUNCTION("GOOGLETRANSLATE(C22,""zh-tw"",""RU"")"),"Приготовление мясных блюд")</f>
        <v>Приготовление мясных блюд</v>
      </c>
      <c r="AB22" s="396" t="str">
        <f>IFERROR(__xludf.DUMMYFUNCTION("GOOGLETRANSLATE(D22,""zh-tw"",""RU"")"),"Я злюсь, когда подшучиваю над своей младшей сестрой.")</f>
        <v>Я злюсь, когда подшучиваю над своей младшей сестрой.</v>
      </c>
      <c r="AC22" s="395" t="str">
        <f>IFERROR(__xludf.DUMMYFUNCTION("GOOGLETRANSLATE(A22,""zh-tw"",""DE"")"),"Fleischgerichte")</f>
        <v>Fleischgerichte</v>
      </c>
      <c r="AD22" s="317" t="str">
        <f>IFERROR(__xludf.DUMMYFUNCTION("GOOGLETRANSLATE(B22,""zh-tw"",""DE"")"),"Ich muss mein wichtiges Versprechen an meine Schwester halten.")</f>
        <v>Ich muss mein wichtiges Versprechen an meine Schwester halten.</v>
      </c>
      <c r="AE22" s="394" t="str">
        <f>IFERROR(__xludf.DUMMYFUNCTION("GOOGLETRANSLATE(C22,""zh-tw"",""DE"")"),"Fleischgerichte zubereiten")</f>
        <v>Fleischgerichte zubereiten</v>
      </c>
      <c r="AF22" s="396" t="str">
        <f>IFERROR(__xludf.DUMMYFUNCTION("GOOGLETRANSLATE(D22,""zh-tw"",""DE"")"),"Ich werde wütend, wenn ich meiner jüngeren Schwester Streiche spiele")</f>
        <v>Ich werde wütend, wenn ich meiner jüngeren Schwester Streiche spiele</v>
      </c>
      <c r="AG22" s="106" t="s">
        <v>8505</v>
      </c>
      <c r="AH22" s="136" t="s">
        <v>8495</v>
      </c>
      <c r="AI22" s="304" t="s">
        <v>8506</v>
      </c>
      <c r="AJ22" s="122" t="s">
        <v>8507</v>
      </c>
      <c r="AK22" s="106" t="s">
        <v>8508</v>
      </c>
      <c r="AL22" s="51" t="s">
        <v>8498</v>
      </c>
      <c r="AM22" s="213" t="s">
        <v>8509</v>
      </c>
      <c r="AN22" s="122" t="s">
        <v>8500</v>
      </c>
      <c r="AO22" s="397"/>
      <c r="AP22" s="397"/>
    </row>
    <row r="23">
      <c r="A23" s="175" t="s">
        <v>8510</v>
      </c>
      <c r="B23" s="315" t="s">
        <v>8511</v>
      </c>
      <c r="C23" s="214" t="s">
        <v>8512</v>
      </c>
      <c r="D23" s="393" t="s">
        <v>270</v>
      </c>
      <c r="E23" s="175" t="s">
        <v>333</v>
      </c>
      <c r="F23" s="317" t="str">
        <f>IFERROR(__xludf.DUMMYFUNCTION("GOOGLETRANSLATE(B23,""zh-tw"",""ja"")"),"...")</f>
        <v>...</v>
      </c>
      <c r="G23" s="214" t="s">
        <v>8513</v>
      </c>
      <c r="H23" s="393" t="s">
        <v>273</v>
      </c>
      <c r="I23" s="175" t="s">
        <v>8514</v>
      </c>
      <c r="J23" s="317" t="str">
        <f>IFERROR(__xludf.DUMMYFUNCTION("GOOGLETRANSLATE(B23,""zh-tw"",""en"")"),"...")</f>
        <v>...</v>
      </c>
      <c r="K23" s="214" t="s">
        <v>8515</v>
      </c>
      <c r="L23" s="393" t="s">
        <v>275</v>
      </c>
      <c r="M23" s="395" t="str">
        <f>IFERROR(__xludf.DUMMYFUNCTION("GOOGLETRANSLATE(A23,""zh-tw"",""zh"")"),"到底忘记了什么")</f>
        <v>到底忘记了什么</v>
      </c>
      <c r="N23" s="317" t="str">
        <f>IFERROR(__xludf.DUMMYFUNCTION("GOOGLETRANSLATE(B23,""zh-tw"",""zh"")"),".....")</f>
        <v>.....</v>
      </c>
      <c r="O23" s="394" t="str">
        <f>IFERROR(__xludf.DUMMYFUNCTION("GOOGLETRANSLATE(C23,""zh-tw"",""zh"")"),"感觉忘记了什么重要的事情，总有一天会想起来吧？")</f>
        <v>感觉忘记了什么重要的事情，总有一天会想起来吧？</v>
      </c>
      <c r="P23" s="396" t="str">
        <f>IFERROR(__xludf.DUMMYFUNCTION("GOOGLETRANSLATE(D23,""zh-tw"",""zh"")"),"开局选项")</f>
        <v>开局选项</v>
      </c>
      <c r="Q23" s="138" t="str">
        <f>IFERROR(__xludf.DUMMYFUNCTION("GOOGLETRANSLATE(A23,""zh-tw"",""es-MX"")"),"¿Qué es exactamente lo que has olvidado?")</f>
        <v>¿Qué es exactamente lo que has olvidado?</v>
      </c>
      <c r="R23" s="142" t="str">
        <f>IFERROR(__xludf.DUMMYFUNCTION("GOOGLETRANSLATE(B23,""zh-tw"",""es-MX"")"),"...")</f>
        <v>...</v>
      </c>
      <c r="S23" s="303" t="str">
        <f>IFERROR(__xludf.DUMMYFUNCTION("GOOGLETRANSLATE(C23,""zh-tw"",""es-MX"")"),"Siento que he olvidado algo importante. Lo recordaré algún día, ¿verdad?")</f>
        <v>Siento que he olvidado algo importante. Lo recordaré algún día, ¿verdad?</v>
      </c>
      <c r="T23" s="141" t="str">
        <f>IFERROR(__xludf.DUMMYFUNCTION("GOOGLETRANSLATE(D23,""zh-tw"",""es-MX"")"),"Opciones de inicio")</f>
        <v>Opciones de inicio</v>
      </c>
      <c r="U23" s="138" t="str">
        <f>IFERROR(__xludf.DUMMYFUNCTION("GOOGLETRANSLATE(A23,""zh-tw"",""KO"")"),"정확히 무엇을 잊으셨나요?")</f>
        <v>정확히 무엇을 잊으셨나요?</v>
      </c>
      <c r="V23" s="142" t="str">
        <f>IFERROR(__xludf.DUMMYFUNCTION("GOOGLETRANSLATE(B23,""zh-tw"",""KO"")"),"...")</f>
        <v>...</v>
      </c>
      <c r="W23" s="303" t="str">
        <f>IFERROR(__xludf.DUMMYFUNCTION("GOOGLETRANSLATE(C23,""zh-tw"",""KO"")"),"뭔가 중요한 걸 잊어버린 것 같아요. 언젠가는 생각날 거예요, 그렇죠?")</f>
        <v>뭔가 중요한 걸 잊어버린 것 같아요. 언젠가는 생각날 거예요, 그렇죠?</v>
      </c>
      <c r="X23" s="141" t="str">
        <f>IFERROR(__xludf.DUMMYFUNCTION("GOOGLETRANSLATE(D23,""zh-tw"",""KO"")"),"시작 옵션")</f>
        <v>시작 옵션</v>
      </c>
      <c r="Y23" s="395" t="str">
        <f>IFERROR(__xludf.DUMMYFUNCTION("GOOGLETRANSLATE(A23,""zh-tw"",""RU"")"),"Что именно вы забыли?")</f>
        <v>Что именно вы забыли?</v>
      </c>
      <c r="Z23" s="317" t="str">
        <f>IFERROR(__xludf.DUMMYFUNCTION("GOOGLETRANSLATE(B23,""zh-tw"",""RU"")"),"...")</f>
        <v>...</v>
      </c>
      <c r="AA23" s="394"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96" t="str">
        <f>IFERROR(__xludf.DUMMYFUNCTION("GOOGLETRANSLATE(D23,""zh-tw"",""RU"")"),"Начальные параметры")</f>
        <v>Начальные параметры</v>
      </c>
      <c r="AC23" s="395" t="str">
        <f>IFERROR(__xludf.DUMMYFUNCTION("GOOGLETRANSLATE(A23,""zh-tw"",""DE"")"),"Was genau haben Sie vergessen?")</f>
        <v>Was genau haben Sie vergessen?</v>
      </c>
      <c r="AD23" s="317" t="str">
        <f>IFERROR(__xludf.DUMMYFUNCTION("GOOGLETRANSLATE(B23,""zh-tw"",""DE"")"),"...")</f>
        <v>...</v>
      </c>
      <c r="AE23" s="394"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96" t="str">
        <f>IFERROR(__xludf.DUMMYFUNCTION("GOOGLETRANSLATE(D23,""zh-tw"",""DE"")"),"Startoptionen")</f>
        <v>Startoptionen</v>
      </c>
      <c r="AG23" s="106" t="s">
        <v>8516</v>
      </c>
      <c r="AH23" s="51" t="s">
        <v>8517</v>
      </c>
      <c r="AI23" s="213" t="s">
        <v>8518</v>
      </c>
      <c r="AJ23" s="122" t="s">
        <v>290</v>
      </c>
      <c r="AK23" s="106" t="s">
        <v>8519</v>
      </c>
      <c r="AL23" s="51" t="s">
        <v>813</v>
      </c>
      <c r="AM23" s="304" t="s">
        <v>8520</v>
      </c>
      <c r="AN23" s="122" t="s">
        <v>293</v>
      </c>
      <c r="AO23" s="397"/>
      <c r="AP23" s="397"/>
    </row>
    <row r="24">
      <c r="A24" s="175" t="s">
        <v>8521</v>
      </c>
      <c r="B24" s="315" t="s">
        <v>8522</v>
      </c>
      <c r="C24" s="214" t="s">
        <v>8523</v>
      </c>
      <c r="D24" s="393" t="s">
        <v>5663</v>
      </c>
      <c r="E24" s="175" t="s">
        <v>8524</v>
      </c>
      <c r="F24" s="315" t="s">
        <v>8525</v>
      </c>
      <c r="G24" s="394" t="str">
        <f>IFERROR(__xludf.DUMMYFUNCTION("GOOGLETRANSLATE(C24,""zh-tw"",""ja"")"),"彼の体は常に悪臭を放っていた")</f>
        <v>彼の体は常に悪臭を放っていた</v>
      </c>
      <c r="H24" s="393" t="s">
        <v>5665</v>
      </c>
      <c r="I24" s="175" t="s">
        <v>8526</v>
      </c>
      <c r="J24" s="315" t="s">
        <v>8527</v>
      </c>
      <c r="K24" s="214" t="s">
        <v>8528</v>
      </c>
      <c r="L24" s="393" t="s">
        <v>5666</v>
      </c>
      <c r="M24" s="395" t="str">
        <f>IFERROR(__xludf.DUMMYFUNCTION("GOOGLETRANSLATE(A24,""zh-tw"",""zh"")"),"浑身恶臭")</f>
        <v>浑身恶臭</v>
      </c>
      <c r="N24" s="317" t="str">
        <f>IFERROR(__xludf.DUMMYFUNCTION("GOOGLETRANSLATE(B24,""zh-tw"",""zh"")"),"浑身恶臭。")</f>
        <v>浑身恶臭。</v>
      </c>
      <c r="O24" s="394" t="str">
        <f>IFERROR(__xludf.DUMMYFUNCTION("GOOGLETRANSLATE(C24,""zh-tw"",""zh"")"),"身上不断散发着恶臭")</f>
        <v>身上不断散发着恶臭</v>
      </c>
      <c r="P24" s="396" t="str">
        <f>IFERROR(__xludf.DUMMYFUNCTION("GOOGLETRANSLATE(D24,""zh-tw"",""zh"")"),"臭鱼骨")</f>
        <v>臭鱼骨</v>
      </c>
      <c r="Q24" s="138" t="str">
        <f>IFERROR(__xludf.DUMMYFUNCTION("GOOGLETRANSLATE(A24,""zh-tw"",""es-MX"")"),"Todo el cuerpo olía asqueroso.")</f>
        <v>Todo el cuerpo olía asqueroso.</v>
      </c>
      <c r="R24" s="142" t="str">
        <f>IFERROR(__xludf.DUMMYFUNCTION("GOOGLETRANSLATE(B24,""zh-tw"",""es-MX"")"),"Olía horrible.")</f>
        <v>Olía horrible.</v>
      </c>
      <c r="S24" s="303" t="str">
        <f>IFERROR(__xludf.DUMMYFUNCTION("GOOGLETRANSLATE(C24,""zh-tw"",""es-MX"")"),"Su cuerpo emitía constantemente un hedor nauseabundo.")</f>
        <v>Su cuerpo emitía constantemente un hedor nauseabundo.</v>
      </c>
      <c r="T24" s="141" t="str">
        <f>IFERROR(__xludf.DUMMYFUNCTION("GOOGLETRANSLATE(D24,""zh-tw"",""es-MX"")"),"Huesos de pescado apestosos")</f>
        <v>Huesos de pescado apestosos</v>
      </c>
      <c r="U24" s="138" t="str">
        <f>IFERROR(__xludf.DUMMYFUNCTION("GOOGLETRANSLATE(A24,""zh-tw"",""KO"")"),"온몸이 역겨운 냄새가 났다")</f>
        <v>온몸이 역겨운 냄새가 났다</v>
      </c>
      <c r="V24" s="142" t="str">
        <f>IFERROR(__xludf.DUMMYFUNCTION("GOOGLETRANSLATE(B24,""zh-tw"",""KO"")"),"그는 끔찍한 냄새를 풍겼다.")</f>
        <v>그는 끔찍한 냄새를 풍겼다.</v>
      </c>
      <c r="W24" s="303" t="str">
        <f>IFERROR(__xludf.DUMMYFUNCTION("GOOGLETRANSLATE(C24,""zh-tw"",""KO"")"),"그의 몸은 끊임없이 악취를 풍겼다")</f>
        <v>그의 몸은 끊임없이 악취를 풍겼다</v>
      </c>
      <c r="X24" s="141" t="str">
        <f>IFERROR(__xludf.DUMMYFUNCTION("GOOGLETRANSLATE(D24,""zh-tw"",""KO"")"),"냄새나는 생선 뼈")</f>
        <v>냄새나는 생선 뼈</v>
      </c>
      <c r="Y24" s="395" t="str">
        <f>IFERROR(__xludf.DUMMYFUNCTION("GOOGLETRANSLATE(A24,""zh-tw"",""RU"")"),"Все тело пахло отвратительно.")</f>
        <v>Все тело пахло отвратительно.</v>
      </c>
      <c r="Z24" s="317" t="str">
        <f>IFERROR(__xludf.DUMMYFUNCTION("GOOGLETRANSLATE(B24,""zh-tw"",""RU"")"),"От него ужасно пахло.")</f>
        <v>От него ужасно пахло.</v>
      </c>
      <c r="AA24" s="394" t="str">
        <f>IFERROR(__xludf.DUMMYFUNCTION("GOOGLETRANSLATE(C24,""zh-tw"",""RU"")"),"Его тело постоянно издавало неприятный запах.")</f>
        <v>Его тело постоянно издавало неприятный запах.</v>
      </c>
      <c r="AB24" s="396" t="str">
        <f>IFERROR(__xludf.DUMMYFUNCTION("GOOGLETRANSLATE(D24,""zh-tw"",""RU"")"),"Вонючие рыбьи кости")</f>
        <v>Вонючие рыбьи кости</v>
      </c>
      <c r="AC24" s="395" t="str">
        <f>IFERROR(__xludf.DUMMYFUNCTION("GOOGLETRANSLATE(A24,""zh-tw"",""DE"")"),"Der ganze Körper roch widerlich.")</f>
        <v>Der ganze Körper roch widerlich.</v>
      </c>
      <c r="AD24" s="317" t="str">
        <f>IFERROR(__xludf.DUMMYFUNCTION("GOOGLETRANSLATE(B24,""zh-tw"",""DE"")"),"Er roch abscheulich.")</f>
        <v>Er roch abscheulich.</v>
      </c>
      <c r="AE24" s="394" t="str">
        <f>IFERROR(__xludf.DUMMYFUNCTION("GOOGLETRANSLATE(C24,""zh-tw"",""DE"")"),"Sein Körper verströmte unaufhörlich einen widerlichen Gestank.")</f>
        <v>Sein Körper verströmte unaufhörlich einen widerlichen Gestank.</v>
      </c>
      <c r="AF24" s="396" t="str">
        <f>IFERROR(__xludf.DUMMYFUNCTION("GOOGLETRANSLATE(D24,""zh-tw"",""DE"")"),"Stinkende Fischgräten")</f>
        <v>Stinkende Fischgräten</v>
      </c>
      <c r="AG24" s="106" t="s">
        <v>8529</v>
      </c>
      <c r="AH24" s="51" t="s">
        <v>8530</v>
      </c>
      <c r="AI24" s="213" t="s">
        <v>8531</v>
      </c>
      <c r="AJ24" s="122" t="s">
        <v>5672</v>
      </c>
      <c r="AK24" s="106" t="s">
        <v>8532</v>
      </c>
      <c r="AL24" s="51" t="s">
        <v>8533</v>
      </c>
      <c r="AM24" s="304" t="s">
        <v>8534</v>
      </c>
      <c r="AN24" s="122" t="s">
        <v>5674</v>
      </c>
      <c r="AO24" s="397"/>
      <c r="AP24" s="397"/>
    </row>
    <row r="25">
      <c r="A25" s="175" t="s">
        <v>8535</v>
      </c>
      <c r="B25" s="315" t="s">
        <v>8536</v>
      </c>
      <c r="C25" s="214" t="s">
        <v>8537</v>
      </c>
      <c r="D25" s="393" t="s">
        <v>8538</v>
      </c>
      <c r="E25" s="395" t="str">
        <f>IFERROR(__xludf.DUMMYFUNCTION("GOOGLETRANSLATE(A25,""zh-tw"",""ja"")"),"美味しい")</f>
        <v>美味しい</v>
      </c>
      <c r="F25" s="317" t="str">
        <f>IFERROR(__xludf.DUMMYFUNCTION("GOOGLETRANSLATE(B25,""zh-tw"",""ja"")"),"美味しいものを食べてお腹も温まりました〜")</f>
        <v>美味しいものを食べてお腹も温まりました〜</v>
      </c>
      <c r="G25" s="394" t="str">
        <f>IFERROR(__xludf.DUMMYFUNCTION("GOOGLETRANSLATE(C25,""zh-tw"",""ja"")"),"スタミナは1秒ごとに少しずつ回復します")</f>
        <v>スタミナは1秒ごとに少しずつ回復します</v>
      </c>
      <c r="H25" s="396" t="str">
        <f>IFERROR(__xludf.DUMMYFUNCTION("GOOGLETRANSLATE(D25,""zh-tw"",""ja"")"),"美味しい料理")</f>
        <v>美味しい料理</v>
      </c>
      <c r="I25" s="175" t="s">
        <v>8539</v>
      </c>
      <c r="J25" s="315" t="s">
        <v>8540</v>
      </c>
      <c r="K25" s="214" t="s">
        <v>8541</v>
      </c>
      <c r="L25" s="393" t="s">
        <v>8542</v>
      </c>
      <c r="M25" s="395" t="str">
        <f>IFERROR(__xludf.DUMMYFUNCTION("GOOGLETRANSLATE(A25,""zh-tw"",""zh"")"),"美味い")</f>
        <v>美味い</v>
      </c>
      <c r="N25" s="317" t="str">
        <f>IFERROR(__xludf.DUMMYFUNCTION("GOOGLETRANSLATE(B25,""zh-tw"",""zh"")"),"吃到了美味的东西，肚子里暖暖的~")</f>
        <v>吃到了美味的东西，肚子里暖暖的~</v>
      </c>
      <c r="O25" s="394" t="str">
        <f>IFERROR(__xludf.DUMMYFUNCTION("GOOGLETRANSLATE(C25,""zh-tw"",""zh"")"),"每秒体力少量回复")</f>
        <v>每秒体力少量回复</v>
      </c>
      <c r="P25" s="396" t="str">
        <f>IFERROR(__xludf.DUMMYFUNCTION("GOOGLETRANSLATE(D25,""zh-tw"",""zh"")"),"美味料理")</f>
        <v>美味料理</v>
      </c>
      <c r="Q25" s="138" t="str">
        <f>IFERROR(__xludf.DUMMYFUNCTION("GOOGLETRANSLATE(A25,""zh-tw"",""es-MX"")"),"Delicioso")</f>
        <v>Delicioso</v>
      </c>
      <c r="R25" s="142" t="str">
        <f>IFERROR(__xludf.DUMMYFUNCTION("GOOGLETRANSLATE(B25,""zh-tw"",""es-MX"")"),"Comí algo delicioso y siento calor en el estómago.")</f>
        <v>Comí algo delicioso y siento calor en el estómago.</v>
      </c>
      <c r="S25" s="303" t="str">
        <f>IFERROR(__xludf.DUMMYFUNCTION("GOOGLETRANSLATE(C25,""zh-tw"",""es-MX"")"),"La resistencia se recupera una pequeña cantidad por segundo.")</f>
        <v>La resistencia se recupera una pequeña cantidad por segundo.</v>
      </c>
      <c r="T25" s="141" t="str">
        <f>IFERROR(__xludf.DUMMYFUNCTION("GOOGLETRANSLATE(D25,""zh-tw"",""es-MX"")"),"Deliciosa cocina")</f>
        <v>Deliciosa cocina</v>
      </c>
      <c r="U25" s="138" t="str">
        <f>IFERROR(__xludf.DUMMYFUNCTION("GOOGLETRANSLATE(A25,""zh-tw"",""KO"")"),"맛있는")</f>
        <v>맛있는</v>
      </c>
      <c r="V25" s="142" t="str">
        <f>IFERROR(__xludf.DUMMYFUNCTION("GOOGLETRANSLATE(B25,""zh-tw"",""KO"")"),"맛있는거 먹고 나니 배가 따뜻해졌어요~")</f>
        <v>맛있는거 먹고 나니 배가 따뜻해졌어요~</v>
      </c>
      <c r="W25" s="303" t="str">
        <f>IFERROR(__xludf.DUMMYFUNCTION("GOOGLETRANSLATE(C25,""zh-tw"",""KO"")"),"체력은 초당 소량 회복됩니다.")</f>
        <v>체력은 초당 소량 회복됩니다.</v>
      </c>
      <c r="X25" s="141" t="str">
        <f>IFERROR(__xludf.DUMMYFUNCTION("GOOGLETRANSLATE(D25,""zh-tw"",""KO"")"),"맛있는 요리")</f>
        <v>맛있는 요리</v>
      </c>
      <c r="Y25" s="395" t="str">
        <f>IFERROR(__xludf.DUMMYFUNCTION("GOOGLETRANSLATE(A25,""zh-tw"",""RU"")"),"Вкусный")</f>
        <v>Вкусный</v>
      </c>
      <c r="Z25" s="317" t="str">
        <f>IFERROR(__xludf.DUMMYFUNCTION("GOOGLETRANSLATE(B25,""zh-tw"",""RU"")"),"Я съела что-то вкусненькое, и у меня внутри тепло~")</f>
        <v>Я съела что-то вкусненькое, и у меня внутри тепло~</v>
      </c>
      <c r="AA25" s="394"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96" t="str">
        <f>IFERROR(__xludf.DUMMYFUNCTION("GOOGLETRANSLATE(D25,""zh-tw"",""RU"")"),"Вкусная кухня")</f>
        <v>Вкусная кухня</v>
      </c>
      <c r="AC25" s="395" t="str">
        <f>IFERROR(__xludf.DUMMYFUNCTION("GOOGLETRANSLATE(A25,""zh-tw"",""DE"")"),"Lecker")</f>
        <v>Lecker</v>
      </c>
      <c r="AD25" s="317" t="str">
        <f>IFERROR(__xludf.DUMMYFUNCTION("GOOGLETRANSLATE(B25,""zh-tw"",""DE"")"),"Ich habe etwas Leckeres gegessen und mein Bauch fühlt sich warm an.")</f>
        <v>Ich habe etwas Leckeres gegessen und mein Bauch fühlt sich warm an.</v>
      </c>
      <c r="AE25" s="394" t="str">
        <f>IFERROR(__xludf.DUMMYFUNCTION("GOOGLETRANSLATE(C25,""zh-tw"",""DE"")"),"Die Ausdauer regeneriert sich pro Sekunde nur geringfügig.")</f>
        <v>Die Ausdauer regeneriert sich pro Sekunde nur geringfügig.</v>
      </c>
      <c r="AF25" s="396" t="str">
        <f>IFERROR(__xludf.DUMMYFUNCTION("GOOGLETRANSLATE(D25,""zh-tw"",""DE"")"),"Köstliche Küche")</f>
        <v>Köstliche Küche</v>
      </c>
      <c r="AG25" s="106" t="s">
        <v>8543</v>
      </c>
      <c r="AH25" s="136" t="s">
        <v>8544</v>
      </c>
      <c r="AI25" s="304" t="s">
        <v>8545</v>
      </c>
      <c r="AJ25" s="135" t="s">
        <v>8546</v>
      </c>
      <c r="AK25" s="106" t="s">
        <v>8547</v>
      </c>
      <c r="AL25" s="51" t="s">
        <v>8548</v>
      </c>
      <c r="AM25" s="304" t="s">
        <v>8549</v>
      </c>
      <c r="AN25" s="122" t="s">
        <v>8550</v>
      </c>
      <c r="AO25" s="397"/>
      <c r="AP25" s="397"/>
    </row>
    <row r="26">
      <c r="A26" s="175" t="s">
        <v>8551</v>
      </c>
      <c r="B26" s="315" t="s">
        <v>8552</v>
      </c>
      <c r="C26" s="214" t="s">
        <v>8553</v>
      </c>
      <c r="D26" s="393" t="s">
        <v>8554</v>
      </c>
      <c r="E26" s="175" t="s">
        <v>8555</v>
      </c>
      <c r="F26" s="315" t="s">
        <v>8556</v>
      </c>
      <c r="G26" s="394" t="str">
        <f>IFERROR(__xludf.DUMMYFUNCTION("GOOGLETRANSLATE(C26,""zh-tw"",""ja"")"),"攻撃力+50%")</f>
        <v>攻撃力+50%</v>
      </c>
      <c r="H26" s="396" t="str">
        <f>IFERROR(__xludf.DUMMYFUNCTION("GOOGLETRANSLATE(D26,""zh-tw"",""ja"")"),"食べ物")</f>
        <v>食べ物</v>
      </c>
      <c r="I26" s="175" t="s">
        <v>8557</v>
      </c>
      <c r="J26" s="315" t="s">
        <v>8558</v>
      </c>
      <c r="K26" s="214" t="s">
        <v>8559</v>
      </c>
      <c r="L26" s="393" t="s">
        <v>8560</v>
      </c>
      <c r="M26" s="395" t="str">
        <f>IFERROR(__xludf.DUMMYFUNCTION("GOOGLETRANSLATE(A26,""zh-tw"",""zh"")"),"力量提升")</f>
        <v>力量提升</v>
      </c>
      <c r="N26" s="317" t="str">
        <f>IFERROR(__xludf.DUMMYFUNCTION("GOOGLETRANSLATE(B26,""zh-tw"",""zh"")"),"力量……涌上来了！")</f>
        <v>力量……涌上来了！</v>
      </c>
      <c r="O26" s="394" t="str">
        <f>IFERROR(__xludf.DUMMYFUNCTION("GOOGLETRANSLATE(C26,""zh-tw"",""zh"")"),"攻击力+50%")</f>
        <v>攻击力+50%</v>
      </c>
      <c r="P26" s="396" t="str">
        <f>IFERROR(__xludf.DUMMYFUNCTION("GOOGLETRANSLATE(D26,""zh-tw"",""zh"")"),"食物")</f>
        <v>食物</v>
      </c>
      <c r="Q26" s="138" t="str">
        <f>IFERROR(__xludf.DUMMYFUNCTION("GOOGLETRANSLATE(A26,""zh-tw"",""es-MX"")"),"Mejora de la fuerza")</f>
        <v>Mejora de la fuerza</v>
      </c>
      <c r="R26" s="142" t="str">
        <f>IFERROR(__xludf.DUMMYFUNCTION("GOOGLETRANSLATE(B26,""zh-tw"",""es-MX"")"),"El poder... ¡aumentó!")</f>
        <v>El poder... ¡aumentó!</v>
      </c>
      <c r="S26" s="303" t="str">
        <f>IFERROR(__xludf.DUMMYFUNCTION("GOOGLETRANSLATE(C26,""zh-tw"",""es-MX"")"),"Poder de ataque +50%")</f>
        <v>Poder de ataque +50%</v>
      </c>
      <c r="T26" s="141" t="str">
        <f>IFERROR(__xludf.DUMMYFUNCTION("GOOGLETRANSLATE(D26,""zh-tw"",""es-MX"")"),"alimento")</f>
        <v>alimento</v>
      </c>
      <c r="U26" s="138" t="str">
        <f>IFERROR(__xludf.DUMMYFUNCTION("GOOGLETRANSLATE(A26,""zh-tw"",""KO"")"),"근력 강화")</f>
        <v>근력 강화</v>
      </c>
      <c r="V26" s="142" t="str">
        <f>IFERROR(__xludf.DUMMYFUNCTION("GOOGLETRANSLATE(B26,""zh-tw"",""KO"")"),"힘이... 솟구쳐 올랐다!")</f>
        <v>힘이... 솟구쳐 올랐다!</v>
      </c>
      <c r="W26" s="303" t="str">
        <f>IFERROR(__xludf.DUMMYFUNCTION("GOOGLETRANSLATE(C26,""zh-tw"",""KO"")"),"공격력 +50%")</f>
        <v>공격력 +50%</v>
      </c>
      <c r="X26" s="141" t="str">
        <f>IFERROR(__xludf.DUMMYFUNCTION("GOOGLETRANSLATE(D26,""zh-tw"",""KO"")"),"음식")</f>
        <v>음식</v>
      </c>
      <c r="Y26" s="395" t="str">
        <f>IFERROR(__xludf.DUMMYFUNCTION("GOOGLETRANSLATE(A26,""zh-tw"",""RU"")"),"Увеличение силы")</f>
        <v>Увеличение силы</v>
      </c>
      <c r="Z26" s="317" t="str">
        <f>IFERROR(__xludf.DUMMYFUNCTION("GOOGLETRANSLATE(B26,""zh-tw"",""RU"")"),"Сила... возросла!")</f>
        <v>Сила... возросла!</v>
      </c>
      <c r="AA26" s="394" t="str">
        <f>IFERROR(__xludf.DUMMYFUNCTION("GOOGLETRANSLATE(C26,""zh-tw"",""RU"")"),"Сила атаки +50%")</f>
        <v>Сила атаки +50%</v>
      </c>
      <c r="AB26" s="396" t="str">
        <f>IFERROR(__xludf.DUMMYFUNCTION("GOOGLETRANSLATE(D26,""zh-tw"",""RU"")"),"еда")</f>
        <v>еда</v>
      </c>
      <c r="AC26" s="395" t="str">
        <f>IFERROR(__xludf.DUMMYFUNCTION("GOOGLETRANSLATE(A26,""zh-tw"",""DE"")"),"Kraftsteigerung")</f>
        <v>Kraftsteigerung</v>
      </c>
      <c r="AD26" s="317" t="str">
        <f>IFERROR(__xludf.DUMMYFUNCTION("GOOGLETRANSLATE(B26,""zh-tw"",""DE"")"),"Die Leistung... stieg sprunghaft an!")</f>
        <v>Die Leistung... stieg sprunghaft an!</v>
      </c>
      <c r="AE26" s="394" t="str">
        <f>IFERROR(__xludf.DUMMYFUNCTION("GOOGLETRANSLATE(C26,""zh-tw"",""DE"")"),"Angriffskraft +50%")</f>
        <v>Angriffskraft +50%</v>
      </c>
      <c r="AF26" s="396" t="str">
        <f>IFERROR(__xludf.DUMMYFUNCTION("GOOGLETRANSLATE(D26,""zh-tw"",""DE"")"),"Essen")</f>
        <v>Essen</v>
      </c>
      <c r="AG26" s="106" t="s">
        <v>8561</v>
      </c>
      <c r="AH26" s="136" t="s">
        <v>8562</v>
      </c>
      <c r="AI26" s="304" t="s">
        <v>8563</v>
      </c>
      <c r="AJ26" s="122" t="s">
        <v>8564</v>
      </c>
      <c r="AK26" s="106" t="s">
        <v>8565</v>
      </c>
      <c r="AL26" s="51" t="s">
        <v>8566</v>
      </c>
      <c r="AM26" s="304" t="s">
        <v>8567</v>
      </c>
      <c r="AN26" s="122" t="s">
        <v>8568</v>
      </c>
      <c r="AO26" s="397"/>
      <c r="AP26" s="397"/>
    </row>
    <row r="27">
      <c r="A27" s="175" t="s">
        <v>8569</v>
      </c>
      <c r="B27" s="315" t="s">
        <v>8570</v>
      </c>
      <c r="C27" s="214" t="s">
        <v>8571</v>
      </c>
      <c r="D27" s="393" t="s">
        <v>8554</v>
      </c>
      <c r="E27" s="175" t="s">
        <v>8572</v>
      </c>
      <c r="F27" s="315" t="s">
        <v>8573</v>
      </c>
      <c r="G27" s="394" t="str">
        <f>IFERROR(__xludf.DUMMYFUNCTION("GOOGLETRANSLATE(C27,""zh-tw"",""ja"")"),"魔法力+50%")</f>
        <v>魔法力+50%</v>
      </c>
      <c r="H27" s="396" t="str">
        <f>IFERROR(__xludf.DUMMYFUNCTION("GOOGLETRANSLATE(D27,""zh-tw"",""ja"")"),"食べ物")</f>
        <v>食べ物</v>
      </c>
      <c r="I27" s="175" t="s">
        <v>8574</v>
      </c>
      <c r="J27" s="315" t="s">
        <v>8575</v>
      </c>
      <c r="K27" s="214" t="s">
        <v>8576</v>
      </c>
      <c r="L27" s="393" t="s">
        <v>8560</v>
      </c>
      <c r="M27" s="395" t="str">
        <f>IFERROR(__xludf.DUMMYFUNCTION("GOOGLETRANSLATE(A27,""zh-tw"",""zh"")"),"魔力提升")</f>
        <v>魔力提升</v>
      </c>
      <c r="N27" s="317" t="str">
        <f>IFERROR(__xludf.DUMMYFUNCTION("GOOGLETRANSLATE(B27,""zh-tw"",""zh"")"),"我逐渐理解一切。")</f>
        <v>我逐渐理解一切。</v>
      </c>
      <c r="O27" s="394" t="str">
        <f>IFERROR(__xludf.DUMMYFUNCTION("GOOGLETRANSLATE(C27,""zh-tw"",""zh"")"),"魔功力+50%")</f>
        <v>魔功力+50%</v>
      </c>
      <c r="P27" s="396" t="str">
        <f>IFERROR(__xludf.DUMMYFUNCTION("GOOGLETRANSLATE(D27,""zh-tw"",""zh"")"),"食物")</f>
        <v>食物</v>
      </c>
      <c r="Q27" s="138" t="str">
        <f>IFERROR(__xludf.DUMMYFUNCTION("GOOGLETRANSLATE(A27,""zh-tw"",""es-MX"")"),"Mejora mágica")</f>
        <v>Mejora mágica</v>
      </c>
      <c r="R27" s="142" t="str">
        <f>IFERROR(__xludf.DUMMYFUNCTION("GOOGLETRANSLATE(B27,""zh-tw"",""es-MX"")"),"Poco a poco fui comprendiendo todo.")</f>
        <v>Poco a poco fui comprendiendo todo.</v>
      </c>
      <c r="S27" s="303" t="str">
        <f>IFERROR(__xludf.DUMMYFUNCTION("GOOGLETRANSLATE(C27,""zh-tw"",""es-MX"")"),"Poder mágico +50%")</f>
        <v>Poder mágico +50%</v>
      </c>
      <c r="T27" s="141" t="str">
        <f>IFERROR(__xludf.DUMMYFUNCTION("GOOGLETRANSLATE(D27,""zh-tw"",""es-MX"")"),"alimento")</f>
        <v>alimento</v>
      </c>
      <c r="U27" s="138" t="str">
        <f>IFERROR(__xludf.DUMMYFUNCTION("GOOGLETRANSLATE(A27,""zh-tw"",""KO"")"),"마법 강화")</f>
        <v>마법 강화</v>
      </c>
      <c r="V27" s="142" t="str">
        <f>IFERROR(__xludf.DUMMYFUNCTION("GOOGLETRANSLATE(B27,""zh-tw"",""KO"")"),"나는 점차 모든 것을 이해하게 되었습니다.")</f>
        <v>나는 점차 모든 것을 이해하게 되었습니다.</v>
      </c>
      <c r="W27" s="303" t="str">
        <f>IFERROR(__xludf.DUMMYFUNCTION("GOOGLETRANSLATE(C27,""zh-tw"",""KO"")"),"마법력 +50%")</f>
        <v>마법력 +50%</v>
      </c>
      <c r="X27" s="141" t="str">
        <f>IFERROR(__xludf.DUMMYFUNCTION("GOOGLETRANSLATE(D27,""zh-tw"",""KO"")"),"음식")</f>
        <v>음식</v>
      </c>
      <c r="Y27" s="395" t="str">
        <f>IFERROR(__xludf.DUMMYFUNCTION("GOOGLETRANSLATE(A27,""zh-tw"",""RU"")"),"Улучшение магии")</f>
        <v>Улучшение магии</v>
      </c>
      <c r="Z27" s="317" t="str">
        <f>IFERROR(__xludf.DUMMYFUNCTION("GOOGLETRANSLATE(B27,""zh-tw"",""RU"")"),"Постепенно я все понял.")</f>
        <v>Постепенно я все понял.</v>
      </c>
      <c r="AA27" s="394" t="str">
        <f>IFERROR(__xludf.DUMMYFUNCTION("GOOGLETRANSLATE(C27,""zh-tw"",""RU"")"),"Магическая сила +50%")</f>
        <v>Магическая сила +50%</v>
      </c>
      <c r="AB27" s="396" t="str">
        <f>IFERROR(__xludf.DUMMYFUNCTION("GOOGLETRANSLATE(D27,""zh-tw"",""RU"")"),"еда")</f>
        <v>еда</v>
      </c>
      <c r="AC27" s="395" t="str">
        <f>IFERROR(__xludf.DUMMYFUNCTION("GOOGLETRANSLATE(A27,""zh-tw"",""DE"")"),"Magische Verstärkung")</f>
        <v>Magische Verstärkung</v>
      </c>
      <c r="AD27" s="317" t="str">
        <f>IFERROR(__xludf.DUMMYFUNCTION("GOOGLETRANSLATE(B27,""zh-tw"",""DE"")"),"Nach und nach verstand ich alles.")</f>
        <v>Nach und nach verstand ich alles.</v>
      </c>
      <c r="AE27" s="394" t="str">
        <f>IFERROR(__xludf.DUMMYFUNCTION("GOOGLETRANSLATE(C27,""zh-tw"",""DE"")"),"Magische Kraft +50%")</f>
        <v>Magische Kraft +50%</v>
      </c>
      <c r="AF27" s="396" t="str">
        <f>IFERROR(__xludf.DUMMYFUNCTION("GOOGLETRANSLATE(D27,""zh-tw"",""DE"")"),"Essen")</f>
        <v>Essen</v>
      </c>
      <c r="AG27" s="106" t="s">
        <v>8577</v>
      </c>
      <c r="AH27" s="136" t="s">
        <v>8578</v>
      </c>
      <c r="AI27" s="304" t="s">
        <v>8579</v>
      </c>
      <c r="AJ27" s="122" t="s">
        <v>8564</v>
      </c>
      <c r="AK27" s="106" t="s">
        <v>8580</v>
      </c>
      <c r="AL27" s="51" t="s">
        <v>8581</v>
      </c>
      <c r="AM27" s="304" t="s">
        <v>8582</v>
      </c>
      <c r="AN27" s="122" t="s">
        <v>8568</v>
      </c>
      <c r="AO27" s="397"/>
      <c r="AP27" s="397"/>
    </row>
    <row r="28">
      <c r="A28" s="175" t="s">
        <v>8583</v>
      </c>
      <c r="B28" s="315" t="s">
        <v>8584</v>
      </c>
      <c r="C28" s="214" t="s">
        <v>8585</v>
      </c>
      <c r="D28" s="393" t="s">
        <v>8554</v>
      </c>
      <c r="E28" s="395" t="str">
        <f>IFERROR(__xludf.DUMMYFUNCTION("GOOGLETRANSLATE(A28,""zh-tw"",""ja"")"),"速度増加")</f>
        <v>速度増加</v>
      </c>
      <c r="F28" s="317" t="str">
        <f>IFERROR(__xludf.DUMMYFUNCTION("GOOGLETRANSLATE(B28,""zh-tw"",""ja"")"),"ついていけるかな…？私のスピード！")</f>
        <v>ついていけるかな…？私のスピード！</v>
      </c>
      <c r="G28" s="394" t="str">
        <f>IFERROR(__xludf.DUMMYFUNCTION("GOOGLETRANSLATE(C28,""zh-tw"",""ja"")"),"移動速度の向上")</f>
        <v>移動速度の向上</v>
      </c>
      <c r="H28" s="396" t="str">
        <f>IFERROR(__xludf.DUMMYFUNCTION("GOOGLETRANSLATE(D28,""zh-tw"",""ja"")"),"食べ物")</f>
        <v>食べ物</v>
      </c>
      <c r="I28" s="175" t="s">
        <v>8586</v>
      </c>
      <c r="J28" s="315" t="s">
        <v>8587</v>
      </c>
      <c r="K28" s="214" t="s">
        <v>8588</v>
      </c>
      <c r="L28" s="393" t="s">
        <v>8560</v>
      </c>
      <c r="M28" s="395" t="str">
        <f>IFERROR(__xludf.DUMMYFUNCTION("GOOGLETRANSLATE(A28,""zh-tw"",""zh"")"),"速度提升")</f>
        <v>速度提升</v>
      </c>
      <c r="N28" s="317" t="str">
        <f>IFERROR(__xludf.DUMMYFUNCTION("GOOGLETRANSLATE(B28,""zh-tw"",""zh"")"),"跟得上吗……我的SPEED！")</f>
        <v>跟得上吗……我的SPEED！</v>
      </c>
      <c r="O28" s="394" t="str">
        <f>IFERROR(__xludf.DUMMYFUNCTION("GOOGLETRANSLATE(C28,""zh-tw"",""zh"")"),"移动速度上升")</f>
        <v>移动速度上升</v>
      </c>
      <c r="P28" s="396" t="str">
        <f>IFERROR(__xludf.DUMMYFUNCTION("GOOGLETRANSLATE(D28,""zh-tw"",""zh"")"),"食物")</f>
        <v>食物</v>
      </c>
      <c r="Q28" s="138" t="str">
        <f>IFERROR(__xludf.DUMMYFUNCTION("GOOGLETRANSLATE(A28,""zh-tw"",""es-MX"")"),"Aumento de velocidad")</f>
        <v>Aumento de velocidad</v>
      </c>
      <c r="R28" s="142" t="str">
        <f>IFERROR(__xludf.DUMMYFUNCTION("GOOGLETRANSLATE(B28,""zh-tw"",""es-MX"")"),"¿Puedo seguir el ritmo...? ¡Mi velocidad!")</f>
        <v>¿Puedo seguir el ritmo...? ¡Mi velocidad!</v>
      </c>
      <c r="S28" s="303" t="str">
        <f>IFERROR(__xludf.DUMMYFUNCTION("GOOGLETRANSLATE(C28,""zh-tw"",""es-MX"")"),"Mayor velocidad de movimiento")</f>
        <v>Mayor velocidad de movimiento</v>
      </c>
      <c r="T28" s="141" t="str">
        <f>IFERROR(__xludf.DUMMYFUNCTION("GOOGLETRANSLATE(D28,""zh-tw"",""es-MX"")"),"alimento")</f>
        <v>alimento</v>
      </c>
      <c r="U28" s="138" t="str">
        <f>IFERROR(__xludf.DUMMYFUNCTION("GOOGLETRANSLATE(A28,""zh-tw"",""KO"")"),"속도 증가")</f>
        <v>속도 증가</v>
      </c>
      <c r="V28" s="142" t="str">
        <f>IFERROR(__xludf.DUMMYFUNCTION("GOOGLETRANSLATE(B28,""zh-tw"",""KO"")"),"따라잡을 수 있을까...? 내 속도!")</f>
        <v>따라잡을 수 있을까...? 내 속도!</v>
      </c>
      <c r="W28" s="303" t="str">
        <f>IFERROR(__xludf.DUMMYFUNCTION("GOOGLETRANSLATE(C28,""zh-tw"",""KO"")"),"이동 속도 증가")</f>
        <v>이동 속도 증가</v>
      </c>
      <c r="X28" s="141" t="str">
        <f>IFERROR(__xludf.DUMMYFUNCTION("GOOGLETRANSLATE(D28,""zh-tw"",""KO"")"),"음식")</f>
        <v>음식</v>
      </c>
      <c r="Y28" s="395" t="str">
        <f>IFERROR(__xludf.DUMMYFUNCTION("GOOGLETRANSLATE(A28,""zh-tw"",""RU"")"),"Увеличение скорости")</f>
        <v>Увеличение скорости</v>
      </c>
      <c r="Z28" s="317" t="str">
        <f>IFERROR(__xludf.DUMMYFUNCTION("GOOGLETRANSLATE(B28,""zh-tw"",""RU"")"),"Смогу ли я угнаться...? Моя скорость!")</f>
        <v>Смогу ли я угнаться...? Моя скорость!</v>
      </c>
      <c r="AA28" s="394" t="str">
        <f>IFERROR(__xludf.DUMMYFUNCTION("GOOGLETRANSLATE(C28,""zh-tw"",""RU"")"),"Увеличенная скорость передвижения")</f>
        <v>Увеличенная скорость передвижения</v>
      </c>
      <c r="AB28" s="396" t="str">
        <f>IFERROR(__xludf.DUMMYFUNCTION("GOOGLETRANSLATE(D28,""zh-tw"",""RU"")"),"еда")</f>
        <v>еда</v>
      </c>
      <c r="AC28" s="395" t="str">
        <f>IFERROR(__xludf.DUMMYFUNCTION("GOOGLETRANSLATE(A28,""zh-tw"",""DE"")"),"Geschwindigkeitserhöhung")</f>
        <v>Geschwindigkeitserhöhung</v>
      </c>
      <c r="AD28" s="317" t="str">
        <f>IFERROR(__xludf.DUMMYFUNCTION("GOOGLETRANSLATE(B28,""zh-tw"",""DE"")"),"Kann ich mithalten...? Meine Geschwindigkeit!")</f>
        <v>Kann ich mithalten...? Meine Geschwindigkeit!</v>
      </c>
      <c r="AE28" s="394" t="str">
        <f>IFERROR(__xludf.DUMMYFUNCTION("GOOGLETRANSLATE(C28,""zh-tw"",""DE"")"),"Erhöhte Bewegungsgeschwindigkeit")</f>
        <v>Erhöhte Bewegungsgeschwindigkeit</v>
      </c>
      <c r="AF28" s="396" t="str">
        <f>IFERROR(__xludf.DUMMYFUNCTION("GOOGLETRANSLATE(D28,""zh-tw"",""DE"")"),"Essen")</f>
        <v>Essen</v>
      </c>
      <c r="AG28" s="106" t="s">
        <v>8589</v>
      </c>
      <c r="AH28" s="136" t="s">
        <v>8590</v>
      </c>
      <c r="AI28" s="304" t="s">
        <v>8591</v>
      </c>
      <c r="AJ28" s="122" t="s">
        <v>8564</v>
      </c>
      <c r="AK28" s="106" t="s">
        <v>8592</v>
      </c>
      <c r="AL28" s="51" t="s">
        <v>8593</v>
      </c>
      <c r="AM28" s="304" t="s">
        <v>8594</v>
      </c>
      <c r="AN28" s="122" t="s">
        <v>8568</v>
      </c>
      <c r="AO28" s="397"/>
      <c r="AP28" s="397"/>
    </row>
    <row r="29">
      <c r="A29" s="175" t="s">
        <v>8595</v>
      </c>
      <c r="B29" s="315" t="s">
        <v>8596</v>
      </c>
      <c r="C29" s="214" t="s">
        <v>8597</v>
      </c>
      <c r="D29" s="393" t="s">
        <v>8598</v>
      </c>
      <c r="E29" s="395" t="str">
        <f>IFERROR(__xludf.DUMMYFUNCTION("GOOGLETRANSLATE(A29,""zh-tw"",""ja"")"),"巨神兵")</f>
        <v>巨神兵</v>
      </c>
      <c r="F29" s="315" t="s">
        <v>8599</v>
      </c>
      <c r="G29" s="214" t="s">
        <v>8600</v>
      </c>
      <c r="H29" s="396" t="str">
        <f>IFERROR(__xludf.DUMMYFUNCTION("GOOGLETRANSLATE(D29,""zh-tw"",""ja"")"),"タロットカード")</f>
        <v>タロットカード</v>
      </c>
      <c r="I29" s="175" t="s">
        <v>8601</v>
      </c>
      <c r="J29" s="315" t="s">
        <v>8602</v>
      </c>
      <c r="K29" s="214" t="s">
        <v>8603</v>
      </c>
      <c r="L29" s="393" t="s">
        <v>8604</v>
      </c>
      <c r="M29" s="395" t="str">
        <f>IFERROR(__xludf.DUMMYFUNCTION("GOOGLETRANSLATE(A29,""zh-tw"",""zh"")"),"巨神兵")</f>
        <v>巨神兵</v>
      </c>
      <c r="N29" s="317" t="str">
        <f>IFERROR(__xludf.DUMMYFUNCTION("GOOGLETRANSLATE(B29,""zh-tw"",""zh"")"),"神兵天将")</f>
        <v>神兵天将</v>
      </c>
      <c r="O29" s="394" t="str">
        <f>IFERROR(__xludf.DUMMYFUNCTION("GOOGLETRANSLATE(C29,""zh-tw"",""zh"")"),"状态持续期间武器巨大化，提升攻击范围和伤害")</f>
        <v>状态持续期间武器巨大化，提升攻击范围和伤害</v>
      </c>
      <c r="P29" s="396" t="str">
        <f>IFERROR(__xludf.DUMMYFUNCTION("GOOGLETRANSLATE(D29,""zh-tw"",""zh"")"),"塔罗牌")</f>
        <v>塔罗牌</v>
      </c>
      <c r="Q29" s="138" t="str">
        <f>IFERROR(__xludf.DUMMYFUNCTION("GOOGLETRANSLATE(A29,""zh-tw"",""es-MX"")"),"Soldado dios gigante")</f>
        <v>Soldado dios gigante</v>
      </c>
      <c r="R29" s="142" t="str">
        <f>IFERROR(__xludf.DUMMYFUNCTION("GOOGLETRANSLATE(B29,""zh-tw"",""es-MX"")"),"Soldados divinos y generales celestiales")</f>
        <v>Soldados divinos y generales celestiales</v>
      </c>
      <c r="S29" s="303" t="str">
        <f>IFERROR(__xludf.DUMMYFUNCTION("GOOGLETRANSLATE(C29,""zh-tw"",""es-MX"")"),"Durante la duración del efecto, el arma crece, aumentando su alcance de ataque y daño.")</f>
        <v>Durante la duración del efecto, el arma crece, aumentando su alcance de ataque y daño.</v>
      </c>
      <c r="T29" s="141" t="str">
        <f>IFERROR(__xludf.DUMMYFUNCTION("GOOGLETRANSLATE(D29,""zh-tw"",""es-MX"")"),"Cartas del tarot")</f>
        <v>Cartas del tarot</v>
      </c>
      <c r="U29" s="138" t="str">
        <f>IFERROR(__xludf.DUMMYFUNCTION("GOOGLETRANSLATE(A29,""zh-tw"",""KO"")"),"거신병")</f>
        <v>거신병</v>
      </c>
      <c r="V29" s="142" t="str">
        <f>IFERROR(__xludf.DUMMYFUNCTION("GOOGLETRANSLATE(B29,""zh-tw"",""KO"")"),"신성한 군인과 천상의 장군")</f>
        <v>신성한 군인과 천상의 장군</v>
      </c>
      <c r="W29" s="303" t="str">
        <f>IFERROR(__xludf.DUMMYFUNCTION("GOOGLETRANSLATE(C29,""zh-tw"",""KO"")"),"효과가 지속되는 동안 무기가 더 커져 공격 범위와 피해가 증가합니다.")</f>
        <v>효과가 지속되는 동안 무기가 더 커져 공격 범위와 피해가 증가합니다.</v>
      </c>
      <c r="X29" s="141" t="str">
        <f>IFERROR(__xludf.DUMMYFUNCTION("GOOGLETRANSLATE(D29,""zh-tw"",""KO"")"),"타로 카드")</f>
        <v>타로 카드</v>
      </c>
      <c r="Y29" s="395" t="str">
        <f>IFERROR(__xludf.DUMMYFUNCTION("GOOGLETRANSLATE(A29,""zh-tw"",""RU"")"),"Гигантский Божественный Солдат")</f>
        <v>Гигантский Божественный Солдат</v>
      </c>
      <c r="Z29" s="317" t="str">
        <f>IFERROR(__xludf.DUMMYFUNCTION("GOOGLETRANSLATE(B29,""zh-tw"",""RU"")"),"Божественные солдаты и небесные генералы")</f>
        <v>Божественные солдаты и небесные генералы</v>
      </c>
      <c r="AA29" s="394"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96" t="str">
        <f>IFERROR(__xludf.DUMMYFUNCTION("GOOGLETRANSLATE(D29,""zh-tw"",""RU"")"),"Карты Таро")</f>
        <v>Карты Таро</v>
      </c>
      <c r="AC29" s="395" t="str">
        <f>IFERROR(__xludf.DUMMYFUNCTION("GOOGLETRANSLATE(A29,""zh-tw"",""DE"")"),"Riesengottsoldat")</f>
        <v>Riesengottsoldat</v>
      </c>
      <c r="AD29" s="317" t="str">
        <f>IFERROR(__xludf.DUMMYFUNCTION("GOOGLETRANSLATE(B29,""zh-tw"",""DE"")"),"Göttliche Soldaten und himmlische Generäle")</f>
        <v>Göttliche Soldaten und himmlische Generäle</v>
      </c>
      <c r="AE29" s="394" t="str">
        <f>IFERROR(__xludf.DUMMYFUNCTION("GOOGLETRANSLATE(C29,""zh-tw"",""DE"")"),"Während der Wirkungsdauer vergrößert sich die Waffe, wodurch ihre Angriffsreichweite und ihr Schaden steigen.")</f>
        <v>Während der Wirkungsdauer vergrößert sich die Waffe, wodurch ihre Angriffsreichweite und ihr Schaden steigen.</v>
      </c>
      <c r="AF29" s="396" t="str">
        <f>IFERROR(__xludf.DUMMYFUNCTION("GOOGLETRANSLATE(D29,""zh-tw"",""DE"")"),"Tarotkarten")</f>
        <v>Tarotkarten</v>
      </c>
      <c r="AG29" s="118" t="s">
        <v>8605</v>
      </c>
      <c r="AH29" s="51" t="s">
        <v>8606</v>
      </c>
      <c r="AI29" s="213" t="s">
        <v>8607</v>
      </c>
      <c r="AJ29" s="122" t="s">
        <v>8608</v>
      </c>
      <c r="AK29" s="106" t="s">
        <v>8609</v>
      </c>
      <c r="AL29" s="51" t="s">
        <v>8610</v>
      </c>
      <c r="AM29" s="304" t="s">
        <v>8611</v>
      </c>
      <c r="AN29" s="122" t="s">
        <v>8612</v>
      </c>
      <c r="AO29" s="397"/>
      <c r="AP29" s="397"/>
    </row>
    <row r="30">
      <c r="A30" s="175" t="s">
        <v>8613</v>
      </c>
      <c r="B30" s="315" t="s">
        <v>8614</v>
      </c>
      <c r="C30" s="214" t="s">
        <v>8615</v>
      </c>
      <c r="D30" s="393" t="s">
        <v>8598</v>
      </c>
      <c r="E30" s="175" t="s">
        <v>8616</v>
      </c>
      <c r="F30" s="317" t="str">
        <f>IFERROR(__xludf.DUMMYFUNCTION("GOOGLETRANSLATE(B30,""zh-tw"",""ja"")"),"運命の流れ…")</f>
        <v>運命の流れ…</v>
      </c>
      <c r="G30" s="394" t="str">
        <f>IFERROR(__xludf.DUMMYFUNCTION("GOOGLETRANSLATE(C30,""zh-tw"",""ja"")"),"運命の祝福で幸せなことに出会いやすくなります！")</f>
        <v>運命の祝福で幸せなことに出会いやすくなります！</v>
      </c>
      <c r="H30" s="396" t="str">
        <f>IFERROR(__xludf.DUMMYFUNCTION("GOOGLETRANSLATE(D30,""zh-tw"",""ja"")"),"タロットカード")</f>
        <v>タロットカード</v>
      </c>
      <c r="I30" s="175" t="s">
        <v>8617</v>
      </c>
      <c r="J30" s="315" t="s">
        <v>8618</v>
      </c>
      <c r="K30" s="394" t="str">
        <f>IFERROR(__xludf.DUMMYFUNCTION("GOOGLETRANSLATE(C30,""zh-tw"",""en"")"),"With the blessing of fate, it's easier to encounter happy things!")</f>
        <v>With the blessing of fate, it's easier to encounter happy things!</v>
      </c>
      <c r="L30" s="393" t="s">
        <v>8619</v>
      </c>
      <c r="M30" s="395" t="str">
        <f>IFERROR(__xludf.DUMMYFUNCTION("GOOGLETRANSLATE(A30,""zh-tw"",""zh"")"),"命运之轮-正")</f>
        <v>命运之轮-正</v>
      </c>
      <c r="N30" s="317" t="str">
        <f>IFERROR(__xludf.DUMMYFUNCTION("GOOGLETRANSLATE(B30,""zh-tw"",""zh"")"),"命运的流动……")</f>
        <v>命运的流动……</v>
      </c>
      <c r="O30" s="394" t="str">
        <f>IFERROR(__xludf.DUMMYFUNCTION("GOOGLETRANSLATE(C30,""zh-tw"",""zh"")"),"得到命运的加护，更容易遇到开心的事情了！")</f>
        <v>得到命运的加护，更容易遇到开心的事情了！</v>
      </c>
      <c r="P30" s="396" t="str">
        <f>IFERROR(__xludf.DUMMYFUNCTION("GOOGLETRANSLATE(D30,""zh-tw"",""zh"")"),"塔罗牌")</f>
        <v>塔罗牌</v>
      </c>
      <c r="Q30" s="138" t="str">
        <f>IFERROR(__xludf.DUMMYFUNCTION("GOOGLETRANSLATE(A30,""zh-tw"",""es-MX"")"),"Rueda de la fortuna - Derecha")</f>
        <v>Rueda de la fortuna - Derecha</v>
      </c>
      <c r="R30" s="142" t="str">
        <f>IFERROR(__xludf.DUMMYFUNCTION("GOOGLETRANSLATE(B30,""zh-tw"",""es-MX"")"),"El flujo del destino...")</f>
        <v>El flujo del destino...</v>
      </c>
      <c r="S30" s="303" t="str">
        <f>IFERROR(__xludf.DUMMYFUNCTION("GOOGLETRANSLATE(C30,""zh-tw"",""es-MX"")"),"¡Con la bendición del destino, es más fácil encontrar cosas felices!")</f>
        <v>¡Con la bendición del destino, es más fácil encontrar cosas felices!</v>
      </c>
      <c r="T30" s="141" t="str">
        <f>IFERROR(__xludf.DUMMYFUNCTION("GOOGLETRANSLATE(D30,""zh-tw"",""es-MX"")"),"Cartas del tarot")</f>
        <v>Cartas del tarot</v>
      </c>
      <c r="U30" s="138" t="str">
        <f>IFERROR(__xludf.DUMMYFUNCTION("GOOGLETRANSLATE(A30,""zh-tw"",""KO"")"),"행운의 바퀴 - 오른쪽")</f>
        <v>행운의 바퀴 - 오른쪽</v>
      </c>
      <c r="V30" s="142" t="str">
        <f>IFERROR(__xludf.DUMMYFUNCTION("GOOGLETRANSLATE(B30,""zh-tw"",""KO"")"),"운명의 흐름...")</f>
        <v>운명의 흐름...</v>
      </c>
      <c r="W30" s="303" t="str">
        <f>IFERROR(__xludf.DUMMYFUNCTION("GOOGLETRANSLATE(C30,""zh-tw"",""KO"")"),"운명의 축복을 받으면 행복한 일이 더 쉽게 찾아올 거예요!")</f>
        <v>운명의 축복을 받으면 행복한 일이 더 쉽게 찾아올 거예요!</v>
      </c>
      <c r="X30" s="141" t="str">
        <f>IFERROR(__xludf.DUMMYFUNCTION("GOOGLETRANSLATE(D30,""zh-tw"",""KO"")"),"타로 카드")</f>
        <v>타로 카드</v>
      </c>
      <c r="Y30" s="395" t="str">
        <f>IFERROR(__xludf.DUMMYFUNCTION("GOOGLETRANSLATE(A30,""zh-tw"",""RU"")"),"Колесо Фортуны — Правое")</f>
        <v>Колесо Фортуны — Правое</v>
      </c>
      <c r="Z30" s="317" t="str">
        <f>IFERROR(__xludf.DUMMYFUNCTION("GOOGLETRANSLATE(B30,""zh-tw"",""RU"")"),"Поток судьбы...")</f>
        <v>Поток судьбы...</v>
      </c>
      <c r="AA30" s="394"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96" t="str">
        <f>IFERROR(__xludf.DUMMYFUNCTION("GOOGLETRANSLATE(D30,""zh-tw"",""RU"")"),"Карты Таро")</f>
        <v>Карты Таро</v>
      </c>
      <c r="AC30" s="395" t="str">
        <f>IFERROR(__xludf.DUMMYFUNCTION("GOOGLETRANSLATE(A30,""zh-tw"",""DE"")"),"Glücksrad - Rechts")</f>
        <v>Glücksrad - Rechts</v>
      </c>
      <c r="AD30" s="317" t="str">
        <f>IFERROR(__xludf.DUMMYFUNCTION("GOOGLETRANSLATE(B30,""zh-tw"",""DE"")"),"Der Lauf des Schicksals...")</f>
        <v>Der Lauf des Schicksals...</v>
      </c>
      <c r="AE30" s="394" t="str">
        <f>IFERROR(__xludf.DUMMYFUNCTION("GOOGLETRANSLATE(C30,""zh-tw"",""DE"")"),"Mit dem Segen des Schicksals begegnet man leichter glücklichen Dingen!")</f>
        <v>Mit dem Segen des Schicksals begegnet man leichter glücklichen Dingen!</v>
      </c>
      <c r="AF30" s="396" t="str">
        <f>IFERROR(__xludf.DUMMYFUNCTION("GOOGLETRANSLATE(D30,""zh-tw"",""DE"")"),"Tarotkarten")</f>
        <v>Tarotkarten</v>
      </c>
      <c r="AG30" s="106" t="s">
        <v>8620</v>
      </c>
      <c r="AH30" s="136" t="s">
        <v>8621</v>
      </c>
      <c r="AI30" s="213" t="s">
        <v>8622</v>
      </c>
      <c r="AJ30" s="122" t="s">
        <v>8623</v>
      </c>
      <c r="AK30" s="106" t="s">
        <v>8624</v>
      </c>
      <c r="AL30" s="51" t="s">
        <v>8625</v>
      </c>
      <c r="AM30" s="304" t="s">
        <v>8626</v>
      </c>
      <c r="AN30" s="122" t="s">
        <v>8627</v>
      </c>
      <c r="AO30" s="397"/>
      <c r="AP30" s="397"/>
    </row>
    <row r="31">
      <c r="A31" s="175" t="s">
        <v>8628</v>
      </c>
      <c r="B31" s="315" t="s">
        <v>8629</v>
      </c>
      <c r="C31" s="214" t="s">
        <v>8630</v>
      </c>
      <c r="D31" s="393" t="s">
        <v>8598</v>
      </c>
      <c r="E31" s="175" t="s">
        <v>8631</v>
      </c>
      <c r="F31" s="317" t="str">
        <f>IFERROR(__xludf.DUMMYFUNCTION("GOOGLETRANSLATE(B31,""zh-tw"",""ja"")"),"運命は流れる…")</f>
        <v>運命は流れる…</v>
      </c>
      <c r="G31" s="394" t="str">
        <f>IFERROR(__xludf.DUMMYFUNCTION("GOOGLETRANSLATE(C31,""zh-tw"",""ja"")"),"運命に恵まれると困難なことにも遭遇しやすくなります！")</f>
        <v>運命に恵まれると困難なことにも遭遇しやすくなります！</v>
      </c>
      <c r="H31" s="396" t="str">
        <f>IFERROR(__xludf.DUMMYFUNCTION("GOOGLETRANSLATE(D31,""zh-tw"",""ja"")"),"タロットカード")</f>
        <v>タロットカード</v>
      </c>
      <c r="I31" s="175" t="s">
        <v>8632</v>
      </c>
      <c r="J31" s="315" t="s">
        <v>8633</v>
      </c>
      <c r="K31" s="394" t="str">
        <f>IFERROR(__xludf.DUMMYFUNCTION("GOOGLETRANSLATE(C31,""zh-tw"",""en"")"),"Being blessed by fate makes it easier to encounter difficult things!")</f>
        <v>Being blessed by fate makes it easier to encounter difficult things!</v>
      </c>
      <c r="L31" s="393" t="s">
        <v>8619</v>
      </c>
      <c r="M31" s="395" t="str">
        <f>IFERROR(__xludf.DUMMYFUNCTION("GOOGLETRANSLATE(A31,""zh-tw"",""zh"")"),"命运之轮-逆")</f>
        <v>命运之轮-逆</v>
      </c>
      <c r="N31" s="317" t="str">
        <f>IFERROR(__xludf.DUMMYFUNCTION("GOOGLETRANSLATE(B31,""zh-tw"",""zh"")"),"命运流动……")</f>
        <v>命运流动……</v>
      </c>
      <c r="O31" s="394" t="str">
        <f>IFERROR(__xludf.DUMMYFUNCTION("GOOGLETRANSLATE(C31,""zh-tw"",""zh"")"),"得到命运的加护，更容易遇到难过的事情了！")</f>
        <v>得到命运的加护，更容易遇到难过的事情了！</v>
      </c>
      <c r="P31" s="396" t="str">
        <f>IFERROR(__xludf.DUMMYFUNCTION("GOOGLETRANSLATE(D31,""zh-tw"",""zh"")"),"塔罗牌")</f>
        <v>塔罗牌</v>
      </c>
      <c r="Q31" s="138" t="str">
        <f>IFERROR(__xludf.DUMMYFUNCTION("GOOGLETRANSLATE(A31,""zh-tw"",""es-MX"")"),"Rueda de la fortuna - Inversa")</f>
        <v>Rueda de la fortuna - Inversa</v>
      </c>
      <c r="R31" s="142" t="str">
        <f>IFERROR(__xludf.DUMMYFUNCTION("GOOGLETRANSLATE(B31,""zh-tw"",""es-MX"")"),"El destino fluye...")</f>
        <v>El destino fluye...</v>
      </c>
      <c r="S31" s="303" t="str">
        <f>IFERROR(__xludf.DUMMYFUNCTION("GOOGLETRANSLATE(C31,""zh-tw"",""es-MX"")"),"¡Ser bendecido por el destino hace que sea más fácil enfrentar cosas difíciles!")</f>
        <v>¡Ser bendecido por el destino hace que sea más fácil enfrentar cosas difíciles!</v>
      </c>
      <c r="T31" s="141" t="str">
        <f>IFERROR(__xludf.DUMMYFUNCTION("GOOGLETRANSLATE(D31,""zh-tw"",""es-MX"")"),"Cartas del tarot")</f>
        <v>Cartas del tarot</v>
      </c>
      <c r="U31" s="138" t="str">
        <f>IFERROR(__xludf.DUMMYFUNCTION("GOOGLETRANSLATE(A31,""zh-tw"",""KO"")"),"행운의 바퀴 - 역전")</f>
        <v>행운의 바퀴 - 역전</v>
      </c>
      <c r="V31" s="142" t="str">
        <f>IFERROR(__xludf.DUMMYFUNCTION("GOOGLETRANSLATE(B31,""zh-tw"",""KO"")"),"운명은 흐른다...")</f>
        <v>운명은 흐른다...</v>
      </c>
      <c r="W31" s="303" t="str">
        <f>IFERROR(__xludf.DUMMYFUNCTION("GOOGLETRANSLATE(C31,""zh-tw"",""KO"")"),"운명의 축복을 받으면 어려운 일을 겪기가 쉬워집니다!")</f>
        <v>운명의 축복을 받으면 어려운 일을 겪기가 쉬워집니다!</v>
      </c>
      <c r="X31" s="141" t="str">
        <f>IFERROR(__xludf.DUMMYFUNCTION("GOOGLETRANSLATE(D31,""zh-tw"",""KO"")"),"타로 카드")</f>
        <v>타로 카드</v>
      </c>
      <c r="Y31" s="395" t="str">
        <f>IFERROR(__xludf.DUMMYFUNCTION("GOOGLETRANSLATE(A31,""zh-tw"",""RU"")"),"Колесо Фортуны — Обратное")</f>
        <v>Колесо Фортуны — Обратное</v>
      </c>
      <c r="Z31" s="317" t="str">
        <f>IFERROR(__xludf.DUMMYFUNCTION("GOOGLETRANSLATE(B31,""zh-tw"",""RU"")"),"Судьба течет...")</f>
        <v>Судьба течет...</v>
      </c>
      <c r="AA31" s="394" t="str">
        <f>IFERROR(__xludf.DUMMYFUNCTION("GOOGLETRANSLATE(C31,""zh-tw"",""RU"")"),"Благословение судьбы облегчает преодоление трудностей!")</f>
        <v>Благословение судьбы облегчает преодоление трудностей!</v>
      </c>
      <c r="AB31" s="396" t="str">
        <f>IFERROR(__xludf.DUMMYFUNCTION("GOOGLETRANSLATE(D31,""zh-tw"",""RU"")"),"Карты Таро")</f>
        <v>Карты Таро</v>
      </c>
      <c r="AC31" s="395" t="str">
        <f>IFERROR(__xludf.DUMMYFUNCTION("GOOGLETRANSLATE(A31,""zh-tw"",""DE"")"),"Glücksrad – Rückwärts")</f>
        <v>Glücksrad – Rückwärts</v>
      </c>
      <c r="AD31" s="317" t="str">
        <f>IFERROR(__xludf.DUMMYFUNCTION("GOOGLETRANSLATE(B31,""zh-tw"",""DE"")"),"Das Schicksal bestimmt seinen Lauf...")</f>
        <v>Das Schicksal bestimmt seinen Lauf...</v>
      </c>
      <c r="AE31" s="394" t="str">
        <f>IFERROR(__xludf.DUMMYFUNCTION("GOOGLETRANSLATE(C31,""zh-tw"",""DE"")"),"Vom Schicksal begünstigt zu sein, erleichtert den Umgang mit schwierigen Dingen!")</f>
        <v>Vom Schicksal begünstigt zu sein, erleichtert den Umgang mit schwierigen Dingen!</v>
      </c>
      <c r="AF31" s="396" t="str">
        <f>IFERROR(__xludf.DUMMYFUNCTION("GOOGLETRANSLATE(D31,""zh-tw"",""DE"")"),"Tarotkarten")</f>
        <v>Tarotkarten</v>
      </c>
      <c r="AG31" s="106" t="s">
        <v>8634</v>
      </c>
      <c r="AH31" s="136" t="s">
        <v>8635</v>
      </c>
      <c r="AI31" s="213" t="s">
        <v>8636</v>
      </c>
      <c r="AJ31" s="122" t="s">
        <v>8623</v>
      </c>
      <c r="AK31" s="106" t="s">
        <v>8637</v>
      </c>
      <c r="AL31" s="51" t="s">
        <v>8638</v>
      </c>
      <c r="AM31" s="304" t="s">
        <v>8639</v>
      </c>
      <c r="AN31" s="122" t="s">
        <v>8627</v>
      </c>
      <c r="AO31" s="397"/>
      <c r="AP31" s="397"/>
    </row>
    <row r="32">
      <c r="A32" s="175" t="s">
        <v>8640</v>
      </c>
      <c r="B32" s="315" t="s">
        <v>8641</v>
      </c>
      <c r="C32" s="214" t="s">
        <v>8642</v>
      </c>
      <c r="D32" s="393" t="s">
        <v>7190</v>
      </c>
      <c r="E32" s="175" t="s">
        <v>8643</v>
      </c>
      <c r="F32" s="315" t="s">
        <v>8644</v>
      </c>
      <c r="G32" s="214" t="s">
        <v>8645</v>
      </c>
      <c r="H32" s="393" t="s">
        <v>7192</v>
      </c>
      <c r="I32" s="175" t="s">
        <v>8646</v>
      </c>
      <c r="J32" s="315" t="s">
        <v>8647</v>
      </c>
      <c r="K32" s="214" t="s">
        <v>8648</v>
      </c>
      <c r="L32" s="393" t="s">
        <v>7194</v>
      </c>
      <c r="M32" s="395" t="str">
        <f>IFERROR(__xludf.DUMMYFUNCTION("GOOGLETRANSLATE(A32,""zh-tw"",""zh"")"),"生命力")</f>
        <v>生命力</v>
      </c>
      <c r="N32" s="317" t="str">
        <f>IFERROR(__xludf.DUMMYFUNCTION("GOOGLETRANSLATE(B32,""zh-tw"",""zh"")"),"但是真的很难吃……")</f>
        <v>但是真的很难吃……</v>
      </c>
      <c r="O32" s="394" t="str">
        <f>IFERROR(__xludf.DUMMYFUNCTION("GOOGLETRANSLATE(C32,""zh-tw"",""zh"")"),"体内充满了生命力，体力增加了")</f>
        <v>体内充满了生命力，体力增加了</v>
      </c>
      <c r="P32" s="396" t="str">
        <f>IFERROR(__xludf.DUMMYFUNCTION("GOOGLETRANSLATE(D32,""zh-tw"",""zh"")"),"天上之石碎片")</f>
        <v>天上之石碎片</v>
      </c>
      <c r="Q32" s="138" t="str">
        <f>IFERROR(__xludf.DUMMYFUNCTION("GOOGLETRANSLATE(A32,""zh-tw"",""es-MX"")"),"vitalidad")</f>
        <v>vitalidad</v>
      </c>
      <c r="R32" s="142" t="str">
        <f>IFERROR(__xludf.DUMMYFUNCTION("GOOGLETRANSLATE(B32,""zh-tw"",""es-MX"")"),"Pero realmente sabía horrible...")</f>
        <v>Pero realmente sabía horrible...</v>
      </c>
      <c r="S32" s="303" t="str">
        <f>IFERROR(__xludf.DUMMYFUNCTION("GOOGLETRANSLATE(C32,""zh-tw"",""es-MX"")"),"Mi cuerpo está lleno de vitalidad y mi fuerza física ha aumentado.")</f>
        <v>Mi cuerpo está lleno de vitalidad y mi fuerza física ha aumentado.</v>
      </c>
      <c r="T32" s="141" t="str">
        <f>IFERROR(__xludf.DUMMYFUNCTION("GOOGLETRANSLATE(D32,""zh-tw"",""es-MX"")"),"Fragmentos de la Piedra Celestial")</f>
        <v>Fragmentos de la Piedra Celestial</v>
      </c>
      <c r="U32" s="138" t="str">
        <f>IFERROR(__xludf.DUMMYFUNCTION("GOOGLETRANSLATE(A32,""zh-tw"",""KO"")"),"활력")</f>
        <v>활력</v>
      </c>
      <c r="V32" s="142" t="str">
        <f>IFERROR(__xludf.DUMMYFUNCTION("GOOGLETRANSLATE(B32,""zh-tw"",""KO"")"),"하지만 정말 맛없었어요...")</f>
        <v>하지만 정말 맛없었어요...</v>
      </c>
      <c r="W32" s="303" t="str">
        <f>IFERROR(__xludf.DUMMYFUNCTION("GOOGLETRANSLATE(C32,""zh-tw"",""KO"")"),"내 몸은 활력으로 가득 차고, 체력도 증가했습니다.")</f>
        <v>내 몸은 활력으로 가득 차고, 체력도 증가했습니다.</v>
      </c>
      <c r="X32" s="141" t="str">
        <f>IFERROR(__xludf.DUMMYFUNCTION("GOOGLETRANSLATE(D32,""zh-tw"",""KO"")"),"천상의 돌 조각들")</f>
        <v>천상의 돌 조각들</v>
      </c>
      <c r="Y32" s="395" t="str">
        <f>IFERROR(__xludf.DUMMYFUNCTION("GOOGLETRANSLATE(A32,""zh-tw"",""RU"")"),"жизненная сила")</f>
        <v>жизненная сила</v>
      </c>
      <c r="Z32" s="317" t="str">
        <f>IFERROR(__xludf.DUMMYFUNCTION("GOOGLETRANSLATE(B32,""zh-tw"",""RU"")"),"Но вкус действительно был ужасный...")</f>
        <v>Но вкус действительно был ужасный...</v>
      </c>
      <c r="AA32" s="394"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96" t="str">
        <f>IFERROR(__xludf.DUMMYFUNCTION("GOOGLETRANSLATE(D32,""zh-tw"",""RU"")"),"Фрагменты Небесного Камня")</f>
        <v>Фрагменты Небесного Камня</v>
      </c>
      <c r="AC32" s="395" t="str">
        <f>IFERROR(__xludf.DUMMYFUNCTION("GOOGLETRANSLATE(A32,""zh-tw"",""DE"")"),"Vitalität")</f>
        <v>Vitalität</v>
      </c>
      <c r="AD32" s="317" t="str">
        <f>IFERROR(__xludf.DUMMYFUNCTION("GOOGLETRANSLATE(B32,""zh-tw"",""DE"")"),"Aber es hat wirklich furchtbar geschmeckt...")</f>
        <v>Aber es hat wirklich furchtbar geschmeckt...</v>
      </c>
      <c r="AE32" s="394" t="str">
        <f>IFERROR(__xludf.DUMMYFUNCTION("GOOGLETRANSLATE(C32,""zh-tw"",""DE"")"),"Mein Körper ist voller Vitalität und meine körperliche Kraft hat zugenommen.")</f>
        <v>Mein Körper ist voller Vitalität und meine körperliche Kraft hat zugenommen.</v>
      </c>
      <c r="AF32" s="396" t="str">
        <f>IFERROR(__xludf.DUMMYFUNCTION("GOOGLETRANSLATE(D32,""zh-tw"",""DE"")"),"Fragmente des Himmelssteins")</f>
        <v>Fragmente des Himmelssteins</v>
      </c>
      <c r="AG32" s="106" t="s">
        <v>8649</v>
      </c>
      <c r="AH32" s="136" t="s">
        <v>8650</v>
      </c>
      <c r="AI32" s="213" t="s">
        <v>8651</v>
      </c>
      <c r="AJ32" s="122" t="s">
        <v>7201</v>
      </c>
      <c r="AK32" s="106" t="s">
        <v>8652</v>
      </c>
      <c r="AL32" s="51" t="s">
        <v>8653</v>
      </c>
      <c r="AM32" s="304" t="s">
        <v>8654</v>
      </c>
      <c r="AN32" s="122" t="s">
        <v>7203</v>
      </c>
      <c r="AO32" s="397"/>
      <c r="AP32" s="397"/>
    </row>
    <row r="33">
      <c r="A33" s="175" t="s">
        <v>8655</v>
      </c>
      <c r="B33" s="315" t="s">
        <v>8656</v>
      </c>
      <c r="C33" s="214" t="s">
        <v>8657</v>
      </c>
      <c r="D33" s="393" t="s">
        <v>8658</v>
      </c>
      <c r="E33" s="175" t="s">
        <v>8659</v>
      </c>
      <c r="F33" s="315" t="s">
        <v>8660</v>
      </c>
      <c r="G33" s="394" t="str">
        <f>IFERROR(__xludf.DUMMYFUNCTION("GOOGLETRANSLATE(C33,""zh-tw"",""ja"")"),"体力とスタミナが不足すると、武器の性能を最大限に発揮できなくなります。")</f>
        <v>体力とスタミナが不足すると、武器の性能を最大限に発揮できなくなります。</v>
      </c>
      <c r="H33" s="393" t="s">
        <v>8661</v>
      </c>
      <c r="I33" s="175" t="s">
        <v>8662</v>
      </c>
      <c r="J33" s="315" t="s">
        <v>8663</v>
      </c>
      <c r="K33" s="214" t="s">
        <v>8664</v>
      </c>
      <c r="L33" s="393" t="s">
        <v>8665</v>
      </c>
      <c r="M33" s="395" t="str">
        <f>IFERROR(__xludf.DUMMYFUNCTION("GOOGLETRANSLATE(A33,""zh-tw"",""zh"")"),"力不从心")</f>
        <v>力不从心</v>
      </c>
      <c r="N33" s="317" t="str">
        <f>IFERROR(__xludf.DUMMYFUNCTION("GOOGLETRANSLATE(B33,""zh-tw"",""zh"")"),"拿、拿不动了……")</f>
        <v>拿、拿不动了……</v>
      </c>
      <c r="O33" s="394" t="str">
        <f>IFERROR(__xludf.DUMMYFUNCTION("GOOGLETRANSLATE(C33,""zh-tw"",""zh"")"),"力量和体力不足，无法发挥武器性能！")</f>
        <v>力量和体力不足，无法发挥武器性能！</v>
      </c>
      <c r="P33" s="396" t="str">
        <f>IFERROR(__xludf.DUMMYFUNCTION("GOOGLETRANSLATE(D33,""zh-tw"",""zh"")"),"银辉剑为达成条件")</f>
        <v>银辉剑为达成条件</v>
      </c>
      <c r="Q33" s="138" t="str">
        <f>IFERROR(__xludf.DUMMYFUNCTION("GOOGLETRANSLATE(A33,""zh-tw"",""es-MX"")"),"Sentirse impotente")</f>
        <v>Sentirse impotente</v>
      </c>
      <c r="R33" s="142" t="str">
        <f>IFERROR(__xludf.DUMMYFUNCTION("GOOGLETRANSLATE(B33,""zh-tw"",""es-MX"")"),"Ya no puedo levantarlo más")</f>
        <v>Ya no puedo levantarlo más</v>
      </c>
      <c r="S33" s="303" t="str">
        <f>IFERROR(__xludf.DUMMYFUNCTION("GOOGLETRANSLATE(C33,""zh-tw"",""es-MX"")"),"¡La fuerza y ​​la resistencia insuficientes impiden que el arma desarrolle todo su potencial!")</f>
        <v>¡La fuerza y ​​la resistencia insuficientes impiden que el arma desarrolle todo su potencial!</v>
      </c>
      <c r="T33" s="141" t="str">
        <f>IFERROR(__xludf.DUMMYFUNCTION("GOOGLETRANSLATE(D33,""zh-tw"",""es-MX"")"),"Se requiere Silver Sword para cumplir las condiciones.")</f>
        <v>Se requiere Silver Sword para cumplir las condiciones.</v>
      </c>
      <c r="U33" s="138" t="str">
        <f>IFERROR(__xludf.DUMMYFUNCTION("GOOGLETRANSLATE(A33,""zh-tw"",""KO"")"),"무력감을 느낀다")</f>
        <v>무력감을 느낀다</v>
      </c>
      <c r="V33" s="142" t="str">
        <f>IFERROR(__xludf.DUMMYFUNCTION("GOOGLETRANSLATE(B33,""zh-tw"",""KO"")"),"더 이상 들어올릴 수 없어요...")</f>
        <v>더 이상 들어올릴 수 없어요...</v>
      </c>
      <c r="W33" s="303" t="str">
        <f>IFERROR(__xludf.DUMMYFUNCTION("GOOGLETRANSLATE(C33,""zh-tw"",""KO"")"),"힘과 지구력이 부족하면 무기가 본래의 성능을 최대한 발휘하지 못합니다!")</f>
        <v>힘과 지구력이 부족하면 무기가 본래의 성능을 최대한 발휘하지 못합니다!</v>
      </c>
      <c r="X33" s="141" t="str">
        <f>IFERROR(__xludf.DUMMYFUNCTION("GOOGLETRANSLATE(D33,""zh-tw"",""KO"")"),"조건을 충족하려면 은검이 필요합니다.")</f>
        <v>조건을 충족하려면 은검이 필요합니다.</v>
      </c>
      <c r="Y33" s="395" t="str">
        <f>IFERROR(__xludf.DUMMYFUNCTION("GOOGLETRANSLATE(A33,""zh-tw"",""RU"")"),"Чувство бессилия")</f>
        <v>Чувство бессилия</v>
      </c>
      <c r="Z33" s="317" t="str">
        <f>IFERROR(__xludf.DUMMYFUNCTION("GOOGLETRANSLATE(B33,""zh-tw"",""RU"")"),"Я больше не могу его поднять...")</f>
        <v>Я больше не могу его поднять...</v>
      </c>
      <c r="AA33" s="394"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96" t="str">
        <f>IFERROR(__xludf.DUMMYFUNCTION("GOOGLETRANSLATE(D33,""zh-tw"",""RU"")"),"Для выполнения условий необходим Серебряный Меч.")</f>
        <v>Для выполнения условий необходим Серебряный Меч.</v>
      </c>
      <c r="AC33" s="395" t="str">
        <f>IFERROR(__xludf.DUMMYFUNCTION("GOOGLETRANSLATE(A33,""zh-tw"",""DE"")"),"Ich fühle mich machtlos")</f>
        <v>Ich fühle mich machtlos</v>
      </c>
      <c r="AD33" s="317" t="str">
        <f>IFERROR(__xludf.DUMMYFUNCTION("GOOGLETRANSLATE(B33,""zh-tw"",""DE"")"),"Ich kann es nicht mehr heben...")</f>
        <v>Ich kann es nicht mehr heben...</v>
      </c>
      <c r="AE33" s="394" t="str">
        <f>IFERROR(__xludf.DUMMYFUNCTION("GOOGLETRANSLATE(C33,""zh-tw"",""DE"")"),"Unzureichende Kraft und Ausdauer verhindern, dass die Waffe ihr volles Potenzial entfaltet!")</f>
        <v>Unzureichende Kraft und Ausdauer verhindern, dass die Waffe ihr volles Potenzial entfaltet!</v>
      </c>
      <c r="AF33" s="396" t="str">
        <f>IFERROR(__xludf.DUMMYFUNCTION("GOOGLETRANSLATE(D33,""zh-tw"",""DE"")"),"Das Silberschwert wird benötigt, um die Bedingungen zu erfüllen.")</f>
        <v>Das Silberschwert wird benötigt, um die Bedingungen zu erfüllen.</v>
      </c>
      <c r="AG33" s="106" t="s">
        <v>8666</v>
      </c>
      <c r="AH33" s="136" t="s">
        <v>8667</v>
      </c>
      <c r="AI33" s="213" t="s">
        <v>8668</v>
      </c>
      <c r="AJ33" s="122" t="s">
        <v>8669</v>
      </c>
      <c r="AK33" s="106" t="s">
        <v>8670</v>
      </c>
      <c r="AL33" s="51" t="s">
        <v>8671</v>
      </c>
      <c r="AM33" s="304" t="s">
        <v>8672</v>
      </c>
      <c r="AN33" s="122" t="s">
        <v>8673</v>
      </c>
      <c r="AO33" s="397"/>
      <c r="AP33" s="397"/>
    </row>
    <row r="34">
      <c r="A34" s="175" t="s">
        <v>8674</v>
      </c>
      <c r="B34" s="315" t="s">
        <v>8675</v>
      </c>
      <c r="C34" s="214" t="s">
        <v>8676</v>
      </c>
      <c r="D34" s="393" t="s">
        <v>6402</v>
      </c>
      <c r="E34" s="175" t="s">
        <v>8677</v>
      </c>
      <c r="F34" s="317" t="str">
        <f>IFERROR(__xludf.DUMMYFUNCTION("GOOGLETRANSLATE(B34,""zh-tw"",""ja"")"),"祝福を享受できますように")</f>
        <v>祝福を享受できますように</v>
      </c>
      <c r="G34" s="214" t="s">
        <v>8678</v>
      </c>
      <c r="H34" s="393" t="s">
        <v>6404</v>
      </c>
      <c r="I34" s="175" t="s">
        <v>8679</v>
      </c>
      <c r="J34" s="315" t="s">
        <v>8680</v>
      </c>
      <c r="K34" s="214" t="s">
        <v>8681</v>
      </c>
      <c r="L34" s="393" t="s">
        <v>6405</v>
      </c>
      <c r="M34" s="395" t="str">
        <f>IFERROR(__xludf.DUMMYFUNCTION("GOOGLETRANSLATE(A34,""zh-tw"",""zh"")"),"丰收的祝福")</f>
        <v>丰收的祝福</v>
      </c>
      <c r="N34" s="317" t="str">
        <f>IFERROR(__xludf.DUMMYFUNCTION("GOOGLETRANSLATE(B34,""zh-tw"",""zh"")"),"与汝享赐福")</f>
        <v>与汝享赐福</v>
      </c>
      <c r="O34" s="394" t="str">
        <f>IFERROR(__xludf.DUMMYFUNCTION("GOOGLETRANSLATE(C34,""zh-tw"",""zh"")"),"获得了圣杯的祝福，获取金钱翻倍")</f>
        <v>获得了圣杯的祝福，获取金钱翻倍</v>
      </c>
      <c r="P34" s="396" t="str">
        <f>IFERROR(__xludf.DUMMYFUNCTION("GOOGLETRANSLATE(D34,""zh-tw"",""zh"")"),"未满的黄金圣杯")</f>
        <v>未满的黄金圣杯</v>
      </c>
      <c r="Q34" s="138" t="str">
        <f>IFERROR(__xludf.DUMMYFUNCTION("GOOGLETRANSLATE(A34,""zh-tw"",""es-MX"")"),"Bendiciones de una cosecha abundante")</f>
        <v>Bendiciones de una cosecha abundante</v>
      </c>
      <c r="R34" s="142" t="str">
        <f>IFERROR(__xludf.DUMMYFUNCTION("GOOGLETRANSLATE(B34,""zh-tw"",""es-MX"")"),"Que disfrutes de bendiciones")</f>
        <v>Que disfrutes de bendiciones</v>
      </c>
      <c r="S34" s="303" t="str">
        <f>IFERROR(__xludf.DUMMYFUNCTION("GOOGLETRANSLATE(C34,""zh-tw"",""es-MX"")"),"Al recibir la bendición del Santo Grial, su dinero se duplicará.")</f>
        <v>Al recibir la bendición del Santo Grial, su dinero se duplicará.</v>
      </c>
      <c r="T34" s="141" t="str">
        <f>IFERROR(__xludf.DUMMYFUNCTION("GOOGLETRANSLATE(D34,""zh-tw"",""es-MX"")"),"El Santo Grial incompleto")</f>
        <v>El Santo Grial incompleto</v>
      </c>
      <c r="U34" s="138" t="str">
        <f>IFERROR(__xludf.DUMMYFUNCTION("GOOGLETRANSLATE(A34,""zh-tw"",""KO"")"),"풍성한 수확의 축복")</f>
        <v>풍성한 수확의 축복</v>
      </c>
      <c r="V34" s="142" t="str">
        <f>IFERROR(__xludf.DUMMYFUNCTION("GOOGLETRANSLATE(B34,""zh-tw"",""KO"")"),"축복을 누리시길 바랍니다")</f>
        <v>축복을 누리시길 바랍니다</v>
      </c>
      <c r="W34" s="303" t="str">
        <f>IFERROR(__xludf.DUMMYFUNCTION("GOOGLETRANSLATE(C34,""zh-tw"",""KO"")"),"성배의 축복을 받으면 당신의 돈은 두 배가 될 것입니다.")</f>
        <v>성배의 축복을 받으면 당신의 돈은 두 배가 될 것입니다.</v>
      </c>
      <c r="X34" s="141" t="str">
        <f>IFERROR(__xludf.DUMMYFUNCTION("GOOGLETRANSLATE(D34,""zh-tw"",""KO"")"),"불완전한 성배")</f>
        <v>불완전한 성배</v>
      </c>
      <c r="Y34" s="395" t="str">
        <f>IFERROR(__xludf.DUMMYFUNCTION("GOOGLETRANSLATE(A34,""zh-tw"",""RU"")"),"Благословения обильного урожая")</f>
        <v>Благословения обильного урожая</v>
      </c>
      <c r="Z34" s="317" t="str">
        <f>IFERROR(__xludf.DUMMYFUNCTION("GOOGLETRANSLATE(B34,""zh-tw"",""RU"")"),"Да будут благословенны ваши сердца.")</f>
        <v>Да будут благословенны ваши сердца.</v>
      </c>
      <c r="AA34" s="394"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96" t="str">
        <f>IFERROR(__xludf.DUMMYFUNCTION("GOOGLETRANSLATE(D34,""zh-tw"",""RU"")"),"Незавершённый Святой Грааль")</f>
        <v>Незавершённый Святой Грааль</v>
      </c>
      <c r="AC34" s="395" t="str">
        <f>IFERROR(__xludf.DUMMYFUNCTION("GOOGLETRANSLATE(A34,""zh-tw"",""DE"")"),"Segen einer reichen Ernte")</f>
        <v>Segen einer reichen Ernte</v>
      </c>
      <c r="AD34" s="317" t="str">
        <f>IFERROR(__xludf.DUMMYFUNCTION("GOOGLETRANSLATE(B34,""zh-tw"",""DE"")"),"Mögest du gesegnet sein.")</f>
        <v>Mögest du gesegnet sein.</v>
      </c>
      <c r="AE34" s="394" t="str">
        <f>IFERROR(__xludf.DUMMYFUNCTION("GOOGLETRANSLATE(C34,""zh-tw"",""DE"")"),"Nachdem Sie den Segen des Heiligen Grals erhalten haben, wird sich Ihr Geld verdoppeln.")</f>
        <v>Nachdem Sie den Segen des Heiligen Grals erhalten haben, wird sich Ihr Geld verdoppeln.</v>
      </c>
      <c r="AF34" s="396" t="str">
        <f>IFERROR(__xludf.DUMMYFUNCTION("GOOGLETRANSLATE(D34,""zh-tw"",""DE"")"),"Der unvollständige Heilige Gral")</f>
        <v>Der unvollständige Heilige Gral</v>
      </c>
      <c r="AG34" s="106" t="s">
        <v>8682</v>
      </c>
      <c r="AH34" s="136" t="s">
        <v>8683</v>
      </c>
      <c r="AI34" s="304" t="s">
        <v>8684</v>
      </c>
      <c r="AJ34" s="122" t="s">
        <v>8685</v>
      </c>
      <c r="AK34" s="106" t="s">
        <v>8686</v>
      </c>
      <c r="AL34" s="51" t="s">
        <v>8687</v>
      </c>
      <c r="AM34" s="304" t="s">
        <v>8688</v>
      </c>
      <c r="AN34" s="398" t="s">
        <v>8689</v>
      </c>
      <c r="AO34" s="397"/>
      <c r="AP34" s="397"/>
    </row>
    <row r="35">
      <c r="A35" s="175" t="s">
        <v>8690</v>
      </c>
      <c r="B35" s="315" t="s">
        <v>813</v>
      </c>
      <c r="C35" s="214" t="s">
        <v>813</v>
      </c>
      <c r="D35" s="393" t="s">
        <v>8691</v>
      </c>
      <c r="E35" s="395" t="str">
        <f>IFERROR(__xludf.DUMMYFUNCTION("GOOGLETRANSLATE(A35,""zh-tw"",""ja"")"),"氷床")</f>
        <v>氷床</v>
      </c>
      <c r="F35" s="317" t="str">
        <f>IFERROR(__xludf.DUMMYFUNCTION("GOOGLETRANSLATE(B35,""zh-tw"",""ja"")"),"-")</f>
        <v>-</v>
      </c>
      <c r="G35" s="394" t="str">
        <f>IFERROR(__xludf.DUMMYFUNCTION("GOOGLETRANSLATE(C35,""zh-tw"",""ja"")"),"-")</f>
        <v>-</v>
      </c>
      <c r="H35" s="396" t="str">
        <f>IFERROR(__xludf.DUMMYFUNCTION("GOOGLETRANSLATE(D35,""zh-tw"",""ja"")"),"例えば、古いバージョンのアイススタッフ")</f>
        <v>例えば、古いバージョンのアイススタッフ</v>
      </c>
      <c r="I35" s="175" t="s">
        <v>8692</v>
      </c>
      <c r="J35" s="317" t="str">
        <f>IFERROR(__xludf.DUMMYFUNCTION("GOOGLETRANSLATE(B35,""zh-tw"",""en"")"),"-")</f>
        <v>-</v>
      </c>
      <c r="K35" s="394" t="str">
        <f>IFERROR(__xludf.DUMMYFUNCTION("GOOGLETRANSLATE(C35,""zh-tw"",""en"")"),"-")</f>
        <v>-</v>
      </c>
      <c r="L35" s="393" t="s">
        <v>8693</v>
      </c>
      <c r="M35" s="395" t="str">
        <f>IFERROR(__xludf.DUMMYFUNCTION("GOOGLETRANSLATE(A35,""zh-tw"",""zh"")"),"冰地板")</f>
        <v>冰地板</v>
      </c>
      <c r="N35" s="317" t="str">
        <f>IFERROR(__xludf.DUMMYFUNCTION("GOOGLETRANSLATE(B35,""zh-tw"",""zh"")"),"-")</f>
        <v>-</v>
      </c>
      <c r="O35" s="394" t="str">
        <f>IFERROR(__xludf.DUMMYFUNCTION("GOOGLETRANSLATE(C35,""zh-tw"",""zh"")"),"-")</f>
        <v>-</v>
      </c>
      <c r="P35" s="396" t="str">
        <f>IFERROR(__xludf.DUMMYFUNCTION("GOOGLETRANSLATE(D35,""zh-tw"",""zh"")"),"例如:旧版本的寒冰杖")</f>
        <v>例如:旧版本的寒冰杖</v>
      </c>
      <c r="Q35" s="138" t="str">
        <f>IFERROR(__xludf.DUMMYFUNCTION("GOOGLETRANSLATE(A35,""zh-tw"",""es-MX"")"),"suelo de hielo")</f>
        <v>suelo de hielo</v>
      </c>
      <c r="R35" s="142" t="str">
        <f>IFERROR(__xludf.DUMMYFUNCTION("GOOGLETRANSLATE(B35,""zh-tw"",""es-MX"")"),"-")</f>
        <v>-</v>
      </c>
      <c r="S35" s="303" t="str">
        <f>IFERROR(__xludf.DUMMYFUNCTION("GOOGLETRANSLATE(C35,""zh-tw"",""es-MX"")"),"-")</f>
        <v>-</v>
      </c>
      <c r="T35" s="141" t="str">
        <f>IFERROR(__xludf.DUMMYFUNCTION("GOOGLETRANSLATE(D35,""zh-tw"",""es-MX"")"),"Por ejemplo, la versión antigua de Ice Staff")</f>
        <v>Por ejemplo, la versión antigua de Ice Staff</v>
      </c>
      <c r="U35" s="138" t="str">
        <f>IFERROR(__xludf.DUMMYFUNCTION("GOOGLETRANSLATE(A35,""zh-tw"",""KO"")"),"얼음 바닥")</f>
        <v>얼음 바닥</v>
      </c>
      <c r="V35" s="142" t="str">
        <f>IFERROR(__xludf.DUMMYFUNCTION("GOOGLETRANSLATE(B35,""zh-tw"",""KO"")"),"-")</f>
        <v>-</v>
      </c>
      <c r="W35" s="303" t="str">
        <f>IFERROR(__xludf.DUMMYFUNCTION("GOOGLETRANSLATE(C35,""zh-tw"",""KO"")"),"-")</f>
        <v>-</v>
      </c>
      <c r="X35" s="141" t="str">
        <f>IFERROR(__xludf.DUMMYFUNCTION("GOOGLETRANSLATE(D35,""zh-tw"",""KO"")"),"예를 들어, Ice Staff의 이전 버전")</f>
        <v>예를 들어, Ice Staff의 이전 버전</v>
      </c>
      <c r="Y35" s="395" t="str">
        <f>IFERROR(__xludf.DUMMYFUNCTION("GOOGLETRANSLATE(A35,""zh-tw"",""RU"")"),"Ледяной пол")</f>
        <v>Ледяной пол</v>
      </c>
      <c r="Z35" s="317" t="str">
        <f>IFERROR(__xludf.DUMMYFUNCTION("GOOGLETRANSLATE(B35,""zh-tw"",""RU"")"),"-")</f>
        <v>-</v>
      </c>
      <c r="AA35" s="394" t="str">
        <f>IFERROR(__xludf.DUMMYFUNCTION("GOOGLETRANSLATE(C35,""zh-tw"",""RU"")"),"-")</f>
        <v>-</v>
      </c>
      <c r="AB35" s="396" t="str">
        <f>IFERROR(__xludf.DUMMYFUNCTION("GOOGLETRANSLATE(D35,""zh-tw"",""RU"")"),"Например, старая версия Ice Staff")</f>
        <v>Например, старая версия Ice Staff</v>
      </c>
      <c r="AC35" s="395" t="str">
        <f>IFERROR(__xludf.DUMMYFUNCTION("GOOGLETRANSLATE(A35,""zh-tw"",""DE"")"),"Eisboden")</f>
        <v>Eisboden</v>
      </c>
      <c r="AD35" s="317" t="str">
        <f>IFERROR(__xludf.DUMMYFUNCTION("GOOGLETRANSLATE(B35,""zh-tw"",""DE"")"),"-")</f>
        <v>-</v>
      </c>
      <c r="AE35" s="394" t="str">
        <f>IFERROR(__xludf.DUMMYFUNCTION("GOOGLETRANSLATE(C35,""zh-tw"",""DE"")"),"-")</f>
        <v>-</v>
      </c>
      <c r="AF35" s="396" t="str">
        <f>IFERROR(__xludf.DUMMYFUNCTION("GOOGLETRANSLATE(D35,""zh-tw"",""DE"")"),"Zum Beispiel die alte Version von Ice Staff")</f>
        <v>Zum Beispiel die alte Version von Ice Staff</v>
      </c>
      <c r="AG35" s="106" t="s">
        <v>8694</v>
      </c>
      <c r="AH35" s="51" t="s">
        <v>813</v>
      </c>
      <c r="AI35" s="304" t="s">
        <v>813</v>
      </c>
      <c r="AJ35" s="122" t="s">
        <v>8695</v>
      </c>
      <c r="AK35" s="106" t="s">
        <v>8696</v>
      </c>
      <c r="AL35" s="51" t="s">
        <v>813</v>
      </c>
      <c r="AM35" s="304" t="s">
        <v>813</v>
      </c>
      <c r="AN35" s="122" t="s">
        <v>8697</v>
      </c>
      <c r="AO35" s="397"/>
      <c r="AP35" s="397"/>
    </row>
    <row r="36">
      <c r="A36" s="175" t="s">
        <v>8698</v>
      </c>
      <c r="B36" s="315" t="s">
        <v>8699</v>
      </c>
      <c r="C36" s="214" t="s">
        <v>8700</v>
      </c>
      <c r="D36" s="393" t="s">
        <v>5840</v>
      </c>
      <c r="E36" s="175" t="s">
        <v>5842</v>
      </c>
      <c r="F36" s="315" t="s">
        <v>8701</v>
      </c>
      <c r="G36" s="394" t="str">
        <f>IFERROR(__xludf.DUMMYFUNCTION("GOOGLETRANSLATE(C36,""zh-tw"",""ja"")"),"全属性が上昇し、一時的に無敵になる。")</f>
        <v>全属性が上昇し、一時的に無敵になる。</v>
      </c>
      <c r="H36" s="393" t="s">
        <v>5842</v>
      </c>
      <c r="I36" s="175" t="s">
        <v>5844</v>
      </c>
      <c r="J36" s="315" t="s">
        <v>8702</v>
      </c>
      <c r="K36" s="214" t="s">
        <v>8703</v>
      </c>
      <c r="L36" s="393" t="s">
        <v>5844</v>
      </c>
      <c r="M36" s="395" t="str">
        <f>IFERROR(__xludf.DUMMYFUNCTION("GOOGLETRANSLATE(A36,""zh-tw"",""zh"")"),"上古荣光")</f>
        <v>上古荣光</v>
      </c>
      <c r="N36" s="317" t="str">
        <f>IFERROR(__xludf.DUMMYFUNCTION("GOOGLETRANSLATE(B36,""zh-tw"",""zh"")"),"你散发着荣光")</f>
        <v>你散发着荣光</v>
      </c>
      <c r="O36" s="394" t="str">
        <f>IFERROR(__xludf.DUMMYFUNCTION("GOOGLETRANSLATE(C36,""zh-tw"",""zh"")"),"全属性上升，暂时无敌")</f>
        <v>全属性上升，暂时无敌</v>
      </c>
      <c r="P36" s="396" t="str">
        <f>IFERROR(__xludf.DUMMYFUNCTION("GOOGLETRANSLATE(D36,""zh-tw"",""zh"")"),"荒古荣光")</f>
        <v>荒古荣光</v>
      </c>
      <c r="Q36" s="138" t="str">
        <f>IFERROR(__xludf.DUMMYFUNCTION("GOOGLETRANSLATE(A36,""zh-tw"",""es-MX"")"),"Gloria antigua")</f>
        <v>Gloria antigua</v>
      </c>
      <c r="R36" s="142" t="str">
        <f>IFERROR(__xludf.DUMMYFUNCTION("GOOGLETRANSLATE(B36,""zh-tw"",""es-MX"")"),"Irradias gloria")</f>
        <v>Irradias gloria</v>
      </c>
      <c r="S36" s="303" t="str">
        <f>IFERROR(__xludf.DUMMYFUNCTION("GOOGLETRANSLATE(C36,""zh-tw"",""es-MX"")"),"Todos los atributos aumentados, temporalmente invencible.")</f>
        <v>Todos los atributos aumentados, temporalmente invencible.</v>
      </c>
      <c r="T36" s="141" t="str">
        <f>IFERROR(__xludf.DUMMYFUNCTION("GOOGLETRANSLATE(D36,""zh-tw"",""es-MX"")"),"Gloria antigua")</f>
        <v>Gloria antigua</v>
      </c>
      <c r="U36" s="138" t="str">
        <f>IFERROR(__xludf.DUMMYFUNCTION("GOOGLETRANSLATE(A36,""zh-tw"",""KO"")"),"고대의 영광")</f>
        <v>고대의 영광</v>
      </c>
      <c r="V36" s="142" t="str">
        <f>IFERROR(__xludf.DUMMYFUNCTION("GOOGLETRANSLATE(B36,""zh-tw"",""KO"")"),"당신은 영광을 발산합니다")</f>
        <v>당신은 영광을 발산합니다</v>
      </c>
      <c r="W36" s="303" t="str">
        <f>IFERROR(__xludf.DUMMYFUNCTION("GOOGLETRANSLATE(C36,""zh-tw"",""KO"")"),"모든 속성이 증가하고, 일시적으로 무적이 됩니다.")</f>
        <v>모든 속성이 증가하고, 일시적으로 무적이 됩니다.</v>
      </c>
      <c r="X36" s="141" t="str">
        <f>IFERROR(__xludf.DUMMYFUNCTION("GOOGLETRANSLATE(D36,""zh-tw"",""KO"")"),"고대의 영광")</f>
        <v>고대의 영광</v>
      </c>
      <c r="Y36" s="395" t="str">
        <f>IFERROR(__xludf.DUMMYFUNCTION("GOOGLETRANSLATE(A36,""zh-tw"",""RU"")"),"Древняя слава")</f>
        <v>Древняя слава</v>
      </c>
      <c r="Z36" s="317" t="str">
        <f>IFERROR(__xludf.DUMMYFUNCTION("GOOGLETRANSLATE(B36,""zh-tw"",""RU"")"),"Ты излучаешь славу")</f>
        <v>Ты излучаешь славу</v>
      </c>
      <c r="AA36" s="394" t="str">
        <f>IFERROR(__xludf.DUMMYFUNCTION("GOOGLETRANSLATE(C36,""zh-tw"",""RU"")"),"Все характеристики увеличены, временно неуязвим.")</f>
        <v>Все характеристики увеличены, временно неуязвим.</v>
      </c>
      <c r="AB36" s="396" t="str">
        <f>IFERROR(__xludf.DUMMYFUNCTION("GOOGLETRANSLATE(D36,""zh-tw"",""RU"")"),"Древняя слава")</f>
        <v>Древняя слава</v>
      </c>
      <c r="AC36" s="138" t="str">
        <f>IFERROR(__xludf.DUMMYFUNCTION("GOOGLETRANSLATE(A36,""zh-tw"",""DE"")"),"Antiker Ruhm")</f>
        <v>Antiker Ruhm</v>
      </c>
      <c r="AD36" s="317" t="str">
        <f>IFERROR(__xludf.DUMMYFUNCTION("GOOGLETRANSLATE(B36,""zh-tw"",""DE"")"),"Du strahlst Glanz aus")</f>
        <v>Du strahlst Glanz aus</v>
      </c>
      <c r="AE36" s="394" t="str">
        <f>IFERROR(__xludf.DUMMYFUNCTION("GOOGLETRANSLATE(C36,""zh-tw"",""DE"")"),"Alle Attribute erhöht, vorübergehend unbesiegbar.")</f>
        <v>Alle Attribute erhöht, vorübergehend unbesiegbar.</v>
      </c>
      <c r="AF36" s="396" t="str">
        <f>IFERROR(__xludf.DUMMYFUNCTION("GOOGLETRANSLATE(D36,""zh-tw"",""DE"")"),"Antiker Ruhm")</f>
        <v>Antiker Ruhm</v>
      </c>
      <c r="AG36" s="106" t="s">
        <v>8704</v>
      </c>
      <c r="AH36" s="136" t="s">
        <v>8705</v>
      </c>
      <c r="AI36" s="304" t="s">
        <v>8706</v>
      </c>
      <c r="AJ36" s="122" t="s">
        <v>8704</v>
      </c>
      <c r="AK36" s="106" t="s">
        <v>5850</v>
      </c>
      <c r="AL36" s="51" t="s">
        <v>8707</v>
      </c>
      <c r="AM36" s="304" t="s">
        <v>8708</v>
      </c>
      <c r="AN36" s="122" t="s">
        <v>5850</v>
      </c>
      <c r="AO36" s="397"/>
      <c r="AP36" s="397"/>
    </row>
    <row r="37">
      <c r="A37" s="175" t="s">
        <v>3345</v>
      </c>
      <c r="B37" s="315" t="s">
        <v>8709</v>
      </c>
      <c r="C37" s="214" t="s">
        <v>8710</v>
      </c>
      <c r="D37" s="393" t="s">
        <v>8711</v>
      </c>
      <c r="E37" s="175" t="s">
        <v>3348</v>
      </c>
      <c r="F37" s="315" t="s">
        <v>8712</v>
      </c>
      <c r="G37" s="394" t="str">
        <f>IFERROR(__xludf.DUMMYFUNCTION("GOOGLETRANSLATE(C37,""zh-tw"",""ja"")"),"スタミナを回復できない")</f>
        <v>スタミナを回復できない</v>
      </c>
      <c r="H37" s="393" t="s">
        <v>5251</v>
      </c>
      <c r="I37" s="175" t="s">
        <v>5253</v>
      </c>
      <c r="J37" s="315" t="s">
        <v>8713</v>
      </c>
      <c r="K37" s="214" t="s">
        <v>8714</v>
      </c>
      <c r="L37" s="393" t="s">
        <v>5253</v>
      </c>
      <c r="M37" s="395" t="str">
        <f>IFERROR(__xludf.DUMMYFUNCTION("GOOGLETRANSLATE(A37,""zh-tw"",""zh"")"),"稻草人")</f>
        <v>稻草人</v>
      </c>
      <c r="N37" s="317" t="str">
        <f>IFERROR(__xludf.DUMMYFUNCTION("GOOGLETRANSLATE(B37,""zh-tw"",""zh"")"),"不死的稻草人之心")</f>
        <v>不死的稻草人之心</v>
      </c>
      <c r="O37" s="394" t="str">
        <f>IFERROR(__xludf.DUMMYFUNCTION("GOOGLETRANSLATE(C37,""zh-tw"",""zh"")"),"无法回复体力")</f>
        <v>无法回复体力</v>
      </c>
      <c r="P37" s="396" t="str">
        <f>IFERROR(__xludf.DUMMYFUNCTION("GOOGLETRANSLATE(D37,""zh-tw"",""zh"")"),"稻草人之心")</f>
        <v>稻草人之心</v>
      </c>
      <c r="Q37" s="138" t="str">
        <f>IFERROR(__xludf.DUMMYFUNCTION("GOOGLETRANSLATE(A37,""zh-tw"",""es-MX"")"),"espantapájaros")</f>
        <v>espantapájaros</v>
      </c>
      <c r="R37" s="142" t="str">
        <f>IFERROR(__xludf.DUMMYFUNCTION("GOOGLETRANSLATE(B37,""zh-tw"",""es-MX"")"),"El corazón del espantapájaros inmortal")</f>
        <v>El corazón del espantapájaros inmortal</v>
      </c>
      <c r="S37" s="303" t="str">
        <f>IFERROR(__xludf.DUMMYFUNCTION("GOOGLETRANSLATE(C37,""zh-tw"",""es-MX"")"),"No se puede restaurar la resistencia")</f>
        <v>No se puede restaurar la resistencia</v>
      </c>
      <c r="T37" s="141" t="str">
        <f>IFERROR(__xludf.DUMMYFUNCTION("GOOGLETRANSLATE(D37,""zh-tw"",""es-MX"")"),"Corazón de espantapájaros")</f>
        <v>Corazón de espantapájaros</v>
      </c>
      <c r="U37" s="138" t="str">
        <f>IFERROR(__xludf.DUMMYFUNCTION("GOOGLETRANSLATE(A37,""zh-tw"",""KO"")"),"허수아비")</f>
        <v>허수아비</v>
      </c>
      <c r="V37" s="142" t="str">
        <f>IFERROR(__xludf.DUMMYFUNCTION("GOOGLETRANSLATE(B37,""zh-tw"",""KO"")"),"죽지 않는 허수아비의 심장")</f>
        <v>죽지 않는 허수아비의 심장</v>
      </c>
      <c r="W37" s="303" t="str">
        <f>IFERROR(__xludf.DUMMYFUNCTION("GOOGLETRANSLATE(C37,""zh-tw"",""KO"")"),"체력 회복이 불가능합니다")</f>
        <v>체력 회복이 불가능합니다</v>
      </c>
      <c r="X37" s="141" t="str">
        <f>IFERROR(__xludf.DUMMYFUNCTION("GOOGLETRANSLATE(D37,""zh-tw"",""KO"")"),"허수아비의 심장")</f>
        <v>허수아비의 심장</v>
      </c>
      <c r="Y37" s="395" t="str">
        <f>IFERROR(__xludf.DUMMYFUNCTION("GOOGLETRANSLATE(A37,""zh-tw"",""RU"")"),"пугало")</f>
        <v>пугало</v>
      </c>
      <c r="Z37" s="317" t="str">
        <f>IFERROR(__xludf.DUMMYFUNCTION("GOOGLETRANSLATE(B37,""zh-tw"",""RU"")"),"Сердце бессмертного пугала")</f>
        <v>Сердце бессмертного пугала</v>
      </c>
      <c r="AA37" s="394" t="str">
        <f>IFERROR(__xludf.DUMMYFUNCTION("GOOGLETRANSLATE(C37,""zh-tw"",""RU"")"),"Невозможно восстановить выносливость")</f>
        <v>Невозможно восстановить выносливость</v>
      </c>
      <c r="AB37" s="396" t="str">
        <f>IFERROR(__xludf.DUMMYFUNCTION("GOOGLETRANSLATE(D37,""zh-tw"",""RU"")"),"Сердце Пугала")</f>
        <v>Сердце Пугала</v>
      </c>
      <c r="AC37" s="395" t="str">
        <f>IFERROR(__xludf.DUMMYFUNCTION("GOOGLETRANSLATE(A37,""zh-tw"",""DE"")"),"Vogelscheuche")</f>
        <v>Vogelscheuche</v>
      </c>
      <c r="AD37" s="317" t="str">
        <f>IFERROR(__xludf.DUMMYFUNCTION("GOOGLETRANSLATE(B37,""zh-tw"",""DE"")"),"Das unsterbliche Herz der Vogelscheuche")</f>
        <v>Das unsterbliche Herz der Vogelscheuche</v>
      </c>
      <c r="AE37" s="394" t="str">
        <f>IFERROR(__xludf.DUMMYFUNCTION("GOOGLETRANSLATE(C37,""zh-tw"",""DE"")"),"Ausdauer kann nicht wiederhergestellt werden")</f>
        <v>Ausdauer kann nicht wiederhergestellt werden</v>
      </c>
      <c r="AF37" s="396" t="str">
        <f>IFERROR(__xludf.DUMMYFUNCTION("GOOGLETRANSLATE(D37,""zh-tw"",""DE"")"),"Vogelscheuchenherz")</f>
        <v>Vogelscheuchenherz</v>
      </c>
      <c r="AG37" s="106" t="s">
        <v>5259</v>
      </c>
      <c r="AH37" s="136" t="s">
        <v>8715</v>
      </c>
      <c r="AI37" s="304" t="s">
        <v>8716</v>
      </c>
      <c r="AJ37" s="122" t="s">
        <v>5259</v>
      </c>
      <c r="AK37" s="106" t="s">
        <v>5261</v>
      </c>
      <c r="AL37" s="51" t="s">
        <v>8717</v>
      </c>
      <c r="AM37" s="304" t="s">
        <v>8718</v>
      </c>
      <c r="AN37" s="122" t="s">
        <v>5261</v>
      </c>
      <c r="AO37" s="397"/>
      <c r="AP37" s="397"/>
    </row>
    <row r="38">
      <c r="A38" s="175" t="s">
        <v>8719</v>
      </c>
      <c r="B38" s="315" t="s">
        <v>813</v>
      </c>
      <c r="C38" s="214" t="s">
        <v>8720</v>
      </c>
      <c r="D38" s="393" t="s">
        <v>8721</v>
      </c>
      <c r="E38" s="395" t="str">
        <f>IFERROR(__xludf.DUMMYFUNCTION("GOOGLETRANSLATE(A38,""zh-tw"",""ja"")"),"水泳")</f>
        <v>水泳</v>
      </c>
      <c r="F38" s="317" t="str">
        <f>IFERROR(__xludf.DUMMYFUNCTION("GOOGLETRANSLATE(B38,""zh-tw"",""ja"")"),"-")</f>
        <v>-</v>
      </c>
      <c r="G38" s="394" t="str">
        <f>IFERROR(__xludf.DUMMYFUNCTION("GOOGLETRANSLATE(C38,""zh-tw"",""ja"")"),"水に浮くと移動速度が低下し、攻撃もできなくなります。")</f>
        <v>水に浮くと移動速度が低下し、攻撃もできなくなります。</v>
      </c>
      <c r="H38" s="396" t="str">
        <f>IFERROR(__xludf.DUMMYFUNCTION("GOOGLETRANSLATE(D38,""zh-tw"",""ja"")"),"泳ぐ")</f>
        <v>泳ぐ</v>
      </c>
      <c r="I38" s="175" t="s">
        <v>8722</v>
      </c>
      <c r="J38" s="317" t="str">
        <f>IFERROR(__xludf.DUMMYFUNCTION("GOOGLETRANSLATE(B38,""zh-tw"",""en"")"),"-")</f>
        <v>-</v>
      </c>
      <c r="K38" s="214" t="s">
        <v>8723</v>
      </c>
      <c r="L38" s="393" t="s">
        <v>8724</v>
      </c>
      <c r="M38" s="395" t="str">
        <f>IFERROR(__xludf.DUMMYFUNCTION("GOOGLETRANSLATE(A38,""zh-tw"",""zh"")"),"游泳中")</f>
        <v>游泳中</v>
      </c>
      <c r="N38" s="317" t="str">
        <f>IFERROR(__xludf.DUMMYFUNCTION("GOOGLETRANSLATE(B38,""zh-tw"",""zh"")"),"-")</f>
        <v>-</v>
      </c>
      <c r="O38" s="394" t="str">
        <f>IFERROR(__xludf.DUMMYFUNCTION("GOOGLETRANSLATE(C38,""zh-tw"",""zh"")"),"浮在水面上，移速下降，无法攻击")</f>
        <v>浮在水面上，移速下降，无法攻击</v>
      </c>
      <c r="P38" s="396" t="str">
        <f>IFERROR(__xludf.DUMMYFUNCTION("GOOGLETRANSLATE(D38,""zh-tw"",""zh"")"),"游泳")</f>
        <v>游泳</v>
      </c>
      <c r="Q38" s="138" t="str">
        <f>IFERROR(__xludf.DUMMYFUNCTION("GOOGLETRANSLATE(A38,""zh-tw"",""es-MX"")"),"Nadar")</f>
        <v>Nadar</v>
      </c>
      <c r="R38" s="142" t="str">
        <f>IFERROR(__xludf.DUMMYFUNCTION("GOOGLETRANSLATE(B38,""zh-tw"",""es-MX"")"),"-")</f>
        <v>-</v>
      </c>
      <c r="S38" s="303" t="str">
        <f>IFERROR(__xludf.DUMMYFUNCTION("GOOGLETRANSLATE(C38,""zh-tw"",""es-MX"")"),"Flotando en el agua, la velocidad de movimiento disminuye y los ataques se vuelven imposibles.")</f>
        <v>Flotando en el agua, la velocidad de movimiento disminuye y los ataques se vuelven imposibles.</v>
      </c>
      <c r="T38" s="141" t="str">
        <f>IFERROR(__xludf.DUMMYFUNCTION("GOOGLETRANSLATE(D38,""zh-tw"",""es-MX"")"),"nadar")</f>
        <v>nadar</v>
      </c>
      <c r="U38" s="138" t="str">
        <f>IFERROR(__xludf.DUMMYFUNCTION("GOOGLETRANSLATE(A38,""zh-tw"",""KO"")"),"수영")</f>
        <v>수영</v>
      </c>
      <c r="V38" s="142" t="str">
        <f>IFERROR(__xludf.DUMMYFUNCTION("GOOGLETRANSLATE(B38,""zh-tw"",""KO"")"),"-")</f>
        <v>-</v>
      </c>
      <c r="W38" s="303" t="str">
        <f>IFERROR(__xludf.DUMMYFUNCTION("GOOGLETRANSLATE(C38,""zh-tw"",""KO"")"),"물 위에 떠 있는 동안에는 이동 속도가 감소하고 공격이 불가능해집니다.")</f>
        <v>물 위에 떠 있는 동안에는 이동 속도가 감소하고 공격이 불가능해집니다.</v>
      </c>
      <c r="X38" s="141" t="str">
        <f>IFERROR(__xludf.DUMMYFUNCTION("GOOGLETRANSLATE(D38,""zh-tw"",""KO"")"),"헤엄")</f>
        <v>헤엄</v>
      </c>
      <c r="Y38" s="395" t="str">
        <f>IFERROR(__xludf.DUMMYFUNCTION("GOOGLETRANSLATE(A38,""zh-tw"",""RU"")"),"Плавание")</f>
        <v>Плавание</v>
      </c>
      <c r="Z38" s="317" t="str">
        <f>IFERROR(__xludf.DUMMYFUNCTION("GOOGLETRANSLATE(B38,""zh-tw"",""RU"")"),"-")</f>
        <v>-</v>
      </c>
      <c r="AA38" s="394"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96" t="str">
        <f>IFERROR(__xludf.DUMMYFUNCTION("GOOGLETRANSLATE(D38,""zh-tw"",""RU"")"),"плавать")</f>
        <v>плавать</v>
      </c>
      <c r="AC38" s="395" t="str">
        <f>IFERROR(__xludf.DUMMYFUNCTION("GOOGLETRANSLATE(A38,""zh-tw"",""DE"")"),"Baden")</f>
        <v>Baden</v>
      </c>
      <c r="AD38" s="317" t="str">
        <f>IFERROR(__xludf.DUMMYFUNCTION("GOOGLETRANSLATE(B38,""zh-tw"",""DE"")"),"-")</f>
        <v>-</v>
      </c>
      <c r="AE38" s="394" t="str">
        <f>IFERROR(__xludf.DUMMYFUNCTION("GOOGLETRANSLATE(C38,""zh-tw"",""DE"")"),"Auf dem Wasser treibend, verringert sich die Bewegungsgeschwindigkeit und Angriffe werden unmöglich.")</f>
        <v>Auf dem Wasser treibend, verringert sich die Bewegungsgeschwindigkeit und Angriffe werden unmöglich.</v>
      </c>
      <c r="AF38" s="396" t="str">
        <f>IFERROR(__xludf.DUMMYFUNCTION("GOOGLETRANSLATE(D38,""zh-tw"",""DE"")"),"schwimmen")</f>
        <v>schwimmen</v>
      </c>
      <c r="AG38" s="106" t="s">
        <v>8725</v>
      </c>
      <c r="AH38" s="51" t="s">
        <v>813</v>
      </c>
      <c r="AI38" s="213" t="s">
        <v>8726</v>
      </c>
      <c r="AJ38" s="122" t="s">
        <v>8727</v>
      </c>
      <c r="AK38" s="106" t="s">
        <v>8728</v>
      </c>
      <c r="AL38" s="51" t="s">
        <v>813</v>
      </c>
      <c r="AM38" s="304" t="s">
        <v>8729</v>
      </c>
      <c r="AN38" s="122" t="s">
        <v>8730</v>
      </c>
      <c r="AO38" s="397"/>
      <c r="AP38" s="397"/>
    </row>
    <row r="39">
      <c r="A39" s="175" t="s">
        <v>8731</v>
      </c>
      <c r="B39" s="315" t="s">
        <v>8732</v>
      </c>
      <c r="C39" s="214" t="s">
        <v>8733</v>
      </c>
      <c r="D39" s="393" t="s">
        <v>5331</v>
      </c>
      <c r="E39" s="395" t="str">
        <f>IFERROR(__xludf.DUMMYFUNCTION("GOOGLETRANSLATE(A39,""zh-tw"",""ja"")"),"騎士道")</f>
        <v>騎士道</v>
      </c>
      <c r="F39" s="317" t="str">
        <f>IFERROR(__xludf.DUMMYFUNCTION("GOOGLETRANSLATE(B39,""zh-tw"",""ja"")"),"我々は守護者だ。")</f>
        <v>我々は守護者だ。</v>
      </c>
      <c r="G39" s="394" t="str">
        <f>IFERROR(__xludf.DUMMYFUNCTION("GOOGLETRANSLATE(C39,""zh-tw"",""ja"")"),"攻撃力が30増加")</f>
        <v>攻撃力が30増加</v>
      </c>
      <c r="H39" s="396" t="str">
        <f>IFERROR(__xludf.DUMMYFUNCTION("GOOGLETRANSLATE(D39,""zh-tw"",""ja"")"),"騎士の剣")</f>
        <v>騎士の剣</v>
      </c>
      <c r="I39" s="175" t="s">
        <v>8734</v>
      </c>
      <c r="J39" s="315" t="s">
        <v>8735</v>
      </c>
      <c r="K39" s="214" t="s">
        <v>8736</v>
      </c>
      <c r="L39" s="393" t="s">
        <v>5334</v>
      </c>
      <c r="M39" s="395" t="str">
        <f>IFERROR(__xludf.DUMMYFUNCTION("GOOGLETRANSLATE(A39,""zh-tw"",""zh"")"),"骑士精神")</f>
        <v>骑士精神</v>
      </c>
      <c r="N39" s="317" t="str">
        <f>IFERROR(__xludf.DUMMYFUNCTION("GOOGLETRANSLATE(B39,""zh-tw"",""zh"")"),"我等乃是守护者")</f>
        <v>我等乃是守护者</v>
      </c>
      <c r="O39" s="394" t="str">
        <f>IFERROR(__xludf.DUMMYFUNCTION("GOOGLETRANSLATE(C39,""zh-tw"",""zh"")"),"攻击力提升30")</f>
        <v>攻击力提升30</v>
      </c>
      <c r="P39" s="396" t="str">
        <f>IFERROR(__xludf.DUMMYFUNCTION("GOOGLETRANSLATE(D39,""zh-tw"",""zh"")"),"骑士之剑")</f>
        <v>骑士之剑</v>
      </c>
      <c r="Q39" s="138" t="str">
        <f>IFERROR(__xludf.DUMMYFUNCTION("GOOGLETRANSLATE(A39,""zh-tw"",""es-MX"")"),"Caballería")</f>
        <v>Caballería</v>
      </c>
      <c r="R39" s="142" t="str">
        <f>IFERROR(__xludf.DUMMYFUNCTION("GOOGLETRANSLATE(B39,""zh-tw"",""es-MX"")"),"Nosotros somos los guardianes.")</f>
        <v>Nosotros somos los guardianes.</v>
      </c>
      <c r="S39" s="303" t="str">
        <f>IFERROR(__xludf.DUMMYFUNCTION("GOOGLETRANSLATE(C39,""zh-tw"",""es-MX"")"),"El poder de ataque aumentó en 30")</f>
        <v>El poder de ataque aumentó en 30</v>
      </c>
      <c r="T39" s="141" t="str">
        <f>IFERROR(__xludf.DUMMYFUNCTION("GOOGLETRANSLATE(D39,""zh-tw"",""es-MX"")"),"Espada de caballero")</f>
        <v>Espada de caballero</v>
      </c>
      <c r="U39" s="138" t="str">
        <f>IFERROR(__xludf.DUMMYFUNCTION("GOOGLETRANSLATE(A39,""zh-tw"",""KO"")"),"기사도")</f>
        <v>기사도</v>
      </c>
      <c r="V39" s="142" t="str">
        <f>IFERROR(__xludf.DUMMYFUNCTION("GOOGLETRANSLATE(B39,""zh-tw"",""KO"")"),"우리는 수호자입니다.")</f>
        <v>우리는 수호자입니다.</v>
      </c>
      <c r="W39" s="303" t="str">
        <f>IFERROR(__xludf.DUMMYFUNCTION("GOOGLETRANSLATE(C39,""zh-tw"",""KO"")"),"공격력 30 증가")</f>
        <v>공격력 30 증가</v>
      </c>
      <c r="X39" s="141" t="str">
        <f>IFERROR(__xludf.DUMMYFUNCTION("GOOGLETRANSLATE(D39,""zh-tw"",""KO"")"),"기사의 검")</f>
        <v>기사의 검</v>
      </c>
      <c r="Y39" s="395" t="str">
        <f>IFERROR(__xludf.DUMMYFUNCTION("GOOGLETRANSLATE(A39,""zh-tw"",""RU"")"),"Рыцарство")</f>
        <v>Рыцарство</v>
      </c>
      <c r="Z39" s="317" t="str">
        <f>IFERROR(__xludf.DUMMYFUNCTION("GOOGLETRANSLATE(B39,""zh-tw"",""RU"")"),"Мы — хранители.")</f>
        <v>Мы — хранители.</v>
      </c>
      <c r="AA39" s="394" t="str">
        <f>IFERROR(__xludf.DUMMYFUNCTION("GOOGLETRANSLATE(C39,""zh-tw"",""RU"")"),"Сила атаки увеличена на 30")</f>
        <v>Сила атаки увеличена на 30</v>
      </c>
      <c r="AB39" s="396" t="str">
        <f>IFERROR(__xludf.DUMMYFUNCTION("GOOGLETRANSLATE(D39,""zh-tw"",""RU"")"),"Рыцарский меч")</f>
        <v>Рыцарский меч</v>
      </c>
      <c r="AC39" s="395" t="str">
        <f>IFERROR(__xludf.DUMMYFUNCTION("GOOGLETRANSLATE(A39,""zh-tw"",""DE"")"),"Ritterlichkeit")</f>
        <v>Ritterlichkeit</v>
      </c>
      <c r="AD39" s="317" t="str">
        <f>IFERROR(__xludf.DUMMYFUNCTION("GOOGLETRANSLATE(B39,""zh-tw"",""DE"")"),"Wir sind die Wächter.")</f>
        <v>Wir sind die Wächter.</v>
      </c>
      <c r="AE39" s="394" t="str">
        <f>IFERROR(__xludf.DUMMYFUNCTION("GOOGLETRANSLATE(C39,""zh-tw"",""DE"")"),"Angriffskraft um 30 erhöht")</f>
        <v>Angriffskraft um 30 erhöht</v>
      </c>
      <c r="AF39" s="396" t="str">
        <f>IFERROR(__xludf.DUMMYFUNCTION("GOOGLETRANSLATE(D39,""zh-tw"",""DE"")"),"Ritterschwert")</f>
        <v>Ritterschwert</v>
      </c>
      <c r="AG39" s="106" t="s">
        <v>8737</v>
      </c>
      <c r="AH39" s="136" t="s">
        <v>8738</v>
      </c>
      <c r="AI39" s="213" t="s">
        <v>8739</v>
      </c>
      <c r="AJ39" s="122" t="s">
        <v>5341</v>
      </c>
      <c r="AK39" s="106" t="s">
        <v>8740</v>
      </c>
      <c r="AL39" s="51" t="s">
        <v>8741</v>
      </c>
      <c r="AM39" s="304" t="s">
        <v>8742</v>
      </c>
      <c r="AN39" s="122" t="s">
        <v>5343</v>
      </c>
      <c r="AO39" s="397"/>
      <c r="AP39" s="397"/>
    </row>
    <row r="40">
      <c r="A40" s="175" t="s">
        <v>8743</v>
      </c>
      <c r="B40" s="315" t="s">
        <v>8744</v>
      </c>
      <c r="C40" s="214" t="s">
        <v>8745</v>
      </c>
      <c r="D40" s="393" t="s">
        <v>6128</v>
      </c>
      <c r="E40" s="175" t="s">
        <v>8746</v>
      </c>
      <c r="F40" s="315" t="s">
        <v>8747</v>
      </c>
      <c r="G40" s="394" t="str">
        <f>IFERROR(__xludf.DUMMYFUNCTION("GOOGLETRANSLATE(C40,""zh-tw"",""ja"")"),"スタミナは自動的に回復します。")</f>
        <v>スタミナは自動的に回復します。</v>
      </c>
      <c r="H40" s="393" t="s">
        <v>8748</v>
      </c>
      <c r="I40" s="175" t="s">
        <v>8749</v>
      </c>
      <c r="J40" s="315" t="s">
        <v>8750</v>
      </c>
      <c r="K40" s="214" t="s">
        <v>8751</v>
      </c>
      <c r="L40" s="393" t="s">
        <v>8752</v>
      </c>
      <c r="M40" s="395" t="str">
        <f>IFERROR(__xludf.DUMMYFUNCTION("GOOGLETRANSLATE(A40,""zh-tw"",""zh"")"),"妹妹的胖次")</f>
        <v>妹妹的胖次</v>
      </c>
      <c r="N40" s="317" t="str">
        <f>IFERROR(__xludf.DUMMYFUNCTION("GOOGLETRANSLATE(B40,""zh-tw"",""zh"")"),"就感觉妹妹在身边一样……")</f>
        <v>就感觉妹妹在身边一样……</v>
      </c>
      <c r="O40" s="394" t="str">
        <f>IFERROR(__xludf.DUMMYFUNCTION("GOOGLETRANSLATE(C40,""zh-tw"",""zh"")"),"体力自动恢复中")</f>
        <v>体力自动恢复中</v>
      </c>
      <c r="P40" s="396" t="str">
        <f>IFERROR(__xludf.DUMMYFUNCTION("GOOGLETRANSLATE(D40,""zh-tw"",""zh"")"),"妹妹脱下的内裤")</f>
        <v>妹妹脱下的内裤</v>
      </c>
      <c r="Q40" s="138" t="str">
        <f>IFERROR(__xludf.DUMMYFUNCTION("GOOGLETRANSLATE(A40,""zh-tw"",""es-MX"")"),"Las bragas de mi hermana")</f>
        <v>Las bragas de mi hermana</v>
      </c>
      <c r="R40" s="142" t="str">
        <f>IFERROR(__xludf.DUMMYFUNCTION("GOOGLETRANSLATE(B40,""zh-tw"",""es-MX"")"),"Siento como si mi hermana estuviera a mi lado...")</f>
        <v>Siento como si mi hermana estuviera a mi lado...</v>
      </c>
      <c r="S40" s="303" t="str">
        <f>IFERROR(__xludf.DUMMYFUNCTION("GOOGLETRANSLATE(C40,""zh-tw"",""es-MX"")"),"La resistencia se recupera automáticamente.")</f>
        <v>La resistencia se recupera automáticamente.</v>
      </c>
      <c r="T40" s="141" t="str">
        <f>IFERROR(__xludf.DUMMYFUNCTION("GOOGLETRANSLATE(D40,""zh-tw"",""es-MX"")"),"La ropa interior de mi hermana")</f>
        <v>La ropa interior de mi hermana</v>
      </c>
      <c r="U40" s="138" t="str">
        <f>IFERROR(__xludf.DUMMYFUNCTION("GOOGLETRANSLATE(A40,""zh-tw"",""KO"")"),"내 여동생의 팬티")</f>
        <v>내 여동생의 팬티</v>
      </c>
      <c r="V40" s="142" t="str">
        <f>IFERROR(__xludf.DUMMYFUNCTION("GOOGLETRANSLATE(B40,""zh-tw"",""KO"")"),"마치 언니가 바로 옆에 있는 것 같은 느낌이 들어요...")</f>
        <v>마치 언니가 바로 옆에 있는 것 같은 느낌이 들어요...</v>
      </c>
      <c r="W40" s="303" t="str">
        <f>IFERROR(__xludf.DUMMYFUNCTION("GOOGLETRANSLATE(C40,""zh-tw"",""KO"")"),"체력은 자동으로 회복됩니다.")</f>
        <v>체력은 자동으로 회복됩니다.</v>
      </c>
      <c r="X40" s="141" t="str">
        <f>IFERROR(__xludf.DUMMYFUNCTION("GOOGLETRANSLATE(D40,""zh-tw"",""KO"")"),"내 여동생의 속옷")</f>
        <v>내 여동생의 속옷</v>
      </c>
      <c r="Y40" s="395" t="str">
        <f>IFERROR(__xludf.DUMMYFUNCTION("GOOGLETRANSLATE(A40,""zh-tw"",""RU"")"),"Трусики моей сестры")</f>
        <v>Трусики моей сестры</v>
      </c>
      <c r="Z40" s="317" t="str">
        <f>IFERROR(__xludf.DUMMYFUNCTION("GOOGLETRANSLATE(B40,""zh-tw"",""RU"")"),"Такое ощущение, будто моя сестра рядом со мной...")</f>
        <v>Такое ощущение, будто моя сестра рядом со мной...</v>
      </c>
      <c r="AA40" s="394" t="str">
        <f>IFERROR(__xludf.DUMMYFUNCTION("GOOGLETRANSLATE(C40,""zh-tw"",""RU"")"),"Выносливость восстанавливается автоматически.")</f>
        <v>Выносливость восстанавливается автоматически.</v>
      </c>
      <c r="AB40" s="396" t="str">
        <f>IFERROR(__xludf.DUMMYFUNCTION("GOOGLETRANSLATE(D40,""zh-tw"",""RU"")"),"Нижнее белье моей сестры")</f>
        <v>Нижнее белье моей сестры</v>
      </c>
      <c r="AC40" s="395" t="str">
        <f>IFERROR(__xludf.DUMMYFUNCTION("GOOGLETRANSLATE(A40,""zh-tw"",""DE"")"),"Die Höschen meiner Schwester")</f>
        <v>Die Höschen meiner Schwester</v>
      </c>
      <c r="AD40" s="317" t="str">
        <f>IFERROR(__xludf.DUMMYFUNCTION("GOOGLETRANSLATE(B40,""zh-tw"",""DE"")"),"Es fühlt sich an, als wäre meine Schwester direkt neben mir...")</f>
        <v>Es fühlt sich an, als wäre meine Schwester direkt neben mir...</v>
      </c>
      <c r="AE40" s="394" t="str">
        <f>IFERROR(__xludf.DUMMYFUNCTION("GOOGLETRANSLATE(C40,""zh-tw"",""DE"")"),"Die Ausdauer regeneriert sich automatisch.")</f>
        <v>Die Ausdauer regeneriert sich automatisch.</v>
      </c>
      <c r="AF40" s="396" t="str">
        <f>IFERROR(__xludf.DUMMYFUNCTION("GOOGLETRANSLATE(D40,""zh-tw"",""DE"")"),"Die Unterwäsche meiner Schwester")</f>
        <v>Die Unterwäsche meiner Schwester</v>
      </c>
      <c r="AG40" s="106" t="s">
        <v>8753</v>
      </c>
      <c r="AH40" s="136" t="s">
        <v>8754</v>
      </c>
      <c r="AI40" s="213" t="s">
        <v>8755</v>
      </c>
      <c r="AJ40" s="122" t="s">
        <v>8756</v>
      </c>
      <c r="AK40" s="106" t="s">
        <v>8757</v>
      </c>
      <c r="AL40" s="51" t="s">
        <v>8758</v>
      </c>
      <c r="AM40" s="304" t="s">
        <v>8759</v>
      </c>
      <c r="AN40" s="122" t="s">
        <v>8760</v>
      </c>
      <c r="AO40" s="397"/>
      <c r="AP40" s="397"/>
    </row>
    <row r="41">
      <c r="A41" s="175" t="s">
        <v>8761</v>
      </c>
      <c r="B41" s="315" t="s">
        <v>8762</v>
      </c>
      <c r="C41" s="214" t="s">
        <v>8763</v>
      </c>
      <c r="D41" s="393" t="s">
        <v>8764</v>
      </c>
      <c r="E41" s="175" t="s">
        <v>8765</v>
      </c>
      <c r="F41" s="315" t="s">
        <v>8766</v>
      </c>
      <c r="G41" s="214" t="s">
        <v>8767</v>
      </c>
      <c r="H41" s="393" t="s">
        <v>8768</v>
      </c>
      <c r="I41" s="175" t="s">
        <v>8769</v>
      </c>
      <c r="J41" s="315" t="s">
        <v>8770</v>
      </c>
      <c r="K41" s="214" t="s">
        <v>8771</v>
      </c>
      <c r="L41" s="393" t="s">
        <v>8772</v>
      </c>
      <c r="M41" s="395" t="str">
        <f>IFERROR(__xludf.DUMMYFUNCTION("GOOGLETRANSLATE(A41,""zh-tw"",""zh"")"),"咕噜咕噜")</f>
        <v>咕噜咕噜</v>
      </c>
      <c r="N41" s="317" t="str">
        <f>IFERROR(__xludf.DUMMYFUNCTION("GOOGLETRANSLATE(B41,""zh-tw"",""zh"")"),"吃坏了肚子......")</f>
        <v>吃坏了肚子......</v>
      </c>
      <c r="O41" s="394" t="str">
        <f>IFERROR(__xludf.DUMMYFUNCTION("GOOGLETRANSLATE(C41,""zh-tw"",""zh"")"),"腹痛不止！")</f>
        <v>腹痛不止！</v>
      </c>
      <c r="P41" s="396" t="str">
        <f>IFERROR(__xludf.DUMMYFUNCTION("GOOGLETRANSLATE(D41,""zh-tw"",""zh"")"),"毒料理")</f>
        <v>毒料理</v>
      </c>
      <c r="Q41" s="138" t="str">
        <f>IFERROR(__xludf.DUMMYFUNCTION("GOOGLETRANSLATE(A41,""zh-tw"",""es-MX"")"),"Glug glug")</f>
        <v>Glug glug</v>
      </c>
      <c r="R41" s="142" t="str">
        <f>IFERROR(__xludf.DUMMYFUNCTION("GOOGLETRANSLATE(B41,""zh-tw"",""es-MX"")"),"Tengo un malestar estomacal...")</f>
        <v>Tengo un malestar estomacal...</v>
      </c>
      <c r="S41" s="303" t="str">
        <f>IFERROR(__xludf.DUMMYFUNCTION("GOOGLETRANSLATE(C41,""zh-tw"",""es-MX"")"),"¡Mi dolor de estómago no para!")</f>
        <v>¡Mi dolor de estómago no para!</v>
      </c>
      <c r="T41" s="141" t="str">
        <f>IFERROR(__xludf.DUMMYFUNCTION("GOOGLETRANSLATE(D41,""zh-tw"",""es-MX"")"),"cocina venenosa")</f>
        <v>cocina venenosa</v>
      </c>
      <c r="U41" s="138" t="str">
        <f>IFERROR(__xludf.DUMMYFUNCTION("GOOGLETRANSLATE(A41,""zh-tw"",""KO"")"),"글룩글룩")</f>
        <v>글룩글룩</v>
      </c>
      <c r="V41" s="142" t="str">
        <f>IFERROR(__xludf.DUMMYFUNCTION("GOOGLETRANSLATE(B41,""zh-tw"",""KO"")"),"배가 뒤집혔어요...")</f>
        <v>배가 뒤집혔어요...</v>
      </c>
      <c r="W41" s="303" t="str">
        <f>IFERROR(__xludf.DUMMYFUNCTION("GOOGLETRANSLATE(C41,""zh-tw"",""KO"")"),"배가 계속 아파요!")</f>
        <v>배가 계속 아파요!</v>
      </c>
      <c r="X41" s="141" t="str">
        <f>IFERROR(__xludf.DUMMYFUNCTION("GOOGLETRANSLATE(D41,""zh-tw"",""KO"")"),"독이 있는 요리")</f>
        <v>독이 있는 요리</v>
      </c>
      <c r="Y41" s="395" t="str">
        <f>IFERROR(__xludf.DUMMYFUNCTION("GOOGLETRANSLATE(A41,""zh-tw"",""RU"")"),"Глюг-глюг")</f>
        <v>Глюг-глюг</v>
      </c>
      <c r="Z41" s="317" t="str">
        <f>IFERROR(__xludf.DUMMYFUNCTION("GOOGLETRANSLATE(B41,""zh-tw"",""RU"")"),"У меня было расстройство желудка...")</f>
        <v>У меня было расстройство желудка...</v>
      </c>
      <c r="AA41" s="394" t="str">
        <f>IFERROR(__xludf.DUMMYFUNCTION("GOOGLETRANSLATE(C41,""zh-tw"",""RU"")"),"Боль в животе не проходит!")</f>
        <v>Боль в животе не проходит!</v>
      </c>
      <c r="AB41" s="396" t="str">
        <f>IFERROR(__xludf.DUMMYFUNCTION("GOOGLETRANSLATE(D41,""zh-tw"",""RU"")"),"ядовитая кухня")</f>
        <v>ядовитая кухня</v>
      </c>
      <c r="AC41" s="395" t="str">
        <f>IFERROR(__xludf.DUMMYFUNCTION("GOOGLETRANSLATE(A41,""zh-tw"",""DE"")"),"Glucks, glucks")</f>
        <v>Glucks, glucks</v>
      </c>
      <c r="AD41" s="317" t="str">
        <f>IFERROR(__xludf.DUMMYFUNCTION("GOOGLETRANSLATE(B41,""zh-tw"",""DE"")"),"Ich habe Magenbeschwerden...")</f>
        <v>Ich habe Magenbeschwerden...</v>
      </c>
      <c r="AE41" s="394" t="str">
        <f>IFERROR(__xludf.DUMMYFUNCTION("GOOGLETRANSLATE(C41,""zh-tw"",""DE"")"),"Meine Magenschmerzen hören nicht auf!")</f>
        <v>Meine Magenschmerzen hören nicht auf!</v>
      </c>
      <c r="AF41" s="396" t="str">
        <f>IFERROR(__xludf.DUMMYFUNCTION("GOOGLETRANSLATE(D41,""zh-tw"",""DE"")"),"giftige Küche")</f>
        <v>giftige Küche</v>
      </c>
      <c r="AG41" s="106" t="s">
        <v>8773</v>
      </c>
      <c r="AH41" s="136" t="s">
        <v>8774</v>
      </c>
      <c r="AI41" s="213" t="s">
        <v>8775</v>
      </c>
      <c r="AJ41" s="122" t="s">
        <v>8776</v>
      </c>
      <c r="AK41" s="106" t="s">
        <v>8769</v>
      </c>
      <c r="AL41" s="51" t="s">
        <v>8777</v>
      </c>
      <c r="AM41" s="304" t="s">
        <v>8778</v>
      </c>
      <c r="AN41" s="122" t="s">
        <v>8779</v>
      </c>
      <c r="AO41" s="397"/>
      <c r="AP41" s="397"/>
    </row>
    <row r="42">
      <c r="A42" s="175" t="s">
        <v>8780</v>
      </c>
      <c r="B42" s="315" t="s">
        <v>8781</v>
      </c>
      <c r="C42" s="214" t="s">
        <v>8782</v>
      </c>
      <c r="D42" s="393" t="s">
        <v>8783</v>
      </c>
      <c r="E42" s="175" t="s">
        <v>8784</v>
      </c>
      <c r="F42" s="315" t="s">
        <v>8785</v>
      </c>
      <c r="G42" s="214" t="s">
        <v>8786</v>
      </c>
      <c r="H42" s="393" t="s">
        <v>8787</v>
      </c>
      <c r="I42" s="175" t="s">
        <v>8788</v>
      </c>
      <c r="J42" s="315" t="s">
        <v>8789</v>
      </c>
      <c r="K42" s="214" t="s">
        <v>8790</v>
      </c>
      <c r="L42" s="393" t="s">
        <v>8791</v>
      </c>
      <c r="M42" s="395" t="str">
        <f>IFERROR(__xludf.DUMMYFUNCTION("GOOGLETRANSLATE(A42,""zh-tw"",""zh"")"),"咕噜咕噜咕噜")</f>
        <v>咕噜咕噜咕噜</v>
      </c>
      <c r="N42" s="317" t="str">
        <f>IFERROR(__xludf.DUMMYFUNCTION("GOOGLETRANSLATE(B42,""zh-tw"",""zh"")"),"菊花残、满地伤...")</f>
        <v>菊花残、满地伤...</v>
      </c>
      <c r="O42" s="394" t="str">
        <f>IFERROR(__xludf.DUMMYFUNCTION("GOOGLETRANSLATE(C42,""zh-tw"",""zh"")"),"因屁股疼痛无法奔跑和冲刺！")</f>
        <v>因屁股疼痛无法奔跑和冲刺！</v>
      </c>
      <c r="P42" s="396" t="str">
        <f>IFERROR(__xludf.DUMMYFUNCTION("GOOGLETRANSLATE(D42,""zh-tw"",""zh"")"),"毒辣料理")</f>
        <v>毒辣料理</v>
      </c>
      <c r="Q42" s="138" t="str">
        <f>IFERROR(__xludf.DUMMYFUNCTION("GOOGLETRANSLATE(A42,""zh-tw"",""es-MX"")"),"Glug glug glug")</f>
        <v>Glug glug glug</v>
      </c>
      <c r="R42" s="142" t="str">
        <f>IFERROR(__xludf.DUMMYFUNCTION("GOOGLETRANSLATE(B42,""zh-tw"",""es-MX"")"),"Crisantemos marchitos, heridas esparcidas por el suelo...")</f>
        <v>Crisantemos marchitos, heridas esparcidas por el suelo...</v>
      </c>
      <c r="S42" s="303" t="str">
        <f>IFERROR(__xludf.DUMMYFUNCTION("GOOGLETRANSLATE(C42,""zh-tw"",""es-MX"")"),"¡No puedo correr ni esprintar por el dolor en los glúteos!")</f>
        <v>¡No puedo correr ni esprintar por el dolor en los glúteos!</v>
      </c>
      <c r="T42" s="141" t="str">
        <f>IFERROR(__xludf.DUMMYFUNCTION("GOOGLETRANSLATE(D42,""zh-tw"",""es-MX"")"),"Comida picante")</f>
        <v>Comida picante</v>
      </c>
      <c r="U42" s="138" t="str">
        <f>IFERROR(__xludf.DUMMYFUNCTION("GOOGLETRANSLATE(A42,""zh-tw"",""KO"")"),"글루 글루 글루")</f>
        <v>글루 글루 글루</v>
      </c>
      <c r="V42" s="142" t="str">
        <f>IFERROR(__xludf.DUMMYFUNCTION("GOOGLETRANSLATE(B42,""zh-tw"",""KO"")"),"국화는 시들었고, 상처는 땅에 흩어져 있었습니다...")</f>
        <v>국화는 시들었고, 상처는 땅에 흩어져 있었습니다...</v>
      </c>
      <c r="W42" s="303" t="str">
        <f>IFERROR(__xludf.DUMMYFUNCTION("GOOGLETRANSLATE(C42,""zh-tw"",""KO"")"),"엉덩이 통증 때문에 달리거나 달릴 수 없어요!")</f>
        <v>엉덩이 통증 때문에 달리거나 달릴 수 없어요!</v>
      </c>
      <c r="X42" s="141" t="str">
        <f>IFERROR(__xludf.DUMMYFUNCTION("GOOGLETRANSLATE(D42,""zh-tw"",""KO"")"),"매운 음식")</f>
        <v>매운 음식</v>
      </c>
      <c r="Y42" s="395" t="str">
        <f>IFERROR(__xludf.DUMMYFUNCTION("GOOGLETRANSLATE(A42,""zh-tw"",""RU"")"),"Глюг-глюг-глюг")</f>
        <v>Глюг-глюг-глюг</v>
      </c>
      <c r="Z42" s="317" t="str">
        <f>IFERROR(__xludf.DUMMYFUNCTION("GOOGLETRANSLATE(B42,""zh-tw"",""RU"")"),"Хризантемы увяли, раны разбросаны по земле...")</f>
        <v>Хризантемы увяли, раны разбросаны по земле...</v>
      </c>
      <c r="AA42" s="394" t="str">
        <f>IFERROR(__xludf.DUMMYFUNCTION("GOOGLETRANSLATE(C42,""zh-tw"",""RU"")"),"Я не могу бегать или спринтовать из-за боли в ягодицах!")</f>
        <v>Я не могу бегать или спринтовать из-за боли в ягодицах!</v>
      </c>
      <c r="AB42" s="396" t="str">
        <f>IFERROR(__xludf.DUMMYFUNCTION("GOOGLETRANSLATE(D42,""zh-tw"",""RU"")"),"Острая еда")</f>
        <v>Острая еда</v>
      </c>
      <c r="AC42" s="395" t="str">
        <f>IFERROR(__xludf.DUMMYFUNCTION("GOOGLETRANSLATE(A42,""zh-tw"",""DE"")"),"Glucks, glucks, glucks")</f>
        <v>Glucks, glucks, glucks</v>
      </c>
      <c r="AD42" s="317" t="str">
        <f>IFERROR(__xludf.DUMMYFUNCTION("GOOGLETRANSLATE(B42,""zh-tw"",""DE"")"),"Chrysanthemen verwelkten, Wunden lagen verstreut auf dem Boden...")</f>
        <v>Chrysanthemen verwelkten, Wunden lagen verstreut auf dem Boden...</v>
      </c>
      <c r="AE42" s="394" t="str">
        <f>IFERROR(__xludf.DUMMYFUNCTION("GOOGLETRANSLATE(C42,""zh-tw"",""DE"")"),"Ich kann wegen der Schmerzen im Gesäßbereich weder rennen noch sprinten!")</f>
        <v>Ich kann wegen der Schmerzen im Gesäßbereich weder rennen noch sprinten!</v>
      </c>
      <c r="AF42" s="396" t="str">
        <f>IFERROR(__xludf.DUMMYFUNCTION("GOOGLETRANSLATE(D42,""zh-tw"",""DE"")"),"scharfes Essen")</f>
        <v>scharfes Essen</v>
      </c>
      <c r="AG42" s="106" t="s">
        <v>8792</v>
      </c>
      <c r="AH42" s="136" t="s">
        <v>8793</v>
      </c>
      <c r="AI42" s="213" t="s">
        <v>8794</v>
      </c>
      <c r="AJ42" s="122" t="s">
        <v>8795</v>
      </c>
      <c r="AK42" s="106" t="s">
        <v>8788</v>
      </c>
      <c r="AL42" s="51" t="s">
        <v>8796</v>
      </c>
      <c r="AM42" s="304" t="s">
        <v>8797</v>
      </c>
      <c r="AN42" s="122" t="s">
        <v>8798</v>
      </c>
      <c r="AO42" s="397"/>
      <c r="AP42" s="397"/>
    </row>
    <row r="43">
      <c r="A43" s="175" t="s">
        <v>8799</v>
      </c>
      <c r="B43" s="315" t="s">
        <v>8800</v>
      </c>
      <c r="C43" s="214" t="s">
        <v>8801</v>
      </c>
      <c r="D43" s="393" t="s">
        <v>8802</v>
      </c>
      <c r="E43" s="175" t="s">
        <v>8803</v>
      </c>
      <c r="F43" s="315" t="s">
        <v>8804</v>
      </c>
      <c r="G43" s="214" t="s">
        <v>8805</v>
      </c>
      <c r="H43" s="393" t="s">
        <v>8806</v>
      </c>
      <c r="I43" s="175" t="s">
        <v>8807</v>
      </c>
      <c r="J43" s="315" t="s">
        <v>8808</v>
      </c>
      <c r="K43" s="214" t="s">
        <v>8809</v>
      </c>
      <c r="L43" s="396"/>
      <c r="M43" s="395" t="str">
        <f>IFERROR(__xludf.DUMMYFUNCTION("GOOGLETRANSLATE(A43,""zh-tw"",""zh"")"),"早点回家吧")</f>
        <v>早点回家吧</v>
      </c>
      <c r="N43" s="317" t="str">
        <f>IFERROR(__xludf.DUMMYFUNCTION("GOOGLETRANSLATE(B43,""zh-tw"",""zh"")"),"热死了.....")</f>
        <v>热死了.....</v>
      </c>
      <c r="O43" s="394" t="str">
        <f>IFERROR(__xludf.DUMMYFUNCTION("GOOGLETRANSLATE(C43,""zh-tw"",""zh"")"),"因为炎热浑身无力...")</f>
        <v>因为炎热浑身无力...</v>
      </c>
      <c r="P43" s="396" t="str">
        <f>IFERROR(__xludf.DUMMYFUNCTION("GOOGLETRANSLATE(D43,""zh-tw"",""zh"")"),"炎热天气")</f>
        <v>炎热天气</v>
      </c>
      <c r="Q43" s="138" t="str">
        <f>IFERROR(__xludf.DUMMYFUNCTION("GOOGLETRANSLATE(A43,""zh-tw"",""es-MX"")"),"Vete a casa temprano.")</f>
        <v>Vete a casa temprano.</v>
      </c>
      <c r="R43" s="142" t="str">
        <f>IFERROR(__xludf.DUMMYFUNCTION("GOOGLETRANSLATE(B43,""zh-tw"",""es-MX"")"),"Hace mucho calor.....")</f>
        <v>Hace mucho calor.....</v>
      </c>
      <c r="S43" s="303" t="str">
        <f>IFERROR(__xludf.DUMMYFUNCTION("GOOGLETRANSLATE(C43,""zh-tw"",""es-MX"")"),"Me siento débil por todas partes por el calor...")</f>
        <v>Me siento débil por todas partes por el calor...</v>
      </c>
      <c r="T43" s="141" t="str">
        <f>IFERROR(__xludf.DUMMYFUNCTION("GOOGLETRANSLATE(D43,""zh-tw"",""es-MX"")"),"clima caluroso")</f>
        <v>clima caluroso</v>
      </c>
      <c r="U43" s="138" t="str">
        <f>IFERROR(__xludf.DUMMYFUNCTION("GOOGLETRANSLATE(A43,""zh-tw"",""KO"")"),"일찍 집에 가세요.")</f>
        <v>일찍 집에 가세요.</v>
      </c>
      <c r="V43" s="142" t="str">
        <f>IFERROR(__xludf.DUMMYFUNCTION("GOOGLETRANSLATE(B43,""zh-tw"",""KO"")"),"너무 더워요.....")</f>
        <v>너무 더워요.....</v>
      </c>
      <c r="W43" s="303" t="str">
        <f>IFERROR(__xludf.DUMMYFUNCTION("GOOGLETRANSLATE(C43,""zh-tw"",""KO"")"),"더위 때문에 온몸이 약해지는 것 같아요...")</f>
        <v>더위 때문에 온몸이 약해지는 것 같아요...</v>
      </c>
      <c r="X43" s="141" t="str">
        <f>IFERROR(__xludf.DUMMYFUNCTION("GOOGLETRANSLATE(D43,""zh-tw"",""KO"")"),"더운 날씨")</f>
        <v>더운 날씨</v>
      </c>
      <c r="Y43" s="395" t="str">
        <f>IFERROR(__xludf.DUMMYFUNCTION("GOOGLETRANSLATE(A43,""zh-tw"",""RU"")"),"Возвращайтесь домой пораньше.")</f>
        <v>Возвращайтесь домой пораньше.</v>
      </c>
      <c r="Z43" s="317" t="str">
        <f>IFERROR(__xludf.DUMMYFUNCTION("GOOGLETRANSLATE(B43,""zh-tw"",""RU"")"),"Так жарко...")</f>
        <v>Так жарко...</v>
      </c>
      <c r="AA43" s="394" t="str">
        <f>IFERROR(__xludf.DUMMYFUNCTION("GOOGLETRANSLATE(C43,""zh-tw"",""RU"")"),"Из-за жары я чувствую слабость во всем теле...")</f>
        <v>Из-за жары я чувствую слабость во всем теле...</v>
      </c>
      <c r="AB43" s="396" t="str">
        <f>IFERROR(__xludf.DUMMYFUNCTION("GOOGLETRANSLATE(D43,""zh-tw"",""RU"")"),"жаркая погода")</f>
        <v>жаркая погода</v>
      </c>
      <c r="AC43" s="395" t="str">
        <f>IFERROR(__xludf.DUMMYFUNCTION("GOOGLETRANSLATE(A43,""zh-tw"",""DE"")"),"Geh früh nach Hause.")</f>
        <v>Geh früh nach Hause.</v>
      </c>
      <c r="AD43" s="317" t="str">
        <f>IFERROR(__xludf.DUMMYFUNCTION("GOOGLETRANSLATE(B43,""zh-tw"",""DE"")"),"Es ist so heiß.....")</f>
        <v>Es ist so heiß.....</v>
      </c>
      <c r="AE43" s="394" t="str">
        <f>IFERROR(__xludf.DUMMYFUNCTION("GOOGLETRANSLATE(C43,""zh-tw"",""DE"")"),"Mir ist wegen der Hitze ganz schwindelig...")</f>
        <v>Mir ist wegen der Hitze ganz schwindelig...</v>
      </c>
      <c r="AF43" s="396" t="str">
        <f>IFERROR(__xludf.DUMMYFUNCTION("GOOGLETRANSLATE(D43,""zh-tw"",""DE"")"),"heißes Wetter")</f>
        <v>heißes Wetter</v>
      </c>
      <c r="AG43" s="106" t="s">
        <v>2380</v>
      </c>
      <c r="AH43" s="51" t="s">
        <v>8810</v>
      </c>
      <c r="AI43" s="213" t="s">
        <v>8811</v>
      </c>
      <c r="AJ43" s="399"/>
      <c r="AK43" s="106" t="s">
        <v>2383</v>
      </c>
      <c r="AL43" s="51" t="s">
        <v>8812</v>
      </c>
      <c r="AM43" s="304" t="s">
        <v>8813</v>
      </c>
      <c r="AN43" s="399"/>
      <c r="AO43" s="397"/>
      <c r="AP43" s="397"/>
    </row>
    <row r="44">
      <c r="A44" s="175" t="s">
        <v>8814</v>
      </c>
      <c r="B44" s="315" t="s">
        <v>8815</v>
      </c>
      <c r="C44" s="214" t="s">
        <v>8816</v>
      </c>
      <c r="D44" s="393" t="s">
        <v>8817</v>
      </c>
      <c r="E44" s="175" t="s">
        <v>8818</v>
      </c>
      <c r="F44" s="315" t="s">
        <v>8819</v>
      </c>
      <c r="G44" s="214" t="s">
        <v>8820</v>
      </c>
      <c r="H44" s="393" t="s">
        <v>8821</v>
      </c>
      <c r="I44" s="175" t="s">
        <v>8822</v>
      </c>
      <c r="J44" s="315" t="s">
        <v>8823</v>
      </c>
      <c r="K44" s="214" t="s">
        <v>8824</v>
      </c>
      <c r="L44" s="393"/>
      <c r="M44" s="395" t="str">
        <f>IFERROR(__xludf.DUMMYFUNCTION("GOOGLETRANSLATE(A44,""zh-tw"",""zh"")"),"杂鱼哥哥")</f>
        <v>杂鱼哥哥</v>
      </c>
      <c r="N44" s="317" t="str">
        <f>IFERROR(__xludf.DUMMYFUNCTION("GOOGLETRANSLATE(B44,""zh-tw"",""zh"")"),"这么简单的游戏也不会玩，真是杂鱼呢~")</f>
        <v>这么简单的游戏也不会玩，真是杂鱼呢~</v>
      </c>
      <c r="O44" s="394" t="str">
        <f>IFERROR(__xludf.DUMMYFUNCTION("GOOGLETRANSLATE(C44,""zh-tw"",""zh"")"),"因作弊而获得了杂鱼认证！")</f>
        <v>因作弊而获得了杂鱼认证！</v>
      </c>
      <c r="P44" s="396" t="str">
        <f>IFERROR(__xludf.DUMMYFUNCTION("GOOGLETRANSLATE(D44,""zh-tw"",""zh"")"),"使用作弊码")</f>
        <v>使用作弊码</v>
      </c>
      <c r="Q44" s="138" t="str">
        <f>IFERROR(__xludf.DUMMYFUNCTION("GOOGLETRANSLATE(A44,""zh-tw"",""es-MX"")"),"Hermano Peces Misceláneos")</f>
        <v>Hermano Peces Misceláneos</v>
      </c>
      <c r="R44" s="142" t="str">
        <f>IFERROR(__xludf.DUMMYFUNCTION("GOOGLETRANSLATE(B44,""zh-tw"",""es-MX"")"),"¿Ni siquiera sabes jugar a un juego tan simple? ¡Eres un novato!")</f>
        <v>¿Ni siquiera sabes jugar a un juego tan simple? ¡Eres un novato!</v>
      </c>
      <c r="S44" s="303" t="str">
        <f>IFERROR(__xludf.DUMMYFUNCTION("GOOGLETRANSLATE(C44,""zh-tw"",""es-MX"")"),"¡Obtuvo la certificación de ""pez pequeño"" haciendo trampa!")</f>
        <v>¡Obtuvo la certificación de "pez pequeño" haciendo trampa!</v>
      </c>
      <c r="T44" s="141" t="str">
        <f>IFERROR(__xludf.DUMMYFUNCTION("GOOGLETRANSLATE(D44,""zh-tw"",""es-MX"")"),"Utilice códigos de trucos")</f>
        <v>Utilice códigos de trucos</v>
      </c>
      <c r="U44" s="138" t="str">
        <f>IFERROR(__xludf.DUMMYFUNCTION("GOOGLETRANSLATE(A44,""zh-tw"",""KO"")"),"형제 잡어")</f>
        <v>형제 잡어</v>
      </c>
      <c r="V44" s="142" t="str">
        <f>IFERROR(__xludf.DUMMYFUNCTION("GOOGLETRANSLATE(B44,""zh-tw"",""KO"")"),"그렇게 간단한 게임도 못 하냐? 완전 초보잖아!")</f>
        <v>그렇게 간단한 게임도 못 하냐? 완전 초보잖아!</v>
      </c>
      <c r="W44" s="303" t="str">
        <f>IFERROR(__xludf.DUMMYFUNCTION("GOOGLETRANSLATE(C44,""zh-tw"",""KO"")"),"그는 부정행위를 해서 ""작은 물고기"" 자격증을 취득했습니다!")</f>
        <v>그는 부정행위를 해서 "작은 물고기" 자격증을 취득했습니다!</v>
      </c>
      <c r="X44" s="141" t="str">
        <f>IFERROR(__xludf.DUMMYFUNCTION("GOOGLETRANSLATE(D44,""zh-tw"",""KO"")"),"치트 코드를 사용하세요")</f>
        <v>치트 코드를 사용하세요</v>
      </c>
      <c r="Y44" s="395" t="str">
        <f>IFERROR(__xludf.DUMMYFUNCTION("GOOGLETRANSLATE(A44,""zh-tw"",""RU"")"),"Брат Разные Рыбы")</f>
        <v>Брат Разные Рыбы</v>
      </c>
      <c r="Z44" s="317" t="str">
        <f>IFERROR(__xludf.DUMMYFUNCTION("GOOGLETRANSLATE(B44,""zh-tw"",""RU"")"),"Ты даже в такую ​​простую игру не можешь играть? Ты нуб!")</f>
        <v>Ты даже в такую ​​простую игру не можешь играть? Ты нуб!</v>
      </c>
      <c r="AA44" s="394" t="str">
        <f>IFERROR(__xludf.DUMMYFUNCTION("GOOGLETRANSLATE(C44,""zh-tw"",""RU"")"),"Он получил сертификат «мелкой рыбки» обманным путем!")</f>
        <v>Он получил сертификат «мелкой рыбки» обманным путем!</v>
      </c>
      <c r="AB44" s="396" t="str">
        <f>IFERROR(__xludf.DUMMYFUNCTION("GOOGLETRANSLATE(D44,""zh-tw"",""RU"")"),"Используйте чит-коды")</f>
        <v>Используйте чит-коды</v>
      </c>
      <c r="AC44" s="395" t="str">
        <f>IFERROR(__xludf.DUMMYFUNCTION("GOOGLETRANSLATE(A44,""zh-tw"",""DE"")"),"Bruder Verschiedene Fische")</f>
        <v>Bruder Verschiedene Fische</v>
      </c>
      <c r="AD44" s="317" t="str">
        <f>IFERROR(__xludf.DUMMYFUNCTION("GOOGLETRANSLATE(B44,""zh-tw"",""DE"")"),"Du kannst nicht mal so ein einfaches Spiel spielen? Du bist echt ein Anfänger!")</f>
        <v>Du kannst nicht mal so ein einfaches Spiel spielen? Du bist echt ein Anfänger!</v>
      </c>
      <c r="AE44" s="394" t="str">
        <f>IFERROR(__xludf.DUMMYFUNCTION("GOOGLETRANSLATE(C44,""zh-tw"",""DE"")"),"Er hat das „kleine Fisch“-Zertifikat durch Betrug erlangt!")</f>
        <v>Er hat das „kleine Fisch“-Zertifikat durch Betrug erlangt!</v>
      </c>
      <c r="AF44" s="396" t="str">
        <f>IFERROR(__xludf.DUMMYFUNCTION("GOOGLETRANSLATE(D44,""zh-tw"",""DE"")"),"Cheat-Codes verwenden")</f>
        <v>Cheat-Codes verwenden</v>
      </c>
      <c r="AG44" s="106" t="s">
        <v>8825</v>
      </c>
      <c r="AH44" s="136" t="s">
        <v>8826</v>
      </c>
      <c r="AI44" s="213" t="s">
        <v>8827</v>
      </c>
      <c r="AJ44" s="399"/>
      <c r="AK44" s="106" t="s">
        <v>8822</v>
      </c>
      <c r="AL44" s="51" t="s">
        <v>8828</v>
      </c>
      <c r="AM44" s="304" t="s">
        <v>8829</v>
      </c>
      <c r="AN44" s="399"/>
      <c r="AO44" s="397"/>
      <c r="AP44" s="397"/>
    </row>
    <row r="45">
      <c r="A45" s="175" t="s">
        <v>8830</v>
      </c>
      <c r="B45" s="315" t="s">
        <v>8831</v>
      </c>
      <c r="C45" s="214" t="s">
        <v>813</v>
      </c>
      <c r="D45" s="393" t="s">
        <v>6790</v>
      </c>
      <c r="E45" s="175" t="s">
        <v>8832</v>
      </c>
      <c r="F45" s="315" t="s">
        <v>8833</v>
      </c>
      <c r="G45" s="214" t="s">
        <v>813</v>
      </c>
      <c r="H45" s="393" t="s">
        <v>8834</v>
      </c>
      <c r="I45" s="175" t="s">
        <v>6794</v>
      </c>
      <c r="J45" s="315" t="s">
        <v>8835</v>
      </c>
      <c r="K45" s="214" t="s">
        <v>813</v>
      </c>
      <c r="L45" s="396"/>
      <c r="M45" s="395" t="str">
        <f>IFERROR(__xludf.DUMMYFUNCTION("GOOGLETRANSLATE(A45,""zh-tw"",""zh"")"),"世界的勇者")</f>
        <v>世界的勇者</v>
      </c>
      <c r="N45" s="317" t="str">
        <f>IFERROR(__xludf.DUMMYFUNCTION("GOOGLETRANSLATE(B45,""zh-tw"",""zh"")"),"如此可得世界荣耀，远离黑暗蒙昧")</f>
        <v>如此可得世界荣耀，远离黑暗蒙昧</v>
      </c>
      <c r="O45" s="394" t="str">
        <f>IFERROR(__xludf.DUMMYFUNCTION("GOOGLETRANSLATE(C45,""zh-tw"",""zh"")"),"-")</f>
        <v>-</v>
      </c>
      <c r="P45" s="396" t="str">
        <f>IFERROR(__xludf.DUMMYFUNCTION("GOOGLETRANSLATE(D45,""zh-tw"",""zh"")"),"红髓玉吊坠")</f>
        <v>红髓玉吊坠</v>
      </c>
      <c r="Q45" s="138" t="str">
        <f>IFERROR(__xludf.DUMMYFUNCTION("GOOGLETRANSLATE(A45,""zh-tw"",""es-MX"")"),"Héroes del mundo")</f>
        <v>Héroes del mundo</v>
      </c>
      <c r="R45" s="142" t="str">
        <f>IFERROR(__xludf.DUMMYFUNCTION("GOOGLETRANSLATE(B45,""zh-tw"",""es-MX"")"),"De esta manera, uno puede alcanzar la gloria mundial y escapar de la oscuridad y la ignorancia.")</f>
        <v>De esta manera, uno puede alcanzar la gloria mundial y escapar de la oscuridad y la ignorancia.</v>
      </c>
      <c r="S45" s="303" t="str">
        <f>IFERROR(__xludf.DUMMYFUNCTION("GOOGLETRANSLATE(C45,""zh-tw"",""es-MX"")"),"-")</f>
        <v>-</v>
      </c>
      <c r="T45" s="141" t="str">
        <f>IFERROR(__xludf.DUMMYFUNCTION("GOOGLETRANSLATE(D45,""zh-tw"",""es-MX"")"),"Colgante de cornalina roja")</f>
        <v>Colgante de cornalina roja</v>
      </c>
      <c r="U45" s="138" t="str">
        <f>IFERROR(__xludf.DUMMYFUNCTION("GOOGLETRANSLATE(A45,""zh-tw"",""KO"")"),"세계의 영웅들")</f>
        <v>세계의 영웅들</v>
      </c>
      <c r="V45" s="142" t="str">
        <f>IFERROR(__xludf.DUMMYFUNCTION("GOOGLETRANSLATE(B45,""zh-tw"",""KO"")"),"이런 식으로 사람은 세상의 영광을 얻고 어둠과 무지에서 벗어날 수 있습니다.")</f>
        <v>이런 식으로 사람은 세상의 영광을 얻고 어둠과 무지에서 벗어날 수 있습니다.</v>
      </c>
      <c r="W45" s="303" t="str">
        <f>IFERROR(__xludf.DUMMYFUNCTION("GOOGLETRANSLATE(C45,""zh-tw"",""KO"")"),"-")</f>
        <v>-</v>
      </c>
      <c r="X45" s="141" t="str">
        <f>IFERROR(__xludf.DUMMYFUNCTION("GOOGLETRANSLATE(D45,""zh-tw"",""KO"")"),"붉은 홍옥수 펜던트")</f>
        <v>붉은 홍옥수 펜던트</v>
      </c>
      <c r="Y45" s="395" t="str">
        <f>IFERROR(__xludf.DUMMYFUNCTION("GOOGLETRANSLATE(A45,""zh-tw"",""RU"")"),"Герои мира")</f>
        <v>Герои мира</v>
      </c>
      <c r="Z45" s="317"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94" t="str">
        <f>IFERROR(__xludf.DUMMYFUNCTION("GOOGLETRANSLATE(C45,""zh-tw"",""RU"")"),"-")</f>
        <v>-</v>
      </c>
      <c r="AB45" s="396" t="str">
        <f>IFERROR(__xludf.DUMMYFUNCTION("GOOGLETRANSLATE(D45,""zh-tw"",""RU"")"),"Кулон из красного сердолика")</f>
        <v>Кулон из красного сердолика</v>
      </c>
      <c r="AC45" s="395" t="str">
        <f>IFERROR(__xludf.DUMMYFUNCTION("GOOGLETRANSLATE(A45,""zh-tw"",""DE"")"),"Helden der Welt")</f>
        <v>Helden der Welt</v>
      </c>
      <c r="AD45" s="317" t="str">
        <f>IFERROR(__xludf.DUMMYFUNCTION("GOOGLETRANSLATE(B45,""zh-tw"",""DE"")"),"Auf diese Weise kann man weltlichen Ruhm erlangen und Dunkelheit und Unwissenheit entfliehen.")</f>
        <v>Auf diese Weise kann man weltlichen Ruhm erlangen und Dunkelheit und Unwissenheit entfliehen.</v>
      </c>
      <c r="AE45" s="394" t="str">
        <f>IFERROR(__xludf.DUMMYFUNCTION("GOOGLETRANSLATE(C45,""zh-tw"",""DE"")"),"-")</f>
        <v>-</v>
      </c>
      <c r="AF45" s="396" t="str">
        <f>IFERROR(__xludf.DUMMYFUNCTION("GOOGLETRANSLATE(D45,""zh-tw"",""DE"")"),"Anhänger aus rotem Karneol")</f>
        <v>Anhänger aus rotem Karneol</v>
      </c>
      <c r="AG45" s="106" t="s">
        <v>8836</v>
      </c>
      <c r="AH45" s="136" t="s">
        <v>8837</v>
      </c>
      <c r="AI45" s="400"/>
      <c r="AJ45" s="399"/>
      <c r="AK45" s="106" t="s">
        <v>6794</v>
      </c>
      <c r="AL45" s="51" t="s">
        <v>8835</v>
      </c>
      <c r="AM45" s="400"/>
      <c r="AN45" s="399"/>
      <c r="AO45" s="397"/>
      <c r="AP45" s="397"/>
    </row>
    <row r="46">
      <c r="A46" s="175" t="s">
        <v>8838</v>
      </c>
      <c r="B46" s="315" t="s">
        <v>8839</v>
      </c>
      <c r="C46" s="214" t="s">
        <v>8840</v>
      </c>
      <c r="D46" s="393" t="s">
        <v>6719</v>
      </c>
      <c r="E46" s="175" t="s">
        <v>8841</v>
      </c>
      <c r="F46" s="315" t="s">
        <v>8842</v>
      </c>
      <c r="G46" s="214" t="s">
        <v>8843</v>
      </c>
      <c r="H46" s="396" t="str">
        <f>IFERROR(__xludf.DUMMYFUNCTION("GOOGLETRANSLATE(D46,""zh-tw"",""ja"")"),"貪欲な貯金箱")</f>
        <v>貪欲な貯金箱</v>
      </c>
      <c r="I46" s="175" t="s">
        <v>8844</v>
      </c>
      <c r="J46" s="315" t="s">
        <v>8845</v>
      </c>
      <c r="K46" s="214" t="s">
        <v>8846</v>
      </c>
      <c r="L46" s="396"/>
      <c r="M46" s="395" t="str">
        <f>IFERROR(__xludf.DUMMYFUNCTION("GOOGLETRANSLATE(A46,""zh-tw"",""zh"")"),"贪财!贪财!")</f>
        <v>贪财!贪财!</v>
      </c>
      <c r="N46" s="317" t="str">
        <f>IFERROR(__xludf.DUMMYFUNCTION("GOOGLETRANSLATE(B46,""zh-tw"",""zh"")"),"无尽的贪欲最终也盯上你– –")</f>
        <v>无尽的贪欲最终也盯上你– –</v>
      </c>
      <c r="O46" s="394" t="str">
        <f>IFERROR(__xludf.DUMMYFUNCTION("GOOGLETRANSLATE(C46,""zh-tw"",""zh"")"),"受伤时强制掉落金币")</f>
        <v>受伤时强制掉落金币</v>
      </c>
      <c r="P46" s="396" t="str">
        <f>IFERROR(__xludf.DUMMYFUNCTION("GOOGLETRANSLATE(D46,""zh-tw"",""zh"")"),"贪欲存钱罐")</f>
        <v>贪欲存钱罐</v>
      </c>
      <c r="Q46" s="138" t="str">
        <f>IFERROR(__xludf.DUMMYFUNCTION("GOOGLETRANSLATE(A46,""zh-tw"",""es-MX"")"),"¡Codicioso! ¡Codicioso!")</f>
        <v>¡Codicioso! ¡Codicioso!</v>
      </c>
      <c r="R46" s="142" t="str">
        <f>IFERROR(__xludf.DUMMYFUNCTION("GOOGLETRANSLATE(B46,""zh-tw"",""es-MX"")"),"La codicia sin fin tarde o temprano pondrá sus miras en ti también.")</f>
        <v>La codicia sin fin tarde o temprano pondrá sus miras en ti también.</v>
      </c>
      <c r="S46" s="303" t="str">
        <f>IFERROR(__xludf.DUMMYFUNCTION("GOOGLETRANSLATE(C46,""zh-tw"",""es-MX"")"),"Obligado a dejar caer monedas de oro cuando estaba herido")</f>
        <v>Obligado a dejar caer monedas de oro cuando estaba herido</v>
      </c>
      <c r="T46" s="141" t="str">
        <f>IFERROR(__xludf.DUMMYFUNCTION("GOOGLETRANSLATE(D46,""zh-tw"",""es-MX"")"),"Alcancía codiciosa")</f>
        <v>Alcancía codiciosa</v>
      </c>
      <c r="U46" s="138" t="str">
        <f>IFERROR(__xludf.DUMMYFUNCTION("GOOGLETRANSLATE(A46,""zh-tw"",""KO"")"),"욕심쟁이! 욕심쟁이!")</f>
        <v>욕심쟁이! 욕심쟁이!</v>
      </c>
      <c r="V46" s="142" t="str">
        <f>IFERROR(__xludf.DUMMYFUNCTION("GOOGLETRANSLATE(B46,""zh-tw"",""KO"")"),"끝없는 탐욕은 결국 당신에게도 표적으로 다가올 것입니다.")</f>
        <v>끝없는 탐욕은 결국 당신에게도 표적으로 다가올 것입니다.</v>
      </c>
      <c r="W46" s="303" t="str">
        <f>IFERROR(__xludf.DUMMYFUNCTION("GOOGLETRANSLATE(C46,""zh-tw"",""KO"")"),"부상당해 금화를 떨어뜨려야 했다")</f>
        <v>부상당해 금화를 떨어뜨려야 했다</v>
      </c>
      <c r="X46" s="141" t="str">
        <f>IFERROR(__xludf.DUMMYFUNCTION("GOOGLETRANSLATE(D46,""zh-tw"",""KO"")"),"탐욕스러운 돼지 저금통")</f>
        <v>탐욕스러운 돼지 저금통</v>
      </c>
      <c r="Y46" s="395" t="str">
        <f>IFERROR(__xludf.DUMMYFUNCTION("GOOGLETRANSLATE(A46,""zh-tw"",""RU"")"),"Жадный! Жадный!")</f>
        <v>Жадный! Жадный!</v>
      </c>
      <c r="Z46" s="317" t="str">
        <f>IFERROR(__xludf.DUMMYFUNCTION("GOOGLETRANSLATE(B46,""zh-tw"",""RU"")"),"Бесконечная жадность в конце концов остановит и вас.")</f>
        <v>Бесконечная жадность в конце концов остановит и вас.</v>
      </c>
      <c r="AA46" s="394" t="str">
        <f>IFERROR(__xludf.DUMMYFUNCTION("GOOGLETRANSLATE(C46,""zh-tw"",""RU"")"),"Вынужден был выронить золотые монеты, когда получил травму")</f>
        <v>Вынужден был выронить золотые монеты, когда получил травму</v>
      </c>
      <c r="AB46" s="396" t="str">
        <f>IFERROR(__xludf.DUMMYFUNCTION("GOOGLETRANSLATE(D46,""zh-tw"",""RU"")"),"Жадная копилка")</f>
        <v>Жадная копилка</v>
      </c>
      <c r="AC46" s="395" t="str">
        <f>IFERROR(__xludf.DUMMYFUNCTION("GOOGLETRANSLATE(A46,""zh-tw"",""DE"")"),"Gierig! Gierig!")</f>
        <v>Gierig! Gierig!</v>
      </c>
      <c r="AD46" s="317" t="str">
        <f>IFERROR(__xludf.DUMMYFUNCTION("GOOGLETRANSLATE(B46,""zh-tw"",""DE"")"),"Unstillbare Gier wird irgendwann auch dich ins Visier nehmen.")</f>
        <v>Unstillbare Gier wird irgendwann auch dich ins Visier nehmen.</v>
      </c>
      <c r="AE46" s="394" t="str">
        <f>IFERROR(__xludf.DUMMYFUNCTION("GOOGLETRANSLATE(C46,""zh-tw"",""DE"")"),"Gezwungen, Goldmünzen fallen zu lassen, wenn er verletzt ist")</f>
        <v>Gezwungen, Goldmünzen fallen zu lassen, wenn er verletzt ist</v>
      </c>
      <c r="AF46" s="396" t="str">
        <f>IFERROR(__xludf.DUMMYFUNCTION("GOOGLETRANSLATE(D46,""zh-tw"",""DE"")"),"Gieriges Sparschwein")</f>
        <v>Gieriges Sparschwein</v>
      </c>
      <c r="AG46" s="188" t="s">
        <v>8847</v>
      </c>
      <c r="AH46" s="136" t="s">
        <v>8848</v>
      </c>
      <c r="AI46" s="213" t="s">
        <v>8849</v>
      </c>
      <c r="AJ46" s="401"/>
      <c r="AK46" s="138" t="s">
        <v>8850</v>
      </c>
      <c r="AL46" s="142" t="s">
        <v>8851</v>
      </c>
      <c r="AM46" s="303" t="s">
        <v>8852</v>
      </c>
      <c r="AN46" s="401"/>
      <c r="AO46" s="200"/>
      <c r="AP46" s="200"/>
    </row>
    <row r="47">
      <c r="A47" s="175" t="s">
        <v>8853</v>
      </c>
      <c r="B47" s="315" t="s">
        <v>8854</v>
      </c>
      <c r="C47" s="214" t="s">
        <v>8855</v>
      </c>
      <c r="D47" s="393" t="s">
        <v>6622</v>
      </c>
      <c r="E47" s="175" t="s">
        <v>8856</v>
      </c>
      <c r="F47" s="315" t="s">
        <v>8857</v>
      </c>
      <c r="G47" s="214" t="s">
        <v>8858</v>
      </c>
      <c r="H47" s="396" t="str">
        <f>IFERROR(__xludf.DUMMYFUNCTION("GOOGLETRANSLATE(D47,""zh-tw"",""ja"")"),"夜霧の幻影")</f>
        <v>夜霧の幻影</v>
      </c>
      <c r="I47" s="175" t="s">
        <v>8859</v>
      </c>
      <c r="J47" s="315" t="s">
        <v>8860</v>
      </c>
      <c r="K47" s="214" t="s">
        <v>8861</v>
      </c>
      <c r="L47" s="396"/>
      <c r="M47" s="395" t="str">
        <f>IFERROR(__xludf.DUMMYFUNCTION("GOOGLETRANSLATE(A47,""zh-tw"",""zh"")"),"你看不见我")</f>
        <v>你看不见我</v>
      </c>
      <c r="N47" s="317" t="str">
        <f>IFERROR(__xludf.DUMMYFUNCTION("GOOGLETRANSLATE(B47,""zh-tw"",""zh"")"),"LOOK INTI MY EVIL EYEZ SEE SOMETHIN'INSIDE！")</f>
        <v>LOOK INTI MY EVIL EYEZ SEE SOMETHIN'INSIDE！</v>
      </c>
      <c r="O47" s="394" t="str">
        <f>IFERROR(__xludf.DUMMYFUNCTION("GOOGLETRANSLATE(C47,""zh-tw"",""zh"")"),"每六秒短暂进入透明状态！")</f>
        <v>每六秒短暂进入透明状态！</v>
      </c>
      <c r="P47" s="396" t="str">
        <f>IFERROR(__xludf.DUMMYFUNCTION("GOOGLETRANSLATE(D47,""zh-tw"",""zh"")"),"夜雾幻影")</f>
        <v>夜雾幻影</v>
      </c>
      <c r="Q47" s="138" t="str">
        <f>IFERROR(__xludf.DUMMYFUNCTION("GOOGLETRANSLATE(A47,""zh-tw"",""es-MX"")"),"No puedes verme")</f>
        <v>No puedes verme</v>
      </c>
      <c r="R47" s="142" t="str">
        <f>IFERROR(__xludf.DUMMYFUNCTION("GOOGLETRANSLATE(B47,""zh-tw"",""es-MX"")"),"¡MIRA DENTRO DE MIS OJOS MALVADOS Y VES ALGO DENTRO!")</f>
        <v>¡MIRA DENTRO DE MIS OJOS MALVADOS Y VES ALGO DENTRO!</v>
      </c>
      <c r="S47" s="303" t="str">
        <f>IFERROR(__xludf.DUMMYFUNCTION("GOOGLETRANSLATE(C47,""zh-tw"",""es-MX"")"),"¡Entra brevemente en un estado transparente cada seis segundos!")</f>
        <v>¡Entra brevemente en un estado transparente cada seis segundos!</v>
      </c>
      <c r="T47" s="141" t="str">
        <f>IFERROR(__xludf.DUMMYFUNCTION("GOOGLETRANSLATE(D47,""zh-tw"",""es-MX"")"),"Fantasma de niebla nocturna")</f>
        <v>Fantasma de niebla nocturna</v>
      </c>
      <c r="U47" s="138" t="str">
        <f>IFERROR(__xludf.DUMMYFUNCTION("GOOGLETRANSLATE(A47,""zh-tw"",""KO"")"),"너는 나를 볼 수 없어")</f>
        <v>너는 나를 볼 수 없어</v>
      </c>
      <c r="V47" s="142" t="str">
        <f>IFERROR(__xludf.DUMMYFUNCTION("GOOGLETRANSLATE(B47,""zh-tw"",""KO"")"),"내 사악한 눈으로 들여다봐! 안에 뭔가 있어!")</f>
        <v>내 사악한 눈으로 들여다봐! 안에 뭔가 있어!</v>
      </c>
      <c r="W47" s="303" t="str">
        <f>IFERROR(__xludf.DUMMYFUNCTION("GOOGLETRANSLATE(C47,""zh-tw"",""KO"")"),"6초마다 잠깐 투명 상태가 됩니다!")</f>
        <v>6초마다 잠깐 투명 상태가 됩니다!</v>
      </c>
      <c r="X47" s="141" t="str">
        <f>IFERROR(__xludf.DUMMYFUNCTION("GOOGLETRANSLATE(D47,""zh-tw"",""KO"")"),"나이트 포그 팬텀")</f>
        <v>나이트 포그 팬텀</v>
      </c>
      <c r="Y47" s="395" t="str">
        <f>IFERROR(__xludf.DUMMYFUNCTION("GOOGLETRANSLATE(A47,""zh-tw"",""RU"")"),"Ты меня не видишь")</f>
        <v>Ты меня не видишь</v>
      </c>
      <c r="Z47" s="317" t="str">
        <f>IFERROR(__xludf.DUMMYFUNCTION("GOOGLETRANSLATE(B47,""zh-tw"",""RU"")"),"ПОСМОТРИТЕ В МОЙ ЗЛОЙ ГЛАЗ И УВИДЬТЕ ЧТО-ТО ВНУТРИ!")</f>
        <v>ПОСМОТРИТЕ В МОЙ ЗЛОЙ ГЛАЗ И УВИДЬТЕ ЧТО-ТО ВНУТРИ!</v>
      </c>
      <c r="AA47" s="394" t="str">
        <f>IFERROR(__xludf.DUMMYFUNCTION("GOOGLETRANSLATE(C47,""zh-tw"",""RU"")"),"Каждые шесть секунд он ненадолго переходит в прозрачное состояние!")</f>
        <v>Каждые шесть секунд он ненадолго переходит в прозрачное состояние!</v>
      </c>
      <c r="AB47" s="396" t="str">
        <f>IFERROR(__xludf.DUMMYFUNCTION("GOOGLETRANSLATE(D47,""zh-tw"",""RU"")"),"Ночной туманный фантом")</f>
        <v>Ночной туманный фантом</v>
      </c>
      <c r="AC47" s="395" t="str">
        <f>IFERROR(__xludf.DUMMYFUNCTION("GOOGLETRANSLATE(A47,""zh-tw"",""DE"")"),"Du kannst mich nicht sehen")</f>
        <v>Du kannst mich nicht sehen</v>
      </c>
      <c r="AD47" s="317" t="str">
        <f>IFERROR(__xludf.DUMMYFUNCTION("GOOGLETRANSLATE(B47,""zh-tw"",""DE"")"),"SCHAU IN MEINE BÖSEN AUGEN, SIEH ETWAS DARIN!")</f>
        <v>SCHAU IN MEINE BÖSEN AUGEN, SIEH ETWAS DARIN!</v>
      </c>
      <c r="AE47" s="394" t="str">
        <f>IFERROR(__xludf.DUMMYFUNCTION("GOOGLETRANSLATE(C47,""zh-tw"",""DE"")"),"Es wechselt alle sechs Sekunden kurz in einen transparenten Zustand!")</f>
        <v>Es wechselt alle sechs Sekunden kurz in einen transparenten Zustand!</v>
      </c>
      <c r="AF47" s="396" t="str">
        <f>IFERROR(__xludf.DUMMYFUNCTION("GOOGLETRANSLATE(D47,""zh-tw"",""DE"")"),"Nachtnebel-Phantom")</f>
        <v>Nachtnebel-Phantom</v>
      </c>
      <c r="AG47" s="188" t="s">
        <v>8862</v>
      </c>
      <c r="AH47" s="136" t="s">
        <v>8863</v>
      </c>
      <c r="AI47" s="213" t="s">
        <v>8864</v>
      </c>
      <c r="AJ47" s="141"/>
      <c r="AK47" s="138" t="s">
        <v>8865</v>
      </c>
      <c r="AL47" s="142" t="s">
        <v>8866</v>
      </c>
      <c r="AM47" s="303" t="s">
        <v>8867</v>
      </c>
      <c r="AN47" s="401"/>
      <c r="AO47" s="200"/>
      <c r="AP47" s="200"/>
    </row>
    <row r="48">
      <c r="A48" s="138" t="s">
        <v>8868</v>
      </c>
      <c r="B48" s="142" t="s">
        <v>8869</v>
      </c>
      <c r="C48" s="303" t="s">
        <v>8870</v>
      </c>
      <c r="D48" s="141" t="s">
        <v>8871</v>
      </c>
      <c r="E48" s="138" t="s">
        <v>8872</v>
      </c>
      <c r="F48" s="142" t="s">
        <v>8873</v>
      </c>
      <c r="G48" s="303" t="s">
        <v>8874</v>
      </c>
      <c r="H48" s="141" t="s">
        <v>8875</v>
      </c>
      <c r="I48" s="175" t="s">
        <v>8876</v>
      </c>
      <c r="J48" s="142" t="s">
        <v>8877</v>
      </c>
      <c r="K48" s="303" t="s">
        <v>8878</v>
      </c>
      <c r="L48" s="135" t="s">
        <v>8879</v>
      </c>
      <c r="M48" s="138" t="s">
        <v>8880</v>
      </c>
      <c r="N48" s="142" t="s">
        <v>8869</v>
      </c>
      <c r="O48" s="303" t="s">
        <v>8881</v>
      </c>
      <c r="P48" s="141" t="s">
        <v>8882</v>
      </c>
      <c r="Q48" s="138" t="str">
        <f>IFERROR(__xludf.DUMMYFUNCTION("GOOGLETRANSLATE(A48,""zh-tw"",""es-MX"")"),"Siempre siento que algo me sigue.")</f>
        <v>Siempre siento que algo me sigue.</v>
      </c>
      <c r="R48" s="142" t="str">
        <f>IFERROR(__xludf.DUMMYFUNCTION("GOOGLETRANSLATE(B48,""zh-tw"",""es-MX"")"),"susurro...susurro...")</f>
        <v>susurro...susurro...</v>
      </c>
      <c r="S48" s="303" t="str">
        <f>IFERROR(__xludf.DUMMYFUNCTION("GOOGLETRANSLATE(C48,""zh-tw"",""es-MX"")"),"Estás siendo observado de cerca por un grupo de pequeñas criaturas.")</f>
        <v>Estás siendo observado de cerca por un grupo de pequeñas criaturas.</v>
      </c>
      <c r="T48" s="141" t="str">
        <f>IFERROR(__xludf.DUMMYFUNCTION("GOOGLETRANSLATE(D48,""zh-tw"",""es-MX"")"),"Enredado por Z")</f>
        <v>Enredado por Z</v>
      </c>
      <c r="U48" s="138" t="str">
        <f>IFERROR(__xludf.DUMMYFUNCTION("GOOGLETRANSLATE(A48,""zh-tw"",""KO"")"),"나는 항상 무언가가 나를 따라오는 것 같은 느낌이 든다.")</f>
        <v>나는 항상 무언가가 나를 따라오는 것 같은 느낌이 든다.</v>
      </c>
      <c r="V48" s="142" t="str">
        <f>IFERROR(__xludf.DUMMYFUNCTION("GOOGLETRANSLATE(B48,""zh-tw"",""KO"")"),"바스락거리는 소리...바스락거리는 소리...")</f>
        <v>바스락거리는 소리...바스락거리는 소리...</v>
      </c>
      <c r="W48" s="303" t="str">
        <f>IFERROR(__xludf.DUMMYFUNCTION("GOOGLETRANSLATE(C48,""zh-tw"",""KO"")"),"당신은 작은 생물들의 떼로부터 면밀히 관찰받고 있습니다.")</f>
        <v>당신은 작은 생물들의 떼로부터 면밀히 관찰받고 있습니다.</v>
      </c>
      <c r="X48" s="141" t="str">
        <f>IFERROR(__xludf.DUMMYFUNCTION("GOOGLETRANSLATE(D48,""zh-tw"",""KO"")"),"Z에 얽힘")</f>
        <v>Z에 얽힘</v>
      </c>
      <c r="Y48" s="395" t="str">
        <f>IFERROR(__xludf.DUMMYFUNCTION("GOOGLETRANSLATE(A48,""zh-tw"",""RU"")"),"Мне всегда кажется, что за мной что-то следует.")</f>
        <v>Мне всегда кажется, что за мной что-то следует.</v>
      </c>
      <c r="Z48" s="317" t="str">
        <f>IFERROR(__xludf.DUMMYFUNCTION("GOOGLETRANSLATE(B48,""zh-tw"",""RU"")"),"шорох...шорох...")</f>
        <v>шорох...шорох...</v>
      </c>
      <c r="AA48" s="394" t="str">
        <f>IFERROR(__xludf.DUMMYFUNCTION("GOOGLETRANSLATE(C48,""zh-tw"",""RU"")"),"За вами пристально наблюдает группа маленьких существ.")</f>
        <v>За вами пристально наблюдает группа маленьких существ.</v>
      </c>
      <c r="AB48" s="396" t="str">
        <f>IFERROR(__xludf.DUMMYFUNCTION("GOOGLETRANSLATE(D48,""zh-tw"",""RU"")"),"Запутанный Z")</f>
        <v>Запутанный Z</v>
      </c>
      <c r="AC48" s="395" t="str">
        <f>IFERROR(__xludf.DUMMYFUNCTION("GOOGLETRANSLATE(A48,""zh-tw"",""DE"")"),"Ich habe immer das Gefühl, dass mich etwas verfolgt.")</f>
        <v>Ich habe immer das Gefühl, dass mich etwas verfolgt.</v>
      </c>
      <c r="AD48" s="142" t="s">
        <v>8883</v>
      </c>
      <c r="AE48" s="303" t="s">
        <v>8884</v>
      </c>
      <c r="AF48" s="141" t="s">
        <v>8885</v>
      </c>
      <c r="AG48" s="395" t="str">
        <f>IFERROR(__xludf.DUMMYFUNCTION("GOOGLETRANSLATE(A48,""zh-tw"",""VI"")"),"Tôi luôn cảm thấy như có thứ gì đó đang theo dõi mình.")</f>
        <v>Tôi luôn cảm thấy như có thứ gì đó đang theo dõi mình.</v>
      </c>
      <c r="AH48" s="144" t="s">
        <v>8886</v>
      </c>
      <c r="AI48" s="402" t="s">
        <v>8887</v>
      </c>
      <c r="AJ48" s="130" t="s">
        <v>8888</v>
      </c>
      <c r="AK48" s="138" t="s">
        <v>8889</v>
      </c>
      <c r="AL48" s="142" t="s">
        <v>8890</v>
      </c>
      <c r="AM48" s="303" t="s">
        <v>8891</v>
      </c>
      <c r="AN48" s="141" t="s">
        <v>8892</v>
      </c>
      <c r="AO48" s="200"/>
      <c r="AP48" s="200"/>
    </row>
    <row r="49">
      <c r="A49" s="395"/>
      <c r="B49" s="317"/>
      <c r="C49" s="394"/>
      <c r="D49" s="396"/>
      <c r="E49" s="395"/>
      <c r="F49" s="317"/>
      <c r="G49" s="394"/>
      <c r="H49" s="396"/>
      <c r="I49" s="395"/>
      <c r="J49" s="317"/>
      <c r="K49" s="394"/>
      <c r="L49" s="396"/>
      <c r="M49" s="395"/>
      <c r="N49" s="317"/>
      <c r="O49" s="394"/>
      <c r="P49" s="396"/>
      <c r="Q49" s="403"/>
      <c r="R49" s="404"/>
      <c r="S49" s="405"/>
      <c r="T49" s="401"/>
      <c r="U49" s="403"/>
      <c r="V49" s="404"/>
      <c r="W49" s="405"/>
      <c r="X49" s="401"/>
      <c r="Y49" s="406"/>
      <c r="Z49" s="407"/>
      <c r="AA49" s="408"/>
      <c r="AB49" s="409"/>
      <c r="AC49" s="406"/>
      <c r="AD49" s="407"/>
      <c r="AE49" s="408"/>
      <c r="AF49" s="409"/>
      <c r="AG49" s="403"/>
      <c r="AH49" s="404"/>
      <c r="AI49" s="405"/>
      <c r="AJ49" s="401"/>
      <c r="AK49" s="395"/>
      <c r="AL49" s="317"/>
      <c r="AM49" s="394"/>
      <c r="AN49" s="396"/>
      <c r="AO49" s="200"/>
      <c r="AP49" s="200"/>
    </row>
    <row r="50">
      <c r="A50" s="395"/>
      <c r="B50" s="317"/>
      <c r="C50" s="394"/>
      <c r="D50" s="396"/>
      <c r="E50" s="395"/>
      <c r="F50" s="317"/>
      <c r="G50" s="394"/>
      <c r="H50" s="396"/>
      <c r="I50" s="395"/>
      <c r="J50" s="317"/>
      <c r="K50" s="394"/>
      <c r="L50" s="396"/>
      <c r="M50" s="395"/>
      <c r="N50" s="317"/>
      <c r="O50" s="394"/>
      <c r="P50" s="396"/>
      <c r="Q50" s="403"/>
      <c r="R50" s="404"/>
      <c r="S50" s="405"/>
      <c r="T50" s="401"/>
      <c r="U50" s="403"/>
      <c r="V50" s="404"/>
      <c r="W50" s="405"/>
      <c r="X50" s="401"/>
      <c r="Y50" s="406"/>
      <c r="Z50" s="407"/>
      <c r="AA50" s="408"/>
      <c r="AB50" s="409"/>
      <c r="AC50" s="406"/>
      <c r="AD50" s="407"/>
      <c r="AE50" s="408"/>
      <c r="AF50" s="409"/>
      <c r="AG50" s="403"/>
      <c r="AH50" s="404"/>
      <c r="AI50" s="405"/>
      <c r="AJ50" s="401"/>
      <c r="AK50" s="395"/>
      <c r="AL50" s="317"/>
      <c r="AM50" s="394"/>
      <c r="AN50" s="396"/>
      <c r="AO50" s="200"/>
      <c r="AP50" s="200"/>
    </row>
    <row r="51">
      <c r="A51" s="395"/>
      <c r="B51" s="317"/>
      <c r="C51" s="394"/>
      <c r="D51" s="396"/>
      <c r="E51" s="395"/>
      <c r="F51" s="317"/>
      <c r="G51" s="394"/>
      <c r="H51" s="396"/>
      <c r="I51" s="395"/>
      <c r="J51" s="317"/>
      <c r="K51" s="394"/>
      <c r="L51" s="396"/>
      <c r="M51" s="395"/>
      <c r="N51" s="317"/>
      <c r="O51" s="394"/>
      <c r="P51" s="396"/>
      <c r="Q51" s="403"/>
      <c r="R51" s="404"/>
      <c r="S51" s="405"/>
      <c r="T51" s="401"/>
      <c r="U51" s="403"/>
      <c r="V51" s="404"/>
      <c r="W51" s="405"/>
      <c r="X51" s="401"/>
      <c r="Y51" s="406"/>
      <c r="Z51" s="407"/>
      <c r="AA51" s="408"/>
      <c r="AB51" s="409"/>
      <c r="AC51" s="406"/>
      <c r="AD51" s="407"/>
      <c r="AE51" s="408"/>
      <c r="AF51" s="409"/>
      <c r="AG51" s="403"/>
      <c r="AH51" s="404"/>
      <c r="AI51" s="405"/>
      <c r="AJ51" s="401"/>
      <c r="AK51" s="395"/>
      <c r="AL51" s="317"/>
      <c r="AM51" s="394"/>
      <c r="AN51" s="396"/>
      <c r="AO51" s="200"/>
      <c r="AP51" s="200"/>
    </row>
    <row r="52">
      <c r="A52" s="395"/>
      <c r="B52" s="317"/>
      <c r="C52" s="394"/>
      <c r="D52" s="396"/>
      <c r="E52" s="395"/>
      <c r="F52" s="317"/>
      <c r="G52" s="394"/>
      <c r="H52" s="396"/>
      <c r="I52" s="395"/>
      <c r="J52" s="317"/>
      <c r="K52" s="394"/>
      <c r="L52" s="396"/>
      <c r="M52" s="395"/>
      <c r="N52" s="317"/>
      <c r="O52" s="394"/>
      <c r="P52" s="396"/>
      <c r="Q52" s="403"/>
      <c r="R52" s="404"/>
      <c r="S52" s="405"/>
      <c r="T52" s="401"/>
      <c r="U52" s="403"/>
      <c r="V52" s="404"/>
      <c r="W52" s="405"/>
      <c r="X52" s="401"/>
      <c r="Y52" s="406"/>
      <c r="Z52" s="407"/>
      <c r="AA52" s="408"/>
      <c r="AB52" s="409"/>
      <c r="AC52" s="406"/>
      <c r="AD52" s="407"/>
      <c r="AE52" s="408"/>
      <c r="AF52" s="409"/>
      <c r="AG52" s="403"/>
      <c r="AH52" s="404"/>
      <c r="AI52" s="405"/>
      <c r="AJ52" s="401"/>
      <c r="AK52" s="395"/>
      <c r="AL52" s="317"/>
      <c r="AM52" s="394"/>
      <c r="AN52" s="396"/>
      <c r="AO52" s="200"/>
      <c r="AP52" s="200"/>
    </row>
    <row r="53">
      <c r="A53" s="395"/>
      <c r="B53" s="317"/>
      <c r="C53" s="394"/>
      <c r="D53" s="396"/>
      <c r="E53" s="395"/>
      <c r="F53" s="317"/>
      <c r="G53" s="394"/>
      <c r="H53" s="396"/>
      <c r="I53" s="395"/>
      <c r="J53" s="317"/>
      <c r="K53" s="394"/>
      <c r="L53" s="396"/>
      <c r="M53" s="395"/>
      <c r="N53" s="317"/>
      <c r="O53" s="394"/>
      <c r="P53" s="396"/>
      <c r="Q53" s="403"/>
      <c r="R53" s="404"/>
      <c r="S53" s="405"/>
      <c r="T53" s="401"/>
      <c r="U53" s="403"/>
      <c r="V53" s="404"/>
      <c r="W53" s="405"/>
      <c r="X53" s="401"/>
      <c r="Y53" s="403"/>
      <c r="Z53" s="404"/>
      <c r="AA53" s="405"/>
      <c r="AB53" s="401"/>
      <c r="AC53" s="403"/>
      <c r="AD53" s="404"/>
      <c r="AE53" s="405"/>
      <c r="AF53" s="401"/>
      <c r="AG53" s="403"/>
      <c r="AH53" s="404"/>
      <c r="AI53" s="405"/>
      <c r="AJ53" s="401"/>
      <c r="AK53" s="395"/>
      <c r="AL53" s="317"/>
      <c r="AM53" s="394"/>
      <c r="AN53" s="396"/>
      <c r="AO53" s="200"/>
      <c r="AP53" s="200"/>
    </row>
    <row r="54">
      <c r="A54" s="395"/>
      <c r="B54" s="317"/>
      <c r="C54" s="394"/>
      <c r="D54" s="396"/>
      <c r="E54" s="395"/>
      <c r="F54" s="317"/>
      <c r="G54" s="394"/>
      <c r="H54" s="396"/>
      <c r="I54" s="395"/>
      <c r="J54" s="317"/>
      <c r="K54" s="394"/>
      <c r="L54" s="396"/>
      <c r="M54" s="395"/>
      <c r="N54" s="317"/>
      <c r="O54" s="394"/>
      <c r="P54" s="396"/>
      <c r="Q54" s="403"/>
      <c r="R54" s="404"/>
      <c r="S54" s="405"/>
      <c r="T54" s="401"/>
      <c r="U54" s="403"/>
      <c r="V54" s="404"/>
      <c r="W54" s="405"/>
      <c r="X54" s="401"/>
      <c r="Y54" s="403"/>
      <c r="Z54" s="404"/>
      <c r="AA54" s="405"/>
      <c r="AB54" s="401"/>
      <c r="AC54" s="403"/>
      <c r="AD54" s="404"/>
      <c r="AE54" s="405"/>
      <c r="AF54" s="401"/>
      <c r="AG54" s="403"/>
      <c r="AH54" s="404"/>
      <c r="AI54" s="405"/>
      <c r="AJ54" s="401"/>
      <c r="AK54" s="395"/>
      <c r="AL54" s="317"/>
      <c r="AM54" s="394"/>
      <c r="AN54" s="396"/>
      <c r="AO54" s="200"/>
      <c r="AP54" s="200"/>
    </row>
    <row r="55">
      <c r="A55" s="395"/>
      <c r="B55" s="317"/>
      <c r="C55" s="394"/>
      <c r="D55" s="396"/>
      <c r="E55" s="395"/>
      <c r="F55" s="317"/>
      <c r="G55" s="394"/>
      <c r="H55" s="396"/>
      <c r="I55" s="395"/>
      <c r="J55" s="317"/>
      <c r="K55" s="394"/>
      <c r="L55" s="396"/>
      <c r="M55" s="395"/>
      <c r="N55" s="317"/>
      <c r="O55" s="394"/>
      <c r="P55" s="396"/>
      <c r="Q55" s="403"/>
      <c r="R55" s="404"/>
      <c r="S55" s="405"/>
      <c r="T55" s="401"/>
      <c r="U55" s="403"/>
      <c r="V55" s="404"/>
      <c r="W55" s="405"/>
      <c r="X55" s="401"/>
      <c r="Y55" s="403"/>
      <c r="Z55" s="404"/>
      <c r="AA55" s="405"/>
      <c r="AB55" s="401"/>
      <c r="AC55" s="403"/>
      <c r="AD55" s="404"/>
      <c r="AE55" s="405"/>
      <c r="AF55" s="401"/>
      <c r="AG55" s="403"/>
      <c r="AH55" s="404"/>
      <c r="AI55" s="405"/>
      <c r="AJ55" s="401"/>
      <c r="AK55" s="395"/>
      <c r="AL55" s="317"/>
      <c r="AM55" s="394"/>
      <c r="AN55" s="396"/>
      <c r="AO55" s="200"/>
      <c r="AP55" s="200"/>
    </row>
    <row r="56">
      <c r="A56" s="395"/>
      <c r="B56" s="317"/>
      <c r="C56" s="394"/>
      <c r="D56" s="396"/>
      <c r="E56" s="395"/>
      <c r="F56" s="317"/>
      <c r="G56" s="394"/>
      <c r="H56" s="396"/>
      <c r="I56" s="395"/>
      <c r="J56" s="317"/>
      <c r="K56" s="394"/>
      <c r="L56" s="396"/>
      <c r="M56" s="395"/>
      <c r="N56" s="317"/>
      <c r="O56" s="394"/>
      <c r="P56" s="396"/>
      <c r="Q56" s="403"/>
      <c r="R56" s="404"/>
      <c r="S56" s="405"/>
      <c r="T56" s="401"/>
      <c r="U56" s="403"/>
      <c r="V56" s="404"/>
      <c r="W56" s="405"/>
      <c r="X56" s="401"/>
      <c r="Y56" s="403"/>
      <c r="Z56" s="404"/>
      <c r="AA56" s="405"/>
      <c r="AB56" s="401"/>
      <c r="AC56" s="403"/>
      <c r="AD56" s="404"/>
      <c r="AE56" s="405"/>
      <c r="AF56" s="401"/>
      <c r="AG56" s="403"/>
      <c r="AH56" s="404"/>
      <c r="AI56" s="405"/>
      <c r="AJ56" s="401"/>
      <c r="AK56" s="395"/>
      <c r="AL56" s="317"/>
      <c r="AM56" s="394"/>
      <c r="AN56" s="396"/>
      <c r="AO56" s="200"/>
      <c r="AP56" s="200"/>
    </row>
    <row r="57">
      <c r="A57" s="395"/>
      <c r="B57" s="317"/>
      <c r="C57" s="394"/>
      <c r="D57" s="396"/>
      <c r="E57" s="395"/>
      <c r="F57" s="317"/>
      <c r="G57" s="394"/>
      <c r="H57" s="396"/>
      <c r="I57" s="395"/>
      <c r="J57" s="317"/>
      <c r="K57" s="394"/>
      <c r="L57" s="396"/>
      <c r="M57" s="395"/>
      <c r="N57" s="317"/>
      <c r="O57" s="394"/>
      <c r="P57" s="396"/>
      <c r="Q57" s="403"/>
      <c r="R57" s="404"/>
      <c r="S57" s="405"/>
      <c r="T57" s="401"/>
      <c r="U57" s="403"/>
      <c r="V57" s="404"/>
      <c r="W57" s="405"/>
      <c r="X57" s="401"/>
      <c r="Y57" s="403"/>
      <c r="Z57" s="404"/>
      <c r="AA57" s="405"/>
      <c r="AB57" s="401"/>
      <c r="AC57" s="403"/>
      <c r="AD57" s="404"/>
      <c r="AE57" s="405"/>
      <c r="AF57" s="401"/>
      <c r="AG57" s="403"/>
      <c r="AH57" s="404"/>
      <c r="AI57" s="405"/>
      <c r="AJ57" s="401"/>
      <c r="AK57" s="395"/>
      <c r="AL57" s="317"/>
      <c r="AM57" s="394"/>
      <c r="AN57" s="396"/>
      <c r="AO57" s="200"/>
      <c r="AP57" s="200"/>
    </row>
    <row r="58">
      <c r="A58" s="395"/>
      <c r="B58" s="317"/>
      <c r="C58" s="394"/>
      <c r="D58" s="396"/>
      <c r="E58" s="395"/>
      <c r="F58" s="317"/>
      <c r="G58" s="394"/>
      <c r="H58" s="396"/>
      <c r="I58" s="395"/>
      <c r="J58" s="317"/>
      <c r="K58" s="394"/>
      <c r="L58" s="396"/>
      <c r="M58" s="395"/>
      <c r="N58" s="317"/>
      <c r="O58" s="394"/>
      <c r="P58" s="396"/>
      <c r="Q58" s="403"/>
      <c r="R58" s="404"/>
      <c r="S58" s="405"/>
      <c r="T58" s="401"/>
      <c r="U58" s="403"/>
      <c r="V58" s="404"/>
      <c r="W58" s="405"/>
      <c r="X58" s="401"/>
      <c r="Y58" s="403"/>
      <c r="Z58" s="404"/>
      <c r="AA58" s="405"/>
      <c r="AB58" s="401"/>
      <c r="AC58" s="403"/>
      <c r="AD58" s="404"/>
      <c r="AE58" s="405"/>
      <c r="AF58" s="401"/>
      <c r="AG58" s="403"/>
      <c r="AH58" s="404"/>
      <c r="AI58" s="405"/>
      <c r="AJ58" s="401"/>
      <c r="AK58" s="395"/>
      <c r="AL58" s="317"/>
      <c r="AM58" s="394"/>
      <c r="AN58" s="396"/>
      <c r="AO58" s="200"/>
      <c r="AP58" s="200"/>
    </row>
    <row r="59">
      <c r="A59" s="395"/>
      <c r="B59" s="317"/>
      <c r="C59" s="394"/>
      <c r="D59" s="396"/>
      <c r="E59" s="395"/>
      <c r="F59" s="317"/>
      <c r="G59" s="394"/>
      <c r="H59" s="396"/>
      <c r="I59" s="395"/>
      <c r="J59" s="317"/>
      <c r="K59" s="394"/>
      <c r="L59" s="396"/>
      <c r="M59" s="395"/>
      <c r="N59" s="317"/>
      <c r="O59" s="394"/>
      <c r="P59" s="396"/>
      <c r="Q59" s="403"/>
      <c r="R59" s="404"/>
      <c r="S59" s="405"/>
      <c r="T59" s="401"/>
      <c r="U59" s="403"/>
      <c r="V59" s="404"/>
      <c r="W59" s="405"/>
      <c r="X59" s="401"/>
      <c r="Y59" s="403"/>
      <c r="Z59" s="404"/>
      <c r="AA59" s="405"/>
      <c r="AB59" s="401"/>
      <c r="AC59" s="403"/>
      <c r="AD59" s="404"/>
      <c r="AE59" s="405"/>
      <c r="AF59" s="401"/>
      <c r="AG59" s="403"/>
      <c r="AH59" s="404"/>
      <c r="AI59" s="405"/>
      <c r="AJ59" s="401"/>
      <c r="AK59" s="395"/>
      <c r="AL59" s="317"/>
      <c r="AM59" s="394"/>
      <c r="AN59" s="396"/>
      <c r="AO59" s="200"/>
      <c r="AP59" s="200"/>
    </row>
    <row r="60">
      <c r="A60" s="395"/>
      <c r="B60" s="317"/>
      <c r="C60" s="394"/>
      <c r="D60" s="396"/>
      <c r="E60" s="395"/>
      <c r="F60" s="317"/>
      <c r="G60" s="394"/>
      <c r="H60" s="396"/>
      <c r="I60" s="395"/>
      <c r="J60" s="317"/>
      <c r="K60" s="394"/>
      <c r="L60" s="396"/>
      <c r="M60" s="395"/>
      <c r="N60" s="317"/>
      <c r="O60" s="394"/>
      <c r="P60" s="396"/>
      <c r="Q60" s="403"/>
      <c r="R60" s="404"/>
      <c r="S60" s="405"/>
      <c r="T60" s="401"/>
      <c r="U60" s="403"/>
      <c r="V60" s="404"/>
      <c r="W60" s="405"/>
      <c r="X60" s="401"/>
      <c r="Y60" s="403"/>
      <c r="Z60" s="404"/>
      <c r="AA60" s="405"/>
      <c r="AB60" s="401"/>
      <c r="AC60" s="403"/>
      <c r="AD60" s="404"/>
      <c r="AE60" s="405"/>
      <c r="AF60" s="401"/>
      <c r="AG60" s="403"/>
      <c r="AH60" s="404"/>
      <c r="AI60" s="405"/>
      <c r="AJ60" s="401"/>
      <c r="AK60" s="395"/>
      <c r="AL60" s="317"/>
      <c r="AM60" s="394"/>
      <c r="AN60" s="396"/>
      <c r="AO60" s="200"/>
      <c r="AP60" s="200"/>
    </row>
    <row r="61">
      <c r="A61" s="395"/>
      <c r="B61" s="317"/>
      <c r="C61" s="394"/>
      <c r="D61" s="396"/>
      <c r="E61" s="395"/>
      <c r="F61" s="317"/>
      <c r="G61" s="394"/>
      <c r="H61" s="396"/>
      <c r="I61" s="395"/>
      <c r="J61" s="317"/>
      <c r="K61" s="394"/>
      <c r="L61" s="396"/>
      <c r="M61" s="395"/>
      <c r="N61" s="317"/>
      <c r="O61" s="394"/>
      <c r="P61" s="396"/>
      <c r="Q61" s="403"/>
      <c r="R61" s="404"/>
      <c r="S61" s="405"/>
      <c r="T61" s="401"/>
      <c r="U61" s="403"/>
      <c r="V61" s="404"/>
      <c r="W61" s="405"/>
      <c r="X61" s="401"/>
      <c r="Y61" s="403"/>
      <c r="Z61" s="404"/>
      <c r="AA61" s="405"/>
      <c r="AB61" s="401"/>
      <c r="AC61" s="403"/>
      <c r="AD61" s="404"/>
      <c r="AE61" s="405"/>
      <c r="AF61" s="401"/>
      <c r="AG61" s="403"/>
      <c r="AH61" s="404"/>
      <c r="AI61" s="405"/>
      <c r="AJ61" s="401"/>
      <c r="AK61" s="395"/>
      <c r="AL61" s="317"/>
      <c r="AM61" s="394"/>
      <c r="AN61" s="396"/>
      <c r="AO61" s="200"/>
      <c r="AP61" s="200"/>
    </row>
    <row r="62">
      <c r="A62" s="395"/>
      <c r="B62" s="317"/>
      <c r="C62" s="394"/>
      <c r="D62" s="396"/>
      <c r="E62" s="395"/>
      <c r="F62" s="317"/>
      <c r="G62" s="394"/>
      <c r="H62" s="396"/>
      <c r="I62" s="395"/>
      <c r="J62" s="317"/>
      <c r="K62" s="394"/>
      <c r="L62" s="396"/>
      <c r="M62" s="395"/>
      <c r="N62" s="317"/>
      <c r="O62" s="394"/>
      <c r="P62" s="396"/>
      <c r="Q62" s="403"/>
      <c r="R62" s="404"/>
      <c r="S62" s="405"/>
      <c r="T62" s="401"/>
      <c r="U62" s="403"/>
      <c r="V62" s="404"/>
      <c r="W62" s="405"/>
      <c r="X62" s="401"/>
      <c r="Y62" s="403"/>
      <c r="Z62" s="404"/>
      <c r="AA62" s="405"/>
      <c r="AB62" s="401"/>
      <c r="AC62" s="403"/>
      <c r="AD62" s="404"/>
      <c r="AE62" s="405"/>
      <c r="AF62" s="401"/>
      <c r="AG62" s="403"/>
      <c r="AH62" s="404"/>
      <c r="AI62" s="405"/>
      <c r="AJ62" s="401"/>
      <c r="AK62" s="395"/>
      <c r="AL62" s="317"/>
      <c r="AM62" s="394"/>
      <c r="AN62" s="396"/>
      <c r="AO62" s="200"/>
      <c r="AP62" s="200"/>
    </row>
    <row r="63">
      <c r="A63" s="395"/>
      <c r="B63" s="317"/>
      <c r="C63" s="394"/>
      <c r="D63" s="396"/>
      <c r="E63" s="395"/>
      <c r="F63" s="317"/>
      <c r="G63" s="394"/>
      <c r="H63" s="396"/>
      <c r="I63" s="395"/>
      <c r="J63" s="317"/>
      <c r="K63" s="394"/>
      <c r="L63" s="396"/>
      <c r="M63" s="395"/>
      <c r="N63" s="317"/>
      <c r="O63" s="394"/>
      <c r="P63" s="396"/>
      <c r="Q63" s="403"/>
      <c r="R63" s="404"/>
      <c r="S63" s="405"/>
      <c r="T63" s="401"/>
      <c r="U63" s="403"/>
      <c r="V63" s="404"/>
      <c r="W63" s="405"/>
      <c r="X63" s="401"/>
      <c r="Y63" s="403"/>
      <c r="Z63" s="404"/>
      <c r="AA63" s="405"/>
      <c r="AB63" s="401"/>
      <c r="AC63" s="403"/>
      <c r="AD63" s="404"/>
      <c r="AE63" s="405"/>
      <c r="AF63" s="401"/>
      <c r="AG63" s="403"/>
      <c r="AH63" s="404"/>
      <c r="AI63" s="405"/>
      <c r="AJ63" s="401"/>
      <c r="AK63" s="395"/>
      <c r="AL63" s="317"/>
      <c r="AM63" s="394"/>
      <c r="AN63" s="396"/>
      <c r="AO63" s="200"/>
      <c r="AP63" s="200"/>
    </row>
    <row r="64">
      <c r="A64" s="395"/>
      <c r="B64" s="317"/>
      <c r="C64" s="394"/>
      <c r="D64" s="396"/>
      <c r="E64" s="395"/>
      <c r="F64" s="317"/>
      <c r="G64" s="394"/>
      <c r="H64" s="396"/>
      <c r="I64" s="395"/>
      <c r="J64" s="317"/>
      <c r="K64" s="394"/>
      <c r="L64" s="396"/>
      <c r="M64" s="395"/>
      <c r="N64" s="317"/>
      <c r="O64" s="394"/>
      <c r="P64" s="396"/>
      <c r="Q64" s="403"/>
      <c r="R64" s="404"/>
      <c r="S64" s="405"/>
      <c r="T64" s="401"/>
      <c r="U64" s="403"/>
      <c r="V64" s="404"/>
      <c r="W64" s="405"/>
      <c r="X64" s="401"/>
      <c r="Y64" s="403"/>
      <c r="Z64" s="404"/>
      <c r="AA64" s="405"/>
      <c r="AB64" s="401"/>
      <c r="AC64" s="403"/>
      <c r="AD64" s="404"/>
      <c r="AE64" s="405"/>
      <c r="AF64" s="401"/>
      <c r="AG64" s="403"/>
      <c r="AH64" s="404"/>
      <c r="AI64" s="405"/>
      <c r="AJ64" s="401"/>
      <c r="AK64" s="395"/>
      <c r="AL64" s="317"/>
      <c r="AM64" s="394"/>
      <c r="AN64" s="396"/>
      <c r="AO64" s="200"/>
      <c r="AP64" s="200"/>
    </row>
    <row r="65">
      <c r="A65" s="395"/>
      <c r="B65" s="317"/>
      <c r="C65" s="394"/>
      <c r="D65" s="396"/>
      <c r="E65" s="395"/>
      <c r="F65" s="317"/>
      <c r="G65" s="394"/>
      <c r="H65" s="396"/>
      <c r="I65" s="395"/>
      <c r="J65" s="317"/>
      <c r="K65" s="394"/>
      <c r="L65" s="396"/>
      <c r="M65" s="395"/>
      <c r="N65" s="317"/>
      <c r="O65" s="394"/>
      <c r="P65" s="396"/>
      <c r="Q65" s="403"/>
      <c r="R65" s="404"/>
      <c r="S65" s="405"/>
      <c r="T65" s="401"/>
      <c r="U65" s="403"/>
      <c r="V65" s="404"/>
      <c r="W65" s="405"/>
      <c r="X65" s="401"/>
      <c r="Y65" s="403"/>
      <c r="Z65" s="404"/>
      <c r="AA65" s="405"/>
      <c r="AB65" s="401"/>
      <c r="AC65" s="403"/>
      <c r="AD65" s="404"/>
      <c r="AE65" s="405"/>
      <c r="AF65" s="401"/>
      <c r="AG65" s="403"/>
      <c r="AH65" s="404"/>
      <c r="AI65" s="405"/>
      <c r="AJ65" s="401"/>
      <c r="AK65" s="395"/>
      <c r="AL65" s="317"/>
      <c r="AM65" s="394"/>
      <c r="AN65" s="396"/>
      <c r="AO65" s="200"/>
      <c r="AP65" s="200"/>
    </row>
    <row r="66">
      <c r="A66" s="395"/>
      <c r="B66" s="317"/>
      <c r="C66" s="394"/>
      <c r="D66" s="396"/>
      <c r="E66" s="395"/>
      <c r="F66" s="317"/>
      <c r="G66" s="394"/>
      <c r="H66" s="396"/>
      <c r="I66" s="395"/>
      <c r="J66" s="317"/>
      <c r="K66" s="394"/>
      <c r="L66" s="396"/>
      <c r="M66" s="395"/>
      <c r="N66" s="317"/>
      <c r="O66" s="394"/>
      <c r="P66" s="396"/>
      <c r="Q66" s="403"/>
      <c r="R66" s="404"/>
      <c r="S66" s="405"/>
      <c r="T66" s="401"/>
      <c r="U66" s="403"/>
      <c r="V66" s="404"/>
      <c r="W66" s="405"/>
      <c r="X66" s="401"/>
      <c r="Y66" s="403"/>
      <c r="Z66" s="404"/>
      <c r="AA66" s="405"/>
      <c r="AB66" s="401"/>
      <c r="AC66" s="403"/>
      <c r="AD66" s="404"/>
      <c r="AE66" s="405"/>
      <c r="AF66" s="401"/>
      <c r="AG66" s="403"/>
      <c r="AH66" s="404"/>
      <c r="AI66" s="405"/>
      <c r="AJ66" s="401"/>
      <c r="AK66" s="395"/>
      <c r="AL66" s="317"/>
      <c r="AM66" s="394"/>
      <c r="AN66" s="396"/>
      <c r="AO66" s="200"/>
      <c r="AP66" s="200"/>
    </row>
    <row r="67">
      <c r="A67" s="395"/>
      <c r="B67" s="317"/>
      <c r="C67" s="394"/>
      <c r="D67" s="396"/>
      <c r="E67" s="395"/>
      <c r="F67" s="317"/>
      <c r="G67" s="394"/>
      <c r="H67" s="396"/>
      <c r="I67" s="395"/>
      <c r="J67" s="317"/>
      <c r="K67" s="394"/>
      <c r="L67" s="396"/>
      <c r="M67" s="395"/>
      <c r="N67" s="317"/>
      <c r="O67" s="394"/>
      <c r="P67" s="396"/>
      <c r="Q67" s="403"/>
      <c r="R67" s="404"/>
      <c r="S67" s="405"/>
      <c r="T67" s="401"/>
      <c r="U67" s="403"/>
      <c r="V67" s="404"/>
      <c r="W67" s="405"/>
      <c r="X67" s="401"/>
      <c r="Y67" s="403"/>
      <c r="Z67" s="404"/>
      <c r="AA67" s="405"/>
      <c r="AB67" s="401"/>
      <c r="AC67" s="403"/>
      <c r="AD67" s="404"/>
      <c r="AE67" s="405"/>
      <c r="AF67" s="401"/>
      <c r="AG67" s="403"/>
      <c r="AH67" s="404"/>
      <c r="AI67" s="405"/>
      <c r="AJ67" s="401"/>
      <c r="AK67" s="395"/>
      <c r="AL67" s="317"/>
      <c r="AM67" s="394"/>
      <c r="AN67" s="396"/>
      <c r="AO67" s="200"/>
      <c r="AP67" s="200"/>
    </row>
    <row r="68">
      <c r="A68" s="395"/>
      <c r="B68" s="317"/>
      <c r="C68" s="394"/>
      <c r="D68" s="396"/>
      <c r="E68" s="395"/>
      <c r="F68" s="317"/>
      <c r="G68" s="394"/>
      <c r="H68" s="396"/>
      <c r="I68" s="395"/>
      <c r="J68" s="317"/>
      <c r="K68" s="394"/>
      <c r="L68" s="396"/>
      <c r="M68" s="395"/>
      <c r="N68" s="317"/>
      <c r="O68" s="394"/>
      <c r="P68" s="396"/>
      <c r="Q68" s="403"/>
      <c r="R68" s="404"/>
      <c r="S68" s="405"/>
      <c r="T68" s="401"/>
      <c r="U68" s="403"/>
      <c r="V68" s="404"/>
      <c r="W68" s="405"/>
      <c r="X68" s="401"/>
      <c r="Y68" s="403"/>
      <c r="Z68" s="404"/>
      <c r="AA68" s="405"/>
      <c r="AB68" s="401"/>
      <c r="AC68" s="403"/>
      <c r="AD68" s="404"/>
      <c r="AE68" s="405"/>
      <c r="AF68" s="401"/>
      <c r="AG68" s="403"/>
      <c r="AH68" s="404"/>
      <c r="AI68" s="405"/>
      <c r="AJ68" s="401"/>
      <c r="AK68" s="395"/>
      <c r="AL68" s="317"/>
      <c r="AM68" s="394"/>
      <c r="AN68" s="396"/>
      <c r="AO68" s="200"/>
      <c r="AP68" s="200"/>
    </row>
    <row r="69">
      <c r="A69" s="395"/>
      <c r="B69" s="317"/>
      <c r="C69" s="394"/>
      <c r="D69" s="396"/>
      <c r="E69" s="395"/>
      <c r="F69" s="317"/>
      <c r="G69" s="394"/>
      <c r="H69" s="396"/>
      <c r="I69" s="395"/>
      <c r="J69" s="317"/>
      <c r="K69" s="394"/>
      <c r="L69" s="396"/>
      <c r="M69" s="395"/>
      <c r="N69" s="317"/>
      <c r="O69" s="394"/>
      <c r="P69" s="396"/>
      <c r="Q69" s="403"/>
      <c r="R69" s="404"/>
      <c r="S69" s="405"/>
      <c r="T69" s="401"/>
      <c r="U69" s="403"/>
      <c r="V69" s="404"/>
      <c r="W69" s="405"/>
      <c r="X69" s="401"/>
      <c r="Y69" s="403"/>
      <c r="Z69" s="404"/>
      <c r="AA69" s="405"/>
      <c r="AB69" s="401"/>
      <c r="AC69" s="403"/>
      <c r="AD69" s="404"/>
      <c r="AE69" s="405"/>
      <c r="AF69" s="401"/>
      <c r="AG69" s="403"/>
      <c r="AH69" s="404"/>
      <c r="AI69" s="405"/>
      <c r="AJ69" s="401"/>
      <c r="AK69" s="395"/>
      <c r="AL69" s="317"/>
      <c r="AM69" s="394"/>
      <c r="AN69" s="396"/>
      <c r="AO69" s="200"/>
      <c r="AP69" s="200"/>
    </row>
    <row r="70">
      <c r="A70" s="395"/>
      <c r="B70" s="317"/>
      <c r="C70" s="394"/>
      <c r="D70" s="396"/>
      <c r="E70" s="395"/>
      <c r="F70" s="317"/>
      <c r="G70" s="394"/>
      <c r="H70" s="396"/>
      <c r="I70" s="395"/>
      <c r="J70" s="317"/>
      <c r="K70" s="394"/>
      <c r="L70" s="396"/>
      <c r="M70" s="395"/>
      <c r="N70" s="317"/>
      <c r="O70" s="394"/>
      <c r="P70" s="396"/>
      <c r="Q70" s="403"/>
      <c r="R70" s="404"/>
      <c r="S70" s="405"/>
      <c r="T70" s="401"/>
      <c r="U70" s="403"/>
      <c r="V70" s="404"/>
      <c r="W70" s="405"/>
      <c r="X70" s="401"/>
      <c r="Y70" s="403"/>
      <c r="Z70" s="404"/>
      <c r="AA70" s="405"/>
      <c r="AB70" s="401"/>
      <c r="AC70" s="403"/>
      <c r="AD70" s="404"/>
      <c r="AE70" s="405"/>
      <c r="AF70" s="401"/>
      <c r="AG70" s="403"/>
      <c r="AH70" s="404"/>
      <c r="AI70" s="405"/>
      <c r="AJ70" s="401"/>
      <c r="AK70" s="395"/>
      <c r="AL70" s="317"/>
      <c r="AM70" s="394"/>
      <c r="AN70" s="396"/>
      <c r="AO70" s="200"/>
      <c r="AP70" s="200"/>
    </row>
    <row r="71">
      <c r="A71" s="395"/>
      <c r="B71" s="317"/>
      <c r="C71" s="394"/>
      <c r="D71" s="396"/>
      <c r="E71" s="395"/>
      <c r="F71" s="317"/>
      <c r="G71" s="394"/>
      <c r="H71" s="396"/>
      <c r="I71" s="395"/>
      <c r="J71" s="317"/>
      <c r="K71" s="394"/>
      <c r="L71" s="396"/>
      <c r="M71" s="395"/>
      <c r="N71" s="317"/>
      <c r="O71" s="394"/>
      <c r="P71" s="396"/>
      <c r="Q71" s="403"/>
      <c r="R71" s="404"/>
      <c r="S71" s="405"/>
      <c r="T71" s="401"/>
      <c r="U71" s="403"/>
      <c r="V71" s="404"/>
      <c r="W71" s="405"/>
      <c r="X71" s="401"/>
      <c r="Y71" s="403"/>
      <c r="Z71" s="404"/>
      <c r="AA71" s="405"/>
      <c r="AB71" s="401"/>
      <c r="AC71" s="403"/>
      <c r="AD71" s="404"/>
      <c r="AE71" s="405"/>
      <c r="AF71" s="401"/>
      <c r="AG71" s="403"/>
      <c r="AH71" s="404"/>
      <c r="AI71" s="405"/>
      <c r="AJ71" s="401"/>
      <c r="AK71" s="395"/>
      <c r="AL71" s="317"/>
      <c r="AM71" s="394"/>
      <c r="AN71" s="396"/>
      <c r="AO71" s="200"/>
      <c r="AP71" s="200"/>
    </row>
    <row r="72">
      <c r="A72" s="395"/>
      <c r="B72" s="317"/>
      <c r="C72" s="394"/>
      <c r="D72" s="396"/>
      <c r="E72" s="395"/>
      <c r="F72" s="317"/>
      <c r="G72" s="394"/>
      <c r="H72" s="396"/>
      <c r="I72" s="395"/>
      <c r="J72" s="317"/>
      <c r="K72" s="394"/>
      <c r="L72" s="396"/>
      <c r="M72" s="395"/>
      <c r="N72" s="317"/>
      <c r="O72" s="394"/>
      <c r="P72" s="396"/>
      <c r="Q72" s="403"/>
      <c r="R72" s="404"/>
      <c r="S72" s="405"/>
      <c r="T72" s="401"/>
      <c r="U72" s="403"/>
      <c r="V72" s="404"/>
      <c r="W72" s="405"/>
      <c r="X72" s="401"/>
      <c r="Y72" s="403"/>
      <c r="Z72" s="404"/>
      <c r="AA72" s="405"/>
      <c r="AB72" s="401"/>
      <c r="AC72" s="403"/>
      <c r="AD72" s="404"/>
      <c r="AE72" s="405"/>
      <c r="AF72" s="401"/>
      <c r="AG72" s="403"/>
      <c r="AH72" s="404"/>
      <c r="AI72" s="405"/>
      <c r="AJ72" s="401"/>
      <c r="AK72" s="395"/>
      <c r="AL72" s="317"/>
      <c r="AM72" s="394"/>
      <c r="AN72" s="396"/>
      <c r="AO72" s="200"/>
      <c r="AP72" s="200"/>
    </row>
    <row r="73">
      <c r="A73" s="395"/>
      <c r="B73" s="317"/>
      <c r="C73" s="394"/>
      <c r="D73" s="396"/>
      <c r="E73" s="395"/>
      <c r="F73" s="317"/>
      <c r="G73" s="394"/>
      <c r="H73" s="396"/>
      <c r="I73" s="395"/>
      <c r="J73" s="317"/>
      <c r="K73" s="394"/>
      <c r="L73" s="396"/>
      <c r="M73" s="395"/>
      <c r="N73" s="317"/>
      <c r="O73" s="394"/>
      <c r="P73" s="396"/>
      <c r="Q73" s="403"/>
      <c r="R73" s="404"/>
      <c r="S73" s="405"/>
      <c r="T73" s="401"/>
      <c r="U73" s="403"/>
      <c r="V73" s="404"/>
      <c r="W73" s="405"/>
      <c r="X73" s="401"/>
      <c r="Y73" s="403"/>
      <c r="Z73" s="404"/>
      <c r="AA73" s="405"/>
      <c r="AB73" s="401"/>
      <c r="AC73" s="403"/>
      <c r="AD73" s="404"/>
      <c r="AE73" s="405"/>
      <c r="AF73" s="401"/>
      <c r="AG73" s="403"/>
      <c r="AH73" s="404"/>
      <c r="AI73" s="405"/>
      <c r="AJ73" s="401"/>
      <c r="AK73" s="395"/>
      <c r="AL73" s="317"/>
      <c r="AM73" s="394"/>
      <c r="AN73" s="396"/>
      <c r="AO73" s="200"/>
      <c r="AP73" s="200"/>
    </row>
    <row r="74">
      <c r="A74" s="395"/>
      <c r="B74" s="317"/>
      <c r="C74" s="394"/>
      <c r="D74" s="396"/>
      <c r="E74" s="395"/>
      <c r="F74" s="317"/>
      <c r="G74" s="394"/>
      <c r="H74" s="396"/>
      <c r="I74" s="395"/>
      <c r="J74" s="317"/>
      <c r="K74" s="394"/>
      <c r="L74" s="396"/>
      <c r="M74" s="395"/>
      <c r="N74" s="317"/>
      <c r="O74" s="394"/>
      <c r="P74" s="396"/>
      <c r="Q74" s="403"/>
      <c r="R74" s="404"/>
      <c r="S74" s="405"/>
      <c r="T74" s="401"/>
      <c r="U74" s="403"/>
      <c r="V74" s="404"/>
      <c r="W74" s="405"/>
      <c r="X74" s="401"/>
      <c r="Y74" s="403"/>
      <c r="Z74" s="404"/>
      <c r="AA74" s="405"/>
      <c r="AB74" s="401"/>
      <c r="AC74" s="403"/>
      <c r="AD74" s="404"/>
      <c r="AE74" s="405"/>
      <c r="AF74" s="401"/>
      <c r="AG74" s="403"/>
      <c r="AH74" s="404"/>
      <c r="AI74" s="405"/>
      <c r="AJ74" s="401"/>
      <c r="AK74" s="395"/>
      <c r="AL74" s="317"/>
      <c r="AM74" s="394"/>
      <c r="AN74" s="396"/>
      <c r="AO74" s="200"/>
      <c r="AP74" s="200"/>
    </row>
    <row r="75">
      <c r="A75" s="395"/>
      <c r="B75" s="317"/>
      <c r="C75" s="394"/>
      <c r="D75" s="396"/>
      <c r="E75" s="395"/>
      <c r="F75" s="317"/>
      <c r="G75" s="394"/>
      <c r="H75" s="396"/>
      <c r="I75" s="395"/>
      <c r="J75" s="317"/>
      <c r="K75" s="394"/>
      <c r="L75" s="396"/>
      <c r="M75" s="395"/>
      <c r="N75" s="317"/>
      <c r="O75" s="394"/>
      <c r="P75" s="396"/>
      <c r="Q75" s="403"/>
      <c r="R75" s="404"/>
      <c r="S75" s="405"/>
      <c r="T75" s="401"/>
      <c r="U75" s="403"/>
      <c r="V75" s="404"/>
      <c r="W75" s="405"/>
      <c r="X75" s="401"/>
      <c r="Y75" s="403"/>
      <c r="Z75" s="404"/>
      <c r="AA75" s="405"/>
      <c r="AB75" s="401"/>
      <c r="AC75" s="403"/>
      <c r="AD75" s="404"/>
      <c r="AE75" s="405"/>
      <c r="AF75" s="401"/>
      <c r="AG75" s="403"/>
      <c r="AH75" s="404"/>
      <c r="AI75" s="405"/>
      <c r="AJ75" s="401"/>
      <c r="AK75" s="395"/>
      <c r="AL75" s="317"/>
      <c r="AM75" s="394"/>
      <c r="AN75" s="396"/>
      <c r="AO75" s="200"/>
      <c r="AP75" s="200"/>
    </row>
    <row r="76">
      <c r="A76" s="395"/>
      <c r="B76" s="317"/>
      <c r="C76" s="394"/>
      <c r="D76" s="396"/>
      <c r="E76" s="395"/>
      <c r="F76" s="317"/>
      <c r="G76" s="394"/>
      <c r="H76" s="396"/>
      <c r="I76" s="395"/>
      <c r="J76" s="317"/>
      <c r="K76" s="394"/>
      <c r="L76" s="396"/>
      <c r="M76" s="395"/>
      <c r="N76" s="317"/>
      <c r="O76" s="394"/>
      <c r="P76" s="396"/>
      <c r="Q76" s="403"/>
      <c r="R76" s="404"/>
      <c r="S76" s="405"/>
      <c r="T76" s="401"/>
      <c r="U76" s="403"/>
      <c r="V76" s="404"/>
      <c r="W76" s="405"/>
      <c r="X76" s="401"/>
      <c r="Y76" s="403"/>
      <c r="Z76" s="404"/>
      <c r="AA76" s="405"/>
      <c r="AB76" s="401"/>
      <c r="AC76" s="403"/>
      <c r="AD76" s="404"/>
      <c r="AE76" s="405"/>
      <c r="AF76" s="401"/>
      <c r="AG76" s="403"/>
      <c r="AH76" s="404"/>
      <c r="AI76" s="405"/>
      <c r="AJ76" s="401"/>
      <c r="AK76" s="395"/>
      <c r="AL76" s="317"/>
      <c r="AM76" s="394"/>
      <c r="AN76" s="396"/>
      <c r="AO76" s="200"/>
      <c r="AP76" s="200"/>
    </row>
    <row r="77">
      <c r="A77" s="395"/>
      <c r="B77" s="317"/>
      <c r="C77" s="394"/>
      <c r="D77" s="396"/>
      <c r="E77" s="395"/>
      <c r="F77" s="317"/>
      <c r="G77" s="394"/>
      <c r="H77" s="396"/>
      <c r="I77" s="395"/>
      <c r="J77" s="317"/>
      <c r="K77" s="394"/>
      <c r="L77" s="396"/>
      <c r="M77" s="395"/>
      <c r="N77" s="317"/>
      <c r="O77" s="394"/>
      <c r="P77" s="396"/>
      <c r="Q77" s="403"/>
      <c r="R77" s="404"/>
      <c r="S77" s="405"/>
      <c r="T77" s="401"/>
      <c r="U77" s="403"/>
      <c r="V77" s="404"/>
      <c r="W77" s="405"/>
      <c r="X77" s="401"/>
      <c r="Y77" s="403"/>
      <c r="Z77" s="404"/>
      <c r="AA77" s="405"/>
      <c r="AB77" s="401"/>
      <c r="AC77" s="403"/>
      <c r="AD77" s="404"/>
      <c r="AE77" s="405"/>
      <c r="AF77" s="401"/>
      <c r="AG77" s="403"/>
      <c r="AH77" s="404"/>
      <c r="AI77" s="405"/>
      <c r="AJ77" s="401"/>
      <c r="AK77" s="395"/>
      <c r="AL77" s="317"/>
      <c r="AM77" s="394"/>
      <c r="AN77" s="396"/>
      <c r="AO77" s="200"/>
      <c r="AP77" s="200"/>
    </row>
    <row r="78">
      <c r="A78" s="395"/>
      <c r="B78" s="317"/>
      <c r="C78" s="394"/>
      <c r="D78" s="396"/>
      <c r="E78" s="395"/>
      <c r="F78" s="317"/>
      <c r="G78" s="394"/>
      <c r="H78" s="396"/>
      <c r="I78" s="395"/>
      <c r="J78" s="317"/>
      <c r="K78" s="394"/>
      <c r="L78" s="396"/>
      <c r="M78" s="395"/>
      <c r="N78" s="317"/>
      <c r="O78" s="394"/>
      <c r="P78" s="396"/>
      <c r="Q78" s="403"/>
      <c r="R78" s="404"/>
      <c r="S78" s="405"/>
      <c r="T78" s="401"/>
      <c r="U78" s="403"/>
      <c r="V78" s="404"/>
      <c r="W78" s="405"/>
      <c r="X78" s="401"/>
      <c r="Y78" s="403"/>
      <c r="Z78" s="404"/>
      <c r="AA78" s="405"/>
      <c r="AB78" s="401"/>
      <c r="AC78" s="403"/>
      <c r="AD78" s="404"/>
      <c r="AE78" s="405"/>
      <c r="AF78" s="401"/>
      <c r="AG78" s="403"/>
      <c r="AH78" s="404"/>
      <c r="AI78" s="405"/>
      <c r="AJ78" s="401"/>
      <c r="AK78" s="395"/>
      <c r="AL78" s="317"/>
      <c r="AM78" s="394"/>
      <c r="AN78" s="396"/>
      <c r="AO78" s="200"/>
      <c r="AP78" s="200"/>
    </row>
    <row r="79">
      <c r="A79" s="395"/>
      <c r="B79" s="317"/>
      <c r="C79" s="394"/>
      <c r="D79" s="396"/>
      <c r="E79" s="395"/>
      <c r="F79" s="317"/>
      <c r="G79" s="394"/>
      <c r="H79" s="396"/>
      <c r="I79" s="395"/>
      <c r="J79" s="317"/>
      <c r="K79" s="394"/>
      <c r="L79" s="396"/>
      <c r="M79" s="395"/>
      <c r="N79" s="317"/>
      <c r="O79" s="394"/>
      <c r="P79" s="396"/>
      <c r="Q79" s="403"/>
      <c r="R79" s="404"/>
      <c r="S79" s="405"/>
      <c r="T79" s="401"/>
      <c r="U79" s="403"/>
      <c r="V79" s="404"/>
      <c r="W79" s="405"/>
      <c r="X79" s="401"/>
      <c r="Y79" s="403"/>
      <c r="Z79" s="404"/>
      <c r="AA79" s="405"/>
      <c r="AB79" s="401"/>
      <c r="AC79" s="403"/>
      <c r="AD79" s="404"/>
      <c r="AE79" s="405"/>
      <c r="AF79" s="401"/>
      <c r="AG79" s="403"/>
      <c r="AH79" s="404"/>
      <c r="AI79" s="405"/>
      <c r="AJ79" s="401"/>
      <c r="AK79" s="395"/>
      <c r="AL79" s="317"/>
      <c r="AM79" s="394"/>
      <c r="AN79" s="396"/>
      <c r="AO79" s="200"/>
      <c r="AP79" s="200"/>
    </row>
    <row r="80">
      <c r="A80" s="395"/>
      <c r="B80" s="317"/>
      <c r="C80" s="394"/>
      <c r="D80" s="396"/>
      <c r="E80" s="395"/>
      <c r="F80" s="317"/>
      <c r="G80" s="394"/>
      <c r="H80" s="396"/>
      <c r="I80" s="395"/>
      <c r="J80" s="317"/>
      <c r="K80" s="394"/>
      <c r="L80" s="396"/>
      <c r="M80" s="395"/>
      <c r="N80" s="317"/>
      <c r="O80" s="394"/>
      <c r="P80" s="396"/>
      <c r="Q80" s="403"/>
      <c r="R80" s="404"/>
      <c r="S80" s="405"/>
      <c r="T80" s="401"/>
      <c r="U80" s="403"/>
      <c r="V80" s="404"/>
      <c r="W80" s="405"/>
      <c r="X80" s="401"/>
      <c r="Y80" s="403"/>
      <c r="Z80" s="404"/>
      <c r="AA80" s="405"/>
      <c r="AB80" s="401"/>
      <c r="AC80" s="403"/>
      <c r="AD80" s="404"/>
      <c r="AE80" s="405"/>
      <c r="AF80" s="401"/>
      <c r="AG80" s="403"/>
      <c r="AH80" s="404"/>
      <c r="AI80" s="405"/>
      <c r="AJ80" s="401"/>
      <c r="AK80" s="395"/>
      <c r="AL80" s="317"/>
      <c r="AM80" s="394"/>
      <c r="AN80" s="396"/>
      <c r="AO80" s="200"/>
      <c r="AP80" s="200"/>
    </row>
    <row r="81">
      <c r="A81" s="395"/>
      <c r="B81" s="317"/>
      <c r="C81" s="394"/>
      <c r="D81" s="396"/>
      <c r="E81" s="395"/>
      <c r="F81" s="317"/>
      <c r="G81" s="394"/>
      <c r="H81" s="396"/>
      <c r="I81" s="395"/>
      <c r="J81" s="317"/>
      <c r="K81" s="394"/>
      <c r="L81" s="396"/>
      <c r="M81" s="395"/>
      <c r="N81" s="317"/>
      <c r="O81" s="394"/>
      <c r="P81" s="396"/>
      <c r="Q81" s="403"/>
      <c r="R81" s="404"/>
      <c r="S81" s="405"/>
      <c r="T81" s="401"/>
      <c r="U81" s="403"/>
      <c r="V81" s="404"/>
      <c r="W81" s="405"/>
      <c r="X81" s="401"/>
      <c r="Y81" s="403"/>
      <c r="Z81" s="404"/>
      <c r="AA81" s="405"/>
      <c r="AB81" s="401"/>
      <c r="AC81" s="403"/>
      <c r="AD81" s="404"/>
      <c r="AE81" s="405"/>
      <c r="AF81" s="401"/>
      <c r="AG81" s="403"/>
      <c r="AH81" s="404"/>
      <c r="AI81" s="405"/>
      <c r="AJ81" s="401"/>
      <c r="AK81" s="395"/>
      <c r="AL81" s="317"/>
      <c r="AM81" s="394"/>
      <c r="AN81" s="396"/>
      <c r="AO81" s="200"/>
      <c r="AP81" s="200"/>
    </row>
    <row r="82">
      <c r="A82" s="395"/>
      <c r="B82" s="317"/>
      <c r="C82" s="394"/>
      <c r="D82" s="396"/>
      <c r="E82" s="395"/>
      <c r="F82" s="317"/>
      <c r="G82" s="394"/>
      <c r="H82" s="396"/>
      <c r="I82" s="395"/>
      <c r="J82" s="317"/>
      <c r="K82" s="394"/>
      <c r="L82" s="396"/>
      <c r="M82" s="395"/>
      <c r="N82" s="317"/>
      <c r="O82" s="394"/>
      <c r="P82" s="396"/>
      <c r="Q82" s="403"/>
      <c r="R82" s="404"/>
      <c r="S82" s="405"/>
      <c r="T82" s="401"/>
      <c r="U82" s="403"/>
      <c r="V82" s="404"/>
      <c r="W82" s="405"/>
      <c r="X82" s="401"/>
      <c r="Y82" s="403"/>
      <c r="Z82" s="404"/>
      <c r="AA82" s="405"/>
      <c r="AB82" s="401"/>
      <c r="AC82" s="403"/>
      <c r="AD82" s="404"/>
      <c r="AE82" s="405"/>
      <c r="AF82" s="401"/>
      <c r="AG82" s="403"/>
      <c r="AH82" s="404"/>
      <c r="AI82" s="405"/>
      <c r="AJ82" s="401"/>
      <c r="AK82" s="395"/>
      <c r="AL82" s="317"/>
      <c r="AM82" s="394"/>
      <c r="AN82" s="396"/>
      <c r="AO82" s="200"/>
      <c r="AP82" s="200"/>
    </row>
    <row r="83">
      <c r="A83" s="395"/>
      <c r="B83" s="317"/>
      <c r="C83" s="394"/>
      <c r="D83" s="396"/>
      <c r="E83" s="395"/>
      <c r="F83" s="317"/>
      <c r="G83" s="394"/>
      <c r="H83" s="396"/>
      <c r="I83" s="395"/>
      <c r="J83" s="317"/>
      <c r="K83" s="394"/>
      <c r="L83" s="396"/>
      <c r="M83" s="395"/>
      <c r="N83" s="317"/>
      <c r="O83" s="394"/>
      <c r="P83" s="396"/>
      <c r="Q83" s="403"/>
      <c r="R83" s="404"/>
      <c r="S83" s="405"/>
      <c r="T83" s="401"/>
      <c r="U83" s="403"/>
      <c r="V83" s="404"/>
      <c r="W83" s="405"/>
      <c r="X83" s="401"/>
      <c r="Y83" s="403"/>
      <c r="Z83" s="404"/>
      <c r="AA83" s="405"/>
      <c r="AB83" s="401"/>
      <c r="AC83" s="403"/>
      <c r="AD83" s="404"/>
      <c r="AE83" s="405"/>
      <c r="AF83" s="401"/>
      <c r="AG83" s="403"/>
      <c r="AH83" s="404"/>
      <c r="AI83" s="405"/>
      <c r="AJ83" s="401"/>
      <c r="AK83" s="395"/>
      <c r="AL83" s="317"/>
      <c r="AM83" s="394"/>
      <c r="AN83" s="396"/>
      <c r="AO83" s="200"/>
      <c r="AP83" s="200"/>
    </row>
    <row r="84">
      <c r="A84" s="395"/>
      <c r="B84" s="317"/>
      <c r="C84" s="394"/>
      <c r="D84" s="396"/>
      <c r="E84" s="395"/>
      <c r="F84" s="317"/>
      <c r="G84" s="394"/>
      <c r="H84" s="396"/>
      <c r="I84" s="395"/>
      <c r="J84" s="317"/>
      <c r="K84" s="394"/>
      <c r="L84" s="396"/>
      <c r="M84" s="395"/>
      <c r="N84" s="317"/>
      <c r="O84" s="394"/>
      <c r="P84" s="396"/>
      <c r="Q84" s="403"/>
      <c r="R84" s="404"/>
      <c r="S84" s="405"/>
      <c r="T84" s="401"/>
      <c r="U84" s="403"/>
      <c r="V84" s="404"/>
      <c r="W84" s="405"/>
      <c r="X84" s="401"/>
      <c r="Y84" s="403"/>
      <c r="Z84" s="404"/>
      <c r="AA84" s="405"/>
      <c r="AB84" s="401"/>
      <c r="AC84" s="403"/>
      <c r="AD84" s="404"/>
      <c r="AE84" s="405"/>
      <c r="AF84" s="401"/>
      <c r="AG84" s="403"/>
      <c r="AH84" s="404"/>
      <c r="AI84" s="405"/>
      <c r="AJ84" s="401"/>
      <c r="AK84" s="395"/>
      <c r="AL84" s="317"/>
      <c r="AM84" s="394"/>
      <c r="AN84" s="396"/>
      <c r="AO84" s="200"/>
      <c r="AP84" s="200"/>
    </row>
    <row r="85">
      <c r="A85" s="395"/>
      <c r="B85" s="317"/>
      <c r="C85" s="394"/>
      <c r="D85" s="396"/>
      <c r="E85" s="395"/>
      <c r="F85" s="317"/>
      <c r="G85" s="394"/>
      <c r="H85" s="396"/>
      <c r="I85" s="395"/>
      <c r="J85" s="317"/>
      <c r="K85" s="394"/>
      <c r="L85" s="396"/>
      <c r="M85" s="395"/>
      <c r="N85" s="317"/>
      <c r="O85" s="394"/>
      <c r="P85" s="396"/>
      <c r="Q85" s="403"/>
      <c r="R85" s="404"/>
      <c r="S85" s="405"/>
      <c r="T85" s="401"/>
      <c r="U85" s="403"/>
      <c r="V85" s="404"/>
      <c r="W85" s="405"/>
      <c r="X85" s="401"/>
      <c r="Y85" s="403"/>
      <c r="Z85" s="404"/>
      <c r="AA85" s="405"/>
      <c r="AB85" s="401"/>
      <c r="AC85" s="403"/>
      <c r="AD85" s="404"/>
      <c r="AE85" s="405"/>
      <c r="AF85" s="401"/>
      <c r="AG85" s="403"/>
      <c r="AH85" s="404"/>
      <c r="AI85" s="405"/>
      <c r="AJ85" s="401"/>
      <c r="AK85" s="395"/>
      <c r="AL85" s="317"/>
      <c r="AM85" s="394"/>
      <c r="AN85" s="396"/>
      <c r="AO85" s="200"/>
      <c r="AP85" s="200"/>
    </row>
    <row r="86">
      <c r="A86" s="395"/>
      <c r="B86" s="317"/>
      <c r="C86" s="394"/>
      <c r="D86" s="396"/>
      <c r="E86" s="395"/>
      <c r="F86" s="317"/>
      <c r="G86" s="394"/>
      <c r="H86" s="396"/>
      <c r="I86" s="395"/>
      <c r="J86" s="317"/>
      <c r="K86" s="394"/>
      <c r="L86" s="396"/>
      <c r="M86" s="395"/>
      <c r="N86" s="317"/>
      <c r="O86" s="394"/>
      <c r="P86" s="396"/>
      <c r="Q86" s="403"/>
      <c r="R86" s="404"/>
      <c r="S86" s="405"/>
      <c r="T86" s="401"/>
      <c r="U86" s="403"/>
      <c r="V86" s="404"/>
      <c r="W86" s="405"/>
      <c r="X86" s="401"/>
      <c r="Y86" s="403"/>
      <c r="Z86" s="404"/>
      <c r="AA86" s="405"/>
      <c r="AB86" s="401"/>
      <c r="AC86" s="403"/>
      <c r="AD86" s="404"/>
      <c r="AE86" s="405"/>
      <c r="AF86" s="401"/>
      <c r="AG86" s="403"/>
      <c r="AH86" s="404"/>
      <c r="AI86" s="405"/>
      <c r="AJ86" s="401"/>
      <c r="AK86" s="395"/>
      <c r="AL86" s="317"/>
      <c r="AM86" s="394"/>
      <c r="AN86" s="396"/>
      <c r="AO86" s="200"/>
      <c r="AP86" s="200"/>
    </row>
    <row r="87">
      <c r="A87" s="395"/>
      <c r="B87" s="317"/>
      <c r="C87" s="394"/>
      <c r="D87" s="396"/>
      <c r="E87" s="395"/>
      <c r="F87" s="317"/>
      <c r="G87" s="394"/>
      <c r="H87" s="396"/>
      <c r="I87" s="395"/>
      <c r="J87" s="317"/>
      <c r="K87" s="394"/>
      <c r="L87" s="396"/>
      <c r="M87" s="395"/>
      <c r="N87" s="317"/>
      <c r="O87" s="394"/>
      <c r="P87" s="396"/>
      <c r="Q87" s="403"/>
      <c r="R87" s="404"/>
      <c r="S87" s="405"/>
      <c r="T87" s="401"/>
      <c r="U87" s="403"/>
      <c r="V87" s="404"/>
      <c r="W87" s="405"/>
      <c r="X87" s="401"/>
      <c r="Y87" s="403"/>
      <c r="Z87" s="404"/>
      <c r="AA87" s="405"/>
      <c r="AB87" s="401"/>
      <c r="AC87" s="403"/>
      <c r="AD87" s="404"/>
      <c r="AE87" s="405"/>
      <c r="AF87" s="401"/>
      <c r="AG87" s="403"/>
      <c r="AH87" s="404"/>
      <c r="AI87" s="405"/>
      <c r="AJ87" s="401"/>
      <c r="AK87" s="395"/>
      <c r="AL87" s="317"/>
      <c r="AM87" s="394"/>
      <c r="AN87" s="396"/>
      <c r="AO87" s="200"/>
      <c r="AP87" s="200"/>
    </row>
    <row r="88">
      <c r="A88" s="395"/>
      <c r="B88" s="317"/>
      <c r="C88" s="394"/>
      <c r="D88" s="396"/>
      <c r="E88" s="395"/>
      <c r="F88" s="317"/>
      <c r="G88" s="394"/>
      <c r="H88" s="396"/>
      <c r="I88" s="395"/>
      <c r="J88" s="317"/>
      <c r="K88" s="394"/>
      <c r="L88" s="396"/>
      <c r="M88" s="395"/>
      <c r="N88" s="317"/>
      <c r="O88" s="394"/>
      <c r="P88" s="396"/>
      <c r="Q88" s="403"/>
      <c r="R88" s="404"/>
      <c r="S88" s="405"/>
      <c r="T88" s="401"/>
      <c r="U88" s="403"/>
      <c r="V88" s="404"/>
      <c r="W88" s="405"/>
      <c r="X88" s="401"/>
      <c r="Y88" s="403"/>
      <c r="Z88" s="404"/>
      <c r="AA88" s="405"/>
      <c r="AB88" s="401"/>
      <c r="AC88" s="403"/>
      <c r="AD88" s="404"/>
      <c r="AE88" s="405"/>
      <c r="AF88" s="401"/>
      <c r="AG88" s="403"/>
      <c r="AH88" s="404"/>
      <c r="AI88" s="405"/>
      <c r="AJ88" s="401"/>
      <c r="AK88" s="395"/>
      <c r="AL88" s="317"/>
      <c r="AM88" s="394"/>
      <c r="AN88" s="396"/>
      <c r="AO88" s="200"/>
      <c r="AP88" s="200"/>
    </row>
    <row r="89">
      <c r="A89" s="395"/>
      <c r="B89" s="317"/>
      <c r="C89" s="394"/>
      <c r="D89" s="396"/>
      <c r="E89" s="395"/>
      <c r="F89" s="317"/>
      <c r="G89" s="394"/>
      <c r="H89" s="396"/>
      <c r="I89" s="395"/>
      <c r="J89" s="317"/>
      <c r="K89" s="394"/>
      <c r="L89" s="396"/>
      <c r="M89" s="395"/>
      <c r="N89" s="317"/>
      <c r="O89" s="394"/>
      <c r="P89" s="396"/>
      <c r="Q89" s="403"/>
      <c r="R89" s="404"/>
      <c r="S89" s="405"/>
      <c r="T89" s="401"/>
      <c r="U89" s="403"/>
      <c r="V89" s="404"/>
      <c r="W89" s="405"/>
      <c r="X89" s="401"/>
      <c r="Y89" s="403"/>
      <c r="Z89" s="404"/>
      <c r="AA89" s="405"/>
      <c r="AB89" s="401"/>
      <c r="AC89" s="403"/>
      <c r="AD89" s="404"/>
      <c r="AE89" s="405"/>
      <c r="AF89" s="401"/>
      <c r="AG89" s="403"/>
      <c r="AH89" s="404"/>
      <c r="AI89" s="405"/>
      <c r="AJ89" s="401"/>
      <c r="AK89" s="395"/>
      <c r="AL89" s="317"/>
      <c r="AM89" s="394"/>
      <c r="AN89" s="396"/>
      <c r="AO89" s="200"/>
      <c r="AP89" s="200"/>
    </row>
    <row r="90">
      <c r="A90" s="395"/>
      <c r="B90" s="317"/>
      <c r="C90" s="394"/>
      <c r="D90" s="396"/>
      <c r="E90" s="395"/>
      <c r="F90" s="317"/>
      <c r="G90" s="394"/>
      <c r="H90" s="396"/>
      <c r="I90" s="395"/>
      <c r="J90" s="317"/>
      <c r="K90" s="394"/>
      <c r="L90" s="396"/>
      <c r="M90" s="395"/>
      <c r="N90" s="317"/>
      <c r="O90" s="394"/>
      <c r="P90" s="396"/>
      <c r="Q90" s="403"/>
      <c r="R90" s="404"/>
      <c r="S90" s="405"/>
      <c r="T90" s="401"/>
      <c r="U90" s="403"/>
      <c r="V90" s="404"/>
      <c r="W90" s="405"/>
      <c r="X90" s="401"/>
      <c r="Y90" s="403"/>
      <c r="Z90" s="404"/>
      <c r="AA90" s="405"/>
      <c r="AB90" s="401"/>
      <c r="AC90" s="403"/>
      <c r="AD90" s="404"/>
      <c r="AE90" s="405"/>
      <c r="AF90" s="401"/>
      <c r="AG90" s="403"/>
      <c r="AH90" s="404"/>
      <c r="AI90" s="405"/>
      <c r="AJ90" s="401"/>
      <c r="AK90" s="395"/>
      <c r="AL90" s="317"/>
      <c r="AM90" s="394"/>
      <c r="AN90" s="396"/>
      <c r="AO90" s="200"/>
      <c r="AP90" s="200"/>
    </row>
    <row r="91">
      <c r="A91" s="395"/>
      <c r="B91" s="317"/>
      <c r="C91" s="394"/>
      <c r="D91" s="396"/>
      <c r="E91" s="395"/>
      <c r="F91" s="317"/>
      <c r="G91" s="394"/>
      <c r="H91" s="396"/>
      <c r="I91" s="395"/>
      <c r="J91" s="317"/>
      <c r="K91" s="394"/>
      <c r="L91" s="396"/>
      <c r="M91" s="395"/>
      <c r="N91" s="317"/>
      <c r="O91" s="394"/>
      <c r="P91" s="396"/>
      <c r="Q91" s="403"/>
      <c r="R91" s="404"/>
      <c r="S91" s="405"/>
      <c r="T91" s="401"/>
      <c r="U91" s="403"/>
      <c r="V91" s="404"/>
      <c r="W91" s="405"/>
      <c r="X91" s="401"/>
      <c r="Y91" s="403"/>
      <c r="Z91" s="404"/>
      <c r="AA91" s="405"/>
      <c r="AB91" s="401"/>
      <c r="AC91" s="403"/>
      <c r="AD91" s="404"/>
      <c r="AE91" s="405"/>
      <c r="AF91" s="401"/>
      <c r="AG91" s="403"/>
      <c r="AH91" s="404"/>
      <c r="AI91" s="405"/>
      <c r="AJ91" s="401"/>
      <c r="AK91" s="395"/>
      <c r="AL91" s="317"/>
      <c r="AM91" s="394"/>
      <c r="AN91" s="396"/>
      <c r="AO91" s="200"/>
      <c r="AP91" s="200"/>
    </row>
    <row r="92">
      <c r="A92" s="395"/>
      <c r="B92" s="317"/>
      <c r="C92" s="394"/>
      <c r="D92" s="396"/>
      <c r="E92" s="395"/>
      <c r="F92" s="317"/>
      <c r="G92" s="394"/>
      <c r="H92" s="396"/>
      <c r="I92" s="395"/>
      <c r="J92" s="317"/>
      <c r="K92" s="394"/>
      <c r="L92" s="396"/>
      <c r="M92" s="395"/>
      <c r="N92" s="317"/>
      <c r="O92" s="394"/>
      <c r="P92" s="396"/>
      <c r="Q92" s="403"/>
      <c r="R92" s="404"/>
      <c r="S92" s="405"/>
      <c r="T92" s="401"/>
      <c r="U92" s="403"/>
      <c r="V92" s="404"/>
      <c r="W92" s="405"/>
      <c r="X92" s="401"/>
      <c r="Y92" s="403"/>
      <c r="Z92" s="404"/>
      <c r="AA92" s="405"/>
      <c r="AB92" s="401"/>
      <c r="AC92" s="403"/>
      <c r="AD92" s="404"/>
      <c r="AE92" s="405"/>
      <c r="AF92" s="401"/>
      <c r="AG92" s="403"/>
      <c r="AH92" s="404"/>
      <c r="AI92" s="405"/>
      <c r="AJ92" s="401"/>
      <c r="AK92" s="395"/>
      <c r="AL92" s="317"/>
      <c r="AM92" s="394"/>
      <c r="AN92" s="396"/>
      <c r="AO92" s="200"/>
      <c r="AP92" s="200"/>
    </row>
    <row r="93">
      <c r="A93" s="395"/>
      <c r="B93" s="317"/>
      <c r="C93" s="394"/>
      <c r="D93" s="396"/>
      <c r="E93" s="395"/>
      <c r="F93" s="317"/>
      <c r="G93" s="394"/>
      <c r="H93" s="396"/>
      <c r="I93" s="395"/>
      <c r="J93" s="317"/>
      <c r="K93" s="394"/>
      <c r="L93" s="396"/>
      <c r="M93" s="395"/>
      <c r="N93" s="317"/>
      <c r="O93" s="394"/>
      <c r="P93" s="396"/>
      <c r="Q93" s="403"/>
      <c r="R93" s="404"/>
      <c r="S93" s="405"/>
      <c r="T93" s="401"/>
      <c r="U93" s="403"/>
      <c r="V93" s="404"/>
      <c r="W93" s="405"/>
      <c r="X93" s="401"/>
      <c r="Y93" s="403"/>
      <c r="Z93" s="404"/>
      <c r="AA93" s="405"/>
      <c r="AB93" s="401"/>
      <c r="AC93" s="403"/>
      <c r="AD93" s="404"/>
      <c r="AE93" s="405"/>
      <c r="AF93" s="401"/>
      <c r="AG93" s="403"/>
      <c r="AH93" s="404"/>
      <c r="AI93" s="405"/>
      <c r="AJ93" s="401"/>
      <c r="AK93" s="395"/>
      <c r="AL93" s="317"/>
      <c r="AM93" s="394"/>
      <c r="AN93" s="396"/>
      <c r="AO93" s="200"/>
      <c r="AP93" s="200"/>
    </row>
    <row r="94">
      <c r="A94" s="395"/>
      <c r="B94" s="317"/>
      <c r="C94" s="394"/>
      <c r="D94" s="396"/>
      <c r="E94" s="395"/>
      <c r="F94" s="317"/>
      <c r="G94" s="394"/>
      <c r="H94" s="396"/>
      <c r="I94" s="395"/>
      <c r="J94" s="317"/>
      <c r="K94" s="394"/>
      <c r="L94" s="396"/>
      <c r="M94" s="395"/>
      <c r="N94" s="317"/>
      <c r="O94" s="394"/>
      <c r="P94" s="396"/>
      <c r="Q94" s="403"/>
      <c r="R94" s="404"/>
      <c r="S94" s="405"/>
      <c r="T94" s="401"/>
      <c r="U94" s="403"/>
      <c r="V94" s="404"/>
      <c r="W94" s="405"/>
      <c r="X94" s="401"/>
      <c r="Y94" s="403"/>
      <c r="Z94" s="404"/>
      <c r="AA94" s="405"/>
      <c r="AB94" s="401"/>
      <c r="AC94" s="403"/>
      <c r="AD94" s="404"/>
      <c r="AE94" s="405"/>
      <c r="AF94" s="401"/>
      <c r="AG94" s="403"/>
      <c r="AH94" s="404"/>
      <c r="AI94" s="405"/>
      <c r="AJ94" s="401"/>
      <c r="AK94" s="395"/>
      <c r="AL94" s="317"/>
      <c r="AM94" s="394"/>
      <c r="AN94" s="396"/>
      <c r="AO94" s="200"/>
      <c r="AP94" s="200"/>
    </row>
    <row r="95">
      <c r="A95" s="395"/>
      <c r="B95" s="317"/>
      <c r="C95" s="394"/>
      <c r="D95" s="396"/>
      <c r="E95" s="395"/>
      <c r="F95" s="317"/>
      <c r="G95" s="394"/>
      <c r="H95" s="396"/>
      <c r="I95" s="395"/>
      <c r="J95" s="317"/>
      <c r="K95" s="394"/>
      <c r="L95" s="396"/>
      <c r="M95" s="395"/>
      <c r="N95" s="317"/>
      <c r="O95" s="394"/>
      <c r="P95" s="396"/>
      <c r="Q95" s="403"/>
      <c r="R95" s="404"/>
      <c r="S95" s="405"/>
      <c r="T95" s="401"/>
      <c r="U95" s="403"/>
      <c r="V95" s="404"/>
      <c r="W95" s="405"/>
      <c r="X95" s="401"/>
      <c r="Y95" s="403"/>
      <c r="Z95" s="404"/>
      <c r="AA95" s="405"/>
      <c r="AB95" s="401"/>
      <c r="AC95" s="403"/>
      <c r="AD95" s="404"/>
      <c r="AE95" s="405"/>
      <c r="AF95" s="401"/>
      <c r="AG95" s="403"/>
      <c r="AH95" s="404"/>
      <c r="AI95" s="405"/>
      <c r="AJ95" s="401"/>
      <c r="AK95" s="395"/>
      <c r="AL95" s="317"/>
      <c r="AM95" s="394"/>
      <c r="AN95" s="396"/>
      <c r="AO95" s="200"/>
      <c r="AP95" s="200"/>
    </row>
    <row r="96">
      <c r="A96" s="395"/>
      <c r="B96" s="317"/>
      <c r="C96" s="394"/>
      <c r="D96" s="396"/>
      <c r="E96" s="395"/>
      <c r="F96" s="317"/>
      <c r="G96" s="394"/>
      <c r="H96" s="396"/>
      <c r="I96" s="395"/>
      <c r="J96" s="317"/>
      <c r="K96" s="394"/>
      <c r="L96" s="396"/>
      <c r="M96" s="395"/>
      <c r="N96" s="317"/>
      <c r="O96" s="394"/>
      <c r="P96" s="396"/>
      <c r="Q96" s="403"/>
      <c r="R96" s="404"/>
      <c r="S96" s="405"/>
      <c r="T96" s="401"/>
      <c r="U96" s="403"/>
      <c r="V96" s="404"/>
      <c r="W96" s="405"/>
      <c r="X96" s="401"/>
      <c r="Y96" s="403"/>
      <c r="Z96" s="404"/>
      <c r="AA96" s="405"/>
      <c r="AB96" s="401"/>
      <c r="AC96" s="403"/>
      <c r="AD96" s="404"/>
      <c r="AE96" s="405"/>
      <c r="AF96" s="401"/>
      <c r="AG96" s="403"/>
      <c r="AH96" s="404"/>
      <c r="AI96" s="405"/>
      <c r="AJ96" s="401"/>
      <c r="AK96" s="395"/>
      <c r="AL96" s="317"/>
      <c r="AM96" s="394"/>
      <c r="AN96" s="396"/>
      <c r="AO96" s="200"/>
      <c r="AP96" s="200"/>
    </row>
    <row r="97">
      <c r="A97" s="395"/>
      <c r="B97" s="317"/>
      <c r="C97" s="394"/>
      <c r="D97" s="396"/>
      <c r="E97" s="395"/>
      <c r="F97" s="317"/>
      <c r="G97" s="394"/>
      <c r="H97" s="396"/>
      <c r="I97" s="395"/>
      <c r="J97" s="317"/>
      <c r="K97" s="394"/>
      <c r="L97" s="396"/>
      <c r="M97" s="395"/>
      <c r="N97" s="317"/>
      <c r="O97" s="394"/>
      <c r="P97" s="396"/>
      <c r="Q97" s="403"/>
      <c r="R97" s="404"/>
      <c r="S97" s="405"/>
      <c r="T97" s="401"/>
      <c r="U97" s="403"/>
      <c r="V97" s="404"/>
      <c r="W97" s="405"/>
      <c r="X97" s="401"/>
      <c r="Y97" s="403"/>
      <c r="Z97" s="404"/>
      <c r="AA97" s="405"/>
      <c r="AB97" s="401"/>
      <c r="AC97" s="403"/>
      <c r="AD97" s="404"/>
      <c r="AE97" s="405"/>
      <c r="AF97" s="401"/>
      <c r="AG97" s="403"/>
      <c r="AH97" s="404"/>
      <c r="AI97" s="405"/>
      <c r="AJ97" s="401"/>
      <c r="AK97" s="395"/>
      <c r="AL97" s="317"/>
      <c r="AM97" s="394"/>
      <c r="AN97" s="396"/>
      <c r="AO97" s="200"/>
      <c r="AP97" s="200"/>
    </row>
    <row r="98">
      <c r="A98" s="395"/>
      <c r="B98" s="317"/>
      <c r="C98" s="394"/>
      <c r="D98" s="396"/>
      <c r="E98" s="395"/>
      <c r="F98" s="317"/>
      <c r="G98" s="394"/>
      <c r="H98" s="396"/>
      <c r="I98" s="395"/>
      <c r="J98" s="317"/>
      <c r="K98" s="394"/>
      <c r="L98" s="396"/>
      <c r="M98" s="395"/>
      <c r="N98" s="317"/>
      <c r="O98" s="394"/>
      <c r="P98" s="396"/>
      <c r="Q98" s="403"/>
      <c r="R98" s="404"/>
      <c r="S98" s="405"/>
      <c r="T98" s="401"/>
      <c r="U98" s="403"/>
      <c r="V98" s="404"/>
      <c r="W98" s="405"/>
      <c r="X98" s="401"/>
      <c r="Y98" s="403"/>
      <c r="Z98" s="404"/>
      <c r="AA98" s="405"/>
      <c r="AB98" s="401"/>
      <c r="AC98" s="403"/>
      <c r="AD98" s="404"/>
      <c r="AE98" s="405"/>
      <c r="AF98" s="401"/>
      <c r="AG98" s="403"/>
      <c r="AH98" s="404"/>
      <c r="AI98" s="405"/>
      <c r="AJ98" s="401"/>
      <c r="AK98" s="395"/>
      <c r="AL98" s="317"/>
      <c r="AM98" s="394"/>
      <c r="AN98" s="396"/>
      <c r="AO98" s="200"/>
      <c r="AP98" s="200"/>
    </row>
    <row r="99">
      <c r="A99" s="395"/>
      <c r="B99" s="317"/>
      <c r="C99" s="394"/>
      <c r="D99" s="396"/>
      <c r="E99" s="395"/>
      <c r="F99" s="317"/>
      <c r="G99" s="394"/>
      <c r="H99" s="396"/>
      <c r="I99" s="395"/>
      <c r="J99" s="317"/>
      <c r="K99" s="394"/>
      <c r="L99" s="396"/>
      <c r="M99" s="395"/>
      <c r="N99" s="317"/>
      <c r="O99" s="394"/>
      <c r="P99" s="396"/>
      <c r="Q99" s="403"/>
      <c r="R99" s="404"/>
      <c r="S99" s="405"/>
      <c r="T99" s="401"/>
      <c r="U99" s="403"/>
      <c r="V99" s="404"/>
      <c r="W99" s="405"/>
      <c r="X99" s="401"/>
      <c r="Y99" s="403"/>
      <c r="Z99" s="404"/>
      <c r="AA99" s="405"/>
      <c r="AB99" s="401"/>
      <c r="AC99" s="403"/>
      <c r="AD99" s="404"/>
      <c r="AE99" s="405"/>
      <c r="AF99" s="401"/>
      <c r="AG99" s="403"/>
      <c r="AH99" s="404"/>
      <c r="AI99" s="405"/>
      <c r="AJ99" s="401"/>
      <c r="AK99" s="395"/>
      <c r="AL99" s="317"/>
      <c r="AM99" s="394"/>
      <c r="AN99" s="396"/>
      <c r="AO99" s="200"/>
      <c r="AP99" s="200"/>
    </row>
    <row r="100">
      <c r="A100" s="395"/>
      <c r="B100" s="317"/>
      <c r="C100" s="394"/>
      <c r="D100" s="396"/>
      <c r="E100" s="395"/>
      <c r="F100" s="317"/>
      <c r="G100" s="394"/>
      <c r="H100" s="396"/>
      <c r="I100" s="395"/>
      <c r="J100" s="317"/>
      <c r="K100" s="394"/>
      <c r="L100" s="396"/>
      <c r="M100" s="395"/>
      <c r="N100" s="317"/>
      <c r="O100" s="394"/>
      <c r="P100" s="396"/>
      <c r="Q100" s="403"/>
      <c r="R100" s="404"/>
      <c r="S100" s="405"/>
      <c r="T100" s="401"/>
      <c r="U100" s="403"/>
      <c r="V100" s="404"/>
      <c r="W100" s="405"/>
      <c r="X100" s="401"/>
      <c r="Y100" s="403"/>
      <c r="Z100" s="404"/>
      <c r="AA100" s="405"/>
      <c r="AB100" s="401"/>
      <c r="AC100" s="403"/>
      <c r="AD100" s="404"/>
      <c r="AE100" s="405"/>
      <c r="AF100" s="401"/>
      <c r="AG100" s="403"/>
      <c r="AH100" s="404"/>
      <c r="AI100" s="405"/>
      <c r="AJ100" s="401"/>
      <c r="AK100" s="395"/>
      <c r="AL100" s="317"/>
      <c r="AM100" s="394"/>
      <c r="AN100" s="396"/>
      <c r="AO100" s="200"/>
      <c r="AP100" s="200"/>
    </row>
    <row r="101">
      <c r="A101" s="395"/>
      <c r="B101" s="317"/>
      <c r="C101" s="394"/>
      <c r="D101" s="396"/>
      <c r="E101" s="395"/>
      <c r="F101" s="317"/>
      <c r="G101" s="394"/>
      <c r="H101" s="396"/>
      <c r="I101" s="395"/>
      <c r="J101" s="317"/>
      <c r="K101" s="394"/>
      <c r="L101" s="396"/>
      <c r="M101" s="395"/>
      <c r="N101" s="317"/>
      <c r="O101" s="394"/>
      <c r="P101" s="396"/>
      <c r="Q101" s="403"/>
      <c r="R101" s="404"/>
      <c r="S101" s="405"/>
      <c r="T101" s="401"/>
      <c r="U101" s="403"/>
      <c r="V101" s="404"/>
      <c r="W101" s="405"/>
      <c r="X101" s="401"/>
      <c r="Y101" s="403"/>
      <c r="Z101" s="404"/>
      <c r="AA101" s="405"/>
      <c r="AB101" s="401"/>
      <c r="AC101" s="403"/>
      <c r="AD101" s="404"/>
      <c r="AE101" s="405"/>
      <c r="AF101" s="401"/>
      <c r="AG101" s="403"/>
      <c r="AH101" s="404"/>
      <c r="AI101" s="405"/>
      <c r="AJ101" s="401"/>
      <c r="AK101" s="395"/>
      <c r="AL101" s="317"/>
      <c r="AM101" s="394"/>
      <c r="AN101" s="396"/>
      <c r="AO101" s="200"/>
      <c r="AP101" s="200"/>
    </row>
    <row r="102">
      <c r="A102" s="395"/>
      <c r="B102" s="317"/>
      <c r="C102" s="394"/>
      <c r="D102" s="396"/>
      <c r="E102" s="395"/>
      <c r="F102" s="317"/>
      <c r="G102" s="394"/>
      <c r="H102" s="396"/>
      <c r="I102" s="395"/>
      <c r="J102" s="317"/>
      <c r="K102" s="394"/>
      <c r="L102" s="396"/>
      <c r="M102" s="395"/>
      <c r="N102" s="317"/>
      <c r="O102" s="394"/>
      <c r="P102" s="396"/>
      <c r="Q102" s="403"/>
      <c r="R102" s="404"/>
      <c r="S102" s="405"/>
      <c r="T102" s="401"/>
      <c r="U102" s="403"/>
      <c r="V102" s="404"/>
      <c r="W102" s="405"/>
      <c r="X102" s="401"/>
      <c r="Y102" s="403"/>
      <c r="Z102" s="404"/>
      <c r="AA102" s="405"/>
      <c r="AB102" s="401"/>
      <c r="AC102" s="403"/>
      <c r="AD102" s="404"/>
      <c r="AE102" s="405"/>
      <c r="AF102" s="401"/>
      <c r="AG102" s="403"/>
      <c r="AH102" s="404"/>
      <c r="AI102" s="405"/>
      <c r="AJ102" s="401"/>
      <c r="AK102" s="395"/>
      <c r="AL102" s="317"/>
      <c r="AM102" s="394"/>
      <c r="AN102" s="396"/>
      <c r="AO102" s="200"/>
      <c r="AP102" s="200"/>
    </row>
    <row r="103">
      <c r="A103" s="395"/>
      <c r="B103" s="317"/>
      <c r="C103" s="394"/>
      <c r="D103" s="396"/>
      <c r="E103" s="395"/>
      <c r="F103" s="317"/>
      <c r="G103" s="394"/>
      <c r="H103" s="396"/>
      <c r="I103" s="395"/>
      <c r="J103" s="317"/>
      <c r="K103" s="394"/>
      <c r="L103" s="396"/>
      <c r="M103" s="395"/>
      <c r="N103" s="317"/>
      <c r="O103" s="394"/>
      <c r="P103" s="396"/>
      <c r="Q103" s="403"/>
      <c r="R103" s="404"/>
      <c r="S103" s="405"/>
      <c r="T103" s="401"/>
      <c r="U103" s="403"/>
      <c r="V103" s="404"/>
      <c r="W103" s="405"/>
      <c r="X103" s="401"/>
      <c r="Y103" s="403"/>
      <c r="Z103" s="404"/>
      <c r="AA103" s="405"/>
      <c r="AB103" s="401"/>
      <c r="AC103" s="403"/>
      <c r="AD103" s="404"/>
      <c r="AE103" s="405"/>
      <c r="AF103" s="401"/>
      <c r="AG103" s="403"/>
      <c r="AH103" s="404"/>
      <c r="AI103" s="405"/>
      <c r="AJ103" s="401"/>
      <c r="AK103" s="395"/>
      <c r="AL103" s="317"/>
      <c r="AM103" s="394"/>
      <c r="AN103" s="396"/>
      <c r="AO103" s="200"/>
      <c r="AP103" s="200"/>
    </row>
    <row r="104">
      <c r="A104" s="395"/>
      <c r="B104" s="317"/>
      <c r="C104" s="394"/>
      <c r="D104" s="396"/>
      <c r="E104" s="395"/>
      <c r="F104" s="317"/>
      <c r="G104" s="394"/>
      <c r="H104" s="396"/>
      <c r="I104" s="395"/>
      <c r="J104" s="317"/>
      <c r="K104" s="394"/>
      <c r="L104" s="396"/>
      <c r="M104" s="395"/>
      <c r="N104" s="317"/>
      <c r="O104" s="394"/>
      <c r="P104" s="396"/>
      <c r="Q104" s="403"/>
      <c r="R104" s="404"/>
      <c r="S104" s="405"/>
      <c r="T104" s="401"/>
      <c r="U104" s="403"/>
      <c r="V104" s="404"/>
      <c r="W104" s="405"/>
      <c r="X104" s="401"/>
      <c r="Y104" s="403"/>
      <c r="Z104" s="404"/>
      <c r="AA104" s="405"/>
      <c r="AB104" s="401"/>
      <c r="AC104" s="403"/>
      <c r="AD104" s="404"/>
      <c r="AE104" s="405"/>
      <c r="AF104" s="401"/>
      <c r="AG104" s="403"/>
      <c r="AH104" s="404"/>
      <c r="AI104" s="405"/>
      <c r="AJ104" s="401"/>
      <c r="AK104" s="395"/>
      <c r="AL104" s="317"/>
      <c r="AM104" s="394"/>
      <c r="AN104" s="396"/>
      <c r="AO104" s="200"/>
      <c r="AP104" s="200"/>
    </row>
    <row r="105">
      <c r="A105" s="395"/>
      <c r="B105" s="317"/>
      <c r="C105" s="394"/>
      <c r="D105" s="396"/>
      <c r="E105" s="395"/>
      <c r="F105" s="317"/>
      <c r="G105" s="394"/>
      <c r="H105" s="396"/>
      <c r="I105" s="395"/>
      <c r="J105" s="317"/>
      <c r="K105" s="394"/>
      <c r="L105" s="396"/>
      <c r="M105" s="395"/>
      <c r="N105" s="317"/>
      <c r="O105" s="394"/>
      <c r="P105" s="396"/>
      <c r="Q105" s="403"/>
      <c r="R105" s="404"/>
      <c r="S105" s="405"/>
      <c r="T105" s="401"/>
      <c r="U105" s="403"/>
      <c r="V105" s="404"/>
      <c r="W105" s="405"/>
      <c r="X105" s="401"/>
      <c r="Y105" s="403"/>
      <c r="Z105" s="404"/>
      <c r="AA105" s="405"/>
      <c r="AB105" s="401"/>
      <c r="AC105" s="403"/>
      <c r="AD105" s="404"/>
      <c r="AE105" s="405"/>
      <c r="AF105" s="401"/>
      <c r="AG105" s="403"/>
      <c r="AH105" s="404"/>
      <c r="AI105" s="405"/>
      <c r="AJ105" s="401"/>
      <c r="AK105" s="395"/>
      <c r="AL105" s="317"/>
      <c r="AM105" s="394"/>
      <c r="AN105" s="396"/>
      <c r="AO105" s="200"/>
      <c r="AP105" s="200"/>
    </row>
    <row r="106">
      <c r="A106" s="395"/>
      <c r="B106" s="317"/>
      <c r="C106" s="394"/>
      <c r="D106" s="396"/>
      <c r="E106" s="395"/>
      <c r="F106" s="317"/>
      <c r="G106" s="394"/>
      <c r="H106" s="396"/>
      <c r="I106" s="395"/>
      <c r="J106" s="317"/>
      <c r="K106" s="394"/>
      <c r="L106" s="396"/>
      <c r="M106" s="395"/>
      <c r="N106" s="317"/>
      <c r="O106" s="394"/>
      <c r="P106" s="396"/>
      <c r="Q106" s="403"/>
      <c r="R106" s="404"/>
      <c r="S106" s="405"/>
      <c r="T106" s="401"/>
      <c r="U106" s="403"/>
      <c r="V106" s="404"/>
      <c r="W106" s="405"/>
      <c r="X106" s="401"/>
      <c r="Y106" s="403"/>
      <c r="Z106" s="404"/>
      <c r="AA106" s="405"/>
      <c r="AB106" s="401"/>
      <c r="AC106" s="403"/>
      <c r="AD106" s="404"/>
      <c r="AE106" s="405"/>
      <c r="AF106" s="401"/>
      <c r="AG106" s="403"/>
      <c r="AH106" s="404"/>
      <c r="AI106" s="405"/>
      <c r="AJ106" s="401"/>
      <c r="AK106" s="395"/>
      <c r="AL106" s="317"/>
      <c r="AM106" s="394"/>
      <c r="AN106" s="396"/>
      <c r="AO106" s="200"/>
      <c r="AP106" s="200"/>
    </row>
    <row r="107">
      <c r="A107" s="395"/>
      <c r="B107" s="317"/>
      <c r="C107" s="394"/>
      <c r="D107" s="396"/>
      <c r="E107" s="395"/>
      <c r="F107" s="317"/>
      <c r="G107" s="394"/>
      <c r="H107" s="396"/>
      <c r="I107" s="395"/>
      <c r="J107" s="317"/>
      <c r="K107" s="394"/>
      <c r="L107" s="396"/>
      <c r="M107" s="395"/>
      <c r="N107" s="317"/>
      <c r="O107" s="394"/>
      <c r="P107" s="396"/>
      <c r="Q107" s="403"/>
      <c r="R107" s="404"/>
      <c r="S107" s="405"/>
      <c r="T107" s="401"/>
      <c r="U107" s="403"/>
      <c r="V107" s="404"/>
      <c r="W107" s="405"/>
      <c r="X107" s="401"/>
      <c r="Y107" s="403"/>
      <c r="Z107" s="404"/>
      <c r="AA107" s="405"/>
      <c r="AB107" s="401"/>
      <c r="AC107" s="403"/>
      <c r="AD107" s="404"/>
      <c r="AE107" s="405"/>
      <c r="AF107" s="401"/>
      <c r="AG107" s="403"/>
      <c r="AH107" s="404"/>
      <c r="AI107" s="405"/>
      <c r="AJ107" s="401"/>
      <c r="AK107" s="395"/>
      <c r="AL107" s="317"/>
      <c r="AM107" s="394"/>
      <c r="AN107" s="396"/>
      <c r="AO107" s="200"/>
      <c r="AP107" s="200"/>
    </row>
    <row r="108">
      <c r="A108" s="395"/>
      <c r="B108" s="317"/>
      <c r="C108" s="394"/>
      <c r="D108" s="396"/>
      <c r="E108" s="395"/>
      <c r="F108" s="317"/>
      <c r="G108" s="394"/>
      <c r="H108" s="396"/>
      <c r="I108" s="395"/>
      <c r="J108" s="317"/>
      <c r="K108" s="394"/>
      <c r="L108" s="396"/>
      <c r="M108" s="395"/>
      <c r="N108" s="317"/>
      <c r="O108" s="394"/>
      <c r="P108" s="396"/>
      <c r="Q108" s="403"/>
      <c r="R108" s="404"/>
      <c r="S108" s="405"/>
      <c r="T108" s="401"/>
      <c r="U108" s="403"/>
      <c r="V108" s="404"/>
      <c r="W108" s="405"/>
      <c r="X108" s="401"/>
      <c r="Y108" s="403"/>
      <c r="Z108" s="404"/>
      <c r="AA108" s="405"/>
      <c r="AB108" s="401"/>
      <c r="AC108" s="403"/>
      <c r="AD108" s="404"/>
      <c r="AE108" s="405"/>
      <c r="AF108" s="401"/>
      <c r="AG108" s="403"/>
      <c r="AH108" s="404"/>
      <c r="AI108" s="405"/>
      <c r="AJ108" s="401"/>
      <c r="AK108" s="395"/>
      <c r="AL108" s="317"/>
      <c r="AM108" s="394"/>
      <c r="AN108" s="396"/>
      <c r="AO108" s="200"/>
      <c r="AP108" s="200"/>
    </row>
    <row r="109">
      <c r="A109" s="395"/>
      <c r="B109" s="317"/>
      <c r="C109" s="394"/>
      <c r="D109" s="396"/>
      <c r="E109" s="395"/>
      <c r="F109" s="317"/>
      <c r="G109" s="394"/>
      <c r="H109" s="396"/>
      <c r="I109" s="395"/>
      <c r="J109" s="317"/>
      <c r="K109" s="394"/>
      <c r="L109" s="396"/>
      <c r="M109" s="395"/>
      <c r="N109" s="317"/>
      <c r="O109" s="394"/>
      <c r="P109" s="396"/>
      <c r="Q109" s="403"/>
      <c r="R109" s="404"/>
      <c r="S109" s="405"/>
      <c r="T109" s="401"/>
      <c r="U109" s="403"/>
      <c r="V109" s="404"/>
      <c r="W109" s="405"/>
      <c r="X109" s="401"/>
      <c r="Y109" s="403"/>
      <c r="Z109" s="404"/>
      <c r="AA109" s="405"/>
      <c r="AB109" s="401"/>
      <c r="AC109" s="403"/>
      <c r="AD109" s="404"/>
      <c r="AE109" s="405"/>
      <c r="AF109" s="401"/>
      <c r="AG109" s="403"/>
      <c r="AH109" s="404"/>
      <c r="AI109" s="405"/>
      <c r="AJ109" s="401"/>
      <c r="AK109" s="395"/>
      <c r="AL109" s="317"/>
      <c r="AM109" s="394"/>
      <c r="AN109" s="396"/>
      <c r="AO109" s="200"/>
      <c r="AP109" s="200"/>
    </row>
    <row r="110">
      <c r="A110" s="395"/>
      <c r="B110" s="317"/>
      <c r="C110" s="394"/>
      <c r="D110" s="396"/>
      <c r="E110" s="395"/>
      <c r="F110" s="317"/>
      <c r="G110" s="394"/>
      <c r="H110" s="396"/>
      <c r="I110" s="395"/>
      <c r="J110" s="317"/>
      <c r="K110" s="394"/>
      <c r="L110" s="396"/>
      <c r="M110" s="395"/>
      <c r="N110" s="317"/>
      <c r="O110" s="394"/>
      <c r="P110" s="396"/>
      <c r="Q110" s="403"/>
      <c r="R110" s="404"/>
      <c r="S110" s="405"/>
      <c r="T110" s="401"/>
      <c r="U110" s="403"/>
      <c r="V110" s="404"/>
      <c r="W110" s="405"/>
      <c r="X110" s="401"/>
      <c r="Y110" s="403"/>
      <c r="Z110" s="404"/>
      <c r="AA110" s="405"/>
      <c r="AB110" s="401"/>
      <c r="AC110" s="403"/>
      <c r="AD110" s="404"/>
      <c r="AE110" s="405"/>
      <c r="AF110" s="401"/>
      <c r="AG110" s="403"/>
      <c r="AH110" s="404"/>
      <c r="AI110" s="405"/>
      <c r="AJ110" s="401"/>
      <c r="AK110" s="395"/>
      <c r="AL110" s="317"/>
      <c r="AM110" s="394"/>
      <c r="AN110" s="396"/>
      <c r="AO110" s="200"/>
      <c r="AP110" s="200"/>
    </row>
    <row r="111">
      <c r="A111" s="395"/>
      <c r="B111" s="317"/>
      <c r="C111" s="394"/>
      <c r="D111" s="396"/>
      <c r="E111" s="395"/>
      <c r="F111" s="317"/>
      <c r="G111" s="394"/>
      <c r="H111" s="396"/>
      <c r="I111" s="395"/>
      <c r="J111" s="317"/>
      <c r="K111" s="394"/>
      <c r="L111" s="396"/>
      <c r="M111" s="395"/>
      <c r="N111" s="317"/>
      <c r="O111" s="394"/>
      <c r="P111" s="396"/>
      <c r="Q111" s="403"/>
      <c r="R111" s="404"/>
      <c r="S111" s="405"/>
      <c r="T111" s="401"/>
      <c r="U111" s="403"/>
      <c r="V111" s="404"/>
      <c r="W111" s="405"/>
      <c r="X111" s="401"/>
      <c r="Y111" s="403"/>
      <c r="Z111" s="404"/>
      <c r="AA111" s="405"/>
      <c r="AB111" s="401"/>
      <c r="AC111" s="403"/>
      <c r="AD111" s="404"/>
      <c r="AE111" s="405"/>
      <c r="AF111" s="401"/>
      <c r="AG111" s="403"/>
      <c r="AH111" s="404"/>
      <c r="AI111" s="405"/>
      <c r="AJ111" s="401"/>
      <c r="AK111" s="395"/>
      <c r="AL111" s="317"/>
      <c r="AM111" s="394"/>
      <c r="AN111" s="396"/>
      <c r="AO111" s="200"/>
      <c r="AP111" s="200"/>
    </row>
    <row r="112">
      <c r="A112" s="395"/>
      <c r="B112" s="317"/>
      <c r="C112" s="394"/>
      <c r="D112" s="396"/>
      <c r="E112" s="395"/>
      <c r="F112" s="317"/>
      <c r="G112" s="394"/>
      <c r="H112" s="396"/>
      <c r="I112" s="395"/>
      <c r="J112" s="317"/>
      <c r="K112" s="394"/>
      <c r="L112" s="396"/>
      <c r="M112" s="395"/>
      <c r="N112" s="317"/>
      <c r="O112" s="394"/>
      <c r="P112" s="396"/>
      <c r="Q112" s="403"/>
      <c r="R112" s="404"/>
      <c r="S112" s="405"/>
      <c r="T112" s="401"/>
      <c r="U112" s="403"/>
      <c r="V112" s="404"/>
      <c r="W112" s="405"/>
      <c r="X112" s="401"/>
      <c r="Y112" s="403"/>
      <c r="Z112" s="404"/>
      <c r="AA112" s="405"/>
      <c r="AB112" s="401"/>
      <c r="AC112" s="403"/>
      <c r="AD112" s="404"/>
      <c r="AE112" s="405"/>
      <c r="AF112" s="401"/>
      <c r="AG112" s="403"/>
      <c r="AH112" s="404"/>
      <c r="AI112" s="405"/>
      <c r="AJ112" s="401"/>
      <c r="AK112" s="395"/>
      <c r="AL112" s="317"/>
      <c r="AM112" s="394"/>
      <c r="AN112" s="396"/>
      <c r="AO112" s="200"/>
      <c r="AP112" s="200"/>
    </row>
    <row r="113">
      <c r="A113" s="395"/>
      <c r="B113" s="317"/>
      <c r="C113" s="394"/>
      <c r="D113" s="396"/>
      <c r="E113" s="395"/>
      <c r="F113" s="317"/>
      <c r="G113" s="394"/>
      <c r="H113" s="396"/>
      <c r="I113" s="395"/>
      <c r="J113" s="317"/>
      <c r="K113" s="394"/>
      <c r="L113" s="396"/>
      <c r="M113" s="395"/>
      <c r="N113" s="317"/>
      <c r="O113" s="394"/>
      <c r="P113" s="396"/>
      <c r="Q113" s="403"/>
      <c r="R113" s="404"/>
      <c r="S113" s="405"/>
      <c r="T113" s="401"/>
      <c r="U113" s="403"/>
      <c r="V113" s="404"/>
      <c r="W113" s="405"/>
      <c r="X113" s="401"/>
      <c r="Y113" s="403"/>
      <c r="Z113" s="404"/>
      <c r="AA113" s="405"/>
      <c r="AB113" s="401"/>
      <c r="AC113" s="403"/>
      <c r="AD113" s="404"/>
      <c r="AE113" s="405"/>
      <c r="AF113" s="401"/>
      <c r="AG113" s="403"/>
      <c r="AH113" s="404"/>
      <c r="AI113" s="405"/>
      <c r="AJ113" s="401"/>
      <c r="AK113" s="395"/>
      <c r="AL113" s="317"/>
      <c r="AM113" s="394"/>
      <c r="AN113" s="396"/>
      <c r="AO113" s="200"/>
      <c r="AP113" s="200"/>
    </row>
    <row r="114">
      <c r="A114" s="395"/>
      <c r="B114" s="317"/>
      <c r="C114" s="394"/>
      <c r="D114" s="396"/>
      <c r="E114" s="395"/>
      <c r="F114" s="317"/>
      <c r="G114" s="394"/>
      <c r="H114" s="396"/>
      <c r="I114" s="395"/>
      <c r="J114" s="317"/>
      <c r="K114" s="394"/>
      <c r="L114" s="396"/>
      <c r="M114" s="395"/>
      <c r="N114" s="317"/>
      <c r="O114" s="394"/>
      <c r="P114" s="396"/>
      <c r="Q114" s="403"/>
      <c r="R114" s="404"/>
      <c r="S114" s="405"/>
      <c r="T114" s="401"/>
      <c r="U114" s="403"/>
      <c r="V114" s="404"/>
      <c r="W114" s="405"/>
      <c r="X114" s="401"/>
      <c r="Y114" s="403"/>
      <c r="Z114" s="404"/>
      <c r="AA114" s="405"/>
      <c r="AB114" s="401"/>
      <c r="AC114" s="403"/>
      <c r="AD114" s="404"/>
      <c r="AE114" s="405"/>
      <c r="AF114" s="401"/>
      <c r="AG114" s="403"/>
      <c r="AH114" s="404"/>
      <c r="AI114" s="405"/>
      <c r="AJ114" s="401"/>
      <c r="AK114" s="395"/>
      <c r="AL114" s="317"/>
      <c r="AM114" s="394"/>
      <c r="AN114" s="396"/>
      <c r="AO114" s="200"/>
      <c r="AP114" s="200"/>
    </row>
    <row r="115">
      <c r="A115" s="395"/>
      <c r="B115" s="317"/>
      <c r="C115" s="394"/>
      <c r="D115" s="396"/>
      <c r="E115" s="395"/>
      <c r="F115" s="317"/>
      <c r="G115" s="394"/>
      <c r="H115" s="396"/>
      <c r="I115" s="395"/>
      <c r="J115" s="317"/>
      <c r="K115" s="394"/>
      <c r="L115" s="396"/>
      <c r="M115" s="395"/>
      <c r="N115" s="317"/>
      <c r="O115" s="394"/>
      <c r="P115" s="396"/>
      <c r="Q115" s="403"/>
      <c r="R115" s="404"/>
      <c r="S115" s="405"/>
      <c r="T115" s="401"/>
      <c r="U115" s="403"/>
      <c r="V115" s="404"/>
      <c r="W115" s="405"/>
      <c r="X115" s="401"/>
      <c r="Y115" s="403"/>
      <c r="Z115" s="404"/>
      <c r="AA115" s="405"/>
      <c r="AB115" s="401"/>
      <c r="AC115" s="403"/>
      <c r="AD115" s="404"/>
      <c r="AE115" s="405"/>
      <c r="AF115" s="401"/>
      <c r="AG115" s="403"/>
      <c r="AH115" s="404"/>
      <c r="AI115" s="405"/>
      <c r="AJ115" s="401"/>
      <c r="AK115" s="395"/>
      <c r="AL115" s="317"/>
      <c r="AM115" s="394"/>
      <c r="AN115" s="396"/>
      <c r="AO115" s="200"/>
      <c r="AP115" s="200"/>
    </row>
    <row r="116">
      <c r="A116" s="395"/>
      <c r="B116" s="317"/>
      <c r="C116" s="394"/>
      <c r="D116" s="396"/>
      <c r="E116" s="395"/>
      <c r="F116" s="317"/>
      <c r="G116" s="394"/>
      <c r="H116" s="396"/>
      <c r="I116" s="395"/>
      <c r="J116" s="317"/>
      <c r="K116" s="394"/>
      <c r="L116" s="396"/>
      <c r="M116" s="395"/>
      <c r="N116" s="317"/>
      <c r="O116" s="394"/>
      <c r="P116" s="396"/>
      <c r="Q116" s="403"/>
      <c r="R116" s="404"/>
      <c r="S116" s="405"/>
      <c r="T116" s="401"/>
      <c r="U116" s="403"/>
      <c r="V116" s="404"/>
      <c r="W116" s="405"/>
      <c r="X116" s="401"/>
      <c r="Y116" s="403"/>
      <c r="Z116" s="404"/>
      <c r="AA116" s="405"/>
      <c r="AB116" s="401"/>
      <c r="AC116" s="403"/>
      <c r="AD116" s="404"/>
      <c r="AE116" s="405"/>
      <c r="AF116" s="401"/>
      <c r="AG116" s="403"/>
      <c r="AH116" s="404"/>
      <c r="AI116" s="405"/>
      <c r="AJ116" s="401"/>
      <c r="AK116" s="395"/>
      <c r="AL116" s="317"/>
      <c r="AM116" s="394"/>
      <c r="AN116" s="396"/>
      <c r="AO116" s="200"/>
      <c r="AP116" s="200"/>
    </row>
    <row r="117">
      <c r="A117" s="395"/>
      <c r="B117" s="317"/>
      <c r="C117" s="394"/>
      <c r="D117" s="396"/>
      <c r="E117" s="395"/>
      <c r="F117" s="317"/>
      <c r="G117" s="394"/>
      <c r="H117" s="396"/>
      <c r="I117" s="395"/>
      <c r="J117" s="317"/>
      <c r="K117" s="394"/>
      <c r="L117" s="396"/>
      <c r="M117" s="395"/>
      <c r="N117" s="317"/>
      <c r="O117" s="394"/>
      <c r="P117" s="396"/>
      <c r="Q117" s="403"/>
      <c r="R117" s="404"/>
      <c r="S117" s="405"/>
      <c r="T117" s="401"/>
      <c r="U117" s="403"/>
      <c r="V117" s="404"/>
      <c r="W117" s="405"/>
      <c r="X117" s="401"/>
      <c r="Y117" s="403"/>
      <c r="Z117" s="404"/>
      <c r="AA117" s="405"/>
      <c r="AB117" s="401"/>
      <c r="AC117" s="403"/>
      <c r="AD117" s="404"/>
      <c r="AE117" s="405"/>
      <c r="AF117" s="401"/>
      <c r="AG117" s="403"/>
      <c r="AH117" s="404"/>
      <c r="AI117" s="405"/>
      <c r="AJ117" s="401"/>
      <c r="AK117" s="395"/>
      <c r="AL117" s="317"/>
      <c r="AM117" s="394"/>
      <c r="AN117" s="396"/>
      <c r="AO117" s="200"/>
      <c r="AP117" s="200"/>
    </row>
    <row r="118">
      <c r="A118" s="395"/>
      <c r="B118" s="317"/>
      <c r="C118" s="394"/>
      <c r="D118" s="396"/>
      <c r="E118" s="395"/>
      <c r="F118" s="317"/>
      <c r="G118" s="394"/>
      <c r="H118" s="396"/>
      <c r="I118" s="395"/>
      <c r="J118" s="317"/>
      <c r="K118" s="394"/>
      <c r="L118" s="396"/>
      <c r="M118" s="395"/>
      <c r="N118" s="317"/>
      <c r="O118" s="394"/>
      <c r="P118" s="396"/>
      <c r="Q118" s="403"/>
      <c r="R118" s="404"/>
      <c r="S118" s="405"/>
      <c r="T118" s="401"/>
      <c r="U118" s="403"/>
      <c r="V118" s="404"/>
      <c r="W118" s="405"/>
      <c r="X118" s="401"/>
      <c r="Y118" s="403"/>
      <c r="Z118" s="404"/>
      <c r="AA118" s="405"/>
      <c r="AB118" s="401"/>
      <c r="AC118" s="403"/>
      <c r="AD118" s="404"/>
      <c r="AE118" s="405"/>
      <c r="AF118" s="401"/>
      <c r="AG118" s="403"/>
      <c r="AH118" s="404"/>
      <c r="AI118" s="405"/>
      <c r="AJ118" s="401"/>
      <c r="AK118" s="395"/>
      <c r="AL118" s="317"/>
      <c r="AM118" s="394"/>
      <c r="AN118" s="396"/>
      <c r="AO118" s="200"/>
      <c r="AP118" s="200"/>
    </row>
    <row r="119">
      <c r="A119" s="395"/>
      <c r="B119" s="317"/>
      <c r="C119" s="394"/>
      <c r="D119" s="396"/>
      <c r="E119" s="395"/>
      <c r="F119" s="317"/>
      <c r="G119" s="394"/>
      <c r="H119" s="396"/>
      <c r="I119" s="395"/>
      <c r="J119" s="317"/>
      <c r="K119" s="394"/>
      <c r="L119" s="396"/>
      <c r="M119" s="395"/>
      <c r="N119" s="317"/>
      <c r="O119" s="394"/>
      <c r="P119" s="396"/>
      <c r="Q119" s="403"/>
      <c r="R119" s="404"/>
      <c r="S119" s="405"/>
      <c r="T119" s="401"/>
      <c r="U119" s="403"/>
      <c r="V119" s="404"/>
      <c r="W119" s="405"/>
      <c r="X119" s="401"/>
      <c r="Y119" s="403"/>
      <c r="Z119" s="404"/>
      <c r="AA119" s="405"/>
      <c r="AB119" s="401"/>
      <c r="AC119" s="403"/>
      <c r="AD119" s="404"/>
      <c r="AE119" s="405"/>
      <c r="AF119" s="401"/>
      <c r="AG119" s="403"/>
      <c r="AH119" s="404"/>
      <c r="AI119" s="405"/>
      <c r="AJ119" s="401"/>
      <c r="AK119" s="395"/>
      <c r="AL119" s="317"/>
      <c r="AM119" s="394"/>
      <c r="AN119" s="396"/>
      <c r="AO119" s="200"/>
      <c r="AP119" s="200"/>
    </row>
    <row r="120">
      <c r="A120" s="395"/>
      <c r="B120" s="317"/>
      <c r="C120" s="394"/>
      <c r="D120" s="396"/>
      <c r="E120" s="395"/>
      <c r="F120" s="317"/>
      <c r="G120" s="394"/>
      <c r="H120" s="396"/>
      <c r="I120" s="395"/>
      <c r="J120" s="317"/>
      <c r="K120" s="394"/>
      <c r="L120" s="396"/>
      <c r="M120" s="395"/>
      <c r="N120" s="317"/>
      <c r="O120" s="394"/>
      <c r="P120" s="396"/>
      <c r="Q120" s="403"/>
      <c r="R120" s="404"/>
      <c r="S120" s="405"/>
      <c r="T120" s="401"/>
      <c r="U120" s="403"/>
      <c r="V120" s="404"/>
      <c r="W120" s="405"/>
      <c r="X120" s="401"/>
      <c r="Y120" s="403"/>
      <c r="Z120" s="404"/>
      <c r="AA120" s="405"/>
      <c r="AB120" s="401"/>
      <c r="AC120" s="403"/>
      <c r="AD120" s="404"/>
      <c r="AE120" s="405"/>
      <c r="AF120" s="401"/>
      <c r="AG120" s="403"/>
      <c r="AH120" s="404"/>
      <c r="AI120" s="405"/>
      <c r="AJ120" s="401"/>
      <c r="AK120" s="395"/>
      <c r="AL120" s="317"/>
      <c r="AM120" s="394"/>
      <c r="AN120" s="396"/>
      <c r="AO120" s="200"/>
      <c r="AP120" s="200"/>
    </row>
    <row r="121">
      <c r="A121" s="395"/>
      <c r="B121" s="317"/>
      <c r="C121" s="394"/>
      <c r="D121" s="396"/>
      <c r="E121" s="395"/>
      <c r="F121" s="317"/>
      <c r="G121" s="394"/>
      <c r="H121" s="396"/>
      <c r="I121" s="395"/>
      <c r="J121" s="317"/>
      <c r="K121" s="394"/>
      <c r="L121" s="396"/>
      <c r="M121" s="395"/>
      <c r="N121" s="317"/>
      <c r="O121" s="394"/>
      <c r="P121" s="396"/>
      <c r="Q121" s="403"/>
      <c r="R121" s="404"/>
      <c r="S121" s="405"/>
      <c r="T121" s="401"/>
      <c r="U121" s="403"/>
      <c r="V121" s="404"/>
      <c r="W121" s="405"/>
      <c r="X121" s="401"/>
      <c r="Y121" s="403"/>
      <c r="Z121" s="404"/>
      <c r="AA121" s="405"/>
      <c r="AB121" s="401"/>
      <c r="AC121" s="403"/>
      <c r="AD121" s="404"/>
      <c r="AE121" s="405"/>
      <c r="AF121" s="401"/>
      <c r="AG121" s="403"/>
      <c r="AH121" s="404"/>
      <c r="AI121" s="405"/>
      <c r="AJ121" s="401"/>
      <c r="AK121" s="395"/>
      <c r="AL121" s="317"/>
      <c r="AM121" s="394"/>
      <c r="AN121" s="396"/>
      <c r="AO121" s="200"/>
      <c r="AP121" s="200"/>
    </row>
    <row r="122">
      <c r="A122" s="395"/>
      <c r="B122" s="317"/>
      <c r="C122" s="394"/>
      <c r="D122" s="396"/>
      <c r="E122" s="395"/>
      <c r="F122" s="317"/>
      <c r="G122" s="394"/>
      <c r="H122" s="396"/>
      <c r="I122" s="395"/>
      <c r="J122" s="317"/>
      <c r="K122" s="394"/>
      <c r="L122" s="396"/>
      <c r="M122" s="395"/>
      <c r="N122" s="317"/>
      <c r="O122" s="394"/>
      <c r="P122" s="396"/>
      <c r="Q122" s="403"/>
      <c r="R122" s="404"/>
      <c r="S122" s="405"/>
      <c r="T122" s="401"/>
      <c r="U122" s="403"/>
      <c r="V122" s="404"/>
      <c r="W122" s="405"/>
      <c r="X122" s="401"/>
      <c r="Y122" s="403"/>
      <c r="Z122" s="404"/>
      <c r="AA122" s="405"/>
      <c r="AB122" s="401"/>
      <c r="AC122" s="403"/>
      <c r="AD122" s="404"/>
      <c r="AE122" s="405"/>
      <c r="AF122" s="401"/>
      <c r="AG122" s="403"/>
      <c r="AH122" s="404"/>
      <c r="AI122" s="405"/>
      <c r="AJ122" s="401"/>
      <c r="AK122" s="395"/>
      <c r="AL122" s="317"/>
      <c r="AM122" s="394"/>
      <c r="AN122" s="396"/>
      <c r="AO122" s="200"/>
      <c r="AP122" s="200"/>
    </row>
    <row r="123">
      <c r="A123" s="395"/>
      <c r="B123" s="317"/>
      <c r="C123" s="394"/>
      <c r="D123" s="396"/>
      <c r="E123" s="395"/>
      <c r="F123" s="317"/>
      <c r="G123" s="394"/>
      <c r="H123" s="396"/>
      <c r="I123" s="395"/>
      <c r="J123" s="317"/>
      <c r="K123" s="394"/>
      <c r="L123" s="396"/>
      <c r="M123" s="395"/>
      <c r="N123" s="317"/>
      <c r="O123" s="394"/>
      <c r="P123" s="396"/>
      <c r="Q123" s="403"/>
      <c r="R123" s="404"/>
      <c r="S123" s="405"/>
      <c r="T123" s="401"/>
      <c r="U123" s="403"/>
      <c r="V123" s="404"/>
      <c r="W123" s="405"/>
      <c r="X123" s="401"/>
      <c r="Y123" s="403"/>
      <c r="Z123" s="404"/>
      <c r="AA123" s="405"/>
      <c r="AB123" s="401"/>
      <c r="AC123" s="403"/>
      <c r="AD123" s="404"/>
      <c r="AE123" s="405"/>
      <c r="AF123" s="401"/>
      <c r="AG123" s="403"/>
      <c r="AH123" s="404"/>
      <c r="AI123" s="405"/>
      <c r="AJ123" s="401"/>
      <c r="AK123" s="395"/>
      <c r="AL123" s="317"/>
      <c r="AM123" s="394"/>
      <c r="AN123" s="396"/>
      <c r="AO123" s="200"/>
      <c r="AP123" s="200"/>
    </row>
    <row r="124">
      <c r="A124" s="395"/>
      <c r="B124" s="317"/>
      <c r="C124" s="394"/>
      <c r="D124" s="396"/>
      <c r="E124" s="395"/>
      <c r="F124" s="317"/>
      <c r="G124" s="394"/>
      <c r="H124" s="396"/>
      <c r="I124" s="395"/>
      <c r="J124" s="317"/>
      <c r="K124" s="394"/>
      <c r="L124" s="396"/>
      <c r="M124" s="395"/>
      <c r="N124" s="317"/>
      <c r="O124" s="394"/>
      <c r="P124" s="396"/>
      <c r="Q124" s="403"/>
      <c r="R124" s="404"/>
      <c r="S124" s="405"/>
      <c r="T124" s="401"/>
      <c r="U124" s="403"/>
      <c r="V124" s="404"/>
      <c r="W124" s="405"/>
      <c r="X124" s="401"/>
      <c r="Y124" s="403"/>
      <c r="Z124" s="404"/>
      <c r="AA124" s="405"/>
      <c r="AB124" s="401"/>
      <c r="AC124" s="403"/>
      <c r="AD124" s="404"/>
      <c r="AE124" s="405"/>
      <c r="AF124" s="401"/>
      <c r="AG124" s="403"/>
      <c r="AH124" s="404"/>
      <c r="AI124" s="405"/>
      <c r="AJ124" s="401"/>
      <c r="AK124" s="395"/>
      <c r="AL124" s="317"/>
      <c r="AM124" s="394"/>
      <c r="AN124" s="396"/>
      <c r="AO124" s="200"/>
      <c r="AP124" s="200"/>
    </row>
    <row r="125">
      <c r="A125" s="395"/>
      <c r="B125" s="317"/>
      <c r="C125" s="394"/>
      <c r="D125" s="396"/>
      <c r="E125" s="395"/>
      <c r="F125" s="317"/>
      <c r="G125" s="394"/>
      <c r="H125" s="396"/>
      <c r="I125" s="395"/>
      <c r="J125" s="317"/>
      <c r="K125" s="394"/>
      <c r="L125" s="396"/>
      <c r="M125" s="395"/>
      <c r="N125" s="317"/>
      <c r="O125" s="394"/>
      <c r="P125" s="396"/>
      <c r="Q125" s="403"/>
      <c r="R125" s="404"/>
      <c r="S125" s="405"/>
      <c r="T125" s="401"/>
      <c r="U125" s="403"/>
      <c r="V125" s="404"/>
      <c r="W125" s="405"/>
      <c r="X125" s="401"/>
      <c r="Y125" s="403"/>
      <c r="Z125" s="404"/>
      <c r="AA125" s="405"/>
      <c r="AB125" s="401"/>
      <c r="AC125" s="403"/>
      <c r="AD125" s="404"/>
      <c r="AE125" s="405"/>
      <c r="AF125" s="401"/>
      <c r="AG125" s="403"/>
      <c r="AH125" s="404"/>
      <c r="AI125" s="405"/>
      <c r="AJ125" s="401"/>
      <c r="AK125" s="395"/>
      <c r="AL125" s="317"/>
      <c r="AM125" s="394"/>
      <c r="AN125" s="396"/>
      <c r="AO125" s="200"/>
      <c r="AP125" s="200"/>
    </row>
    <row r="126">
      <c r="A126" s="395"/>
      <c r="B126" s="317"/>
      <c r="C126" s="394"/>
      <c r="D126" s="396"/>
      <c r="E126" s="395"/>
      <c r="F126" s="317"/>
      <c r="G126" s="394"/>
      <c r="H126" s="396"/>
      <c r="I126" s="395"/>
      <c r="J126" s="317"/>
      <c r="K126" s="394"/>
      <c r="L126" s="396"/>
      <c r="M126" s="395"/>
      <c r="N126" s="317"/>
      <c r="O126" s="394"/>
      <c r="P126" s="396"/>
      <c r="Q126" s="403"/>
      <c r="R126" s="404"/>
      <c r="S126" s="405"/>
      <c r="T126" s="401"/>
      <c r="U126" s="403"/>
      <c r="V126" s="404"/>
      <c r="W126" s="405"/>
      <c r="X126" s="401"/>
      <c r="Y126" s="403"/>
      <c r="Z126" s="404"/>
      <c r="AA126" s="405"/>
      <c r="AB126" s="401"/>
      <c r="AC126" s="403"/>
      <c r="AD126" s="404"/>
      <c r="AE126" s="405"/>
      <c r="AF126" s="401"/>
      <c r="AG126" s="403"/>
      <c r="AH126" s="404"/>
      <c r="AI126" s="405"/>
      <c r="AJ126" s="401"/>
      <c r="AK126" s="395"/>
      <c r="AL126" s="317"/>
      <c r="AM126" s="394"/>
      <c r="AN126" s="396"/>
      <c r="AO126" s="200"/>
      <c r="AP126" s="200"/>
    </row>
    <row r="127">
      <c r="A127" s="395"/>
      <c r="B127" s="317"/>
      <c r="C127" s="394"/>
      <c r="D127" s="396"/>
      <c r="E127" s="395"/>
      <c r="F127" s="317"/>
      <c r="G127" s="394"/>
      <c r="H127" s="396"/>
      <c r="I127" s="395"/>
      <c r="J127" s="317"/>
      <c r="K127" s="394"/>
      <c r="L127" s="396"/>
      <c r="M127" s="395"/>
      <c r="N127" s="317"/>
      <c r="O127" s="394"/>
      <c r="P127" s="396"/>
      <c r="Q127" s="403"/>
      <c r="R127" s="404"/>
      <c r="S127" s="405"/>
      <c r="T127" s="401"/>
      <c r="U127" s="403"/>
      <c r="V127" s="404"/>
      <c r="W127" s="405"/>
      <c r="X127" s="401"/>
      <c r="Y127" s="403"/>
      <c r="Z127" s="404"/>
      <c r="AA127" s="405"/>
      <c r="AB127" s="401"/>
      <c r="AC127" s="403"/>
      <c r="AD127" s="404"/>
      <c r="AE127" s="405"/>
      <c r="AF127" s="401"/>
      <c r="AG127" s="403"/>
      <c r="AH127" s="404"/>
      <c r="AI127" s="405"/>
      <c r="AJ127" s="401"/>
      <c r="AK127" s="395"/>
      <c r="AL127" s="317"/>
      <c r="AM127" s="394"/>
      <c r="AN127" s="396"/>
      <c r="AO127" s="200"/>
      <c r="AP127" s="200"/>
    </row>
    <row r="128">
      <c r="A128" s="395"/>
      <c r="B128" s="317"/>
      <c r="C128" s="394"/>
      <c r="D128" s="396"/>
      <c r="E128" s="395"/>
      <c r="F128" s="317"/>
      <c r="G128" s="394"/>
      <c r="H128" s="396"/>
      <c r="I128" s="395"/>
      <c r="J128" s="317"/>
      <c r="K128" s="394"/>
      <c r="L128" s="396"/>
      <c r="M128" s="395"/>
      <c r="N128" s="317"/>
      <c r="O128" s="394"/>
      <c r="P128" s="396"/>
      <c r="Q128" s="403"/>
      <c r="R128" s="404"/>
      <c r="S128" s="405"/>
      <c r="T128" s="401"/>
      <c r="U128" s="403"/>
      <c r="V128" s="404"/>
      <c r="W128" s="405"/>
      <c r="X128" s="401"/>
      <c r="Y128" s="403"/>
      <c r="Z128" s="404"/>
      <c r="AA128" s="405"/>
      <c r="AB128" s="401"/>
      <c r="AC128" s="403"/>
      <c r="AD128" s="404"/>
      <c r="AE128" s="405"/>
      <c r="AF128" s="401"/>
      <c r="AG128" s="403"/>
      <c r="AH128" s="404"/>
      <c r="AI128" s="405"/>
      <c r="AJ128" s="401"/>
      <c r="AK128" s="395"/>
      <c r="AL128" s="317"/>
      <c r="AM128" s="394"/>
      <c r="AN128" s="396"/>
      <c r="AO128" s="200"/>
      <c r="AP128" s="200"/>
    </row>
    <row r="129">
      <c r="A129" s="395"/>
      <c r="B129" s="317"/>
      <c r="C129" s="394"/>
      <c r="D129" s="396"/>
      <c r="E129" s="395"/>
      <c r="F129" s="317"/>
      <c r="G129" s="394"/>
      <c r="H129" s="396"/>
      <c r="I129" s="395"/>
      <c r="J129" s="317"/>
      <c r="K129" s="394"/>
      <c r="L129" s="396"/>
      <c r="M129" s="395"/>
      <c r="N129" s="317"/>
      <c r="O129" s="394"/>
      <c r="P129" s="396"/>
      <c r="Q129" s="403"/>
      <c r="R129" s="404"/>
      <c r="S129" s="405"/>
      <c r="T129" s="401"/>
      <c r="U129" s="403"/>
      <c r="V129" s="404"/>
      <c r="W129" s="405"/>
      <c r="X129" s="401"/>
      <c r="Y129" s="403"/>
      <c r="Z129" s="404"/>
      <c r="AA129" s="405"/>
      <c r="AB129" s="401"/>
      <c r="AC129" s="403"/>
      <c r="AD129" s="404"/>
      <c r="AE129" s="405"/>
      <c r="AF129" s="401"/>
      <c r="AG129" s="403"/>
      <c r="AH129" s="404"/>
      <c r="AI129" s="405"/>
      <c r="AJ129" s="401"/>
      <c r="AK129" s="395"/>
      <c r="AL129" s="317"/>
      <c r="AM129" s="394"/>
      <c r="AN129" s="396"/>
      <c r="AO129" s="200"/>
      <c r="AP129" s="200"/>
    </row>
    <row r="130">
      <c r="A130" s="395"/>
      <c r="B130" s="317"/>
      <c r="C130" s="394"/>
      <c r="D130" s="396"/>
      <c r="E130" s="395"/>
      <c r="F130" s="317"/>
      <c r="G130" s="394"/>
      <c r="H130" s="396"/>
      <c r="I130" s="395"/>
      <c r="J130" s="317"/>
      <c r="K130" s="394"/>
      <c r="L130" s="396"/>
      <c r="M130" s="395"/>
      <c r="N130" s="317"/>
      <c r="O130" s="394"/>
      <c r="P130" s="396"/>
      <c r="Q130" s="403"/>
      <c r="R130" s="404"/>
      <c r="S130" s="405"/>
      <c r="T130" s="401"/>
      <c r="U130" s="403"/>
      <c r="V130" s="404"/>
      <c r="W130" s="405"/>
      <c r="X130" s="401"/>
      <c r="Y130" s="403"/>
      <c r="Z130" s="404"/>
      <c r="AA130" s="405"/>
      <c r="AB130" s="401"/>
      <c r="AC130" s="403"/>
      <c r="AD130" s="404"/>
      <c r="AE130" s="405"/>
      <c r="AF130" s="401"/>
      <c r="AG130" s="403"/>
      <c r="AH130" s="404"/>
      <c r="AI130" s="405"/>
      <c r="AJ130" s="401"/>
      <c r="AK130" s="395"/>
      <c r="AL130" s="317"/>
      <c r="AM130" s="394"/>
      <c r="AN130" s="396"/>
      <c r="AO130" s="200"/>
      <c r="AP130" s="200"/>
    </row>
    <row r="131">
      <c r="A131" s="395"/>
      <c r="B131" s="317"/>
      <c r="C131" s="394"/>
      <c r="D131" s="396"/>
      <c r="E131" s="395"/>
      <c r="F131" s="317"/>
      <c r="G131" s="394"/>
      <c r="H131" s="396"/>
      <c r="I131" s="395"/>
      <c r="J131" s="317"/>
      <c r="K131" s="394"/>
      <c r="L131" s="396"/>
      <c r="M131" s="395"/>
      <c r="N131" s="317"/>
      <c r="O131" s="394"/>
      <c r="P131" s="396"/>
      <c r="Q131" s="403"/>
      <c r="R131" s="404"/>
      <c r="S131" s="405"/>
      <c r="T131" s="401"/>
      <c r="U131" s="403"/>
      <c r="V131" s="404"/>
      <c r="W131" s="405"/>
      <c r="X131" s="401"/>
      <c r="Y131" s="403"/>
      <c r="Z131" s="404"/>
      <c r="AA131" s="405"/>
      <c r="AB131" s="401"/>
      <c r="AC131" s="403"/>
      <c r="AD131" s="404"/>
      <c r="AE131" s="405"/>
      <c r="AF131" s="401"/>
      <c r="AG131" s="403"/>
      <c r="AH131" s="404"/>
      <c r="AI131" s="405"/>
      <c r="AJ131" s="401"/>
      <c r="AK131" s="395"/>
      <c r="AL131" s="317"/>
      <c r="AM131" s="394"/>
      <c r="AN131" s="396"/>
      <c r="AO131" s="200"/>
      <c r="AP131" s="200"/>
    </row>
    <row r="132">
      <c r="A132" s="395"/>
      <c r="B132" s="317"/>
      <c r="C132" s="394"/>
      <c r="D132" s="396"/>
      <c r="E132" s="395"/>
      <c r="F132" s="317"/>
      <c r="G132" s="394"/>
      <c r="H132" s="396"/>
      <c r="I132" s="395"/>
      <c r="J132" s="317"/>
      <c r="K132" s="394"/>
      <c r="L132" s="396"/>
      <c r="M132" s="395"/>
      <c r="N132" s="317"/>
      <c r="O132" s="394"/>
      <c r="P132" s="396"/>
      <c r="Q132" s="403"/>
      <c r="R132" s="404"/>
      <c r="S132" s="405"/>
      <c r="T132" s="401"/>
      <c r="U132" s="403"/>
      <c r="V132" s="404"/>
      <c r="W132" s="405"/>
      <c r="X132" s="401"/>
      <c r="Y132" s="403"/>
      <c r="Z132" s="404"/>
      <c r="AA132" s="405"/>
      <c r="AB132" s="401"/>
      <c r="AC132" s="403"/>
      <c r="AD132" s="404"/>
      <c r="AE132" s="405"/>
      <c r="AF132" s="401"/>
      <c r="AG132" s="403"/>
      <c r="AH132" s="404"/>
      <c r="AI132" s="405"/>
      <c r="AJ132" s="401"/>
      <c r="AK132" s="395"/>
      <c r="AL132" s="317"/>
      <c r="AM132" s="394"/>
      <c r="AN132" s="396"/>
      <c r="AO132" s="200"/>
      <c r="AP132" s="200"/>
    </row>
    <row r="133">
      <c r="A133" s="395"/>
      <c r="B133" s="317"/>
      <c r="C133" s="394"/>
      <c r="D133" s="396"/>
      <c r="E133" s="395"/>
      <c r="F133" s="317"/>
      <c r="G133" s="394"/>
      <c r="H133" s="396"/>
      <c r="I133" s="395"/>
      <c r="J133" s="317"/>
      <c r="K133" s="394"/>
      <c r="L133" s="396"/>
      <c r="M133" s="395"/>
      <c r="N133" s="317"/>
      <c r="O133" s="394"/>
      <c r="P133" s="396"/>
      <c r="Q133" s="403"/>
      <c r="R133" s="404"/>
      <c r="S133" s="405"/>
      <c r="T133" s="401"/>
      <c r="U133" s="403"/>
      <c r="V133" s="404"/>
      <c r="W133" s="405"/>
      <c r="X133" s="401"/>
      <c r="Y133" s="403"/>
      <c r="Z133" s="404"/>
      <c r="AA133" s="405"/>
      <c r="AB133" s="401"/>
      <c r="AC133" s="403"/>
      <c r="AD133" s="404"/>
      <c r="AE133" s="405"/>
      <c r="AF133" s="401"/>
      <c r="AG133" s="403"/>
      <c r="AH133" s="404"/>
      <c r="AI133" s="405"/>
      <c r="AJ133" s="401"/>
      <c r="AK133" s="395"/>
      <c r="AL133" s="317"/>
      <c r="AM133" s="394"/>
      <c r="AN133" s="396"/>
      <c r="AO133" s="200"/>
      <c r="AP133" s="200"/>
    </row>
    <row r="134">
      <c r="A134" s="395"/>
      <c r="B134" s="317"/>
      <c r="C134" s="394"/>
      <c r="D134" s="396"/>
      <c r="E134" s="395"/>
      <c r="F134" s="317"/>
      <c r="G134" s="394"/>
      <c r="H134" s="396"/>
      <c r="I134" s="395"/>
      <c r="J134" s="317"/>
      <c r="K134" s="394"/>
      <c r="L134" s="396"/>
      <c r="M134" s="395"/>
      <c r="N134" s="317"/>
      <c r="O134" s="394"/>
      <c r="P134" s="396"/>
      <c r="Q134" s="403"/>
      <c r="R134" s="404"/>
      <c r="S134" s="405"/>
      <c r="T134" s="401"/>
      <c r="U134" s="403"/>
      <c r="V134" s="404"/>
      <c r="W134" s="405"/>
      <c r="X134" s="401"/>
      <c r="Y134" s="403"/>
      <c r="Z134" s="404"/>
      <c r="AA134" s="405"/>
      <c r="AB134" s="401"/>
      <c r="AC134" s="403"/>
      <c r="AD134" s="404"/>
      <c r="AE134" s="405"/>
      <c r="AF134" s="401"/>
      <c r="AG134" s="403"/>
      <c r="AH134" s="404"/>
      <c r="AI134" s="405"/>
      <c r="AJ134" s="401"/>
      <c r="AK134" s="395"/>
      <c r="AL134" s="317"/>
      <c r="AM134" s="394"/>
      <c r="AN134" s="396"/>
      <c r="AO134" s="200"/>
      <c r="AP134" s="200"/>
    </row>
    <row r="135">
      <c r="A135" s="395"/>
      <c r="B135" s="317"/>
      <c r="C135" s="394"/>
      <c r="D135" s="396"/>
      <c r="E135" s="395"/>
      <c r="F135" s="317"/>
      <c r="G135" s="394"/>
      <c r="H135" s="396"/>
      <c r="I135" s="395"/>
      <c r="J135" s="317"/>
      <c r="K135" s="394"/>
      <c r="L135" s="396"/>
      <c r="M135" s="395"/>
      <c r="N135" s="317"/>
      <c r="O135" s="394"/>
      <c r="P135" s="396"/>
      <c r="Q135" s="403"/>
      <c r="R135" s="404"/>
      <c r="S135" s="405"/>
      <c r="T135" s="401"/>
      <c r="U135" s="403"/>
      <c r="V135" s="404"/>
      <c r="W135" s="405"/>
      <c r="X135" s="401"/>
      <c r="Y135" s="403"/>
      <c r="Z135" s="404"/>
      <c r="AA135" s="405"/>
      <c r="AB135" s="401"/>
      <c r="AC135" s="403"/>
      <c r="AD135" s="404"/>
      <c r="AE135" s="405"/>
      <c r="AF135" s="401"/>
      <c r="AG135" s="403"/>
      <c r="AH135" s="404"/>
      <c r="AI135" s="405"/>
      <c r="AJ135" s="401"/>
      <c r="AK135" s="395"/>
      <c r="AL135" s="317"/>
      <c r="AM135" s="394"/>
      <c r="AN135" s="396"/>
      <c r="AO135" s="200"/>
      <c r="AP135" s="200"/>
    </row>
    <row r="136">
      <c r="A136" s="395"/>
      <c r="B136" s="317"/>
      <c r="C136" s="394"/>
      <c r="D136" s="396"/>
      <c r="E136" s="395"/>
      <c r="F136" s="317"/>
      <c r="G136" s="394"/>
      <c r="H136" s="396"/>
      <c r="I136" s="395"/>
      <c r="J136" s="317"/>
      <c r="K136" s="394"/>
      <c r="L136" s="396"/>
      <c r="M136" s="395"/>
      <c r="N136" s="317"/>
      <c r="O136" s="394"/>
      <c r="P136" s="396"/>
      <c r="Q136" s="403"/>
      <c r="R136" s="404"/>
      <c r="S136" s="405"/>
      <c r="T136" s="401"/>
      <c r="U136" s="403"/>
      <c r="V136" s="404"/>
      <c r="W136" s="405"/>
      <c r="X136" s="401"/>
      <c r="Y136" s="403"/>
      <c r="Z136" s="404"/>
      <c r="AA136" s="405"/>
      <c r="AB136" s="401"/>
      <c r="AC136" s="403"/>
      <c r="AD136" s="404"/>
      <c r="AE136" s="405"/>
      <c r="AF136" s="401"/>
      <c r="AG136" s="403"/>
      <c r="AH136" s="404"/>
      <c r="AI136" s="405"/>
      <c r="AJ136" s="401"/>
      <c r="AK136" s="395"/>
      <c r="AL136" s="317"/>
      <c r="AM136" s="394"/>
      <c r="AN136" s="396"/>
      <c r="AO136" s="200"/>
      <c r="AP136" s="200"/>
    </row>
    <row r="137">
      <c r="A137" s="395"/>
      <c r="B137" s="317"/>
      <c r="C137" s="394"/>
      <c r="D137" s="396"/>
      <c r="E137" s="395"/>
      <c r="F137" s="317"/>
      <c r="G137" s="394"/>
      <c r="H137" s="396"/>
      <c r="I137" s="395"/>
      <c r="J137" s="317"/>
      <c r="K137" s="394"/>
      <c r="L137" s="396"/>
      <c r="M137" s="395"/>
      <c r="N137" s="317"/>
      <c r="O137" s="394"/>
      <c r="P137" s="396"/>
      <c r="Q137" s="403"/>
      <c r="R137" s="404"/>
      <c r="S137" s="405"/>
      <c r="T137" s="401"/>
      <c r="U137" s="403"/>
      <c r="V137" s="404"/>
      <c r="W137" s="405"/>
      <c r="X137" s="401"/>
      <c r="Y137" s="403"/>
      <c r="Z137" s="404"/>
      <c r="AA137" s="405"/>
      <c r="AB137" s="401"/>
      <c r="AC137" s="403"/>
      <c r="AD137" s="404"/>
      <c r="AE137" s="405"/>
      <c r="AF137" s="401"/>
      <c r="AG137" s="403"/>
      <c r="AH137" s="404"/>
      <c r="AI137" s="405"/>
      <c r="AJ137" s="401"/>
      <c r="AK137" s="395"/>
      <c r="AL137" s="317"/>
      <c r="AM137" s="394"/>
      <c r="AN137" s="396"/>
      <c r="AO137" s="200"/>
      <c r="AP137" s="200"/>
    </row>
    <row r="138">
      <c r="A138" s="395"/>
      <c r="B138" s="317"/>
      <c r="C138" s="394"/>
      <c r="D138" s="396"/>
      <c r="E138" s="395"/>
      <c r="F138" s="317"/>
      <c r="G138" s="394"/>
      <c r="H138" s="396"/>
      <c r="I138" s="395"/>
      <c r="J138" s="317"/>
      <c r="K138" s="394"/>
      <c r="L138" s="396"/>
      <c r="M138" s="395"/>
      <c r="N138" s="317"/>
      <c r="O138" s="394"/>
      <c r="P138" s="396"/>
      <c r="Q138" s="403"/>
      <c r="R138" s="404"/>
      <c r="S138" s="405"/>
      <c r="T138" s="401"/>
      <c r="U138" s="403"/>
      <c r="V138" s="404"/>
      <c r="W138" s="405"/>
      <c r="X138" s="401"/>
      <c r="Y138" s="403"/>
      <c r="Z138" s="404"/>
      <c r="AA138" s="405"/>
      <c r="AB138" s="401"/>
      <c r="AC138" s="403"/>
      <c r="AD138" s="404"/>
      <c r="AE138" s="405"/>
      <c r="AF138" s="401"/>
      <c r="AG138" s="403"/>
      <c r="AH138" s="404"/>
      <c r="AI138" s="405"/>
      <c r="AJ138" s="401"/>
      <c r="AK138" s="395"/>
      <c r="AL138" s="317"/>
      <c r="AM138" s="394"/>
      <c r="AN138" s="396"/>
      <c r="AO138" s="200"/>
      <c r="AP138" s="200"/>
    </row>
    <row r="139">
      <c r="A139" s="395"/>
      <c r="B139" s="317"/>
      <c r="C139" s="394"/>
      <c r="D139" s="396"/>
      <c r="E139" s="395"/>
      <c r="F139" s="317"/>
      <c r="G139" s="394"/>
      <c r="H139" s="396"/>
      <c r="I139" s="395"/>
      <c r="J139" s="317"/>
      <c r="K139" s="394"/>
      <c r="L139" s="396"/>
      <c r="M139" s="395"/>
      <c r="N139" s="317"/>
      <c r="O139" s="394"/>
      <c r="P139" s="396"/>
      <c r="Q139" s="403"/>
      <c r="R139" s="404"/>
      <c r="S139" s="405"/>
      <c r="T139" s="401"/>
      <c r="U139" s="403"/>
      <c r="V139" s="404"/>
      <c r="W139" s="405"/>
      <c r="X139" s="401"/>
      <c r="Y139" s="403"/>
      <c r="Z139" s="404"/>
      <c r="AA139" s="405"/>
      <c r="AB139" s="401"/>
      <c r="AC139" s="403"/>
      <c r="AD139" s="404"/>
      <c r="AE139" s="405"/>
      <c r="AF139" s="401"/>
      <c r="AG139" s="403"/>
      <c r="AH139" s="404"/>
      <c r="AI139" s="405"/>
      <c r="AJ139" s="401"/>
      <c r="AK139" s="395"/>
      <c r="AL139" s="317"/>
      <c r="AM139" s="394"/>
      <c r="AN139" s="396"/>
      <c r="AO139" s="200"/>
      <c r="AP139" s="200"/>
    </row>
    <row r="140">
      <c r="A140" s="395"/>
      <c r="B140" s="317"/>
      <c r="C140" s="394"/>
      <c r="D140" s="396"/>
      <c r="E140" s="395"/>
      <c r="F140" s="317"/>
      <c r="G140" s="394"/>
      <c r="H140" s="396"/>
      <c r="I140" s="395"/>
      <c r="J140" s="317"/>
      <c r="K140" s="394"/>
      <c r="L140" s="396"/>
      <c r="M140" s="395"/>
      <c r="N140" s="317"/>
      <c r="O140" s="394"/>
      <c r="P140" s="396"/>
      <c r="Q140" s="403"/>
      <c r="R140" s="404"/>
      <c r="S140" s="405"/>
      <c r="T140" s="401"/>
      <c r="U140" s="403"/>
      <c r="V140" s="404"/>
      <c r="W140" s="405"/>
      <c r="X140" s="401"/>
      <c r="Y140" s="403"/>
      <c r="Z140" s="404"/>
      <c r="AA140" s="405"/>
      <c r="AB140" s="401"/>
      <c r="AC140" s="403"/>
      <c r="AD140" s="404"/>
      <c r="AE140" s="405"/>
      <c r="AF140" s="401"/>
      <c r="AG140" s="403"/>
      <c r="AH140" s="404"/>
      <c r="AI140" s="405"/>
      <c r="AJ140" s="401"/>
      <c r="AK140" s="395"/>
      <c r="AL140" s="317"/>
      <c r="AM140" s="394"/>
      <c r="AN140" s="396"/>
      <c r="AO140" s="200"/>
      <c r="AP140" s="200"/>
    </row>
    <row r="141">
      <c r="A141" s="395"/>
      <c r="B141" s="317"/>
      <c r="C141" s="394"/>
      <c r="D141" s="396"/>
      <c r="E141" s="395"/>
      <c r="F141" s="317"/>
      <c r="G141" s="394"/>
      <c r="H141" s="396"/>
      <c r="I141" s="395"/>
      <c r="J141" s="317"/>
      <c r="K141" s="394"/>
      <c r="L141" s="396"/>
      <c r="M141" s="395"/>
      <c r="N141" s="317"/>
      <c r="O141" s="394"/>
      <c r="P141" s="396"/>
      <c r="Q141" s="403"/>
      <c r="R141" s="404"/>
      <c r="S141" s="405"/>
      <c r="T141" s="401"/>
      <c r="U141" s="403"/>
      <c r="V141" s="404"/>
      <c r="W141" s="405"/>
      <c r="X141" s="401"/>
      <c r="Y141" s="403"/>
      <c r="Z141" s="404"/>
      <c r="AA141" s="405"/>
      <c r="AB141" s="401"/>
      <c r="AC141" s="403"/>
      <c r="AD141" s="404"/>
      <c r="AE141" s="405"/>
      <c r="AF141" s="401"/>
      <c r="AG141" s="403"/>
      <c r="AH141" s="404"/>
      <c r="AI141" s="405"/>
      <c r="AJ141" s="401"/>
      <c r="AK141" s="395"/>
      <c r="AL141" s="317"/>
      <c r="AM141" s="394"/>
      <c r="AN141" s="396"/>
      <c r="AO141" s="200"/>
      <c r="AP141" s="200"/>
    </row>
    <row r="142">
      <c r="A142" s="395"/>
      <c r="B142" s="317"/>
      <c r="C142" s="394"/>
      <c r="D142" s="396"/>
      <c r="E142" s="395"/>
      <c r="F142" s="317"/>
      <c r="G142" s="394"/>
      <c r="H142" s="396"/>
      <c r="I142" s="395"/>
      <c r="J142" s="317"/>
      <c r="K142" s="394"/>
      <c r="L142" s="396"/>
      <c r="M142" s="395"/>
      <c r="N142" s="317"/>
      <c r="O142" s="394"/>
      <c r="P142" s="396"/>
      <c r="Q142" s="403"/>
      <c r="R142" s="404"/>
      <c r="S142" s="405"/>
      <c r="T142" s="401"/>
      <c r="U142" s="403"/>
      <c r="V142" s="404"/>
      <c r="W142" s="405"/>
      <c r="X142" s="401"/>
      <c r="Y142" s="403"/>
      <c r="Z142" s="404"/>
      <c r="AA142" s="405"/>
      <c r="AB142" s="401"/>
      <c r="AC142" s="403"/>
      <c r="AD142" s="404"/>
      <c r="AE142" s="405"/>
      <c r="AF142" s="401"/>
      <c r="AG142" s="403"/>
      <c r="AH142" s="404"/>
      <c r="AI142" s="405"/>
      <c r="AJ142" s="401"/>
      <c r="AK142" s="395"/>
      <c r="AL142" s="317"/>
      <c r="AM142" s="394"/>
      <c r="AN142" s="396"/>
      <c r="AO142" s="200"/>
      <c r="AP142" s="200"/>
    </row>
    <row r="143">
      <c r="A143" s="395"/>
      <c r="B143" s="317"/>
      <c r="C143" s="394"/>
      <c r="D143" s="396"/>
      <c r="E143" s="395"/>
      <c r="F143" s="317"/>
      <c r="G143" s="394"/>
      <c r="H143" s="396"/>
      <c r="I143" s="395"/>
      <c r="J143" s="317"/>
      <c r="K143" s="394"/>
      <c r="L143" s="396"/>
      <c r="M143" s="395"/>
      <c r="N143" s="317"/>
      <c r="O143" s="394"/>
      <c r="P143" s="396"/>
      <c r="Q143" s="403"/>
      <c r="R143" s="404"/>
      <c r="S143" s="405"/>
      <c r="T143" s="401"/>
      <c r="U143" s="403"/>
      <c r="V143" s="404"/>
      <c r="W143" s="405"/>
      <c r="X143" s="401"/>
      <c r="Y143" s="403"/>
      <c r="Z143" s="404"/>
      <c r="AA143" s="405"/>
      <c r="AB143" s="401"/>
      <c r="AC143" s="403"/>
      <c r="AD143" s="404"/>
      <c r="AE143" s="405"/>
      <c r="AF143" s="401"/>
      <c r="AG143" s="403"/>
      <c r="AH143" s="404"/>
      <c r="AI143" s="405"/>
      <c r="AJ143" s="401"/>
      <c r="AK143" s="395"/>
      <c r="AL143" s="317"/>
      <c r="AM143" s="394"/>
      <c r="AN143" s="396"/>
      <c r="AO143" s="200"/>
      <c r="AP143" s="200"/>
    </row>
    <row r="144">
      <c r="A144" s="395"/>
      <c r="B144" s="317"/>
      <c r="C144" s="394"/>
      <c r="D144" s="396"/>
      <c r="E144" s="395"/>
      <c r="F144" s="317"/>
      <c r="G144" s="394"/>
      <c r="H144" s="396"/>
      <c r="I144" s="395"/>
      <c r="J144" s="317"/>
      <c r="K144" s="394"/>
      <c r="L144" s="396"/>
      <c r="M144" s="395"/>
      <c r="N144" s="317"/>
      <c r="O144" s="394"/>
      <c r="P144" s="396"/>
      <c r="Q144" s="403"/>
      <c r="R144" s="404"/>
      <c r="S144" s="405"/>
      <c r="T144" s="401"/>
      <c r="U144" s="403"/>
      <c r="V144" s="404"/>
      <c r="W144" s="405"/>
      <c r="X144" s="401"/>
      <c r="Y144" s="403"/>
      <c r="Z144" s="404"/>
      <c r="AA144" s="405"/>
      <c r="AB144" s="401"/>
      <c r="AC144" s="403"/>
      <c r="AD144" s="404"/>
      <c r="AE144" s="405"/>
      <c r="AF144" s="401"/>
      <c r="AG144" s="403"/>
      <c r="AH144" s="404"/>
      <c r="AI144" s="405"/>
      <c r="AJ144" s="401"/>
      <c r="AK144" s="395"/>
      <c r="AL144" s="317"/>
      <c r="AM144" s="394"/>
      <c r="AN144" s="396"/>
      <c r="AO144" s="200"/>
      <c r="AP144" s="200"/>
    </row>
    <row r="145">
      <c r="A145" s="395"/>
      <c r="B145" s="317"/>
      <c r="C145" s="394"/>
      <c r="D145" s="396"/>
      <c r="E145" s="395"/>
      <c r="F145" s="317"/>
      <c r="G145" s="394"/>
      <c r="H145" s="396"/>
      <c r="I145" s="395"/>
      <c r="J145" s="317"/>
      <c r="K145" s="394"/>
      <c r="L145" s="396"/>
      <c r="M145" s="395"/>
      <c r="N145" s="317"/>
      <c r="O145" s="394"/>
      <c r="P145" s="396"/>
      <c r="Q145" s="403"/>
      <c r="R145" s="404"/>
      <c r="S145" s="405"/>
      <c r="T145" s="401"/>
      <c r="U145" s="403"/>
      <c r="V145" s="404"/>
      <c r="W145" s="405"/>
      <c r="X145" s="401"/>
      <c r="Y145" s="403"/>
      <c r="Z145" s="404"/>
      <c r="AA145" s="405"/>
      <c r="AB145" s="401"/>
      <c r="AC145" s="403"/>
      <c r="AD145" s="404"/>
      <c r="AE145" s="405"/>
      <c r="AF145" s="401"/>
      <c r="AG145" s="403"/>
      <c r="AH145" s="404"/>
      <c r="AI145" s="405"/>
      <c r="AJ145" s="401"/>
      <c r="AK145" s="395"/>
      <c r="AL145" s="317"/>
      <c r="AM145" s="394"/>
      <c r="AN145" s="396"/>
      <c r="AO145" s="200"/>
      <c r="AP145" s="200"/>
    </row>
    <row r="146">
      <c r="A146" s="395"/>
      <c r="B146" s="317"/>
      <c r="C146" s="394"/>
      <c r="D146" s="396"/>
      <c r="E146" s="395"/>
      <c r="F146" s="317"/>
      <c r="G146" s="394"/>
      <c r="H146" s="396"/>
      <c r="I146" s="395"/>
      <c r="J146" s="317"/>
      <c r="K146" s="394"/>
      <c r="L146" s="396"/>
      <c r="M146" s="395"/>
      <c r="N146" s="317"/>
      <c r="O146" s="394"/>
      <c r="P146" s="396"/>
      <c r="Q146" s="403"/>
      <c r="R146" s="404"/>
      <c r="S146" s="405"/>
      <c r="T146" s="401"/>
      <c r="U146" s="403"/>
      <c r="V146" s="404"/>
      <c r="W146" s="405"/>
      <c r="X146" s="401"/>
      <c r="Y146" s="403"/>
      <c r="Z146" s="404"/>
      <c r="AA146" s="405"/>
      <c r="AB146" s="401"/>
      <c r="AC146" s="403"/>
      <c r="AD146" s="404"/>
      <c r="AE146" s="405"/>
      <c r="AF146" s="401"/>
      <c r="AG146" s="403"/>
      <c r="AH146" s="404"/>
      <c r="AI146" s="405"/>
      <c r="AJ146" s="401"/>
      <c r="AK146" s="395"/>
      <c r="AL146" s="317"/>
      <c r="AM146" s="394"/>
      <c r="AN146" s="396"/>
      <c r="AO146" s="200"/>
      <c r="AP146" s="200"/>
    </row>
    <row r="147">
      <c r="A147" s="395"/>
      <c r="B147" s="317"/>
      <c r="C147" s="394"/>
      <c r="D147" s="396"/>
      <c r="E147" s="395"/>
      <c r="F147" s="317"/>
      <c r="G147" s="394"/>
      <c r="H147" s="396"/>
      <c r="I147" s="395"/>
      <c r="J147" s="317"/>
      <c r="K147" s="394"/>
      <c r="L147" s="396"/>
      <c r="M147" s="395"/>
      <c r="N147" s="317"/>
      <c r="O147" s="394"/>
      <c r="P147" s="396"/>
      <c r="Q147" s="403"/>
      <c r="R147" s="404"/>
      <c r="S147" s="405"/>
      <c r="T147" s="401"/>
      <c r="U147" s="403"/>
      <c r="V147" s="404"/>
      <c r="W147" s="405"/>
      <c r="X147" s="401"/>
      <c r="Y147" s="403"/>
      <c r="Z147" s="404"/>
      <c r="AA147" s="405"/>
      <c r="AB147" s="401"/>
      <c r="AC147" s="403"/>
      <c r="AD147" s="404"/>
      <c r="AE147" s="405"/>
      <c r="AF147" s="401"/>
      <c r="AG147" s="403"/>
      <c r="AH147" s="404"/>
      <c r="AI147" s="405"/>
      <c r="AJ147" s="401"/>
      <c r="AK147" s="395"/>
      <c r="AL147" s="317"/>
      <c r="AM147" s="394"/>
      <c r="AN147" s="396"/>
      <c r="AO147" s="200"/>
      <c r="AP147" s="200"/>
    </row>
    <row r="148">
      <c r="A148" s="395"/>
      <c r="B148" s="317"/>
      <c r="C148" s="394"/>
      <c r="D148" s="396"/>
      <c r="E148" s="395"/>
      <c r="F148" s="317"/>
      <c r="G148" s="394"/>
      <c r="H148" s="396"/>
      <c r="I148" s="395"/>
      <c r="J148" s="317"/>
      <c r="K148" s="394"/>
      <c r="L148" s="396"/>
      <c r="M148" s="395"/>
      <c r="N148" s="317"/>
      <c r="O148" s="394"/>
      <c r="P148" s="396"/>
      <c r="Q148" s="403"/>
      <c r="R148" s="404"/>
      <c r="S148" s="405"/>
      <c r="T148" s="401"/>
      <c r="U148" s="403"/>
      <c r="V148" s="404"/>
      <c r="W148" s="405"/>
      <c r="X148" s="401"/>
      <c r="Y148" s="403"/>
      <c r="Z148" s="404"/>
      <c r="AA148" s="405"/>
      <c r="AB148" s="401"/>
      <c r="AC148" s="403"/>
      <c r="AD148" s="404"/>
      <c r="AE148" s="405"/>
      <c r="AF148" s="401"/>
      <c r="AG148" s="403"/>
      <c r="AH148" s="404"/>
      <c r="AI148" s="405"/>
      <c r="AJ148" s="401"/>
      <c r="AK148" s="395"/>
      <c r="AL148" s="317"/>
      <c r="AM148" s="394"/>
      <c r="AN148" s="396"/>
      <c r="AO148" s="200"/>
      <c r="AP148" s="200"/>
    </row>
    <row r="149">
      <c r="A149" s="395"/>
      <c r="B149" s="317"/>
      <c r="C149" s="394"/>
      <c r="D149" s="396"/>
      <c r="E149" s="395"/>
      <c r="F149" s="317"/>
      <c r="G149" s="394"/>
      <c r="H149" s="396"/>
      <c r="I149" s="395"/>
      <c r="J149" s="317"/>
      <c r="K149" s="394"/>
      <c r="L149" s="396"/>
      <c r="M149" s="395"/>
      <c r="N149" s="317"/>
      <c r="O149" s="394"/>
      <c r="P149" s="396"/>
      <c r="Q149" s="403"/>
      <c r="R149" s="404"/>
      <c r="S149" s="405"/>
      <c r="T149" s="401"/>
      <c r="U149" s="403"/>
      <c r="V149" s="404"/>
      <c r="W149" s="405"/>
      <c r="X149" s="401"/>
      <c r="Y149" s="403"/>
      <c r="Z149" s="404"/>
      <c r="AA149" s="405"/>
      <c r="AB149" s="401"/>
      <c r="AC149" s="403"/>
      <c r="AD149" s="404"/>
      <c r="AE149" s="405"/>
      <c r="AF149" s="401"/>
      <c r="AG149" s="403"/>
      <c r="AH149" s="404"/>
      <c r="AI149" s="405"/>
      <c r="AJ149" s="401"/>
      <c r="AK149" s="395"/>
      <c r="AL149" s="317"/>
      <c r="AM149" s="394"/>
      <c r="AN149" s="396"/>
      <c r="AO149" s="200"/>
      <c r="AP149" s="200"/>
    </row>
    <row r="150">
      <c r="A150" s="395"/>
      <c r="B150" s="317"/>
      <c r="C150" s="394"/>
      <c r="D150" s="396"/>
      <c r="E150" s="395"/>
      <c r="F150" s="317"/>
      <c r="G150" s="394"/>
      <c r="H150" s="396"/>
      <c r="I150" s="395"/>
      <c r="J150" s="317"/>
      <c r="K150" s="394"/>
      <c r="L150" s="396"/>
      <c r="M150" s="395"/>
      <c r="N150" s="317"/>
      <c r="O150" s="394"/>
      <c r="P150" s="396"/>
      <c r="Q150" s="403"/>
      <c r="R150" s="404"/>
      <c r="S150" s="405"/>
      <c r="T150" s="401"/>
      <c r="U150" s="403"/>
      <c r="V150" s="404"/>
      <c r="W150" s="405"/>
      <c r="X150" s="401"/>
      <c r="Y150" s="403"/>
      <c r="Z150" s="404"/>
      <c r="AA150" s="405"/>
      <c r="AB150" s="401"/>
      <c r="AC150" s="403"/>
      <c r="AD150" s="404"/>
      <c r="AE150" s="405"/>
      <c r="AF150" s="401"/>
      <c r="AG150" s="403"/>
      <c r="AH150" s="404"/>
      <c r="AI150" s="405"/>
      <c r="AJ150" s="401"/>
      <c r="AK150" s="395"/>
      <c r="AL150" s="317"/>
      <c r="AM150" s="394"/>
      <c r="AN150" s="396"/>
      <c r="AO150" s="200"/>
      <c r="AP150" s="200"/>
    </row>
    <row r="151">
      <c r="A151" s="395"/>
      <c r="B151" s="317"/>
      <c r="C151" s="394"/>
      <c r="D151" s="396"/>
      <c r="E151" s="395"/>
      <c r="F151" s="317"/>
      <c r="G151" s="394"/>
      <c r="H151" s="396"/>
      <c r="I151" s="395"/>
      <c r="J151" s="317"/>
      <c r="K151" s="394"/>
      <c r="L151" s="396"/>
      <c r="M151" s="395"/>
      <c r="N151" s="317"/>
      <c r="O151" s="394"/>
      <c r="P151" s="396"/>
      <c r="Q151" s="403"/>
      <c r="R151" s="404"/>
      <c r="S151" s="405"/>
      <c r="T151" s="401"/>
      <c r="U151" s="403"/>
      <c r="V151" s="404"/>
      <c r="W151" s="405"/>
      <c r="X151" s="401"/>
      <c r="Y151" s="403"/>
      <c r="Z151" s="404"/>
      <c r="AA151" s="405"/>
      <c r="AB151" s="401"/>
      <c r="AC151" s="403"/>
      <c r="AD151" s="404"/>
      <c r="AE151" s="405"/>
      <c r="AF151" s="401"/>
      <c r="AG151" s="403"/>
      <c r="AH151" s="404"/>
      <c r="AI151" s="405"/>
      <c r="AJ151" s="401"/>
      <c r="AK151" s="395"/>
      <c r="AL151" s="317"/>
      <c r="AM151" s="394"/>
      <c r="AN151" s="396"/>
      <c r="AO151" s="200"/>
      <c r="AP151" s="200"/>
    </row>
    <row r="152">
      <c r="A152" s="395"/>
      <c r="B152" s="317"/>
      <c r="C152" s="394"/>
      <c r="D152" s="396"/>
      <c r="E152" s="395"/>
      <c r="F152" s="317"/>
      <c r="G152" s="394"/>
      <c r="H152" s="396"/>
      <c r="I152" s="395"/>
      <c r="J152" s="317"/>
      <c r="K152" s="394"/>
      <c r="L152" s="396"/>
      <c r="M152" s="395"/>
      <c r="N152" s="317"/>
      <c r="O152" s="394"/>
      <c r="P152" s="396"/>
      <c r="Q152" s="403"/>
      <c r="R152" s="404"/>
      <c r="S152" s="405"/>
      <c r="T152" s="401"/>
      <c r="U152" s="403"/>
      <c r="V152" s="404"/>
      <c r="W152" s="405"/>
      <c r="X152" s="401"/>
      <c r="Y152" s="403"/>
      <c r="Z152" s="404"/>
      <c r="AA152" s="405"/>
      <c r="AB152" s="401"/>
      <c r="AC152" s="403"/>
      <c r="AD152" s="404"/>
      <c r="AE152" s="405"/>
      <c r="AF152" s="401"/>
      <c r="AG152" s="403"/>
      <c r="AH152" s="404"/>
      <c r="AI152" s="405"/>
      <c r="AJ152" s="401"/>
      <c r="AK152" s="395"/>
      <c r="AL152" s="317"/>
      <c r="AM152" s="394"/>
      <c r="AN152" s="396"/>
      <c r="AO152" s="200"/>
      <c r="AP152" s="200"/>
    </row>
    <row r="153">
      <c r="A153" s="395"/>
      <c r="B153" s="317"/>
      <c r="C153" s="394"/>
      <c r="D153" s="396"/>
      <c r="E153" s="395"/>
      <c r="F153" s="317"/>
      <c r="G153" s="394"/>
      <c r="H153" s="396"/>
      <c r="I153" s="395"/>
      <c r="J153" s="317"/>
      <c r="K153" s="394"/>
      <c r="L153" s="396"/>
      <c r="M153" s="395"/>
      <c r="N153" s="317"/>
      <c r="O153" s="394"/>
      <c r="P153" s="396"/>
      <c r="Q153" s="403"/>
      <c r="R153" s="404"/>
      <c r="S153" s="405"/>
      <c r="T153" s="401"/>
      <c r="U153" s="403"/>
      <c r="V153" s="404"/>
      <c r="W153" s="405"/>
      <c r="X153" s="401"/>
      <c r="Y153" s="403"/>
      <c r="Z153" s="404"/>
      <c r="AA153" s="405"/>
      <c r="AB153" s="401"/>
      <c r="AC153" s="403"/>
      <c r="AD153" s="404"/>
      <c r="AE153" s="405"/>
      <c r="AF153" s="401"/>
      <c r="AG153" s="403"/>
      <c r="AH153" s="404"/>
      <c r="AI153" s="405"/>
      <c r="AJ153" s="401"/>
      <c r="AK153" s="395"/>
      <c r="AL153" s="317"/>
      <c r="AM153" s="394"/>
      <c r="AN153" s="396"/>
      <c r="AO153" s="200"/>
      <c r="AP153" s="200"/>
    </row>
    <row r="154">
      <c r="A154" s="395"/>
      <c r="B154" s="317"/>
      <c r="C154" s="394"/>
      <c r="D154" s="396"/>
      <c r="E154" s="395"/>
      <c r="F154" s="317"/>
      <c r="G154" s="394"/>
      <c r="H154" s="396"/>
      <c r="I154" s="395"/>
      <c r="J154" s="317"/>
      <c r="K154" s="394"/>
      <c r="L154" s="396"/>
      <c r="M154" s="395"/>
      <c r="N154" s="317"/>
      <c r="O154" s="394"/>
      <c r="P154" s="396"/>
      <c r="Q154" s="403"/>
      <c r="R154" s="404"/>
      <c r="S154" s="405"/>
      <c r="T154" s="401"/>
      <c r="U154" s="403"/>
      <c r="V154" s="404"/>
      <c r="W154" s="405"/>
      <c r="X154" s="401"/>
      <c r="Y154" s="403"/>
      <c r="Z154" s="404"/>
      <c r="AA154" s="405"/>
      <c r="AB154" s="401"/>
      <c r="AC154" s="403"/>
      <c r="AD154" s="404"/>
      <c r="AE154" s="405"/>
      <c r="AF154" s="401"/>
      <c r="AG154" s="403"/>
      <c r="AH154" s="404"/>
      <c r="AI154" s="405"/>
      <c r="AJ154" s="401"/>
      <c r="AK154" s="395"/>
      <c r="AL154" s="317"/>
      <c r="AM154" s="394"/>
      <c r="AN154" s="396"/>
      <c r="AO154" s="200"/>
      <c r="AP154" s="200"/>
    </row>
    <row r="155">
      <c r="A155" s="395"/>
      <c r="B155" s="317"/>
      <c r="C155" s="394"/>
      <c r="D155" s="396"/>
      <c r="E155" s="395"/>
      <c r="F155" s="317"/>
      <c r="G155" s="394"/>
      <c r="H155" s="396"/>
      <c r="I155" s="395"/>
      <c r="J155" s="317"/>
      <c r="K155" s="394"/>
      <c r="L155" s="396"/>
      <c r="M155" s="395"/>
      <c r="N155" s="317"/>
      <c r="O155" s="394"/>
      <c r="P155" s="396"/>
      <c r="Q155" s="403"/>
      <c r="R155" s="404"/>
      <c r="S155" s="405"/>
      <c r="T155" s="401"/>
      <c r="U155" s="403"/>
      <c r="V155" s="404"/>
      <c r="W155" s="405"/>
      <c r="X155" s="401"/>
      <c r="Y155" s="403"/>
      <c r="Z155" s="404"/>
      <c r="AA155" s="405"/>
      <c r="AB155" s="401"/>
      <c r="AC155" s="403"/>
      <c r="AD155" s="404"/>
      <c r="AE155" s="405"/>
      <c r="AF155" s="401"/>
      <c r="AG155" s="403"/>
      <c r="AH155" s="404"/>
      <c r="AI155" s="405"/>
      <c r="AJ155" s="401"/>
      <c r="AK155" s="395"/>
      <c r="AL155" s="317"/>
      <c r="AM155" s="394"/>
      <c r="AN155" s="396"/>
      <c r="AO155" s="200"/>
      <c r="AP155" s="200"/>
    </row>
    <row r="156">
      <c r="A156" s="395"/>
      <c r="B156" s="317"/>
      <c r="C156" s="394"/>
      <c r="D156" s="396"/>
      <c r="E156" s="395"/>
      <c r="F156" s="317"/>
      <c r="G156" s="394"/>
      <c r="H156" s="396"/>
      <c r="I156" s="395"/>
      <c r="J156" s="317"/>
      <c r="K156" s="394"/>
      <c r="L156" s="396"/>
      <c r="M156" s="395"/>
      <c r="N156" s="317"/>
      <c r="O156" s="394"/>
      <c r="P156" s="396"/>
      <c r="Q156" s="403"/>
      <c r="R156" s="404"/>
      <c r="S156" s="405"/>
      <c r="T156" s="401"/>
      <c r="U156" s="403"/>
      <c r="V156" s="404"/>
      <c r="W156" s="405"/>
      <c r="X156" s="401"/>
      <c r="Y156" s="403"/>
      <c r="Z156" s="404"/>
      <c r="AA156" s="405"/>
      <c r="AB156" s="401"/>
      <c r="AC156" s="403"/>
      <c r="AD156" s="404"/>
      <c r="AE156" s="405"/>
      <c r="AF156" s="401"/>
      <c r="AG156" s="403"/>
      <c r="AH156" s="404"/>
      <c r="AI156" s="405"/>
      <c r="AJ156" s="401"/>
      <c r="AK156" s="395"/>
      <c r="AL156" s="317"/>
      <c r="AM156" s="394"/>
      <c r="AN156" s="396"/>
      <c r="AO156" s="200"/>
      <c r="AP156" s="200"/>
    </row>
    <row r="157">
      <c r="A157" s="395"/>
      <c r="B157" s="317"/>
      <c r="C157" s="394"/>
      <c r="D157" s="396"/>
      <c r="E157" s="395"/>
      <c r="F157" s="317"/>
      <c r="G157" s="394"/>
      <c r="H157" s="396"/>
      <c r="I157" s="395"/>
      <c r="J157" s="317"/>
      <c r="K157" s="394"/>
      <c r="L157" s="396"/>
      <c r="M157" s="395"/>
      <c r="N157" s="317"/>
      <c r="O157" s="394"/>
      <c r="P157" s="396"/>
      <c r="Q157" s="403"/>
      <c r="R157" s="404"/>
      <c r="S157" s="405"/>
      <c r="T157" s="401"/>
      <c r="U157" s="403"/>
      <c r="V157" s="404"/>
      <c r="W157" s="405"/>
      <c r="X157" s="401"/>
      <c r="Y157" s="403"/>
      <c r="Z157" s="404"/>
      <c r="AA157" s="405"/>
      <c r="AB157" s="401"/>
      <c r="AC157" s="403"/>
      <c r="AD157" s="404"/>
      <c r="AE157" s="405"/>
      <c r="AF157" s="401"/>
      <c r="AG157" s="403"/>
      <c r="AH157" s="404"/>
      <c r="AI157" s="405"/>
      <c r="AJ157" s="401"/>
      <c r="AK157" s="395"/>
      <c r="AL157" s="317"/>
      <c r="AM157" s="394"/>
      <c r="AN157" s="396"/>
      <c r="AO157" s="200"/>
      <c r="AP157" s="200"/>
    </row>
    <row r="158">
      <c r="A158" s="395"/>
      <c r="B158" s="317"/>
      <c r="C158" s="394"/>
      <c r="D158" s="396"/>
      <c r="E158" s="395"/>
      <c r="F158" s="317"/>
      <c r="G158" s="394"/>
      <c r="H158" s="396"/>
      <c r="I158" s="395"/>
      <c r="J158" s="317"/>
      <c r="K158" s="394"/>
      <c r="L158" s="396"/>
      <c r="M158" s="395"/>
      <c r="N158" s="317"/>
      <c r="O158" s="394"/>
      <c r="P158" s="396"/>
      <c r="Q158" s="403"/>
      <c r="R158" s="404"/>
      <c r="S158" s="405"/>
      <c r="T158" s="401"/>
      <c r="U158" s="403"/>
      <c r="V158" s="404"/>
      <c r="W158" s="405"/>
      <c r="X158" s="401"/>
      <c r="Y158" s="403"/>
      <c r="Z158" s="404"/>
      <c r="AA158" s="405"/>
      <c r="AB158" s="401"/>
      <c r="AC158" s="403"/>
      <c r="AD158" s="404"/>
      <c r="AE158" s="405"/>
      <c r="AF158" s="401"/>
      <c r="AG158" s="403"/>
      <c r="AH158" s="404"/>
      <c r="AI158" s="405"/>
      <c r="AJ158" s="401"/>
      <c r="AK158" s="395"/>
      <c r="AL158" s="317"/>
      <c r="AM158" s="394"/>
      <c r="AN158" s="396"/>
      <c r="AO158" s="200"/>
      <c r="AP158" s="200"/>
    </row>
    <row r="159">
      <c r="A159" s="395"/>
      <c r="B159" s="317"/>
      <c r="C159" s="394"/>
      <c r="D159" s="396"/>
      <c r="E159" s="395"/>
      <c r="F159" s="317"/>
      <c r="G159" s="394"/>
      <c r="H159" s="396"/>
      <c r="I159" s="395"/>
      <c r="J159" s="317"/>
      <c r="K159" s="394"/>
      <c r="L159" s="396"/>
      <c r="M159" s="395"/>
      <c r="N159" s="317"/>
      <c r="O159" s="394"/>
      <c r="P159" s="396"/>
      <c r="Q159" s="403"/>
      <c r="R159" s="404"/>
      <c r="S159" s="405"/>
      <c r="T159" s="401"/>
      <c r="U159" s="403"/>
      <c r="V159" s="404"/>
      <c r="W159" s="405"/>
      <c r="X159" s="401"/>
      <c r="Y159" s="403"/>
      <c r="Z159" s="404"/>
      <c r="AA159" s="405"/>
      <c r="AB159" s="401"/>
      <c r="AC159" s="403"/>
      <c r="AD159" s="404"/>
      <c r="AE159" s="405"/>
      <c r="AF159" s="401"/>
      <c r="AG159" s="403"/>
      <c r="AH159" s="404"/>
      <c r="AI159" s="405"/>
      <c r="AJ159" s="401"/>
      <c r="AK159" s="395"/>
      <c r="AL159" s="317"/>
      <c r="AM159" s="394"/>
      <c r="AN159" s="396"/>
      <c r="AO159" s="200"/>
      <c r="AP159" s="200"/>
    </row>
    <row r="160">
      <c r="A160" s="395"/>
      <c r="B160" s="317"/>
      <c r="C160" s="394"/>
      <c r="D160" s="396"/>
      <c r="E160" s="395"/>
      <c r="F160" s="317"/>
      <c r="G160" s="394"/>
      <c r="H160" s="396"/>
      <c r="I160" s="395"/>
      <c r="J160" s="317"/>
      <c r="K160" s="394"/>
      <c r="L160" s="396"/>
      <c r="M160" s="395"/>
      <c r="N160" s="317"/>
      <c r="O160" s="394"/>
      <c r="P160" s="396"/>
      <c r="Q160" s="403"/>
      <c r="R160" s="404"/>
      <c r="S160" s="405"/>
      <c r="T160" s="401"/>
      <c r="U160" s="403"/>
      <c r="V160" s="404"/>
      <c r="W160" s="405"/>
      <c r="X160" s="401"/>
      <c r="Y160" s="403"/>
      <c r="Z160" s="404"/>
      <c r="AA160" s="405"/>
      <c r="AB160" s="401"/>
      <c r="AC160" s="403"/>
      <c r="AD160" s="404"/>
      <c r="AE160" s="405"/>
      <c r="AF160" s="401"/>
      <c r="AG160" s="403"/>
      <c r="AH160" s="404"/>
      <c r="AI160" s="405"/>
      <c r="AJ160" s="401"/>
      <c r="AK160" s="395"/>
      <c r="AL160" s="317"/>
      <c r="AM160" s="394"/>
      <c r="AN160" s="396"/>
      <c r="AO160" s="200"/>
      <c r="AP160" s="200"/>
    </row>
    <row r="161">
      <c r="A161" s="395"/>
      <c r="B161" s="317"/>
      <c r="C161" s="394"/>
      <c r="D161" s="396"/>
      <c r="E161" s="395"/>
      <c r="F161" s="317"/>
      <c r="G161" s="394"/>
      <c r="H161" s="396"/>
      <c r="I161" s="395"/>
      <c r="J161" s="317"/>
      <c r="K161" s="394"/>
      <c r="L161" s="396"/>
      <c r="M161" s="395"/>
      <c r="N161" s="317"/>
      <c r="O161" s="394"/>
      <c r="P161" s="396"/>
      <c r="Q161" s="403"/>
      <c r="R161" s="404"/>
      <c r="S161" s="405"/>
      <c r="T161" s="401"/>
      <c r="U161" s="403"/>
      <c r="V161" s="404"/>
      <c r="W161" s="405"/>
      <c r="X161" s="401"/>
      <c r="Y161" s="403"/>
      <c r="Z161" s="404"/>
      <c r="AA161" s="405"/>
      <c r="AB161" s="401"/>
      <c r="AC161" s="403"/>
      <c r="AD161" s="404"/>
      <c r="AE161" s="405"/>
      <c r="AF161" s="401"/>
      <c r="AG161" s="403"/>
      <c r="AH161" s="404"/>
      <c r="AI161" s="405"/>
      <c r="AJ161" s="401"/>
      <c r="AK161" s="395"/>
      <c r="AL161" s="317"/>
      <c r="AM161" s="394"/>
      <c r="AN161" s="396"/>
      <c r="AO161" s="200"/>
      <c r="AP161" s="200"/>
    </row>
    <row r="162">
      <c r="A162" s="395"/>
      <c r="B162" s="317"/>
      <c r="C162" s="394"/>
      <c r="D162" s="396"/>
      <c r="E162" s="395"/>
      <c r="F162" s="317"/>
      <c r="G162" s="394"/>
      <c r="H162" s="396"/>
      <c r="I162" s="395"/>
      <c r="J162" s="317"/>
      <c r="K162" s="394"/>
      <c r="L162" s="396"/>
      <c r="M162" s="395"/>
      <c r="N162" s="317"/>
      <c r="O162" s="394"/>
      <c r="P162" s="396"/>
      <c r="Q162" s="403"/>
      <c r="R162" s="404"/>
      <c r="S162" s="405"/>
      <c r="T162" s="401"/>
      <c r="U162" s="403"/>
      <c r="V162" s="404"/>
      <c r="W162" s="405"/>
      <c r="X162" s="401"/>
      <c r="Y162" s="403"/>
      <c r="Z162" s="404"/>
      <c r="AA162" s="405"/>
      <c r="AB162" s="401"/>
      <c r="AC162" s="403"/>
      <c r="AD162" s="404"/>
      <c r="AE162" s="405"/>
      <c r="AF162" s="401"/>
      <c r="AG162" s="403"/>
      <c r="AH162" s="404"/>
      <c r="AI162" s="405"/>
      <c r="AJ162" s="401"/>
      <c r="AK162" s="395"/>
      <c r="AL162" s="317"/>
      <c r="AM162" s="394"/>
      <c r="AN162" s="396"/>
      <c r="AO162" s="200"/>
      <c r="AP162" s="200"/>
    </row>
    <row r="163">
      <c r="A163" s="395"/>
      <c r="B163" s="317"/>
      <c r="C163" s="394"/>
      <c r="D163" s="396"/>
      <c r="E163" s="395"/>
      <c r="F163" s="317"/>
      <c r="G163" s="394"/>
      <c r="H163" s="396"/>
      <c r="I163" s="395"/>
      <c r="J163" s="317"/>
      <c r="K163" s="394"/>
      <c r="L163" s="396"/>
      <c r="M163" s="395"/>
      <c r="N163" s="317"/>
      <c r="O163" s="394"/>
      <c r="P163" s="396"/>
      <c r="Q163" s="403"/>
      <c r="R163" s="404"/>
      <c r="S163" s="405"/>
      <c r="T163" s="401"/>
      <c r="U163" s="403"/>
      <c r="V163" s="404"/>
      <c r="W163" s="405"/>
      <c r="X163" s="401"/>
      <c r="Y163" s="403"/>
      <c r="Z163" s="404"/>
      <c r="AA163" s="405"/>
      <c r="AB163" s="401"/>
      <c r="AC163" s="403"/>
      <c r="AD163" s="404"/>
      <c r="AE163" s="405"/>
      <c r="AF163" s="401"/>
      <c r="AG163" s="403"/>
      <c r="AH163" s="404"/>
      <c r="AI163" s="405"/>
      <c r="AJ163" s="401"/>
      <c r="AK163" s="395"/>
      <c r="AL163" s="317"/>
      <c r="AM163" s="394"/>
      <c r="AN163" s="396"/>
      <c r="AO163" s="200"/>
      <c r="AP163" s="200"/>
    </row>
    <row r="164">
      <c r="A164" s="395"/>
      <c r="B164" s="317"/>
      <c r="C164" s="394"/>
      <c r="D164" s="396"/>
      <c r="E164" s="395"/>
      <c r="F164" s="317"/>
      <c r="G164" s="394"/>
      <c r="H164" s="396"/>
      <c r="I164" s="395"/>
      <c r="J164" s="317"/>
      <c r="K164" s="394"/>
      <c r="L164" s="396"/>
      <c r="M164" s="395"/>
      <c r="N164" s="317"/>
      <c r="O164" s="394"/>
      <c r="P164" s="396"/>
      <c r="Q164" s="403"/>
      <c r="R164" s="404"/>
      <c r="S164" s="405"/>
      <c r="T164" s="401"/>
      <c r="U164" s="403"/>
      <c r="V164" s="404"/>
      <c r="W164" s="405"/>
      <c r="X164" s="401"/>
      <c r="Y164" s="403"/>
      <c r="Z164" s="404"/>
      <c r="AA164" s="405"/>
      <c r="AB164" s="401"/>
      <c r="AC164" s="403"/>
      <c r="AD164" s="404"/>
      <c r="AE164" s="405"/>
      <c r="AF164" s="401"/>
      <c r="AG164" s="403"/>
      <c r="AH164" s="404"/>
      <c r="AI164" s="405"/>
      <c r="AJ164" s="401"/>
      <c r="AK164" s="395"/>
      <c r="AL164" s="317"/>
      <c r="AM164" s="394"/>
      <c r="AN164" s="396"/>
      <c r="AO164" s="200"/>
      <c r="AP164" s="200"/>
    </row>
    <row r="165">
      <c r="A165" s="395"/>
      <c r="B165" s="317"/>
      <c r="C165" s="394"/>
      <c r="D165" s="396"/>
      <c r="E165" s="395"/>
      <c r="F165" s="317"/>
      <c r="G165" s="394"/>
      <c r="H165" s="396"/>
      <c r="I165" s="395"/>
      <c r="J165" s="317"/>
      <c r="K165" s="394"/>
      <c r="L165" s="396"/>
      <c r="M165" s="395"/>
      <c r="N165" s="317"/>
      <c r="O165" s="394"/>
      <c r="P165" s="396"/>
      <c r="Q165" s="403"/>
      <c r="R165" s="404"/>
      <c r="S165" s="405"/>
      <c r="T165" s="401"/>
      <c r="U165" s="403"/>
      <c r="V165" s="404"/>
      <c r="W165" s="405"/>
      <c r="X165" s="401"/>
      <c r="Y165" s="403"/>
      <c r="Z165" s="404"/>
      <c r="AA165" s="405"/>
      <c r="AB165" s="401"/>
      <c r="AC165" s="403"/>
      <c r="AD165" s="404"/>
      <c r="AE165" s="405"/>
      <c r="AF165" s="401"/>
      <c r="AG165" s="403"/>
      <c r="AH165" s="404"/>
      <c r="AI165" s="405"/>
      <c r="AJ165" s="401"/>
      <c r="AK165" s="395"/>
      <c r="AL165" s="317"/>
      <c r="AM165" s="394"/>
      <c r="AN165" s="396"/>
      <c r="AO165" s="200"/>
      <c r="AP165" s="200"/>
    </row>
    <row r="166">
      <c r="A166" s="395"/>
      <c r="B166" s="317"/>
      <c r="C166" s="394"/>
      <c r="D166" s="396"/>
      <c r="E166" s="395"/>
      <c r="F166" s="317"/>
      <c r="G166" s="394"/>
      <c r="H166" s="396"/>
      <c r="I166" s="395"/>
      <c r="J166" s="317"/>
      <c r="K166" s="394"/>
      <c r="L166" s="396"/>
      <c r="M166" s="395"/>
      <c r="N166" s="317"/>
      <c r="O166" s="394"/>
      <c r="P166" s="396"/>
      <c r="Q166" s="403"/>
      <c r="R166" s="404"/>
      <c r="S166" s="405"/>
      <c r="T166" s="401"/>
      <c r="U166" s="403"/>
      <c r="V166" s="404"/>
      <c r="W166" s="405"/>
      <c r="X166" s="401"/>
      <c r="Y166" s="403"/>
      <c r="Z166" s="404"/>
      <c r="AA166" s="405"/>
      <c r="AB166" s="401"/>
      <c r="AC166" s="403"/>
      <c r="AD166" s="404"/>
      <c r="AE166" s="405"/>
      <c r="AF166" s="401"/>
      <c r="AG166" s="403"/>
      <c r="AH166" s="404"/>
      <c r="AI166" s="405"/>
      <c r="AJ166" s="401"/>
      <c r="AK166" s="395"/>
      <c r="AL166" s="317"/>
      <c r="AM166" s="394"/>
      <c r="AN166" s="396"/>
      <c r="AO166" s="200"/>
      <c r="AP166" s="200"/>
    </row>
    <row r="167">
      <c r="A167" s="395"/>
      <c r="B167" s="317"/>
      <c r="C167" s="394"/>
      <c r="D167" s="396"/>
      <c r="E167" s="395"/>
      <c r="F167" s="317"/>
      <c r="G167" s="394"/>
      <c r="H167" s="396"/>
      <c r="I167" s="395"/>
      <c r="J167" s="317"/>
      <c r="K167" s="394"/>
      <c r="L167" s="396"/>
      <c r="M167" s="395"/>
      <c r="N167" s="317"/>
      <c r="O167" s="394"/>
      <c r="P167" s="396"/>
      <c r="Q167" s="403"/>
      <c r="R167" s="404"/>
      <c r="S167" s="405"/>
      <c r="T167" s="401"/>
      <c r="U167" s="403"/>
      <c r="V167" s="404"/>
      <c r="W167" s="405"/>
      <c r="X167" s="401"/>
      <c r="Y167" s="403"/>
      <c r="Z167" s="404"/>
      <c r="AA167" s="405"/>
      <c r="AB167" s="401"/>
      <c r="AC167" s="403"/>
      <c r="AD167" s="404"/>
      <c r="AE167" s="405"/>
      <c r="AF167" s="401"/>
      <c r="AG167" s="403"/>
      <c r="AH167" s="404"/>
      <c r="AI167" s="405"/>
      <c r="AJ167" s="401"/>
      <c r="AK167" s="395"/>
      <c r="AL167" s="317"/>
      <c r="AM167" s="394"/>
      <c r="AN167" s="396"/>
      <c r="AO167" s="200"/>
      <c r="AP167" s="200"/>
    </row>
    <row r="168">
      <c r="A168" s="395"/>
      <c r="B168" s="317"/>
      <c r="C168" s="394"/>
      <c r="D168" s="396"/>
      <c r="E168" s="395"/>
      <c r="F168" s="317"/>
      <c r="G168" s="394"/>
      <c r="H168" s="396"/>
      <c r="I168" s="395"/>
      <c r="J168" s="317"/>
      <c r="K168" s="394"/>
      <c r="L168" s="396"/>
      <c r="M168" s="395"/>
      <c r="N168" s="317"/>
      <c r="O168" s="394"/>
      <c r="P168" s="396"/>
      <c r="Q168" s="403"/>
      <c r="R168" s="404"/>
      <c r="S168" s="405"/>
      <c r="T168" s="401"/>
      <c r="U168" s="403"/>
      <c r="V168" s="404"/>
      <c r="W168" s="405"/>
      <c r="X168" s="401"/>
      <c r="Y168" s="403"/>
      <c r="Z168" s="404"/>
      <c r="AA168" s="405"/>
      <c r="AB168" s="401"/>
      <c r="AC168" s="403"/>
      <c r="AD168" s="404"/>
      <c r="AE168" s="405"/>
      <c r="AF168" s="401"/>
      <c r="AG168" s="403"/>
      <c r="AH168" s="404"/>
      <c r="AI168" s="405"/>
      <c r="AJ168" s="401"/>
      <c r="AK168" s="395"/>
      <c r="AL168" s="317"/>
      <c r="AM168" s="394"/>
      <c r="AN168" s="396"/>
      <c r="AO168" s="200"/>
      <c r="AP168" s="200"/>
    </row>
    <row r="169">
      <c r="A169" s="395"/>
      <c r="B169" s="317"/>
      <c r="C169" s="394"/>
      <c r="D169" s="396"/>
      <c r="E169" s="395"/>
      <c r="F169" s="317"/>
      <c r="G169" s="394"/>
      <c r="H169" s="396"/>
      <c r="I169" s="395"/>
      <c r="J169" s="317"/>
      <c r="K169" s="394"/>
      <c r="L169" s="396"/>
      <c r="M169" s="395"/>
      <c r="N169" s="317"/>
      <c r="O169" s="394"/>
      <c r="P169" s="396"/>
      <c r="Q169" s="403"/>
      <c r="R169" s="404"/>
      <c r="S169" s="405"/>
      <c r="T169" s="401"/>
      <c r="U169" s="403"/>
      <c r="V169" s="404"/>
      <c r="W169" s="405"/>
      <c r="X169" s="401"/>
      <c r="Y169" s="403"/>
      <c r="Z169" s="404"/>
      <c r="AA169" s="405"/>
      <c r="AB169" s="401"/>
      <c r="AC169" s="403"/>
      <c r="AD169" s="404"/>
      <c r="AE169" s="405"/>
      <c r="AF169" s="401"/>
      <c r="AG169" s="403"/>
      <c r="AH169" s="404"/>
      <c r="AI169" s="405"/>
      <c r="AJ169" s="401"/>
      <c r="AK169" s="395"/>
      <c r="AL169" s="317"/>
      <c r="AM169" s="394"/>
      <c r="AN169" s="396"/>
      <c r="AO169" s="200"/>
      <c r="AP169" s="200"/>
    </row>
    <row r="170">
      <c r="A170" s="395"/>
      <c r="B170" s="317"/>
      <c r="C170" s="394"/>
      <c r="D170" s="396"/>
      <c r="E170" s="395"/>
      <c r="F170" s="317"/>
      <c r="G170" s="394"/>
      <c r="H170" s="396"/>
      <c r="I170" s="395"/>
      <c r="J170" s="317"/>
      <c r="K170" s="394"/>
      <c r="L170" s="396"/>
      <c r="M170" s="395"/>
      <c r="N170" s="317"/>
      <c r="O170" s="394"/>
      <c r="P170" s="396"/>
      <c r="Q170" s="403"/>
      <c r="R170" s="404"/>
      <c r="S170" s="405"/>
      <c r="T170" s="401"/>
      <c r="U170" s="403"/>
      <c r="V170" s="404"/>
      <c r="W170" s="405"/>
      <c r="X170" s="401"/>
      <c r="Y170" s="403"/>
      <c r="Z170" s="404"/>
      <c r="AA170" s="405"/>
      <c r="AB170" s="401"/>
      <c r="AC170" s="403"/>
      <c r="AD170" s="404"/>
      <c r="AE170" s="405"/>
      <c r="AF170" s="401"/>
      <c r="AG170" s="403"/>
      <c r="AH170" s="404"/>
      <c r="AI170" s="405"/>
      <c r="AJ170" s="401"/>
      <c r="AK170" s="395"/>
      <c r="AL170" s="317"/>
      <c r="AM170" s="394"/>
      <c r="AN170" s="396"/>
      <c r="AO170" s="200"/>
      <c r="AP170" s="200"/>
    </row>
    <row r="171">
      <c r="A171" s="395"/>
      <c r="B171" s="317"/>
      <c r="C171" s="394"/>
      <c r="D171" s="396"/>
      <c r="E171" s="395"/>
      <c r="F171" s="317"/>
      <c r="G171" s="394"/>
      <c r="H171" s="396"/>
      <c r="I171" s="395"/>
      <c r="J171" s="317"/>
      <c r="K171" s="394"/>
      <c r="L171" s="396"/>
      <c r="M171" s="395"/>
      <c r="N171" s="317"/>
      <c r="O171" s="394"/>
      <c r="P171" s="396"/>
      <c r="Q171" s="403"/>
      <c r="R171" s="404"/>
      <c r="S171" s="405"/>
      <c r="T171" s="401"/>
      <c r="U171" s="403"/>
      <c r="V171" s="404"/>
      <c r="W171" s="405"/>
      <c r="X171" s="401"/>
      <c r="Y171" s="403"/>
      <c r="Z171" s="404"/>
      <c r="AA171" s="405"/>
      <c r="AB171" s="401"/>
      <c r="AC171" s="403"/>
      <c r="AD171" s="404"/>
      <c r="AE171" s="405"/>
      <c r="AF171" s="401"/>
      <c r="AG171" s="403"/>
      <c r="AH171" s="404"/>
      <c r="AI171" s="405"/>
      <c r="AJ171" s="401"/>
      <c r="AK171" s="395"/>
      <c r="AL171" s="317"/>
      <c r="AM171" s="394"/>
      <c r="AN171" s="396"/>
      <c r="AO171" s="200"/>
      <c r="AP171" s="200"/>
    </row>
    <row r="172">
      <c r="A172" s="395"/>
      <c r="B172" s="317"/>
      <c r="C172" s="394"/>
      <c r="D172" s="396"/>
      <c r="E172" s="395"/>
      <c r="F172" s="317"/>
      <c r="G172" s="394"/>
      <c r="H172" s="396"/>
      <c r="I172" s="395"/>
      <c r="J172" s="317"/>
      <c r="K172" s="394"/>
      <c r="L172" s="396"/>
      <c r="M172" s="395"/>
      <c r="N172" s="317"/>
      <c r="O172" s="394"/>
      <c r="P172" s="396"/>
      <c r="Q172" s="403"/>
      <c r="R172" s="404"/>
      <c r="S172" s="405"/>
      <c r="T172" s="401"/>
      <c r="U172" s="403"/>
      <c r="V172" s="404"/>
      <c r="W172" s="405"/>
      <c r="X172" s="401"/>
      <c r="Y172" s="403"/>
      <c r="Z172" s="404"/>
      <c r="AA172" s="405"/>
      <c r="AB172" s="401"/>
      <c r="AC172" s="403"/>
      <c r="AD172" s="404"/>
      <c r="AE172" s="405"/>
      <c r="AF172" s="401"/>
      <c r="AG172" s="403"/>
      <c r="AH172" s="404"/>
      <c r="AI172" s="405"/>
      <c r="AJ172" s="401"/>
      <c r="AK172" s="395"/>
      <c r="AL172" s="317"/>
      <c r="AM172" s="394"/>
      <c r="AN172" s="396"/>
      <c r="AO172" s="200"/>
      <c r="AP172" s="200"/>
    </row>
    <row r="173">
      <c r="A173" s="395"/>
      <c r="B173" s="317"/>
      <c r="C173" s="394"/>
      <c r="D173" s="396"/>
      <c r="E173" s="395"/>
      <c r="F173" s="317"/>
      <c r="G173" s="394"/>
      <c r="H173" s="396"/>
      <c r="I173" s="395"/>
      <c r="J173" s="317"/>
      <c r="K173" s="394"/>
      <c r="L173" s="396"/>
      <c r="M173" s="395"/>
      <c r="N173" s="317"/>
      <c r="O173" s="394"/>
      <c r="P173" s="396"/>
      <c r="Q173" s="403"/>
      <c r="R173" s="404"/>
      <c r="S173" s="405"/>
      <c r="T173" s="401"/>
      <c r="U173" s="403"/>
      <c r="V173" s="404"/>
      <c r="W173" s="405"/>
      <c r="X173" s="401"/>
      <c r="Y173" s="403"/>
      <c r="Z173" s="404"/>
      <c r="AA173" s="405"/>
      <c r="AB173" s="401"/>
      <c r="AC173" s="403"/>
      <c r="AD173" s="404"/>
      <c r="AE173" s="405"/>
      <c r="AF173" s="401"/>
      <c r="AG173" s="403"/>
      <c r="AH173" s="404"/>
      <c r="AI173" s="405"/>
      <c r="AJ173" s="401"/>
      <c r="AK173" s="395"/>
      <c r="AL173" s="317"/>
      <c r="AM173" s="394"/>
      <c r="AN173" s="396"/>
      <c r="AO173" s="200"/>
      <c r="AP173" s="200"/>
    </row>
    <row r="174">
      <c r="A174" s="395"/>
      <c r="B174" s="317"/>
      <c r="C174" s="394"/>
      <c r="D174" s="396"/>
      <c r="E174" s="395"/>
      <c r="F174" s="317"/>
      <c r="G174" s="394"/>
      <c r="H174" s="396"/>
      <c r="I174" s="395"/>
      <c r="J174" s="317"/>
      <c r="K174" s="394"/>
      <c r="L174" s="396"/>
      <c r="M174" s="395"/>
      <c r="N174" s="317"/>
      <c r="O174" s="394"/>
      <c r="P174" s="396"/>
      <c r="Q174" s="403"/>
      <c r="R174" s="404"/>
      <c r="S174" s="405"/>
      <c r="T174" s="401"/>
      <c r="U174" s="403"/>
      <c r="V174" s="404"/>
      <c r="W174" s="405"/>
      <c r="X174" s="401"/>
      <c r="Y174" s="403"/>
      <c r="Z174" s="404"/>
      <c r="AA174" s="405"/>
      <c r="AB174" s="401"/>
      <c r="AC174" s="403"/>
      <c r="AD174" s="404"/>
      <c r="AE174" s="405"/>
      <c r="AF174" s="401"/>
      <c r="AG174" s="403"/>
      <c r="AH174" s="404"/>
      <c r="AI174" s="405"/>
      <c r="AJ174" s="401"/>
      <c r="AK174" s="395"/>
      <c r="AL174" s="317"/>
      <c r="AM174" s="394"/>
      <c r="AN174" s="396"/>
      <c r="AO174" s="200"/>
      <c r="AP174" s="200"/>
    </row>
    <row r="175">
      <c r="A175" s="395"/>
      <c r="B175" s="317"/>
      <c r="C175" s="394"/>
      <c r="D175" s="396"/>
      <c r="E175" s="395"/>
      <c r="F175" s="317"/>
      <c r="G175" s="394"/>
      <c r="H175" s="396"/>
      <c r="I175" s="395"/>
      <c r="J175" s="317"/>
      <c r="K175" s="394"/>
      <c r="L175" s="396"/>
      <c r="M175" s="395"/>
      <c r="N175" s="317"/>
      <c r="O175" s="394"/>
      <c r="P175" s="396"/>
      <c r="Q175" s="403"/>
      <c r="R175" s="404"/>
      <c r="S175" s="405"/>
      <c r="T175" s="401"/>
      <c r="U175" s="403"/>
      <c r="V175" s="404"/>
      <c r="W175" s="405"/>
      <c r="X175" s="401"/>
      <c r="Y175" s="403"/>
      <c r="Z175" s="404"/>
      <c r="AA175" s="405"/>
      <c r="AB175" s="401"/>
      <c r="AC175" s="403"/>
      <c r="AD175" s="404"/>
      <c r="AE175" s="405"/>
      <c r="AF175" s="401"/>
      <c r="AG175" s="403"/>
      <c r="AH175" s="404"/>
      <c r="AI175" s="405"/>
      <c r="AJ175" s="401"/>
      <c r="AK175" s="395"/>
      <c r="AL175" s="317"/>
      <c r="AM175" s="394"/>
      <c r="AN175" s="396"/>
      <c r="AO175" s="200"/>
      <c r="AP175" s="200"/>
    </row>
    <row r="176">
      <c r="A176" s="395"/>
      <c r="B176" s="317"/>
      <c r="C176" s="394"/>
      <c r="D176" s="396"/>
      <c r="E176" s="395"/>
      <c r="F176" s="317"/>
      <c r="G176" s="394"/>
      <c r="H176" s="396"/>
      <c r="I176" s="395"/>
      <c r="J176" s="317"/>
      <c r="K176" s="394"/>
      <c r="L176" s="396"/>
      <c r="M176" s="395"/>
      <c r="N176" s="317"/>
      <c r="O176" s="394"/>
      <c r="P176" s="396"/>
      <c r="Q176" s="403"/>
      <c r="R176" s="404"/>
      <c r="S176" s="405"/>
      <c r="T176" s="401"/>
      <c r="U176" s="403"/>
      <c r="V176" s="404"/>
      <c r="W176" s="405"/>
      <c r="X176" s="401"/>
      <c r="Y176" s="403"/>
      <c r="Z176" s="404"/>
      <c r="AA176" s="405"/>
      <c r="AB176" s="401"/>
      <c r="AC176" s="403"/>
      <c r="AD176" s="404"/>
      <c r="AE176" s="405"/>
      <c r="AF176" s="401"/>
      <c r="AG176" s="403"/>
      <c r="AH176" s="404"/>
      <c r="AI176" s="405"/>
      <c r="AJ176" s="401"/>
      <c r="AK176" s="395"/>
      <c r="AL176" s="317"/>
      <c r="AM176" s="394"/>
      <c r="AN176" s="396"/>
      <c r="AO176" s="200"/>
      <c r="AP176" s="200"/>
    </row>
    <row r="177">
      <c r="A177" s="395"/>
      <c r="B177" s="317"/>
      <c r="C177" s="394"/>
      <c r="D177" s="396"/>
      <c r="E177" s="395"/>
      <c r="F177" s="317"/>
      <c r="G177" s="394"/>
      <c r="H177" s="396"/>
      <c r="I177" s="395"/>
      <c r="J177" s="317"/>
      <c r="K177" s="394"/>
      <c r="L177" s="396"/>
      <c r="M177" s="395"/>
      <c r="N177" s="317"/>
      <c r="O177" s="394"/>
      <c r="P177" s="396"/>
      <c r="Q177" s="403"/>
      <c r="R177" s="404"/>
      <c r="S177" s="405"/>
      <c r="T177" s="401"/>
      <c r="U177" s="403"/>
      <c r="V177" s="404"/>
      <c r="W177" s="405"/>
      <c r="X177" s="401"/>
      <c r="Y177" s="403"/>
      <c r="Z177" s="404"/>
      <c r="AA177" s="405"/>
      <c r="AB177" s="401"/>
      <c r="AC177" s="403"/>
      <c r="AD177" s="404"/>
      <c r="AE177" s="405"/>
      <c r="AF177" s="401"/>
      <c r="AG177" s="403"/>
      <c r="AH177" s="404"/>
      <c r="AI177" s="405"/>
      <c r="AJ177" s="401"/>
      <c r="AK177" s="395"/>
      <c r="AL177" s="317"/>
      <c r="AM177" s="394"/>
      <c r="AN177" s="396"/>
      <c r="AO177" s="200"/>
      <c r="AP177" s="200"/>
    </row>
    <row r="178">
      <c r="A178" s="395"/>
      <c r="B178" s="317"/>
      <c r="C178" s="394"/>
      <c r="D178" s="396"/>
      <c r="E178" s="395"/>
      <c r="F178" s="317"/>
      <c r="G178" s="394"/>
      <c r="H178" s="396"/>
      <c r="I178" s="395"/>
      <c r="J178" s="317"/>
      <c r="K178" s="394"/>
      <c r="L178" s="396"/>
      <c r="M178" s="395"/>
      <c r="N178" s="317"/>
      <c r="O178" s="394"/>
      <c r="P178" s="396"/>
      <c r="Q178" s="403"/>
      <c r="R178" s="404"/>
      <c r="S178" s="405"/>
      <c r="T178" s="401"/>
      <c r="U178" s="403"/>
      <c r="V178" s="404"/>
      <c r="W178" s="405"/>
      <c r="X178" s="401"/>
      <c r="Y178" s="403"/>
      <c r="Z178" s="404"/>
      <c r="AA178" s="405"/>
      <c r="AB178" s="401"/>
      <c r="AC178" s="403"/>
      <c r="AD178" s="404"/>
      <c r="AE178" s="405"/>
      <c r="AF178" s="401"/>
      <c r="AG178" s="403"/>
      <c r="AH178" s="404"/>
      <c r="AI178" s="405"/>
      <c r="AJ178" s="401"/>
      <c r="AK178" s="395"/>
      <c r="AL178" s="317"/>
      <c r="AM178" s="394"/>
      <c r="AN178" s="396"/>
      <c r="AO178" s="200"/>
      <c r="AP178" s="200"/>
    </row>
    <row r="179">
      <c r="A179" s="395"/>
      <c r="B179" s="317"/>
      <c r="C179" s="394"/>
      <c r="D179" s="396"/>
      <c r="E179" s="395"/>
      <c r="F179" s="317"/>
      <c r="G179" s="394"/>
      <c r="H179" s="396"/>
      <c r="I179" s="395"/>
      <c r="J179" s="317"/>
      <c r="K179" s="394"/>
      <c r="L179" s="396"/>
      <c r="M179" s="395"/>
      <c r="N179" s="317"/>
      <c r="O179" s="394"/>
      <c r="P179" s="396"/>
      <c r="Q179" s="403"/>
      <c r="R179" s="404"/>
      <c r="S179" s="405"/>
      <c r="T179" s="401"/>
      <c r="U179" s="403"/>
      <c r="V179" s="404"/>
      <c r="W179" s="405"/>
      <c r="X179" s="401"/>
      <c r="Y179" s="403"/>
      <c r="Z179" s="404"/>
      <c r="AA179" s="405"/>
      <c r="AB179" s="401"/>
      <c r="AC179" s="403"/>
      <c r="AD179" s="404"/>
      <c r="AE179" s="405"/>
      <c r="AF179" s="401"/>
      <c r="AG179" s="403"/>
      <c r="AH179" s="404"/>
      <c r="AI179" s="405"/>
      <c r="AJ179" s="401"/>
      <c r="AK179" s="395"/>
      <c r="AL179" s="317"/>
      <c r="AM179" s="394"/>
      <c r="AN179" s="396"/>
      <c r="AO179" s="200"/>
      <c r="AP179" s="200"/>
    </row>
    <row r="180">
      <c r="A180" s="395"/>
      <c r="B180" s="317"/>
      <c r="C180" s="394"/>
      <c r="D180" s="396"/>
      <c r="E180" s="395"/>
      <c r="F180" s="317"/>
      <c r="G180" s="394"/>
      <c r="H180" s="396"/>
      <c r="I180" s="395"/>
      <c r="J180" s="317"/>
      <c r="K180" s="394"/>
      <c r="L180" s="396"/>
      <c r="M180" s="395"/>
      <c r="N180" s="317"/>
      <c r="O180" s="394"/>
      <c r="P180" s="396"/>
      <c r="Q180" s="403"/>
      <c r="R180" s="404"/>
      <c r="S180" s="405"/>
      <c r="T180" s="401"/>
      <c r="U180" s="403"/>
      <c r="V180" s="404"/>
      <c r="W180" s="405"/>
      <c r="X180" s="401"/>
      <c r="Y180" s="403"/>
      <c r="Z180" s="404"/>
      <c r="AA180" s="405"/>
      <c r="AB180" s="401"/>
      <c r="AC180" s="403"/>
      <c r="AD180" s="404"/>
      <c r="AE180" s="405"/>
      <c r="AF180" s="401"/>
      <c r="AG180" s="403"/>
      <c r="AH180" s="404"/>
      <c r="AI180" s="405"/>
      <c r="AJ180" s="401"/>
      <c r="AK180" s="395"/>
      <c r="AL180" s="317"/>
      <c r="AM180" s="394"/>
      <c r="AN180" s="396"/>
      <c r="AO180" s="200"/>
      <c r="AP180" s="200"/>
    </row>
    <row r="181">
      <c r="A181" s="395"/>
      <c r="B181" s="317"/>
      <c r="C181" s="394"/>
      <c r="D181" s="396"/>
      <c r="E181" s="395"/>
      <c r="F181" s="317"/>
      <c r="G181" s="394"/>
      <c r="H181" s="396"/>
      <c r="I181" s="395"/>
      <c r="J181" s="317"/>
      <c r="K181" s="394"/>
      <c r="L181" s="396"/>
      <c r="M181" s="395"/>
      <c r="N181" s="317"/>
      <c r="O181" s="394"/>
      <c r="P181" s="396"/>
      <c r="Q181" s="403"/>
      <c r="R181" s="404"/>
      <c r="S181" s="405"/>
      <c r="T181" s="401"/>
      <c r="U181" s="403"/>
      <c r="V181" s="404"/>
      <c r="W181" s="405"/>
      <c r="X181" s="401"/>
      <c r="Y181" s="403"/>
      <c r="Z181" s="404"/>
      <c r="AA181" s="405"/>
      <c r="AB181" s="401"/>
      <c r="AC181" s="403"/>
      <c r="AD181" s="404"/>
      <c r="AE181" s="405"/>
      <c r="AF181" s="401"/>
      <c r="AG181" s="403"/>
      <c r="AH181" s="404"/>
      <c r="AI181" s="405"/>
      <c r="AJ181" s="401"/>
      <c r="AK181" s="395"/>
      <c r="AL181" s="317"/>
      <c r="AM181" s="394"/>
      <c r="AN181" s="396"/>
      <c r="AO181" s="200"/>
      <c r="AP181" s="200"/>
    </row>
    <row r="182">
      <c r="A182" s="395"/>
      <c r="B182" s="317"/>
      <c r="C182" s="394"/>
      <c r="D182" s="396"/>
      <c r="E182" s="395"/>
      <c r="F182" s="317"/>
      <c r="G182" s="394"/>
      <c r="H182" s="396"/>
      <c r="I182" s="395"/>
      <c r="J182" s="317"/>
      <c r="K182" s="394"/>
      <c r="L182" s="396"/>
      <c r="M182" s="395"/>
      <c r="N182" s="317"/>
      <c r="O182" s="394"/>
      <c r="P182" s="396"/>
      <c r="Q182" s="403"/>
      <c r="R182" s="404"/>
      <c r="S182" s="405"/>
      <c r="T182" s="401"/>
      <c r="U182" s="403"/>
      <c r="V182" s="404"/>
      <c r="W182" s="405"/>
      <c r="X182" s="401"/>
      <c r="Y182" s="403"/>
      <c r="Z182" s="404"/>
      <c r="AA182" s="405"/>
      <c r="AB182" s="401"/>
      <c r="AC182" s="403"/>
      <c r="AD182" s="404"/>
      <c r="AE182" s="405"/>
      <c r="AF182" s="401"/>
      <c r="AG182" s="403"/>
      <c r="AH182" s="404"/>
      <c r="AI182" s="405"/>
      <c r="AJ182" s="401"/>
      <c r="AK182" s="395"/>
      <c r="AL182" s="317"/>
      <c r="AM182" s="394"/>
      <c r="AN182" s="396"/>
      <c r="AO182" s="200"/>
      <c r="AP182" s="200"/>
    </row>
    <row r="183">
      <c r="A183" s="395"/>
      <c r="B183" s="317"/>
      <c r="C183" s="394"/>
      <c r="D183" s="396"/>
      <c r="E183" s="395"/>
      <c r="F183" s="317"/>
      <c r="G183" s="394"/>
      <c r="H183" s="396"/>
      <c r="I183" s="395"/>
      <c r="J183" s="317"/>
      <c r="K183" s="394"/>
      <c r="L183" s="396"/>
      <c r="M183" s="395"/>
      <c r="N183" s="317"/>
      <c r="O183" s="394"/>
      <c r="P183" s="396"/>
      <c r="Q183" s="403"/>
      <c r="R183" s="404"/>
      <c r="S183" s="405"/>
      <c r="T183" s="401"/>
      <c r="U183" s="403"/>
      <c r="V183" s="404"/>
      <c r="W183" s="405"/>
      <c r="X183" s="401"/>
      <c r="Y183" s="403"/>
      <c r="Z183" s="404"/>
      <c r="AA183" s="405"/>
      <c r="AB183" s="401"/>
      <c r="AC183" s="403"/>
      <c r="AD183" s="404"/>
      <c r="AE183" s="405"/>
      <c r="AF183" s="401"/>
      <c r="AG183" s="403"/>
      <c r="AH183" s="404"/>
      <c r="AI183" s="405"/>
      <c r="AJ183" s="401"/>
      <c r="AK183" s="395"/>
      <c r="AL183" s="317"/>
      <c r="AM183" s="394"/>
      <c r="AN183" s="396"/>
      <c r="AO183" s="200"/>
      <c r="AP183" s="200"/>
    </row>
    <row r="184">
      <c r="A184" s="395"/>
      <c r="B184" s="317"/>
      <c r="C184" s="394"/>
      <c r="D184" s="396"/>
      <c r="E184" s="395"/>
      <c r="F184" s="317"/>
      <c r="G184" s="394"/>
      <c r="H184" s="396"/>
      <c r="I184" s="395"/>
      <c r="J184" s="317"/>
      <c r="K184" s="394"/>
      <c r="L184" s="396"/>
      <c r="M184" s="395"/>
      <c r="N184" s="317"/>
      <c r="O184" s="394"/>
      <c r="P184" s="396"/>
      <c r="Q184" s="403"/>
      <c r="R184" s="404"/>
      <c r="S184" s="405"/>
      <c r="T184" s="401"/>
      <c r="U184" s="403"/>
      <c r="V184" s="404"/>
      <c r="W184" s="405"/>
      <c r="X184" s="401"/>
      <c r="Y184" s="403"/>
      <c r="Z184" s="404"/>
      <c r="AA184" s="405"/>
      <c r="AB184" s="401"/>
      <c r="AC184" s="403"/>
      <c r="AD184" s="404"/>
      <c r="AE184" s="405"/>
      <c r="AF184" s="401"/>
      <c r="AG184" s="403"/>
      <c r="AH184" s="404"/>
      <c r="AI184" s="405"/>
      <c r="AJ184" s="401"/>
      <c r="AK184" s="395"/>
      <c r="AL184" s="317"/>
      <c r="AM184" s="394"/>
      <c r="AN184" s="396"/>
      <c r="AO184" s="200"/>
      <c r="AP184" s="200"/>
    </row>
    <row r="185">
      <c r="A185" s="395"/>
      <c r="B185" s="317"/>
      <c r="C185" s="394"/>
      <c r="D185" s="396"/>
      <c r="E185" s="395"/>
      <c r="F185" s="317"/>
      <c r="G185" s="394"/>
      <c r="H185" s="396"/>
      <c r="I185" s="395"/>
      <c r="J185" s="317"/>
      <c r="K185" s="394"/>
      <c r="L185" s="396"/>
      <c r="M185" s="395"/>
      <c r="N185" s="317"/>
      <c r="O185" s="394"/>
      <c r="P185" s="396"/>
      <c r="Q185" s="403"/>
      <c r="R185" s="404"/>
      <c r="S185" s="405"/>
      <c r="T185" s="401"/>
      <c r="U185" s="403"/>
      <c r="V185" s="404"/>
      <c r="W185" s="405"/>
      <c r="X185" s="401"/>
      <c r="Y185" s="403"/>
      <c r="Z185" s="404"/>
      <c r="AA185" s="405"/>
      <c r="AB185" s="401"/>
      <c r="AC185" s="403"/>
      <c r="AD185" s="404"/>
      <c r="AE185" s="405"/>
      <c r="AF185" s="401"/>
      <c r="AG185" s="403"/>
      <c r="AH185" s="404"/>
      <c r="AI185" s="405"/>
      <c r="AJ185" s="401"/>
      <c r="AK185" s="395"/>
      <c r="AL185" s="317"/>
      <c r="AM185" s="394"/>
      <c r="AN185" s="396"/>
      <c r="AO185" s="200"/>
      <c r="AP185" s="200"/>
    </row>
    <row r="186">
      <c r="A186" s="395"/>
      <c r="B186" s="317"/>
      <c r="C186" s="394"/>
      <c r="D186" s="396"/>
      <c r="E186" s="395"/>
      <c r="F186" s="317"/>
      <c r="G186" s="394"/>
      <c r="H186" s="396"/>
      <c r="I186" s="395"/>
      <c r="J186" s="317"/>
      <c r="K186" s="394"/>
      <c r="L186" s="396"/>
      <c r="M186" s="395"/>
      <c r="N186" s="317"/>
      <c r="O186" s="394"/>
      <c r="P186" s="396"/>
      <c r="Q186" s="403"/>
      <c r="R186" s="404"/>
      <c r="S186" s="405"/>
      <c r="T186" s="401"/>
      <c r="U186" s="403"/>
      <c r="V186" s="404"/>
      <c r="W186" s="405"/>
      <c r="X186" s="401"/>
      <c r="Y186" s="403"/>
      <c r="Z186" s="404"/>
      <c r="AA186" s="405"/>
      <c r="AB186" s="401"/>
      <c r="AC186" s="403"/>
      <c r="AD186" s="404"/>
      <c r="AE186" s="405"/>
      <c r="AF186" s="401"/>
      <c r="AG186" s="403"/>
      <c r="AH186" s="404"/>
      <c r="AI186" s="405"/>
      <c r="AJ186" s="401"/>
      <c r="AK186" s="395"/>
      <c r="AL186" s="317"/>
      <c r="AM186" s="394"/>
      <c r="AN186" s="396"/>
      <c r="AO186" s="200"/>
      <c r="AP186" s="200"/>
    </row>
    <row r="187">
      <c r="A187" s="395"/>
      <c r="B187" s="317"/>
      <c r="C187" s="394"/>
      <c r="D187" s="396"/>
      <c r="E187" s="395"/>
      <c r="F187" s="317"/>
      <c r="G187" s="394"/>
      <c r="H187" s="396"/>
      <c r="I187" s="395"/>
      <c r="J187" s="317"/>
      <c r="K187" s="394"/>
      <c r="L187" s="396"/>
      <c r="M187" s="395"/>
      <c r="N187" s="317"/>
      <c r="O187" s="394"/>
      <c r="P187" s="396"/>
      <c r="Q187" s="403"/>
      <c r="R187" s="404"/>
      <c r="S187" s="405"/>
      <c r="T187" s="401"/>
      <c r="U187" s="403"/>
      <c r="V187" s="404"/>
      <c r="W187" s="405"/>
      <c r="X187" s="401"/>
      <c r="Y187" s="403"/>
      <c r="Z187" s="404"/>
      <c r="AA187" s="405"/>
      <c r="AB187" s="401"/>
      <c r="AC187" s="403"/>
      <c r="AD187" s="404"/>
      <c r="AE187" s="405"/>
      <c r="AF187" s="401"/>
      <c r="AG187" s="403"/>
      <c r="AH187" s="404"/>
      <c r="AI187" s="405"/>
      <c r="AJ187" s="401"/>
      <c r="AK187" s="395"/>
      <c r="AL187" s="317"/>
      <c r="AM187" s="394"/>
      <c r="AN187" s="396"/>
      <c r="AO187" s="200"/>
      <c r="AP187" s="200"/>
    </row>
    <row r="188">
      <c r="A188" s="395"/>
      <c r="B188" s="317"/>
      <c r="C188" s="394"/>
      <c r="D188" s="396"/>
      <c r="E188" s="395"/>
      <c r="F188" s="317"/>
      <c r="G188" s="394"/>
      <c r="H188" s="396"/>
      <c r="I188" s="395"/>
      <c r="J188" s="317"/>
      <c r="K188" s="394"/>
      <c r="L188" s="396"/>
      <c r="M188" s="395"/>
      <c r="N188" s="317"/>
      <c r="O188" s="394"/>
      <c r="P188" s="396"/>
      <c r="Q188" s="403"/>
      <c r="R188" s="404"/>
      <c r="S188" s="405"/>
      <c r="T188" s="401"/>
      <c r="U188" s="403"/>
      <c r="V188" s="404"/>
      <c r="W188" s="405"/>
      <c r="X188" s="401"/>
      <c r="Y188" s="403"/>
      <c r="Z188" s="404"/>
      <c r="AA188" s="405"/>
      <c r="AB188" s="401"/>
      <c r="AC188" s="403"/>
      <c r="AD188" s="404"/>
      <c r="AE188" s="405"/>
      <c r="AF188" s="401"/>
      <c r="AG188" s="403"/>
      <c r="AH188" s="404"/>
      <c r="AI188" s="405"/>
      <c r="AJ188" s="401"/>
      <c r="AK188" s="395"/>
      <c r="AL188" s="317"/>
      <c r="AM188" s="394"/>
      <c r="AN188" s="396"/>
      <c r="AO188" s="200"/>
      <c r="AP188" s="200"/>
    </row>
    <row r="189">
      <c r="A189" s="395"/>
      <c r="B189" s="317"/>
      <c r="C189" s="394"/>
      <c r="D189" s="396"/>
      <c r="E189" s="395"/>
      <c r="F189" s="317"/>
      <c r="G189" s="394"/>
      <c r="H189" s="396"/>
      <c r="I189" s="395"/>
      <c r="J189" s="317"/>
      <c r="K189" s="394"/>
      <c r="L189" s="396"/>
      <c r="M189" s="395"/>
      <c r="N189" s="317"/>
      <c r="O189" s="394"/>
      <c r="P189" s="396"/>
      <c r="Q189" s="403"/>
      <c r="R189" s="404"/>
      <c r="S189" s="405"/>
      <c r="T189" s="401"/>
      <c r="U189" s="403"/>
      <c r="V189" s="404"/>
      <c r="W189" s="405"/>
      <c r="X189" s="401"/>
      <c r="Y189" s="403"/>
      <c r="Z189" s="404"/>
      <c r="AA189" s="405"/>
      <c r="AB189" s="401"/>
      <c r="AC189" s="403"/>
      <c r="AD189" s="404"/>
      <c r="AE189" s="405"/>
      <c r="AF189" s="401"/>
      <c r="AG189" s="403"/>
      <c r="AH189" s="404"/>
      <c r="AI189" s="405"/>
      <c r="AJ189" s="401"/>
      <c r="AK189" s="395"/>
      <c r="AL189" s="317"/>
      <c r="AM189" s="394"/>
      <c r="AN189" s="396"/>
      <c r="AO189" s="200"/>
      <c r="AP189" s="200"/>
    </row>
    <row r="190">
      <c r="A190" s="395"/>
      <c r="B190" s="317"/>
      <c r="C190" s="394"/>
      <c r="D190" s="396"/>
      <c r="E190" s="395"/>
      <c r="F190" s="317"/>
      <c r="G190" s="394"/>
      <c r="H190" s="396"/>
      <c r="I190" s="395"/>
      <c r="J190" s="317"/>
      <c r="K190" s="394"/>
      <c r="L190" s="396"/>
      <c r="M190" s="395"/>
      <c r="N190" s="317"/>
      <c r="O190" s="394"/>
      <c r="P190" s="396"/>
      <c r="Q190" s="403"/>
      <c r="R190" s="404"/>
      <c r="S190" s="405"/>
      <c r="T190" s="401"/>
      <c r="U190" s="403"/>
      <c r="V190" s="404"/>
      <c r="W190" s="405"/>
      <c r="X190" s="401"/>
      <c r="Y190" s="403"/>
      <c r="Z190" s="404"/>
      <c r="AA190" s="405"/>
      <c r="AB190" s="401"/>
      <c r="AC190" s="403"/>
      <c r="AD190" s="404"/>
      <c r="AE190" s="405"/>
      <c r="AF190" s="401"/>
      <c r="AG190" s="403"/>
      <c r="AH190" s="404"/>
      <c r="AI190" s="405"/>
      <c r="AJ190" s="401"/>
      <c r="AK190" s="395"/>
      <c r="AL190" s="317"/>
      <c r="AM190" s="394"/>
      <c r="AN190" s="396"/>
      <c r="AO190" s="200"/>
      <c r="AP190" s="200"/>
    </row>
    <row r="191">
      <c r="A191" s="395"/>
      <c r="B191" s="317"/>
      <c r="C191" s="394"/>
      <c r="D191" s="396"/>
      <c r="E191" s="395"/>
      <c r="F191" s="317"/>
      <c r="G191" s="394"/>
      <c r="H191" s="396"/>
      <c r="I191" s="395"/>
      <c r="J191" s="317"/>
      <c r="K191" s="394"/>
      <c r="L191" s="396"/>
      <c r="M191" s="395"/>
      <c r="N191" s="317"/>
      <c r="O191" s="394"/>
      <c r="P191" s="396"/>
      <c r="Q191" s="403"/>
      <c r="R191" s="404"/>
      <c r="S191" s="405"/>
      <c r="T191" s="401"/>
      <c r="U191" s="403"/>
      <c r="V191" s="404"/>
      <c r="W191" s="405"/>
      <c r="X191" s="401"/>
      <c r="Y191" s="403"/>
      <c r="Z191" s="404"/>
      <c r="AA191" s="405"/>
      <c r="AB191" s="401"/>
      <c r="AC191" s="403"/>
      <c r="AD191" s="404"/>
      <c r="AE191" s="405"/>
      <c r="AF191" s="401"/>
      <c r="AG191" s="403"/>
      <c r="AH191" s="404"/>
      <c r="AI191" s="405"/>
      <c r="AJ191" s="401"/>
      <c r="AK191" s="395"/>
      <c r="AL191" s="317"/>
      <c r="AM191" s="394"/>
      <c r="AN191" s="396"/>
      <c r="AO191" s="200"/>
      <c r="AP191" s="200"/>
    </row>
    <row r="192">
      <c r="A192" s="395"/>
      <c r="B192" s="317"/>
      <c r="C192" s="394"/>
      <c r="D192" s="396"/>
      <c r="E192" s="395"/>
      <c r="F192" s="317"/>
      <c r="G192" s="394"/>
      <c r="H192" s="396"/>
      <c r="I192" s="395"/>
      <c r="J192" s="317"/>
      <c r="K192" s="394"/>
      <c r="L192" s="396"/>
      <c r="M192" s="395"/>
      <c r="N192" s="317"/>
      <c r="O192" s="394"/>
      <c r="P192" s="396"/>
      <c r="Q192" s="403"/>
      <c r="R192" s="404"/>
      <c r="S192" s="405"/>
      <c r="T192" s="401"/>
      <c r="U192" s="403"/>
      <c r="V192" s="404"/>
      <c r="W192" s="405"/>
      <c r="X192" s="401"/>
      <c r="Y192" s="403"/>
      <c r="Z192" s="404"/>
      <c r="AA192" s="405"/>
      <c r="AB192" s="401"/>
      <c r="AC192" s="403"/>
      <c r="AD192" s="404"/>
      <c r="AE192" s="405"/>
      <c r="AF192" s="401"/>
      <c r="AG192" s="403"/>
      <c r="AH192" s="404"/>
      <c r="AI192" s="405"/>
      <c r="AJ192" s="401"/>
      <c r="AK192" s="395"/>
      <c r="AL192" s="317"/>
      <c r="AM192" s="394"/>
      <c r="AN192" s="396"/>
      <c r="AO192" s="200"/>
      <c r="AP192" s="200"/>
    </row>
    <row r="193">
      <c r="A193" s="395"/>
      <c r="B193" s="317"/>
      <c r="C193" s="394"/>
      <c r="D193" s="396"/>
      <c r="E193" s="395"/>
      <c r="F193" s="317"/>
      <c r="G193" s="394"/>
      <c r="H193" s="396"/>
      <c r="I193" s="395"/>
      <c r="J193" s="317"/>
      <c r="K193" s="394"/>
      <c r="L193" s="396"/>
      <c r="M193" s="395"/>
      <c r="N193" s="317"/>
      <c r="O193" s="394"/>
      <c r="P193" s="396"/>
      <c r="Q193" s="403"/>
      <c r="R193" s="404"/>
      <c r="S193" s="405"/>
      <c r="T193" s="401"/>
      <c r="U193" s="403"/>
      <c r="V193" s="404"/>
      <c r="W193" s="405"/>
      <c r="X193" s="401"/>
      <c r="Y193" s="403"/>
      <c r="Z193" s="404"/>
      <c r="AA193" s="405"/>
      <c r="AB193" s="401"/>
      <c r="AC193" s="403"/>
      <c r="AD193" s="404"/>
      <c r="AE193" s="405"/>
      <c r="AF193" s="401"/>
      <c r="AG193" s="403"/>
      <c r="AH193" s="404"/>
      <c r="AI193" s="405"/>
      <c r="AJ193" s="401"/>
      <c r="AK193" s="395"/>
      <c r="AL193" s="317"/>
      <c r="AM193" s="394"/>
      <c r="AN193" s="396"/>
      <c r="AO193" s="200"/>
      <c r="AP193" s="200"/>
    </row>
    <row r="194">
      <c r="A194" s="395"/>
      <c r="B194" s="317"/>
      <c r="C194" s="394"/>
      <c r="D194" s="396"/>
      <c r="E194" s="395"/>
      <c r="F194" s="317"/>
      <c r="G194" s="394"/>
      <c r="H194" s="396"/>
      <c r="I194" s="395"/>
      <c r="J194" s="317"/>
      <c r="K194" s="394"/>
      <c r="L194" s="396"/>
      <c r="M194" s="395"/>
      <c r="N194" s="317"/>
      <c r="O194" s="394"/>
      <c r="P194" s="396"/>
      <c r="Q194" s="403"/>
      <c r="R194" s="404"/>
      <c r="S194" s="405"/>
      <c r="T194" s="401"/>
      <c r="U194" s="403"/>
      <c r="V194" s="404"/>
      <c r="W194" s="405"/>
      <c r="X194" s="401"/>
      <c r="Y194" s="403"/>
      <c r="Z194" s="404"/>
      <c r="AA194" s="405"/>
      <c r="AB194" s="401"/>
      <c r="AC194" s="403"/>
      <c r="AD194" s="404"/>
      <c r="AE194" s="405"/>
      <c r="AF194" s="401"/>
      <c r="AG194" s="403"/>
      <c r="AH194" s="404"/>
      <c r="AI194" s="405"/>
      <c r="AJ194" s="401"/>
      <c r="AK194" s="395"/>
      <c r="AL194" s="317"/>
      <c r="AM194" s="394"/>
      <c r="AN194" s="396"/>
      <c r="AO194" s="200"/>
      <c r="AP194" s="200"/>
    </row>
    <row r="195">
      <c r="A195" s="395"/>
      <c r="B195" s="317"/>
      <c r="C195" s="394"/>
      <c r="D195" s="396"/>
      <c r="E195" s="395"/>
      <c r="F195" s="317"/>
      <c r="G195" s="394"/>
      <c r="H195" s="396"/>
      <c r="I195" s="395"/>
      <c r="J195" s="317"/>
      <c r="K195" s="394"/>
      <c r="L195" s="396"/>
      <c r="M195" s="395"/>
      <c r="N195" s="317"/>
      <c r="O195" s="394"/>
      <c r="P195" s="396"/>
      <c r="Q195" s="403"/>
      <c r="R195" s="404"/>
      <c r="S195" s="405"/>
      <c r="T195" s="401"/>
      <c r="U195" s="403"/>
      <c r="V195" s="404"/>
      <c r="W195" s="405"/>
      <c r="X195" s="401"/>
      <c r="Y195" s="403"/>
      <c r="Z195" s="404"/>
      <c r="AA195" s="405"/>
      <c r="AB195" s="401"/>
      <c r="AC195" s="403"/>
      <c r="AD195" s="404"/>
      <c r="AE195" s="405"/>
      <c r="AF195" s="401"/>
      <c r="AG195" s="403"/>
      <c r="AH195" s="404"/>
      <c r="AI195" s="405"/>
      <c r="AJ195" s="401"/>
      <c r="AK195" s="395"/>
      <c r="AL195" s="317"/>
      <c r="AM195" s="394"/>
      <c r="AN195" s="396"/>
      <c r="AO195" s="200"/>
      <c r="AP195" s="200"/>
    </row>
    <row r="196">
      <c r="A196" s="395"/>
      <c r="B196" s="317"/>
      <c r="C196" s="394"/>
      <c r="D196" s="396"/>
      <c r="E196" s="395"/>
      <c r="F196" s="317"/>
      <c r="G196" s="394"/>
      <c r="H196" s="396"/>
      <c r="I196" s="395"/>
      <c r="J196" s="317"/>
      <c r="K196" s="394"/>
      <c r="L196" s="396"/>
      <c r="M196" s="395"/>
      <c r="N196" s="317"/>
      <c r="O196" s="394"/>
      <c r="P196" s="396"/>
      <c r="Q196" s="403"/>
      <c r="R196" s="404"/>
      <c r="S196" s="405"/>
      <c r="T196" s="401"/>
      <c r="U196" s="403"/>
      <c r="V196" s="404"/>
      <c r="W196" s="405"/>
      <c r="X196" s="401"/>
      <c r="Y196" s="403"/>
      <c r="Z196" s="404"/>
      <c r="AA196" s="405"/>
      <c r="AB196" s="401"/>
      <c r="AC196" s="403"/>
      <c r="AD196" s="404"/>
      <c r="AE196" s="405"/>
      <c r="AF196" s="401"/>
      <c r="AG196" s="403"/>
      <c r="AH196" s="404"/>
      <c r="AI196" s="405"/>
      <c r="AJ196" s="401"/>
      <c r="AK196" s="395"/>
      <c r="AL196" s="317"/>
      <c r="AM196" s="394"/>
      <c r="AN196" s="396"/>
      <c r="AO196" s="200"/>
      <c r="AP196" s="200"/>
    </row>
    <row r="197">
      <c r="A197" s="395"/>
      <c r="B197" s="317"/>
      <c r="C197" s="394"/>
      <c r="D197" s="396"/>
      <c r="E197" s="395"/>
      <c r="F197" s="317"/>
      <c r="G197" s="394"/>
      <c r="H197" s="396"/>
      <c r="I197" s="395"/>
      <c r="J197" s="317"/>
      <c r="K197" s="394"/>
      <c r="L197" s="396"/>
      <c r="M197" s="395"/>
      <c r="N197" s="317"/>
      <c r="O197" s="394"/>
      <c r="P197" s="396"/>
      <c r="Q197" s="403"/>
      <c r="R197" s="404"/>
      <c r="S197" s="405"/>
      <c r="T197" s="401"/>
      <c r="U197" s="403"/>
      <c r="V197" s="404"/>
      <c r="W197" s="405"/>
      <c r="X197" s="401"/>
      <c r="Y197" s="403"/>
      <c r="Z197" s="404"/>
      <c r="AA197" s="405"/>
      <c r="AB197" s="401"/>
      <c r="AC197" s="403"/>
      <c r="AD197" s="404"/>
      <c r="AE197" s="405"/>
      <c r="AF197" s="401"/>
      <c r="AG197" s="403"/>
      <c r="AH197" s="404"/>
      <c r="AI197" s="405"/>
      <c r="AJ197" s="401"/>
      <c r="AK197" s="395"/>
      <c r="AL197" s="317"/>
      <c r="AM197" s="394"/>
      <c r="AN197" s="396"/>
      <c r="AO197" s="200"/>
      <c r="AP197" s="200"/>
    </row>
    <row r="198">
      <c r="A198" s="395"/>
      <c r="B198" s="317"/>
      <c r="C198" s="394"/>
      <c r="D198" s="396"/>
      <c r="E198" s="395"/>
      <c r="F198" s="317"/>
      <c r="G198" s="394"/>
      <c r="H198" s="396"/>
      <c r="I198" s="395"/>
      <c r="J198" s="317"/>
      <c r="K198" s="394"/>
      <c r="L198" s="396"/>
      <c r="M198" s="395"/>
      <c r="N198" s="317"/>
      <c r="O198" s="394"/>
      <c r="P198" s="396"/>
      <c r="Q198" s="403"/>
      <c r="R198" s="404"/>
      <c r="S198" s="405"/>
      <c r="T198" s="401"/>
      <c r="U198" s="403"/>
      <c r="V198" s="404"/>
      <c r="W198" s="405"/>
      <c r="X198" s="401"/>
      <c r="Y198" s="403"/>
      <c r="Z198" s="404"/>
      <c r="AA198" s="405"/>
      <c r="AB198" s="401"/>
      <c r="AC198" s="403"/>
      <c r="AD198" s="404"/>
      <c r="AE198" s="405"/>
      <c r="AF198" s="401"/>
      <c r="AG198" s="403"/>
      <c r="AH198" s="404"/>
      <c r="AI198" s="405"/>
      <c r="AJ198" s="401"/>
      <c r="AK198" s="395"/>
      <c r="AL198" s="317"/>
      <c r="AM198" s="394"/>
      <c r="AN198" s="396"/>
      <c r="AO198" s="200"/>
      <c r="AP198" s="200"/>
    </row>
    <row r="199">
      <c r="A199" s="395"/>
      <c r="B199" s="317"/>
      <c r="C199" s="394"/>
      <c r="D199" s="396"/>
      <c r="E199" s="395"/>
      <c r="F199" s="317"/>
      <c r="G199" s="394"/>
      <c r="H199" s="396"/>
      <c r="I199" s="395"/>
      <c r="J199" s="317"/>
      <c r="K199" s="394"/>
      <c r="L199" s="396"/>
      <c r="M199" s="395"/>
      <c r="N199" s="317"/>
      <c r="O199" s="394"/>
      <c r="P199" s="396"/>
      <c r="Q199" s="403"/>
      <c r="R199" s="404"/>
      <c r="S199" s="405"/>
      <c r="T199" s="401"/>
      <c r="U199" s="403"/>
      <c r="V199" s="404"/>
      <c r="W199" s="405"/>
      <c r="X199" s="401"/>
      <c r="Y199" s="403"/>
      <c r="Z199" s="404"/>
      <c r="AA199" s="405"/>
      <c r="AB199" s="401"/>
      <c r="AC199" s="403"/>
      <c r="AD199" s="404"/>
      <c r="AE199" s="405"/>
      <c r="AF199" s="401"/>
      <c r="AG199" s="403"/>
      <c r="AH199" s="404"/>
      <c r="AI199" s="405"/>
      <c r="AJ199" s="401"/>
      <c r="AK199" s="395"/>
      <c r="AL199" s="317"/>
      <c r="AM199" s="394"/>
      <c r="AN199" s="396"/>
      <c r="AO199" s="200"/>
      <c r="AP199" s="200"/>
    </row>
    <row r="200">
      <c r="A200" s="395"/>
      <c r="B200" s="317"/>
      <c r="C200" s="394"/>
      <c r="D200" s="396"/>
      <c r="E200" s="395"/>
      <c r="F200" s="317"/>
      <c r="G200" s="394"/>
      <c r="H200" s="396"/>
      <c r="I200" s="395"/>
      <c r="J200" s="317"/>
      <c r="K200" s="394"/>
      <c r="L200" s="396"/>
      <c r="M200" s="395"/>
      <c r="N200" s="317"/>
      <c r="O200" s="394"/>
      <c r="P200" s="396"/>
      <c r="Q200" s="403"/>
      <c r="R200" s="404"/>
      <c r="S200" s="405"/>
      <c r="T200" s="401"/>
      <c r="U200" s="403"/>
      <c r="V200" s="404"/>
      <c r="W200" s="405"/>
      <c r="X200" s="401"/>
      <c r="Y200" s="403"/>
      <c r="Z200" s="404"/>
      <c r="AA200" s="405"/>
      <c r="AB200" s="401"/>
      <c r="AC200" s="403"/>
      <c r="AD200" s="404"/>
      <c r="AE200" s="405"/>
      <c r="AF200" s="401"/>
      <c r="AG200" s="403"/>
      <c r="AH200" s="404"/>
      <c r="AI200" s="405"/>
      <c r="AJ200" s="401"/>
      <c r="AK200" s="395"/>
      <c r="AL200" s="317"/>
      <c r="AM200" s="394"/>
      <c r="AN200" s="396"/>
      <c r="AO200" s="200"/>
      <c r="AP200" s="200"/>
    </row>
    <row r="201">
      <c r="A201" s="395"/>
      <c r="B201" s="317"/>
      <c r="C201" s="394"/>
      <c r="D201" s="396"/>
      <c r="E201" s="395"/>
      <c r="F201" s="317"/>
      <c r="G201" s="394"/>
      <c r="H201" s="396"/>
      <c r="I201" s="395"/>
      <c r="J201" s="317"/>
      <c r="K201" s="394"/>
      <c r="L201" s="396"/>
      <c r="M201" s="395"/>
      <c r="N201" s="317"/>
      <c r="O201" s="394"/>
      <c r="P201" s="396"/>
      <c r="Q201" s="403"/>
      <c r="R201" s="404"/>
      <c r="S201" s="405"/>
      <c r="T201" s="401"/>
      <c r="U201" s="403"/>
      <c r="V201" s="404"/>
      <c r="W201" s="405"/>
      <c r="X201" s="401"/>
      <c r="Y201" s="403"/>
      <c r="Z201" s="404"/>
      <c r="AA201" s="405"/>
      <c r="AB201" s="401"/>
      <c r="AC201" s="403"/>
      <c r="AD201" s="404"/>
      <c r="AE201" s="405"/>
      <c r="AF201" s="401"/>
      <c r="AG201" s="403"/>
      <c r="AH201" s="404"/>
      <c r="AI201" s="405"/>
      <c r="AJ201" s="401"/>
      <c r="AK201" s="395"/>
      <c r="AL201" s="317"/>
      <c r="AM201" s="394"/>
      <c r="AN201" s="396"/>
      <c r="AO201" s="200"/>
      <c r="AP201" s="200"/>
    </row>
    <row r="202">
      <c r="A202" s="395"/>
      <c r="B202" s="317"/>
      <c r="C202" s="394"/>
      <c r="D202" s="396"/>
      <c r="E202" s="395"/>
      <c r="F202" s="317"/>
      <c r="G202" s="394"/>
      <c r="H202" s="396"/>
      <c r="I202" s="395"/>
      <c r="J202" s="317"/>
      <c r="K202" s="394"/>
      <c r="L202" s="396"/>
      <c r="M202" s="395"/>
      <c r="N202" s="317"/>
      <c r="O202" s="394"/>
      <c r="P202" s="396"/>
      <c r="Q202" s="403"/>
      <c r="R202" s="404"/>
      <c r="S202" s="405"/>
      <c r="T202" s="401"/>
      <c r="U202" s="403"/>
      <c r="V202" s="404"/>
      <c r="W202" s="405"/>
      <c r="X202" s="401"/>
      <c r="Y202" s="403"/>
      <c r="Z202" s="404"/>
      <c r="AA202" s="405"/>
      <c r="AB202" s="401"/>
      <c r="AC202" s="403"/>
      <c r="AD202" s="404"/>
      <c r="AE202" s="405"/>
      <c r="AF202" s="401"/>
      <c r="AG202" s="403"/>
      <c r="AH202" s="404"/>
      <c r="AI202" s="405"/>
      <c r="AJ202" s="401"/>
      <c r="AK202" s="395"/>
      <c r="AL202" s="317"/>
      <c r="AM202" s="394"/>
      <c r="AN202" s="396"/>
      <c r="AO202" s="200"/>
      <c r="AP202" s="200"/>
    </row>
    <row r="203">
      <c r="A203" s="395"/>
      <c r="B203" s="317"/>
      <c r="C203" s="394"/>
      <c r="D203" s="396"/>
      <c r="E203" s="395"/>
      <c r="F203" s="317"/>
      <c r="G203" s="394"/>
      <c r="H203" s="396"/>
      <c r="I203" s="395"/>
      <c r="J203" s="317"/>
      <c r="K203" s="394"/>
      <c r="L203" s="396"/>
      <c r="M203" s="395"/>
      <c r="N203" s="317"/>
      <c r="O203" s="394"/>
      <c r="P203" s="396"/>
      <c r="Q203" s="403"/>
      <c r="R203" s="404"/>
      <c r="S203" s="405"/>
      <c r="T203" s="401"/>
      <c r="U203" s="403"/>
      <c r="V203" s="404"/>
      <c r="W203" s="405"/>
      <c r="X203" s="401"/>
      <c r="Y203" s="403"/>
      <c r="Z203" s="404"/>
      <c r="AA203" s="405"/>
      <c r="AB203" s="401"/>
      <c r="AC203" s="403"/>
      <c r="AD203" s="404"/>
      <c r="AE203" s="405"/>
      <c r="AF203" s="401"/>
      <c r="AG203" s="403"/>
      <c r="AH203" s="404"/>
      <c r="AI203" s="405"/>
      <c r="AJ203" s="401"/>
      <c r="AK203" s="395"/>
      <c r="AL203" s="317"/>
      <c r="AM203" s="394"/>
      <c r="AN203" s="396"/>
      <c r="AO203" s="200"/>
      <c r="AP203" s="200"/>
    </row>
    <row r="204">
      <c r="A204" s="395"/>
      <c r="B204" s="317"/>
      <c r="C204" s="394"/>
      <c r="D204" s="396"/>
      <c r="E204" s="395"/>
      <c r="F204" s="317"/>
      <c r="G204" s="394"/>
      <c r="H204" s="396"/>
      <c r="I204" s="395"/>
      <c r="J204" s="317"/>
      <c r="K204" s="394"/>
      <c r="L204" s="396"/>
      <c r="M204" s="395"/>
      <c r="N204" s="317"/>
      <c r="O204" s="394"/>
      <c r="P204" s="396"/>
      <c r="Q204" s="403"/>
      <c r="R204" s="404"/>
      <c r="S204" s="405"/>
      <c r="T204" s="401"/>
      <c r="U204" s="403"/>
      <c r="V204" s="404"/>
      <c r="W204" s="405"/>
      <c r="X204" s="401"/>
      <c r="Y204" s="403"/>
      <c r="Z204" s="404"/>
      <c r="AA204" s="405"/>
      <c r="AB204" s="401"/>
      <c r="AC204" s="403"/>
      <c r="AD204" s="404"/>
      <c r="AE204" s="405"/>
      <c r="AF204" s="401"/>
      <c r="AG204" s="403"/>
      <c r="AH204" s="404"/>
      <c r="AI204" s="405"/>
      <c r="AJ204" s="401"/>
      <c r="AK204" s="395"/>
      <c r="AL204" s="317"/>
      <c r="AM204" s="394"/>
      <c r="AN204" s="396"/>
      <c r="AO204" s="200"/>
      <c r="AP204" s="200"/>
    </row>
    <row r="205">
      <c r="A205" s="395"/>
      <c r="B205" s="317"/>
      <c r="C205" s="394"/>
      <c r="D205" s="396"/>
      <c r="E205" s="395"/>
      <c r="F205" s="317"/>
      <c r="G205" s="394"/>
      <c r="H205" s="396"/>
      <c r="I205" s="395"/>
      <c r="J205" s="317"/>
      <c r="K205" s="394"/>
      <c r="L205" s="396"/>
      <c r="M205" s="395"/>
      <c r="N205" s="317"/>
      <c r="O205" s="394"/>
      <c r="P205" s="396"/>
      <c r="Q205" s="403"/>
      <c r="R205" s="404"/>
      <c r="S205" s="405"/>
      <c r="T205" s="401"/>
      <c r="U205" s="403"/>
      <c r="V205" s="404"/>
      <c r="W205" s="405"/>
      <c r="X205" s="401"/>
      <c r="Y205" s="403"/>
      <c r="Z205" s="404"/>
      <c r="AA205" s="405"/>
      <c r="AB205" s="401"/>
      <c r="AC205" s="403"/>
      <c r="AD205" s="404"/>
      <c r="AE205" s="405"/>
      <c r="AF205" s="401"/>
      <c r="AG205" s="403"/>
      <c r="AH205" s="404"/>
      <c r="AI205" s="405"/>
      <c r="AJ205" s="401"/>
      <c r="AK205" s="395"/>
      <c r="AL205" s="317"/>
      <c r="AM205" s="394"/>
      <c r="AN205" s="396"/>
      <c r="AO205" s="200"/>
      <c r="AP205" s="200"/>
    </row>
    <row r="206">
      <c r="A206" s="395"/>
      <c r="B206" s="317"/>
      <c r="C206" s="394"/>
      <c r="D206" s="396"/>
      <c r="E206" s="395"/>
      <c r="F206" s="317"/>
      <c r="G206" s="394"/>
      <c r="H206" s="396"/>
      <c r="I206" s="395"/>
      <c r="J206" s="317"/>
      <c r="K206" s="394"/>
      <c r="L206" s="396"/>
      <c r="M206" s="395"/>
      <c r="N206" s="317"/>
      <c r="O206" s="394"/>
      <c r="P206" s="396"/>
      <c r="Q206" s="403"/>
      <c r="R206" s="404"/>
      <c r="S206" s="405"/>
      <c r="T206" s="401"/>
      <c r="U206" s="403"/>
      <c r="V206" s="404"/>
      <c r="W206" s="405"/>
      <c r="X206" s="401"/>
      <c r="Y206" s="403"/>
      <c r="Z206" s="404"/>
      <c r="AA206" s="405"/>
      <c r="AB206" s="401"/>
      <c r="AC206" s="403"/>
      <c r="AD206" s="404"/>
      <c r="AE206" s="405"/>
      <c r="AF206" s="401"/>
      <c r="AG206" s="403"/>
      <c r="AH206" s="404"/>
      <c r="AI206" s="405"/>
      <c r="AJ206" s="401"/>
      <c r="AK206" s="395"/>
      <c r="AL206" s="317"/>
      <c r="AM206" s="394"/>
      <c r="AN206" s="396"/>
      <c r="AO206" s="200"/>
      <c r="AP206" s="200"/>
    </row>
    <row r="207">
      <c r="A207" s="395"/>
      <c r="B207" s="317"/>
      <c r="C207" s="394"/>
      <c r="D207" s="396"/>
      <c r="E207" s="395"/>
      <c r="F207" s="317"/>
      <c r="G207" s="394"/>
      <c r="H207" s="396"/>
      <c r="I207" s="395"/>
      <c r="J207" s="317"/>
      <c r="K207" s="394"/>
      <c r="L207" s="396"/>
      <c r="M207" s="395"/>
      <c r="N207" s="317"/>
      <c r="O207" s="394"/>
      <c r="P207" s="396"/>
      <c r="Q207" s="403"/>
      <c r="R207" s="404"/>
      <c r="S207" s="405"/>
      <c r="T207" s="401"/>
      <c r="U207" s="403"/>
      <c r="V207" s="404"/>
      <c r="W207" s="405"/>
      <c r="X207" s="401"/>
      <c r="Y207" s="403"/>
      <c r="Z207" s="404"/>
      <c r="AA207" s="405"/>
      <c r="AB207" s="401"/>
      <c r="AC207" s="403"/>
      <c r="AD207" s="404"/>
      <c r="AE207" s="405"/>
      <c r="AF207" s="401"/>
      <c r="AG207" s="403"/>
      <c r="AH207" s="404"/>
      <c r="AI207" s="405"/>
      <c r="AJ207" s="401"/>
      <c r="AK207" s="395"/>
      <c r="AL207" s="317"/>
      <c r="AM207" s="394"/>
      <c r="AN207" s="396"/>
      <c r="AO207" s="200"/>
      <c r="AP207" s="200"/>
    </row>
    <row r="208">
      <c r="A208" s="395"/>
      <c r="B208" s="317"/>
      <c r="C208" s="394"/>
      <c r="D208" s="396"/>
      <c r="E208" s="395"/>
      <c r="F208" s="317"/>
      <c r="G208" s="394"/>
      <c r="H208" s="396"/>
      <c r="I208" s="395"/>
      <c r="J208" s="317"/>
      <c r="K208" s="394"/>
      <c r="L208" s="396"/>
      <c r="M208" s="395"/>
      <c r="N208" s="317"/>
      <c r="O208" s="394"/>
      <c r="P208" s="396"/>
      <c r="Q208" s="403"/>
      <c r="R208" s="404"/>
      <c r="S208" s="405"/>
      <c r="T208" s="401"/>
      <c r="U208" s="403"/>
      <c r="V208" s="404"/>
      <c r="W208" s="405"/>
      <c r="X208" s="401"/>
      <c r="Y208" s="403"/>
      <c r="Z208" s="404"/>
      <c r="AA208" s="405"/>
      <c r="AB208" s="401"/>
      <c r="AC208" s="403"/>
      <c r="AD208" s="404"/>
      <c r="AE208" s="405"/>
      <c r="AF208" s="401"/>
      <c r="AG208" s="403"/>
      <c r="AH208" s="404"/>
      <c r="AI208" s="405"/>
      <c r="AJ208" s="401"/>
      <c r="AK208" s="395"/>
      <c r="AL208" s="317"/>
      <c r="AM208" s="394"/>
      <c r="AN208" s="396"/>
      <c r="AO208" s="200"/>
      <c r="AP208" s="200"/>
    </row>
    <row r="209">
      <c r="A209" s="395"/>
      <c r="B209" s="317"/>
      <c r="C209" s="394"/>
      <c r="D209" s="396"/>
      <c r="E209" s="395"/>
      <c r="F209" s="317"/>
      <c r="G209" s="394"/>
      <c r="H209" s="396"/>
      <c r="I209" s="395"/>
      <c r="J209" s="317"/>
      <c r="K209" s="394"/>
      <c r="L209" s="396"/>
      <c r="M209" s="395"/>
      <c r="N209" s="317"/>
      <c r="O209" s="394"/>
      <c r="P209" s="396"/>
      <c r="Q209" s="403"/>
      <c r="R209" s="404"/>
      <c r="S209" s="405"/>
      <c r="T209" s="401"/>
      <c r="U209" s="403"/>
      <c r="V209" s="404"/>
      <c r="W209" s="405"/>
      <c r="X209" s="401"/>
      <c r="Y209" s="403"/>
      <c r="Z209" s="404"/>
      <c r="AA209" s="405"/>
      <c r="AB209" s="401"/>
      <c r="AC209" s="403"/>
      <c r="AD209" s="404"/>
      <c r="AE209" s="405"/>
      <c r="AF209" s="401"/>
      <c r="AG209" s="403"/>
      <c r="AH209" s="404"/>
      <c r="AI209" s="405"/>
      <c r="AJ209" s="401"/>
      <c r="AK209" s="395"/>
      <c r="AL209" s="317"/>
      <c r="AM209" s="394"/>
      <c r="AN209" s="396"/>
      <c r="AO209" s="200"/>
      <c r="AP209" s="200"/>
    </row>
    <row r="210">
      <c r="A210" s="395"/>
      <c r="B210" s="317"/>
      <c r="C210" s="394"/>
      <c r="D210" s="396"/>
      <c r="E210" s="395"/>
      <c r="F210" s="317"/>
      <c r="G210" s="394"/>
      <c r="H210" s="396"/>
      <c r="I210" s="395"/>
      <c r="J210" s="317"/>
      <c r="K210" s="394"/>
      <c r="L210" s="396"/>
      <c r="M210" s="395"/>
      <c r="N210" s="317"/>
      <c r="O210" s="394"/>
      <c r="P210" s="396"/>
      <c r="Q210" s="403"/>
      <c r="R210" s="404"/>
      <c r="S210" s="405"/>
      <c r="T210" s="401"/>
      <c r="U210" s="403"/>
      <c r="V210" s="404"/>
      <c r="W210" s="405"/>
      <c r="X210" s="401"/>
      <c r="Y210" s="403"/>
      <c r="Z210" s="404"/>
      <c r="AA210" s="405"/>
      <c r="AB210" s="401"/>
      <c r="AC210" s="403"/>
      <c r="AD210" s="404"/>
      <c r="AE210" s="405"/>
      <c r="AF210" s="401"/>
      <c r="AG210" s="403"/>
      <c r="AH210" s="404"/>
      <c r="AI210" s="405"/>
      <c r="AJ210" s="401"/>
      <c r="AK210" s="395"/>
      <c r="AL210" s="317"/>
      <c r="AM210" s="394"/>
      <c r="AN210" s="396"/>
      <c r="AO210" s="200"/>
      <c r="AP210" s="200"/>
    </row>
    <row r="211">
      <c r="A211" s="395"/>
      <c r="B211" s="317"/>
      <c r="C211" s="394"/>
      <c r="D211" s="396"/>
      <c r="E211" s="395"/>
      <c r="F211" s="317"/>
      <c r="G211" s="394"/>
      <c r="H211" s="396"/>
      <c r="I211" s="395"/>
      <c r="J211" s="317"/>
      <c r="K211" s="394"/>
      <c r="L211" s="396"/>
      <c r="M211" s="395"/>
      <c r="N211" s="317"/>
      <c r="O211" s="394"/>
      <c r="P211" s="396"/>
      <c r="Q211" s="403"/>
      <c r="R211" s="404"/>
      <c r="S211" s="405"/>
      <c r="T211" s="401"/>
      <c r="U211" s="403"/>
      <c r="V211" s="404"/>
      <c r="W211" s="405"/>
      <c r="X211" s="401"/>
      <c r="Y211" s="403"/>
      <c r="Z211" s="404"/>
      <c r="AA211" s="405"/>
      <c r="AB211" s="401"/>
      <c r="AC211" s="403"/>
      <c r="AD211" s="404"/>
      <c r="AE211" s="405"/>
      <c r="AF211" s="401"/>
      <c r="AG211" s="403"/>
      <c r="AH211" s="404"/>
      <c r="AI211" s="405"/>
      <c r="AJ211" s="401"/>
      <c r="AK211" s="395"/>
      <c r="AL211" s="317"/>
      <c r="AM211" s="394"/>
      <c r="AN211" s="396"/>
      <c r="AO211" s="200"/>
      <c r="AP211" s="200"/>
    </row>
    <row r="212">
      <c r="A212" s="395"/>
      <c r="B212" s="317"/>
      <c r="C212" s="394"/>
      <c r="D212" s="396"/>
      <c r="E212" s="395"/>
      <c r="F212" s="317"/>
      <c r="G212" s="394"/>
      <c r="H212" s="396"/>
      <c r="I212" s="395"/>
      <c r="J212" s="317"/>
      <c r="K212" s="394"/>
      <c r="L212" s="396"/>
      <c r="M212" s="395"/>
      <c r="N212" s="317"/>
      <c r="O212" s="394"/>
      <c r="P212" s="396"/>
      <c r="Q212" s="403"/>
      <c r="R212" s="404"/>
      <c r="S212" s="405"/>
      <c r="T212" s="401"/>
      <c r="U212" s="403"/>
      <c r="V212" s="404"/>
      <c r="W212" s="405"/>
      <c r="X212" s="401"/>
      <c r="Y212" s="403"/>
      <c r="Z212" s="404"/>
      <c r="AA212" s="405"/>
      <c r="AB212" s="401"/>
      <c r="AC212" s="403"/>
      <c r="AD212" s="404"/>
      <c r="AE212" s="405"/>
      <c r="AF212" s="401"/>
      <c r="AG212" s="403"/>
      <c r="AH212" s="404"/>
      <c r="AI212" s="405"/>
      <c r="AJ212" s="401"/>
      <c r="AK212" s="395"/>
      <c r="AL212" s="317"/>
      <c r="AM212" s="394"/>
      <c r="AN212" s="396"/>
      <c r="AO212" s="200"/>
      <c r="AP212" s="200"/>
    </row>
    <row r="213">
      <c r="A213" s="395"/>
      <c r="B213" s="317"/>
      <c r="C213" s="394"/>
      <c r="D213" s="396"/>
      <c r="E213" s="395"/>
      <c r="F213" s="317"/>
      <c r="G213" s="394"/>
      <c r="H213" s="396"/>
      <c r="I213" s="395"/>
      <c r="J213" s="317"/>
      <c r="K213" s="394"/>
      <c r="L213" s="396"/>
      <c r="M213" s="395"/>
      <c r="N213" s="317"/>
      <c r="O213" s="394"/>
      <c r="P213" s="396"/>
      <c r="Q213" s="403"/>
      <c r="R213" s="404"/>
      <c r="S213" s="405"/>
      <c r="T213" s="401"/>
      <c r="U213" s="403"/>
      <c r="V213" s="404"/>
      <c r="W213" s="405"/>
      <c r="X213" s="401"/>
      <c r="Y213" s="403"/>
      <c r="Z213" s="404"/>
      <c r="AA213" s="405"/>
      <c r="AB213" s="401"/>
      <c r="AC213" s="403"/>
      <c r="AD213" s="404"/>
      <c r="AE213" s="405"/>
      <c r="AF213" s="401"/>
      <c r="AG213" s="403"/>
      <c r="AH213" s="404"/>
      <c r="AI213" s="405"/>
      <c r="AJ213" s="401"/>
      <c r="AK213" s="395"/>
      <c r="AL213" s="317"/>
      <c r="AM213" s="394"/>
      <c r="AN213" s="396"/>
      <c r="AO213" s="200"/>
      <c r="AP213" s="200"/>
    </row>
    <row r="214">
      <c r="A214" s="395"/>
      <c r="B214" s="317"/>
      <c r="C214" s="394"/>
      <c r="D214" s="396"/>
      <c r="E214" s="395"/>
      <c r="F214" s="317"/>
      <c r="G214" s="394"/>
      <c r="H214" s="396"/>
      <c r="I214" s="395"/>
      <c r="J214" s="317"/>
      <c r="K214" s="394"/>
      <c r="L214" s="396"/>
      <c r="M214" s="395"/>
      <c r="N214" s="317"/>
      <c r="O214" s="394"/>
      <c r="P214" s="396"/>
      <c r="Q214" s="403"/>
      <c r="R214" s="404"/>
      <c r="S214" s="405"/>
      <c r="T214" s="401"/>
      <c r="U214" s="403"/>
      <c r="V214" s="404"/>
      <c r="W214" s="405"/>
      <c r="X214" s="401"/>
      <c r="Y214" s="403"/>
      <c r="Z214" s="404"/>
      <c r="AA214" s="405"/>
      <c r="AB214" s="401"/>
      <c r="AC214" s="403"/>
      <c r="AD214" s="404"/>
      <c r="AE214" s="405"/>
      <c r="AF214" s="401"/>
      <c r="AG214" s="403"/>
      <c r="AH214" s="404"/>
      <c r="AI214" s="405"/>
      <c r="AJ214" s="401"/>
      <c r="AK214" s="395"/>
      <c r="AL214" s="317"/>
      <c r="AM214" s="394"/>
      <c r="AN214" s="396"/>
      <c r="AO214" s="200"/>
      <c r="AP214" s="200"/>
    </row>
    <row r="215">
      <c r="A215" s="395"/>
      <c r="B215" s="317"/>
      <c r="C215" s="394"/>
      <c r="D215" s="396"/>
      <c r="E215" s="395"/>
      <c r="F215" s="317"/>
      <c r="G215" s="394"/>
      <c r="H215" s="396"/>
      <c r="I215" s="395"/>
      <c r="J215" s="317"/>
      <c r="K215" s="394"/>
      <c r="L215" s="396"/>
      <c r="M215" s="395"/>
      <c r="N215" s="317"/>
      <c r="O215" s="394"/>
      <c r="P215" s="396"/>
      <c r="Q215" s="403"/>
      <c r="R215" s="404"/>
      <c r="S215" s="405"/>
      <c r="T215" s="401"/>
      <c r="U215" s="403"/>
      <c r="V215" s="404"/>
      <c r="W215" s="405"/>
      <c r="X215" s="401"/>
      <c r="Y215" s="403"/>
      <c r="Z215" s="404"/>
      <c r="AA215" s="405"/>
      <c r="AB215" s="401"/>
      <c r="AC215" s="403"/>
      <c r="AD215" s="404"/>
      <c r="AE215" s="405"/>
      <c r="AF215" s="401"/>
      <c r="AG215" s="403"/>
      <c r="AH215" s="404"/>
      <c r="AI215" s="405"/>
      <c r="AJ215" s="401"/>
      <c r="AK215" s="395"/>
      <c r="AL215" s="317"/>
      <c r="AM215" s="394"/>
      <c r="AN215" s="396"/>
      <c r="AO215" s="200"/>
      <c r="AP215" s="200"/>
    </row>
    <row r="216">
      <c r="A216" s="395"/>
      <c r="B216" s="317"/>
      <c r="C216" s="394"/>
      <c r="D216" s="396"/>
      <c r="E216" s="395"/>
      <c r="F216" s="317"/>
      <c r="G216" s="394"/>
      <c r="H216" s="396"/>
      <c r="I216" s="395"/>
      <c r="J216" s="317"/>
      <c r="K216" s="394"/>
      <c r="L216" s="396"/>
      <c r="M216" s="395"/>
      <c r="N216" s="317"/>
      <c r="O216" s="394"/>
      <c r="P216" s="396"/>
      <c r="Q216" s="403"/>
      <c r="R216" s="404"/>
      <c r="S216" s="405"/>
      <c r="T216" s="401"/>
      <c r="U216" s="403"/>
      <c r="V216" s="404"/>
      <c r="W216" s="405"/>
      <c r="X216" s="401"/>
      <c r="Y216" s="403"/>
      <c r="Z216" s="404"/>
      <c r="AA216" s="405"/>
      <c r="AB216" s="401"/>
      <c r="AC216" s="403"/>
      <c r="AD216" s="404"/>
      <c r="AE216" s="405"/>
      <c r="AF216" s="401"/>
      <c r="AG216" s="403"/>
      <c r="AH216" s="404"/>
      <c r="AI216" s="405"/>
      <c r="AJ216" s="401"/>
      <c r="AK216" s="395"/>
      <c r="AL216" s="317"/>
      <c r="AM216" s="394"/>
      <c r="AN216" s="396"/>
      <c r="AO216" s="200"/>
      <c r="AP216" s="200"/>
    </row>
    <row r="217">
      <c r="A217" s="395"/>
      <c r="B217" s="317"/>
      <c r="C217" s="394"/>
      <c r="D217" s="396"/>
      <c r="E217" s="395"/>
      <c r="F217" s="317"/>
      <c r="G217" s="394"/>
      <c r="H217" s="396"/>
      <c r="I217" s="395"/>
      <c r="J217" s="317"/>
      <c r="K217" s="394"/>
      <c r="L217" s="396"/>
      <c r="M217" s="395"/>
      <c r="N217" s="317"/>
      <c r="O217" s="394"/>
      <c r="P217" s="396"/>
      <c r="Q217" s="403"/>
      <c r="R217" s="404"/>
      <c r="S217" s="405"/>
      <c r="T217" s="401"/>
      <c r="U217" s="403"/>
      <c r="V217" s="404"/>
      <c r="W217" s="405"/>
      <c r="X217" s="401"/>
      <c r="Y217" s="403"/>
      <c r="Z217" s="404"/>
      <c r="AA217" s="405"/>
      <c r="AB217" s="401"/>
      <c r="AC217" s="403"/>
      <c r="AD217" s="404"/>
      <c r="AE217" s="405"/>
      <c r="AF217" s="401"/>
      <c r="AG217" s="403"/>
      <c r="AH217" s="404"/>
      <c r="AI217" s="405"/>
      <c r="AJ217" s="401"/>
      <c r="AK217" s="395"/>
      <c r="AL217" s="317"/>
      <c r="AM217" s="394"/>
      <c r="AN217" s="396"/>
      <c r="AO217" s="200"/>
      <c r="AP217" s="200"/>
    </row>
    <row r="218">
      <c r="A218" s="395"/>
      <c r="B218" s="317"/>
      <c r="C218" s="394"/>
      <c r="D218" s="396"/>
      <c r="E218" s="395"/>
      <c r="F218" s="317"/>
      <c r="G218" s="394"/>
      <c r="H218" s="396"/>
      <c r="I218" s="395"/>
      <c r="J218" s="317"/>
      <c r="K218" s="394"/>
      <c r="L218" s="396"/>
      <c r="M218" s="395"/>
      <c r="N218" s="317"/>
      <c r="O218" s="394"/>
      <c r="P218" s="396"/>
      <c r="Q218" s="403"/>
      <c r="R218" s="404"/>
      <c r="S218" s="405"/>
      <c r="T218" s="401"/>
      <c r="U218" s="403"/>
      <c r="V218" s="404"/>
      <c r="W218" s="405"/>
      <c r="X218" s="401"/>
      <c r="Y218" s="403"/>
      <c r="Z218" s="404"/>
      <c r="AA218" s="405"/>
      <c r="AB218" s="401"/>
      <c r="AC218" s="403"/>
      <c r="AD218" s="404"/>
      <c r="AE218" s="405"/>
      <c r="AF218" s="401"/>
      <c r="AG218" s="403"/>
      <c r="AH218" s="404"/>
      <c r="AI218" s="405"/>
      <c r="AJ218" s="401"/>
      <c r="AK218" s="395"/>
      <c r="AL218" s="317"/>
      <c r="AM218" s="394"/>
      <c r="AN218" s="396"/>
      <c r="AO218" s="200"/>
      <c r="AP218" s="200"/>
    </row>
    <row r="219">
      <c r="A219" s="395"/>
      <c r="B219" s="317"/>
      <c r="C219" s="394"/>
      <c r="D219" s="396"/>
      <c r="E219" s="395"/>
      <c r="F219" s="317"/>
      <c r="G219" s="394"/>
      <c r="H219" s="396"/>
      <c r="I219" s="395"/>
      <c r="J219" s="317"/>
      <c r="K219" s="394"/>
      <c r="L219" s="396"/>
      <c r="M219" s="395"/>
      <c r="N219" s="317"/>
      <c r="O219" s="394"/>
      <c r="P219" s="396"/>
      <c r="Q219" s="403"/>
      <c r="R219" s="404"/>
      <c r="S219" s="405"/>
      <c r="T219" s="401"/>
      <c r="U219" s="403"/>
      <c r="V219" s="404"/>
      <c r="W219" s="405"/>
      <c r="X219" s="401"/>
      <c r="Y219" s="403"/>
      <c r="Z219" s="404"/>
      <c r="AA219" s="405"/>
      <c r="AB219" s="401"/>
      <c r="AC219" s="403"/>
      <c r="AD219" s="404"/>
      <c r="AE219" s="405"/>
      <c r="AF219" s="401"/>
      <c r="AG219" s="403"/>
      <c r="AH219" s="404"/>
      <c r="AI219" s="405"/>
      <c r="AJ219" s="401"/>
      <c r="AK219" s="395"/>
      <c r="AL219" s="317"/>
      <c r="AM219" s="394"/>
      <c r="AN219" s="396"/>
      <c r="AO219" s="200"/>
      <c r="AP219" s="200"/>
    </row>
    <row r="220">
      <c r="A220" s="395"/>
      <c r="B220" s="317"/>
      <c r="C220" s="394"/>
      <c r="D220" s="396"/>
      <c r="E220" s="395"/>
      <c r="F220" s="317"/>
      <c r="G220" s="394"/>
      <c r="H220" s="396"/>
      <c r="I220" s="395"/>
      <c r="J220" s="317"/>
      <c r="K220" s="394"/>
      <c r="L220" s="396"/>
      <c r="M220" s="395"/>
      <c r="N220" s="317"/>
      <c r="O220" s="394"/>
      <c r="P220" s="396"/>
      <c r="Q220" s="403"/>
      <c r="R220" s="404"/>
      <c r="S220" s="405"/>
      <c r="T220" s="401"/>
      <c r="U220" s="403"/>
      <c r="V220" s="404"/>
      <c r="W220" s="405"/>
      <c r="X220" s="401"/>
      <c r="Y220" s="403"/>
      <c r="Z220" s="404"/>
      <c r="AA220" s="405"/>
      <c r="AB220" s="401"/>
      <c r="AC220" s="403"/>
      <c r="AD220" s="404"/>
      <c r="AE220" s="405"/>
      <c r="AF220" s="401"/>
      <c r="AG220" s="403"/>
      <c r="AH220" s="404"/>
      <c r="AI220" s="405"/>
      <c r="AJ220" s="401"/>
      <c r="AK220" s="395"/>
      <c r="AL220" s="317"/>
      <c r="AM220" s="394"/>
      <c r="AN220" s="396"/>
      <c r="AO220" s="200"/>
      <c r="AP220" s="200"/>
    </row>
    <row r="221">
      <c r="A221" s="395"/>
      <c r="B221" s="317"/>
      <c r="C221" s="394"/>
      <c r="D221" s="396"/>
      <c r="E221" s="395"/>
      <c r="F221" s="317"/>
      <c r="G221" s="394"/>
      <c r="H221" s="396"/>
      <c r="I221" s="395"/>
      <c r="J221" s="317"/>
      <c r="K221" s="394"/>
      <c r="L221" s="396"/>
      <c r="M221" s="395"/>
      <c r="N221" s="317"/>
      <c r="O221" s="394"/>
      <c r="P221" s="396"/>
      <c r="Q221" s="403"/>
      <c r="R221" s="404"/>
      <c r="S221" s="405"/>
      <c r="T221" s="401"/>
      <c r="U221" s="403"/>
      <c r="V221" s="404"/>
      <c r="W221" s="405"/>
      <c r="X221" s="401"/>
      <c r="Y221" s="403"/>
      <c r="Z221" s="404"/>
      <c r="AA221" s="405"/>
      <c r="AB221" s="401"/>
      <c r="AC221" s="403"/>
      <c r="AD221" s="404"/>
      <c r="AE221" s="405"/>
      <c r="AF221" s="401"/>
      <c r="AG221" s="403"/>
      <c r="AH221" s="404"/>
      <c r="AI221" s="405"/>
      <c r="AJ221" s="401"/>
      <c r="AK221" s="395"/>
      <c r="AL221" s="317"/>
      <c r="AM221" s="394"/>
      <c r="AN221" s="396"/>
      <c r="AO221" s="200"/>
      <c r="AP221" s="200"/>
    </row>
    <row r="222">
      <c r="A222" s="395"/>
      <c r="B222" s="317"/>
      <c r="C222" s="394"/>
      <c r="D222" s="396"/>
      <c r="E222" s="395"/>
      <c r="F222" s="317"/>
      <c r="G222" s="394"/>
      <c r="H222" s="396"/>
      <c r="I222" s="395"/>
      <c r="J222" s="317"/>
      <c r="K222" s="394"/>
      <c r="L222" s="396"/>
      <c r="M222" s="395"/>
      <c r="N222" s="317"/>
      <c r="O222" s="394"/>
      <c r="P222" s="396"/>
      <c r="Q222" s="403"/>
      <c r="R222" s="404"/>
      <c r="S222" s="405"/>
      <c r="T222" s="401"/>
      <c r="U222" s="403"/>
      <c r="V222" s="404"/>
      <c r="W222" s="405"/>
      <c r="X222" s="401"/>
      <c r="Y222" s="403"/>
      <c r="Z222" s="404"/>
      <c r="AA222" s="405"/>
      <c r="AB222" s="401"/>
      <c r="AC222" s="403"/>
      <c r="AD222" s="404"/>
      <c r="AE222" s="405"/>
      <c r="AF222" s="401"/>
      <c r="AG222" s="403"/>
      <c r="AH222" s="404"/>
      <c r="AI222" s="405"/>
      <c r="AJ222" s="401"/>
      <c r="AK222" s="395"/>
      <c r="AL222" s="317"/>
      <c r="AM222" s="394"/>
      <c r="AN222" s="396"/>
      <c r="AO222" s="200"/>
      <c r="AP222" s="200"/>
    </row>
    <row r="223">
      <c r="A223" s="395"/>
      <c r="B223" s="317"/>
      <c r="C223" s="394"/>
      <c r="D223" s="396"/>
      <c r="E223" s="395"/>
      <c r="F223" s="317"/>
      <c r="G223" s="394"/>
      <c r="H223" s="396"/>
      <c r="I223" s="395"/>
      <c r="J223" s="317"/>
      <c r="K223" s="394"/>
      <c r="L223" s="396"/>
      <c r="M223" s="395"/>
      <c r="N223" s="317"/>
      <c r="O223" s="394"/>
      <c r="P223" s="396"/>
      <c r="Q223" s="403"/>
      <c r="R223" s="404"/>
      <c r="S223" s="405"/>
      <c r="T223" s="401"/>
      <c r="U223" s="403"/>
      <c r="V223" s="404"/>
      <c r="W223" s="405"/>
      <c r="X223" s="401"/>
      <c r="Y223" s="403"/>
      <c r="Z223" s="404"/>
      <c r="AA223" s="405"/>
      <c r="AB223" s="401"/>
      <c r="AC223" s="403"/>
      <c r="AD223" s="404"/>
      <c r="AE223" s="405"/>
      <c r="AF223" s="401"/>
      <c r="AG223" s="403"/>
      <c r="AH223" s="404"/>
      <c r="AI223" s="405"/>
      <c r="AJ223" s="401"/>
      <c r="AK223" s="395"/>
      <c r="AL223" s="317"/>
      <c r="AM223" s="394"/>
      <c r="AN223" s="396"/>
      <c r="AO223" s="200"/>
      <c r="AP223" s="200"/>
    </row>
    <row r="224">
      <c r="A224" s="395"/>
      <c r="B224" s="317"/>
      <c r="C224" s="394"/>
      <c r="D224" s="396"/>
      <c r="E224" s="395"/>
      <c r="F224" s="317"/>
      <c r="G224" s="394"/>
      <c r="H224" s="396"/>
      <c r="I224" s="395"/>
      <c r="J224" s="317"/>
      <c r="K224" s="394"/>
      <c r="L224" s="396"/>
      <c r="M224" s="395"/>
      <c r="N224" s="317"/>
      <c r="O224" s="394"/>
      <c r="P224" s="396"/>
      <c r="Q224" s="403"/>
      <c r="R224" s="404"/>
      <c r="S224" s="405"/>
      <c r="T224" s="401"/>
      <c r="U224" s="403"/>
      <c r="V224" s="404"/>
      <c r="W224" s="405"/>
      <c r="X224" s="401"/>
      <c r="Y224" s="403"/>
      <c r="Z224" s="404"/>
      <c r="AA224" s="405"/>
      <c r="AB224" s="401"/>
      <c r="AC224" s="403"/>
      <c r="AD224" s="404"/>
      <c r="AE224" s="405"/>
      <c r="AF224" s="401"/>
      <c r="AG224" s="403"/>
      <c r="AH224" s="404"/>
      <c r="AI224" s="405"/>
      <c r="AJ224" s="401"/>
      <c r="AK224" s="395"/>
      <c r="AL224" s="317"/>
      <c r="AM224" s="394"/>
      <c r="AN224" s="396"/>
      <c r="AO224" s="200"/>
      <c r="AP224" s="200"/>
    </row>
    <row r="225">
      <c r="A225" s="395"/>
      <c r="B225" s="317"/>
      <c r="C225" s="394"/>
      <c r="D225" s="396"/>
      <c r="E225" s="395"/>
      <c r="F225" s="317"/>
      <c r="G225" s="394"/>
      <c r="H225" s="396"/>
      <c r="I225" s="395"/>
      <c r="J225" s="317"/>
      <c r="K225" s="394"/>
      <c r="L225" s="396"/>
      <c r="M225" s="395"/>
      <c r="N225" s="317"/>
      <c r="O225" s="394"/>
      <c r="P225" s="396"/>
      <c r="Q225" s="403"/>
      <c r="R225" s="404"/>
      <c r="S225" s="405"/>
      <c r="T225" s="401"/>
      <c r="U225" s="403"/>
      <c r="V225" s="404"/>
      <c r="W225" s="405"/>
      <c r="X225" s="401"/>
      <c r="Y225" s="403"/>
      <c r="Z225" s="404"/>
      <c r="AA225" s="405"/>
      <c r="AB225" s="401"/>
      <c r="AC225" s="403"/>
      <c r="AD225" s="404"/>
      <c r="AE225" s="405"/>
      <c r="AF225" s="401"/>
      <c r="AG225" s="403"/>
      <c r="AH225" s="404"/>
      <c r="AI225" s="405"/>
      <c r="AJ225" s="401"/>
      <c r="AK225" s="395"/>
      <c r="AL225" s="317"/>
      <c r="AM225" s="394"/>
      <c r="AN225" s="396"/>
      <c r="AO225" s="200"/>
      <c r="AP225" s="200"/>
    </row>
    <row r="226">
      <c r="A226" s="395"/>
      <c r="B226" s="317"/>
      <c r="C226" s="394"/>
      <c r="D226" s="396"/>
      <c r="E226" s="395"/>
      <c r="F226" s="317"/>
      <c r="G226" s="394"/>
      <c r="H226" s="396"/>
      <c r="I226" s="395"/>
      <c r="J226" s="317"/>
      <c r="K226" s="394"/>
      <c r="L226" s="396"/>
      <c r="M226" s="395"/>
      <c r="N226" s="317"/>
      <c r="O226" s="394"/>
      <c r="P226" s="396"/>
      <c r="Q226" s="403"/>
      <c r="R226" s="404"/>
      <c r="S226" s="405"/>
      <c r="T226" s="401"/>
      <c r="U226" s="403"/>
      <c r="V226" s="404"/>
      <c r="W226" s="405"/>
      <c r="X226" s="401"/>
      <c r="Y226" s="403"/>
      <c r="Z226" s="404"/>
      <c r="AA226" s="405"/>
      <c r="AB226" s="401"/>
      <c r="AC226" s="403"/>
      <c r="AD226" s="404"/>
      <c r="AE226" s="405"/>
      <c r="AF226" s="401"/>
      <c r="AG226" s="403"/>
      <c r="AH226" s="404"/>
      <c r="AI226" s="405"/>
      <c r="AJ226" s="401"/>
      <c r="AK226" s="395"/>
      <c r="AL226" s="317"/>
      <c r="AM226" s="394"/>
      <c r="AN226" s="396"/>
      <c r="AO226" s="200"/>
      <c r="AP226" s="200"/>
    </row>
    <row r="227">
      <c r="A227" s="395"/>
      <c r="B227" s="317"/>
      <c r="C227" s="394"/>
      <c r="D227" s="396"/>
      <c r="E227" s="395"/>
      <c r="F227" s="317"/>
      <c r="G227" s="394"/>
      <c r="H227" s="396"/>
      <c r="I227" s="395"/>
      <c r="J227" s="317"/>
      <c r="K227" s="394"/>
      <c r="L227" s="396"/>
      <c r="M227" s="395"/>
      <c r="N227" s="317"/>
      <c r="O227" s="394"/>
      <c r="P227" s="396"/>
      <c r="Q227" s="403"/>
      <c r="R227" s="404"/>
      <c r="S227" s="405"/>
      <c r="T227" s="401"/>
      <c r="U227" s="403"/>
      <c r="V227" s="404"/>
      <c r="W227" s="405"/>
      <c r="X227" s="401"/>
      <c r="Y227" s="403"/>
      <c r="Z227" s="404"/>
      <c r="AA227" s="405"/>
      <c r="AB227" s="401"/>
      <c r="AC227" s="403"/>
      <c r="AD227" s="404"/>
      <c r="AE227" s="405"/>
      <c r="AF227" s="401"/>
      <c r="AG227" s="403"/>
      <c r="AH227" s="404"/>
      <c r="AI227" s="405"/>
      <c r="AJ227" s="401"/>
      <c r="AK227" s="395"/>
      <c r="AL227" s="317"/>
      <c r="AM227" s="394"/>
      <c r="AN227" s="396"/>
      <c r="AO227" s="200"/>
      <c r="AP227" s="200"/>
    </row>
    <row r="228">
      <c r="A228" s="395"/>
      <c r="B228" s="317"/>
      <c r="C228" s="394"/>
      <c r="D228" s="396"/>
      <c r="E228" s="395"/>
      <c r="F228" s="317"/>
      <c r="G228" s="394"/>
      <c r="H228" s="396"/>
      <c r="I228" s="395"/>
      <c r="J228" s="317"/>
      <c r="K228" s="394"/>
      <c r="L228" s="396"/>
      <c r="M228" s="395"/>
      <c r="N228" s="317"/>
      <c r="O228" s="394"/>
      <c r="P228" s="396"/>
      <c r="Q228" s="403"/>
      <c r="R228" s="404"/>
      <c r="S228" s="405"/>
      <c r="T228" s="401"/>
      <c r="U228" s="403"/>
      <c r="V228" s="404"/>
      <c r="W228" s="405"/>
      <c r="X228" s="401"/>
      <c r="Y228" s="403"/>
      <c r="Z228" s="404"/>
      <c r="AA228" s="405"/>
      <c r="AB228" s="401"/>
      <c r="AC228" s="403"/>
      <c r="AD228" s="404"/>
      <c r="AE228" s="405"/>
      <c r="AF228" s="401"/>
      <c r="AG228" s="403"/>
      <c r="AH228" s="404"/>
      <c r="AI228" s="405"/>
      <c r="AJ228" s="401"/>
      <c r="AK228" s="395"/>
      <c r="AL228" s="317"/>
      <c r="AM228" s="394"/>
      <c r="AN228" s="396"/>
      <c r="AO228" s="200"/>
      <c r="AP228" s="200"/>
    </row>
    <row r="229">
      <c r="A229" s="395"/>
      <c r="B229" s="317"/>
      <c r="C229" s="394"/>
      <c r="D229" s="396"/>
      <c r="E229" s="395"/>
      <c r="F229" s="317"/>
      <c r="G229" s="394"/>
      <c r="H229" s="396"/>
      <c r="I229" s="395"/>
      <c r="J229" s="317"/>
      <c r="K229" s="394"/>
      <c r="L229" s="396"/>
      <c r="M229" s="395"/>
      <c r="N229" s="317"/>
      <c r="O229" s="394"/>
      <c r="P229" s="396"/>
      <c r="Q229" s="403"/>
      <c r="R229" s="404"/>
      <c r="S229" s="405"/>
      <c r="T229" s="401"/>
      <c r="U229" s="403"/>
      <c r="V229" s="404"/>
      <c r="W229" s="405"/>
      <c r="X229" s="401"/>
      <c r="Y229" s="403"/>
      <c r="Z229" s="404"/>
      <c r="AA229" s="405"/>
      <c r="AB229" s="401"/>
      <c r="AC229" s="403"/>
      <c r="AD229" s="404"/>
      <c r="AE229" s="405"/>
      <c r="AF229" s="401"/>
      <c r="AG229" s="403"/>
      <c r="AH229" s="404"/>
      <c r="AI229" s="405"/>
      <c r="AJ229" s="401"/>
      <c r="AK229" s="395"/>
      <c r="AL229" s="317"/>
      <c r="AM229" s="394"/>
      <c r="AN229" s="396"/>
      <c r="AO229" s="200"/>
      <c r="AP229" s="200"/>
    </row>
    <row r="230">
      <c r="A230" s="395"/>
      <c r="B230" s="317"/>
      <c r="C230" s="394"/>
      <c r="D230" s="396"/>
      <c r="E230" s="395"/>
      <c r="F230" s="317"/>
      <c r="G230" s="394"/>
      <c r="H230" s="396"/>
      <c r="I230" s="395"/>
      <c r="J230" s="317"/>
      <c r="K230" s="394"/>
      <c r="L230" s="396"/>
      <c r="M230" s="395"/>
      <c r="N230" s="317"/>
      <c r="O230" s="394"/>
      <c r="P230" s="396"/>
      <c r="Q230" s="403"/>
      <c r="R230" s="404"/>
      <c r="S230" s="405"/>
      <c r="T230" s="401"/>
      <c r="U230" s="403"/>
      <c r="V230" s="404"/>
      <c r="W230" s="405"/>
      <c r="X230" s="401"/>
      <c r="Y230" s="403"/>
      <c r="Z230" s="404"/>
      <c r="AA230" s="405"/>
      <c r="AB230" s="401"/>
      <c r="AC230" s="403"/>
      <c r="AD230" s="404"/>
      <c r="AE230" s="405"/>
      <c r="AF230" s="401"/>
      <c r="AG230" s="403"/>
      <c r="AH230" s="404"/>
      <c r="AI230" s="405"/>
      <c r="AJ230" s="401"/>
      <c r="AK230" s="395"/>
      <c r="AL230" s="317"/>
      <c r="AM230" s="394"/>
      <c r="AN230" s="396"/>
      <c r="AO230" s="200"/>
      <c r="AP230" s="200"/>
    </row>
    <row r="231">
      <c r="A231" s="395"/>
      <c r="B231" s="317"/>
      <c r="C231" s="394"/>
      <c r="D231" s="396"/>
      <c r="E231" s="395"/>
      <c r="F231" s="317"/>
      <c r="G231" s="394"/>
      <c r="H231" s="396"/>
      <c r="I231" s="395"/>
      <c r="J231" s="317"/>
      <c r="K231" s="394"/>
      <c r="L231" s="396"/>
      <c r="M231" s="395"/>
      <c r="N231" s="317"/>
      <c r="O231" s="394"/>
      <c r="P231" s="396"/>
      <c r="Q231" s="403"/>
      <c r="R231" s="404"/>
      <c r="S231" s="405"/>
      <c r="T231" s="401"/>
      <c r="U231" s="403"/>
      <c r="V231" s="404"/>
      <c r="W231" s="405"/>
      <c r="X231" s="401"/>
      <c r="Y231" s="403"/>
      <c r="Z231" s="404"/>
      <c r="AA231" s="405"/>
      <c r="AB231" s="401"/>
      <c r="AC231" s="403"/>
      <c r="AD231" s="404"/>
      <c r="AE231" s="405"/>
      <c r="AF231" s="401"/>
      <c r="AG231" s="403"/>
      <c r="AH231" s="404"/>
      <c r="AI231" s="405"/>
      <c r="AJ231" s="401"/>
      <c r="AK231" s="395"/>
      <c r="AL231" s="317"/>
      <c r="AM231" s="394"/>
      <c r="AN231" s="396"/>
      <c r="AO231" s="200"/>
      <c r="AP231" s="200"/>
    </row>
    <row r="232">
      <c r="A232" s="395"/>
      <c r="B232" s="317"/>
      <c r="C232" s="394"/>
      <c r="D232" s="396"/>
      <c r="E232" s="395"/>
      <c r="F232" s="317"/>
      <c r="G232" s="394"/>
      <c r="H232" s="396"/>
      <c r="I232" s="395"/>
      <c r="J232" s="317"/>
      <c r="K232" s="394"/>
      <c r="L232" s="396"/>
      <c r="M232" s="395"/>
      <c r="N232" s="317"/>
      <c r="O232" s="394"/>
      <c r="P232" s="396"/>
      <c r="Q232" s="403"/>
      <c r="R232" s="404"/>
      <c r="S232" s="405"/>
      <c r="T232" s="401"/>
      <c r="U232" s="403"/>
      <c r="V232" s="404"/>
      <c r="W232" s="405"/>
      <c r="X232" s="401"/>
      <c r="Y232" s="403"/>
      <c r="Z232" s="404"/>
      <c r="AA232" s="405"/>
      <c r="AB232" s="401"/>
      <c r="AC232" s="403"/>
      <c r="AD232" s="404"/>
      <c r="AE232" s="405"/>
      <c r="AF232" s="401"/>
      <c r="AG232" s="403"/>
      <c r="AH232" s="404"/>
      <c r="AI232" s="405"/>
      <c r="AJ232" s="401"/>
      <c r="AK232" s="395"/>
      <c r="AL232" s="317"/>
      <c r="AM232" s="394"/>
      <c r="AN232" s="396"/>
      <c r="AO232" s="200"/>
      <c r="AP232" s="200"/>
    </row>
    <row r="233">
      <c r="A233" s="395"/>
      <c r="B233" s="317"/>
      <c r="C233" s="394"/>
      <c r="D233" s="396"/>
      <c r="E233" s="395"/>
      <c r="F233" s="317"/>
      <c r="G233" s="394"/>
      <c r="H233" s="396"/>
      <c r="I233" s="395"/>
      <c r="J233" s="317"/>
      <c r="K233" s="394"/>
      <c r="L233" s="396"/>
      <c r="M233" s="395"/>
      <c r="N233" s="317"/>
      <c r="O233" s="394"/>
      <c r="P233" s="396"/>
      <c r="Q233" s="403"/>
      <c r="R233" s="404"/>
      <c r="S233" s="405"/>
      <c r="T233" s="401"/>
      <c r="U233" s="403"/>
      <c r="V233" s="404"/>
      <c r="W233" s="405"/>
      <c r="X233" s="401"/>
      <c r="Y233" s="403"/>
      <c r="Z233" s="404"/>
      <c r="AA233" s="405"/>
      <c r="AB233" s="401"/>
      <c r="AC233" s="403"/>
      <c r="AD233" s="404"/>
      <c r="AE233" s="405"/>
      <c r="AF233" s="401"/>
      <c r="AG233" s="403"/>
      <c r="AH233" s="404"/>
      <c r="AI233" s="405"/>
      <c r="AJ233" s="401"/>
      <c r="AK233" s="395"/>
      <c r="AL233" s="317"/>
      <c r="AM233" s="394"/>
      <c r="AN233" s="396"/>
      <c r="AO233" s="200"/>
      <c r="AP233" s="200"/>
    </row>
    <row r="234">
      <c r="A234" s="395"/>
      <c r="B234" s="317"/>
      <c r="C234" s="394"/>
      <c r="D234" s="396"/>
      <c r="E234" s="395"/>
      <c r="F234" s="317"/>
      <c r="G234" s="394"/>
      <c r="H234" s="396"/>
      <c r="I234" s="395"/>
      <c r="J234" s="317"/>
      <c r="K234" s="394"/>
      <c r="L234" s="396"/>
      <c r="M234" s="395"/>
      <c r="N234" s="317"/>
      <c r="O234" s="394"/>
      <c r="P234" s="396"/>
      <c r="Q234" s="403"/>
      <c r="R234" s="404"/>
      <c r="S234" s="405"/>
      <c r="T234" s="401"/>
      <c r="U234" s="403"/>
      <c r="V234" s="404"/>
      <c r="W234" s="405"/>
      <c r="X234" s="401"/>
      <c r="Y234" s="403"/>
      <c r="Z234" s="404"/>
      <c r="AA234" s="405"/>
      <c r="AB234" s="401"/>
      <c r="AC234" s="403"/>
      <c r="AD234" s="404"/>
      <c r="AE234" s="405"/>
      <c r="AF234" s="401"/>
      <c r="AG234" s="403"/>
      <c r="AH234" s="404"/>
      <c r="AI234" s="405"/>
      <c r="AJ234" s="401"/>
      <c r="AK234" s="395"/>
      <c r="AL234" s="317"/>
      <c r="AM234" s="394"/>
      <c r="AN234" s="396"/>
      <c r="AO234" s="200"/>
      <c r="AP234" s="200"/>
    </row>
    <row r="235">
      <c r="A235" s="395"/>
      <c r="B235" s="317"/>
      <c r="C235" s="394"/>
      <c r="D235" s="396"/>
      <c r="E235" s="395"/>
      <c r="F235" s="317"/>
      <c r="G235" s="394"/>
      <c r="H235" s="396"/>
      <c r="I235" s="395"/>
      <c r="J235" s="317"/>
      <c r="K235" s="394"/>
      <c r="L235" s="396"/>
      <c r="M235" s="395"/>
      <c r="N235" s="317"/>
      <c r="O235" s="394"/>
      <c r="P235" s="396"/>
      <c r="Q235" s="403"/>
      <c r="R235" s="404"/>
      <c r="S235" s="405"/>
      <c r="T235" s="401"/>
      <c r="U235" s="403"/>
      <c r="V235" s="404"/>
      <c r="W235" s="405"/>
      <c r="X235" s="401"/>
      <c r="Y235" s="403"/>
      <c r="Z235" s="404"/>
      <c r="AA235" s="405"/>
      <c r="AB235" s="401"/>
      <c r="AC235" s="403"/>
      <c r="AD235" s="404"/>
      <c r="AE235" s="405"/>
      <c r="AF235" s="401"/>
      <c r="AG235" s="403"/>
      <c r="AH235" s="404"/>
      <c r="AI235" s="405"/>
      <c r="AJ235" s="401"/>
      <c r="AK235" s="395"/>
      <c r="AL235" s="317"/>
      <c r="AM235" s="394"/>
      <c r="AN235" s="396"/>
      <c r="AO235" s="200"/>
      <c r="AP235" s="200"/>
    </row>
    <row r="236">
      <c r="A236" s="395"/>
      <c r="B236" s="317"/>
      <c r="C236" s="394"/>
      <c r="D236" s="396"/>
      <c r="E236" s="395"/>
      <c r="F236" s="317"/>
      <c r="G236" s="394"/>
      <c r="H236" s="396"/>
      <c r="I236" s="395"/>
      <c r="J236" s="317"/>
      <c r="K236" s="394"/>
      <c r="L236" s="396"/>
      <c r="M236" s="395"/>
      <c r="N236" s="317"/>
      <c r="O236" s="394"/>
      <c r="P236" s="396"/>
      <c r="Q236" s="403"/>
      <c r="R236" s="404"/>
      <c r="S236" s="405"/>
      <c r="T236" s="401"/>
      <c r="U236" s="403"/>
      <c r="V236" s="404"/>
      <c r="W236" s="405"/>
      <c r="X236" s="401"/>
      <c r="Y236" s="403"/>
      <c r="Z236" s="404"/>
      <c r="AA236" s="405"/>
      <c r="AB236" s="401"/>
      <c r="AC236" s="403"/>
      <c r="AD236" s="404"/>
      <c r="AE236" s="405"/>
      <c r="AF236" s="401"/>
      <c r="AG236" s="403"/>
      <c r="AH236" s="404"/>
      <c r="AI236" s="405"/>
      <c r="AJ236" s="401"/>
      <c r="AK236" s="395"/>
      <c r="AL236" s="317"/>
      <c r="AM236" s="394"/>
      <c r="AN236" s="396"/>
      <c r="AO236" s="200"/>
      <c r="AP236" s="200"/>
    </row>
    <row r="237">
      <c r="A237" s="395"/>
      <c r="B237" s="317"/>
      <c r="C237" s="394"/>
      <c r="D237" s="396"/>
      <c r="E237" s="395"/>
      <c r="F237" s="317"/>
      <c r="G237" s="394"/>
      <c r="H237" s="396"/>
      <c r="I237" s="395"/>
      <c r="J237" s="317"/>
      <c r="K237" s="394"/>
      <c r="L237" s="396"/>
      <c r="M237" s="395"/>
      <c r="N237" s="317"/>
      <c r="O237" s="394"/>
      <c r="P237" s="396"/>
      <c r="Q237" s="403"/>
      <c r="R237" s="404"/>
      <c r="S237" s="405"/>
      <c r="T237" s="401"/>
      <c r="U237" s="403"/>
      <c r="V237" s="404"/>
      <c r="W237" s="405"/>
      <c r="X237" s="401"/>
      <c r="Y237" s="403"/>
      <c r="Z237" s="404"/>
      <c r="AA237" s="405"/>
      <c r="AB237" s="401"/>
      <c r="AC237" s="403"/>
      <c r="AD237" s="404"/>
      <c r="AE237" s="405"/>
      <c r="AF237" s="401"/>
      <c r="AG237" s="403"/>
      <c r="AH237" s="404"/>
      <c r="AI237" s="405"/>
      <c r="AJ237" s="401"/>
      <c r="AK237" s="395"/>
      <c r="AL237" s="317"/>
      <c r="AM237" s="394"/>
      <c r="AN237" s="396"/>
      <c r="AO237" s="200"/>
      <c r="AP237" s="200"/>
    </row>
    <row r="238">
      <c r="A238" s="395"/>
      <c r="B238" s="317"/>
      <c r="C238" s="394"/>
      <c r="D238" s="396"/>
      <c r="E238" s="395"/>
      <c r="F238" s="317"/>
      <c r="G238" s="394"/>
      <c r="H238" s="396"/>
      <c r="I238" s="395"/>
      <c r="J238" s="317"/>
      <c r="K238" s="394"/>
      <c r="L238" s="396"/>
      <c r="M238" s="395"/>
      <c r="N238" s="317"/>
      <c r="O238" s="394"/>
      <c r="P238" s="396"/>
      <c r="Q238" s="403"/>
      <c r="R238" s="404"/>
      <c r="S238" s="405"/>
      <c r="T238" s="401"/>
      <c r="U238" s="403"/>
      <c r="V238" s="404"/>
      <c r="W238" s="405"/>
      <c r="X238" s="401"/>
      <c r="Y238" s="403"/>
      <c r="Z238" s="404"/>
      <c r="AA238" s="405"/>
      <c r="AB238" s="401"/>
      <c r="AC238" s="403"/>
      <c r="AD238" s="404"/>
      <c r="AE238" s="405"/>
      <c r="AF238" s="401"/>
      <c r="AG238" s="403"/>
      <c r="AH238" s="404"/>
      <c r="AI238" s="405"/>
      <c r="AJ238" s="401"/>
      <c r="AK238" s="395"/>
      <c r="AL238" s="317"/>
      <c r="AM238" s="394"/>
      <c r="AN238" s="396"/>
      <c r="AO238" s="200"/>
      <c r="AP238" s="200"/>
    </row>
    <row r="239">
      <c r="A239" s="395"/>
      <c r="B239" s="317"/>
      <c r="C239" s="394"/>
      <c r="D239" s="396"/>
      <c r="E239" s="395"/>
      <c r="F239" s="317"/>
      <c r="G239" s="394"/>
      <c r="H239" s="396"/>
      <c r="I239" s="395"/>
      <c r="J239" s="317"/>
      <c r="K239" s="394"/>
      <c r="L239" s="396"/>
      <c r="M239" s="395"/>
      <c r="N239" s="317"/>
      <c r="O239" s="394"/>
      <c r="P239" s="396"/>
      <c r="Q239" s="403"/>
      <c r="R239" s="404"/>
      <c r="S239" s="405"/>
      <c r="T239" s="401"/>
      <c r="U239" s="403"/>
      <c r="V239" s="404"/>
      <c r="W239" s="405"/>
      <c r="X239" s="401"/>
      <c r="Y239" s="403"/>
      <c r="Z239" s="404"/>
      <c r="AA239" s="405"/>
      <c r="AB239" s="401"/>
      <c r="AC239" s="403"/>
      <c r="AD239" s="404"/>
      <c r="AE239" s="405"/>
      <c r="AF239" s="401"/>
      <c r="AG239" s="403"/>
      <c r="AH239" s="404"/>
      <c r="AI239" s="405"/>
      <c r="AJ239" s="401"/>
      <c r="AK239" s="395"/>
      <c r="AL239" s="317"/>
      <c r="AM239" s="394"/>
      <c r="AN239" s="396"/>
      <c r="AO239" s="200"/>
      <c r="AP239" s="200"/>
    </row>
    <row r="240">
      <c r="A240" s="395"/>
      <c r="B240" s="317"/>
      <c r="C240" s="394"/>
      <c r="D240" s="396"/>
      <c r="E240" s="395"/>
      <c r="F240" s="317"/>
      <c r="G240" s="394"/>
      <c r="H240" s="396"/>
      <c r="I240" s="395"/>
      <c r="J240" s="317"/>
      <c r="K240" s="394"/>
      <c r="L240" s="396"/>
      <c r="M240" s="395"/>
      <c r="N240" s="317"/>
      <c r="O240" s="394"/>
      <c r="P240" s="396"/>
      <c r="Q240" s="403"/>
      <c r="R240" s="404"/>
      <c r="S240" s="405"/>
      <c r="T240" s="401"/>
      <c r="U240" s="403"/>
      <c r="V240" s="404"/>
      <c r="W240" s="405"/>
      <c r="X240" s="401"/>
      <c r="Y240" s="403"/>
      <c r="Z240" s="404"/>
      <c r="AA240" s="405"/>
      <c r="AB240" s="401"/>
      <c r="AC240" s="403"/>
      <c r="AD240" s="404"/>
      <c r="AE240" s="405"/>
      <c r="AF240" s="401"/>
      <c r="AG240" s="403"/>
      <c r="AH240" s="404"/>
      <c r="AI240" s="405"/>
      <c r="AJ240" s="401"/>
      <c r="AK240" s="395"/>
      <c r="AL240" s="317"/>
      <c r="AM240" s="394"/>
      <c r="AN240" s="396"/>
      <c r="AO240" s="200"/>
      <c r="AP240" s="200"/>
    </row>
    <row r="241">
      <c r="A241" s="395"/>
      <c r="B241" s="317"/>
      <c r="C241" s="394"/>
      <c r="D241" s="396"/>
      <c r="E241" s="395"/>
      <c r="F241" s="317"/>
      <c r="G241" s="394"/>
      <c r="H241" s="396"/>
      <c r="I241" s="395"/>
      <c r="J241" s="317"/>
      <c r="K241" s="394"/>
      <c r="L241" s="396"/>
      <c r="M241" s="395"/>
      <c r="N241" s="317"/>
      <c r="O241" s="394"/>
      <c r="P241" s="396"/>
      <c r="Q241" s="403"/>
      <c r="R241" s="404"/>
      <c r="S241" s="405"/>
      <c r="T241" s="401"/>
      <c r="U241" s="403"/>
      <c r="V241" s="404"/>
      <c r="W241" s="405"/>
      <c r="X241" s="401"/>
      <c r="Y241" s="403"/>
      <c r="Z241" s="404"/>
      <c r="AA241" s="405"/>
      <c r="AB241" s="401"/>
      <c r="AC241" s="403"/>
      <c r="AD241" s="404"/>
      <c r="AE241" s="405"/>
      <c r="AF241" s="401"/>
      <c r="AG241" s="403"/>
      <c r="AH241" s="404"/>
      <c r="AI241" s="405"/>
      <c r="AJ241" s="401"/>
      <c r="AK241" s="395"/>
      <c r="AL241" s="317"/>
      <c r="AM241" s="394"/>
      <c r="AN241" s="396"/>
      <c r="AO241" s="200"/>
      <c r="AP241" s="200"/>
    </row>
    <row r="242">
      <c r="A242" s="395"/>
      <c r="B242" s="317"/>
      <c r="C242" s="394"/>
      <c r="D242" s="396"/>
      <c r="E242" s="395"/>
      <c r="F242" s="317"/>
      <c r="G242" s="394"/>
      <c r="H242" s="396"/>
      <c r="I242" s="395"/>
      <c r="J242" s="317"/>
      <c r="K242" s="394"/>
      <c r="L242" s="396"/>
      <c r="M242" s="395"/>
      <c r="N242" s="317"/>
      <c r="O242" s="394"/>
      <c r="P242" s="396"/>
      <c r="Q242" s="403"/>
      <c r="R242" s="404"/>
      <c r="S242" s="405"/>
      <c r="T242" s="401"/>
      <c r="U242" s="403"/>
      <c r="V242" s="404"/>
      <c r="W242" s="405"/>
      <c r="X242" s="401"/>
      <c r="Y242" s="403"/>
      <c r="Z242" s="404"/>
      <c r="AA242" s="405"/>
      <c r="AB242" s="401"/>
      <c r="AC242" s="403"/>
      <c r="AD242" s="404"/>
      <c r="AE242" s="405"/>
      <c r="AF242" s="401"/>
      <c r="AG242" s="403"/>
      <c r="AH242" s="404"/>
      <c r="AI242" s="405"/>
      <c r="AJ242" s="401"/>
      <c r="AK242" s="395"/>
      <c r="AL242" s="317"/>
      <c r="AM242" s="394"/>
      <c r="AN242" s="396"/>
      <c r="AO242" s="200"/>
      <c r="AP242" s="200"/>
    </row>
    <row r="243">
      <c r="A243" s="395"/>
      <c r="B243" s="317"/>
      <c r="C243" s="394"/>
      <c r="D243" s="396"/>
      <c r="E243" s="395"/>
      <c r="F243" s="317"/>
      <c r="G243" s="394"/>
      <c r="H243" s="396"/>
      <c r="I243" s="395"/>
      <c r="J243" s="317"/>
      <c r="K243" s="394"/>
      <c r="L243" s="396"/>
      <c r="M243" s="395"/>
      <c r="N243" s="317"/>
      <c r="O243" s="394"/>
      <c r="P243" s="396"/>
      <c r="Q243" s="403"/>
      <c r="R243" s="404"/>
      <c r="S243" s="405"/>
      <c r="T243" s="401"/>
      <c r="U243" s="403"/>
      <c r="V243" s="404"/>
      <c r="W243" s="405"/>
      <c r="X243" s="401"/>
      <c r="Y243" s="403"/>
      <c r="Z243" s="404"/>
      <c r="AA243" s="405"/>
      <c r="AB243" s="401"/>
      <c r="AC243" s="403"/>
      <c r="AD243" s="404"/>
      <c r="AE243" s="405"/>
      <c r="AF243" s="401"/>
      <c r="AG243" s="403"/>
      <c r="AH243" s="404"/>
      <c r="AI243" s="405"/>
      <c r="AJ243" s="401"/>
      <c r="AK243" s="395"/>
      <c r="AL243" s="317"/>
      <c r="AM243" s="394"/>
      <c r="AN243" s="396"/>
      <c r="AO243" s="200"/>
      <c r="AP243" s="200"/>
    </row>
    <row r="244">
      <c r="A244" s="395"/>
      <c r="B244" s="317"/>
      <c r="C244" s="394"/>
      <c r="D244" s="396"/>
      <c r="E244" s="395"/>
      <c r="F244" s="317"/>
      <c r="G244" s="394"/>
      <c r="H244" s="396"/>
      <c r="I244" s="395"/>
      <c r="J244" s="317"/>
      <c r="K244" s="394"/>
      <c r="L244" s="396"/>
      <c r="M244" s="395"/>
      <c r="N244" s="317"/>
      <c r="O244" s="394"/>
      <c r="P244" s="396"/>
      <c r="Q244" s="403"/>
      <c r="R244" s="404"/>
      <c r="S244" s="405"/>
      <c r="T244" s="401"/>
      <c r="U244" s="403"/>
      <c r="V244" s="404"/>
      <c r="W244" s="405"/>
      <c r="X244" s="401"/>
      <c r="Y244" s="403"/>
      <c r="Z244" s="404"/>
      <c r="AA244" s="405"/>
      <c r="AB244" s="401"/>
      <c r="AC244" s="403"/>
      <c r="AD244" s="404"/>
      <c r="AE244" s="405"/>
      <c r="AF244" s="401"/>
      <c r="AG244" s="403"/>
      <c r="AH244" s="404"/>
      <c r="AI244" s="405"/>
      <c r="AJ244" s="401"/>
      <c r="AK244" s="395"/>
      <c r="AL244" s="317"/>
      <c r="AM244" s="394"/>
      <c r="AN244" s="396"/>
      <c r="AO244" s="200"/>
      <c r="AP244" s="200"/>
    </row>
    <row r="245">
      <c r="A245" s="395"/>
      <c r="B245" s="317"/>
      <c r="C245" s="394"/>
      <c r="D245" s="396"/>
      <c r="E245" s="395"/>
      <c r="F245" s="317"/>
      <c r="G245" s="394"/>
      <c r="H245" s="396"/>
      <c r="I245" s="395"/>
      <c r="J245" s="317"/>
      <c r="K245" s="394"/>
      <c r="L245" s="396"/>
      <c r="M245" s="395"/>
      <c r="N245" s="317"/>
      <c r="O245" s="394"/>
      <c r="P245" s="396"/>
      <c r="Q245" s="403"/>
      <c r="R245" s="404"/>
      <c r="S245" s="405"/>
      <c r="T245" s="401"/>
      <c r="U245" s="403"/>
      <c r="V245" s="404"/>
      <c r="W245" s="405"/>
      <c r="X245" s="401"/>
      <c r="Y245" s="403"/>
      <c r="Z245" s="404"/>
      <c r="AA245" s="405"/>
      <c r="AB245" s="401"/>
      <c r="AC245" s="403"/>
      <c r="AD245" s="404"/>
      <c r="AE245" s="405"/>
      <c r="AF245" s="401"/>
      <c r="AG245" s="403"/>
      <c r="AH245" s="404"/>
      <c r="AI245" s="405"/>
      <c r="AJ245" s="401"/>
      <c r="AK245" s="395"/>
      <c r="AL245" s="317"/>
      <c r="AM245" s="394"/>
      <c r="AN245" s="396"/>
      <c r="AO245" s="200"/>
      <c r="AP245" s="200"/>
    </row>
    <row r="246">
      <c r="A246" s="395"/>
      <c r="B246" s="317"/>
      <c r="C246" s="394"/>
      <c r="D246" s="396"/>
      <c r="E246" s="395"/>
      <c r="F246" s="317"/>
      <c r="G246" s="394"/>
      <c r="H246" s="396"/>
      <c r="I246" s="395"/>
      <c r="J246" s="317"/>
      <c r="K246" s="394"/>
      <c r="L246" s="396"/>
      <c r="M246" s="395"/>
      <c r="N246" s="317"/>
      <c r="O246" s="394"/>
      <c r="P246" s="396"/>
      <c r="Q246" s="403"/>
      <c r="R246" s="404"/>
      <c r="S246" s="405"/>
      <c r="T246" s="401"/>
      <c r="U246" s="403"/>
      <c r="V246" s="404"/>
      <c r="W246" s="405"/>
      <c r="X246" s="401"/>
      <c r="Y246" s="403"/>
      <c r="Z246" s="404"/>
      <c r="AA246" s="405"/>
      <c r="AB246" s="401"/>
      <c r="AC246" s="403"/>
      <c r="AD246" s="404"/>
      <c r="AE246" s="405"/>
      <c r="AF246" s="401"/>
      <c r="AG246" s="403"/>
      <c r="AH246" s="404"/>
      <c r="AI246" s="405"/>
      <c r="AJ246" s="401"/>
      <c r="AK246" s="395"/>
      <c r="AL246" s="317"/>
      <c r="AM246" s="394"/>
      <c r="AN246" s="396"/>
      <c r="AO246" s="200"/>
      <c r="AP246" s="200"/>
    </row>
    <row r="247">
      <c r="A247" s="395"/>
      <c r="B247" s="317"/>
      <c r="C247" s="394"/>
      <c r="D247" s="396"/>
      <c r="E247" s="395"/>
      <c r="F247" s="317"/>
      <c r="G247" s="394"/>
      <c r="H247" s="396"/>
      <c r="I247" s="395"/>
      <c r="J247" s="317"/>
      <c r="K247" s="394"/>
      <c r="L247" s="396"/>
      <c r="M247" s="395"/>
      <c r="N247" s="317"/>
      <c r="O247" s="394"/>
      <c r="P247" s="396"/>
      <c r="Q247" s="403"/>
      <c r="R247" s="404"/>
      <c r="S247" s="405"/>
      <c r="T247" s="401"/>
      <c r="U247" s="403"/>
      <c r="V247" s="404"/>
      <c r="W247" s="405"/>
      <c r="X247" s="401"/>
      <c r="Y247" s="403"/>
      <c r="Z247" s="404"/>
      <c r="AA247" s="405"/>
      <c r="AB247" s="401"/>
      <c r="AC247" s="403"/>
      <c r="AD247" s="404"/>
      <c r="AE247" s="405"/>
      <c r="AF247" s="401"/>
      <c r="AG247" s="403"/>
      <c r="AH247" s="404"/>
      <c r="AI247" s="405"/>
      <c r="AJ247" s="401"/>
      <c r="AK247" s="395"/>
      <c r="AL247" s="317"/>
      <c r="AM247" s="394"/>
      <c r="AN247" s="396"/>
      <c r="AO247" s="200"/>
      <c r="AP247" s="200"/>
    </row>
    <row r="248">
      <c r="A248" s="395"/>
      <c r="B248" s="317"/>
      <c r="C248" s="394"/>
      <c r="D248" s="396"/>
      <c r="E248" s="395"/>
      <c r="F248" s="317"/>
      <c r="G248" s="394"/>
      <c r="H248" s="396"/>
      <c r="I248" s="395"/>
      <c r="J248" s="317"/>
      <c r="K248" s="394"/>
      <c r="L248" s="396"/>
      <c r="M248" s="395"/>
      <c r="N248" s="317"/>
      <c r="O248" s="394"/>
      <c r="P248" s="396"/>
      <c r="Q248" s="403"/>
      <c r="R248" s="404"/>
      <c r="S248" s="405"/>
      <c r="T248" s="401"/>
      <c r="U248" s="403"/>
      <c r="V248" s="404"/>
      <c r="W248" s="405"/>
      <c r="X248" s="401"/>
      <c r="Y248" s="403"/>
      <c r="Z248" s="404"/>
      <c r="AA248" s="405"/>
      <c r="AB248" s="401"/>
      <c r="AC248" s="403"/>
      <c r="AD248" s="404"/>
      <c r="AE248" s="405"/>
      <c r="AF248" s="401"/>
      <c r="AG248" s="403"/>
      <c r="AH248" s="404"/>
      <c r="AI248" s="405"/>
      <c r="AJ248" s="401"/>
      <c r="AK248" s="395"/>
      <c r="AL248" s="317"/>
      <c r="AM248" s="394"/>
      <c r="AN248" s="396"/>
      <c r="AO248" s="200"/>
      <c r="AP248" s="200"/>
    </row>
    <row r="249">
      <c r="A249" s="395"/>
      <c r="B249" s="317"/>
      <c r="C249" s="394"/>
      <c r="D249" s="396"/>
      <c r="E249" s="395"/>
      <c r="F249" s="317"/>
      <c r="G249" s="394"/>
      <c r="H249" s="396"/>
      <c r="I249" s="395"/>
      <c r="J249" s="317"/>
      <c r="K249" s="394"/>
      <c r="L249" s="396"/>
      <c r="M249" s="395"/>
      <c r="N249" s="317"/>
      <c r="O249" s="394"/>
      <c r="P249" s="396"/>
      <c r="Q249" s="403"/>
      <c r="R249" s="404"/>
      <c r="S249" s="405"/>
      <c r="T249" s="401"/>
      <c r="U249" s="403"/>
      <c r="V249" s="404"/>
      <c r="W249" s="405"/>
      <c r="X249" s="401"/>
      <c r="Y249" s="403"/>
      <c r="Z249" s="404"/>
      <c r="AA249" s="405"/>
      <c r="AB249" s="401"/>
      <c r="AC249" s="403"/>
      <c r="AD249" s="404"/>
      <c r="AE249" s="405"/>
      <c r="AF249" s="401"/>
      <c r="AG249" s="403"/>
      <c r="AH249" s="404"/>
      <c r="AI249" s="405"/>
      <c r="AJ249" s="401"/>
      <c r="AK249" s="395"/>
      <c r="AL249" s="317"/>
      <c r="AM249" s="394"/>
      <c r="AN249" s="396"/>
      <c r="AO249" s="200"/>
      <c r="AP249" s="200"/>
    </row>
    <row r="250">
      <c r="A250" s="395"/>
      <c r="B250" s="317"/>
      <c r="C250" s="394"/>
      <c r="D250" s="396"/>
      <c r="E250" s="395"/>
      <c r="F250" s="317"/>
      <c r="G250" s="394"/>
      <c r="H250" s="396"/>
      <c r="I250" s="395"/>
      <c r="J250" s="317"/>
      <c r="K250" s="394"/>
      <c r="L250" s="396"/>
      <c r="M250" s="395"/>
      <c r="N250" s="317"/>
      <c r="O250" s="394"/>
      <c r="P250" s="396"/>
      <c r="Q250" s="403"/>
      <c r="R250" s="404"/>
      <c r="S250" s="405"/>
      <c r="T250" s="401"/>
      <c r="U250" s="403"/>
      <c r="V250" s="404"/>
      <c r="W250" s="405"/>
      <c r="X250" s="401"/>
      <c r="Y250" s="403"/>
      <c r="Z250" s="404"/>
      <c r="AA250" s="405"/>
      <c r="AB250" s="401"/>
      <c r="AC250" s="403"/>
      <c r="AD250" s="404"/>
      <c r="AE250" s="405"/>
      <c r="AF250" s="401"/>
      <c r="AG250" s="403"/>
      <c r="AH250" s="404"/>
      <c r="AI250" s="405"/>
      <c r="AJ250" s="401"/>
      <c r="AK250" s="395"/>
      <c r="AL250" s="317"/>
      <c r="AM250" s="394"/>
      <c r="AN250" s="396"/>
      <c r="AO250" s="200"/>
      <c r="AP250" s="200"/>
    </row>
    <row r="251">
      <c r="A251" s="395"/>
      <c r="B251" s="317"/>
      <c r="C251" s="394"/>
      <c r="D251" s="396"/>
      <c r="E251" s="395"/>
      <c r="F251" s="317"/>
      <c r="G251" s="394"/>
      <c r="H251" s="396"/>
      <c r="I251" s="395"/>
      <c r="J251" s="317"/>
      <c r="K251" s="394"/>
      <c r="L251" s="396"/>
      <c r="M251" s="395"/>
      <c r="N251" s="317"/>
      <c r="O251" s="394"/>
      <c r="P251" s="396"/>
      <c r="Q251" s="403"/>
      <c r="R251" s="404"/>
      <c r="S251" s="405"/>
      <c r="T251" s="401"/>
      <c r="U251" s="403"/>
      <c r="V251" s="404"/>
      <c r="W251" s="405"/>
      <c r="X251" s="401"/>
      <c r="Y251" s="403"/>
      <c r="Z251" s="404"/>
      <c r="AA251" s="405"/>
      <c r="AB251" s="401"/>
      <c r="AC251" s="403"/>
      <c r="AD251" s="404"/>
      <c r="AE251" s="405"/>
      <c r="AF251" s="401"/>
      <c r="AG251" s="403"/>
      <c r="AH251" s="404"/>
      <c r="AI251" s="405"/>
      <c r="AJ251" s="401"/>
      <c r="AK251" s="395"/>
      <c r="AL251" s="317"/>
      <c r="AM251" s="394"/>
      <c r="AN251" s="396"/>
      <c r="AO251" s="200"/>
      <c r="AP251" s="200"/>
    </row>
    <row r="252">
      <c r="A252" s="395"/>
      <c r="B252" s="317"/>
      <c r="C252" s="394"/>
      <c r="D252" s="396"/>
      <c r="E252" s="395"/>
      <c r="F252" s="317"/>
      <c r="G252" s="394"/>
      <c r="H252" s="396"/>
      <c r="I252" s="395"/>
      <c r="J252" s="317"/>
      <c r="K252" s="394"/>
      <c r="L252" s="396"/>
      <c r="M252" s="395"/>
      <c r="N252" s="317"/>
      <c r="O252" s="394"/>
      <c r="P252" s="396"/>
      <c r="Q252" s="403"/>
      <c r="R252" s="404"/>
      <c r="S252" s="405"/>
      <c r="T252" s="401"/>
      <c r="U252" s="403"/>
      <c r="V252" s="404"/>
      <c r="W252" s="405"/>
      <c r="X252" s="401"/>
      <c r="Y252" s="403"/>
      <c r="Z252" s="404"/>
      <c r="AA252" s="405"/>
      <c r="AB252" s="401"/>
      <c r="AC252" s="403"/>
      <c r="AD252" s="404"/>
      <c r="AE252" s="405"/>
      <c r="AF252" s="401"/>
      <c r="AG252" s="403"/>
      <c r="AH252" s="404"/>
      <c r="AI252" s="405"/>
      <c r="AJ252" s="401"/>
      <c r="AK252" s="395"/>
      <c r="AL252" s="317"/>
      <c r="AM252" s="394"/>
      <c r="AN252" s="396"/>
      <c r="AO252" s="200"/>
      <c r="AP252" s="200"/>
    </row>
    <row r="253">
      <c r="A253" s="395"/>
      <c r="B253" s="317"/>
      <c r="C253" s="394"/>
      <c r="D253" s="396"/>
      <c r="E253" s="395"/>
      <c r="F253" s="317"/>
      <c r="G253" s="394"/>
      <c r="H253" s="396"/>
      <c r="I253" s="395"/>
      <c r="J253" s="317"/>
      <c r="K253" s="394"/>
      <c r="L253" s="396"/>
      <c r="M253" s="395"/>
      <c r="N253" s="317"/>
      <c r="O253" s="394"/>
      <c r="P253" s="396"/>
      <c r="Q253" s="403"/>
      <c r="R253" s="404"/>
      <c r="S253" s="405"/>
      <c r="T253" s="401"/>
      <c r="U253" s="403"/>
      <c r="V253" s="404"/>
      <c r="W253" s="405"/>
      <c r="X253" s="401"/>
      <c r="Y253" s="403"/>
      <c r="Z253" s="404"/>
      <c r="AA253" s="405"/>
      <c r="AB253" s="401"/>
      <c r="AC253" s="403"/>
      <c r="AD253" s="404"/>
      <c r="AE253" s="405"/>
      <c r="AF253" s="401"/>
      <c r="AG253" s="403"/>
      <c r="AH253" s="404"/>
      <c r="AI253" s="405"/>
      <c r="AJ253" s="401"/>
      <c r="AK253" s="395"/>
      <c r="AL253" s="317"/>
      <c r="AM253" s="394"/>
      <c r="AN253" s="396"/>
      <c r="AO253" s="200"/>
      <c r="AP253" s="200"/>
    </row>
    <row r="254">
      <c r="A254" s="395"/>
      <c r="B254" s="317"/>
      <c r="C254" s="394"/>
      <c r="D254" s="396"/>
      <c r="E254" s="395"/>
      <c r="F254" s="317"/>
      <c r="G254" s="394"/>
      <c r="H254" s="396"/>
      <c r="I254" s="395"/>
      <c r="J254" s="317"/>
      <c r="K254" s="394"/>
      <c r="L254" s="396"/>
      <c r="M254" s="395"/>
      <c r="N254" s="317"/>
      <c r="O254" s="394"/>
      <c r="P254" s="396"/>
      <c r="Q254" s="403"/>
      <c r="R254" s="404"/>
      <c r="S254" s="405"/>
      <c r="T254" s="401"/>
      <c r="U254" s="403"/>
      <c r="V254" s="404"/>
      <c r="W254" s="405"/>
      <c r="X254" s="401"/>
      <c r="Y254" s="403"/>
      <c r="Z254" s="404"/>
      <c r="AA254" s="405"/>
      <c r="AB254" s="401"/>
      <c r="AC254" s="403"/>
      <c r="AD254" s="404"/>
      <c r="AE254" s="405"/>
      <c r="AF254" s="401"/>
      <c r="AG254" s="403"/>
      <c r="AH254" s="404"/>
      <c r="AI254" s="405"/>
      <c r="AJ254" s="401"/>
      <c r="AK254" s="395"/>
      <c r="AL254" s="317"/>
      <c r="AM254" s="394"/>
      <c r="AN254" s="396"/>
      <c r="AO254" s="200"/>
      <c r="AP254" s="200"/>
    </row>
    <row r="255">
      <c r="A255" s="395"/>
      <c r="B255" s="317"/>
      <c r="C255" s="394"/>
      <c r="D255" s="396"/>
      <c r="E255" s="395"/>
      <c r="F255" s="317"/>
      <c r="G255" s="394"/>
      <c r="H255" s="396"/>
      <c r="I255" s="395"/>
      <c r="J255" s="317"/>
      <c r="K255" s="394"/>
      <c r="L255" s="396"/>
      <c r="M255" s="395"/>
      <c r="N255" s="317"/>
      <c r="O255" s="394"/>
      <c r="P255" s="396"/>
      <c r="Q255" s="403"/>
      <c r="R255" s="404"/>
      <c r="S255" s="405"/>
      <c r="T255" s="401"/>
      <c r="U255" s="403"/>
      <c r="V255" s="404"/>
      <c r="W255" s="405"/>
      <c r="X255" s="401"/>
      <c r="Y255" s="403"/>
      <c r="Z255" s="404"/>
      <c r="AA255" s="405"/>
      <c r="AB255" s="401"/>
      <c r="AC255" s="403"/>
      <c r="AD255" s="404"/>
      <c r="AE255" s="405"/>
      <c r="AF255" s="401"/>
      <c r="AG255" s="403"/>
      <c r="AH255" s="404"/>
      <c r="AI255" s="405"/>
      <c r="AJ255" s="401"/>
      <c r="AK255" s="395"/>
      <c r="AL255" s="317"/>
      <c r="AM255" s="394"/>
      <c r="AN255" s="396"/>
      <c r="AO255" s="200"/>
      <c r="AP255" s="200"/>
    </row>
    <row r="256">
      <c r="A256" s="395"/>
      <c r="B256" s="317"/>
      <c r="C256" s="394"/>
      <c r="D256" s="396"/>
      <c r="E256" s="395"/>
      <c r="F256" s="317"/>
      <c r="G256" s="394"/>
      <c r="H256" s="396"/>
      <c r="I256" s="395"/>
      <c r="J256" s="317"/>
      <c r="K256" s="394"/>
      <c r="L256" s="396"/>
      <c r="M256" s="395"/>
      <c r="N256" s="317"/>
      <c r="O256" s="394"/>
      <c r="P256" s="396"/>
      <c r="Q256" s="403"/>
      <c r="R256" s="404"/>
      <c r="S256" s="405"/>
      <c r="T256" s="401"/>
      <c r="U256" s="403"/>
      <c r="V256" s="404"/>
      <c r="W256" s="405"/>
      <c r="X256" s="401"/>
      <c r="Y256" s="403"/>
      <c r="Z256" s="404"/>
      <c r="AA256" s="405"/>
      <c r="AB256" s="401"/>
      <c r="AC256" s="403"/>
      <c r="AD256" s="404"/>
      <c r="AE256" s="405"/>
      <c r="AF256" s="401"/>
      <c r="AG256" s="403"/>
      <c r="AH256" s="404"/>
      <c r="AI256" s="405"/>
      <c r="AJ256" s="401"/>
      <c r="AK256" s="395"/>
      <c r="AL256" s="317"/>
      <c r="AM256" s="394"/>
      <c r="AN256" s="396"/>
      <c r="AO256" s="200"/>
      <c r="AP256" s="200"/>
    </row>
    <row r="257">
      <c r="A257" s="395"/>
      <c r="B257" s="317"/>
      <c r="C257" s="394"/>
      <c r="D257" s="396"/>
      <c r="E257" s="395"/>
      <c r="F257" s="317"/>
      <c r="G257" s="394"/>
      <c r="H257" s="396"/>
      <c r="I257" s="395"/>
      <c r="J257" s="317"/>
      <c r="K257" s="394"/>
      <c r="L257" s="396"/>
      <c r="M257" s="395"/>
      <c r="N257" s="317"/>
      <c r="O257" s="394"/>
      <c r="P257" s="396"/>
      <c r="Q257" s="403"/>
      <c r="R257" s="404"/>
      <c r="S257" s="405"/>
      <c r="T257" s="401"/>
      <c r="U257" s="403"/>
      <c r="V257" s="404"/>
      <c r="W257" s="405"/>
      <c r="X257" s="401"/>
      <c r="Y257" s="403"/>
      <c r="Z257" s="404"/>
      <c r="AA257" s="405"/>
      <c r="AB257" s="401"/>
      <c r="AC257" s="403"/>
      <c r="AD257" s="404"/>
      <c r="AE257" s="405"/>
      <c r="AF257" s="401"/>
      <c r="AG257" s="403"/>
      <c r="AH257" s="404"/>
      <c r="AI257" s="405"/>
      <c r="AJ257" s="401"/>
      <c r="AK257" s="395"/>
      <c r="AL257" s="317"/>
      <c r="AM257" s="394"/>
      <c r="AN257" s="396"/>
      <c r="AO257" s="200"/>
      <c r="AP257" s="200"/>
    </row>
    <row r="258">
      <c r="A258" s="395"/>
      <c r="B258" s="317"/>
      <c r="C258" s="394"/>
      <c r="D258" s="396"/>
      <c r="E258" s="395"/>
      <c r="F258" s="317"/>
      <c r="G258" s="394"/>
      <c r="H258" s="396"/>
      <c r="I258" s="395"/>
      <c r="J258" s="317"/>
      <c r="K258" s="394"/>
      <c r="L258" s="396"/>
      <c r="M258" s="395"/>
      <c r="N258" s="317"/>
      <c r="O258" s="394"/>
      <c r="P258" s="396"/>
      <c r="Q258" s="403"/>
      <c r="R258" s="404"/>
      <c r="S258" s="405"/>
      <c r="T258" s="401"/>
      <c r="U258" s="403"/>
      <c r="V258" s="404"/>
      <c r="W258" s="405"/>
      <c r="X258" s="401"/>
      <c r="Y258" s="403"/>
      <c r="Z258" s="404"/>
      <c r="AA258" s="405"/>
      <c r="AB258" s="401"/>
      <c r="AC258" s="403"/>
      <c r="AD258" s="404"/>
      <c r="AE258" s="405"/>
      <c r="AF258" s="401"/>
      <c r="AG258" s="403"/>
      <c r="AH258" s="404"/>
      <c r="AI258" s="405"/>
      <c r="AJ258" s="401"/>
      <c r="AK258" s="395"/>
      <c r="AL258" s="317"/>
      <c r="AM258" s="394"/>
      <c r="AN258" s="396"/>
      <c r="AO258" s="200"/>
      <c r="AP258" s="200"/>
    </row>
    <row r="259">
      <c r="A259" s="395"/>
      <c r="B259" s="317"/>
      <c r="C259" s="394"/>
      <c r="D259" s="396"/>
      <c r="E259" s="395"/>
      <c r="F259" s="317"/>
      <c r="G259" s="394"/>
      <c r="H259" s="396"/>
      <c r="I259" s="395"/>
      <c r="J259" s="317"/>
      <c r="K259" s="394"/>
      <c r="L259" s="396"/>
      <c r="M259" s="395"/>
      <c r="N259" s="317"/>
      <c r="O259" s="394"/>
      <c r="P259" s="396"/>
      <c r="Q259" s="403"/>
      <c r="R259" s="404"/>
      <c r="S259" s="405"/>
      <c r="T259" s="401"/>
      <c r="U259" s="403"/>
      <c r="V259" s="404"/>
      <c r="W259" s="405"/>
      <c r="X259" s="401"/>
      <c r="Y259" s="403"/>
      <c r="Z259" s="404"/>
      <c r="AA259" s="405"/>
      <c r="AB259" s="401"/>
      <c r="AC259" s="403"/>
      <c r="AD259" s="404"/>
      <c r="AE259" s="405"/>
      <c r="AF259" s="401"/>
      <c r="AG259" s="403"/>
      <c r="AH259" s="404"/>
      <c r="AI259" s="405"/>
      <c r="AJ259" s="401"/>
      <c r="AK259" s="395"/>
      <c r="AL259" s="317"/>
      <c r="AM259" s="394"/>
      <c r="AN259" s="396"/>
      <c r="AO259" s="200"/>
      <c r="AP259" s="200"/>
    </row>
    <row r="260">
      <c r="A260" s="395"/>
      <c r="B260" s="317"/>
      <c r="C260" s="394"/>
      <c r="D260" s="396"/>
      <c r="E260" s="395"/>
      <c r="F260" s="317"/>
      <c r="G260" s="394"/>
      <c r="H260" s="396"/>
      <c r="I260" s="395"/>
      <c r="J260" s="317"/>
      <c r="K260" s="394"/>
      <c r="L260" s="396"/>
      <c r="M260" s="395"/>
      <c r="N260" s="317"/>
      <c r="O260" s="394"/>
      <c r="P260" s="396"/>
      <c r="Q260" s="403"/>
      <c r="R260" s="404"/>
      <c r="S260" s="405"/>
      <c r="T260" s="401"/>
      <c r="U260" s="403"/>
      <c r="V260" s="404"/>
      <c r="W260" s="405"/>
      <c r="X260" s="401"/>
      <c r="Y260" s="403"/>
      <c r="Z260" s="404"/>
      <c r="AA260" s="405"/>
      <c r="AB260" s="401"/>
      <c r="AC260" s="403"/>
      <c r="AD260" s="404"/>
      <c r="AE260" s="405"/>
      <c r="AF260" s="401"/>
      <c r="AG260" s="403"/>
      <c r="AH260" s="404"/>
      <c r="AI260" s="405"/>
      <c r="AJ260" s="401"/>
      <c r="AK260" s="395"/>
      <c r="AL260" s="317"/>
      <c r="AM260" s="394"/>
      <c r="AN260" s="396"/>
      <c r="AO260" s="200"/>
      <c r="AP260" s="200"/>
    </row>
    <row r="261">
      <c r="A261" s="395"/>
      <c r="B261" s="317"/>
      <c r="C261" s="394"/>
      <c r="D261" s="396"/>
      <c r="E261" s="395"/>
      <c r="F261" s="317"/>
      <c r="G261" s="394"/>
      <c r="H261" s="396"/>
      <c r="I261" s="395"/>
      <c r="J261" s="317"/>
      <c r="K261" s="394"/>
      <c r="L261" s="396"/>
      <c r="M261" s="395"/>
      <c r="N261" s="317"/>
      <c r="O261" s="394"/>
      <c r="P261" s="396"/>
      <c r="Q261" s="403"/>
      <c r="R261" s="404"/>
      <c r="S261" s="405"/>
      <c r="T261" s="401"/>
      <c r="U261" s="403"/>
      <c r="V261" s="404"/>
      <c r="W261" s="405"/>
      <c r="X261" s="401"/>
      <c r="Y261" s="403"/>
      <c r="Z261" s="404"/>
      <c r="AA261" s="405"/>
      <c r="AB261" s="401"/>
      <c r="AC261" s="403"/>
      <c r="AD261" s="404"/>
      <c r="AE261" s="405"/>
      <c r="AF261" s="401"/>
      <c r="AG261" s="403"/>
      <c r="AH261" s="404"/>
      <c r="AI261" s="405"/>
      <c r="AJ261" s="401"/>
      <c r="AK261" s="395"/>
      <c r="AL261" s="317"/>
      <c r="AM261" s="394"/>
      <c r="AN261" s="396"/>
      <c r="AO261" s="200"/>
      <c r="AP261" s="200"/>
    </row>
    <row r="262">
      <c r="A262" s="395"/>
      <c r="B262" s="317"/>
      <c r="C262" s="394"/>
      <c r="D262" s="396"/>
      <c r="E262" s="395"/>
      <c r="F262" s="317"/>
      <c r="G262" s="394"/>
      <c r="H262" s="396"/>
      <c r="I262" s="395"/>
      <c r="J262" s="317"/>
      <c r="K262" s="394"/>
      <c r="L262" s="396"/>
      <c r="M262" s="395"/>
      <c r="N262" s="317"/>
      <c r="O262" s="394"/>
      <c r="P262" s="396"/>
      <c r="Q262" s="403"/>
      <c r="R262" s="404"/>
      <c r="S262" s="405"/>
      <c r="T262" s="401"/>
      <c r="U262" s="403"/>
      <c r="V262" s="404"/>
      <c r="W262" s="405"/>
      <c r="X262" s="401"/>
      <c r="Y262" s="403"/>
      <c r="Z262" s="404"/>
      <c r="AA262" s="405"/>
      <c r="AB262" s="401"/>
      <c r="AC262" s="403"/>
      <c r="AD262" s="404"/>
      <c r="AE262" s="405"/>
      <c r="AF262" s="401"/>
      <c r="AG262" s="403"/>
      <c r="AH262" s="404"/>
      <c r="AI262" s="405"/>
      <c r="AJ262" s="401"/>
      <c r="AK262" s="395"/>
      <c r="AL262" s="317"/>
      <c r="AM262" s="394"/>
      <c r="AN262" s="396"/>
      <c r="AO262" s="200"/>
      <c r="AP262" s="200"/>
    </row>
    <row r="263">
      <c r="A263" s="395"/>
      <c r="B263" s="317"/>
      <c r="C263" s="394"/>
      <c r="D263" s="396"/>
      <c r="E263" s="395"/>
      <c r="F263" s="317"/>
      <c r="G263" s="394"/>
      <c r="H263" s="396"/>
      <c r="I263" s="395"/>
      <c r="J263" s="317"/>
      <c r="K263" s="394"/>
      <c r="L263" s="396"/>
      <c r="M263" s="395"/>
      <c r="N263" s="317"/>
      <c r="O263" s="394"/>
      <c r="P263" s="396"/>
      <c r="Q263" s="403"/>
      <c r="R263" s="404"/>
      <c r="S263" s="405"/>
      <c r="T263" s="401"/>
      <c r="U263" s="403"/>
      <c r="V263" s="404"/>
      <c r="W263" s="405"/>
      <c r="X263" s="401"/>
      <c r="Y263" s="403"/>
      <c r="Z263" s="404"/>
      <c r="AA263" s="405"/>
      <c r="AB263" s="401"/>
      <c r="AC263" s="403"/>
      <c r="AD263" s="404"/>
      <c r="AE263" s="405"/>
      <c r="AF263" s="401"/>
      <c r="AG263" s="403"/>
      <c r="AH263" s="404"/>
      <c r="AI263" s="405"/>
      <c r="AJ263" s="401"/>
      <c r="AK263" s="395"/>
      <c r="AL263" s="317"/>
      <c r="AM263" s="394"/>
      <c r="AN263" s="396"/>
      <c r="AO263" s="200"/>
      <c r="AP263" s="200"/>
    </row>
    <row r="264">
      <c r="A264" s="395"/>
      <c r="B264" s="317"/>
      <c r="C264" s="394"/>
      <c r="D264" s="396"/>
      <c r="E264" s="395"/>
      <c r="F264" s="317"/>
      <c r="G264" s="394"/>
      <c r="H264" s="396"/>
      <c r="I264" s="395"/>
      <c r="J264" s="317"/>
      <c r="K264" s="394"/>
      <c r="L264" s="396"/>
      <c r="M264" s="395"/>
      <c r="N264" s="317"/>
      <c r="O264" s="394"/>
      <c r="P264" s="396"/>
      <c r="Q264" s="403"/>
      <c r="R264" s="404"/>
      <c r="S264" s="405"/>
      <c r="T264" s="401"/>
      <c r="U264" s="403"/>
      <c r="V264" s="404"/>
      <c r="W264" s="405"/>
      <c r="X264" s="401"/>
      <c r="Y264" s="403"/>
      <c r="Z264" s="404"/>
      <c r="AA264" s="405"/>
      <c r="AB264" s="401"/>
      <c r="AC264" s="403"/>
      <c r="AD264" s="404"/>
      <c r="AE264" s="405"/>
      <c r="AF264" s="401"/>
      <c r="AG264" s="403"/>
      <c r="AH264" s="404"/>
      <c r="AI264" s="405"/>
      <c r="AJ264" s="401"/>
      <c r="AK264" s="395"/>
      <c r="AL264" s="317"/>
      <c r="AM264" s="394"/>
      <c r="AN264" s="396"/>
      <c r="AO264" s="200"/>
      <c r="AP264" s="200"/>
    </row>
    <row r="265">
      <c r="A265" s="395"/>
      <c r="B265" s="317"/>
      <c r="C265" s="394"/>
      <c r="D265" s="396"/>
      <c r="E265" s="395"/>
      <c r="F265" s="317"/>
      <c r="G265" s="394"/>
      <c r="H265" s="396"/>
      <c r="I265" s="395"/>
      <c r="J265" s="317"/>
      <c r="K265" s="394"/>
      <c r="L265" s="396"/>
      <c r="M265" s="395"/>
      <c r="N265" s="317"/>
      <c r="O265" s="394"/>
      <c r="P265" s="396"/>
      <c r="Q265" s="403"/>
      <c r="R265" s="404"/>
      <c r="S265" s="405"/>
      <c r="T265" s="401"/>
      <c r="U265" s="403"/>
      <c r="V265" s="404"/>
      <c r="W265" s="405"/>
      <c r="X265" s="401"/>
      <c r="Y265" s="403"/>
      <c r="Z265" s="404"/>
      <c r="AA265" s="405"/>
      <c r="AB265" s="401"/>
      <c r="AC265" s="403"/>
      <c r="AD265" s="404"/>
      <c r="AE265" s="405"/>
      <c r="AF265" s="401"/>
      <c r="AG265" s="403"/>
      <c r="AH265" s="404"/>
      <c r="AI265" s="405"/>
      <c r="AJ265" s="401"/>
      <c r="AK265" s="395"/>
      <c r="AL265" s="317"/>
      <c r="AM265" s="394"/>
      <c r="AN265" s="396"/>
      <c r="AO265" s="200"/>
      <c r="AP265" s="200"/>
    </row>
    <row r="266">
      <c r="A266" s="395"/>
      <c r="B266" s="317"/>
      <c r="C266" s="394"/>
      <c r="D266" s="396"/>
      <c r="E266" s="395"/>
      <c r="F266" s="317"/>
      <c r="G266" s="394"/>
      <c r="H266" s="396"/>
      <c r="I266" s="395"/>
      <c r="J266" s="317"/>
      <c r="K266" s="394"/>
      <c r="L266" s="396"/>
      <c r="M266" s="395"/>
      <c r="N266" s="317"/>
      <c r="O266" s="394"/>
      <c r="P266" s="396"/>
      <c r="Q266" s="403"/>
      <c r="R266" s="404"/>
      <c r="S266" s="405"/>
      <c r="T266" s="401"/>
      <c r="U266" s="403"/>
      <c r="V266" s="404"/>
      <c r="W266" s="405"/>
      <c r="X266" s="401"/>
      <c r="Y266" s="403"/>
      <c r="Z266" s="404"/>
      <c r="AA266" s="405"/>
      <c r="AB266" s="401"/>
      <c r="AC266" s="403"/>
      <c r="AD266" s="404"/>
      <c r="AE266" s="405"/>
      <c r="AF266" s="401"/>
      <c r="AG266" s="403"/>
      <c r="AH266" s="404"/>
      <c r="AI266" s="405"/>
      <c r="AJ266" s="401"/>
      <c r="AK266" s="395"/>
      <c r="AL266" s="317"/>
      <c r="AM266" s="394"/>
      <c r="AN266" s="396"/>
      <c r="AO266" s="200"/>
      <c r="AP266" s="200"/>
    </row>
    <row r="267">
      <c r="A267" s="395"/>
      <c r="B267" s="317"/>
      <c r="C267" s="394"/>
      <c r="D267" s="396"/>
      <c r="E267" s="395"/>
      <c r="F267" s="317"/>
      <c r="G267" s="394"/>
      <c r="H267" s="396"/>
      <c r="I267" s="395"/>
      <c r="J267" s="317"/>
      <c r="K267" s="394"/>
      <c r="L267" s="396"/>
      <c r="M267" s="395"/>
      <c r="N267" s="317"/>
      <c r="O267" s="394"/>
      <c r="P267" s="396"/>
      <c r="Q267" s="403"/>
      <c r="R267" s="404"/>
      <c r="S267" s="405"/>
      <c r="T267" s="401"/>
      <c r="U267" s="403"/>
      <c r="V267" s="404"/>
      <c r="W267" s="405"/>
      <c r="X267" s="401"/>
      <c r="Y267" s="403"/>
      <c r="Z267" s="404"/>
      <c r="AA267" s="405"/>
      <c r="AB267" s="401"/>
      <c r="AC267" s="403"/>
      <c r="AD267" s="404"/>
      <c r="AE267" s="405"/>
      <c r="AF267" s="401"/>
      <c r="AG267" s="403"/>
      <c r="AH267" s="404"/>
      <c r="AI267" s="405"/>
      <c r="AJ267" s="401"/>
      <c r="AK267" s="395"/>
      <c r="AL267" s="317"/>
      <c r="AM267" s="394"/>
      <c r="AN267" s="396"/>
      <c r="AO267" s="200"/>
      <c r="AP267" s="200"/>
    </row>
    <row r="268">
      <c r="A268" s="395"/>
      <c r="B268" s="317"/>
      <c r="C268" s="394"/>
      <c r="D268" s="396"/>
      <c r="E268" s="395"/>
      <c r="F268" s="317"/>
      <c r="G268" s="394"/>
      <c r="H268" s="396"/>
      <c r="I268" s="395"/>
      <c r="J268" s="317"/>
      <c r="K268" s="394"/>
      <c r="L268" s="396"/>
      <c r="M268" s="395"/>
      <c r="N268" s="317"/>
      <c r="O268" s="394"/>
      <c r="P268" s="396"/>
      <c r="Q268" s="403"/>
      <c r="R268" s="404"/>
      <c r="S268" s="405"/>
      <c r="T268" s="401"/>
      <c r="U268" s="403"/>
      <c r="V268" s="404"/>
      <c r="W268" s="405"/>
      <c r="X268" s="401"/>
      <c r="Y268" s="403"/>
      <c r="Z268" s="404"/>
      <c r="AA268" s="405"/>
      <c r="AB268" s="401"/>
      <c r="AC268" s="403"/>
      <c r="AD268" s="404"/>
      <c r="AE268" s="405"/>
      <c r="AF268" s="401"/>
      <c r="AG268" s="403"/>
      <c r="AH268" s="404"/>
      <c r="AI268" s="405"/>
      <c r="AJ268" s="401"/>
      <c r="AK268" s="395"/>
      <c r="AL268" s="317"/>
      <c r="AM268" s="394"/>
      <c r="AN268" s="396"/>
      <c r="AO268" s="200"/>
      <c r="AP268" s="200"/>
    </row>
    <row r="269">
      <c r="A269" s="395"/>
      <c r="B269" s="317"/>
      <c r="C269" s="394"/>
      <c r="D269" s="396"/>
      <c r="E269" s="395"/>
      <c r="F269" s="317"/>
      <c r="G269" s="394"/>
      <c r="H269" s="396"/>
      <c r="I269" s="395"/>
      <c r="J269" s="317"/>
      <c r="K269" s="394"/>
      <c r="L269" s="396"/>
      <c r="M269" s="395"/>
      <c r="N269" s="317"/>
      <c r="O269" s="394"/>
      <c r="P269" s="396"/>
      <c r="Q269" s="403"/>
      <c r="R269" s="404"/>
      <c r="S269" s="405"/>
      <c r="T269" s="401"/>
      <c r="U269" s="403"/>
      <c r="V269" s="404"/>
      <c r="W269" s="405"/>
      <c r="X269" s="401"/>
      <c r="Y269" s="403"/>
      <c r="Z269" s="404"/>
      <c r="AA269" s="405"/>
      <c r="AB269" s="401"/>
      <c r="AC269" s="403"/>
      <c r="AD269" s="404"/>
      <c r="AE269" s="405"/>
      <c r="AF269" s="401"/>
      <c r="AG269" s="403"/>
      <c r="AH269" s="404"/>
      <c r="AI269" s="405"/>
      <c r="AJ269" s="401"/>
      <c r="AK269" s="395"/>
      <c r="AL269" s="317"/>
      <c r="AM269" s="394"/>
      <c r="AN269" s="396"/>
      <c r="AO269" s="200"/>
      <c r="AP269" s="200"/>
    </row>
    <row r="270">
      <c r="A270" s="395"/>
      <c r="B270" s="317"/>
      <c r="C270" s="394"/>
      <c r="D270" s="396"/>
      <c r="E270" s="395"/>
      <c r="F270" s="317"/>
      <c r="G270" s="394"/>
      <c r="H270" s="396"/>
      <c r="I270" s="395"/>
      <c r="J270" s="317"/>
      <c r="K270" s="394"/>
      <c r="L270" s="396"/>
      <c r="M270" s="395"/>
      <c r="N270" s="317"/>
      <c r="O270" s="394"/>
      <c r="P270" s="396"/>
      <c r="Q270" s="403"/>
      <c r="R270" s="404"/>
      <c r="S270" s="405"/>
      <c r="T270" s="401"/>
      <c r="U270" s="403"/>
      <c r="V270" s="404"/>
      <c r="W270" s="405"/>
      <c r="X270" s="401"/>
      <c r="Y270" s="403"/>
      <c r="Z270" s="404"/>
      <c r="AA270" s="405"/>
      <c r="AB270" s="401"/>
      <c r="AC270" s="403"/>
      <c r="AD270" s="404"/>
      <c r="AE270" s="405"/>
      <c r="AF270" s="401"/>
      <c r="AG270" s="403"/>
      <c r="AH270" s="404"/>
      <c r="AI270" s="405"/>
      <c r="AJ270" s="401"/>
      <c r="AK270" s="395"/>
      <c r="AL270" s="317"/>
      <c r="AM270" s="394"/>
      <c r="AN270" s="396"/>
      <c r="AO270" s="200"/>
      <c r="AP270" s="200"/>
    </row>
    <row r="271">
      <c r="A271" s="395"/>
      <c r="B271" s="317"/>
      <c r="C271" s="394"/>
      <c r="D271" s="396"/>
      <c r="E271" s="395"/>
      <c r="F271" s="317"/>
      <c r="G271" s="394"/>
      <c r="H271" s="396"/>
      <c r="I271" s="395"/>
      <c r="J271" s="317"/>
      <c r="K271" s="394"/>
      <c r="L271" s="396"/>
      <c r="M271" s="395"/>
      <c r="N271" s="317"/>
      <c r="O271" s="394"/>
      <c r="P271" s="396"/>
      <c r="Q271" s="403"/>
      <c r="R271" s="404"/>
      <c r="S271" s="405"/>
      <c r="T271" s="401"/>
      <c r="U271" s="403"/>
      <c r="V271" s="404"/>
      <c r="W271" s="405"/>
      <c r="X271" s="401"/>
      <c r="Y271" s="403"/>
      <c r="Z271" s="404"/>
      <c r="AA271" s="405"/>
      <c r="AB271" s="401"/>
      <c r="AC271" s="403"/>
      <c r="AD271" s="404"/>
      <c r="AE271" s="405"/>
      <c r="AF271" s="401"/>
      <c r="AG271" s="403"/>
      <c r="AH271" s="404"/>
      <c r="AI271" s="405"/>
      <c r="AJ271" s="401"/>
      <c r="AK271" s="395"/>
      <c r="AL271" s="317"/>
      <c r="AM271" s="394"/>
      <c r="AN271" s="396"/>
      <c r="AO271" s="200"/>
      <c r="AP271" s="200"/>
    </row>
    <row r="272">
      <c r="A272" s="395"/>
      <c r="B272" s="317"/>
      <c r="C272" s="394"/>
      <c r="D272" s="396"/>
      <c r="E272" s="395"/>
      <c r="F272" s="317"/>
      <c r="G272" s="394"/>
      <c r="H272" s="396"/>
      <c r="I272" s="395"/>
      <c r="J272" s="317"/>
      <c r="K272" s="394"/>
      <c r="L272" s="396"/>
      <c r="M272" s="395"/>
      <c r="N272" s="317"/>
      <c r="O272" s="394"/>
      <c r="P272" s="396"/>
      <c r="Q272" s="403"/>
      <c r="R272" s="404"/>
      <c r="S272" s="405"/>
      <c r="T272" s="401"/>
      <c r="U272" s="403"/>
      <c r="V272" s="404"/>
      <c r="W272" s="405"/>
      <c r="X272" s="401"/>
      <c r="Y272" s="403"/>
      <c r="Z272" s="404"/>
      <c r="AA272" s="405"/>
      <c r="AB272" s="401"/>
      <c r="AC272" s="403"/>
      <c r="AD272" s="404"/>
      <c r="AE272" s="405"/>
      <c r="AF272" s="401"/>
      <c r="AG272" s="403"/>
      <c r="AH272" s="404"/>
      <c r="AI272" s="405"/>
      <c r="AJ272" s="401"/>
      <c r="AK272" s="395"/>
      <c r="AL272" s="317"/>
      <c r="AM272" s="394"/>
      <c r="AN272" s="396"/>
      <c r="AO272" s="200"/>
      <c r="AP272" s="200"/>
    </row>
    <row r="273">
      <c r="A273" s="395"/>
      <c r="B273" s="317"/>
      <c r="C273" s="394"/>
      <c r="D273" s="396"/>
      <c r="E273" s="395"/>
      <c r="F273" s="317"/>
      <c r="G273" s="394"/>
      <c r="H273" s="396"/>
      <c r="I273" s="395"/>
      <c r="J273" s="317"/>
      <c r="K273" s="394"/>
      <c r="L273" s="396"/>
      <c r="M273" s="395"/>
      <c r="N273" s="317"/>
      <c r="O273" s="394"/>
      <c r="P273" s="396"/>
      <c r="Q273" s="403"/>
      <c r="R273" s="404"/>
      <c r="S273" s="405"/>
      <c r="T273" s="401"/>
      <c r="U273" s="403"/>
      <c r="V273" s="404"/>
      <c r="W273" s="405"/>
      <c r="X273" s="401"/>
      <c r="Y273" s="403"/>
      <c r="Z273" s="404"/>
      <c r="AA273" s="405"/>
      <c r="AB273" s="401"/>
      <c r="AC273" s="403"/>
      <c r="AD273" s="404"/>
      <c r="AE273" s="405"/>
      <c r="AF273" s="401"/>
      <c r="AG273" s="403"/>
      <c r="AH273" s="404"/>
      <c r="AI273" s="405"/>
      <c r="AJ273" s="401"/>
      <c r="AK273" s="395"/>
      <c r="AL273" s="317"/>
      <c r="AM273" s="394"/>
      <c r="AN273" s="396"/>
      <c r="AO273" s="200"/>
      <c r="AP273" s="200"/>
    </row>
    <row r="274">
      <c r="A274" s="395"/>
      <c r="B274" s="317"/>
      <c r="C274" s="394"/>
      <c r="D274" s="396"/>
      <c r="E274" s="395"/>
      <c r="F274" s="317"/>
      <c r="G274" s="394"/>
      <c r="H274" s="396"/>
      <c r="I274" s="395"/>
      <c r="J274" s="317"/>
      <c r="K274" s="394"/>
      <c r="L274" s="396"/>
      <c r="M274" s="395"/>
      <c r="N274" s="317"/>
      <c r="O274" s="394"/>
      <c r="P274" s="396"/>
      <c r="Q274" s="403"/>
      <c r="R274" s="404"/>
      <c r="S274" s="405"/>
      <c r="T274" s="401"/>
      <c r="U274" s="403"/>
      <c r="V274" s="404"/>
      <c r="W274" s="405"/>
      <c r="X274" s="401"/>
      <c r="Y274" s="403"/>
      <c r="Z274" s="404"/>
      <c r="AA274" s="405"/>
      <c r="AB274" s="401"/>
      <c r="AC274" s="403"/>
      <c r="AD274" s="404"/>
      <c r="AE274" s="405"/>
      <c r="AF274" s="401"/>
      <c r="AG274" s="403"/>
      <c r="AH274" s="404"/>
      <c r="AI274" s="405"/>
      <c r="AJ274" s="401"/>
      <c r="AK274" s="395"/>
      <c r="AL274" s="317"/>
      <c r="AM274" s="394"/>
      <c r="AN274" s="396"/>
      <c r="AO274" s="200"/>
      <c r="AP274" s="200"/>
    </row>
    <row r="275">
      <c r="A275" s="395"/>
      <c r="B275" s="317"/>
      <c r="C275" s="394"/>
      <c r="D275" s="396"/>
      <c r="E275" s="395"/>
      <c r="F275" s="317"/>
      <c r="G275" s="394"/>
      <c r="H275" s="396"/>
      <c r="I275" s="395"/>
      <c r="J275" s="317"/>
      <c r="K275" s="394"/>
      <c r="L275" s="396"/>
      <c r="M275" s="395"/>
      <c r="N275" s="317"/>
      <c r="O275" s="394"/>
      <c r="P275" s="396"/>
      <c r="Q275" s="403"/>
      <c r="R275" s="404"/>
      <c r="S275" s="405"/>
      <c r="T275" s="401"/>
      <c r="U275" s="403"/>
      <c r="V275" s="404"/>
      <c r="W275" s="405"/>
      <c r="X275" s="401"/>
      <c r="Y275" s="403"/>
      <c r="Z275" s="404"/>
      <c r="AA275" s="405"/>
      <c r="AB275" s="401"/>
      <c r="AC275" s="403"/>
      <c r="AD275" s="404"/>
      <c r="AE275" s="405"/>
      <c r="AF275" s="401"/>
      <c r="AG275" s="403"/>
      <c r="AH275" s="404"/>
      <c r="AI275" s="405"/>
      <c r="AJ275" s="401"/>
      <c r="AK275" s="395"/>
      <c r="AL275" s="317"/>
      <c r="AM275" s="394"/>
      <c r="AN275" s="396"/>
      <c r="AO275" s="200"/>
      <c r="AP275" s="200"/>
    </row>
    <row r="276">
      <c r="A276" s="395"/>
      <c r="B276" s="317"/>
      <c r="C276" s="394"/>
      <c r="D276" s="396"/>
      <c r="E276" s="395"/>
      <c r="F276" s="317"/>
      <c r="G276" s="394"/>
      <c r="H276" s="396"/>
      <c r="I276" s="395"/>
      <c r="J276" s="317"/>
      <c r="K276" s="394"/>
      <c r="L276" s="396"/>
      <c r="M276" s="395"/>
      <c r="N276" s="317"/>
      <c r="O276" s="394"/>
      <c r="P276" s="396"/>
      <c r="Q276" s="403"/>
      <c r="R276" s="404"/>
      <c r="S276" s="405"/>
      <c r="T276" s="401"/>
      <c r="U276" s="403"/>
      <c r="V276" s="404"/>
      <c r="W276" s="405"/>
      <c r="X276" s="401"/>
      <c r="Y276" s="403"/>
      <c r="Z276" s="404"/>
      <c r="AA276" s="405"/>
      <c r="AB276" s="401"/>
      <c r="AC276" s="403"/>
      <c r="AD276" s="404"/>
      <c r="AE276" s="405"/>
      <c r="AF276" s="401"/>
      <c r="AG276" s="403"/>
      <c r="AH276" s="404"/>
      <c r="AI276" s="405"/>
      <c r="AJ276" s="401"/>
      <c r="AK276" s="395"/>
      <c r="AL276" s="317"/>
      <c r="AM276" s="394"/>
      <c r="AN276" s="396"/>
      <c r="AO276" s="200"/>
      <c r="AP276" s="200"/>
    </row>
    <row r="277">
      <c r="A277" s="395"/>
      <c r="B277" s="317"/>
      <c r="C277" s="394"/>
      <c r="D277" s="396"/>
      <c r="E277" s="395"/>
      <c r="F277" s="317"/>
      <c r="G277" s="394"/>
      <c r="H277" s="396"/>
      <c r="I277" s="395"/>
      <c r="J277" s="317"/>
      <c r="K277" s="394"/>
      <c r="L277" s="396"/>
      <c r="M277" s="395"/>
      <c r="N277" s="317"/>
      <c r="O277" s="394"/>
      <c r="P277" s="396"/>
      <c r="Q277" s="403"/>
      <c r="R277" s="404"/>
      <c r="S277" s="405"/>
      <c r="T277" s="401"/>
      <c r="U277" s="403"/>
      <c r="V277" s="404"/>
      <c r="W277" s="405"/>
      <c r="X277" s="401"/>
      <c r="Y277" s="403"/>
      <c r="Z277" s="404"/>
      <c r="AA277" s="405"/>
      <c r="AB277" s="401"/>
      <c r="AC277" s="403"/>
      <c r="AD277" s="404"/>
      <c r="AE277" s="405"/>
      <c r="AF277" s="401"/>
      <c r="AG277" s="403"/>
      <c r="AH277" s="404"/>
      <c r="AI277" s="405"/>
      <c r="AJ277" s="401"/>
      <c r="AK277" s="395"/>
      <c r="AL277" s="317"/>
      <c r="AM277" s="394"/>
      <c r="AN277" s="396"/>
      <c r="AO277" s="200"/>
      <c r="AP277" s="200"/>
    </row>
    <row r="278">
      <c r="A278" s="395"/>
      <c r="B278" s="317"/>
      <c r="C278" s="394"/>
      <c r="D278" s="396"/>
      <c r="E278" s="395"/>
      <c r="F278" s="317"/>
      <c r="G278" s="394"/>
      <c r="H278" s="396"/>
      <c r="I278" s="395"/>
      <c r="J278" s="317"/>
      <c r="K278" s="394"/>
      <c r="L278" s="396"/>
      <c r="M278" s="395"/>
      <c r="N278" s="317"/>
      <c r="O278" s="394"/>
      <c r="P278" s="396"/>
      <c r="Q278" s="403"/>
      <c r="R278" s="404"/>
      <c r="S278" s="405"/>
      <c r="T278" s="401"/>
      <c r="U278" s="403"/>
      <c r="V278" s="404"/>
      <c r="W278" s="405"/>
      <c r="X278" s="401"/>
      <c r="Y278" s="403"/>
      <c r="Z278" s="404"/>
      <c r="AA278" s="405"/>
      <c r="AB278" s="401"/>
      <c r="AC278" s="403"/>
      <c r="AD278" s="404"/>
      <c r="AE278" s="405"/>
      <c r="AF278" s="401"/>
      <c r="AG278" s="403"/>
      <c r="AH278" s="404"/>
      <c r="AI278" s="405"/>
      <c r="AJ278" s="401"/>
      <c r="AK278" s="395"/>
      <c r="AL278" s="317"/>
      <c r="AM278" s="394"/>
      <c r="AN278" s="396"/>
      <c r="AO278" s="200"/>
      <c r="AP278" s="200"/>
    </row>
    <row r="279">
      <c r="A279" s="395"/>
      <c r="B279" s="317"/>
      <c r="C279" s="394"/>
      <c r="D279" s="396"/>
      <c r="E279" s="395"/>
      <c r="F279" s="317"/>
      <c r="G279" s="394"/>
      <c r="H279" s="396"/>
      <c r="I279" s="395"/>
      <c r="J279" s="317"/>
      <c r="K279" s="394"/>
      <c r="L279" s="396"/>
      <c r="M279" s="395"/>
      <c r="N279" s="317"/>
      <c r="O279" s="394"/>
      <c r="P279" s="396"/>
      <c r="Q279" s="403"/>
      <c r="R279" s="404"/>
      <c r="S279" s="405"/>
      <c r="T279" s="401"/>
      <c r="U279" s="403"/>
      <c r="V279" s="404"/>
      <c r="W279" s="405"/>
      <c r="X279" s="401"/>
      <c r="Y279" s="403"/>
      <c r="Z279" s="404"/>
      <c r="AA279" s="405"/>
      <c r="AB279" s="401"/>
      <c r="AC279" s="403"/>
      <c r="AD279" s="404"/>
      <c r="AE279" s="405"/>
      <c r="AF279" s="401"/>
      <c r="AG279" s="403"/>
      <c r="AH279" s="404"/>
      <c r="AI279" s="405"/>
      <c r="AJ279" s="401"/>
      <c r="AK279" s="395"/>
      <c r="AL279" s="317"/>
      <c r="AM279" s="394"/>
      <c r="AN279" s="396"/>
      <c r="AO279" s="200"/>
      <c r="AP279" s="200"/>
    </row>
    <row r="280">
      <c r="A280" s="395"/>
      <c r="B280" s="317"/>
      <c r="C280" s="394"/>
      <c r="D280" s="396"/>
      <c r="E280" s="395"/>
      <c r="F280" s="317"/>
      <c r="G280" s="394"/>
      <c r="H280" s="396"/>
      <c r="I280" s="395"/>
      <c r="J280" s="317"/>
      <c r="K280" s="394"/>
      <c r="L280" s="396"/>
      <c r="M280" s="395"/>
      <c r="N280" s="317"/>
      <c r="O280" s="394"/>
      <c r="P280" s="396"/>
      <c r="Q280" s="403"/>
      <c r="R280" s="404"/>
      <c r="S280" s="405"/>
      <c r="T280" s="401"/>
      <c r="U280" s="403"/>
      <c r="V280" s="404"/>
      <c r="W280" s="405"/>
      <c r="X280" s="401"/>
      <c r="Y280" s="403"/>
      <c r="Z280" s="404"/>
      <c r="AA280" s="405"/>
      <c r="AB280" s="401"/>
      <c r="AC280" s="403"/>
      <c r="AD280" s="404"/>
      <c r="AE280" s="405"/>
      <c r="AF280" s="401"/>
      <c r="AG280" s="403"/>
      <c r="AH280" s="404"/>
      <c r="AI280" s="405"/>
      <c r="AJ280" s="401"/>
      <c r="AK280" s="395"/>
      <c r="AL280" s="317"/>
      <c r="AM280" s="394"/>
      <c r="AN280" s="396"/>
      <c r="AO280" s="200"/>
      <c r="AP280" s="200"/>
    </row>
    <row r="281">
      <c r="A281" s="395"/>
      <c r="B281" s="317"/>
      <c r="C281" s="394"/>
      <c r="D281" s="396"/>
      <c r="E281" s="395"/>
      <c r="F281" s="317"/>
      <c r="G281" s="394"/>
      <c r="H281" s="396"/>
      <c r="I281" s="395"/>
      <c r="J281" s="317"/>
      <c r="K281" s="394"/>
      <c r="L281" s="396"/>
      <c r="M281" s="395"/>
      <c r="N281" s="317"/>
      <c r="O281" s="394"/>
      <c r="P281" s="396"/>
      <c r="Q281" s="403"/>
      <c r="R281" s="404"/>
      <c r="S281" s="405"/>
      <c r="T281" s="401"/>
      <c r="U281" s="403"/>
      <c r="V281" s="404"/>
      <c r="W281" s="405"/>
      <c r="X281" s="401"/>
      <c r="Y281" s="403"/>
      <c r="Z281" s="404"/>
      <c r="AA281" s="405"/>
      <c r="AB281" s="401"/>
      <c r="AC281" s="403"/>
      <c r="AD281" s="404"/>
      <c r="AE281" s="405"/>
      <c r="AF281" s="401"/>
      <c r="AG281" s="403"/>
      <c r="AH281" s="404"/>
      <c r="AI281" s="405"/>
      <c r="AJ281" s="401"/>
      <c r="AK281" s="395"/>
      <c r="AL281" s="317"/>
      <c r="AM281" s="394"/>
      <c r="AN281" s="396"/>
      <c r="AO281" s="200"/>
      <c r="AP281" s="200"/>
    </row>
    <row r="282">
      <c r="A282" s="395"/>
      <c r="B282" s="317"/>
      <c r="C282" s="394"/>
      <c r="D282" s="396"/>
      <c r="E282" s="395"/>
      <c r="F282" s="317"/>
      <c r="G282" s="394"/>
      <c r="H282" s="396"/>
      <c r="I282" s="395"/>
      <c r="J282" s="317"/>
      <c r="K282" s="394"/>
      <c r="L282" s="396"/>
      <c r="M282" s="395"/>
      <c r="N282" s="317"/>
      <c r="O282" s="394"/>
      <c r="P282" s="396"/>
      <c r="Q282" s="403"/>
      <c r="R282" s="404"/>
      <c r="S282" s="405"/>
      <c r="T282" s="401"/>
      <c r="U282" s="403"/>
      <c r="V282" s="404"/>
      <c r="W282" s="405"/>
      <c r="X282" s="401"/>
      <c r="Y282" s="403"/>
      <c r="Z282" s="404"/>
      <c r="AA282" s="405"/>
      <c r="AB282" s="401"/>
      <c r="AC282" s="403"/>
      <c r="AD282" s="404"/>
      <c r="AE282" s="405"/>
      <c r="AF282" s="401"/>
      <c r="AG282" s="403"/>
      <c r="AH282" s="404"/>
      <c r="AI282" s="405"/>
      <c r="AJ282" s="401"/>
      <c r="AK282" s="395"/>
      <c r="AL282" s="317"/>
      <c r="AM282" s="394"/>
      <c r="AN282" s="396"/>
      <c r="AO282" s="200"/>
      <c r="AP282" s="200"/>
    </row>
    <row r="283">
      <c r="A283" s="395"/>
      <c r="B283" s="317"/>
      <c r="C283" s="394"/>
      <c r="D283" s="396"/>
      <c r="E283" s="395"/>
      <c r="F283" s="317"/>
      <c r="G283" s="394"/>
      <c r="H283" s="396"/>
      <c r="I283" s="395"/>
      <c r="J283" s="317"/>
      <c r="K283" s="394"/>
      <c r="L283" s="396"/>
      <c r="M283" s="395"/>
      <c r="N283" s="317"/>
      <c r="O283" s="394"/>
      <c r="P283" s="396"/>
      <c r="Q283" s="403"/>
      <c r="R283" s="404"/>
      <c r="S283" s="405"/>
      <c r="T283" s="401"/>
      <c r="U283" s="403"/>
      <c r="V283" s="404"/>
      <c r="W283" s="405"/>
      <c r="X283" s="401"/>
      <c r="Y283" s="403"/>
      <c r="Z283" s="404"/>
      <c r="AA283" s="405"/>
      <c r="AB283" s="401"/>
      <c r="AC283" s="403"/>
      <c r="AD283" s="404"/>
      <c r="AE283" s="405"/>
      <c r="AF283" s="401"/>
      <c r="AG283" s="292"/>
      <c r="AH283" s="404"/>
      <c r="AI283" s="405"/>
      <c r="AJ283" s="401"/>
      <c r="AK283" s="395"/>
      <c r="AL283" s="317"/>
      <c r="AM283" s="394"/>
      <c r="AN283" s="396"/>
      <c r="AO283" s="200"/>
      <c r="AP283" s="200"/>
    </row>
    <row r="284">
      <c r="A284" s="395"/>
      <c r="B284" s="317"/>
      <c r="C284" s="394"/>
      <c r="D284" s="396"/>
      <c r="E284" s="395"/>
      <c r="F284" s="317"/>
      <c r="G284" s="394"/>
      <c r="H284" s="396"/>
      <c r="I284" s="395"/>
      <c r="J284" s="317"/>
      <c r="K284" s="394"/>
      <c r="L284" s="396"/>
      <c r="M284" s="395"/>
      <c r="N284" s="317"/>
      <c r="O284" s="394"/>
      <c r="P284" s="396"/>
      <c r="Q284" s="403"/>
      <c r="R284" s="404"/>
      <c r="S284" s="405"/>
      <c r="T284" s="401"/>
      <c r="U284" s="403"/>
      <c r="V284" s="404"/>
      <c r="W284" s="405"/>
      <c r="X284" s="401"/>
      <c r="Y284" s="403"/>
      <c r="Z284" s="404"/>
      <c r="AA284" s="405"/>
      <c r="AB284" s="401"/>
      <c r="AC284" s="403"/>
      <c r="AD284" s="404"/>
      <c r="AE284" s="405"/>
      <c r="AF284" s="401"/>
      <c r="AG284" s="292"/>
      <c r="AH284" s="404"/>
      <c r="AI284" s="405"/>
      <c r="AJ284" s="401"/>
      <c r="AK284" s="395"/>
      <c r="AL284" s="317"/>
      <c r="AM284" s="394"/>
      <c r="AN284" s="396"/>
      <c r="AO284" s="200"/>
      <c r="AP284" s="200"/>
    </row>
    <row r="285">
      <c r="A285" s="395"/>
      <c r="B285" s="317"/>
      <c r="C285" s="394"/>
      <c r="D285" s="396"/>
      <c r="E285" s="395"/>
      <c r="F285" s="317"/>
      <c r="G285" s="394"/>
      <c r="H285" s="396"/>
      <c r="I285" s="395"/>
      <c r="J285" s="317"/>
      <c r="K285" s="394"/>
      <c r="L285" s="396"/>
      <c r="M285" s="395"/>
      <c r="N285" s="317"/>
      <c r="O285" s="394"/>
      <c r="P285" s="396"/>
      <c r="Q285" s="403"/>
      <c r="R285" s="404"/>
      <c r="S285" s="405"/>
      <c r="T285" s="401"/>
      <c r="U285" s="403"/>
      <c r="V285" s="404"/>
      <c r="W285" s="405"/>
      <c r="X285" s="401"/>
      <c r="Y285" s="403"/>
      <c r="Z285" s="404"/>
      <c r="AA285" s="405"/>
      <c r="AB285" s="401"/>
      <c r="AC285" s="403"/>
      <c r="AD285" s="404"/>
      <c r="AE285" s="405"/>
      <c r="AF285" s="401"/>
      <c r="AG285" s="292"/>
      <c r="AH285" s="404"/>
      <c r="AI285" s="405"/>
      <c r="AJ285" s="401"/>
      <c r="AK285" s="395"/>
      <c r="AL285" s="317"/>
      <c r="AM285" s="394"/>
      <c r="AN285" s="396"/>
      <c r="AO285" s="200"/>
      <c r="AP285" s="200"/>
    </row>
    <row r="286">
      <c r="A286" s="395"/>
      <c r="B286" s="317"/>
      <c r="C286" s="394"/>
      <c r="D286" s="396"/>
      <c r="E286" s="395"/>
      <c r="F286" s="317"/>
      <c r="G286" s="394"/>
      <c r="H286" s="396"/>
      <c r="I286" s="395"/>
      <c r="J286" s="317"/>
      <c r="K286" s="394"/>
      <c r="L286" s="396"/>
      <c r="M286" s="395"/>
      <c r="N286" s="317"/>
      <c r="O286" s="394"/>
      <c r="P286" s="396"/>
      <c r="Q286" s="403"/>
      <c r="R286" s="404"/>
      <c r="S286" s="405"/>
      <c r="T286" s="401"/>
      <c r="U286" s="403"/>
      <c r="V286" s="404"/>
      <c r="W286" s="405"/>
      <c r="X286" s="401"/>
      <c r="Y286" s="403"/>
      <c r="Z286" s="404"/>
      <c r="AA286" s="405"/>
      <c r="AB286" s="401"/>
      <c r="AC286" s="403"/>
      <c r="AD286" s="404"/>
      <c r="AE286" s="405"/>
      <c r="AF286" s="401"/>
      <c r="AG286" s="292"/>
      <c r="AH286" s="404"/>
      <c r="AI286" s="405"/>
      <c r="AJ286" s="401"/>
      <c r="AK286" s="395"/>
      <c r="AL286" s="317"/>
      <c r="AM286" s="394"/>
      <c r="AN286" s="396"/>
      <c r="AO286" s="200"/>
      <c r="AP286" s="200"/>
    </row>
    <row r="287">
      <c r="A287" s="395"/>
      <c r="B287" s="317"/>
      <c r="C287" s="394"/>
      <c r="D287" s="396"/>
      <c r="E287" s="395"/>
      <c r="F287" s="317"/>
      <c r="G287" s="394"/>
      <c r="H287" s="396"/>
      <c r="I287" s="395"/>
      <c r="J287" s="317"/>
      <c r="K287" s="394"/>
      <c r="L287" s="396"/>
      <c r="M287" s="395"/>
      <c r="N287" s="317"/>
      <c r="O287" s="394"/>
      <c r="P287" s="396"/>
      <c r="Q287" s="403"/>
      <c r="R287" s="404"/>
      <c r="S287" s="405"/>
      <c r="T287" s="401"/>
      <c r="U287" s="403"/>
      <c r="V287" s="404"/>
      <c r="W287" s="405"/>
      <c r="X287" s="401"/>
      <c r="Y287" s="403"/>
      <c r="Z287" s="404"/>
      <c r="AA287" s="405"/>
      <c r="AB287" s="401"/>
      <c r="AC287" s="403"/>
      <c r="AD287" s="404"/>
      <c r="AE287" s="405"/>
      <c r="AF287" s="401"/>
      <c r="AG287" s="292"/>
      <c r="AH287" s="404"/>
      <c r="AI287" s="405"/>
      <c r="AJ287" s="401"/>
      <c r="AK287" s="395"/>
      <c r="AL287" s="317"/>
      <c r="AM287" s="394"/>
      <c r="AN287" s="396"/>
      <c r="AO287" s="200"/>
      <c r="AP287" s="200"/>
    </row>
    <row r="288">
      <c r="A288" s="395"/>
      <c r="B288" s="317"/>
      <c r="C288" s="394"/>
      <c r="D288" s="396"/>
      <c r="E288" s="395"/>
      <c r="F288" s="317"/>
      <c r="G288" s="394"/>
      <c r="H288" s="396"/>
      <c r="I288" s="395"/>
      <c r="J288" s="317"/>
      <c r="K288" s="394"/>
      <c r="L288" s="396"/>
      <c r="M288" s="395"/>
      <c r="N288" s="317"/>
      <c r="O288" s="394"/>
      <c r="P288" s="396"/>
      <c r="Q288" s="403"/>
      <c r="R288" s="404"/>
      <c r="S288" s="405"/>
      <c r="T288" s="401"/>
      <c r="U288" s="403"/>
      <c r="V288" s="404"/>
      <c r="W288" s="405"/>
      <c r="X288" s="401"/>
      <c r="Y288" s="403"/>
      <c r="Z288" s="404"/>
      <c r="AA288" s="405"/>
      <c r="AB288" s="401"/>
      <c r="AC288" s="403"/>
      <c r="AD288" s="404"/>
      <c r="AE288" s="405"/>
      <c r="AF288" s="401"/>
      <c r="AG288" s="292"/>
      <c r="AH288" s="404"/>
      <c r="AI288" s="405"/>
      <c r="AJ288" s="401"/>
      <c r="AK288" s="395"/>
      <c r="AL288" s="317"/>
      <c r="AM288" s="394"/>
      <c r="AN288" s="396"/>
      <c r="AO288" s="200"/>
      <c r="AP288" s="200"/>
    </row>
    <row r="289">
      <c r="A289" s="395"/>
      <c r="B289" s="317"/>
      <c r="C289" s="394"/>
      <c r="D289" s="396"/>
      <c r="E289" s="395"/>
      <c r="F289" s="317"/>
      <c r="G289" s="394"/>
      <c r="H289" s="396"/>
      <c r="I289" s="395"/>
      <c r="J289" s="317"/>
      <c r="K289" s="394"/>
      <c r="L289" s="396"/>
      <c r="M289" s="395"/>
      <c r="N289" s="317"/>
      <c r="O289" s="394"/>
      <c r="P289" s="396"/>
      <c r="Q289" s="403"/>
      <c r="R289" s="404"/>
      <c r="S289" s="405"/>
      <c r="T289" s="401"/>
      <c r="U289" s="403"/>
      <c r="V289" s="404"/>
      <c r="W289" s="405"/>
      <c r="X289" s="401"/>
      <c r="Y289" s="403"/>
      <c r="Z289" s="404"/>
      <c r="AA289" s="405"/>
      <c r="AB289" s="401"/>
      <c r="AC289" s="403"/>
      <c r="AD289" s="404"/>
      <c r="AE289" s="405"/>
      <c r="AF289" s="401"/>
      <c r="AG289" s="292"/>
      <c r="AH289" s="404"/>
      <c r="AI289" s="405"/>
      <c r="AJ289" s="401"/>
      <c r="AK289" s="395"/>
      <c r="AL289" s="317"/>
      <c r="AM289" s="394"/>
      <c r="AN289" s="396"/>
      <c r="AO289" s="200"/>
      <c r="AP289" s="200"/>
    </row>
    <row r="290">
      <c r="A290" s="395"/>
      <c r="B290" s="317"/>
      <c r="C290" s="394"/>
      <c r="D290" s="396"/>
      <c r="E290" s="395"/>
      <c r="F290" s="317"/>
      <c r="G290" s="394"/>
      <c r="H290" s="396"/>
      <c r="I290" s="395"/>
      <c r="J290" s="317"/>
      <c r="K290" s="394"/>
      <c r="L290" s="396"/>
      <c r="M290" s="395"/>
      <c r="N290" s="317"/>
      <c r="O290" s="394"/>
      <c r="P290" s="396"/>
      <c r="Q290" s="403"/>
      <c r="R290" s="404"/>
      <c r="S290" s="405"/>
      <c r="T290" s="401"/>
      <c r="U290" s="403"/>
      <c r="V290" s="404"/>
      <c r="W290" s="405"/>
      <c r="X290" s="401"/>
      <c r="Y290" s="403"/>
      <c r="Z290" s="404"/>
      <c r="AA290" s="405"/>
      <c r="AB290" s="401"/>
      <c r="AC290" s="403"/>
      <c r="AD290" s="404"/>
      <c r="AE290" s="405"/>
      <c r="AF290" s="401"/>
      <c r="AG290" s="292"/>
      <c r="AH290" s="404"/>
      <c r="AI290" s="405"/>
      <c r="AJ290" s="401"/>
      <c r="AK290" s="395"/>
      <c r="AL290" s="317"/>
      <c r="AM290" s="394"/>
      <c r="AN290" s="396"/>
      <c r="AO290" s="200"/>
      <c r="AP290" s="200"/>
    </row>
    <row r="291">
      <c r="A291" s="395"/>
      <c r="B291" s="317"/>
      <c r="C291" s="394"/>
      <c r="D291" s="396"/>
      <c r="E291" s="395"/>
      <c r="F291" s="317"/>
      <c r="G291" s="394"/>
      <c r="H291" s="396"/>
      <c r="I291" s="395"/>
      <c r="J291" s="317"/>
      <c r="K291" s="394"/>
      <c r="L291" s="396"/>
      <c r="M291" s="395"/>
      <c r="N291" s="317"/>
      <c r="O291" s="394"/>
      <c r="P291" s="396"/>
      <c r="Q291" s="403"/>
      <c r="R291" s="404"/>
      <c r="S291" s="405"/>
      <c r="T291" s="401"/>
      <c r="U291" s="403"/>
      <c r="V291" s="404"/>
      <c r="W291" s="405"/>
      <c r="X291" s="401"/>
      <c r="Y291" s="403"/>
      <c r="Z291" s="404"/>
      <c r="AA291" s="405"/>
      <c r="AB291" s="401"/>
      <c r="AC291" s="403"/>
      <c r="AD291" s="404"/>
      <c r="AE291" s="405"/>
      <c r="AF291" s="401"/>
      <c r="AG291" s="292"/>
      <c r="AH291" s="404"/>
      <c r="AI291" s="405"/>
      <c r="AJ291" s="401"/>
      <c r="AK291" s="395"/>
      <c r="AL291" s="317"/>
      <c r="AM291" s="394"/>
      <c r="AN291" s="396"/>
      <c r="AO291" s="200"/>
      <c r="AP291" s="200"/>
    </row>
    <row r="292">
      <c r="A292" s="395"/>
      <c r="B292" s="317"/>
      <c r="C292" s="394"/>
      <c r="D292" s="396"/>
      <c r="E292" s="395"/>
      <c r="F292" s="317"/>
      <c r="G292" s="394"/>
      <c r="H292" s="396"/>
      <c r="I292" s="395"/>
      <c r="J292" s="317"/>
      <c r="K292" s="394"/>
      <c r="L292" s="396"/>
      <c r="M292" s="395"/>
      <c r="N292" s="317"/>
      <c r="O292" s="394"/>
      <c r="P292" s="396"/>
      <c r="Q292" s="403"/>
      <c r="R292" s="404"/>
      <c r="S292" s="405"/>
      <c r="T292" s="401"/>
      <c r="U292" s="403"/>
      <c r="V292" s="404"/>
      <c r="W292" s="405"/>
      <c r="X292" s="401"/>
      <c r="Y292" s="403"/>
      <c r="Z292" s="404"/>
      <c r="AA292" s="405"/>
      <c r="AB292" s="401"/>
      <c r="AC292" s="403"/>
      <c r="AD292" s="404"/>
      <c r="AE292" s="405"/>
      <c r="AF292" s="401"/>
      <c r="AG292" s="292"/>
      <c r="AH292" s="404"/>
      <c r="AI292" s="405"/>
      <c r="AJ292" s="401"/>
      <c r="AK292" s="395"/>
      <c r="AL292" s="317"/>
      <c r="AM292" s="394"/>
      <c r="AN292" s="396"/>
      <c r="AO292" s="200"/>
      <c r="AP292" s="200"/>
    </row>
    <row r="293">
      <c r="A293" s="395"/>
      <c r="B293" s="317"/>
      <c r="C293" s="394"/>
      <c r="D293" s="396"/>
      <c r="E293" s="395"/>
      <c r="F293" s="317"/>
      <c r="G293" s="394"/>
      <c r="H293" s="396"/>
      <c r="I293" s="395"/>
      <c r="J293" s="317"/>
      <c r="K293" s="394"/>
      <c r="L293" s="396"/>
      <c r="M293" s="395"/>
      <c r="N293" s="317"/>
      <c r="O293" s="394"/>
      <c r="P293" s="396"/>
      <c r="Q293" s="403"/>
      <c r="R293" s="404"/>
      <c r="S293" s="405"/>
      <c r="T293" s="401"/>
      <c r="U293" s="403"/>
      <c r="V293" s="404"/>
      <c r="W293" s="405"/>
      <c r="X293" s="401"/>
      <c r="Y293" s="403"/>
      <c r="Z293" s="404"/>
      <c r="AA293" s="405"/>
      <c r="AB293" s="401"/>
      <c r="AC293" s="403"/>
      <c r="AD293" s="404"/>
      <c r="AE293" s="405"/>
      <c r="AF293" s="401"/>
      <c r="AG293" s="292"/>
      <c r="AH293" s="404"/>
      <c r="AI293" s="405"/>
      <c r="AJ293" s="401"/>
      <c r="AK293" s="395"/>
      <c r="AL293" s="317"/>
      <c r="AM293" s="394"/>
      <c r="AN293" s="396"/>
      <c r="AO293" s="200"/>
      <c r="AP293" s="200"/>
    </row>
    <row r="294">
      <c r="A294" s="395"/>
      <c r="B294" s="317"/>
      <c r="C294" s="394"/>
      <c r="D294" s="396"/>
      <c r="E294" s="395"/>
      <c r="F294" s="317"/>
      <c r="G294" s="394"/>
      <c r="H294" s="396"/>
      <c r="I294" s="395"/>
      <c r="J294" s="317"/>
      <c r="K294" s="394"/>
      <c r="L294" s="396"/>
      <c r="M294" s="395"/>
      <c r="N294" s="317"/>
      <c r="O294" s="394"/>
      <c r="P294" s="396"/>
      <c r="Q294" s="403"/>
      <c r="R294" s="404"/>
      <c r="S294" s="405"/>
      <c r="T294" s="401"/>
      <c r="U294" s="403"/>
      <c r="V294" s="404"/>
      <c r="W294" s="405"/>
      <c r="X294" s="401"/>
      <c r="Y294" s="403"/>
      <c r="Z294" s="404"/>
      <c r="AA294" s="405"/>
      <c r="AB294" s="401"/>
      <c r="AC294" s="403"/>
      <c r="AD294" s="404"/>
      <c r="AE294" s="405"/>
      <c r="AF294" s="401"/>
      <c r="AG294" s="292"/>
      <c r="AH294" s="292"/>
      <c r="AI294" s="292"/>
      <c r="AJ294" s="292"/>
      <c r="AK294" s="395"/>
      <c r="AL294" s="317"/>
      <c r="AM294" s="394"/>
      <c r="AN294" s="396"/>
      <c r="AO294" s="200"/>
      <c r="AP294" s="200"/>
    </row>
    <row r="295">
      <c r="A295" s="395"/>
      <c r="B295" s="317"/>
      <c r="C295" s="394"/>
      <c r="D295" s="396"/>
      <c r="E295" s="395"/>
      <c r="F295" s="317"/>
      <c r="G295" s="394"/>
      <c r="H295" s="396"/>
      <c r="I295" s="395"/>
      <c r="J295" s="317"/>
      <c r="K295" s="394"/>
      <c r="L295" s="396"/>
      <c r="M295" s="395"/>
      <c r="N295" s="317"/>
      <c r="O295" s="394"/>
      <c r="P295" s="396"/>
      <c r="Q295" s="403"/>
      <c r="R295" s="404"/>
      <c r="S295" s="405"/>
      <c r="T295" s="401"/>
      <c r="U295" s="403"/>
      <c r="V295" s="404"/>
      <c r="W295" s="405"/>
      <c r="X295" s="401"/>
      <c r="Y295" s="403"/>
      <c r="Z295" s="404"/>
      <c r="AA295" s="405"/>
      <c r="AB295" s="401"/>
      <c r="AC295" s="403"/>
      <c r="AD295" s="404"/>
      <c r="AE295" s="405"/>
      <c r="AF295" s="401"/>
      <c r="AG295" s="292"/>
      <c r="AH295" s="292"/>
      <c r="AI295" s="292"/>
      <c r="AJ295" s="292"/>
      <c r="AK295" s="395"/>
      <c r="AL295" s="317"/>
      <c r="AM295" s="394"/>
      <c r="AN295" s="396"/>
      <c r="AO295" s="200"/>
      <c r="AP295" s="200"/>
    </row>
    <row r="296">
      <c r="A296" s="395"/>
      <c r="B296" s="317"/>
      <c r="C296" s="394"/>
      <c r="D296" s="396"/>
      <c r="E296" s="395"/>
      <c r="F296" s="317"/>
      <c r="G296" s="394"/>
      <c r="H296" s="396"/>
      <c r="I296" s="395"/>
      <c r="J296" s="317"/>
      <c r="K296" s="394"/>
      <c r="L296" s="396"/>
      <c r="M296" s="395"/>
      <c r="N296" s="317"/>
      <c r="O296" s="394"/>
      <c r="P296" s="396"/>
      <c r="Q296" s="403"/>
      <c r="R296" s="404"/>
      <c r="S296" s="405"/>
      <c r="T296" s="401"/>
      <c r="U296" s="403"/>
      <c r="V296" s="404"/>
      <c r="W296" s="405"/>
      <c r="X296" s="401"/>
      <c r="Y296" s="403"/>
      <c r="Z296" s="404"/>
      <c r="AA296" s="405"/>
      <c r="AB296" s="401"/>
      <c r="AC296" s="403"/>
      <c r="AD296" s="404"/>
      <c r="AE296" s="405"/>
      <c r="AF296" s="401"/>
      <c r="AG296" s="292"/>
      <c r="AH296" s="292"/>
      <c r="AI296" s="292"/>
      <c r="AJ296" s="292"/>
      <c r="AK296" s="395"/>
      <c r="AL296" s="317"/>
      <c r="AM296" s="394"/>
      <c r="AN296" s="396"/>
      <c r="AO296" s="200"/>
      <c r="AP296" s="200"/>
    </row>
    <row r="297">
      <c r="A297" s="395"/>
      <c r="B297" s="317"/>
      <c r="C297" s="394"/>
      <c r="D297" s="396"/>
      <c r="E297" s="395"/>
      <c r="F297" s="317"/>
      <c r="G297" s="394"/>
      <c r="H297" s="396"/>
      <c r="I297" s="395"/>
      <c r="J297" s="317"/>
      <c r="K297" s="394"/>
      <c r="L297" s="396"/>
      <c r="M297" s="395"/>
      <c r="N297" s="317"/>
      <c r="O297" s="394"/>
      <c r="P297" s="396"/>
      <c r="Q297" s="403"/>
      <c r="R297" s="404"/>
      <c r="S297" s="405"/>
      <c r="T297" s="401"/>
      <c r="U297" s="403"/>
      <c r="V297" s="404"/>
      <c r="W297" s="405"/>
      <c r="X297" s="401"/>
      <c r="Y297" s="403"/>
      <c r="Z297" s="404"/>
      <c r="AA297" s="405"/>
      <c r="AB297" s="401"/>
      <c r="AC297" s="403"/>
      <c r="AD297" s="404"/>
      <c r="AE297" s="405"/>
      <c r="AF297" s="401"/>
      <c r="AG297" s="292"/>
      <c r="AH297" s="292"/>
      <c r="AI297" s="292"/>
      <c r="AJ297" s="292"/>
      <c r="AK297" s="395"/>
      <c r="AL297" s="317"/>
      <c r="AM297" s="394"/>
      <c r="AN297" s="396"/>
      <c r="AO297" s="200"/>
      <c r="AP297" s="200"/>
    </row>
    <row r="298">
      <c r="A298" s="395"/>
      <c r="B298" s="317"/>
      <c r="C298" s="394"/>
      <c r="D298" s="396"/>
      <c r="E298" s="395"/>
      <c r="F298" s="317"/>
      <c r="G298" s="394"/>
      <c r="H298" s="396"/>
      <c r="I298" s="395"/>
      <c r="J298" s="317"/>
      <c r="K298" s="394"/>
      <c r="L298" s="396"/>
      <c r="M298" s="395"/>
      <c r="N298" s="317"/>
      <c r="O298" s="394"/>
      <c r="P298" s="396"/>
      <c r="Q298" s="403"/>
      <c r="R298" s="404"/>
      <c r="S298" s="405"/>
      <c r="T298" s="401"/>
      <c r="U298" s="403"/>
      <c r="V298" s="404"/>
      <c r="W298" s="405"/>
      <c r="X298" s="401"/>
      <c r="Y298" s="403"/>
      <c r="Z298" s="404"/>
      <c r="AA298" s="405"/>
      <c r="AB298" s="401"/>
      <c r="AC298" s="403"/>
      <c r="AD298" s="404"/>
      <c r="AE298" s="405"/>
      <c r="AF298" s="401"/>
      <c r="AG298" s="292"/>
      <c r="AH298" s="292"/>
      <c r="AI298" s="292"/>
      <c r="AJ298" s="292"/>
      <c r="AK298" s="395"/>
      <c r="AL298" s="317"/>
      <c r="AM298" s="394"/>
      <c r="AN298" s="396"/>
      <c r="AO298" s="200"/>
      <c r="AP298" s="200"/>
    </row>
    <row r="299">
      <c r="A299" s="395"/>
      <c r="B299" s="317"/>
      <c r="C299" s="394"/>
      <c r="D299" s="396"/>
      <c r="E299" s="395"/>
      <c r="F299" s="317"/>
      <c r="G299" s="394"/>
      <c r="H299" s="396"/>
      <c r="I299" s="395"/>
      <c r="J299" s="317"/>
      <c r="K299" s="394"/>
      <c r="L299" s="396"/>
      <c r="M299" s="395"/>
      <c r="N299" s="317"/>
      <c r="O299" s="394"/>
      <c r="P299" s="396"/>
      <c r="Q299" s="403"/>
      <c r="R299" s="404"/>
      <c r="S299" s="405"/>
      <c r="T299" s="401"/>
      <c r="U299" s="403"/>
      <c r="V299" s="404"/>
      <c r="W299" s="405"/>
      <c r="X299" s="401"/>
      <c r="Y299" s="403"/>
      <c r="Z299" s="404"/>
      <c r="AA299" s="405"/>
      <c r="AB299" s="401"/>
      <c r="AC299" s="403"/>
      <c r="AD299" s="404"/>
      <c r="AE299" s="405"/>
      <c r="AF299" s="401"/>
      <c r="AG299" s="292"/>
      <c r="AH299" s="292"/>
      <c r="AI299" s="292"/>
      <c r="AJ299" s="292"/>
      <c r="AK299" s="395"/>
      <c r="AL299" s="317"/>
      <c r="AM299" s="394"/>
      <c r="AN299" s="396"/>
      <c r="AO299" s="200"/>
      <c r="AP299" s="200"/>
    </row>
    <row r="300">
      <c r="A300" s="395"/>
      <c r="B300" s="317"/>
      <c r="C300" s="394"/>
      <c r="D300" s="396"/>
      <c r="E300" s="395"/>
      <c r="F300" s="317"/>
      <c r="G300" s="394"/>
      <c r="H300" s="396"/>
      <c r="I300" s="395"/>
      <c r="J300" s="317"/>
      <c r="K300" s="394"/>
      <c r="L300" s="396"/>
      <c r="M300" s="395"/>
      <c r="N300" s="317"/>
      <c r="O300" s="394"/>
      <c r="P300" s="396"/>
      <c r="Q300" s="403"/>
      <c r="R300" s="404"/>
      <c r="S300" s="405"/>
      <c r="T300" s="401"/>
      <c r="U300" s="403"/>
      <c r="V300" s="404"/>
      <c r="W300" s="405"/>
      <c r="X300" s="401"/>
      <c r="Y300" s="403"/>
      <c r="Z300" s="404"/>
      <c r="AA300" s="405"/>
      <c r="AB300" s="401"/>
      <c r="AC300" s="403"/>
      <c r="AD300" s="404"/>
      <c r="AE300" s="405"/>
      <c r="AF300" s="401"/>
      <c r="AG300" s="292"/>
      <c r="AH300" s="292"/>
      <c r="AI300" s="292"/>
      <c r="AJ300" s="292"/>
      <c r="AK300" s="395"/>
      <c r="AL300" s="317"/>
      <c r="AM300" s="394"/>
      <c r="AN300" s="396"/>
      <c r="AO300" s="200"/>
      <c r="AP300" s="200"/>
    </row>
    <row r="301">
      <c r="A301" s="395"/>
      <c r="B301" s="317"/>
      <c r="C301" s="394"/>
      <c r="D301" s="396"/>
      <c r="E301" s="395"/>
      <c r="F301" s="317"/>
      <c r="G301" s="394"/>
      <c r="H301" s="396"/>
      <c r="I301" s="395"/>
      <c r="J301" s="317"/>
      <c r="K301" s="394"/>
      <c r="L301" s="396"/>
      <c r="M301" s="395"/>
      <c r="N301" s="317"/>
      <c r="O301" s="394"/>
      <c r="P301" s="396"/>
      <c r="Q301" s="403"/>
      <c r="R301" s="404"/>
      <c r="S301" s="405"/>
      <c r="T301" s="401"/>
      <c r="U301" s="403"/>
      <c r="V301" s="404"/>
      <c r="W301" s="405"/>
      <c r="X301" s="401"/>
      <c r="Y301" s="403"/>
      <c r="Z301" s="404"/>
      <c r="AA301" s="405"/>
      <c r="AB301" s="401"/>
      <c r="AC301" s="403"/>
      <c r="AD301" s="404"/>
      <c r="AE301" s="405"/>
      <c r="AF301" s="401"/>
      <c r="AG301" s="292"/>
      <c r="AH301" s="292"/>
      <c r="AI301" s="292"/>
      <c r="AJ301" s="292"/>
      <c r="AK301" s="395"/>
      <c r="AL301" s="317"/>
      <c r="AM301" s="394"/>
      <c r="AN301" s="396"/>
      <c r="AO301" s="200"/>
      <c r="AP301" s="200"/>
    </row>
    <row r="302">
      <c r="A302" s="395"/>
      <c r="B302" s="317"/>
      <c r="C302" s="394"/>
      <c r="D302" s="396"/>
      <c r="E302" s="395"/>
      <c r="F302" s="317"/>
      <c r="G302" s="394"/>
      <c r="H302" s="396"/>
      <c r="I302" s="395"/>
      <c r="J302" s="317"/>
      <c r="K302" s="394"/>
      <c r="L302" s="396"/>
      <c r="M302" s="395"/>
      <c r="N302" s="317"/>
      <c r="O302" s="394"/>
      <c r="P302" s="396"/>
      <c r="Q302" s="403"/>
      <c r="R302" s="404"/>
      <c r="S302" s="405"/>
      <c r="T302" s="401"/>
      <c r="U302" s="403"/>
      <c r="V302" s="404"/>
      <c r="W302" s="405"/>
      <c r="X302" s="401"/>
      <c r="Y302" s="403"/>
      <c r="Z302" s="404"/>
      <c r="AA302" s="405"/>
      <c r="AB302" s="401"/>
      <c r="AC302" s="403"/>
      <c r="AD302" s="404"/>
      <c r="AE302" s="405"/>
      <c r="AF302" s="401"/>
      <c r="AG302" s="292"/>
      <c r="AH302" s="292"/>
      <c r="AI302" s="292"/>
      <c r="AJ302" s="292"/>
      <c r="AK302" s="395"/>
      <c r="AL302" s="317"/>
      <c r="AM302" s="394"/>
      <c r="AN302" s="396"/>
      <c r="AO302" s="200"/>
      <c r="AP302" s="200"/>
    </row>
    <row r="303">
      <c r="A303" s="395"/>
      <c r="B303" s="317"/>
      <c r="C303" s="394"/>
      <c r="D303" s="396"/>
      <c r="E303" s="395"/>
      <c r="F303" s="317"/>
      <c r="G303" s="394"/>
      <c r="H303" s="396"/>
      <c r="I303" s="395"/>
      <c r="J303" s="317"/>
      <c r="K303" s="394"/>
      <c r="L303" s="396"/>
      <c r="M303" s="395"/>
      <c r="N303" s="317"/>
      <c r="O303" s="394"/>
      <c r="P303" s="396"/>
      <c r="Q303" s="403"/>
      <c r="R303" s="404"/>
      <c r="S303" s="405"/>
      <c r="T303" s="401"/>
      <c r="U303" s="403"/>
      <c r="V303" s="404"/>
      <c r="W303" s="405"/>
      <c r="X303" s="401"/>
      <c r="Y303" s="403"/>
      <c r="Z303" s="404"/>
      <c r="AA303" s="405"/>
      <c r="AB303" s="401"/>
      <c r="AC303" s="403"/>
      <c r="AD303" s="404"/>
      <c r="AE303" s="405"/>
      <c r="AF303" s="401"/>
      <c r="AG303" s="292"/>
      <c r="AH303" s="292"/>
      <c r="AI303" s="292"/>
      <c r="AJ303" s="292"/>
      <c r="AK303" s="395"/>
      <c r="AL303" s="317"/>
      <c r="AM303" s="394"/>
      <c r="AN303" s="396"/>
      <c r="AO303" s="200"/>
      <c r="AP303" s="200"/>
    </row>
    <row r="304">
      <c r="A304" s="395"/>
      <c r="B304" s="317"/>
      <c r="C304" s="394"/>
      <c r="D304" s="396"/>
      <c r="E304" s="395"/>
      <c r="F304" s="317"/>
      <c r="G304" s="394"/>
      <c r="H304" s="396"/>
      <c r="I304" s="395"/>
      <c r="J304" s="317"/>
      <c r="K304" s="394"/>
      <c r="L304" s="396"/>
      <c r="M304" s="395"/>
      <c r="N304" s="317"/>
      <c r="O304" s="394"/>
      <c r="P304" s="396"/>
      <c r="Q304" s="403"/>
      <c r="R304" s="404"/>
      <c r="S304" s="405"/>
      <c r="T304" s="401"/>
      <c r="U304" s="403"/>
      <c r="V304" s="404"/>
      <c r="W304" s="405"/>
      <c r="X304" s="401"/>
      <c r="Y304" s="403"/>
      <c r="Z304" s="404"/>
      <c r="AA304" s="405"/>
      <c r="AB304" s="401"/>
      <c r="AC304" s="403"/>
      <c r="AD304" s="404"/>
      <c r="AE304" s="405"/>
      <c r="AF304" s="401"/>
      <c r="AG304" s="292"/>
      <c r="AH304" s="292"/>
      <c r="AI304" s="292"/>
      <c r="AJ304" s="292"/>
      <c r="AK304" s="395"/>
      <c r="AL304" s="317"/>
      <c r="AM304" s="394"/>
      <c r="AN304" s="396"/>
      <c r="AO304" s="200"/>
      <c r="AP304" s="200"/>
    </row>
    <row r="305">
      <c r="A305" s="395"/>
      <c r="B305" s="317"/>
      <c r="C305" s="394"/>
      <c r="D305" s="396"/>
      <c r="E305" s="395"/>
      <c r="F305" s="317"/>
      <c r="G305" s="394"/>
      <c r="H305" s="396"/>
      <c r="I305" s="395"/>
      <c r="J305" s="317"/>
      <c r="K305" s="394"/>
      <c r="L305" s="396"/>
      <c r="M305" s="395"/>
      <c r="N305" s="317"/>
      <c r="O305" s="394"/>
      <c r="P305" s="396"/>
      <c r="Q305" s="403"/>
      <c r="R305" s="404"/>
      <c r="S305" s="405"/>
      <c r="T305" s="401"/>
      <c r="U305" s="403"/>
      <c r="V305" s="404"/>
      <c r="W305" s="405"/>
      <c r="X305" s="401"/>
      <c r="Y305" s="403"/>
      <c r="Z305" s="404"/>
      <c r="AA305" s="405"/>
      <c r="AB305" s="401"/>
      <c r="AC305" s="403"/>
      <c r="AD305" s="404"/>
      <c r="AE305" s="405"/>
      <c r="AF305" s="401"/>
      <c r="AG305" s="292"/>
      <c r="AH305" s="292"/>
      <c r="AI305" s="292"/>
      <c r="AJ305" s="292"/>
      <c r="AK305" s="395"/>
      <c r="AL305" s="317"/>
      <c r="AM305" s="394"/>
      <c r="AN305" s="396"/>
      <c r="AO305" s="200"/>
      <c r="AP305" s="200"/>
    </row>
    <row r="306">
      <c r="A306" s="395"/>
      <c r="B306" s="317"/>
      <c r="C306" s="394"/>
      <c r="D306" s="396"/>
      <c r="E306" s="395"/>
      <c r="F306" s="317"/>
      <c r="G306" s="394"/>
      <c r="H306" s="396"/>
      <c r="I306" s="395"/>
      <c r="J306" s="317"/>
      <c r="K306" s="394"/>
      <c r="L306" s="396"/>
      <c r="M306" s="395"/>
      <c r="N306" s="317"/>
      <c r="O306" s="394"/>
      <c r="P306" s="396"/>
      <c r="Q306" s="403"/>
      <c r="R306" s="404"/>
      <c r="S306" s="405"/>
      <c r="T306" s="401"/>
      <c r="U306" s="403"/>
      <c r="V306" s="404"/>
      <c r="W306" s="405"/>
      <c r="X306" s="401"/>
      <c r="Y306" s="403"/>
      <c r="Z306" s="404"/>
      <c r="AA306" s="405"/>
      <c r="AB306" s="401"/>
      <c r="AC306" s="403"/>
      <c r="AD306" s="404"/>
      <c r="AE306" s="405"/>
      <c r="AF306" s="401"/>
      <c r="AG306" s="292"/>
      <c r="AH306" s="292"/>
      <c r="AI306" s="292"/>
      <c r="AJ306" s="292"/>
      <c r="AK306" s="395"/>
      <c r="AL306" s="317"/>
      <c r="AM306" s="394"/>
      <c r="AN306" s="396"/>
      <c r="AO306" s="200"/>
      <c r="AP306" s="200"/>
    </row>
    <row r="307">
      <c r="A307" s="395"/>
      <c r="B307" s="317"/>
      <c r="C307" s="394"/>
      <c r="D307" s="396"/>
      <c r="E307" s="395"/>
      <c r="F307" s="317"/>
      <c r="G307" s="394"/>
      <c r="H307" s="396"/>
      <c r="I307" s="395"/>
      <c r="J307" s="317"/>
      <c r="K307" s="394"/>
      <c r="L307" s="396"/>
      <c r="M307" s="395"/>
      <c r="N307" s="317"/>
      <c r="O307" s="394"/>
      <c r="P307" s="396"/>
      <c r="Q307" s="403"/>
      <c r="R307" s="404"/>
      <c r="S307" s="405"/>
      <c r="T307" s="401"/>
      <c r="U307" s="403"/>
      <c r="V307" s="404"/>
      <c r="W307" s="405"/>
      <c r="X307" s="401"/>
      <c r="Y307" s="403"/>
      <c r="Z307" s="404"/>
      <c r="AA307" s="405"/>
      <c r="AB307" s="401"/>
      <c r="AC307" s="403"/>
      <c r="AD307" s="404"/>
      <c r="AE307" s="405"/>
      <c r="AF307" s="401"/>
      <c r="AG307" s="292"/>
      <c r="AH307" s="292"/>
      <c r="AI307" s="292"/>
      <c r="AJ307" s="292"/>
      <c r="AK307" s="395"/>
      <c r="AL307" s="317"/>
      <c r="AM307" s="394"/>
      <c r="AN307" s="396"/>
      <c r="AO307" s="200"/>
      <c r="AP307" s="200"/>
    </row>
    <row r="308">
      <c r="A308" s="395"/>
      <c r="B308" s="317"/>
      <c r="C308" s="394"/>
      <c r="D308" s="396"/>
      <c r="E308" s="395"/>
      <c r="F308" s="317"/>
      <c r="G308" s="394"/>
      <c r="H308" s="396"/>
      <c r="I308" s="395"/>
      <c r="J308" s="317"/>
      <c r="K308" s="394"/>
      <c r="L308" s="396"/>
      <c r="M308" s="395"/>
      <c r="N308" s="317"/>
      <c r="O308" s="394"/>
      <c r="P308" s="396"/>
      <c r="Q308" s="403"/>
      <c r="R308" s="404"/>
      <c r="S308" s="405"/>
      <c r="T308" s="401"/>
      <c r="U308" s="403"/>
      <c r="V308" s="404"/>
      <c r="W308" s="405"/>
      <c r="X308" s="401"/>
      <c r="Y308" s="403"/>
      <c r="Z308" s="404"/>
      <c r="AA308" s="405"/>
      <c r="AB308" s="401"/>
      <c r="AC308" s="403"/>
      <c r="AD308" s="404"/>
      <c r="AE308" s="405"/>
      <c r="AF308" s="401"/>
      <c r="AG308" s="292"/>
      <c r="AH308" s="292"/>
      <c r="AI308" s="292"/>
      <c r="AJ308" s="292"/>
      <c r="AK308" s="395"/>
      <c r="AL308" s="317"/>
      <c r="AM308" s="394"/>
      <c r="AN308" s="396"/>
      <c r="AO308" s="200"/>
      <c r="AP308" s="200"/>
    </row>
    <row r="309">
      <c r="A309" s="395"/>
      <c r="B309" s="317"/>
      <c r="C309" s="394"/>
      <c r="D309" s="396"/>
      <c r="E309" s="395"/>
      <c r="F309" s="317"/>
      <c r="G309" s="394"/>
      <c r="H309" s="396"/>
      <c r="I309" s="395"/>
      <c r="J309" s="317"/>
      <c r="K309" s="394"/>
      <c r="L309" s="396"/>
      <c r="M309" s="395"/>
      <c r="N309" s="317"/>
      <c r="O309" s="394"/>
      <c r="P309" s="396"/>
      <c r="Q309" s="403"/>
      <c r="R309" s="404"/>
      <c r="S309" s="405"/>
      <c r="T309" s="401"/>
      <c r="U309" s="403"/>
      <c r="V309" s="404"/>
      <c r="W309" s="405"/>
      <c r="X309" s="401"/>
      <c r="Y309" s="403"/>
      <c r="Z309" s="404"/>
      <c r="AA309" s="405"/>
      <c r="AB309" s="401"/>
      <c r="AC309" s="403"/>
      <c r="AD309" s="404"/>
      <c r="AE309" s="405"/>
      <c r="AF309" s="401"/>
      <c r="AG309" s="292"/>
      <c r="AH309" s="292"/>
      <c r="AI309" s="292"/>
      <c r="AJ309" s="292"/>
      <c r="AK309" s="395"/>
      <c r="AL309" s="317"/>
      <c r="AM309" s="394"/>
      <c r="AN309" s="396"/>
      <c r="AO309" s="200"/>
      <c r="AP309" s="200"/>
    </row>
    <row r="310">
      <c r="A310" s="395"/>
      <c r="B310" s="317"/>
      <c r="C310" s="394"/>
      <c r="D310" s="396"/>
      <c r="E310" s="395"/>
      <c r="F310" s="317"/>
      <c r="G310" s="394"/>
      <c r="H310" s="396"/>
      <c r="I310" s="395"/>
      <c r="J310" s="317"/>
      <c r="K310" s="394"/>
      <c r="L310" s="396"/>
      <c r="M310" s="395"/>
      <c r="N310" s="317"/>
      <c r="O310" s="394"/>
      <c r="P310" s="396"/>
      <c r="Q310" s="403"/>
      <c r="R310" s="404"/>
      <c r="S310" s="405"/>
      <c r="T310" s="401"/>
      <c r="U310" s="403"/>
      <c r="V310" s="404"/>
      <c r="W310" s="405"/>
      <c r="X310" s="401"/>
      <c r="Y310" s="403"/>
      <c r="Z310" s="404"/>
      <c r="AA310" s="405"/>
      <c r="AB310" s="401"/>
      <c r="AC310" s="403"/>
      <c r="AD310" s="404"/>
      <c r="AE310" s="405"/>
      <c r="AF310" s="401"/>
      <c r="AG310" s="292"/>
      <c r="AH310" s="292"/>
      <c r="AI310" s="292"/>
      <c r="AJ310" s="292"/>
      <c r="AK310" s="395"/>
      <c r="AL310" s="317"/>
      <c r="AM310" s="394"/>
      <c r="AN310" s="396"/>
      <c r="AO310" s="200"/>
      <c r="AP310" s="200"/>
    </row>
    <row r="311">
      <c r="A311" s="395"/>
      <c r="B311" s="317"/>
      <c r="C311" s="394"/>
      <c r="D311" s="396"/>
      <c r="E311" s="395"/>
      <c r="F311" s="317"/>
      <c r="G311" s="394"/>
      <c r="H311" s="396"/>
      <c r="I311" s="395"/>
      <c r="J311" s="317"/>
      <c r="K311" s="394"/>
      <c r="L311" s="396"/>
      <c r="M311" s="395"/>
      <c r="N311" s="317"/>
      <c r="O311" s="394"/>
      <c r="P311" s="396"/>
      <c r="Q311" s="403"/>
      <c r="R311" s="404"/>
      <c r="S311" s="405"/>
      <c r="T311" s="401"/>
      <c r="U311" s="403"/>
      <c r="V311" s="404"/>
      <c r="W311" s="405"/>
      <c r="X311" s="401"/>
      <c r="Y311" s="403"/>
      <c r="Z311" s="404"/>
      <c r="AA311" s="405"/>
      <c r="AB311" s="401"/>
      <c r="AC311" s="403"/>
      <c r="AD311" s="404"/>
      <c r="AE311" s="405"/>
      <c r="AF311" s="401"/>
      <c r="AG311" s="292"/>
      <c r="AH311" s="292"/>
      <c r="AI311" s="292"/>
      <c r="AJ311" s="292"/>
      <c r="AK311" s="395"/>
      <c r="AL311" s="317"/>
      <c r="AM311" s="394"/>
      <c r="AN311" s="396"/>
      <c r="AO311" s="200"/>
      <c r="AP311" s="200"/>
    </row>
    <row r="312">
      <c r="A312" s="395"/>
      <c r="B312" s="317"/>
      <c r="C312" s="394"/>
      <c r="D312" s="396"/>
      <c r="E312" s="395"/>
      <c r="F312" s="317"/>
      <c r="G312" s="394"/>
      <c r="H312" s="396"/>
      <c r="I312" s="395"/>
      <c r="J312" s="317"/>
      <c r="K312" s="394"/>
      <c r="L312" s="396"/>
      <c r="M312" s="395"/>
      <c r="N312" s="317"/>
      <c r="O312" s="394"/>
      <c r="P312" s="396"/>
      <c r="Q312" s="403"/>
      <c r="R312" s="404"/>
      <c r="S312" s="405"/>
      <c r="T312" s="401"/>
      <c r="U312" s="403"/>
      <c r="V312" s="404"/>
      <c r="W312" s="405"/>
      <c r="X312" s="401"/>
      <c r="Y312" s="403"/>
      <c r="Z312" s="404"/>
      <c r="AA312" s="405"/>
      <c r="AB312" s="401"/>
      <c r="AC312" s="403"/>
      <c r="AD312" s="404"/>
      <c r="AE312" s="405"/>
      <c r="AF312" s="401"/>
      <c r="AG312" s="292"/>
      <c r="AH312" s="292"/>
      <c r="AI312" s="292"/>
      <c r="AJ312" s="292"/>
      <c r="AK312" s="395"/>
      <c r="AL312" s="317"/>
      <c r="AM312" s="394"/>
      <c r="AN312" s="396"/>
      <c r="AO312" s="200"/>
      <c r="AP312" s="200"/>
    </row>
    <row r="313">
      <c r="A313" s="395"/>
      <c r="B313" s="317"/>
      <c r="C313" s="394"/>
      <c r="D313" s="396"/>
      <c r="E313" s="395"/>
      <c r="F313" s="317"/>
      <c r="G313" s="394"/>
      <c r="H313" s="396"/>
      <c r="I313" s="395"/>
      <c r="J313" s="317"/>
      <c r="K313" s="394"/>
      <c r="L313" s="396"/>
      <c r="M313" s="395"/>
      <c r="N313" s="317"/>
      <c r="O313" s="394"/>
      <c r="P313" s="396"/>
      <c r="Q313" s="403"/>
      <c r="R313" s="404"/>
      <c r="S313" s="405"/>
      <c r="T313" s="401"/>
      <c r="U313" s="403"/>
      <c r="V313" s="404"/>
      <c r="W313" s="405"/>
      <c r="X313" s="401"/>
      <c r="Y313" s="403"/>
      <c r="Z313" s="404"/>
      <c r="AA313" s="405"/>
      <c r="AB313" s="401"/>
      <c r="AC313" s="403"/>
      <c r="AD313" s="404"/>
      <c r="AE313" s="405"/>
      <c r="AF313" s="401"/>
      <c r="AG313" s="292"/>
      <c r="AH313" s="292"/>
      <c r="AI313" s="292"/>
      <c r="AJ313" s="292"/>
      <c r="AK313" s="395"/>
      <c r="AL313" s="317"/>
      <c r="AM313" s="394"/>
      <c r="AN313" s="396"/>
      <c r="AO313" s="200"/>
      <c r="AP313" s="200"/>
    </row>
    <row r="314">
      <c r="A314" s="395"/>
      <c r="B314" s="317"/>
      <c r="C314" s="394"/>
      <c r="D314" s="396"/>
      <c r="E314" s="395"/>
      <c r="F314" s="317"/>
      <c r="G314" s="394"/>
      <c r="H314" s="396"/>
      <c r="I314" s="395"/>
      <c r="J314" s="317"/>
      <c r="K314" s="394"/>
      <c r="L314" s="396"/>
      <c r="M314" s="395"/>
      <c r="N314" s="317"/>
      <c r="O314" s="394"/>
      <c r="P314" s="396"/>
      <c r="Q314" s="403"/>
      <c r="R314" s="404"/>
      <c r="S314" s="405"/>
      <c r="T314" s="401"/>
      <c r="U314" s="403"/>
      <c r="V314" s="404"/>
      <c r="W314" s="405"/>
      <c r="X314" s="401"/>
      <c r="Y314" s="403"/>
      <c r="Z314" s="404"/>
      <c r="AA314" s="405"/>
      <c r="AB314" s="401"/>
      <c r="AC314" s="403"/>
      <c r="AD314" s="404"/>
      <c r="AE314" s="405"/>
      <c r="AF314" s="401"/>
      <c r="AG314" s="292"/>
      <c r="AH314" s="292"/>
      <c r="AI314" s="292"/>
      <c r="AJ314" s="292"/>
      <c r="AK314" s="395"/>
      <c r="AL314" s="317"/>
      <c r="AM314" s="394"/>
      <c r="AN314" s="396"/>
      <c r="AO314" s="200"/>
      <c r="AP314" s="200"/>
    </row>
    <row r="315">
      <c r="A315" s="395"/>
      <c r="B315" s="317"/>
      <c r="C315" s="394"/>
      <c r="D315" s="396"/>
      <c r="E315" s="395"/>
      <c r="F315" s="317"/>
      <c r="G315" s="394"/>
      <c r="H315" s="396"/>
      <c r="I315" s="395"/>
      <c r="J315" s="317"/>
      <c r="K315" s="394"/>
      <c r="L315" s="396"/>
      <c r="M315" s="395"/>
      <c r="N315" s="317"/>
      <c r="O315" s="394"/>
      <c r="P315" s="396"/>
      <c r="Q315" s="403"/>
      <c r="R315" s="404"/>
      <c r="S315" s="405"/>
      <c r="T315" s="401"/>
      <c r="U315" s="403"/>
      <c r="V315" s="404"/>
      <c r="W315" s="405"/>
      <c r="X315" s="401"/>
      <c r="Y315" s="403"/>
      <c r="Z315" s="404"/>
      <c r="AA315" s="405"/>
      <c r="AB315" s="401"/>
      <c r="AC315" s="403"/>
      <c r="AD315" s="404"/>
      <c r="AE315" s="405"/>
      <c r="AF315" s="401"/>
      <c r="AG315" s="292"/>
      <c r="AH315" s="292"/>
      <c r="AI315" s="292"/>
      <c r="AJ315" s="292"/>
      <c r="AK315" s="395"/>
      <c r="AL315" s="317"/>
      <c r="AM315" s="394"/>
      <c r="AN315" s="396"/>
      <c r="AO315" s="200"/>
      <c r="AP315" s="200"/>
    </row>
    <row r="316">
      <c r="A316" s="395"/>
      <c r="B316" s="317"/>
      <c r="C316" s="394"/>
      <c r="D316" s="396"/>
      <c r="E316" s="395"/>
      <c r="F316" s="317"/>
      <c r="G316" s="394"/>
      <c r="H316" s="396"/>
      <c r="I316" s="395"/>
      <c r="J316" s="317"/>
      <c r="K316" s="394"/>
      <c r="L316" s="396"/>
      <c r="M316" s="395"/>
      <c r="N316" s="317"/>
      <c r="O316" s="394"/>
      <c r="P316" s="396"/>
      <c r="Q316" s="403"/>
      <c r="R316" s="404"/>
      <c r="S316" s="405"/>
      <c r="T316" s="401"/>
      <c r="U316" s="403"/>
      <c r="V316" s="404"/>
      <c r="W316" s="405"/>
      <c r="X316" s="401"/>
      <c r="Y316" s="403"/>
      <c r="Z316" s="404"/>
      <c r="AA316" s="405"/>
      <c r="AB316" s="401"/>
      <c r="AC316" s="403"/>
      <c r="AD316" s="404"/>
      <c r="AE316" s="405"/>
      <c r="AF316" s="401"/>
      <c r="AG316" s="292"/>
      <c r="AH316" s="292"/>
      <c r="AI316" s="292"/>
      <c r="AJ316" s="292"/>
      <c r="AK316" s="395"/>
      <c r="AL316" s="317"/>
      <c r="AM316" s="394"/>
      <c r="AN316" s="396"/>
      <c r="AO316" s="200"/>
      <c r="AP316" s="200"/>
    </row>
    <row r="317">
      <c r="A317" s="395"/>
      <c r="B317" s="317"/>
      <c r="C317" s="394"/>
      <c r="D317" s="396"/>
      <c r="E317" s="395"/>
      <c r="F317" s="317"/>
      <c r="G317" s="394"/>
      <c r="H317" s="396"/>
      <c r="I317" s="395"/>
      <c r="J317" s="317"/>
      <c r="K317" s="394"/>
      <c r="L317" s="396"/>
      <c r="M317" s="395"/>
      <c r="N317" s="317"/>
      <c r="O317" s="394"/>
      <c r="P317" s="396"/>
      <c r="Q317" s="403"/>
      <c r="R317" s="404"/>
      <c r="S317" s="405"/>
      <c r="T317" s="401"/>
      <c r="U317" s="403"/>
      <c r="V317" s="404"/>
      <c r="W317" s="405"/>
      <c r="X317" s="401"/>
      <c r="Y317" s="403"/>
      <c r="Z317" s="404"/>
      <c r="AA317" s="405"/>
      <c r="AB317" s="401"/>
      <c r="AC317" s="403"/>
      <c r="AD317" s="404"/>
      <c r="AE317" s="405"/>
      <c r="AF317" s="401"/>
      <c r="AG317" s="292"/>
      <c r="AH317" s="292"/>
      <c r="AI317" s="292"/>
      <c r="AJ317" s="292"/>
      <c r="AK317" s="395"/>
      <c r="AL317" s="317"/>
      <c r="AM317" s="394"/>
      <c r="AN317" s="396"/>
      <c r="AO317" s="200"/>
      <c r="AP317" s="200"/>
    </row>
    <row r="318">
      <c r="A318" s="395"/>
      <c r="B318" s="317"/>
      <c r="C318" s="394"/>
      <c r="D318" s="396"/>
      <c r="E318" s="395"/>
      <c r="F318" s="317"/>
      <c r="G318" s="394"/>
      <c r="H318" s="396"/>
      <c r="I318" s="395"/>
      <c r="J318" s="317"/>
      <c r="K318" s="394"/>
      <c r="L318" s="396"/>
      <c r="M318" s="395"/>
      <c r="N318" s="317"/>
      <c r="O318" s="394"/>
      <c r="P318" s="396"/>
      <c r="Q318" s="403"/>
      <c r="R318" s="404"/>
      <c r="S318" s="405"/>
      <c r="T318" s="401"/>
      <c r="U318" s="403"/>
      <c r="V318" s="404"/>
      <c r="W318" s="405"/>
      <c r="X318" s="401"/>
      <c r="Y318" s="403"/>
      <c r="Z318" s="404"/>
      <c r="AA318" s="405"/>
      <c r="AB318" s="401"/>
      <c r="AC318" s="403"/>
      <c r="AD318" s="404"/>
      <c r="AE318" s="405"/>
      <c r="AF318" s="401"/>
      <c r="AG318" s="292"/>
      <c r="AH318" s="292"/>
      <c r="AI318" s="292"/>
      <c r="AJ318" s="292"/>
      <c r="AK318" s="395"/>
      <c r="AL318" s="317"/>
      <c r="AM318" s="394"/>
      <c r="AN318" s="396"/>
      <c r="AO318" s="200"/>
      <c r="AP318" s="200"/>
    </row>
    <row r="319">
      <c r="A319" s="395"/>
      <c r="B319" s="317"/>
      <c r="C319" s="394"/>
      <c r="D319" s="396"/>
      <c r="E319" s="395"/>
      <c r="F319" s="317"/>
      <c r="G319" s="394"/>
      <c r="H319" s="396"/>
      <c r="I319" s="395"/>
      <c r="J319" s="317"/>
      <c r="K319" s="394"/>
      <c r="L319" s="396"/>
      <c r="M319" s="395"/>
      <c r="N319" s="317"/>
      <c r="O319" s="394"/>
      <c r="P319" s="396"/>
      <c r="Q319" s="403"/>
      <c r="R319" s="404"/>
      <c r="S319" s="405"/>
      <c r="T319" s="401"/>
      <c r="U319" s="403"/>
      <c r="V319" s="404"/>
      <c r="W319" s="405"/>
      <c r="X319" s="401"/>
      <c r="Y319" s="403"/>
      <c r="Z319" s="404"/>
      <c r="AA319" s="405"/>
      <c r="AB319" s="401"/>
      <c r="AC319" s="403"/>
      <c r="AD319" s="404"/>
      <c r="AE319" s="405"/>
      <c r="AF319" s="401"/>
      <c r="AG319" s="292"/>
      <c r="AH319" s="292"/>
      <c r="AI319" s="292"/>
      <c r="AJ319" s="292"/>
      <c r="AK319" s="395"/>
      <c r="AL319" s="317"/>
      <c r="AM319" s="394"/>
      <c r="AN319" s="396"/>
      <c r="AO319" s="200"/>
      <c r="AP319" s="200"/>
    </row>
    <row r="320">
      <c r="A320" s="395"/>
      <c r="B320" s="317"/>
      <c r="C320" s="394"/>
      <c r="D320" s="396"/>
      <c r="E320" s="395"/>
      <c r="F320" s="317"/>
      <c r="G320" s="394"/>
      <c r="H320" s="396"/>
      <c r="I320" s="395"/>
      <c r="J320" s="317"/>
      <c r="K320" s="394"/>
      <c r="L320" s="396"/>
      <c r="M320" s="395"/>
      <c r="N320" s="317"/>
      <c r="O320" s="394"/>
      <c r="P320" s="396"/>
      <c r="Q320" s="403"/>
      <c r="R320" s="404"/>
      <c r="S320" s="405"/>
      <c r="T320" s="401"/>
      <c r="U320" s="403"/>
      <c r="V320" s="404"/>
      <c r="W320" s="405"/>
      <c r="X320" s="401"/>
      <c r="Y320" s="403"/>
      <c r="Z320" s="404"/>
      <c r="AA320" s="405"/>
      <c r="AB320" s="401"/>
      <c r="AC320" s="403"/>
      <c r="AD320" s="404"/>
      <c r="AE320" s="405"/>
      <c r="AF320" s="401"/>
      <c r="AG320" s="292"/>
      <c r="AH320" s="292"/>
      <c r="AI320" s="292"/>
      <c r="AJ320" s="292"/>
      <c r="AK320" s="395"/>
      <c r="AL320" s="317"/>
      <c r="AM320" s="394"/>
      <c r="AN320" s="396"/>
      <c r="AO320" s="200"/>
      <c r="AP320" s="200"/>
    </row>
    <row r="321">
      <c r="A321" s="395"/>
      <c r="B321" s="317"/>
      <c r="C321" s="394"/>
      <c r="D321" s="396"/>
      <c r="E321" s="395"/>
      <c r="F321" s="317"/>
      <c r="G321" s="394"/>
      <c r="H321" s="396"/>
      <c r="I321" s="395"/>
      <c r="J321" s="317"/>
      <c r="K321" s="394"/>
      <c r="L321" s="396"/>
      <c r="M321" s="395"/>
      <c r="N321" s="317"/>
      <c r="O321" s="394"/>
      <c r="P321" s="396"/>
      <c r="Q321" s="403"/>
      <c r="R321" s="404"/>
      <c r="S321" s="405"/>
      <c r="T321" s="401"/>
      <c r="U321" s="403"/>
      <c r="V321" s="404"/>
      <c r="W321" s="405"/>
      <c r="X321" s="401"/>
      <c r="Y321" s="403"/>
      <c r="Z321" s="404"/>
      <c r="AA321" s="405"/>
      <c r="AB321" s="401"/>
      <c r="AC321" s="403"/>
      <c r="AD321" s="404"/>
      <c r="AE321" s="405"/>
      <c r="AF321" s="401"/>
      <c r="AG321" s="292"/>
      <c r="AH321" s="292"/>
      <c r="AI321" s="292"/>
      <c r="AJ321" s="292"/>
      <c r="AK321" s="395"/>
      <c r="AL321" s="317"/>
      <c r="AM321" s="394"/>
      <c r="AN321" s="396"/>
      <c r="AO321" s="200"/>
      <c r="AP321" s="200"/>
    </row>
    <row r="322">
      <c r="A322" s="395"/>
      <c r="B322" s="317"/>
      <c r="C322" s="394"/>
      <c r="D322" s="396"/>
      <c r="E322" s="395"/>
      <c r="F322" s="317"/>
      <c r="G322" s="394"/>
      <c r="H322" s="396"/>
      <c r="I322" s="395"/>
      <c r="J322" s="317"/>
      <c r="K322" s="394"/>
      <c r="L322" s="396"/>
      <c r="M322" s="395"/>
      <c r="N322" s="317"/>
      <c r="O322" s="394"/>
      <c r="P322" s="396"/>
      <c r="Q322" s="403"/>
      <c r="R322" s="404"/>
      <c r="S322" s="405"/>
      <c r="T322" s="401"/>
      <c r="U322" s="403"/>
      <c r="V322" s="404"/>
      <c r="W322" s="405"/>
      <c r="X322" s="401"/>
      <c r="Y322" s="403"/>
      <c r="Z322" s="404"/>
      <c r="AA322" s="405"/>
      <c r="AB322" s="401"/>
      <c r="AC322" s="403"/>
      <c r="AD322" s="404"/>
      <c r="AE322" s="405"/>
      <c r="AF322" s="401"/>
      <c r="AG322" s="292"/>
      <c r="AH322" s="292"/>
      <c r="AI322" s="292"/>
      <c r="AJ322" s="292"/>
      <c r="AK322" s="395"/>
      <c r="AL322" s="317"/>
      <c r="AM322" s="394"/>
      <c r="AN322" s="396"/>
      <c r="AO322" s="200"/>
      <c r="AP322" s="200"/>
    </row>
    <row r="323">
      <c r="A323" s="395"/>
      <c r="B323" s="317"/>
      <c r="C323" s="394"/>
      <c r="D323" s="396"/>
      <c r="E323" s="395"/>
      <c r="F323" s="317"/>
      <c r="G323" s="394"/>
      <c r="H323" s="396"/>
      <c r="I323" s="395"/>
      <c r="J323" s="317"/>
      <c r="K323" s="394"/>
      <c r="L323" s="396"/>
      <c r="M323" s="395"/>
      <c r="N323" s="317"/>
      <c r="O323" s="394"/>
      <c r="P323" s="396"/>
      <c r="Q323" s="403"/>
      <c r="R323" s="404"/>
      <c r="S323" s="405"/>
      <c r="T323" s="401"/>
      <c r="U323" s="403"/>
      <c r="V323" s="404"/>
      <c r="W323" s="405"/>
      <c r="X323" s="401"/>
      <c r="Y323" s="403"/>
      <c r="Z323" s="404"/>
      <c r="AA323" s="405"/>
      <c r="AB323" s="401"/>
      <c r="AC323" s="403"/>
      <c r="AD323" s="404"/>
      <c r="AE323" s="405"/>
      <c r="AF323" s="401"/>
      <c r="AG323" s="292"/>
      <c r="AH323" s="292"/>
      <c r="AI323" s="292"/>
      <c r="AJ323" s="292"/>
      <c r="AK323" s="395"/>
      <c r="AL323" s="317"/>
      <c r="AM323" s="394"/>
      <c r="AN323" s="396"/>
      <c r="AO323" s="200"/>
      <c r="AP323" s="200"/>
    </row>
    <row r="324">
      <c r="A324" s="395"/>
      <c r="B324" s="317"/>
      <c r="C324" s="394"/>
      <c r="D324" s="396"/>
      <c r="E324" s="395"/>
      <c r="F324" s="317"/>
      <c r="G324" s="394"/>
      <c r="H324" s="396"/>
      <c r="I324" s="395"/>
      <c r="J324" s="317"/>
      <c r="K324" s="394"/>
      <c r="L324" s="396"/>
      <c r="M324" s="395"/>
      <c r="N324" s="317"/>
      <c r="O324" s="394"/>
      <c r="P324" s="396"/>
      <c r="Q324" s="403"/>
      <c r="R324" s="404"/>
      <c r="S324" s="405"/>
      <c r="T324" s="401"/>
      <c r="U324" s="403"/>
      <c r="V324" s="404"/>
      <c r="W324" s="405"/>
      <c r="X324" s="401"/>
      <c r="Y324" s="403"/>
      <c r="Z324" s="404"/>
      <c r="AA324" s="405"/>
      <c r="AB324" s="401"/>
      <c r="AC324" s="403"/>
      <c r="AD324" s="404"/>
      <c r="AE324" s="405"/>
      <c r="AF324" s="401"/>
      <c r="AG324" s="292"/>
      <c r="AH324" s="292"/>
      <c r="AI324" s="292"/>
      <c r="AJ324" s="292"/>
      <c r="AK324" s="395"/>
      <c r="AL324" s="317"/>
      <c r="AM324" s="394"/>
      <c r="AN324" s="396"/>
      <c r="AO324" s="200"/>
      <c r="AP324" s="200"/>
    </row>
    <row r="325">
      <c r="A325" s="395"/>
      <c r="B325" s="317"/>
      <c r="C325" s="394"/>
      <c r="D325" s="396"/>
      <c r="E325" s="395"/>
      <c r="F325" s="317"/>
      <c r="G325" s="394"/>
      <c r="H325" s="396"/>
      <c r="I325" s="395"/>
      <c r="J325" s="317"/>
      <c r="K325" s="394"/>
      <c r="L325" s="396"/>
      <c r="M325" s="395"/>
      <c r="N325" s="317"/>
      <c r="O325" s="394"/>
      <c r="P325" s="396"/>
      <c r="Q325" s="403"/>
      <c r="R325" s="404"/>
      <c r="S325" s="405"/>
      <c r="T325" s="401"/>
      <c r="U325" s="403"/>
      <c r="V325" s="404"/>
      <c r="W325" s="405"/>
      <c r="X325" s="401"/>
      <c r="Y325" s="403"/>
      <c r="Z325" s="404"/>
      <c r="AA325" s="405"/>
      <c r="AB325" s="401"/>
      <c r="AC325" s="403"/>
      <c r="AD325" s="404"/>
      <c r="AE325" s="405"/>
      <c r="AF325" s="401"/>
      <c r="AG325" s="292"/>
      <c r="AH325" s="292"/>
      <c r="AI325" s="292"/>
      <c r="AJ325" s="292"/>
      <c r="AK325" s="395"/>
      <c r="AL325" s="317"/>
      <c r="AM325" s="394"/>
      <c r="AN325" s="396"/>
      <c r="AO325" s="200"/>
      <c r="AP325" s="200"/>
    </row>
    <row r="326">
      <c r="A326" s="395"/>
      <c r="B326" s="317"/>
      <c r="C326" s="394"/>
      <c r="D326" s="396"/>
      <c r="E326" s="395"/>
      <c r="F326" s="317"/>
      <c r="G326" s="394"/>
      <c r="H326" s="396"/>
      <c r="I326" s="395"/>
      <c r="J326" s="317"/>
      <c r="K326" s="394"/>
      <c r="L326" s="396"/>
      <c r="M326" s="395"/>
      <c r="N326" s="317"/>
      <c r="O326" s="394"/>
      <c r="P326" s="396"/>
      <c r="Q326" s="403"/>
      <c r="R326" s="404"/>
      <c r="S326" s="405"/>
      <c r="T326" s="401"/>
      <c r="U326" s="403"/>
      <c r="V326" s="404"/>
      <c r="W326" s="405"/>
      <c r="X326" s="401"/>
      <c r="Y326" s="403"/>
      <c r="Z326" s="404"/>
      <c r="AA326" s="405"/>
      <c r="AB326" s="401"/>
      <c r="AC326" s="403"/>
      <c r="AD326" s="404"/>
      <c r="AE326" s="405"/>
      <c r="AF326" s="401"/>
      <c r="AG326" s="292"/>
      <c r="AH326" s="292"/>
      <c r="AI326" s="292"/>
      <c r="AJ326" s="292"/>
      <c r="AK326" s="395"/>
      <c r="AL326" s="317"/>
      <c r="AM326" s="394"/>
      <c r="AN326" s="396"/>
      <c r="AO326" s="200"/>
      <c r="AP326" s="200"/>
    </row>
    <row r="327">
      <c r="A327" s="395"/>
      <c r="B327" s="317"/>
      <c r="C327" s="394"/>
      <c r="D327" s="396"/>
      <c r="E327" s="395"/>
      <c r="F327" s="317"/>
      <c r="G327" s="394"/>
      <c r="H327" s="396"/>
      <c r="I327" s="395"/>
      <c r="J327" s="317"/>
      <c r="K327" s="394"/>
      <c r="L327" s="396"/>
      <c r="M327" s="395"/>
      <c r="N327" s="317"/>
      <c r="O327" s="394"/>
      <c r="P327" s="396"/>
      <c r="Q327" s="403"/>
      <c r="R327" s="404"/>
      <c r="S327" s="405"/>
      <c r="T327" s="401"/>
      <c r="U327" s="403"/>
      <c r="V327" s="404"/>
      <c r="W327" s="405"/>
      <c r="X327" s="401"/>
      <c r="Y327" s="403"/>
      <c r="Z327" s="404"/>
      <c r="AA327" s="405"/>
      <c r="AB327" s="401"/>
      <c r="AC327" s="403"/>
      <c r="AD327" s="404"/>
      <c r="AE327" s="405"/>
      <c r="AF327" s="401"/>
      <c r="AG327" s="292"/>
      <c r="AH327" s="292"/>
      <c r="AI327" s="292"/>
      <c r="AJ327" s="292"/>
      <c r="AK327" s="395"/>
      <c r="AL327" s="317"/>
      <c r="AM327" s="394"/>
      <c r="AN327" s="396"/>
      <c r="AO327" s="200"/>
      <c r="AP327" s="200"/>
    </row>
    <row r="328">
      <c r="A328" s="395"/>
      <c r="B328" s="317"/>
      <c r="C328" s="394"/>
      <c r="D328" s="396"/>
      <c r="E328" s="395"/>
      <c r="F328" s="317"/>
      <c r="G328" s="394"/>
      <c r="H328" s="396"/>
      <c r="I328" s="395"/>
      <c r="J328" s="317"/>
      <c r="K328" s="394"/>
      <c r="L328" s="396"/>
      <c r="M328" s="395"/>
      <c r="N328" s="317"/>
      <c r="O328" s="394"/>
      <c r="P328" s="396"/>
      <c r="Q328" s="403"/>
      <c r="R328" s="404"/>
      <c r="S328" s="405"/>
      <c r="T328" s="401"/>
      <c r="U328" s="403"/>
      <c r="V328" s="404"/>
      <c r="W328" s="405"/>
      <c r="X328" s="401"/>
      <c r="Y328" s="403"/>
      <c r="Z328" s="404"/>
      <c r="AA328" s="405"/>
      <c r="AB328" s="401"/>
      <c r="AC328" s="403"/>
      <c r="AD328" s="404"/>
      <c r="AE328" s="405"/>
      <c r="AF328" s="401"/>
      <c r="AG328" s="292"/>
      <c r="AH328" s="292"/>
      <c r="AI328" s="292"/>
      <c r="AJ328" s="292"/>
      <c r="AK328" s="395"/>
      <c r="AL328" s="317"/>
      <c r="AM328" s="394"/>
      <c r="AN328" s="396"/>
      <c r="AO328" s="200"/>
      <c r="AP328" s="200"/>
    </row>
    <row r="329">
      <c r="A329" s="395"/>
      <c r="B329" s="317"/>
      <c r="C329" s="394"/>
      <c r="D329" s="396"/>
      <c r="E329" s="395"/>
      <c r="F329" s="317"/>
      <c r="G329" s="394"/>
      <c r="H329" s="396"/>
      <c r="I329" s="395"/>
      <c r="J329" s="317"/>
      <c r="K329" s="394"/>
      <c r="L329" s="396"/>
      <c r="M329" s="395"/>
      <c r="N329" s="317"/>
      <c r="O329" s="394"/>
      <c r="P329" s="396"/>
      <c r="Q329" s="403"/>
      <c r="R329" s="404"/>
      <c r="S329" s="405"/>
      <c r="T329" s="401"/>
      <c r="U329" s="403"/>
      <c r="V329" s="404"/>
      <c r="W329" s="405"/>
      <c r="X329" s="401"/>
      <c r="Y329" s="403"/>
      <c r="Z329" s="404"/>
      <c r="AA329" s="405"/>
      <c r="AB329" s="401"/>
      <c r="AC329" s="403"/>
      <c r="AD329" s="404"/>
      <c r="AE329" s="405"/>
      <c r="AF329" s="401"/>
      <c r="AG329" s="292"/>
      <c r="AH329" s="292"/>
      <c r="AI329" s="292"/>
      <c r="AJ329" s="292"/>
      <c r="AK329" s="395"/>
      <c r="AL329" s="317"/>
      <c r="AM329" s="394"/>
      <c r="AN329" s="396"/>
      <c r="AO329" s="200"/>
      <c r="AP329" s="200"/>
    </row>
    <row r="330">
      <c r="A330" s="395"/>
      <c r="B330" s="317"/>
      <c r="C330" s="394"/>
      <c r="D330" s="396"/>
      <c r="E330" s="395"/>
      <c r="F330" s="317"/>
      <c r="G330" s="394"/>
      <c r="H330" s="396"/>
      <c r="I330" s="395"/>
      <c r="J330" s="317"/>
      <c r="K330" s="394"/>
      <c r="L330" s="396"/>
      <c r="M330" s="395"/>
      <c r="N330" s="317"/>
      <c r="O330" s="394"/>
      <c r="P330" s="396"/>
      <c r="Q330" s="403"/>
      <c r="R330" s="404"/>
      <c r="S330" s="405"/>
      <c r="T330" s="401"/>
      <c r="U330" s="403"/>
      <c r="V330" s="404"/>
      <c r="W330" s="405"/>
      <c r="X330" s="401"/>
      <c r="Y330" s="403"/>
      <c r="Z330" s="404"/>
      <c r="AA330" s="405"/>
      <c r="AB330" s="401"/>
      <c r="AC330" s="403"/>
      <c r="AD330" s="404"/>
      <c r="AE330" s="405"/>
      <c r="AF330" s="401"/>
      <c r="AG330" s="292"/>
      <c r="AH330" s="292"/>
      <c r="AI330" s="292"/>
      <c r="AJ330" s="292"/>
      <c r="AK330" s="395"/>
      <c r="AL330" s="317"/>
      <c r="AM330" s="394"/>
      <c r="AN330" s="396"/>
      <c r="AO330" s="200"/>
      <c r="AP330" s="200"/>
    </row>
    <row r="331">
      <c r="A331" s="395"/>
      <c r="B331" s="317"/>
      <c r="C331" s="394"/>
      <c r="D331" s="396"/>
      <c r="E331" s="395"/>
      <c r="F331" s="317"/>
      <c r="G331" s="394"/>
      <c r="H331" s="396"/>
      <c r="I331" s="395"/>
      <c r="J331" s="317"/>
      <c r="K331" s="394"/>
      <c r="L331" s="396"/>
      <c r="M331" s="395"/>
      <c r="N331" s="317"/>
      <c r="O331" s="394"/>
      <c r="P331" s="396"/>
      <c r="Q331" s="403"/>
      <c r="R331" s="404"/>
      <c r="S331" s="405"/>
      <c r="T331" s="401"/>
      <c r="U331" s="403"/>
      <c r="V331" s="404"/>
      <c r="W331" s="405"/>
      <c r="X331" s="401"/>
      <c r="Y331" s="403"/>
      <c r="Z331" s="404"/>
      <c r="AA331" s="405"/>
      <c r="AB331" s="401"/>
      <c r="AC331" s="403"/>
      <c r="AD331" s="404"/>
      <c r="AE331" s="405"/>
      <c r="AF331" s="401"/>
      <c r="AG331" s="292"/>
      <c r="AH331" s="292"/>
      <c r="AI331" s="292"/>
      <c r="AJ331" s="292"/>
      <c r="AK331" s="395"/>
      <c r="AL331" s="317"/>
      <c r="AM331" s="394"/>
      <c r="AN331" s="396"/>
      <c r="AO331" s="200"/>
      <c r="AP331" s="200"/>
    </row>
    <row r="332">
      <c r="A332" s="395"/>
      <c r="B332" s="317"/>
      <c r="C332" s="394"/>
      <c r="D332" s="396"/>
      <c r="E332" s="395"/>
      <c r="F332" s="317"/>
      <c r="G332" s="394"/>
      <c r="H332" s="396"/>
      <c r="I332" s="395"/>
      <c r="J332" s="317"/>
      <c r="K332" s="394"/>
      <c r="L332" s="396"/>
      <c r="M332" s="395"/>
      <c r="N332" s="317"/>
      <c r="O332" s="394"/>
      <c r="P332" s="396"/>
      <c r="Q332" s="403"/>
      <c r="R332" s="404"/>
      <c r="S332" s="405"/>
      <c r="T332" s="401"/>
      <c r="U332" s="403"/>
      <c r="V332" s="404"/>
      <c r="W332" s="405"/>
      <c r="X332" s="401"/>
      <c r="Y332" s="403"/>
      <c r="Z332" s="404"/>
      <c r="AA332" s="405"/>
      <c r="AB332" s="401"/>
      <c r="AC332" s="403"/>
      <c r="AD332" s="404"/>
      <c r="AE332" s="405"/>
      <c r="AF332" s="401"/>
      <c r="AG332" s="292"/>
      <c r="AH332" s="292"/>
      <c r="AI332" s="292"/>
      <c r="AJ332" s="292"/>
      <c r="AK332" s="395"/>
      <c r="AL332" s="317"/>
      <c r="AM332" s="394"/>
      <c r="AN332" s="396"/>
      <c r="AO332" s="200"/>
      <c r="AP332" s="200"/>
    </row>
    <row r="333">
      <c r="A333" s="395"/>
      <c r="B333" s="317"/>
      <c r="C333" s="394"/>
      <c r="D333" s="396"/>
      <c r="E333" s="395"/>
      <c r="F333" s="317"/>
      <c r="G333" s="394"/>
      <c r="H333" s="396"/>
      <c r="I333" s="395"/>
      <c r="J333" s="317"/>
      <c r="K333" s="394"/>
      <c r="L333" s="396"/>
      <c r="M333" s="395"/>
      <c r="N333" s="317"/>
      <c r="O333" s="394"/>
      <c r="P333" s="396"/>
      <c r="Q333" s="403"/>
      <c r="R333" s="404"/>
      <c r="S333" s="405"/>
      <c r="T333" s="401"/>
      <c r="U333" s="403"/>
      <c r="V333" s="404"/>
      <c r="W333" s="405"/>
      <c r="X333" s="401"/>
      <c r="Y333" s="403"/>
      <c r="Z333" s="404"/>
      <c r="AA333" s="405"/>
      <c r="AB333" s="401"/>
      <c r="AC333" s="403"/>
      <c r="AD333" s="404"/>
      <c r="AE333" s="405"/>
      <c r="AF333" s="401"/>
      <c r="AG333" s="292"/>
      <c r="AH333" s="292"/>
      <c r="AI333" s="292"/>
      <c r="AJ333" s="292"/>
      <c r="AK333" s="395"/>
      <c r="AL333" s="317"/>
      <c r="AM333" s="394"/>
      <c r="AN333" s="396"/>
      <c r="AO333" s="200"/>
      <c r="AP333" s="200"/>
    </row>
    <row r="334">
      <c r="A334" s="395"/>
      <c r="B334" s="317"/>
      <c r="C334" s="394"/>
      <c r="D334" s="396"/>
      <c r="E334" s="395"/>
      <c r="F334" s="317"/>
      <c r="G334" s="394"/>
      <c r="H334" s="396"/>
      <c r="I334" s="395"/>
      <c r="J334" s="317"/>
      <c r="K334" s="394"/>
      <c r="L334" s="396"/>
      <c r="M334" s="395"/>
      <c r="N334" s="317"/>
      <c r="O334" s="394"/>
      <c r="P334" s="396"/>
      <c r="Q334" s="403"/>
      <c r="R334" s="404"/>
      <c r="S334" s="405"/>
      <c r="T334" s="401"/>
      <c r="U334" s="403"/>
      <c r="V334" s="404"/>
      <c r="W334" s="405"/>
      <c r="X334" s="401"/>
      <c r="Y334" s="403"/>
      <c r="Z334" s="404"/>
      <c r="AA334" s="405"/>
      <c r="AB334" s="401"/>
      <c r="AC334" s="403"/>
      <c r="AD334" s="404"/>
      <c r="AE334" s="405"/>
      <c r="AF334" s="401"/>
      <c r="AG334" s="292"/>
      <c r="AH334" s="292"/>
      <c r="AI334" s="292"/>
      <c r="AJ334" s="292"/>
      <c r="AK334" s="395"/>
      <c r="AL334" s="317"/>
      <c r="AM334" s="394"/>
      <c r="AN334" s="396"/>
      <c r="AO334" s="200"/>
      <c r="AP334" s="200"/>
    </row>
    <row r="335">
      <c r="A335" s="395"/>
      <c r="B335" s="317"/>
      <c r="C335" s="394"/>
      <c r="D335" s="396"/>
      <c r="E335" s="395"/>
      <c r="F335" s="317"/>
      <c r="G335" s="394"/>
      <c r="H335" s="396"/>
      <c r="I335" s="395"/>
      <c r="J335" s="317"/>
      <c r="K335" s="394"/>
      <c r="L335" s="396"/>
      <c r="M335" s="395"/>
      <c r="N335" s="317"/>
      <c r="O335" s="394"/>
      <c r="P335" s="396"/>
      <c r="Q335" s="403"/>
      <c r="R335" s="404"/>
      <c r="S335" s="405"/>
      <c r="T335" s="401"/>
      <c r="U335" s="403"/>
      <c r="V335" s="404"/>
      <c r="W335" s="405"/>
      <c r="X335" s="401"/>
      <c r="Y335" s="403"/>
      <c r="Z335" s="404"/>
      <c r="AA335" s="405"/>
      <c r="AB335" s="401"/>
      <c r="AC335" s="403"/>
      <c r="AD335" s="404"/>
      <c r="AE335" s="405"/>
      <c r="AF335" s="401"/>
      <c r="AG335" s="292"/>
      <c r="AH335" s="292"/>
      <c r="AI335" s="292"/>
      <c r="AJ335" s="292"/>
      <c r="AK335" s="395"/>
      <c r="AL335" s="317"/>
      <c r="AM335" s="394"/>
      <c r="AN335" s="396"/>
      <c r="AO335" s="200"/>
      <c r="AP335" s="200"/>
    </row>
    <row r="336">
      <c r="A336" s="395"/>
      <c r="B336" s="317"/>
      <c r="C336" s="394"/>
      <c r="D336" s="396"/>
      <c r="E336" s="395"/>
      <c r="F336" s="317"/>
      <c r="G336" s="394"/>
      <c r="H336" s="396"/>
      <c r="I336" s="395"/>
      <c r="J336" s="317"/>
      <c r="K336" s="394"/>
      <c r="L336" s="396"/>
      <c r="M336" s="395"/>
      <c r="N336" s="317"/>
      <c r="O336" s="394"/>
      <c r="P336" s="396"/>
      <c r="Q336" s="403"/>
      <c r="R336" s="404"/>
      <c r="S336" s="405"/>
      <c r="T336" s="401"/>
      <c r="U336" s="403"/>
      <c r="V336" s="404"/>
      <c r="W336" s="405"/>
      <c r="X336" s="401"/>
      <c r="Y336" s="403"/>
      <c r="Z336" s="404"/>
      <c r="AA336" s="405"/>
      <c r="AB336" s="401"/>
      <c r="AC336" s="403"/>
      <c r="AD336" s="404"/>
      <c r="AE336" s="405"/>
      <c r="AF336" s="401"/>
      <c r="AG336" s="292"/>
      <c r="AH336" s="292"/>
      <c r="AI336" s="292"/>
      <c r="AJ336" s="292"/>
      <c r="AK336" s="395"/>
      <c r="AL336" s="317"/>
      <c r="AM336" s="394"/>
      <c r="AN336" s="396"/>
      <c r="AO336" s="200"/>
      <c r="AP336" s="200"/>
    </row>
    <row r="337">
      <c r="A337" s="395"/>
      <c r="B337" s="317"/>
      <c r="C337" s="394"/>
      <c r="D337" s="396"/>
      <c r="E337" s="395"/>
      <c r="F337" s="317"/>
      <c r="G337" s="394"/>
      <c r="H337" s="396"/>
      <c r="I337" s="395"/>
      <c r="J337" s="317"/>
      <c r="K337" s="394"/>
      <c r="L337" s="396"/>
      <c r="M337" s="395"/>
      <c r="N337" s="317"/>
      <c r="O337" s="394"/>
      <c r="P337" s="396"/>
      <c r="Q337" s="403"/>
      <c r="R337" s="404"/>
      <c r="S337" s="405"/>
      <c r="T337" s="401"/>
      <c r="U337" s="403"/>
      <c r="V337" s="404"/>
      <c r="W337" s="405"/>
      <c r="X337" s="401"/>
      <c r="Y337" s="403"/>
      <c r="Z337" s="404"/>
      <c r="AA337" s="405"/>
      <c r="AB337" s="401"/>
      <c r="AC337" s="403"/>
      <c r="AD337" s="404"/>
      <c r="AE337" s="405"/>
      <c r="AF337" s="401"/>
      <c r="AG337" s="292"/>
      <c r="AH337" s="292"/>
      <c r="AI337" s="292"/>
      <c r="AJ337" s="292"/>
      <c r="AK337" s="395"/>
      <c r="AL337" s="317"/>
      <c r="AM337" s="394"/>
      <c r="AN337" s="396"/>
      <c r="AO337" s="200"/>
      <c r="AP337" s="200"/>
    </row>
    <row r="338">
      <c r="A338" s="395"/>
      <c r="B338" s="317"/>
      <c r="C338" s="394"/>
      <c r="D338" s="396"/>
      <c r="E338" s="395"/>
      <c r="F338" s="317"/>
      <c r="G338" s="394"/>
      <c r="H338" s="396"/>
      <c r="I338" s="395"/>
      <c r="J338" s="317"/>
      <c r="K338" s="394"/>
      <c r="L338" s="396"/>
      <c r="M338" s="395"/>
      <c r="N338" s="317"/>
      <c r="O338" s="394"/>
      <c r="P338" s="396"/>
      <c r="Q338" s="403"/>
      <c r="R338" s="404"/>
      <c r="S338" s="405"/>
      <c r="T338" s="401"/>
      <c r="U338" s="403"/>
      <c r="V338" s="404"/>
      <c r="W338" s="405"/>
      <c r="X338" s="401"/>
      <c r="Y338" s="403"/>
      <c r="Z338" s="404"/>
      <c r="AA338" s="405"/>
      <c r="AB338" s="401"/>
      <c r="AC338" s="403"/>
      <c r="AD338" s="404"/>
      <c r="AE338" s="405"/>
      <c r="AF338" s="401"/>
      <c r="AG338" s="292"/>
      <c r="AH338" s="292"/>
      <c r="AI338" s="292"/>
      <c r="AJ338" s="292"/>
      <c r="AK338" s="395"/>
      <c r="AL338" s="317"/>
      <c r="AM338" s="394"/>
      <c r="AN338" s="396"/>
      <c r="AO338" s="200"/>
      <c r="AP338" s="200"/>
    </row>
    <row r="339">
      <c r="A339" s="395"/>
      <c r="B339" s="317"/>
      <c r="C339" s="394"/>
      <c r="D339" s="396"/>
      <c r="E339" s="395"/>
      <c r="F339" s="317"/>
      <c r="G339" s="394"/>
      <c r="H339" s="396"/>
      <c r="I339" s="395"/>
      <c r="J339" s="317"/>
      <c r="K339" s="394"/>
      <c r="L339" s="396"/>
      <c r="M339" s="395"/>
      <c r="N339" s="317"/>
      <c r="O339" s="394"/>
      <c r="P339" s="396"/>
      <c r="Q339" s="403"/>
      <c r="R339" s="404"/>
      <c r="S339" s="405"/>
      <c r="T339" s="401"/>
      <c r="U339" s="403"/>
      <c r="V339" s="404"/>
      <c r="W339" s="405"/>
      <c r="X339" s="401"/>
      <c r="Y339" s="403"/>
      <c r="Z339" s="404"/>
      <c r="AA339" s="405"/>
      <c r="AB339" s="401"/>
      <c r="AC339" s="403"/>
      <c r="AD339" s="404"/>
      <c r="AE339" s="405"/>
      <c r="AF339" s="401"/>
      <c r="AG339" s="292"/>
      <c r="AH339" s="292"/>
      <c r="AI339" s="292"/>
      <c r="AJ339" s="292"/>
      <c r="AK339" s="395"/>
      <c r="AL339" s="317"/>
      <c r="AM339" s="394"/>
      <c r="AN339" s="396"/>
      <c r="AO339" s="200"/>
      <c r="AP339" s="200"/>
    </row>
    <row r="340">
      <c r="A340" s="395"/>
      <c r="B340" s="317"/>
      <c r="C340" s="394"/>
      <c r="D340" s="396"/>
      <c r="E340" s="395"/>
      <c r="F340" s="317"/>
      <c r="G340" s="394"/>
      <c r="H340" s="396"/>
      <c r="I340" s="395"/>
      <c r="J340" s="317"/>
      <c r="K340" s="394"/>
      <c r="L340" s="396"/>
      <c r="M340" s="395"/>
      <c r="N340" s="317"/>
      <c r="O340" s="394"/>
      <c r="P340" s="396"/>
      <c r="Q340" s="403"/>
      <c r="R340" s="404"/>
      <c r="S340" s="405"/>
      <c r="T340" s="401"/>
      <c r="U340" s="403"/>
      <c r="V340" s="404"/>
      <c r="W340" s="405"/>
      <c r="X340" s="401"/>
      <c r="Y340" s="403"/>
      <c r="Z340" s="404"/>
      <c r="AA340" s="405"/>
      <c r="AB340" s="401"/>
      <c r="AC340" s="403"/>
      <c r="AD340" s="404"/>
      <c r="AE340" s="405"/>
      <c r="AF340" s="401"/>
      <c r="AG340" s="292"/>
      <c r="AH340" s="292"/>
      <c r="AI340" s="292"/>
      <c r="AJ340" s="292"/>
      <c r="AK340" s="395"/>
      <c r="AL340" s="317"/>
      <c r="AM340" s="394"/>
      <c r="AN340" s="396"/>
      <c r="AO340" s="200"/>
      <c r="AP340" s="200"/>
    </row>
    <row r="341">
      <c r="A341" s="395"/>
      <c r="B341" s="317"/>
      <c r="C341" s="394"/>
      <c r="D341" s="396"/>
      <c r="E341" s="395"/>
      <c r="F341" s="317"/>
      <c r="G341" s="394"/>
      <c r="H341" s="396"/>
      <c r="I341" s="395"/>
      <c r="J341" s="317"/>
      <c r="K341" s="394"/>
      <c r="L341" s="396"/>
      <c r="M341" s="395"/>
      <c r="N341" s="317"/>
      <c r="O341" s="394"/>
      <c r="P341" s="396"/>
      <c r="Q341" s="403"/>
      <c r="R341" s="404"/>
      <c r="S341" s="405"/>
      <c r="T341" s="401"/>
      <c r="U341" s="403"/>
      <c r="V341" s="404"/>
      <c r="W341" s="405"/>
      <c r="X341" s="401"/>
      <c r="Y341" s="403"/>
      <c r="Z341" s="404"/>
      <c r="AA341" s="405"/>
      <c r="AB341" s="401"/>
      <c r="AC341" s="403"/>
      <c r="AD341" s="404"/>
      <c r="AE341" s="405"/>
      <c r="AF341" s="401"/>
      <c r="AG341" s="292"/>
      <c r="AH341" s="292"/>
      <c r="AI341" s="292"/>
      <c r="AJ341" s="292"/>
      <c r="AK341" s="395"/>
      <c r="AL341" s="317"/>
      <c r="AM341" s="394"/>
      <c r="AN341" s="396"/>
      <c r="AO341" s="200"/>
      <c r="AP341" s="200"/>
    </row>
    <row r="342">
      <c r="A342" s="395"/>
      <c r="B342" s="317"/>
      <c r="C342" s="394"/>
      <c r="D342" s="396"/>
      <c r="E342" s="395"/>
      <c r="F342" s="317"/>
      <c r="G342" s="394"/>
      <c r="H342" s="396"/>
      <c r="I342" s="395"/>
      <c r="J342" s="317"/>
      <c r="K342" s="394"/>
      <c r="L342" s="396"/>
      <c r="M342" s="395"/>
      <c r="N342" s="317"/>
      <c r="O342" s="394"/>
      <c r="P342" s="396"/>
      <c r="Q342" s="403"/>
      <c r="R342" s="404"/>
      <c r="S342" s="405"/>
      <c r="T342" s="401"/>
      <c r="U342" s="403"/>
      <c r="V342" s="404"/>
      <c r="W342" s="405"/>
      <c r="X342" s="401"/>
      <c r="Y342" s="403"/>
      <c r="Z342" s="404"/>
      <c r="AA342" s="405"/>
      <c r="AB342" s="401"/>
      <c r="AC342" s="403"/>
      <c r="AD342" s="404"/>
      <c r="AE342" s="405"/>
      <c r="AF342" s="401"/>
      <c r="AG342" s="292"/>
      <c r="AH342" s="292"/>
      <c r="AI342" s="292"/>
      <c r="AJ342" s="292"/>
      <c r="AK342" s="395"/>
      <c r="AL342" s="317"/>
      <c r="AM342" s="394"/>
      <c r="AN342" s="396"/>
      <c r="AO342" s="200"/>
      <c r="AP342" s="200"/>
    </row>
    <row r="343">
      <c r="A343" s="395"/>
      <c r="B343" s="317"/>
      <c r="C343" s="394"/>
      <c r="D343" s="396"/>
      <c r="E343" s="395"/>
      <c r="F343" s="317"/>
      <c r="G343" s="394"/>
      <c r="H343" s="396"/>
      <c r="I343" s="395"/>
      <c r="J343" s="317"/>
      <c r="K343" s="394"/>
      <c r="L343" s="396"/>
      <c r="M343" s="395"/>
      <c r="N343" s="317"/>
      <c r="O343" s="394"/>
      <c r="P343" s="396"/>
      <c r="Q343" s="403"/>
      <c r="R343" s="404"/>
      <c r="S343" s="405"/>
      <c r="T343" s="401"/>
      <c r="U343" s="403"/>
      <c r="V343" s="404"/>
      <c r="W343" s="405"/>
      <c r="X343" s="401"/>
      <c r="Y343" s="403"/>
      <c r="Z343" s="404"/>
      <c r="AA343" s="405"/>
      <c r="AB343" s="401"/>
      <c r="AC343" s="403"/>
      <c r="AD343" s="404"/>
      <c r="AE343" s="405"/>
      <c r="AF343" s="401"/>
      <c r="AG343" s="292"/>
      <c r="AH343" s="292"/>
      <c r="AI343" s="292"/>
      <c r="AJ343" s="292"/>
      <c r="AK343" s="395"/>
      <c r="AL343" s="317"/>
      <c r="AM343" s="394"/>
      <c r="AN343" s="396"/>
      <c r="AO343" s="200"/>
      <c r="AP343" s="200"/>
    </row>
    <row r="344">
      <c r="A344" s="395"/>
      <c r="B344" s="317"/>
      <c r="C344" s="394"/>
      <c r="D344" s="396"/>
      <c r="E344" s="395"/>
      <c r="F344" s="317"/>
      <c r="G344" s="394"/>
      <c r="H344" s="396"/>
      <c r="I344" s="395"/>
      <c r="J344" s="317"/>
      <c r="K344" s="394"/>
      <c r="L344" s="396"/>
      <c r="M344" s="395"/>
      <c r="N344" s="317"/>
      <c r="O344" s="394"/>
      <c r="P344" s="396"/>
      <c r="Q344" s="403"/>
      <c r="R344" s="404"/>
      <c r="S344" s="405"/>
      <c r="T344" s="401"/>
      <c r="U344" s="403"/>
      <c r="V344" s="404"/>
      <c r="W344" s="405"/>
      <c r="X344" s="401"/>
      <c r="Y344" s="403"/>
      <c r="Z344" s="404"/>
      <c r="AA344" s="405"/>
      <c r="AB344" s="401"/>
      <c r="AC344" s="403"/>
      <c r="AD344" s="404"/>
      <c r="AE344" s="405"/>
      <c r="AF344" s="401"/>
      <c r="AG344" s="292"/>
      <c r="AH344" s="292"/>
      <c r="AI344" s="292"/>
      <c r="AJ344" s="292"/>
      <c r="AK344" s="395"/>
      <c r="AL344" s="317"/>
      <c r="AM344" s="394"/>
      <c r="AN344" s="396"/>
      <c r="AO344" s="200"/>
      <c r="AP344" s="200"/>
    </row>
    <row r="345">
      <c r="A345" s="395"/>
      <c r="B345" s="317"/>
      <c r="C345" s="394"/>
      <c r="D345" s="396"/>
      <c r="E345" s="395"/>
      <c r="F345" s="317"/>
      <c r="G345" s="394"/>
      <c r="H345" s="396"/>
      <c r="I345" s="395"/>
      <c r="J345" s="317"/>
      <c r="K345" s="394"/>
      <c r="L345" s="396"/>
      <c r="M345" s="395"/>
      <c r="N345" s="317"/>
      <c r="O345" s="394"/>
      <c r="P345" s="396"/>
      <c r="Q345" s="403"/>
      <c r="R345" s="404"/>
      <c r="S345" s="405"/>
      <c r="T345" s="401"/>
      <c r="U345" s="403"/>
      <c r="V345" s="404"/>
      <c r="W345" s="405"/>
      <c r="X345" s="401"/>
      <c r="Y345" s="403"/>
      <c r="Z345" s="404"/>
      <c r="AA345" s="405"/>
      <c r="AB345" s="401"/>
      <c r="AC345" s="403"/>
      <c r="AD345" s="404"/>
      <c r="AE345" s="405"/>
      <c r="AF345" s="401"/>
      <c r="AG345" s="292"/>
      <c r="AH345" s="292"/>
      <c r="AI345" s="292"/>
      <c r="AJ345" s="292"/>
      <c r="AK345" s="395"/>
      <c r="AL345" s="317"/>
      <c r="AM345" s="394"/>
      <c r="AN345" s="396"/>
      <c r="AO345" s="200"/>
      <c r="AP345" s="200"/>
    </row>
    <row r="346">
      <c r="A346" s="395"/>
      <c r="B346" s="317"/>
      <c r="C346" s="394"/>
      <c r="D346" s="396"/>
      <c r="E346" s="395"/>
      <c r="F346" s="317"/>
      <c r="G346" s="394"/>
      <c r="H346" s="396"/>
      <c r="I346" s="395"/>
      <c r="J346" s="317"/>
      <c r="K346" s="394"/>
      <c r="L346" s="396"/>
      <c r="M346" s="395"/>
      <c r="N346" s="317"/>
      <c r="O346" s="394"/>
      <c r="P346" s="396"/>
      <c r="Q346" s="403"/>
      <c r="R346" s="404"/>
      <c r="S346" s="405"/>
      <c r="T346" s="401"/>
      <c r="U346" s="403"/>
      <c r="V346" s="404"/>
      <c r="W346" s="405"/>
      <c r="X346" s="401"/>
      <c r="Y346" s="403"/>
      <c r="Z346" s="404"/>
      <c r="AA346" s="405"/>
      <c r="AB346" s="401"/>
      <c r="AC346" s="403"/>
      <c r="AD346" s="404"/>
      <c r="AE346" s="405"/>
      <c r="AF346" s="401"/>
      <c r="AG346" s="292"/>
      <c r="AH346" s="292"/>
      <c r="AI346" s="292"/>
      <c r="AJ346" s="292"/>
      <c r="AK346" s="395"/>
      <c r="AL346" s="317"/>
      <c r="AM346" s="394"/>
      <c r="AN346" s="396"/>
      <c r="AO346" s="200"/>
      <c r="AP346" s="200"/>
    </row>
    <row r="347">
      <c r="A347" s="395"/>
      <c r="B347" s="317"/>
      <c r="C347" s="394"/>
      <c r="D347" s="396"/>
      <c r="E347" s="395"/>
      <c r="F347" s="317"/>
      <c r="G347" s="394"/>
      <c r="H347" s="396"/>
      <c r="I347" s="395"/>
      <c r="J347" s="317"/>
      <c r="K347" s="394"/>
      <c r="L347" s="396"/>
      <c r="M347" s="395"/>
      <c r="N347" s="317"/>
      <c r="O347" s="394"/>
      <c r="P347" s="396"/>
      <c r="Q347" s="403"/>
      <c r="R347" s="404"/>
      <c r="S347" s="405"/>
      <c r="T347" s="401"/>
      <c r="U347" s="403"/>
      <c r="V347" s="404"/>
      <c r="W347" s="405"/>
      <c r="X347" s="401"/>
      <c r="Y347" s="403"/>
      <c r="Z347" s="404"/>
      <c r="AA347" s="405"/>
      <c r="AB347" s="401"/>
      <c r="AC347" s="403"/>
      <c r="AD347" s="404"/>
      <c r="AE347" s="405"/>
      <c r="AF347" s="401"/>
      <c r="AG347" s="292"/>
      <c r="AH347" s="292"/>
      <c r="AI347" s="292"/>
      <c r="AJ347" s="292"/>
      <c r="AK347" s="395"/>
      <c r="AL347" s="317"/>
      <c r="AM347" s="394"/>
      <c r="AN347" s="396"/>
      <c r="AO347" s="200"/>
      <c r="AP347" s="200"/>
    </row>
    <row r="348">
      <c r="A348" s="395"/>
      <c r="B348" s="317"/>
      <c r="C348" s="394"/>
      <c r="D348" s="396"/>
      <c r="E348" s="395"/>
      <c r="F348" s="317"/>
      <c r="G348" s="394"/>
      <c r="H348" s="396"/>
      <c r="I348" s="395"/>
      <c r="J348" s="317"/>
      <c r="K348" s="394"/>
      <c r="L348" s="396"/>
      <c r="M348" s="395"/>
      <c r="N348" s="317"/>
      <c r="O348" s="394"/>
      <c r="P348" s="396"/>
      <c r="Q348" s="403"/>
      <c r="R348" s="404"/>
      <c r="S348" s="405"/>
      <c r="T348" s="401"/>
      <c r="U348" s="403"/>
      <c r="V348" s="404"/>
      <c r="W348" s="405"/>
      <c r="X348" s="401"/>
      <c r="Y348" s="403"/>
      <c r="Z348" s="404"/>
      <c r="AA348" s="405"/>
      <c r="AB348" s="401"/>
      <c r="AC348" s="403"/>
      <c r="AD348" s="404"/>
      <c r="AE348" s="405"/>
      <c r="AF348" s="401"/>
      <c r="AG348" s="292"/>
      <c r="AH348" s="292"/>
      <c r="AI348" s="292"/>
      <c r="AJ348" s="292"/>
      <c r="AK348" s="395"/>
      <c r="AL348" s="317"/>
      <c r="AM348" s="394"/>
      <c r="AN348" s="396"/>
      <c r="AO348" s="200"/>
      <c r="AP348" s="200"/>
    </row>
    <row r="349">
      <c r="A349" s="395"/>
      <c r="B349" s="317"/>
      <c r="C349" s="394"/>
      <c r="D349" s="396"/>
      <c r="E349" s="395"/>
      <c r="F349" s="317"/>
      <c r="G349" s="394"/>
      <c r="H349" s="396"/>
      <c r="I349" s="395"/>
      <c r="J349" s="317"/>
      <c r="K349" s="394"/>
      <c r="L349" s="396"/>
      <c r="M349" s="395"/>
      <c r="N349" s="317"/>
      <c r="O349" s="394"/>
      <c r="P349" s="396"/>
      <c r="Q349" s="403"/>
      <c r="R349" s="404"/>
      <c r="S349" s="405"/>
      <c r="T349" s="401"/>
      <c r="U349" s="403"/>
      <c r="V349" s="404"/>
      <c r="W349" s="405"/>
      <c r="X349" s="401"/>
      <c r="Y349" s="403"/>
      <c r="Z349" s="404"/>
      <c r="AA349" s="405"/>
      <c r="AB349" s="401"/>
      <c r="AC349" s="403"/>
      <c r="AD349" s="404"/>
      <c r="AE349" s="405"/>
      <c r="AF349" s="401"/>
      <c r="AG349" s="292"/>
      <c r="AH349" s="292"/>
      <c r="AI349" s="292"/>
      <c r="AJ349" s="292"/>
      <c r="AK349" s="395"/>
      <c r="AL349" s="317"/>
      <c r="AM349" s="394"/>
      <c r="AN349" s="396"/>
      <c r="AO349" s="200"/>
      <c r="AP349" s="200"/>
    </row>
    <row r="350">
      <c r="A350" s="395"/>
      <c r="B350" s="317"/>
      <c r="C350" s="394"/>
      <c r="D350" s="396"/>
      <c r="E350" s="395"/>
      <c r="F350" s="317"/>
      <c r="G350" s="394"/>
      <c r="H350" s="396"/>
      <c r="I350" s="395"/>
      <c r="J350" s="317"/>
      <c r="K350" s="394"/>
      <c r="L350" s="396"/>
      <c r="M350" s="395"/>
      <c r="N350" s="317"/>
      <c r="O350" s="394"/>
      <c r="P350" s="396"/>
      <c r="Q350" s="403"/>
      <c r="R350" s="404"/>
      <c r="S350" s="405"/>
      <c r="T350" s="401"/>
      <c r="U350" s="403"/>
      <c r="V350" s="404"/>
      <c r="W350" s="405"/>
      <c r="X350" s="401"/>
      <c r="Y350" s="403"/>
      <c r="Z350" s="404"/>
      <c r="AA350" s="405"/>
      <c r="AB350" s="401"/>
      <c r="AC350" s="403"/>
      <c r="AD350" s="404"/>
      <c r="AE350" s="405"/>
      <c r="AF350" s="401"/>
      <c r="AG350" s="292"/>
      <c r="AH350" s="292"/>
      <c r="AI350" s="292"/>
      <c r="AJ350" s="292"/>
      <c r="AK350" s="395"/>
      <c r="AL350" s="317"/>
      <c r="AM350" s="394"/>
      <c r="AN350" s="396"/>
      <c r="AO350" s="200"/>
      <c r="AP350" s="200"/>
    </row>
    <row r="351">
      <c r="A351" s="395"/>
      <c r="B351" s="317"/>
      <c r="C351" s="394"/>
      <c r="D351" s="396"/>
      <c r="E351" s="395"/>
      <c r="F351" s="317"/>
      <c r="G351" s="394"/>
      <c r="H351" s="396"/>
      <c r="I351" s="395"/>
      <c r="J351" s="317"/>
      <c r="K351" s="394"/>
      <c r="L351" s="396"/>
      <c r="M351" s="395"/>
      <c r="N351" s="317"/>
      <c r="O351" s="394"/>
      <c r="P351" s="396"/>
      <c r="Q351" s="403"/>
      <c r="R351" s="404"/>
      <c r="S351" s="405"/>
      <c r="T351" s="401"/>
      <c r="U351" s="403"/>
      <c r="V351" s="404"/>
      <c r="W351" s="405"/>
      <c r="X351" s="401"/>
      <c r="Y351" s="403"/>
      <c r="Z351" s="404"/>
      <c r="AA351" s="405"/>
      <c r="AB351" s="401"/>
      <c r="AC351" s="403"/>
      <c r="AD351" s="404"/>
      <c r="AE351" s="405"/>
      <c r="AF351" s="401"/>
      <c r="AG351" s="292"/>
      <c r="AH351" s="292"/>
      <c r="AI351" s="292"/>
      <c r="AJ351" s="292"/>
      <c r="AK351" s="395"/>
      <c r="AL351" s="317"/>
      <c r="AM351" s="394"/>
      <c r="AN351" s="396"/>
      <c r="AO351" s="200"/>
      <c r="AP351" s="200"/>
    </row>
    <row r="352">
      <c r="A352" s="395"/>
      <c r="B352" s="317"/>
      <c r="C352" s="394"/>
      <c r="D352" s="396"/>
      <c r="E352" s="395"/>
      <c r="F352" s="317"/>
      <c r="G352" s="394"/>
      <c r="H352" s="396"/>
      <c r="I352" s="395"/>
      <c r="J352" s="317"/>
      <c r="K352" s="394"/>
      <c r="L352" s="396"/>
      <c r="M352" s="395"/>
      <c r="N352" s="317"/>
      <c r="O352" s="394"/>
      <c r="P352" s="396"/>
      <c r="Q352" s="403"/>
      <c r="R352" s="404"/>
      <c r="S352" s="405"/>
      <c r="T352" s="401"/>
      <c r="U352" s="403"/>
      <c r="V352" s="404"/>
      <c r="W352" s="405"/>
      <c r="X352" s="401"/>
      <c r="Y352" s="403"/>
      <c r="Z352" s="404"/>
      <c r="AA352" s="405"/>
      <c r="AB352" s="401"/>
      <c r="AC352" s="403"/>
      <c r="AD352" s="404"/>
      <c r="AE352" s="405"/>
      <c r="AF352" s="401"/>
      <c r="AG352" s="292"/>
      <c r="AH352" s="292"/>
      <c r="AI352" s="292"/>
      <c r="AJ352" s="292"/>
      <c r="AK352" s="395"/>
      <c r="AL352" s="317"/>
      <c r="AM352" s="394"/>
      <c r="AN352" s="396"/>
      <c r="AO352" s="200"/>
      <c r="AP352" s="200"/>
    </row>
    <row r="353">
      <c r="A353" s="395"/>
      <c r="B353" s="317"/>
      <c r="C353" s="394"/>
      <c r="D353" s="396"/>
      <c r="E353" s="395"/>
      <c r="F353" s="317"/>
      <c r="G353" s="394"/>
      <c r="H353" s="396"/>
      <c r="I353" s="395"/>
      <c r="J353" s="317"/>
      <c r="K353" s="394"/>
      <c r="L353" s="396"/>
      <c r="M353" s="395"/>
      <c r="N353" s="317"/>
      <c r="O353" s="394"/>
      <c r="P353" s="396"/>
      <c r="Q353" s="403"/>
      <c r="R353" s="404"/>
      <c r="S353" s="405"/>
      <c r="T353" s="401"/>
      <c r="U353" s="403"/>
      <c r="V353" s="404"/>
      <c r="W353" s="405"/>
      <c r="X353" s="401"/>
      <c r="Y353" s="403"/>
      <c r="Z353" s="404"/>
      <c r="AA353" s="405"/>
      <c r="AB353" s="401"/>
      <c r="AC353" s="403"/>
      <c r="AD353" s="404"/>
      <c r="AE353" s="405"/>
      <c r="AF353" s="401"/>
      <c r="AG353" s="292"/>
      <c r="AH353" s="292"/>
      <c r="AI353" s="292"/>
      <c r="AJ353" s="292"/>
      <c r="AK353" s="395"/>
      <c r="AL353" s="317"/>
      <c r="AM353" s="394"/>
      <c r="AN353" s="396"/>
      <c r="AO353" s="200"/>
      <c r="AP353" s="200"/>
    </row>
    <row r="354">
      <c r="A354" s="395"/>
      <c r="B354" s="317"/>
      <c r="C354" s="394"/>
      <c r="D354" s="396"/>
      <c r="E354" s="395"/>
      <c r="F354" s="317"/>
      <c r="G354" s="394"/>
      <c r="H354" s="396"/>
      <c r="I354" s="395"/>
      <c r="J354" s="317"/>
      <c r="K354" s="394"/>
      <c r="L354" s="396"/>
      <c r="M354" s="395"/>
      <c r="N354" s="317"/>
      <c r="O354" s="394"/>
      <c r="P354" s="396"/>
      <c r="Q354" s="403"/>
      <c r="R354" s="404"/>
      <c r="S354" s="405"/>
      <c r="T354" s="401"/>
      <c r="U354" s="403"/>
      <c r="V354" s="404"/>
      <c r="W354" s="405"/>
      <c r="X354" s="401"/>
      <c r="Y354" s="403"/>
      <c r="Z354" s="404"/>
      <c r="AA354" s="405"/>
      <c r="AB354" s="401"/>
      <c r="AC354" s="403"/>
      <c r="AD354" s="404"/>
      <c r="AE354" s="405"/>
      <c r="AF354" s="401"/>
      <c r="AG354" s="292"/>
      <c r="AH354" s="292"/>
      <c r="AI354" s="292"/>
      <c r="AJ354" s="292"/>
      <c r="AK354" s="395"/>
      <c r="AL354" s="317"/>
      <c r="AM354" s="394"/>
      <c r="AN354" s="396"/>
      <c r="AO354" s="200"/>
      <c r="AP354" s="200"/>
    </row>
    <row r="355">
      <c r="A355" s="395"/>
      <c r="B355" s="317"/>
      <c r="C355" s="394"/>
      <c r="D355" s="396"/>
      <c r="E355" s="395"/>
      <c r="F355" s="317"/>
      <c r="G355" s="394"/>
      <c r="H355" s="396"/>
      <c r="I355" s="395"/>
      <c r="J355" s="317"/>
      <c r="K355" s="394"/>
      <c r="L355" s="396"/>
      <c r="M355" s="395"/>
      <c r="N355" s="317"/>
      <c r="O355" s="394"/>
      <c r="P355" s="396"/>
      <c r="Q355" s="403"/>
      <c r="R355" s="404"/>
      <c r="S355" s="405"/>
      <c r="T355" s="401"/>
      <c r="U355" s="403"/>
      <c r="V355" s="404"/>
      <c r="W355" s="405"/>
      <c r="X355" s="401"/>
      <c r="Y355" s="403"/>
      <c r="Z355" s="404"/>
      <c r="AA355" s="405"/>
      <c r="AB355" s="401"/>
      <c r="AC355" s="403"/>
      <c r="AD355" s="404"/>
      <c r="AE355" s="405"/>
      <c r="AF355" s="401"/>
      <c r="AG355" s="292"/>
      <c r="AH355" s="292"/>
      <c r="AI355" s="292"/>
      <c r="AJ355" s="292"/>
      <c r="AK355" s="395"/>
      <c r="AL355" s="317"/>
      <c r="AM355" s="394"/>
      <c r="AN355" s="396"/>
      <c r="AO355" s="200"/>
      <c r="AP355" s="200"/>
    </row>
    <row r="356">
      <c r="A356" s="395"/>
      <c r="B356" s="317"/>
      <c r="C356" s="394"/>
      <c r="D356" s="396"/>
      <c r="E356" s="395"/>
      <c r="F356" s="317"/>
      <c r="G356" s="394"/>
      <c r="H356" s="396"/>
      <c r="I356" s="395"/>
      <c r="J356" s="317"/>
      <c r="K356" s="394"/>
      <c r="L356" s="396"/>
      <c r="M356" s="395"/>
      <c r="N356" s="317"/>
      <c r="O356" s="394"/>
      <c r="P356" s="396"/>
      <c r="Q356" s="403"/>
      <c r="R356" s="404"/>
      <c r="S356" s="405"/>
      <c r="T356" s="401"/>
      <c r="U356" s="403"/>
      <c r="V356" s="404"/>
      <c r="W356" s="405"/>
      <c r="X356" s="401"/>
      <c r="Y356" s="403"/>
      <c r="Z356" s="404"/>
      <c r="AA356" s="405"/>
      <c r="AB356" s="401"/>
      <c r="AC356" s="403"/>
      <c r="AD356" s="404"/>
      <c r="AE356" s="405"/>
      <c r="AF356" s="401"/>
      <c r="AG356" s="292"/>
      <c r="AH356" s="292"/>
      <c r="AI356" s="292"/>
      <c r="AJ356" s="292"/>
      <c r="AK356" s="395"/>
      <c r="AL356" s="317"/>
      <c r="AM356" s="394"/>
      <c r="AN356" s="396"/>
      <c r="AO356" s="200"/>
      <c r="AP356" s="200"/>
    </row>
    <row r="357">
      <c r="A357" s="395"/>
      <c r="B357" s="317"/>
      <c r="C357" s="394"/>
      <c r="D357" s="396"/>
      <c r="E357" s="395"/>
      <c r="F357" s="317"/>
      <c r="G357" s="394"/>
      <c r="H357" s="396"/>
      <c r="I357" s="395"/>
      <c r="J357" s="317"/>
      <c r="K357" s="394"/>
      <c r="L357" s="396"/>
      <c r="M357" s="395"/>
      <c r="N357" s="317"/>
      <c r="O357" s="394"/>
      <c r="P357" s="396"/>
      <c r="Q357" s="403"/>
      <c r="R357" s="404"/>
      <c r="S357" s="405"/>
      <c r="T357" s="401"/>
      <c r="U357" s="403"/>
      <c r="V357" s="404"/>
      <c r="W357" s="405"/>
      <c r="X357" s="401"/>
      <c r="Y357" s="403"/>
      <c r="Z357" s="404"/>
      <c r="AA357" s="405"/>
      <c r="AB357" s="401"/>
      <c r="AC357" s="403"/>
      <c r="AD357" s="404"/>
      <c r="AE357" s="405"/>
      <c r="AF357" s="401"/>
      <c r="AG357" s="292"/>
      <c r="AH357" s="292"/>
      <c r="AI357" s="292"/>
      <c r="AJ357" s="292"/>
      <c r="AK357" s="395"/>
      <c r="AL357" s="317"/>
      <c r="AM357" s="394"/>
      <c r="AN357" s="396"/>
      <c r="AO357" s="200"/>
      <c r="AP357" s="200"/>
    </row>
    <row r="358">
      <c r="A358" s="395"/>
      <c r="B358" s="317"/>
      <c r="C358" s="394"/>
      <c r="D358" s="396"/>
      <c r="E358" s="395"/>
      <c r="F358" s="317"/>
      <c r="G358" s="394"/>
      <c r="H358" s="396"/>
      <c r="I358" s="395"/>
      <c r="J358" s="317"/>
      <c r="K358" s="394"/>
      <c r="L358" s="396"/>
      <c r="M358" s="395"/>
      <c r="N358" s="317"/>
      <c r="O358" s="394"/>
      <c r="P358" s="396"/>
      <c r="Q358" s="403"/>
      <c r="R358" s="404"/>
      <c r="S358" s="405"/>
      <c r="T358" s="401"/>
      <c r="U358" s="403"/>
      <c r="V358" s="404"/>
      <c r="W358" s="405"/>
      <c r="X358" s="401"/>
      <c r="Y358" s="403"/>
      <c r="Z358" s="404"/>
      <c r="AA358" s="405"/>
      <c r="AB358" s="401"/>
      <c r="AC358" s="403"/>
      <c r="AD358" s="404"/>
      <c r="AE358" s="405"/>
      <c r="AF358" s="401"/>
      <c r="AG358" s="292"/>
      <c r="AH358" s="292"/>
      <c r="AI358" s="292"/>
      <c r="AJ358" s="292"/>
      <c r="AK358" s="395"/>
      <c r="AL358" s="317"/>
      <c r="AM358" s="394"/>
      <c r="AN358" s="396"/>
      <c r="AO358" s="200"/>
      <c r="AP358" s="200"/>
    </row>
    <row r="359">
      <c r="A359" s="395"/>
      <c r="B359" s="317"/>
      <c r="C359" s="394"/>
      <c r="D359" s="396"/>
      <c r="E359" s="395"/>
      <c r="F359" s="317"/>
      <c r="G359" s="394"/>
      <c r="H359" s="396"/>
      <c r="I359" s="395"/>
      <c r="J359" s="317"/>
      <c r="K359" s="394"/>
      <c r="L359" s="396"/>
      <c r="M359" s="395"/>
      <c r="N359" s="317"/>
      <c r="O359" s="394"/>
      <c r="P359" s="396"/>
      <c r="Q359" s="403"/>
      <c r="R359" s="404"/>
      <c r="S359" s="405"/>
      <c r="T359" s="401"/>
      <c r="U359" s="403"/>
      <c r="V359" s="404"/>
      <c r="W359" s="405"/>
      <c r="X359" s="401"/>
      <c r="Y359" s="403"/>
      <c r="Z359" s="404"/>
      <c r="AA359" s="405"/>
      <c r="AB359" s="401"/>
      <c r="AC359" s="403"/>
      <c r="AD359" s="404"/>
      <c r="AE359" s="405"/>
      <c r="AF359" s="401"/>
      <c r="AG359" s="292"/>
      <c r="AH359" s="292"/>
      <c r="AI359" s="292"/>
      <c r="AJ359" s="292"/>
      <c r="AK359" s="395"/>
      <c r="AL359" s="317"/>
      <c r="AM359" s="394"/>
      <c r="AN359" s="396"/>
      <c r="AO359" s="200"/>
      <c r="AP359" s="200"/>
    </row>
    <row r="360">
      <c r="A360" s="395"/>
      <c r="B360" s="317"/>
      <c r="C360" s="394"/>
      <c r="D360" s="396"/>
      <c r="E360" s="395"/>
      <c r="F360" s="317"/>
      <c r="G360" s="394"/>
      <c r="H360" s="396"/>
      <c r="I360" s="395"/>
      <c r="J360" s="317"/>
      <c r="K360" s="394"/>
      <c r="L360" s="396"/>
      <c r="M360" s="395"/>
      <c r="N360" s="317"/>
      <c r="O360" s="394"/>
      <c r="P360" s="396"/>
      <c r="Q360" s="403"/>
      <c r="R360" s="404"/>
      <c r="S360" s="405"/>
      <c r="T360" s="401"/>
      <c r="U360" s="403"/>
      <c r="V360" s="404"/>
      <c r="W360" s="405"/>
      <c r="X360" s="401"/>
      <c r="Y360" s="403"/>
      <c r="Z360" s="404"/>
      <c r="AA360" s="405"/>
      <c r="AB360" s="401"/>
      <c r="AC360" s="403"/>
      <c r="AD360" s="404"/>
      <c r="AE360" s="405"/>
      <c r="AF360" s="401"/>
      <c r="AG360" s="292"/>
      <c r="AH360" s="292"/>
      <c r="AI360" s="292"/>
      <c r="AJ360" s="292"/>
      <c r="AK360" s="395"/>
      <c r="AL360" s="317"/>
      <c r="AM360" s="394"/>
      <c r="AN360" s="396"/>
      <c r="AO360" s="200"/>
      <c r="AP360" s="200"/>
    </row>
    <row r="361">
      <c r="A361" s="395"/>
      <c r="B361" s="317"/>
      <c r="C361" s="394"/>
      <c r="D361" s="396"/>
      <c r="E361" s="395"/>
      <c r="F361" s="317"/>
      <c r="G361" s="394"/>
      <c r="H361" s="396"/>
      <c r="I361" s="395"/>
      <c r="J361" s="317"/>
      <c r="K361" s="394"/>
      <c r="L361" s="396"/>
      <c r="M361" s="395"/>
      <c r="N361" s="317"/>
      <c r="O361" s="394"/>
      <c r="P361" s="396"/>
      <c r="Q361" s="403"/>
      <c r="R361" s="404"/>
      <c r="S361" s="405"/>
      <c r="T361" s="401"/>
      <c r="U361" s="403"/>
      <c r="V361" s="404"/>
      <c r="W361" s="405"/>
      <c r="X361" s="401"/>
      <c r="Y361" s="403"/>
      <c r="Z361" s="404"/>
      <c r="AA361" s="405"/>
      <c r="AB361" s="401"/>
      <c r="AC361" s="403"/>
      <c r="AD361" s="404"/>
      <c r="AE361" s="405"/>
      <c r="AF361" s="401"/>
      <c r="AG361" s="292"/>
      <c r="AH361" s="292"/>
      <c r="AI361" s="292"/>
      <c r="AJ361" s="292"/>
      <c r="AK361" s="395"/>
      <c r="AL361" s="317"/>
      <c r="AM361" s="394"/>
      <c r="AN361" s="396"/>
      <c r="AO361" s="200"/>
      <c r="AP361" s="200"/>
    </row>
    <row r="362">
      <c r="A362" s="395"/>
      <c r="B362" s="317"/>
      <c r="C362" s="394"/>
      <c r="D362" s="396"/>
      <c r="E362" s="395"/>
      <c r="F362" s="317"/>
      <c r="G362" s="394"/>
      <c r="H362" s="396"/>
      <c r="I362" s="395"/>
      <c r="J362" s="317"/>
      <c r="K362" s="394"/>
      <c r="L362" s="396"/>
      <c r="M362" s="395"/>
      <c r="N362" s="317"/>
      <c r="O362" s="394"/>
      <c r="P362" s="396"/>
      <c r="Q362" s="403"/>
      <c r="R362" s="404"/>
      <c r="S362" s="405"/>
      <c r="T362" s="401"/>
      <c r="U362" s="403"/>
      <c r="V362" s="404"/>
      <c r="W362" s="405"/>
      <c r="X362" s="401"/>
      <c r="Y362" s="403"/>
      <c r="Z362" s="404"/>
      <c r="AA362" s="405"/>
      <c r="AB362" s="401"/>
      <c r="AC362" s="403"/>
      <c r="AD362" s="404"/>
      <c r="AE362" s="405"/>
      <c r="AF362" s="401"/>
      <c r="AG362" s="292"/>
      <c r="AH362" s="292"/>
      <c r="AI362" s="292"/>
      <c r="AJ362" s="292"/>
      <c r="AK362" s="395"/>
      <c r="AL362" s="317"/>
      <c r="AM362" s="394"/>
      <c r="AN362" s="396"/>
      <c r="AO362" s="200"/>
      <c r="AP362" s="200"/>
    </row>
    <row r="363">
      <c r="A363" s="395"/>
      <c r="B363" s="317"/>
      <c r="C363" s="394"/>
      <c r="D363" s="396"/>
      <c r="E363" s="395"/>
      <c r="F363" s="317"/>
      <c r="G363" s="394"/>
      <c r="H363" s="396"/>
      <c r="I363" s="395"/>
      <c r="J363" s="317"/>
      <c r="K363" s="394"/>
      <c r="L363" s="396"/>
      <c r="M363" s="395"/>
      <c r="N363" s="317"/>
      <c r="O363" s="394"/>
      <c r="P363" s="396"/>
      <c r="Q363" s="403"/>
      <c r="R363" s="404"/>
      <c r="S363" s="405"/>
      <c r="T363" s="401"/>
      <c r="U363" s="403"/>
      <c r="V363" s="404"/>
      <c r="W363" s="405"/>
      <c r="X363" s="401"/>
      <c r="Y363" s="403"/>
      <c r="Z363" s="404"/>
      <c r="AA363" s="405"/>
      <c r="AB363" s="401"/>
      <c r="AC363" s="403"/>
      <c r="AD363" s="404"/>
      <c r="AE363" s="405"/>
      <c r="AF363" s="401"/>
      <c r="AG363" s="292"/>
      <c r="AH363" s="292"/>
      <c r="AI363" s="292"/>
      <c r="AJ363" s="292"/>
      <c r="AK363" s="395"/>
      <c r="AL363" s="317"/>
      <c r="AM363" s="394"/>
      <c r="AN363" s="396"/>
      <c r="AO363" s="200"/>
      <c r="AP363" s="200"/>
    </row>
    <row r="364">
      <c r="A364" s="395"/>
      <c r="B364" s="317"/>
      <c r="C364" s="394"/>
      <c r="D364" s="396"/>
      <c r="E364" s="395"/>
      <c r="F364" s="317"/>
      <c r="G364" s="394"/>
      <c r="H364" s="396"/>
      <c r="I364" s="395"/>
      <c r="J364" s="317"/>
      <c r="K364" s="394"/>
      <c r="L364" s="396"/>
      <c r="M364" s="395"/>
      <c r="N364" s="317"/>
      <c r="O364" s="394"/>
      <c r="P364" s="396"/>
      <c r="Q364" s="403"/>
      <c r="R364" s="404"/>
      <c r="S364" s="405"/>
      <c r="T364" s="401"/>
      <c r="U364" s="403"/>
      <c r="V364" s="404"/>
      <c r="W364" s="405"/>
      <c r="X364" s="401"/>
      <c r="Y364" s="403"/>
      <c r="Z364" s="404"/>
      <c r="AA364" s="405"/>
      <c r="AB364" s="401"/>
      <c r="AC364" s="403"/>
      <c r="AD364" s="404"/>
      <c r="AE364" s="405"/>
      <c r="AF364" s="401"/>
      <c r="AG364" s="292"/>
      <c r="AH364" s="292"/>
      <c r="AI364" s="292"/>
      <c r="AJ364" s="292"/>
      <c r="AK364" s="395"/>
      <c r="AL364" s="317"/>
      <c r="AM364" s="394"/>
      <c r="AN364" s="396"/>
      <c r="AO364" s="200"/>
      <c r="AP364" s="200"/>
    </row>
    <row r="365">
      <c r="A365" s="395"/>
      <c r="B365" s="317"/>
      <c r="C365" s="394"/>
      <c r="D365" s="396"/>
      <c r="E365" s="395"/>
      <c r="F365" s="317"/>
      <c r="G365" s="394"/>
      <c r="H365" s="396"/>
      <c r="I365" s="395"/>
      <c r="J365" s="317"/>
      <c r="K365" s="394"/>
      <c r="L365" s="396"/>
      <c r="M365" s="395"/>
      <c r="N365" s="317"/>
      <c r="O365" s="394"/>
      <c r="P365" s="396"/>
      <c r="Q365" s="403"/>
      <c r="R365" s="404"/>
      <c r="S365" s="405"/>
      <c r="T365" s="401"/>
      <c r="U365" s="403"/>
      <c r="V365" s="404"/>
      <c r="W365" s="405"/>
      <c r="X365" s="401"/>
      <c r="Y365" s="403"/>
      <c r="Z365" s="404"/>
      <c r="AA365" s="405"/>
      <c r="AB365" s="401"/>
      <c r="AC365" s="403"/>
      <c r="AD365" s="404"/>
      <c r="AE365" s="405"/>
      <c r="AF365" s="401"/>
      <c r="AG365" s="292"/>
      <c r="AH365" s="292"/>
      <c r="AI365" s="292"/>
      <c r="AJ365" s="292"/>
      <c r="AK365" s="395"/>
      <c r="AL365" s="317"/>
      <c r="AM365" s="394"/>
      <c r="AN365" s="396"/>
      <c r="AO365" s="200"/>
      <c r="AP365" s="200"/>
    </row>
    <row r="366">
      <c r="A366" s="395"/>
      <c r="B366" s="317"/>
      <c r="C366" s="394"/>
      <c r="D366" s="396"/>
      <c r="E366" s="395"/>
      <c r="F366" s="317"/>
      <c r="G366" s="394"/>
      <c r="H366" s="396"/>
      <c r="I366" s="395"/>
      <c r="J366" s="317"/>
      <c r="K366" s="394"/>
      <c r="L366" s="396"/>
      <c r="M366" s="395"/>
      <c r="N366" s="317"/>
      <c r="O366" s="394"/>
      <c r="P366" s="396"/>
      <c r="Q366" s="403"/>
      <c r="R366" s="404"/>
      <c r="S366" s="405"/>
      <c r="T366" s="401"/>
      <c r="U366" s="403"/>
      <c r="V366" s="404"/>
      <c r="W366" s="405"/>
      <c r="X366" s="401"/>
      <c r="Y366" s="403"/>
      <c r="Z366" s="404"/>
      <c r="AA366" s="405"/>
      <c r="AB366" s="401"/>
      <c r="AC366" s="403"/>
      <c r="AD366" s="404"/>
      <c r="AE366" s="405"/>
      <c r="AF366" s="401"/>
      <c r="AG366" s="292"/>
      <c r="AH366" s="292"/>
      <c r="AI366" s="292"/>
      <c r="AJ366" s="292"/>
      <c r="AK366" s="395"/>
      <c r="AL366" s="317"/>
      <c r="AM366" s="394"/>
      <c r="AN366" s="396"/>
      <c r="AO366" s="200"/>
      <c r="AP366" s="200"/>
    </row>
    <row r="367">
      <c r="A367" s="395"/>
      <c r="B367" s="317"/>
      <c r="C367" s="394"/>
      <c r="D367" s="396"/>
      <c r="E367" s="395"/>
      <c r="F367" s="317"/>
      <c r="G367" s="394"/>
      <c r="H367" s="396"/>
      <c r="I367" s="395"/>
      <c r="J367" s="317"/>
      <c r="K367" s="394"/>
      <c r="L367" s="396"/>
      <c r="M367" s="395"/>
      <c r="N367" s="317"/>
      <c r="O367" s="394"/>
      <c r="P367" s="396"/>
      <c r="Q367" s="403"/>
      <c r="R367" s="404"/>
      <c r="S367" s="405"/>
      <c r="T367" s="401"/>
      <c r="U367" s="403"/>
      <c r="V367" s="404"/>
      <c r="W367" s="405"/>
      <c r="X367" s="401"/>
      <c r="Y367" s="403"/>
      <c r="Z367" s="404"/>
      <c r="AA367" s="405"/>
      <c r="AB367" s="401"/>
      <c r="AC367" s="403"/>
      <c r="AD367" s="404"/>
      <c r="AE367" s="405"/>
      <c r="AF367" s="401"/>
      <c r="AG367" s="292"/>
      <c r="AH367" s="292"/>
      <c r="AI367" s="292"/>
      <c r="AJ367" s="292"/>
      <c r="AK367" s="395"/>
      <c r="AL367" s="317"/>
      <c r="AM367" s="394"/>
      <c r="AN367" s="396"/>
      <c r="AO367" s="200"/>
      <c r="AP367" s="200"/>
    </row>
    <row r="368">
      <c r="A368" s="395"/>
      <c r="B368" s="317"/>
      <c r="C368" s="394"/>
      <c r="D368" s="396"/>
      <c r="E368" s="395"/>
      <c r="F368" s="317"/>
      <c r="G368" s="394"/>
      <c r="H368" s="396"/>
      <c r="I368" s="395"/>
      <c r="J368" s="317"/>
      <c r="K368" s="394"/>
      <c r="L368" s="396"/>
      <c r="M368" s="395"/>
      <c r="N368" s="317"/>
      <c r="O368" s="394"/>
      <c r="P368" s="396"/>
      <c r="Q368" s="403"/>
      <c r="R368" s="404"/>
      <c r="S368" s="405"/>
      <c r="T368" s="401"/>
      <c r="U368" s="403"/>
      <c r="V368" s="404"/>
      <c r="W368" s="405"/>
      <c r="X368" s="401"/>
      <c r="Y368" s="403"/>
      <c r="Z368" s="404"/>
      <c r="AA368" s="405"/>
      <c r="AB368" s="401"/>
      <c r="AC368" s="403"/>
      <c r="AD368" s="404"/>
      <c r="AE368" s="405"/>
      <c r="AF368" s="401"/>
      <c r="AG368" s="292"/>
      <c r="AH368" s="292"/>
      <c r="AI368" s="292"/>
      <c r="AJ368" s="292"/>
      <c r="AK368" s="395"/>
      <c r="AL368" s="317"/>
      <c r="AM368" s="394"/>
      <c r="AN368" s="396"/>
      <c r="AO368" s="200"/>
      <c r="AP368" s="200"/>
    </row>
    <row r="369">
      <c r="A369" s="395"/>
      <c r="B369" s="317"/>
      <c r="C369" s="394"/>
      <c r="D369" s="396"/>
      <c r="E369" s="395"/>
      <c r="F369" s="317"/>
      <c r="G369" s="394"/>
      <c r="H369" s="396"/>
      <c r="I369" s="395"/>
      <c r="J369" s="317"/>
      <c r="K369" s="394"/>
      <c r="L369" s="396"/>
      <c r="M369" s="395"/>
      <c r="N369" s="317"/>
      <c r="O369" s="394"/>
      <c r="P369" s="396"/>
      <c r="Q369" s="403"/>
      <c r="R369" s="404"/>
      <c r="S369" s="405"/>
      <c r="T369" s="401"/>
      <c r="U369" s="403"/>
      <c r="V369" s="404"/>
      <c r="W369" s="405"/>
      <c r="X369" s="401"/>
      <c r="Y369" s="403"/>
      <c r="Z369" s="404"/>
      <c r="AA369" s="405"/>
      <c r="AB369" s="401"/>
      <c r="AC369" s="403"/>
      <c r="AD369" s="404"/>
      <c r="AE369" s="405"/>
      <c r="AF369" s="401"/>
      <c r="AG369" s="292"/>
      <c r="AH369" s="292"/>
      <c r="AI369" s="292"/>
      <c r="AJ369" s="292"/>
      <c r="AK369" s="395"/>
      <c r="AL369" s="317"/>
      <c r="AM369" s="394"/>
      <c r="AN369" s="396"/>
      <c r="AO369" s="200"/>
      <c r="AP369" s="200"/>
    </row>
    <row r="370">
      <c r="A370" s="395"/>
      <c r="B370" s="317"/>
      <c r="C370" s="394"/>
      <c r="D370" s="396"/>
      <c r="E370" s="395"/>
      <c r="F370" s="317"/>
      <c r="G370" s="394"/>
      <c r="H370" s="396"/>
      <c r="I370" s="395"/>
      <c r="J370" s="317"/>
      <c r="K370" s="394"/>
      <c r="L370" s="396"/>
      <c r="M370" s="395"/>
      <c r="N370" s="317"/>
      <c r="O370" s="394"/>
      <c r="P370" s="396"/>
      <c r="Q370" s="403"/>
      <c r="R370" s="404"/>
      <c r="S370" s="405"/>
      <c r="T370" s="401"/>
      <c r="U370" s="403"/>
      <c r="V370" s="404"/>
      <c r="W370" s="405"/>
      <c r="X370" s="401"/>
      <c r="Y370" s="403"/>
      <c r="Z370" s="404"/>
      <c r="AA370" s="405"/>
      <c r="AB370" s="401"/>
      <c r="AC370" s="403"/>
      <c r="AD370" s="404"/>
      <c r="AE370" s="405"/>
      <c r="AF370" s="401"/>
      <c r="AG370" s="292"/>
      <c r="AH370" s="292"/>
      <c r="AI370" s="292"/>
      <c r="AJ370" s="292"/>
      <c r="AK370" s="395"/>
      <c r="AL370" s="317"/>
      <c r="AM370" s="394"/>
      <c r="AN370" s="396"/>
      <c r="AO370" s="200"/>
      <c r="AP370" s="200"/>
    </row>
    <row r="371">
      <c r="A371" s="395"/>
      <c r="B371" s="317"/>
      <c r="C371" s="394"/>
      <c r="D371" s="396"/>
      <c r="E371" s="395"/>
      <c r="F371" s="317"/>
      <c r="G371" s="394"/>
      <c r="H371" s="396"/>
      <c r="I371" s="395"/>
      <c r="J371" s="317"/>
      <c r="K371" s="394"/>
      <c r="L371" s="396"/>
      <c r="M371" s="395"/>
      <c r="N371" s="317"/>
      <c r="O371" s="394"/>
      <c r="P371" s="396"/>
      <c r="Q371" s="403"/>
      <c r="R371" s="404"/>
      <c r="S371" s="405"/>
      <c r="T371" s="401"/>
      <c r="U371" s="403"/>
      <c r="V371" s="404"/>
      <c r="W371" s="405"/>
      <c r="X371" s="401"/>
      <c r="Y371" s="403"/>
      <c r="Z371" s="404"/>
      <c r="AA371" s="405"/>
      <c r="AB371" s="401"/>
      <c r="AC371" s="403"/>
      <c r="AD371" s="404"/>
      <c r="AE371" s="405"/>
      <c r="AF371" s="401"/>
      <c r="AG371" s="292"/>
      <c r="AH371" s="292"/>
      <c r="AI371" s="292"/>
      <c r="AJ371" s="292"/>
      <c r="AK371" s="395"/>
      <c r="AL371" s="317"/>
      <c r="AM371" s="394"/>
      <c r="AN371" s="396"/>
      <c r="AO371" s="200"/>
      <c r="AP371" s="200"/>
    </row>
    <row r="372">
      <c r="A372" s="395"/>
      <c r="B372" s="317"/>
      <c r="C372" s="394"/>
      <c r="D372" s="396"/>
      <c r="E372" s="395"/>
      <c r="F372" s="317"/>
      <c r="G372" s="394"/>
      <c r="H372" s="396"/>
      <c r="I372" s="395"/>
      <c r="J372" s="317"/>
      <c r="K372" s="394"/>
      <c r="L372" s="396"/>
      <c r="M372" s="395"/>
      <c r="N372" s="317"/>
      <c r="O372" s="394"/>
      <c r="P372" s="396"/>
      <c r="Q372" s="403"/>
      <c r="R372" s="404"/>
      <c r="S372" s="405"/>
      <c r="T372" s="401"/>
      <c r="U372" s="403"/>
      <c r="V372" s="404"/>
      <c r="W372" s="405"/>
      <c r="X372" s="401"/>
      <c r="Y372" s="403"/>
      <c r="Z372" s="404"/>
      <c r="AA372" s="405"/>
      <c r="AB372" s="401"/>
      <c r="AC372" s="403"/>
      <c r="AD372" s="404"/>
      <c r="AE372" s="405"/>
      <c r="AF372" s="401"/>
      <c r="AG372" s="292"/>
      <c r="AH372" s="292"/>
      <c r="AI372" s="292"/>
      <c r="AJ372" s="292"/>
      <c r="AK372" s="395"/>
      <c r="AL372" s="317"/>
      <c r="AM372" s="394"/>
      <c r="AN372" s="396"/>
      <c r="AO372" s="200"/>
      <c r="AP372" s="200"/>
    </row>
    <row r="373">
      <c r="A373" s="395"/>
      <c r="B373" s="317"/>
      <c r="C373" s="394"/>
      <c r="D373" s="396"/>
      <c r="E373" s="395"/>
      <c r="F373" s="317"/>
      <c r="G373" s="394"/>
      <c r="H373" s="396"/>
      <c r="I373" s="395"/>
      <c r="J373" s="317"/>
      <c r="K373" s="394"/>
      <c r="L373" s="396"/>
      <c r="M373" s="395"/>
      <c r="N373" s="317"/>
      <c r="O373" s="394"/>
      <c r="P373" s="396"/>
      <c r="Q373" s="403"/>
      <c r="R373" s="404"/>
      <c r="S373" s="405"/>
      <c r="T373" s="401"/>
      <c r="U373" s="403"/>
      <c r="V373" s="404"/>
      <c r="W373" s="405"/>
      <c r="X373" s="401"/>
      <c r="Y373" s="403"/>
      <c r="Z373" s="404"/>
      <c r="AA373" s="405"/>
      <c r="AB373" s="401"/>
      <c r="AC373" s="403"/>
      <c r="AD373" s="404"/>
      <c r="AE373" s="405"/>
      <c r="AF373" s="401"/>
      <c r="AG373" s="292"/>
      <c r="AH373" s="292"/>
      <c r="AI373" s="292"/>
      <c r="AJ373" s="292"/>
      <c r="AK373" s="395"/>
      <c r="AL373" s="317"/>
      <c r="AM373" s="394"/>
      <c r="AN373" s="396"/>
      <c r="AO373" s="200"/>
      <c r="AP373" s="200"/>
    </row>
    <row r="374">
      <c r="A374" s="395"/>
      <c r="B374" s="317"/>
      <c r="C374" s="394"/>
      <c r="D374" s="396"/>
      <c r="E374" s="395"/>
      <c r="F374" s="317"/>
      <c r="G374" s="394"/>
      <c r="H374" s="396"/>
      <c r="I374" s="395"/>
      <c r="J374" s="317"/>
      <c r="K374" s="394"/>
      <c r="L374" s="396"/>
      <c r="M374" s="395"/>
      <c r="N374" s="317"/>
      <c r="O374" s="394"/>
      <c r="P374" s="396"/>
      <c r="Q374" s="403"/>
      <c r="R374" s="404"/>
      <c r="S374" s="405"/>
      <c r="T374" s="401"/>
      <c r="U374" s="403"/>
      <c r="V374" s="404"/>
      <c r="W374" s="405"/>
      <c r="X374" s="401"/>
      <c r="Y374" s="403"/>
      <c r="Z374" s="404"/>
      <c r="AA374" s="405"/>
      <c r="AB374" s="401"/>
      <c r="AC374" s="403"/>
      <c r="AD374" s="404"/>
      <c r="AE374" s="405"/>
      <c r="AF374" s="401"/>
      <c r="AG374" s="292"/>
      <c r="AH374" s="292"/>
      <c r="AI374" s="292"/>
      <c r="AJ374" s="292"/>
      <c r="AK374" s="395"/>
      <c r="AL374" s="317"/>
      <c r="AM374" s="394"/>
      <c r="AN374" s="396"/>
      <c r="AO374" s="200"/>
      <c r="AP374" s="200"/>
    </row>
    <row r="375">
      <c r="A375" s="395"/>
      <c r="B375" s="317"/>
      <c r="C375" s="394"/>
      <c r="D375" s="396"/>
      <c r="E375" s="395"/>
      <c r="F375" s="317"/>
      <c r="G375" s="394"/>
      <c r="H375" s="396"/>
      <c r="I375" s="395"/>
      <c r="J375" s="317"/>
      <c r="K375" s="394"/>
      <c r="L375" s="396"/>
      <c r="M375" s="395"/>
      <c r="N375" s="317"/>
      <c r="O375" s="394"/>
      <c r="P375" s="396"/>
      <c r="Q375" s="403"/>
      <c r="R375" s="404"/>
      <c r="S375" s="405"/>
      <c r="T375" s="401"/>
      <c r="U375" s="403"/>
      <c r="V375" s="404"/>
      <c r="W375" s="405"/>
      <c r="X375" s="401"/>
      <c r="Y375" s="403"/>
      <c r="Z375" s="404"/>
      <c r="AA375" s="405"/>
      <c r="AB375" s="401"/>
      <c r="AC375" s="403"/>
      <c r="AD375" s="404"/>
      <c r="AE375" s="405"/>
      <c r="AF375" s="401"/>
      <c r="AG375" s="292"/>
      <c r="AH375" s="292"/>
      <c r="AI375" s="292"/>
      <c r="AJ375" s="292"/>
      <c r="AK375" s="395"/>
      <c r="AL375" s="317"/>
      <c r="AM375" s="394"/>
      <c r="AN375" s="396"/>
      <c r="AO375" s="200"/>
      <c r="AP375" s="200"/>
    </row>
    <row r="376">
      <c r="A376" s="395"/>
      <c r="B376" s="317"/>
      <c r="C376" s="394"/>
      <c r="D376" s="396"/>
      <c r="E376" s="395"/>
      <c r="F376" s="317"/>
      <c r="G376" s="394"/>
      <c r="H376" s="396"/>
      <c r="I376" s="395"/>
      <c r="J376" s="317"/>
      <c r="K376" s="394"/>
      <c r="L376" s="396"/>
      <c r="M376" s="395"/>
      <c r="N376" s="317"/>
      <c r="O376" s="394"/>
      <c r="P376" s="396"/>
      <c r="Q376" s="403"/>
      <c r="R376" s="404"/>
      <c r="S376" s="405"/>
      <c r="T376" s="401"/>
      <c r="U376" s="403"/>
      <c r="V376" s="404"/>
      <c r="W376" s="405"/>
      <c r="X376" s="401"/>
      <c r="Y376" s="403"/>
      <c r="Z376" s="404"/>
      <c r="AA376" s="405"/>
      <c r="AB376" s="401"/>
      <c r="AC376" s="403"/>
      <c r="AD376" s="404"/>
      <c r="AE376" s="405"/>
      <c r="AF376" s="401"/>
      <c r="AG376" s="292"/>
      <c r="AH376" s="292"/>
      <c r="AI376" s="292"/>
      <c r="AJ376" s="292"/>
      <c r="AK376" s="395"/>
      <c r="AL376" s="317"/>
      <c r="AM376" s="394"/>
      <c r="AN376" s="396"/>
      <c r="AO376" s="200"/>
      <c r="AP376" s="200"/>
    </row>
    <row r="377">
      <c r="A377" s="395"/>
      <c r="B377" s="317"/>
      <c r="C377" s="394"/>
      <c r="D377" s="396"/>
      <c r="E377" s="395"/>
      <c r="F377" s="317"/>
      <c r="G377" s="394"/>
      <c r="H377" s="396"/>
      <c r="I377" s="395"/>
      <c r="J377" s="317"/>
      <c r="K377" s="394"/>
      <c r="L377" s="396"/>
      <c r="M377" s="395"/>
      <c r="N377" s="317"/>
      <c r="O377" s="394"/>
      <c r="P377" s="396"/>
      <c r="Q377" s="403"/>
      <c r="R377" s="404"/>
      <c r="S377" s="405"/>
      <c r="T377" s="401"/>
      <c r="U377" s="403"/>
      <c r="V377" s="404"/>
      <c r="W377" s="405"/>
      <c r="X377" s="401"/>
      <c r="Y377" s="403"/>
      <c r="Z377" s="404"/>
      <c r="AA377" s="405"/>
      <c r="AB377" s="401"/>
      <c r="AC377" s="403"/>
      <c r="AD377" s="404"/>
      <c r="AE377" s="405"/>
      <c r="AF377" s="401"/>
      <c r="AG377" s="292"/>
      <c r="AH377" s="292"/>
      <c r="AI377" s="292"/>
      <c r="AJ377" s="292"/>
      <c r="AK377" s="395"/>
      <c r="AL377" s="317"/>
      <c r="AM377" s="394"/>
      <c r="AN377" s="396"/>
      <c r="AO377" s="200"/>
      <c r="AP377" s="200"/>
    </row>
    <row r="378">
      <c r="A378" s="395"/>
      <c r="B378" s="317"/>
      <c r="C378" s="394"/>
      <c r="D378" s="396"/>
      <c r="E378" s="395"/>
      <c r="F378" s="317"/>
      <c r="G378" s="394"/>
      <c r="H378" s="396"/>
      <c r="I378" s="395"/>
      <c r="J378" s="317"/>
      <c r="K378" s="394"/>
      <c r="L378" s="396"/>
      <c r="M378" s="395"/>
      <c r="N378" s="317"/>
      <c r="O378" s="394"/>
      <c r="P378" s="396"/>
      <c r="Q378" s="403"/>
      <c r="R378" s="404"/>
      <c r="S378" s="405"/>
      <c r="T378" s="401"/>
      <c r="U378" s="403"/>
      <c r="V378" s="404"/>
      <c r="W378" s="405"/>
      <c r="X378" s="401"/>
      <c r="Y378" s="403"/>
      <c r="Z378" s="404"/>
      <c r="AA378" s="405"/>
      <c r="AB378" s="401"/>
      <c r="AC378" s="403"/>
      <c r="AD378" s="404"/>
      <c r="AE378" s="405"/>
      <c r="AF378" s="401"/>
      <c r="AG378" s="292"/>
      <c r="AH378" s="292"/>
      <c r="AI378" s="292"/>
      <c r="AJ378" s="292"/>
      <c r="AK378" s="395"/>
      <c r="AL378" s="317"/>
      <c r="AM378" s="394"/>
      <c r="AN378" s="396"/>
      <c r="AO378" s="200"/>
      <c r="AP378" s="200"/>
    </row>
    <row r="379">
      <c r="A379" s="395"/>
      <c r="B379" s="317"/>
      <c r="C379" s="394"/>
      <c r="D379" s="396"/>
      <c r="E379" s="395"/>
      <c r="F379" s="317"/>
      <c r="G379" s="394"/>
      <c r="H379" s="396"/>
      <c r="I379" s="395"/>
      <c r="J379" s="317"/>
      <c r="K379" s="394"/>
      <c r="L379" s="396"/>
      <c r="M379" s="395"/>
      <c r="N379" s="317"/>
      <c r="O379" s="394"/>
      <c r="P379" s="396"/>
      <c r="Q379" s="403"/>
      <c r="R379" s="404"/>
      <c r="S379" s="405"/>
      <c r="T379" s="401"/>
      <c r="U379" s="403"/>
      <c r="V379" s="404"/>
      <c r="W379" s="405"/>
      <c r="X379" s="401"/>
      <c r="Y379" s="403"/>
      <c r="Z379" s="404"/>
      <c r="AA379" s="405"/>
      <c r="AB379" s="401"/>
      <c r="AC379" s="403"/>
      <c r="AD379" s="404"/>
      <c r="AE379" s="405"/>
      <c r="AF379" s="401"/>
      <c r="AG379" s="292"/>
      <c r="AH379" s="292"/>
      <c r="AI379" s="292"/>
      <c r="AJ379" s="292"/>
      <c r="AK379" s="395"/>
      <c r="AL379" s="317"/>
      <c r="AM379" s="394"/>
      <c r="AN379" s="396"/>
      <c r="AO379" s="200"/>
      <c r="AP379" s="200"/>
    </row>
    <row r="380">
      <c r="A380" s="395"/>
      <c r="B380" s="317"/>
      <c r="C380" s="394"/>
      <c r="D380" s="396"/>
      <c r="E380" s="395"/>
      <c r="F380" s="317"/>
      <c r="G380" s="394"/>
      <c r="H380" s="396"/>
      <c r="I380" s="395"/>
      <c r="J380" s="317"/>
      <c r="K380" s="394"/>
      <c r="L380" s="396"/>
      <c r="M380" s="395"/>
      <c r="N380" s="317"/>
      <c r="O380" s="394"/>
      <c r="P380" s="396"/>
      <c r="Q380" s="403"/>
      <c r="R380" s="404"/>
      <c r="S380" s="405"/>
      <c r="T380" s="401"/>
      <c r="U380" s="403"/>
      <c r="V380" s="404"/>
      <c r="W380" s="405"/>
      <c r="X380" s="401"/>
      <c r="Y380" s="403"/>
      <c r="Z380" s="404"/>
      <c r="AA380" s="405"/>
      <c r="AB380" s="401"/>
      <c r="AC380" s="403"/>
      <c r="AD380" s="404"/>
      <c r="AE380" s="405"/>
      <c r="AF380" s="401"/>
      <c r="AG380" s="292"/>
      <c r="AH380" s="292"/>
      <c r="AI380" s="292"/>
      <c r="AJ380" s="292"/>
      <c r="AK380" s="395"/>
      <c r="AL380" s="317"/>
      <c r="AM380" s="394"/>
      <c r="AN380" s="396"/>
      <c r="AO380" s="200"/>
      <c r="AP380" s="200"/>
    </row>
    <row r="381">
      <c r="A381" s="395"/>
      <c r="B381" s="317"/>
      <c r="C381" s="394"/>
      <c r="D381" s="396"/>
      <c r="E381" s="395"/>
      <c r="F381" s="317"/>
      <c r="G381" s="394"/>
      <c r="H381" s="396"/>
      <c r="I381" s="395"/>
      <c r="J381" s="317"/>
      <c r="K381" s="394"/>
      <c r="L381" s="396"/>
      <c r="M381" s="395"/>
      <c r="N381" s="317"/>
      <c r="O381" s="394"/>
      <c r="P381" s="396"/>
      <c r="Q381" s="403"/>
      <c r="R381" s="404"/>
      <c r="S381" s="405"/>
      <c r="T381" s="401"/>
      <c r="U381" s="403"/>
      <c r="V381" s="404"/>
      <c r="W381" s="405"/>
      <c r="X381" s="401"/>
      <c r="Y381" s="403"/>
      <c r="Z381" s="404"/>
      <c r="AA381" s="405"/>
      <c r="AB381" s="401"/>
      <c r="AC381" s="403"/>
      <c r="AD381" s="404"/>
      <c r="AE381" s="405"/>
      <c r="AF381" s="401"/>
      <c r="AG381" s="292"/>
      <c r="AH381" s="292"/>
      <c r="AI381" s="292"/>
      <c r="AJ381" s="292"/>
      <c r="AK381" s="395"/>
      <c r="AL381" s="317"/>
      <c r="AM381" s="394"/>
      <c r="AN381" s="396"/>
      <c r="AO381" s="200"/>
      <c r="AP381" s="200"/>
    </row>
    <row r="382">
      <c r="A382" s="395"/>
      <c r="B382" s="317"/>
      <c r="C382" s="394"/>
      <c r="D382" s="396"/>
      <c r="E382" s="395"/>
      <c r="F382" s="317"/>
      <c r="G382" s="394"/>
      <c r="H382" s="396"/>
      <c r="I382" s="395"/>
      <c r="J382" s="317"/>
      <c r="K382" s="394"/>
      <c r="L382" s="396"/>
      <c r="M382" s="395"/>
      <c r="N382" s="317"/>
      <c r="O382" s="394"/>
      <c r="P382" s="396"/>
      <c r="Q382" s="403"/>
      <c r="R382" s="404"/>
      <c r="S382" s="405"/>
      <c r="T382" s="401"/>
      <c r="U382" s="403"/>
      <c r="V382" s="404"/>
      <c r="W382" s="405"/>
      <c r="X382" s="401"/>
      <c r="Y382" s="403"/>
      <c r="Z382" s="404"/>
      <c r="AA382" s="405"/>
      <c r="AB382" s="401"/>
      <c r="AC382" s="403"/>
      <c r="AD382" s="404"/>
      <c r="AE382" s="405"/>
      <c r="AF382" s="401"/>
      <c r="AG382" s="292"/>
      <c r="AH382" s="292"/>
      <c r="AI382" s="292"/>
      <c r="AJ382" s="292"/>
      <c r="AK382" s="395"/>
      <c r="AL382" s="317"/>
      <c r="AM382" s="394"/>
      <c r="AN382" s="396"/>
      <c r="AO382" s="200"/>
      <c r="AP382" s="200"/>
    </row>
    <row r="383">
      <c r="A383" s="395"/>
      <c r="B383" s="317"/>
      <c r="C383" s="394"/>
      <c r="D383" s="396"/>
      <c r="E383" s="395"/>
      <c r="F383" s="317"/>
      <c r="G383" s="394"/>
      <c r="H383" s="396"/>
      <c r="I383" s="395"/>
      <c r="J383" s="317"/>
      <c r="K383" s="394"/>
      <c r="L383" s="396"/>
      <c r="M383" s="395"/>
      <c r="N383" s="317"/>
      <c r="O383" s="394"/>
      <c r="P383" s="396"/>
      <c r="Q383" s="403"/>
      <c r="R383" s="404"/>
      <c r="S383" s="405"/>
      <c r="T383" s="401"/>
      <c r="U383" s="403"/>
      <c r="V383" s="404"/>
      <c r="W383" s="405"/>
      <c r="X383" s="401"/>
      <c r="Y383" s="403"/>
      <c r="Z383" s="404"/>
      <c r="AA383" s="405"/>
      <c r="AB383" s="401"/>
      <c r="AC383" s="403"/>
      <c r="AD383" s="404"/>
      <c r="AE383" s="405"/>
      <c r="AF383" s="401"/>
      <c r="AG383" s="292"/>
      <c r="AH383" s="292"/>
      <c r="AI383" s="292"/>
      <c r="AJ383" s="292"/>
      <c r="AK383" s="395"/>
      <c r="AL383" s="317"/>
      <c r="AM383" s="394"/>
      <c r="AN383" s="396"/>
      <c r="AO383" s="200"/>
      <c r="AP383" s="200"/>
    </row>
    <row r="384">
      <c r="A384" s="395"/>
      <c r="B384" s="317"/>
      <c r="C384" s="394"/>
      <c r="D384" s="396"/>
      <c r="E384" s="395"/>
      <c r="F384" s="317"/>
      <c r="G384" s="394"/>
      <c r="H384" s="396"/>
      <c r="I384" s="395"/>
      <c r="J384" s="317"/>
      <c r="K384" s="394"/>
      <c r="L384" s="396"/>
      <c r="M384" s="395"/>
      <c r="N384" s="317"/>
      <c r="O384" s="394"/>
      <c r="P384" s="396"/>
      <c r="Q384" s="403"/>
      <c r="R384" s="404"/>
      <c r="S384" s="405"/>
      <c r="T384" s="401"/>
      <c r="U384" s="403"/>
      <c r="V384" s="404"/>
      <c r="W384" s="405"/>
      <c r="X384" s="401"/>
      <c r="Y384" s="403"/>
      <c r="Z384" s="404"/>
      <c r="AA384" s="405"/>
      <c r="AB384" s="401"/>
      <c r="AC384" s="403"/>
      <c r="AD384" s="404"/>
      <c r="AE384" s="405"/>
      <c r="AF384" s="401"/>
      <c r="AG384" s="292"/>
      <c r="AH384" s="292"/>
      <c r="AI384" s="292"/>
      <c r="AJ384" s="292"/>
      <c r="AK384" s="395"/>
      <c r="AL384" s="317"/>
      <c r="AM384" s="394"/>
      <c r="AN384" s="396"/>
      <c r="AO384" s="200"/>
      <c r="AP384" s="200"/>
    </row>
    <row r="385">
      <c r="A385" s="395"/>
      <c r="B385" s="317"/>
      <c r="C385" s="394"/>
      <c r="D385" s="396"/>
      <c r="E385" s="395"/>
      <c r="F385" s="317"/>
      <c r="G385" s="394"/>
      <c r="H385" s="396"/>
      <c r="I385" s="395"/>
      <c r="J385" s="317"/>
      <c r="K385" s="394"/>
      <c r="L385" s="396"/>
      <c r="M385" s="395"/>
      <c r="N385" s="317"/>
      <c r="O385" s="394"/>
      <c r="P385" s="396"/>
      <c r="Q385" s="403"/>
      <c r="R385" s="404"/>
      <c r="S385" s="405"/>
      <c r="T385" s="401"/>
      <c r="U385" s="403"/>
      <c r="V385" s="404"/>
      <c r="W385" s="405"/>
      <c r="X385" s="401"/>
      <c r="Y385" s="403"/>
      <c r="Z385" s="404"/>
      <c r="AA385" s="405"/>
      <c r="AB385" s="401"/>
      <c r="AC385" s="403"/>
      <c r="AD385" s="404"/>
      <c r="AE385" s="405"/>
      <c r="AF385" s="401"/>
      <c r="AG385" s="292"/>
      <c r="AH385" s="292"/>
      <c r="AI385" s="292"/>
      <c r="AJ385" s="292"/>
      <c r="AK385" s="395"/>
      <c r="AL385" s="317"/>
      <c r="AM385" s="394"/>
      <c r="AN385" s="396"/>
      <c r="AO385" s="200"/>
      <c r="AP385" s="200"/>
    </row>
    <row r="386">
      <c r="A386" s="395"/>
      <c r="B386" s="317"/>
      <c r="C386" s="394"/>
      <c r="D386" s="396"/>
      <c r="E386" s="395"/>
      <c r="F386" s="317"/>
      <c r="G386" s="394"/>
      <c r="H386" s="396"/>
      <c r="I386" s="395"/>
      <c r="J386" s="317"/>
      <c r="K386" s="394"/>
      <c r="L386" s="396"/>
      <c r="M386" s="395"/>
      <c r="N386" s="317"/>
      <c r="O386" s="394"/>
      <c r="P386" s="396"/>
      <c r="Q386" s="403"/>
      <c r="R386" s="404"/>
      <c r="S386" s="405"/>
      <c r="T386" s="401"/>
      <c r="U386" s="403"/>
      <c r="V386" s="404"/>
      <c r="W386" s="405"/>
      <c r="X386" s="401"/>
      <c r="Y386" s="403"/>
      <c r="Z386" s="404"/>
      <c r="AA386" s="405"/>
      <c r="AB386" s="401"/>
      <c r="AC386" s="403"/>
      <c r="AD386" s="404"/>
      <c r="AE386" s="405"/>
      <c r="AF386" s="401"/>
      <c r="AG386" s="292"/>
      <c r="AH386" s="292"/>
      <c r="AI386" s="292"/>
      <c r="AJ386" s="292"/>
      <c r="AK386" s="395"/>
      <c r="AL386" s="317"/>
      <c r="AM386" s="394"/>
      <c r="AN386" s="396"/>
      <c r="AO386" s="200"/>
      <c r="AP386" s="200"/>
    </row>
    <row r="387">
      <c r="A387" s="395"/>
      <c r="B387" s="317"/>
      <c r="C387" s="394"/>
      <c r="D387" s="396"/>
      <c r="E387" s="395"/>
      <c r="F387" s="317"/>
      <c r="G387" s="394"/>
      <c r="H387" s="396"/>
      <c r="I387" s="395"/>
      <c r="J387" s="317"/>
      <c r="K387" s="394"/>
      <c r="L387" s="396"/>
      <c r="M387" s="395"/>
      <c r="N387" s="317"/>
      <c r="O387" s="394"/>
      <c r="P387" s="396"/>
      <c r="Q387" s="403"/>
      <c r="R387" s="404"/>
      <c r="S387" s="405"/>
      <c r="T387" s="401"/>
      <c r="U387" s="403"/>
      <c r="V387" s="404"/>
      <c r="W387" s="405"/>
      <c r="X387" s="401"/>
      <c r="Y387" s="403"/>
      <c r="Z387" s="404"/>
      <c r="AA387" s="405"/>
      <c r="AB387" s="401"/>
      <c r="AC387" s="403"/>
      <c r="AD387" s="404"/>
      <c r="AE387" s="405"/>
      <c r="AF387" s="401"/>
      <c r="AG387" s="292"/>
      <c r="AH387" s="292"/>
      <c r="AI387" s="292"/>
      <c r="AJ387" s="292"/>
      <c r="AK387" s="395"/>
      <c r="AL387" s="317"/>
      <c r="AM387" s="394"/>
      <c r="AN387" s="396"/>
      <c r="AO387" s="200"/>
      <c r="AP387" s="200"/>
    </row>
    <row r="388">
      <c r="A388" s="395"/>
      <c r="B388" s="317"/>
      <c r="C388" s="394"/>
      <c r="D388" s="396"/>
      <c r="E388" s="395"/>
      <c r="F388" s="317"/>
      <c r="G388" s="394"/>
      <c r="H388" s="396"/>
      <c r="I388" s="395"/>
      <c r="J388" s="317"/>
      <c r="K388" s="394"/>
      <c r="L388" s="396"/>
      <c r="M388" s="395"/>
      <c r="N388" s="317"/>
      <c r="O388" s="394"/>
      <c r="P388" s="396"/>
      <c r="Q388" s="403"/>
      <c r="R388" s="404"/>
      <c r="S388" s="405"/>
      <c r="T388" s="401"/>
      <c r="U388" s="403"/>
      <c r="V388" s="404"/>
      <c r="W388" s="405"/>
      <c r="X388" s="401"/>
      <c r="Y388" s="403"/>
      <c r="Z388" s="404"/>
      <c r="AA388" s="405"/>
      <c r="AB388" s="401"/>
      <c r="AC388" s="403"/>
      <c r="AD388" s="404"/>
      <c r="AE388" s="405"/>
      <c r="AF388" s="401"/>
      <c r="AG388" s="292"/>
      <c r="AH388" s="292"/>
      <c r="AI388" s="292"/>
      <c r="AJ388" s="292"/>
      <c r="AK388" s="395"/>
      <c r="AL388" s="317"/>
      <c r="AM388" s="394"/>
      <c r="AN388" s="396"/>
      <c r="AO388" s="200"/>
      <c r="AP388" s="200"/>
    </row>
    <row r="389">
      <c r="A389" s="395"/>
      <c r="B389" s="317"/>
      <c r="C389" s="394"/>
      <c r="D389" s="396"/>
      <c r="E389" s="395"/>
      <c r="F389" s="317"/>
      <c r="G389" s="394"/>
      <c r="H389" s="396"/>
      <c r="I389" s="395"/>
      <c r="J389" s="317"/>
      <c r="K389" s="394"/>
      <c r="L389" s="396"/>
      <c r="M389" s="395"/>
      <c r="N389" s="317"/>
      <c r="O389" s="394"/>
      <c r="P389" s="396"/>
      <c r="Q389" s="403"/>
      <c r="R389" s="404"/>
      <c r="S389" s="405"/>
      <c r="T389" s="401"/>
      <c r="U389" s="403"/>
      <c r="V389" s="404"/>
      <c r="W389" s="405"/>
      <c r="X389" s="401"/>
      <c r="Y389" s="403"/>
      <c r="Z389" s="404"/>
      <c r="AA389" s="405"/>
      <c r="AB389" s="401"/>
      <c r="AC389" s="403"/>
      <c r="AD389" s="404"/>
      <c r="AE389" s="405"/>
      <c r="AF389" s="401"/>
      <c r="AG389" s="292"/>
      <c r="AH389" s="292"/>
      <c r="AI389" s="292"/>
      <c r="AJ389" s="292"/>
      <c r="AK389" s="395"/>
      <c r="AL389" s="317"/>
      <c r="AM389" s="394"/>
      <c r="AN389" s="396"/>
      <c r="AO389" s="200"/>
      <c r="AP389" s="200"/>
    </row>
    <row r="390">
      <c r="A390" s="395"/>
      <c r="B390" s="317"/>
      <c r="C390" s="394"/>
      <c r="D390" s="396"/>
      <c r="E390" s="395"/>
      <c r="F390" s="317"/>
      <c r="G390" s="394"/>
      <c r="H390" s="396"/>
      <c r="I390" s="395"/>
      <c r="J390" s="317"/>
      <c r="K390" s="394"/>
      <c r="L390" s="396"/>
      <c r="M390" s="395"/>
      <c r="N390" s="317"/>
      <c r="O390" s="394"/>
      <c r="P390" s="396"/>
      <c r="Q390" s="403"/>
      <c r="R390" s="404"/>
      <c r="S390" s="405"/>
      <c r="T390" s="401"/>
      <c r="U390" s="403"/>
      <c r="V390" s="404"/>
      <c r="W390" s="405"/>
      <c r="X390" s="401"/>
      <c r="Y390" s="403"/>
      <c r="Z390" s="404"/>
      <c r="AA390" s="405"/>
      <c r="AB390" s="401"/>
      <c r="AC390" s="403"/>
      <c r="AD390" s="404"/>
      <c r="AE390" s="405"/>
      <c r="AF390" s="401"/>
      <c r="AG390" s="292"/>
      <c r="AH390" s="292"/>
      <c r="AI390" s="292"/>
      <c r="AJ390" s="292"/>
      <c r="AK390" s="395"/>
      <c r="AL390" s="317"/>
      <c r="AM390" s="394"/>
      <c r="AN390" s="396"/>
      <c r="AO390" s="200"/>
      <c r="AP390" s="200"/>
    </row>
    <row r="391">
      <c r="A391" s="395"/>
      <c r="B391" s="317"/>
      <c r="C391" s="394"/>
      <c r="D391" s="396"/>
      <c r="E391" s="395"/>
      <c r="F391" s="317"/>
      <c r="G391" s="394"/>
      <c r="H391" s="396"/>
      <c r="I391" s="395"/>
      <c r="J391" s="317"/>
      <c r="K391" s="394"/>
      <c r="L391" s="396"/>
      <c r="M391" s="395"/>
      <c r="N391" s="317"/>
      <c r="O391" s="394"/>
      <c r="P391" s="396"/>
      <c r="Q391" s="403"/>
      <c r="R391" s="404"/>
      <c r="S391" s="405"/>
      <c r="T391" s="401"/>
      <c r="U391" s="403"/>
      <c r="V391" s="404"/>
      <c r="W391" s="405"/>
      <c r="X391" s="401"/>
      <c r="Y391" s="403"/>
      <c r="Z391" s="404"/>
      <c r="AA391" s="405"/>
      <c r="AB391" s="401"/>
      <c r="AC391" s="403"/>
      <c r="AD391" s="404"/>
      <c r="AE391" s="405"/>
      <c r="AF391" s="401"/>
      <c r="AG391" s="292"/>
      <c r="AH391" s="292"/>
      <c r="AI391" s="292"/>
      <c r="AJ391" s="292"/>
      <c r="AK391" s="395"/>
      <c r="AL391" s="317"/>
      <c r="AM391" s="394"/>
      <c r="AN391" s="396"/>
      <c r="AO391" s="200"/>
      <c r="AP391" s="200"/>
    </row>
    <row r="392">
      <c r="A392" s="395"/>
      <c r="B392" s="317"/>
      <c r="C392" s="394"/>
      <c r="D392" s="396"/>
      <c r="E392" s="395"/>
      <c r="F392" s="317"/>
      <c r="G392" s="394"/>
      <c r="H392" s="396"/>
      <c r="I392" s="395"/>
      <c r="J392" s="317"/>
      <c r="K392" s="394"/>
      <c r="L392" s="396"/>
      <c r="M392" s="395"/>
      <c r="N392" s="317"/>
      <c r="O392" s="394"/>
      <c r="P392" s="396"/>
      <c r="Q392" s="403"/>
      <c r="R392" s="404"/>
      <c r="S392" s="405"/>
      <c r="T392" s="401"/>
      <c r="U392" s="403"/>
      <c r="V392" s="404"/>
      <c r="W392" s="405"/>
      <c r="X392" s="401"/>
      <c r="Y392" s="403"/>
      <c r="Z392" s="404"/>
      <c r="AA392" s="405"/>
      <c r="AB392" s="401"/>
      <c r="AC392" s="403"/>
      <c r="AD392" s="404"/>
      <c r="AE392" s="405"/>
      <c r="AF392" s="401"/>
      <c r="AG392" s="292"/>
      <c r="AH392" s="292"/>
      <c r="AI392" s="292"/>
      <c r="AJ392" s="292"/>
      <c r="AK392" s="395"/>
      <c r="AL392" s="317"/>
      <c r="AM392" s="394"/>
      <c r="AN392" s="396"/>
      <c r="AO392" s="200"/>
      <c r="AP392" s="200"/>
    </row>
    <row r="393">
      <c r="A393" s="395"/>
      <c r="B393" s="317"/>
      <c r="C393" s="394"/>
      <c r="D393" s="396"/>
      <c r="E393" s="395"/>
      <c r="F393" s="317"/>
      <c r="G393" s="394"/>
      <c r="H393" s="396"/>
      <c r="I393" s="395"/>
      <c r="J393" s="317"/>
      <c r="K393" s="394"/>
      <c r="L393" s="396"/>
      <c r="M393" s="395"/>
      <c r="N393" s="317"/>
      <c r="O393" s="394"/>
      <c r="P393" s="396"/>
      <c r="Q393" s="403"/>
      <c r="R393" s="404"/>
      <c r="S393" s="405"/>
      <c r="T393" s="401"/>
      <c r="U393" s="403"/>
      <c r="V393" s="404"/>
      <c r="W393" s="405"/>
      <c r="X393" s="401"/>
      <c r="Y393" s="403"/>
      <c r="Z393" s="404"/>
      <c r="AA393" s="405"/>
      <c r="AB393" s="401"/>
      <c r="AC393" s="403"/>
      <c r="AD393" s="404"/>
      <c r="AE393" s="405"/>
      <c r="AF393" s="401"/>
      <c r="AG393" s="292"/>
      <c r="AH393" s="292"/>
      <c r="AI393" s="292"/>
      <c r="AJ393" s="292"/>
      <c r="AK393" s="395"/>
      <c r="AL393" s="317"/>
      <c r="AM393" s="394"/>
      <c r="AN393" s="396"/>
      <c r="AO393" s="200"/>
      <c r="AP393" s="200"/>
    </row>
    <row r="394">
      <c r="A394" s="395"/>
      <c r="B394" s="317"/>
      <c r="C394" s="394"/>
      <c r="D394" s="396"/>
      <c r="E394" s="395"/>
      <c r="F394" s="317"/>
      <c r="G394" s="394"/>
      <c r="H394" s="396"/>
      <c r="I394" s="395"/>
      <c r="J394" s="317"/>
      <c r="K394" s="394"/>
      <c r="L394" s="396"/>
      <c r="M394" s="395"/>
      <c r="N394" s="317"/>
      <c r="O394" s="394"/>
      <c r="P394" s="396"/>
      <c r="Q394" s="403"/>
      <c r="R394" s="404"/>
      <c r="S394" s="405"/>
      <c r="T394" s="401"/>
      <c r="U394" s="403"/>
      <c r="V394" s="404"/>
      <c r="W394" s="405"/>
      <c r="X394" s="401"/>
      <c r="Y394" s="403"/>
      <c r="Z394" s="404"/>
      <c r="AA394" s="405"/>
      <c r="AB394" s="401"/>
      <c r="AC394" s="403"/>
      <c r="AD394" s="404"/>
      <c r="AE394" s="405"/>
      <c r="AF394" s="401"/>
      <c r="AG394" s="292"/>
      <c r="AH394" s="292"/>
      <c r="AI394" s="292"/>
      <c r="AJ394" s="292"/>
      <c r="AK394" s="395"/>
      <c r="AL394" s="317"/>
      <c r="AM394" s="394"/>
      <c r="AN394" s="396"/>
      <c r="AO394" s="200"/>
      <c r="AP394" s="200"/>
    </row>
    <row r="395">
      <c r="A395" s="395"/>
      <c r="B395" s="317"/>
      <c r="C395" s="394"/>
      <c r="D395" s="396"/>
      <c r="E395" s="395"/>
      <c r="F395" s="317"/>
      <c r="G395" s="394"/>
      <c r="H395" s="396"/>
      <c r="I395" s="395"/>
      <c r="J395" s="317"/>
      <c r="K395" s="394"/>
      <c r="L395" s="396"/>
      <c r="M395" s="395"/>
      <c r="N395" s="317"/>
      <c r="O395" s="394"/>
      <c r="P395" s="396"/>
      <c r="Q395" s="403"/>
      <c r="R395" s="404"/>
      <c r="S395" s="405"/>
      <c r="T395" s="401"/>
      <c r="U395" s="403"/>
      <c r="V395" s="404"/>
      <c r="W395" s="405"/>
      <c r="X395" s="401"/>
      <c r="Y395" s="403"/>
      <c r="Z395" s="404"/>
      <c r="AA395" s="405"/>
      <c r="AB395" s="401"/>
      <c r="AC395" s="403"/>
      <c r="AD395" s="404"/>
      <c r="AE395" s="405"/>
      <c r="AF395" s="401"/>
      <c r="AG395" s="292"/>
      <c r="AH395" s="292"/>
      <c r="AI395" s="292"/>
      <c r="AJ395" s="292"/>
      <c r="AK395" s="395"/>
      <c r="AL395" s="317"/>
      <c r="AM395" s="394"/>
      <c r="AN395" s="396"/>
      <c r="AO395" s="200"/>
      <c r="AP395" s="200"/>
    </row>
    <row r="396">
      <c r="A396" s="395"/>
      <c r="B396" s="317"/>
      <c r="C396" s="394"/>
      <c r="D396" s="396"/>
      <c r="E396" s="395"/>
      <c r="F396" s="317"/>
      <c r="G396" s="394"/>
      <c r="H396" s="396"/>
      <c r="I396" s="395"/>
      <c r="J396" s="317"/>
      <c r="K396" s="394"/>
      <c r="L396" s="396"/>
      <c r="M396" s="395"/>
      <c r="N396" s="317"/>
      <c r="O396" s="394"/>
      <c r="P396" s="396"/>
      <c r="Q396" s="403"/>
      <c r="R396" s="404"/>
      <c r="S396" s="405"/>
      <c r="T396" s="401"/>
      <c r="U396" s="403"/>
      <c r="V396" s="404"/>
      <c r="W396" s="405"/>
      <c r="X396" s="401"/>
      <c r="Y396" s="403"/>
      <c r="Z396" s="404"/>
      <c r="AA396" s="405"/>
      <c r="AB396" s="401"/>
      <c r="AC396" s="403"/>
      <c r="AD396" s="404"/>
      <c r="AE396" s="405"/>
      <c r="AF396" s="401"/>
      <c r="AG396" s="292"/>
      <c r="AH396" s="292"/>
      <c r="AI396" s="292"/>
      <c r="AJ396" s="292"/>
      <c r="AK396" s="395"/>
      <c r="AL396" s="317"/>
      <c r="AM396" s="394"/>
      <c r="AN396" s="396"/>
      <c r="AO396" s="200"/>
      <c r="AP396" s="200"/>
    </row>
    <row r="397">
      <c r="A397" s="395"/>
      <c r="B397" s="317"/>
      <c r="C397" s="394"/>
      <c r="D397" s="396"/>
      <c r="E397" s="395"/>
      <c r="F397" s="317"/>
      <c r="G397" s="394"/>
      <c r="H397" s="396"/>
      <c r="I397" s="395"/>
      <c r="J397" s="317"/>
      <c r="K397" s="394"/>
      <c r="L397" s="396"/>
      <c r="M397" s="395"/>
      <c r="N397" s="317"/>
      <c r="O397" s="394"/>
      <c r="P397" s="396"/>
      <c r="Q397" s="403"/>
      <c r="R397" s="404"/>
      <c r="S397" s="405"/>
      <c r="T397" s="401"/>
      <c r="U397" s="403"/>
      <c r="V397" s="404"/>
      <c r="W397" s="405"/>
      <c r="X397" s="401"/>
      <c r="Y397" s="403"/>
      <c r="Z397" s="404"/>
      <c r="AA397" s="405"/>
      <c r="AB397" s="401"/>
      <c r="AC397" s="403"/>
      <c r="AD397" s="404"/>
      <c r="AE397" s="405"/>
      <c r="AF397" s="401"/>
      <c r="AG397" s="292"/>
      <c r="AH397" s="292"/>
      <c r="AI397" s="292"/>
      <c r="AJ397" s="292"/>
      <c r="AK397" s="395"/>
      <c r="AL397" s="317"/>
      <c r="AM397" s="394"/>
      <c r="AN397" s="396"/>
      <c r="AO397" s="200"/>
      <c r="AP397" s="200"/>
    </row>
    <row r="398">
      <c r="A398" s="395"/>
      <c r="B398" s="317"/>
      <c r="C398" s="394"/>
      <c r="D398" s="396"/>
      <c r="E398" s="395"/>
      <c r="F398" s="317"/>
      <c r="G398" s="394"/>
      <c r="H398" s="396"/>
      <c r="I398" s="395"/>
      <c r="J398" s="317"/>
      <c r="K398" s="394"/>
      <c r="L398" s="396"/>
      <c r="M398" s="395"/>
      <c r="N398" s="317"/>
      <c r="O398" s="394"/>
      <c r="P398" s="396"/>
      <c r="Q398" s="403"/>
      <c r="R398" s="404"/>
      <c r="S398" s="405"/>
      <c r="T398" s="401"/>
      <c r="U398" s="403"/>
      <c r="V398" s="404"/>
      <c r="W398" s="405"/>
      <c r="X398" s="401"/>
      <c r="Y398" s="403"/>
      <c r="Z398" s="404"/>
      <c r="AA398" s="405"/>
      <c r="AB398" s="401"/>
      <c r="AC398" s="403"/>
      <c r="AD398" s="404"/>
      <c r="AE398" s="405"/>
      <c r="AF398" s="401"/>
      <c r="AG398" s="292"/>
      <c r="AH398" s="292"/>
      <c r="AI398" s="292"/>
      <c r="AJ398" s="292"/>
      <c r="AK398" s="395"/>
      <c r="AL398" s="317"/>
      <c r="AM398" s="394"/>
      <c r="AN398" s="396"/>
      <c r="AO398" s="200"/>
      <c r="AP398" s="200"/>
    </row>
    <row r="399">
      <c r="A399" s="395"/>
      <c r="B399" s="317"/>
      <c r="C399" s="394"/>
      <c r="D399" s="396"/>
      <c r="E399" s="395"/>
      <c r="F399" s="317"/>
      <c r="G399" s="394"/>
      <c r="H399" s="396"/>
      <c r="I399" s="395"/>
      <c r="J399" s="317"/>
      <c r="K399" s="394"/>
      <c r="L399" s="396"/>
      <c r="M399" s="395"/>
      <c r="N399" s="317"/>
      <c r="O399" s="394"/>
      <c r="P399" s="396"/>
      <c r="Q399" s="403"/>
      <c r="R399" s="404"/>
      <c r="S399" s="405"/>
      <c r="T399" s="401"/>
      <c r="U399" s="403"/>
      <c r="V399" s="404"/>
      <c r="W399" s="405"/>
      <c r="X399" s="401"/>
      <c r="Y399" s="403"/>
      <c r="Z399" s="404"/>
      <c r="AA399" s="405"/>
      <c r="AB399" s="401"/>
      <c r="AC399" s="403"/>
      <c r="AD399" s="404"/>
      <c r="AE399" s="405"/>
      <c r="AF399" s="401"/>
      <c r="AG399" s="292"/>
      <c r="AH399" s="292"/>
      <c r="AI399" s="292"/>
      <c r="AJ399" s="292"/>
      <c r="AK399" s="395"/>
      <c r="AL399" s="317"/>
      <c r="AM399" s="394"/>
      <c r="AN399" s="396"/>
      <c r="AO399" s="200"/>
      <c r="AP399" s="200"/>
    </row>
    <row r="400">
      <c r="A400" s="395"/>
      <c r="B400" s="317"/>
      <c r="C400" s="394"/>
      <c r="D400" s="396"/>
      <c r="E400" s="395"/>
      <c r="F400" s="317"/>
      <c r="G400" s="394"/>
      <c r="H400" s="396"/>
      <c r="I400" s="395"/>
      <c r="J400" s="317"/>
      <c r="K400" s="394"/>
      <c r="L400" s="396"/>
      <c r="M400" s="395"/>
      <c r="N400" s="317"/>
      <c r="O400" s="394"/>
      <c r="P400" s="396"/>
      <c r="Q400" s="403"/>
      <c r="R400" s="404"/>
      <c r="S400" s="405"/>
      <c r="T400" s="401"/>
      <c r="U400" s="403"/>
      <c r="V400" s="404"/>
      <c r="W400" s="405"/>
      <c r="X400" s="401"/>
      <c r="Y400" s="403"/>
      <c r="Z400" s="404"/>
      <c r="AA400" s="405"/>
      <c r="AB400" s="401"/>
      <c r="AC400" s="403"/>
      <c r="AD400" s="404"/>
      <c r="AE400" s="405"/>
      <c r="AF400" s="401"/>
      <c r="AG400" s="292"/>
      <c r="AH400" s="292"/>
      <c r="AI400" s="292"/>
      <c r="AJ400" s="292"/>
      <c r="AK400" s="395"/>
      <c r="AL400" s="317"/>
      <c r="AM400" s="394"/>
      <c r="AN400" s="396"/>
      <c r="AO400" s="200"/>
      <c r="AP400" s="200"/>
    </row>
    <row r="401">
      <c r="A401" s="395"/>
      <c r="B401" s="317"/>
      <c r="C401" s="394"/>
      <c r="D401" s="396"/>
      <c r="E401" s="395"/>
      <c r="F401" s="317"/>
      <c r="G401" s="394"/>
      <c r="H401" s="396"/>
      <c r="I401" s="395"/>
      <c r="J401" s="317"/>
      <c r="K401" s="394"/>
      <c r="L401" s="396"/>
      <c r="M401" s="395"/>
      <c r="N401" s="317"/>
      <c r="O401" s="394"/>
      <c r="P401" s="396"/>
      <c r="Q401" s="403"/>
      <c r="R401" s="404"/>
      <c r="S401" s="405"/>
      <c r="T401" s="401"/>
      <c r="U401" s="403"/>
      <c r="V401" s="404"/>
      <c r="W401" s="405"/>
      <c r="X401" s="401"/>
      <c r="Y401" s="403"/>
      <c r="Z401" s="404"/>
      <c r="AA401" s="405"/>
      <c r="AB401" s="401"/>
      <c r="AC401" s="403"/>
      <c r="AD401" s="404"/>
      <c r="AE401" s="405"/>
      <c r="AF401" s="401"/>
      <c r="AG401" s="292"/>
      <c r="AH401" s="292"/>
      <c r="AI401" s="292"/>
      <c r="AJ401" s="292"/>
      <c r="AK401" s="395"/>
      <c r="AL401" s="317"/>
      <c r="AM401" s="394"/>
      <c r="AN401" s="396"/>
      <c r="AO401" s="200"/>
      <c r="AP401" s="200"/>
    </row>
    <row r="402">
      <c r="A402" s="395"/>
      <c r="B402" s="317"/>
      <c r="C402" s="394"/>
      <c r="D402" s="396"/>
      <c r="E402" s="395"/>
      <c r="F402" s="317"/>
      <c r="G402" s="394"/>
      <c r="H402" s="396"/>
      <c r="I402" s="395"/>
      <c r="J402" s="317"/>
      <c r="K402" s="394"/>
      <c r="L402" s="396"/>
      <c r="M402" s="395"/>
      <c r="N402" s="317"/>
      <c r="O402" s="394"/>
      <c r="P402" s="396"/>
      <c r="Q402" s="403"/>
      <c r="R402" s="404"/>
      <c r="S402" s="405"/>
      <c r="T402" s="401"/>
      <c r="U402" s="403"/>
      <c r="V402" s="404"/>
      <c r="W402" s="405"/>
      <c r="X402" s="401"/>
      <c r="Y402" s="403"/>
      <c r="Z402" s="404"/>
      <c r="AA402" s="405"/>
      <c r="AB402" s="401"/>
      <c r="AC402" s="403"/>
      <c r="AD402" s="404"/>
      <c r="AE402" s="405"/>
      <c r="AF402" s="401"/>
      <c r="AG402" s="292"/>
      <c r="AH402" s="292"/>
      <c r="AI402" s="292"/>
      <c r="AJ402" s="292"/>
      <c r="AK402" s="395"/>
      <c r="AL402" s="317"/>
      <c r="AM402" s="394"/>
      <c r="AN402" s="396"/>
      <c r="AO402" s="200"/>
      <c r="AP402" s="200"/>
    </row>
    <row r="403">
      <c r="A403" s="395"/>
      <c r="B403" s="317"/>
      <c r="C403" s="394"/>
      <c r="D403" s="396"/>
      <c r="E403" s="395"/>
      <c r="F403" s="317"/>
      <c r="G403" s="394"/>
      <c r="H403" s="396"/>
      <c r="I403" s="395"/>
      <c r="J403" s="317"/>
      <c r="K403" s="394"/>
      <c r="L403" s="396"/>
      <c r="M403" s="395"/>
      <c r="N403" s="317"/>
      <c r="O403" s="394"/>
      <c r="P403" s="396"/>
      <c r="Q403" s="403"/>
      <c r="R403" s="404"/>
      <c r="S403" s="405"/>
      <c r="T403" s="401"/>
      <c r="U403" s="403"/>
      <c r="V403" s="404"/>
      <c r="W403" s="405"/>
      <c r="X403" s="401"/>
      <c r="Y403" s="403"/>
      <c r="Z403" s="404"/>
      <c r="AA403" s="405"/>
      <c r="AB403" s="401"/>
      <c r="AC403" s="403"/>
      <c r="AD403" s="404"/>
      <c r="AE403" s="405"/>
      <c r="AF403" s="401"/>
      <c r="AG403" s="292"/>
      <c r="AH403" s="292"/>
      <c r="AI403" s="292"/>
      <c r="AJ403" s="292"/>
      <c r="AK403" s="395"/>
      <c r="AL403" s="317"/>
      <c r="AM403" s="394"/>
      <c r="AN403" s="396"/>
      <c r="AO403" s="200"/>
      <c r="AP403" s="200"/>
    </row>
    <row r="404">
      <c r="A404" s="395"/>
      <c r="B404" s="317"/>
      <c r="C404" s="394"/>
      <c r="D404" s="396"/>
      <c r="E404" s="395"/>
      <c r="F404" s="317"/>
      <c r="G404" s="394"/>
      <c r="H404" s="396"/>
      <c r="I404" s="395"/>
      <c r="J404" s="317"/>
      <c r="K404" s="394"/>
      <c r="L404" s="396"/>
      <c r="M404" s="395"/>
      <c r="N404" s="317"/>
      <c r="O404" s="394"/>
      <c r="P404" s="396"/>
      <c r="Q404" s="403"/>
      <c r="R404" s="404"/>
      <c r="S404" s="405"/>
      <c r="T404" s="401"/>
      <c r="U404" s="403"/>
      <c r="V404" s="404"/>
      <c r="W404" s="405"/>
      <c r="X404" s="401"/>
      <c r="Y404" s="403"/>
      <c r="Z404" s="404"/>
      <c r="AA404" s="405"/>
      <c r="AB404" s="401"/>
      <c r="AC404" s="403"/>
      <c r="AD404" s="404"/>
      <c r="AE404" s="405"/>
      <c r="AF404" s="401"/>
      <c r="AG404" s="292"/>
      <c r="AH404" s="292"/>
      <c r="AI404" s="292"/>
      <c r="AJ404" s="292"/>
      <c r="AK404" s="395"/>
      <c r="AL404" s="317"/>
      <c r="AM404" s="394"/>
      <c r="AN404" s="396"/>
      <c r="AO404" s="200"/>
      <c r="AP404" s="200"/>
    </row>
    <row r="405">
      <c r="A405" s="395"/>
      <c r="B405" s="317"/>
      <c r="C405" s="394"/>
      <c r="D405" s="396"/>
      <c r="E405" s="395"/>
      <c r="F405" s="317"/>
      <c r="G405" s="394"/>
      <c r="H405" s="396"/>
      <c r="I405" s="395"/>
      <c r="J405" s="317"/>
      <c r="K405" s="394"/>
      <c r="L405" s="396"/>
      <c r="M405" s="395"/>
      <c r="N405" s="317"/>
      <c r="O405" s="394"/>
      <c r="P405" s="396"/>
      <c r="Q405" s="403"/>
      <c r="R405" s="404"/>
      <c r="S405" s="405"/>
      <c r="T405" s="401"/>
      <c r="U405" s="403"/>
      <c r="V405" s="404"/>
      <c r="W405" s="405"/>
      <c r="X405" s="401"/>
      <c r="Y405" s="403"/>
      <c r="Z405" s="404"/>
      <c r="AA405" s="405"/>
      <c r="AB405" s="401"/>
      <c r="AC405" s="403"/>
      <c r="AD405" s="404"/>
      <c r="AE405" s="405"/>
      <c r="AF405" s="401"/>
      <c r="AG405" s="292"/>
      <c r="AH405" s="292"/>
      <c r="AI405" s="292"/>
      <c r="AJ405" s="292"/>
      <c r="AK405" s="395"/>
      <c r="AL405" s="317"/>
      <c r="AM405" s="394"/>
      <c r="AN405" s="396"/>
      <c r="AO405" s="200"/>
      <c r="AP405" s="200"/>
    </row>
    <row r="406">
      <c r="A406" s="395"/>
      <c r="B406" s="317"/>
      <c r="C406" s="394"/>
      <c r="D406" s="396"/>
      <c r="E406" s="395"/>
      <c r="F406" s="317"/>
      <c r="G406" s="394"/>
      <c r="H406" s="396"/>
      <c r="I406" s="395"/>
      <c r="J406" s="317"/>
      <c r="K406" s="394"/>
      <c r="L406" s="396"/>
      <c r="M406" s="395"/>
      <c r="N406" s="317"/>
      <c r="O406" s="394"/>
      <c r="P406" s="396"/>
      <c r="Q406" s="403"/>
      <c r="R406" s="404"/>
      <c r="S406" s="405"/>
      <c r="T406" s="401"/>
      <c r="U406" s="403"/>
      <c r="V406" s="404"/>
      <c r="W406" s="405"/>
      <c r="X406" s="401"/>
      <c r="Y406" s="403"/>
      <c r="Z406" s="404"/>
      <c r="AA406" s="405"/>
      <c r="AB406" s="401"/>
      <c r="AC406" s="403"/>
      <c r="AD406" s="404"/>
      <c r="AE406" s="405"/>
      <c r="AF406" s="401"/>
      <c r="AG406" s="292"/>
      <c r="AH406" s="292"/>
      <c r="AI406" s="292"/>
      <c r="AJ406" s="292"/>
      <c r="AK406" s="395"/>
      <c r="AL406" s="317"/>
      <c r="AM406" s="394"/>
      <c r="AN406" s="396"/>
      <c r="AO406" s="200"/>
      <c r="AP406" s="200"/>
    </row>
    <row r="407">
      <c r="A407" s="395"/>
      <c r="B407" s="317"/>
      <c r="C407" s="394"/>
      <c r="D407" s="396"/>
      <c r="E407" s="395"/>
      <c r="F407" s="317"/>
      <c r="G407" s="394"/>
      <c r="H407" s="396"/>
      <c r="I407" s="395"/>
      <c r="J407" s="317"/>
      <c r="K407" s="394"/>
      <c r="L407" s="396"/>
      <c r="M407" s="395"/>
      <c r="N407" s="317"/>
      <c r="O407" s="394"/>
      <c r="P407" s="396"/>
      <c r="Q407" s="403"/>
      <c r="R407" s="404"/>
      <c r="S407" s="405"/>
      <c r="T407" s="401"/>
      <c r="U407" s="403"/>
      <c r="V407" s="404"/>
      <c r="W407" s="405"/>
      <c r="X407" s="401"/>
      <c r="Y407" s="403"/>
      <c r="Z407" s="404"/>
      <c r="AA407" s="405"/>
      <c r="AB407" s="401"/>
      <c r="AC407" s="403"/>
      <c r="AD407" s="404"/>
      <c r="AE407" s="405"/>
      <c r="AF407" s="401"/>
      <c r="AG407" s="292"/>
      <c r="AH407" s="292"/>
      <c r="AI407" s="292"/>
      <c r="AJ407" s="292"/>
      <c r="AK407" s="395"/>
      <c r="AL407" s="317"/>
      <c r="AM407" s="394"/>
      <c r="AN407" s="396"/>
      <c r="AO407" s="200"/>
      <c r="AP407" s="200"/>
    </row>
    <row r="408">
      <c r="A408" s="395"/>
      <c r="B408" s="317"/>
      <c r="C408" s="394"/>
      <c r="D408" s="396"/>
      <c r="E408" s="395"/>
      <c r="F408" s="317"/>
      <c r="G408" s="394"/>
      <c r="H408" s="396"/>
      <c r="I408" s="395"/>
      <c r="J408" s="317"/>
      <c r="K408" s="394"/>
      <c r="L408" s="396"/>
      <c r="M408" s="395"/>
      <c r="N408" s="317"/>
      <c r="O408" s="394"/>
      <c r="P408" s="396"/>
      <c r="Q408" s="403"/>
      <c r="R408" s="404"/>
      <c r="S408" s="405"/>
      <c r="T408" s="401"/>
      <c r="U408" s="403"/>
      <c r="V408" s="404"/>
      <c r="W408" s="405"/>
      <c r="X408" s="401"/>
      <c r="Y408" s="403"/>
      <c r="Z408" s="404"/>
      <c r="AA408" s="405"/>
      <c r="AB408" s="401"/>
      <c r="AC408" s="403"/>
      <c r="AD408" s="404"/>
      <c r="AE408" s="405"/>
      <c r="AF408" s="401"/>
      <c r="AG408" s="292"/>
      <c r="AH408" s="292"/>
      <c r="AI408" s="292"/>
      <c r="AJ408" s="292"/>
      <c r="AK408" s="395"/>
      <c r="AL408" s="317"/>
      <c r="AM408" s="394"/>
      <c r="AN408" s="396"/>
      <c r="AO408" s="200"/>
      <c r="AP408" s="200"/>
    </row>
    <row r="409">
      <c r="A409" s="395"/>
      <c r="B409" s="317"/>
      <c r="C409" s="394"/>
      <c r="D409" s="396"/>
      <c r="E409" s="395"/>
      <c r="F409" s="317"/>
      <c r="G409" s="394"/>
      <c r="H409" s="396"/>
      <c r="I409" s="395"/>
      <c r="J409" s="317"/>
      <c r="K409" s="394"/>
      <c r="L409" s="396"/>
      <c r="M409" s="395"/>
      <c r="N409" s="317"/>
      <c r="O409" s="394"/>
      <c r="P409" s="396"/>
      <c r="Q409" s="403"/>
      <c r="R409" s="404"/>
      <c r="S409" s="405"/>
      <c r="T409" s="401"/>
      <c r="U409" s="403"/>
      <c r="V409" s="404"/>
      <c r="W409" s="405"/>
      <c r="X409" s="401"/>
      <c r="Y409" s="403"/>
      <c r="Z409" s="404"/>
      <c r="AA409" s="405"/>
      <c r="AB409" s="401"/>
      <c r="AC409" s="403"/>
      <c r="AD409" s="404"/>
      <c r="AE409" s="405"/>
      <c r="AF409" s="401"/>
      <c r="AG409" s="292"/>
      <c r="AH409" s="292"/>
      <c r="AI409" s="292"/>
      <c r="AJ409" s="292"/>
      <c r="AK409" s="395"/>
      <c r="AL409" s="317"/>
      <c r="AM409" s="394"/>
      <c r="AN409" s="396"/>
      <c r="AO409" s="200"/>
      <c r="AP409" s="200"/>
    </row>
    <row r="410">
      <c r="A410" s="395"/>
      <c r="B410" s="317"/>
      <c r="C410" s="394"/>
      <c r="D410" s="396"/>
      <c r="E410" s="395"/>
      <c r="F410" s="317"/>
      <c r="G410" s="394"/>
      <c r="H410" s="396"/>
      <c r="I410" s="395"/>
      <c r="J410" s="317"/>
      <c r="K410" s="394"/>
      <c r="L410" s="396"/>
      <c r="M410" s="395"/>
      <c r="N410" s="317"/>
      <c r="O410" s="394"/>
      <c r="P410" s="396"/>
      <c r="Q410" s="403"/>
      <c r="R410" s="404"/>
      <c r="S410" s="405"/>
      <c r="T410" s="401"/>
      <c r="U410" s="403"/>
      <c r="V410" s="404"/>
      <c r="W410" s="405"/>
      <c r="X410" s="401"/>
      <c r="Y410" s="403"/>
      <c r="Z410" s="404"/>
      <c r="AA410" s="405"/>
      <c r="AB410" s="401"/>
      <c r="AC410" s="403"/>
      <c r="AD410" s="404"/>
      <c r="AE410" s="405"/>
      <c r="AF410" s="401"/>
      <c r="AG410" s="292"/>
      <c r="AH410" s="292"/>
      <c r="AI410" s="292"/>
      <c r="AJ410" s="292"/>
      <c r="AK410" s="395"/>
      <c r="AL410" s="317"/>
      <c r="AM410" s="394"/>
      <c r="AN410" s="396"/>
      <c r="AO410" s="200"/>
      <c r="AP410" s="200"/>
    </row>
    <row r="411">
      <c r="A411" s="395"/>
      <c r="B411" s="317"/>
      <c r="C411" s="394"/>
      <c r="D411" s="396"/>
      <c r="E411" s="395"/>
      <c r="F411" s="317"/>
      <c r="G411" s="394"/>
      <c r="H411" s="396"/>
      <c r="I411" s="395"/>
      <c r="J411" s="317"/>
      <c r="K411" s="394"/>
      <c r="L411" s="396"/>
      <c r="M411" s="395"/>
      <c r="N411" s="317"/>
      <c r="O411" s="394"/>
      <c r="P411" s="396"/>
      <c r="Q411" s="403"/>
      <c r="R411" s="404"/>
      <c r="S411" s="405"/>
      <c r="T411" s="401"/>
      <c r="U411" s="403"/>
      <c r="V411" s="404"/>
      <c r="W411" s="405"/>
      <c r="X411" s="401"/>
      <c r="Y411" s="403"/>
      <c r="Z411" s="404"/>
      <c r="AA411" s="405"/>
      <c r="AB411" s="401"/>
      <c r="AC411" s="403"/>
      <c r="AD411" s="404"/>
      <c r="AE411" s="405"/>
      <c r="AF411" s="401"/>
      <c r="AG411" s="292"/>
      <c r="AH411" s="292"/>
      <c r="AI411" s="292"/>
      <c r="AJ411" s="292"/>
      <c r="AK411" s="395"/>
      <c r="AL411" s="317"/>
      <c r="AM411" s="394"/>
      <c r="AN411" s="396"/>
      <c r="AO411" s="200"/>
      <c r="AP411" s="200"/>
    </row>
    <row r="412">
      <c r="A412" s="395"/>
      <c r="B412" s="317"/>
      <c r="C412" s="394"/>
      <c r="D412" s="396"/>
      <c r="E412" s="395"/>
      <c r="F412" s="317"/>
      <c r="G412" s="394"/>
      <c r="H412" s="396"/>
      <c r="I412" s="395"/>
      <c r="J412" s="317"/>
      <c r="K412" s="394"/>
      <c r="L412" s="396"/>
      <c r="M412" s="395"/>
      <c r="N412" s="317"/>
      <c r="O412" s="394"/>
      <c r="P412" s="396"/>
      <c r="Q412" s="403"/>
      <c r="R412" s="404"/>
      <c r="S412" s="405"/>
      <c r="T412" s="401"/>
      <c r="U412" s="403"/>
      <c r="V412" s="404"/>
      <c r="W412" s="405"/>
      <c r="X412" s="401"/>
      <c r="Y412" s="403"/>
      <c r="Z412" s="404"/>
      <c r="AA412" s="405"/>
      <c r="AB412" s="401"/>
      <c r="AC412" s="403"/>
      <c r="AD412" s="404"/>
      <c r="AE412" s="405"/>
      <c r="AF412" s="401"/>
      <c r="AG412" s="292"/>
      <c r="AH412" s="292"/>
      <c r="AI412" s="292"/>
      <c r="AJ412" s="292"/>
      <c r="AK412" s="395"/>
      <c r="AL412" s="317"/>
      <c r="AM412" s="394"/>
      <c r="AN412" s="396"/>
      <c r="AO412" s="200"/>
      <c r="AP412" s="200"/>
    </row>
    <row r="413">
      <c r="A413" s="395"/>
      <c r="B413" s="317"/>
      <c r="C413" s="394"/>
      <c r="D413" s="396"/>
      <c r="E413" s="395"/>
      <c r="F413" s="317"/>
      <c r="G413" s="394"/>
      <c r="H413" s="396"/>
      <c r="I413" s="395"/>
      <c r="J413" s="317"/>
      <c r="K413" s="394"/>
      <c r="L413" s="396"/>
      <c r="M413" s="395"/>
      <c r="N413" s="317"/>
      <c r="O413" s="394"/>
      <c r="P413" s="396"/>
      <c r="Q413" s="403"/>
      <c r="R413" s="404"/>
      <c r="S413" s="405"/>
      <c r="T413" s="401"/>
      <c r="U413" s="403"/>
      <c r="V413" s="404"/>
      <c r="W413" s="405"/>
      <c r="X413" s="401"/>
      <c r="Y413" s="403"/>
      <c r="Z413" s="404"/>
      <c r="AA413" s="405"/>
      <c r="AB413" s="401"/>
      <c r="AC413" s="403"/>
      <c r="AD413" s="404"/>
      <c r="AE413" s="405"/>
      <c r="AF413" s="401"/>
      <c r="AG413" s="292"/>
      <c r="AH413" s="292"/>
      <c r="AI413" s="292"/>
      <c r="AJ413" s="292"/>
      <c r="AK413" s="395"/>
      <c r="AL413" s="317"/>
      <c r="AM413" s="394"/>
      <c r="AN413" s="396"/>
      <c r="AO413" s="200"/>
      <c r="AP413" s="200"/>
    </row>
    <row r="414">
      <c r="A414" s="395"/>
      <c r="B414" s="317"/>
      <c r="C414" s="394"/>
      <c r="D414" s="396"/>
      <c r="E414" s="395"/>
      <c r="F414" s="317"/>
      <c r="G414" s="394"/>
      <c r="H414" s="396"/>
      <c r="I414" s="395"/>
      <c r="J414" s="317"/>
      <c r="K414" s="394"/>
      <c r="L414" s="396"/>
      <c r="M414" s="395"/>
      <c r="N414" s="317"/>
      <c r="O414" s="394"/>
      <c r="P414" s="396"/>
      <c r="Q414" s="403"/>
      <c r="R414" s="404"/>
      <c r="S414" s="405"/>
      <c r="T414" s="401"/>
      <c r="U414" s="403"/>
      <c r="V414" s="404"/>
      <c r="W414" s="405"/>
      <c r="X414" s="401"/>
      <c r="Y414" s="403"/>
      <c r="Z414" s="404"/>
      <c r="AA414" s="405"/>
      <c r="AB414" s="401"/>
      <c r="AC414" s="403"/>
      <c r="AD414" s="404"/>
      <c r="AE414" s="405"/>
      <c r="AF414" s="401"/>
      <c r="AG414" s="292"/>
      <c r="AH414" s="292"/>
      <c r="AI414" s="292"/>
      <c r="AJ414" s="292"/>
      <c r="AK414" s="395"/>
      <c r="AL414" s="317"/>
      <c r="AM414" s="394"/>
      <c r="AN414" s="396"/>
      <c r="AO414" s="200"/>
      <c r="AP414" s="200"/>
    </row>
    <row r="415">
      <c r="A415" s="395"/>
      <c r="B415" s="317"/>
      <c r="C415" s="394"/>
      <c r="D415" s="396"/>
      <c r="E415" s="395"/>
      <c r="F415" s="317"/>
      <c r="G415" s="394"/>
      <c r="H415" s="396"/>
      <c r="I415" s="395"/>
      <c r="J415" s="317"/>
      <c r="K415" s="394"/>
      <c r="L415" s="396"/>
      <c r="M415" s="395"/>
      <c r="N415" s="317"/>
      <c r="O415" s="394"/>
      <c r="P415" s="396"/>
      <c r="Q415" s="403"/>
      <c r="R415" s="404"/>
      <c r="S415" s="405"/>
      <c r="T415" s="401"/>
      <c r="U415" s="403"/>
      <c r="V415" s="404"/>
      <c r="W415" s="405"/>
      <c r="X415" s="401"/>
      <c r="Y415" s="403"/>
      <c r="Z415" s="404"/>
      <c r="AA415" s="405"/>
      <c r="AB415" s="401"/>
      <c r="AC415" s="403"/>
      <c r="AD415" s="404"/>
      <c r="AE415" s="405"/>
      <c r="AF415" s="401"/>
      <c r="AG415" s="292"/>
      <c r="AH415" s="292"/>
      <c r="AI415" s="292"/>
      <c r="AJ415" s="292"/>
      <c r="AK415" s="395"/>
      <c r="AL415" s="317"/>
      <c r="AM415" s="394"/>
      <c r="AN415" s="396"/>
      <c r="AO415" s="200"/>
      <c r="AP415" s="200"/>
    </row>
    <row r="416">
      <c r="A416" s="395"/>
      <c r="B416" s="317"/>
      <c r="C416" s="394"/>
      <c r="D416" s="396"/>
      <c r="E416" s="395"/>
      <c r="F416" s="317"/>
      <c r="G416" s="394"/>
      <c r="H416" s="396"/>
      <c r="I416" s="395"/>
      <c r="J416" s="317"/>
      <c r="K416" s="394"/>
      <c r="L416" s="396"/>
      <c r="M416" s="395"/>
      <c r="N416" s="317"/>
      <c r="O416" s="394"/>
      <c r="P416" s="396"/>
      <c r="Q416" s="403"/>
      <c r="R416" s="404"/>
      <c r="S416" s="405"/>
      <c r="T416" s="401"/>
      <c r="U416" s="403"/>
      <c r="V416" s="404"/>
      <c r="W416" s="405"/>
      <c r="X416" s="401"/>
      <c r="Y416" s="403"/>
      <c r="Z416" s="404"/>
      <c r="AA416" s="405"/>
      <c r="AB416" s="401"/>
      <c r="AC416" s="403"/>
      <c r="AD416" s="404"/>
      <c r="AE416" s="405"/>
      <c r="AF416" s="401"/>
      <c r="AG416" s="292"/>
      <c r="AH416" s="292"/>
      <c r="AI416" s="292"/>
      <c r="AJ416" s="292"/>
      <c r="AK416" s="395"/>
      <c r="AL416" s="317"/>
      <c r="AM416" s="394"/>
      <c r="AN416" s="396"/>
      <c r="AO416" s="200"/>
      <c r="AP416" s="200"/>
    </row>
    <row r="417">
      <c r="A417" s="395"/>
      <c r="B417" s="317"/>
      <c r="C417" s="394"/>
      <c r="D417" s="396"/>
      <c r="E417" s="395"/>
      <c r="F417" s="317"/>
      <c r="G417" s="394"/>
      <c r="H417" s="396"/>
      <c r="I417" s="395"/>
      <c r="J417" s="317"/>
      <c r="K417" s="394"/>
      <c r="L417" s="396"/>
      <c r="M417" s="395"/>
      <c r="N417" s="317"/>
      <c r="O417" s="394"/>
      <c r="P417" s="396"/>
      <c r="Q417" s="403"/>
      <c r="R417" s="404"/>
      <c r="S417" s="405"/>
      <c r="T417" s="401"/>
      <c r="U417" s="403"/>
      <c r="V417" s="404"/>
      <c r="W417" s="405"/>
      <c r="X417" s="401"/>
      <c r="Y417" s="403"/>
      <c r="Z417" s="404"/>
      <c r="AA417" s="405"/>
      <c r="AB417" s="401"/>
      <c r="AC417" s="403"/>
      <c r="AD417" s="404"/>
      <c r="AE417" s="405"/>
      <c r="AF417" s="401"/>
      <c r="AG417" s="292"/>
      <c r="AH417" s="292"/>
      <c r="AI417" s="292"/>
      <c r="AJ417" s="292"/>
      <c r="AK417" s="395"/>
      <c r="AL417" s="317"/>
      <c r="AM417" s="394"/>
      <c r="AN417" s="396"/>
      <c r="AO417" s="200"/>
      <c r="AP417" s="200"/>
    </row>
    <row r="418">
      <c r="A418" s="395"/>
      <c r="B418" s="317"/>
      <c r="C418" s="394"/>
      <c r="D418" s="396"/>
      <c r="E418" s="395"/>
      <c r="F418" s="317"/>
      <c r="G418" s="394"/>
      <c r="H418" s="396"/>
      <c r="I418" s="395"/>
      <c r="J418" s="317"/>
      <c r="K418" s="394"/>
      <c r="L418" s="396"/>
      <c r="M418" s="395"/>
      <c r="N418" s="317"/>
      <c r="O418" s="394"/>
      <c r="P418" s="396"/>
      <c r="Q418" s="403"/>
      <c r="R418" s="404"/>
      <c r="S418" s="405"/>
      <c r="T418" s="401"/>
      <c r="U418" s="403"/>
      <c r="V418" s="404"/>
      <c r="W418" s="405"/>
      <c r="X418" s="401"/>
      <c r="Y418" s="403"/>
      <c r="Z418" s="404"/>
      <c r="AA418" s="405"/>
      <c r="AB418" s="401"/>
      <c r="AC418" s="403"/>
      <c r="AD418" s="404"/>
      <c r="AE418" s="405"/>
      <c r="AF418" s="401"/>
      <c r="AG418" s="292"/>
      <c r="AH418" s="292"/>
      <c r="AI418" s="292"/>
      <c r="AJ418" s="292"/>
      <c r="AK418" s="395"/>
      <c r="AL418" s="317"/>
      <c r="AM418" s="394"/>
      <c r="AN418" s="396"/>
      <c r="AO418" s="200"/>
      <c r="AP418" s="200"/>
    </row>
    <row r="419">
      <c r="A419" s="395"/>
      <c r="B419" s="317"/>
      <c r="C419" s="394"/>
      <c r="D419" s="396"/>
      <c r="E419" s="395"/>
      <c r="F419" s="317"/>
      <c r="G419" s="394"/>
      <c r="H419" s="396"/>
      <c r="I419" s="395"/>
      <c r="J419" s="317"/>
      <c r="K419" s="394"/>
      <c r="L419" s="396"/>
      <c r="M419" s="395"/>
      <c r="N419" s="317"/>
      <c r="O419" s="394"/>
      <c r="P419" s="396"/>
      <c r="Q419" s="403"/>
      <c r="R419" s="404"/>
      <c r="S419" s="405"/>
      <c r="T419" s="401"/>
      <c r="U419" s="403"/>
      <c r="V419" s="404"/>
      <c r="W419" s="405"/>
      <c r="X419" s="401"/>
      <c r="Y419" s="403"/>
      <c r="Z419" s="404"/>
      <c r="AA419" s="405"/>
      <c r="AB419" s="401"/>
      <c r="AC419" s="403"/>
      <c r="AD419" s="404"/>
      <c r="AE419" s="405"/>
      <c r="AF419" s="401"/>
      <c r="AG419" s="292"/>
      <c r="AH419" s="292"/>
      <c r="AI419" s="292"/>
      <c r="AJ419" s="292"/>
      <c r="AK419" s="395"/>
      <c r="AL419" s="317"/>
      <c r="AM419" s="394"/>
      <c r="AN419" s="396"/>
      <c r="AO419" s="200"/>
      <c r="AP419" s="200"/>
    </row>
    <row r="420">
      <c r="A420" s="395"/>
      <c r="B420" s="317"/>
      <c r="C420" s="394"/>
      <c r="D420" s="396"/>
      <c r="E420" s="395"/>
      <c r="F420" s="317"/>
      <c r="G420" s="394"/>
      <c r="H420" s="396"/>
      <c r="I420" s="395"/>
      <c r="J420" s="317"/>
      <c r="K420" s="394"/>
      <c r="L420" s="396"/>
      <c r="M420" s="395"/>
      <c r="N420" s="317"/>
      <c r="O420" s="394"/>
      <c r="P420" s="396"/>
      <c r="Q420" s="403"/>
      <c r="R420" s="404"/>
      <c r="S420" s="405"/>
      <c r="T420" s="401"/>
      <c r="U420" s="403"/>
      <c r="V420" s="404"/>
      <c r="W420" s="405"/>
      <c r="X420" s="401"/>
      <c r="Y420" s="403"/>
      <c r="Z420" s="404"/>
      <c r="AA420" s="405"/>
      <c r="AB420" s="401"/>
      <c r="AC420" s="403"/>
      <c r="AD420" s="404"/>
      <c r="AE420" s="405"/>
      <c r="AF420" s="401"/>
      <c r="AG420" s="292"/>
      <c r="AH420" s="292"/>
      <c r="AI420" s="292"/>
      <c r="AJ420" s="292"/>
      <c r="AK420" s="395"/>
      <c r="AL420" s="317"/>
      <c r="AM420" s="394"/>
      <c r="AN420" s="396"/>
      <c r="AO420" s="200"/>
      <c r="AP420" s="200"/>
    </row>
    <row r="421">
      <c r="A421" s="395"/>
      <c r="B421" s="317"/>
      <c r="C421" s="394"/>
      <c r="D421" s="396"/>
      <c r="E421" s="395"/>
      <c r="F421" s="317"/>
      <c r="G421" s="394"/>
      <c r="H421" s="396"/>
      <c r="I421" s="395"/>
      <c r="J421" s="317"/>
      <c r="K421" s="394"/>
      <c r="L421" s="396"/>
      <c r="M421" s="395"/>
      <c r="N421" s="317"/>
      <c r="O421" s="394"/>
      <c r="P421" s="396"/>
      <c r="Q421" s="403"/>
      <c r="R421" s="404"/>
      <c r="S421" s="405"/>
      <c r="T421" s="401"/>
      <c r="U421" s="403"/>
      <c r="V421" s="404"/>
      <c r="W421" s="405"/>
      <c r="X421" s="401"/>
      <c r="Y421" s="403"/>
      <c r="Z421" s="404"/>
      <c r="AA421" s="405"/>
      <c r="AB421" s="401"/>
      <c r="AC421" s="403"/>
      <c r="AD421" s="404"/>
      <c r="AE421" s="405"/>
      <c r="AF421" s="401"/>
      <c r="AG421" s="292"/>
      <c r="AH421" s="292"/>
      <c r="AI421" s="292"/>
      <c r="AJ421" s="292"/>
      <c r="AK421" s="395"/>
      <c r="AL421" s="317"/>
      <c r="AM421" s="394"/>
      <c r="AN421" s="396"/>
      <c r="AO421" s="200"/>
      <c r="AP421" s="200"/>
    </row>
    <row r="422">
      <c r="A422" s="395"/>
      <c r="B422" s="317"/>
      <c r="C422" s="394"/>
      <c r="D422" s="396"/>
      <c r="E422" s="395"/>
      <c r="F422" s="317"/>
      <c r="G422" s="394"/>
      <c r="H422" s="396"/>
      <c r="I422" s="395"/>
      <c r="J422" s="317"/>
      <c r="K422" s="394"/>
      <c r="L422" s="396"/>
      <c r="M422" s="395"/>
      <c r="N422" s="317"/>
      <c r="O422" s="394"/>
      <c r="P422" s="396"/>
      <c r="Q422" s="403"/>
      <c r="R422" s="404"/>
      <c r="S422" s="405"/>
      <c r="T422" s="401"/>
      <c r="U422" s="403"/>
      <c r="V422" s="404"/>
      <c r="W422" s="405"/>
      <c r="X422" s="401"/>
      <c r="Y422" s="403"/>
      <c r="Z422" s="404"/>
      <c r="AA422" s="405"/>
      <c r="AB422" s="401"/>
      <c r="AC422" s="403"/>
      <c r="AD422" s="404"/>
      <c r="AE422" s="405"/>
      <c r="AF422" s="401"/>
      <c r="AG422" s="292"/>
      <c r="AH422" s="292"/>
      <c r="AI422" s="292"/>
      <c r="AJ422" s="292"/>
      <c r="AK422" s="395"/>
      <c r="AL422" s="317"/>
      <c r="AM422" s="394"/>
      <c r="AN422" s="396"/>
      <c r="AO422" s="200"/>
      <c r="AP422" s="200"/>
    </row>
    <row r="423">
      <c r="A423" s="395"/>
      <c r="B423" s="317"/>
      <c r="C423" s="394"/>
      <c r="D423" s="396"/>
      <c r="E423" s="395"/>
      <c r="F423" s="317"/>
      <c r="G423" s="394"/>
      <c r="H423" s="396"/>
      <c r="I423" s="395"/>
      <c r="J423" s="317"/>
      <c r="K423" s="394"/>
      <c r="L423" s="396"/>
      <c r="M423" s="395"/>
      <c r="N423" s="317"/>
      <c r="O423" s="394"/>
      <c r="P423" s="396"/>
      <c r="Q423" s="403"/>
      <c r="R423" s="404"/>
      <c r="S423" s="405"/>
      <c r="T423" s="401"/>
      <c r="U423" s="403"/>
      <c r="V423" s="404"/>
      <c r="W423" s="405"/>
      <c r="X423" s="401"/>
      <c r="Y423" s="403"/>
      <c r="Z423" s="404"/>
      <c r="AA423" s="405"/>
      <c r="AB423" s="401"/>
      <c r="AC423" s="403"/>
      <c r="AD423" s="404"/>
      <c r="AE423" s="405"/>
      <c r="AF423" s="401"/>
      <c r="AG423" s="292"/>
      <c r="AH423" s="292"/>
      <c r="AI423" s="292"/>
      <c r="AJ423" s="292"/>
      <c r="AK423" s="395"/>
      <c r="AL423" s="317"/>
      <c r="AM423" s="394"/>
      <c r="AN423" s="396"/>
      <c r="AO423" s="200"/>
      <c r="AP423" s="200"/>
    </row>
    <row r="424">
      <c r="A424" s="395"/>
      <c r="B424" s="317"/>
      <c r="C424" s="394"/>
      <c r="D424" s="396"/>
      <c r="E424" s="395"/>
      <c r="F424" s="317"/>
      <c r="G424" s="394"/>
      <c r="H424" s="396"/>
      <c r="I424" s="395"/>
      <c r="J424" s="317"/>
      <c r="K424" s="394"/>
      <c r="L424" s="396"/>
      <c r="M424" s="395"/>
      <c r="N424" s="317"/>
      <c r="O424" s="394"/>
      <c r="P424" s="396"/>
      <c r="Q424" s="403"/>
      <c r="R424" s="404"/>
      <c r="S424" s="405"/>
      <c r="T424" s="401"/>
      <c r="U424" s="403"/>
      <c r="V424" s="404"/>
      <c r="W424" s="405"/>
      <c r="X424" s="401"/>
      <c r="Y424" s="403"/>
      <c r="Z424" s="404"/>
      <c r="AA424" s="405"/>
      <c r="AB424" s="401"/>
      <c r="AC424" s="403"/>
      <c r="AD424" s="404"/>
      <c r="AE424" s="405"/>
      <c r="AF424" s="401"/>
      <c r="AG424" s="292"/>
      <c r="AH424" s="292"/>
      <c r="AI424" s="292"/>
      <c r="AJ424" s="292"/>
      <c r="AK424" s="395"/>
      <c r="AL424" s="317"/>
      <c r="AM424" s="394"/>
      <c r="AN424" s="396"/>
      <c r="AO424" s="200"/>
      <c r="AP424" s="200"/>
    </row>
    <row r="425">
      <c r="A425" s="395"/>
      <c r="B425" s="317"/>
      <c r="C425" s="394"/>
      <c r="D425" s="396"/>
      <c r="E425" s="395"/>
      <c r="F425" s="317"/>
      <c r="G425" s="394"/>
      <c r="H425" s="396"/>
      <c r="I425" s="395"/>
      <c r="J425" s="317"/>
      <c r="K425" s="394"/>
      <c r="L425" s="396"/>
      <c r="M425" s="395"/>
      <c r="N425" s="317"/>
      <c r="O425" s="394"/>
      <c r="P425" s="396"/>
      <c r="Q425" s="403"/>
      <c r="R425" s="404"/>
      <c r="S425" s="405"/>
      <c r="T425" s="401"/>
      <c r="U425" s="403"/>
      <c r="V425" s="404"/>
      <c r="W425" s="405"/>
      <c r="X425" s="401"/>
      <c r="Y425" s="403"/>
      <c r="Z425" s="404"/>
      <c r="AA425" s="405"/>
      <c r="AB425" s="401"/>
      <c r="AC425" s="403"/>
      <c r="AD425" s="404"/>
      <c r="AE425" s="405"/>
      <c r="AF425" s="401"/>
      <c r="AG425" s="292"/>
      <c r="AH425" s="292"/>
      <c r="AI425" s="292"/>
      <c r="AJ425" s="292"/>
      <c r="AK425" s="395"/>
      <c r="AL425" s="317"/>
      <c r="AM425" s="394"/>
      <c r="AN425" s="396"/>
      <c r="AO425" s="200"/>
      <c r="AP425" s="200"/>
    </row>
    <row r="426">
      <c r="A426" s="395"/>
      <c r="B426" s="317"/>
      <c r="C426" s="394"/>
      <c r="D426" s="396"/>
      <c r="E426" s="395"/>
      <c r="F426" s="317"/>
      <c r="G426" s="394"/>
      <c r="H426" s="396"/>
      <c r="I426" s="395"/>
      <c r="J426" s="317"/>
      <c r="K426" s="394"/>
      <c r="L426" s="396"/>
      <c r="M426" s="395"/>
      <c r="N426" s="317"/>
      <c r="O426" s="394"/>
      <c r="P426" s="396"/>
      <c r="Q426" s="403"/>
      <c r="R426" s="404"/>
      <c r="S426" s="405"/>
      <c r="T426" s="401"/>
      <c r="U426" s="403"/>
      <c r="V426" s="404"/>
      <c r="W426" s="405"/>
      <c r="X426" s="401"/>
      <c r="Y426" s="403"/>
      <c r="Z426" s="404"/>
      <c r="AA426" s="405"/>
      <c r="AB426" s="401"/>
      <c r="AC426" s="403"/>
      <c r="AD426" s="404"/>
      <c r="AE426" s="405"/>
      <c r="AF426" s="401"/>
      <c r="AG426" s="292"/>
      <c r="AH426" s="292"/>
      <c r="AI426" s="292"/>
      <c r="AJ426" s="292"/>
      <c r="AK426" s="395"/>
      <c r="AL426" s="317"/>
      <c r="AM426" s="394"/>
      <c r="AN426" s="396"/>
      <c r="AO426" s="200"/>
      <c r="AP426" s="200"/>
    </row>
    <row r="427">
      <c r="A427" s="395"/>
      <c r="B427" s="317"/>
      <c r="C427" s="394"/>
      <c r="D427" s="396"/>
      <c r="E427" s="395"/>
      <c r="F427" s="317"/>
      <c r="G427" s="394"/>
      <c r="H427" s="396"/>
      <c r="I427" s="395"/>
      <c r="J427" s="317"/>
      <c r="K427" s="394"/>
      <c r="L427" s="396"/>
      <c r="M427" s="395"/>
      <c r="N427" s="317"/>
      <c r="O427" s="394"/>
      <c r="P427" s="396"/>
      <c r="Q427" s="403"/>
      <c r="R427" s="404"/>
      <c r="S427" s="405"/>
      <c r="T427" s="401"/>
      <c r="U427" s="403"/>
      <c r="V427" s="404"/>
      <c r="W427" s="405"/>
      <c r="X427" s="401"/>
      <c r="Y427" s="403"/>
      <c r="Z427" s="404"/>
      <c r="AA427" s="405"/>
      <c r="AB427" s="401"/>
      <c r="AC427" s="403"/>
      <c r="AD427" s="404"/>
      <c r="AE427" s="405"/>
      <c r="AF427" s="401"/>
      <c r="AG427" s="292"/>
      <c r="AH427" s="292"/>
      <c r="AI427" s="292"/>
      <c r="AJ427" s="292"/>
      <c r="AK427" s="395"/>
      <c r="AL427" s="317"/>
      <c r="AM427" s="394"/>
      <c r="AN427" s="396"/>
      <c r="AO427" s="200"/>
      <c r="AP427" s="200"/>
    </row>
    <row r="428">
      <c r="A428" s="395"/>
      <c r="B428" s="317"/>
      <c r="C428" s="394"/>
      <c r="D428" s="396"/>
      <c r="E428" s="395"/>
      <c r="F428" s="317"/>
      <c r="G428" s="394"/>
      <c r="H428" s="396"/>
      <c r="I428" s="395"/>
      <c r="J428" s="317"/>
      <c r="K428" s="394"/>
      <c r="L428" s="396"/>
      <c r="M428" s="395"/>
      <c r="N428" s="317"/>
      <c r="O428" s="394"/>
      <c r="P428" s="396"/>
      <c r="Q428" s="403"/>
      <c r="R428" s="404"/>
      <c r="S428" s="405"/>
      <c r="T428" s="401"/>
      <c r="U428" s="403"/>
      <c r="V428" s="404"/>
      <c r="W428" s="405"/>
      <c r="X428" s="401"/>
      <c r="Y428" s="403"/>
      <c r="Z428" s="404"/>
      <c r="AA428" s="405"/>
      <c r="AB428" s="401"/>
      <c r="AC428" s="403"/>
      <c r="AD428" s="404"/>
      <c r="AE428" s="405"/>
      <c r="AF428" s="401"/>
      <c r="AG428" s="292"/>
      <c r="AH428" s="292"/>
      <c r="AI428" s="292"/>
      <c r="AJ428" s="292"/>
      <c r="AK428" s="395"/>
      <c r="AL428" s="317"/>
      <c r="AM428" s="394"/>
      <c r="AN428" s="396"/>
      <c r="AO428" s="200"/>
      <c r="AP428" s="200"/>
    </row>
    <row r="429">
      <c r="A429" s="395"/>
      <c r="B429" s="317"/>
      <c r="C429" s="394"/>
      <c r="D429" s="396"/>
      <c r="E429" s="395"/>
      <c r="F429" s="317"/>
      <c r="G429" s="394"/>
      <c r="H429" s="396"/>
      <c r="I429" s="395"/>
      <c r="J429" s="317"/>
      <c r="K429" s="394"/>
      <c r="L429" s="396"/>
      <c r="M429" s="395"/>
      <c r="N429" s="317"/>
      <c r="O429" s="394"/>
      <c r="P429" s="396"/>
      <c r="Q429" s="403"/>
      <c r="R429" s="404"/>
      <c r="S429" s="405"/>
      <c r="T429" s="401"/>
      <c r="U429" s="403"/>
      <c r="V429" s="404"/>
      <c r="W429" s="405"/>
      <c r="X429" s="401"/>
      <c r="Y429" s="403"/>
      <c r="Z429" s="404"/>
      <c r="AA429" s="405"/>
      <c r="AB429" s="401"/>
      <c r="AC429" s="403"/>
      <c r="AD429" s="404"/>
      <c r="AE429" s="405"/>
      <c r="AF429" s="401"/>
      <c r="AG429" s="292"/>
      <c r="AH429" s="292"/>
      <c r="AI429" s="292"/>
      <c r="AJ429" s="292"/>
      <c r="AK429" s="395"/>
      <c r="AL429" s="317"/>
      <c r="AM429" s="394"/>
      <c r="AN429" s="396"/>
      <c r="AO429" s="200"/>
      <c r="AP429" s="200"/>
    </row>
    <row r="430">
      <c r="A430" s="395"/>
      <c r="B430" s="317"/>
      <c r="C430" s="394"/>
      <c r="D430" s="396"/>
      <c r="E430" s="395"/>
      <c r="F430" s="317"/>
      <c r="G430" s="394"/>
      <c r="H430" s="396"/>
      <c r="I430" s="395"/>
      <c r="J430" s="317"/>
      <c r="K430" s="394"/>
      <c r="L430" s="396"/>
      <c r="M430" s="395"/>
      <c r="N430" s="317"/>
      <c r="O430" s="394"/>
      <c r="P430" s="396"/>
      <c r="Q430" s="403"/>
      <c r="R430" s="404"/>
      <c r="S430" s="405"/>
      <c r="T430" s="401"/>
      <c r="U430" s="403"/>
      <c r="V430" s="404"/>
      <c r="W430" s="405"/>
      <c r="X430" s="401"/>
      <c r="Y430" s="403"/>
      <c r="Z430" s="404"/>
      <c r="AA430" s="405"/>
      <c r="AB430" s="401"/>
      <c r="AC430" s="403"/>
      <c r="AD430" s="404"/>
      <c r="AE430" s="405"/>
      <c r="AF430" s="401"/>
      <c r="AG430" s="292"/>
      <c r="AH430" s="292"/>
      <c r="AI430" s="292"/>
      <c r="AJ430" s="292"/>
      <c r="AK430" s="395"/>
      <c r="AL430" s="317"/>
      <c r="AM430" s="394"/>
      <c r="AN430" s="396"/>
      <c r="AO430" s="200"/>
      <c r="AP430" s="200"/>
    </row>
    <row r="431">
      <c r="A431" s="395"/>
      <c r="B431" s="317"/>
      <c r="C431" s="394"/>
      <c r="D431" s="396"/>
      <c r="E431" s="395"/>
      <c r="F431" s="317"/>
      <c r="G431" s="394"/>
      <c r="H431" s="396"/>
      <c r="I431" s="395"/>
      <c r="J431" s="317"/>
      <c r="K431" s="394"/>
      <c r="L431" s="396"/>
      <c r="M431" s="395"/>
      <c r="N431" s="317"/>
      <c r="O431" s="394"/>
      <c r="P431" s="396"/>
      <c r="Q431" s="403"/>
      <c r="R431" s="404"/>
      <c r="S431" s="405"/>
      <c r="T431" s="401"/>
      <c r="U431" s="403"/>
      <c r="V431" s="404"/>
      <c r="W431" s="405"/>
      <c r="X431" s="401"/>
      <c r="Y431" s="403"/>
      <c r="Z431" s="404"/>
      <c r="AA431" s="405"/>
      <c r="AB431" s="401"/>
      <c r="AC431" s="403"/>
      <c r="AD431" s="404"/>
      <c r="AE431" s="405"/>
      <c r="AF431" s="401"/>
      <c r="AG431" s="292"/>
      <c r="AH431" s="292"/>
      <c r="AI431" s="292"/>
      <c r="AJ431" s="292"/>
      <c r="AK431" s="395"/>
      <c r="AL431" s="317"/>
      <c r="AM431" s="394"/>
      <c r="AN431" s="396"/>
      <c r="AO431" s="200"/>
      <c r="AP431" s="200"/>
    </row>
    <row r="432">
      <c r="A432" s="395"/>
      <c r="B432" s="317"/>
      <c r="C432" s="394"/>
      <c r="D432" s="396"/>
      <c r="E432" s="395"/>
      <c r="F432" s="317"/>
      <c r="G432" s="394"/>
      <c r="H432" s="396"/>
      <c r="I432" s="395"/>
      <c r="J432" s="317"/>
      <c r="K432" s="394"/>
      <c r="L432" s="396"/>
      <c r="M432" s="395"/>
      <c r="N432" s="317"/>
      <c r="O432" s="394"/>
      <c r="P432" s="396"/>
      <c r="Q432" s="403"/>
      <c r="R432" s="404"/>
      <c r="S432" s="405"/>
      <c r="T432" s="401"/>
      <c r="U432" s="403"/>
      <c r="V432" s="404"/>
      <c r="W432" s="405"/>
      <c r="X432" s="401"/>
      <c r="Y432" s="403"/>
      <c r="Z432" s="404"/>
      <c r="AA432" s="405"/>
      <c r="AB432" s="401"/>
      <c r="AC432" s="403"/>
      <c r="AD432" s="404"/>
      <c r="AE432" s="405"/>
      <c r="AF432" s="401"/>
      <c r="AG432" s="292"/>
      <c r="AH432" s="292"/>
      <c r="AI432" s="292"/>
      <c r="AJ432" s="292"/>
      <c r="AK432" s="395"/>
      <c r="AL432" s="317"/>
      <c r="AM432" s="394"/>
      <c r="AN432" s="396"/>
      <c r="AO432" s="200"/>
      <c r="AP432" s="200"/>
    </row>
    <row r="433">
      <c r="A433" s="395"/>
      <c r="B433" s="317"/>
      <c r="C433" s="394"/>
      <c r="D433" s="396"/>
      <c r="E433" s="395"/>
      <c r="F433" s="317"/>
      <c r="G433" s="394"/>
      <c r="H433" s="396"/>
      <c r="I433" s="395"/>
      <c r="J433" s="317"/>
      <c r="K433" s="394"/>
      <c r="L433" s="396"/>
      <c r="M433" s="395"/>
      <c r="N433" s="317"/>
      <c r="O433" s="394"/>
      <c r="P433" s="396"/>
      <c r="Q433" s="403"/>
      <c r="R433" s="404"/>
      <c r="S433" s="405"/>
      <c r="T433" s="401"/>
      <c r="U433" s="403"/>
      <c r="V433" s="404"/>
      <c r="W433" s="405"/>
      <c r="X433" s="401"/>
      <c r="Y433" s="403"/>
      <c r="Z433" s="404"/>
      <c r="AA433" s="405"/>
      <c r="AB433" s="401"/>
      <c r="AC433" s="403"/>
      <c r="AD433" s="404"/>
      <c r="AE433" s="405"/>
      <c r="AF433" s="401"/>
      <c r="AG433" s="292"/>
      <c r="AH433" s="292"/>
      <c r="AI433" s="292"/>
      <c r="AJ433" s="292"/>
      <c r="AK433" s="395"/>
      <c r="AL433" s="317"/>
      <c r="AM433" s="394"/>
      <c r="AN433" s="396"/>
      <c r="AO433" s="200"/>
      <c r="AP433" s="200"/>
    </row>
    <row r="434">
      <c r="A434" s="395"/>
      <c r="B434" s="317"/>
      <c r="C434" s="394"/>
      <c r="D434" s="396"/>
      <c r="E434" s="395"/>
      <c r="F434" s="317"/>
      <c r="G434" s="394"/>
      <c r="H434" s="396"/>
      <c r="I434" s="395"/>
      <c r="J434" s="317"/>
      <c r="K434" s="394"/>
      <c r="L434" s="396"/>
      <c r="M434" s="395"/>
      <c r="N434" s="317"/>
      <c r="O434" s="394"/>
      <c r="P434" s="396"/>
      <c r="Q434" s="403"/>
      <c r="R434" s="404"/>
      <c r="S434" s="405"/>
      <c r="T434" s="401"/>
      <c r="U434" s="403"/>
      <c r="V434" s="404"/>
      <c r="W434" s="405"/>
      <c r="X434" s="401"/>
      <c r="Y434" s="403"/>
      <c r="Z434" s="404"/>
      <c r="AA434" s="405"/>
      <c r="AB434" s="401"/>
      <c r="AC434" s="403"/>
      <c r="AD434" s="404"/>
      <c r="AE434" s="405"/>
      <c r="AF434" s="401"/>
      <c r="AG434" s="292"/>
      <c r="AH434" s="292"/>
      <c r="AI434" s="292"/>
      <c r="AJ434" s="292"/>
      <c r="AK434" s="395"/>
      <c r="AL434" s="317"/>
      <c r="AM434" s="394"/>
      <c r="AN434" s="396"/>
      <c r="AO434" s="200"/>
      <c r="AP434" s="200"/>
    </row>
    <row r="435">
      <c r="A435" s="395"/>
      <c r="B435" s="317"/>
      <c r="C435" s="394"/>
      <c r="D435" s="396"/>
      <c r="E435" s="395"/>
      <c r="F435" s="317"/>
      <c r="G435" s="394"/>
      <c r="H435" s="396"/>
      <c r="I435" s="395"/>
      <c r="J435" s="317"/>
      <c r="K435" s="394"/>
      <c r="L435" s="396"/>
      <c r="M435" s="395"/>
      <c r="N435" s="317"/>
      <c r="O435" s="394"/>
      <c r="P435" s="396"/>
      <c r="Q435" s="403"/>
      <c r="R435" s="404"/>
      <c r="S435" s="405"/>
      <c r="T435" s="401"/>
      <c r="U435" s="403"/>
      <c r="V435" s="404"/>
      <c r="W435" s="405"/>
      <c r="X435" s="401"/>
      <c r="Y435" s="403"/>
      <c r="Z435" s="404"/>
      <c r="AA435" s="405"/>
      <c r="AB435" s="401"/>
      <c r="AC435" s="403"/>
      <c r="AD435" s="404"/>
      <c r="AE435" s="405"/>
      <c r="AF435" s="401"/>
      <c r="AG435" s="292"/>
      <c r="AH435" s="292"/>
      <c r="AI435" s="292"/>
      <c r="AJ435" s="292"/>
      <c r="AK435" s="395"/>
      <c r="AL435" s="317"/>
      <c r="AM435" s="394"/>
      <c r="AN435" s="396"/>
      <c r="AO435" s="200"/>
      <c r="AP435" s="200"/>
    </row>
    <row r="436">
      <c r="A436" s="395"/>
      <c r="B436" s="317"/>
      <c r="C436" s="394"/>
      <c r="D436" s="396"/>
      <c r="E436" s="395"/>
      <c r="F436" s="317"/>
      <c r="G436" s="394"/>
      <c r="H436" s="396"/>
      <c r="I436" s="395"/>
      <c r="J436" s="317"/>
      <c r="K436" s="394"/>
      <c r="L436" s="396"/>
      <c r="M436" s="395"/>
      <c r="N436" s="317"/>
      <c r="O436" s="394"/>
      <c r="P436" s="396"/>
      <c r="Q436" s="403"/>
      <c r="R436" s="404"/>
      <c r="S436" s="405"/>
      <c r="T436" s="401"/>
      <c r="U436" s="403"/>
      <c r="V436" s="404"/>
      <c r="W436" s="405"/>
      <c r="X436" s="401"/>
      <c r="Y436" s="403"/>
      <c r="Z436" s="404"/>
      <c r="AA436" s="405"/>
      <c r="AB436" s="401"/>
      <c r="AC436" s="403"/>
      <c r="AD436" s="404"/>
      <c r="AE436" s="405"/>
      <c r="AF436" s="401"/>
      <c r="AG436" s="292"/>
      <c r="AH436" s="292"/>
      <c r="AI436" s="292"/>
      <c r="AJ436" s="292"/>
      <c r="AK436" s="395"/>
      <c r="AL436" s="317"/>
      <c r="AM436" s="394"/>
      <c r="AN436" s="396"/>
      <c r="AO436" s="200"/>
      <c r="AP436" s="200"/>
    </row>
    <row r="437">
      <c r="A437" s="395"/>
      <c r="B437" s="317"/>
      <c r="C437" s="394"/>
      <c r="D437" s="396"/>
      <c r="E437" s="395"/>
      <c r="F437" s="317"/>
      <c r="G437" s="394"/>
      <c r="H437" s="396"/>
      <c r="I437" s="395"/>
      <c r="J437" s="317"/>
      <c r="K437" s="394"/>
      <c r="L437" s="396"/>
      <c r="M437" s="395"/>
      <c r="N437" s="317"/>
      <c r="O437" s="394"/>
      <c r="P437" s="396"/>
      <c r="Q437" s="403"/>
      <c r="R437" s="404"/>
      <c r="S437" s="405"/>
      <c r="T437" s="401"/>
      <c r="U437" s="403"/>
      <c r="V437" s="404"/>
      <c r="W437" s="405"/>
      <c r="X437" s="401"/>
      <c r="Y437" s="403"/>
      <c r="Z437" s="404"/>
      <c r="AA437" s="405"/>
      <c r="AB437" s="401"/>
      <c r="AC437" s="403"/>
      <c r="AD437" s="404"/>
      <c r="AE437" s="405"/>
      <c r="AF437" s="401"/>
      <c r="AG437" s="292"/>
      <c r="AH437" s="292"/>
      <c r="AI437" s="292"/>
      <c r="AJ437" s="292"/>
      <c r="AK437" s="395"/>
      <c r="AL437" s="317"/>
      <c r="AM437" s="394"/>
      <c r="AN437" s="396"/>
      <c r="AO437" s="200"/>
      <c r="AP437" s="200"/>
    </row>
    <row r="438">
      <c r="A438" s="395"/>
      <c r="B438" s="317"/>
      <c r="C438" s="394"/>
      <c r="D438" s="396"/>
      <c r="E438" s="395"/>
      <c r="F438" s="317"/>
      <c r="G438" s="394"/>
      <c r="H438" s="396"/>
      <c r="I438" s="395"/>
      <c r="J438" s="317"/>
      <c r="K438" s="394"/>
      <c r="L438" s="396"/>
      <c r="M438" s="395"/>
      <c r="N438" s="317"/>
      <c r="O438" s="394"/>
      <c r="P438" s="396"/>
      <c r="Q438" s="403"/>
      <c r="R438" s="404"/>
      <c r="S438" s="405"/>
      <c r="T438" s="401"/>
      <c r="U438" s="403"/>
      <c r="V438" s="404"/>
      <c r="W438" s="405"/>
      <c r="X438" s="401"/>
      <c r="Y438" s="403"/>
      <c r="Z438" s="404"/>
      <c r="AA438" s="405"/>
      <c r="AB438" s="401"/>
      <c r="AC438" s="403"/>
      <c r="AD438" s="404"/>
      <c r="AE438" s="405"/>
      <c r="AF438" s="401"/>
      <c r="AG438" s="292"/>
      <c r="AH438" s="292"/>
      <c r="AI438" s="292"/>
      <c r="AJ438" s="292"/>
      <c r="AK438" s="395"/>
      <c r="AL438" s="317"/>
      <c r="AM438" s="394"/>
      <c r="AN438" s="396"/>
      <c r="AO438" s="200"/>
      <c r="AP438" s="200"/>
    </row>
    <row r="439">
      <c r="A439" s="395"/>
      <c r="B439" s="317"/>
      <c r="C439" s="394"/>
      <c r="D439" s="396"/>
      <c r="E439" s="395"/>
      <c r="F439" s="317"/>
      <c r="G439" s="394"/>
      <c r="H439" s="396"/>
      <c r="I439" s="395"/>
      <c r="J439" s="317"/>
      <c r="K439" s="394"/>
      <c r="L439" s="396"/>
      <c r="M439" s="395"/>
      <c r="N439" s="317"/>
      <c r="O439" s="394"/>
      <c r="P439" s="396"/>
      <c r="Q439" s="403"/>
      <c r="R439" s="404"/>
      <c r="S439" s="405"/>
      <c r="T439" s="401"/>
      <c r="U439" s="403"/>
      <c r="V439" s="404"/>
      <c r="W439" s="405"/>
      <c r="X439" s="401"/>
      <c r="Y439" s="403"/>
      <c r="Z439" s="404"/>
      <c r="AA439" s="405"/>
      <c r="AB439" s="401"/>
      <c r="AC439" s="403"/>
      <c r="AD439" s="404"/>
      <c r="AE439" s="405"/>
      <c r="AF439" s="401"/>
      <c r="AG439" s="292"/>
      <c r="AH439" s="292"/>
      <c r="AI439" s="292"/>
      <c r="AJ439" s="292"/>
      <c r="AK439" s="395"/>
      <c r="AL439" s="317"/>
      <c r="AM439" s="394"/>
      <c r="AN439" s="396"/>
      <c r="AO439" s="200"/>
      <c r="AP439" s="200"/>
    </row>
    <row r="440">
      <c r="A440" s="395"/>
      <c r="B440" s="317"/>
      <c r="C440" s="394"/>
      <c r="D440" s="396"/>
      <c r="E440" s="395"/>
      <c r="F440" s="317"/>
      <c r="G440" s="394"/>
      <c r="H440" s="396"/>
      <c r="I440" s="395"/>
      <c r="J440" s="317"/>
      <c r="K440" s="394"/>
      <c r="L440" s="396"/>
      <c r="M440" s="395"/>
      <c r="N440" s="317"/>
      <c r="O440" s="394"/>
      <c r="P440" s="396"/>
      <c r="Q440" s="403"/>
      <c r="R440" s="404"/>
      <c r="S440" s="405"/>
      <c r="T440" s="401"/>
      <c r="U440" s="403"/>
      <c r="V440" s="404"/>
      <c r="W440" s="405"/>
      <c r="X440" s="401"/>
      <c r="Y440" s="403"/>
      <c r="Z440" s="404"/>
      <c r="AA440" s="405"/>
      <c r="AB440" s="401"/>
      <c r="AC440" s="403"/>
      <c r="AD440" s="404"/>
      <c r="AE440" s="405"/>
      <c r="AF440" s="401"/>
      <c r="AG440" s="292"/>
      <c r="AH440" s="292"/>
      <c r="AI440" s="292"/>
      <c r="AJ440" s="292"/>
      <c r="AK440" s="395"/>
      <c r="AL440" s="317"/>
      <c r="AM440" s="394"/>
      <c r="AN440" s="396"/>
      <c r="AO440" s="200"/>
      <c r="AP440" s="200"/>
    </row>
    <row r="441">
      <c r="A441" s="395"/>
      <c r="B441" s="317"/>
      <c r="C441" s="394"/>
      <c r="D441" s="396"/>
      <c r="E441" s="395"/>
      <c r="F441" s="317"/>
      <c r="G441" s="394"/>
      <c r="H441" s="396"/>
      <c r="I441" s="395"/>
      <c r="J441" s="317"/>
      <c r="K441" s="394"/>
      <c r="L441" s="396"/>
      <c r="M441" s="395"/>
      <c r="N441" s="317"/>
      <c r="O441" s="394"/>
      <c r="P441" s="396"/>
      <c r="Q441" s="403"/>
      <c r="R441" s="404"/>
      <c r="S441" s="405"/>
      <c r="T441" s="401"/>
      <c r="U441" s="403"/>
      <c r="V441" s="404"/>
      <c r="W441" s="405"/>
      <c r="X441" s="401"/>
      <c r="Y441" s="403"/>
      <c r="Z441" s="404"/>
      <c r="AA441" s="405"/>
      <c r="AB441" s="401"/>
      <c r="AC441" s="403"/>
      <c r="AD441" s="404"/>
      <c r="AE441" s="405"/>
      <c r="AF441" s="401"/>
      <c r="AG441" s="292"/>
      <c r="AH441" s="292"/>
      <c r="AI441" s="292"/>
      <c r="AJ441" s="292"/>
      <c r="AK441" s="395"/>
      <c r="AL441" s="317"/>
      <c r="AM441" s="394"/>
      <c r="AN441" s="396"/>
      <c r="AO441" s="200"/>
      <c r="AP441" s="200"/>
    </row>
    <row r="442">
      <c r="A442" s="395"/>
      <c r="B442" s="317"/>
      <c r="C442" s="394"/>
      <c r="D442" s="396"/>
      <c r="E442" s="395"/>
      <c r="F442" s="317"/>
      <c r="G442" s="394"/>
      <c r="H442" s="396"/>
      <c r="I442" s="395"/>
      <c r="J442" s="317"/>
      <c r="K442" s="394"/>
      <c r="L442" s="396"/>
      <c r="M442" s="395"/>
      <c r="N442" s="317"/>
      <c r="O442" s="394"/>
      <c r="P442" s="396"/>
      <c r="Q442" s="403"/>
      <c r="R442" s="404"/>
      <c r="S442" s="405"/>
      <c r="T442" s="401"/>
      <c r="U442" s="403"/>
      <c r="V442" s="404"/>
      <c r="W442" s="405"/>
      <c r="X442" s="401"/>
      <c r="Y442" s="403"/>
      <c r="Z442" s="404"/>
      <c r="AA442" s="405"/>
      <c r="AB442" s="401"/>
      <c r="AC442" s="403"/>
      <c r="AD442" s="404"/>
      <c r="AE442" s="405"/>
      <c r="AF442" s="401"/>
      <c r="AG442" s="292"/>
      <c r="AH442" s="292"/>
      <c r="AI442" s="292"/>
      <c r="AJ442" s="292"/>
      <c r="AK442" s="395"/>
      <c r="AL442" s="317"/>
      <c r="AM442" s="394"/>
      <c r="AN442" s="396"/>
      <c r="AO442" s="200"/>
      <c r="AP442" s="200"/>
    </row>
    <row r="443">
      <c r="A443" s="395"/>
      <c r="B443" s="317"/>
      <c r="C443" s="394"/>
      <c r="D443" s="396"/>
      <c r="E443" s="395"/>
      <c r="F443" s="317"/>
      <c r="G443" s="394"/>
      <c r="H443" s="396"/>
      <c r="I443" s="395"/>
      <c r="J443" s="317"/>
      <c r="K443" s="394"/>
      <c r="L443" s="396"/>
      <c r="M443" s="395"/>
      <c r="N443" s="317"/>
      <c r="O443" s="394"/>
      <c r="P443" s="396"/>
      <c r="Q443" s="403"/>
      <c r="R443" s="404"/>
      <c r="S443" s="405"/>
      <c r="T443" s="401"/>
      <c r="U443" s="403"/>
      <c r="V443" s="404"/>
      <c r="W443" s="405"/>
      <c r="X443" s="401"/>
      <c r="Y443" s="403"/>
      <c r="Z443" s="404"/>
      <c r="AA443" s="405"/>
      <c r="AB443" s="401"/>
      <c r="AC443" s="403"/>
      <c r="AD443" s="404"/>
      <c r="AE443" s="405"/>
      <c r="AF443" s="401"/>
      <c r="AG443" s="292"/>
      <c r="AH443" s="292"/>
      <c r="AI443" s="292"/>
      <c r="AJ443" s="292"/>
      <c r="AK443" s="395"/>
      <c r="AL443" s="317"/>
      <c r="AM443" s="394"/>
      <c r="AN443" s="396"/>
      <c r="AO443" s="200"/>
      <c r="AP443" s="200"/>
    </row>
    <row r="444">
      <c r="A444" s="395"/>
      <c r="B444" s="317"/>
      <c r="C444" s="394"/>
      <c r="D444" s="396"/>
      <c r="E444" s="395"/>
      <c r="F444" s="317"/>
      <c r="G444" s="394"/>
      <c r="H444" s="396"/>
      <c r="I444" s="395"/>
      <c r="J444" s="317"/>
      <c r="K444" s="394"/>
      <c r="L444" s="396"/>
      <c r="M444" s="395"/>
      <c r="N444" s="317"/>
      <c r="O444" s="394"/>
      <c r="P444" s="396"/>
      <c r="Q444" s="403"/>
      <c r="R444" s="404"/>
      <c r="S444" s="405"/>
      <c r="T444" s="401"/>
      <c r="U444" s="403"/>
      <c r="V444" s="404"/>
      <c r="W444" s="405"/>
      <c r="X444" s="401"/>
      <c r="Y444" s="403"/>
      <c r="Z444" s="404"/>
      <c r="AA444" s="405"/>
      <c r="AB444" s="401"/>
      <c r="AC444" s="403"/>
      <c r="AD444" s="404"/>
      <c r="AE444" s="405"/>
      <c r="AF444" s="401"/>
      <c r="AG444" s="292"/>
      <c r="AH444" s="292"/>
      <c r="AI444" s="292"/>
      <c r="AJ444" s="292"/>
      <c r="AK444" s="395"/>
      <c r="AL444" s="317"/>
      <c r="AM444" s="394"/>
      <c r="AN444" s="396"/>
      <c r="AO444" s="200"/>
      <c r="AP444" s="200"/>
    </row>
    <row r="445">
      <c r="A445" s="395"/>
      <c r="B445" s="317"/>
      <c r="C445" s="394"/>
      <c r="D445" s="396"/>
      <c r="E445" s="395"/>
      <c r="F445" s="317"/>
      <c r="G445" s="394"/>
      <c r="H445" s="396"/>
      <c r="I445" s="395"/>
      <c r="J445" s="317"/>
      <c r="K445" s="394"/>
      <c r="L445" s="396"/>
      <c r="M445" s="395"/>
      <c r="N445" s="317"/>
      <c r="O445" s="394"/>
      <c r="P445" s="396"/>
      <c r="Q445" s="403"/>
      <c r="R445" s="404"/>
      <c r="S445" s="405"/>
      <c r="T445" s="401"/>
      <c r="U445" s="403"/>
      <c r="V445" s="404"/>
      <c r="W445" s="405"/>
      <c r="X445" s="401"/>
      <c r="Y445" s="403"/>
      <c r="Z445" s="404"/>
      <c r="AA445" s="405"/>
      <c r="AB445" s="401"/>
      <c r="AC445" s="403"/>
      <c r="AD445" s="404"/>
      <c r="AE445" s="405"/>
      <c r="AF445" s="401"/>
      <c r="AG445" s="292"/>
      <c r="AH445" s="292"/>
      <c r="AI445" s="292"/>
      <c r="AJ445" s="292"/>
      <c r="AK445" s="395"/>
      <c r="AL445" s="317"/>
      <c r="AM445" s="394"/>
      <c r="AN445" s="396"/>
      <c r="AO445" s="200"/>
      <c r="AP445" s="200"/>
    </row>
    <row r="446">
      <c r="A446" s="395"/>
      <c r="B446" s="317"/>
      <c r="C446" s="394"/>
      <c r="D446" s="396"/>
      <c r="E446" s="395"/>
      <c r="F446" s="317"/>
      <c r="G446" s="394"/>
      <c r="H446" s="396"/>
      <c r="I446" s="395"/>
      <c r="J446" s="317"/>
      <c r="K446" s="394"/>
      <c r="L446" s="396"/>
      <c r="M446" s="395"/>
      <c r="N446" s="317"/>
      <c r="O446" s="394"/>
      <c r="P446" s="396"/>
      <c r="Q446" s="403"/>
      <c r="R446" s="404"/>
      <c r="S446" s="405"/>
      <c r="T446" s="401"/>
      <c r="U446" s="403"/>
      <c r="V446" s="404"/>
      <c r="W446" s="405"/>
      <c r="X446" s="401"/>
      <c r="Y446" s="403"/>
      <c r="Z446" s="404"/>
      <c r="AA446" s="405"/>
      <c r="AB446" s="401"/>
      <c r="AC446" s="403"/>
      <c r="AD446" s="404"/>
      <c r="AE446" s="405"/>
      <c r="AF446" s="401"/>
      <c r="AG446" s="292"/>
      <c r="AH446" s="292"/>
      <c r="AI446" s="292"/>
      <c r="AJ446" s="292"/>
      <c r="AK446" s="395"/>
      <c r="AL446" s="317"/>
      <c r="AM446" s="394"/>
      <c r="AN446" s="396"/>
      <c r="AO446" s="200"/>
      <c r="AP446" s="200"/>
    </row>
    <row r="447">
      <c r="A447" s="395"/>
      <c r="B447" s="317"/>
      <c r="C447" s="394"/>
      <c r="D447" s="396"/>
      <c r="E447" s="395"/>
      <c r="F447" s="317"/>
      <c r="G447" s="394"/>
      <c r="H447" s="396"/>
      <c r="I447" s="395"/>
      <c r="J447" s="317"/>
      <c r="K447" s="394"/>
      <c r="L447" s="396"/>
      <c r="M447" s="395"/>
      <c r="N447" s="317"/>
      <c r="O447" s="394"/>
      <c r="P447" s="396"/>
      <c r="Q447" s="403"/>
      <c r="R447" s="404"/>
      <c r="S447" s="405"/>
      <c r="T447" s="401"/>
      <c r="U447" s="403"/>
      <c r="V447" s="404"/>
      <c r="W447" s="405"/>
      <c r="X447" s="401"/>
      <c r="Y447" s="403"/>
      <c r="Z447" s="404"/>
      <c r="AA447" s="405"/>
      <c r="AB447" s="401"/>
      <c r="AC447" s="403"/>
      <c r="AD447" s="404"/>
      <c r="AE447" s="405"/>
      <c r="AF447" s="401"/>
      <c r="AG447" s="292"/>
      <c r="AH447" s="292"/>
      <c r="AI447" s="292"/>
      <c r="AJ447" s="292"/>
      <c r="AK447" s="395"/>
      <c r="AL447" s="317"/>
      <c r="AM447" s="394"/>
      <c r="AN447" s="396"/>
      <c r="AO447" s="200"/>
      <c r="AP447" s="200"/>
    </row>
    <row r="448">
      <c r="A448" s="395"/>
      <c r="B448" s="317"/>
      <c r="C448" s="394"/>
      <c r="D448" s="396"/>
      <c r="E448" s="395"/>
      <c r="F448" s="317"/>
      <c r="G448" s="394"/>
      <c r="H448" s="396"/>
      <c r="I448" s="395"/>
      <c r="J448" s="317"/>
      <c r="K448" s="394"/>
      <c r="L448" s="396"/>
      <c r="M448" s="395"/>
      <c r="N448" s="317"/>
      <c r="O448" s="394"/>
      <c r="P448" s="396"/>
      <c r="Q448" s="403"/>
      <c r="R448" s="404"/>
      <c r="S448" s="405"/>
      <c r="T448" s="401"/>
      <c r="U448" s="403"/>
      <c r="V448" s="404"/>
      <c r="W448" s="405"/>
      <c r="X448" s="401"/>
      <c r="Y448" s="403"/>
      <c r="Z448" s="404"/>
      <c r="AA448" s="405"/>
      <c r="AB448" s="401"/>
      <c r="AC448" s="403"/>
      <c r="AD448" s="404"/>
      <c r="AE448" s="405"/>
      <c r="AF448" s="401"/>
      <c r="AG448" s="292"/>
      <c r="AH448" s="292"/>
      <c r="AI448" s="292"/>
      <c r="AJ448" s="292"/>
      <c r="AK448" s="395"/>
      <c r="AL448" s="317"/>
      <c r="AM448" s="394"/>
      <c r="AN448" s="396"/>
      <c r="AO448" s="200"/>
      <c r="AP448" s="200"/>
    </row>
    <row r="449">
      <c r="A449" s="395"/>
      <c r="B449" s="317"/>
      <c r="C449" s="394"/>
      <c r="D449" s="396"/>
      <c r="E449" s="395"/>
      <c r="F449" s="317"/>
      <c r="G449" s="394"/>
      <c r="H449" s="396"/>
      <c r="I449" s="395"/>
      <c r="J449" s="317"/>
      <c r="K449" s="394"/>
      <c r="L449" s="396"/>
      <c r="M449" s="395"/>
      <c r="N449" s="317"/>
      <c r="O449" s="394"/>
      <c r="P449" s="396"/>
      <c r="Q449" s="403"/>
      <c r="R449" s="404"/>
      <c r="S449" s="405"/>
      <c r="T449" s="401"/>
      <c r="U449" s="403"/>
      <c r="V449" s="404"/>
      <c r="W449" s="405"/>
      <c r="X449" s="401"/>
      <c r="Y449" s="403"/>
      <c r="Z449" s="404"/>
      <c r="AA449" s="405"/>
      <c r="AB449" s="401"/>
      <c r="AC449" s="403"/>
      <c r="AD449" s="404"/>
      <c r="AE449" s="405"/>
      <c r="AF449" s="401"/>
      <c r="AG449" s="292"/>
      <c r="AH449" s="292"/>
      <c r="AI449" s="292"/>
      <c r="AJ449" s="292"/>
      <c r="AK449" s="395"/>
      <c r="AL449" s="317"/>
      <c r="AM449" s="394"/>
      <c r="AN449" s="396"/>
      <c r="AO449" s="200"/>
      <c r="AP449" s="200"/>
    </row>
    <row r="450">
      <c r="A450" s="395"/>
      <c r="B450" s="317"/>
      <c r="C450" s="394"/>
      <c r="D450" s="396"/>
      <c r="E450" s="395"/>
      <c r="F450" s="317"/>
      <c r="G450" s="394"/>
      <c r="H450" s="396"/>
      <c r="I450" s="395"/>
      <c r="J450" s="317"/>
      <c r="K450" s="394"/>
      <c r="L450" s="396"/>
      <c r="M450" s="395"/>
      <c r="N450" s="317"/>
      <c r="O450" s="394"/>
      <c r="P450" s="396"/>
      <c r="Q450" s="403"/>
      <c r="R450" s="404"/>
      <c r="S450" s="405"/>
      <c r="T450" s="401"/>
      <c r="U450" s="403"/>
      <c r="V450" s="404"/>
      <c r="W450" s="405"/>
      <c r="X450" s="401"/>
      <c r="Y450" s="403"/>
      <c r="Z450" s="404"/>
      <c r="AA450" s="405"/>
      <c r="AB450" s="401"/>
      <c r="AC450" s="403"/>
      <c r="AD450" s="404"/>
      <c r="AE450" s="405"/>
      <c r="AF450" s="401"/>
      <c r="AG450" s="292"/>
      <c r="AH450" s="292"/>
      <c r="AI450" s="292"/>
      <c r="AJ450" s="292"/>
      <c r="AK450" s="395"/>
      <c r="AL450" s="317"/>
      <c r="AM450" s="394"/>
      <c r="AN450" s="396"/>
      <c r="AO450" s="200"/>
      <c r="AP450" s="200"/>
    </row>
    <row r="451">
      <c r="A451" s="395"/>
      <c r="B451" s="317"/>
      <c r="C451" s="394"/>
      <c r="D451" s="396"/>
      <c r="E451" s="395"/>
      <c r="F451" s="317"/>
      <c r="G451" s="394"/>
      <c r="H451" s="396"/>
      <c r="I451" s="395"/>
      <c r="J451" s="317"/>
      <c r="K451" s="394"/>
      <c r="L451" s="396"/>
      <c r="M451" s="395"/>
      <c r="N451" s="317"/>
      <c r="O451" s="394"/>
      <c r="P451" s="396"/>
      <c r="Q451" s="403"/>
      <c r="R451" s="404"/>
      <c r="S451" s="405"/>
      <c r="T451" s="401"/>
      <c r="U451" s="403"/>
      <c r="V451" s="404"/>
      <c r="W451" s="405"/>
      <c r="X451" s="401"/>
      <c r="Y451" s="403"/>
      <c r="Z451" s="404"/>
      <c r="AA451" s="405"/>
      <c r="AB451" s="401"/>
      <c r="AC451" s="403"/>
      <c r="AD451" s="404"/>
      <c r="AE451" s="405"/>
      <c r="AF451" s="401"/>
      <c r="AG451" s="292"/>
      <c r="AH451" s="292"/>
      <c r="AI451" s="292"/>
      <c r="AJ451" s="292"/>
      <c r="AK451" s="395"/>
      <c r="AL451" s="317"/>
      <c r="AM451" s="394"/>
      <c r="AN451" s="396"/>
      <c r="AO451" s="200"/>
      <c r="AP451" s="200"/>
    </row>
    <row r="452">
      <c r="A452" s="395"/>
      <c r="B452" s="317"/>
      <c r="C452" s="394"/>
      <c r="D452" s="396"/>
      <c r="E452" s="395"/>
      <c r="F452" s="317"/>
      <c r="G452" s="394"/>
      <c r="H452" s="396"/>
      <c r="I452" s="395"/>
      <c r="J452" s="317"/>
      <c r="K452" s="394"/>
      <c r="L452" s="396"/>
      <c r="M452" s="395"/>
      <c r="N452" s="317"/>
      <c r="O452" s="394"/>
      <c r="P452" s="396"/>
      <c r="Q452" s="403"/>
      <c r="R452" s="404"/>
      <c r="S452" s="405"/>
      <c r="T452" s="401"/>
      <c r="U452" s="403"/>
      <c r="V452" s="404"/>
      <c r="W452" s="405"/>
      <c r="X452" s="401"/>
      <c r="Y452" s="403"/>
      <c r="Z452" s="404"/>
      <c r="AA452" s="405"/>
      <c r="AB452" s="401"/>
      <c r="AC452" s="403"/>
      <c r="AD452" s="404"/>
      <c r="AE452" s="405"/>
      <c r="AF452" s="401"/>
      <c r="AG452" s="292"/>
      <c r="AH452" s="292"/>
      <c r="AI452" s="292"/>
      <c r="AJ452" s="292"/>
      <c r="AK452" s="395"/>
      <c r="AL452" s="317"/>
      <c r="AM452" s="394"/>
      <c r="AN452" s="396"/>
      <c r="AO452" s="200"/>
      <c r="AP452" s="200"/>
    </row>
    <row r="453">
      <c r="A453" s="395"/>
      <c r="B453" s="317"/>
      <c r="C453" s="394"/>
      <c r="D453" s="396"/>
      <c r="E453" s="395"/>
      <c r="F453" s="317"/>
      <c r="G453" s="394"/>
      <c r="H453" s="396"/>
      <c r="I453" s="395"/>
      <c r="J453" s="317"/>
      <c r="K453" s="394"/>
      <c r="L453" s="396"/>
      <c r="M453" s="395"/>
      <c r="N453" s="317"/>
      <c r="O453" s="394"/>
      <c r="P453" s="396"/>
      <c r="Q453" s="403"/>
      <c r="R453" s="404"/>
      <c r="S453" s="405"/>
      <c r="T453" s="401"/>
      <c r="U453" s="403"/>
      <c r="V453" s="404"/>
      <c r="W453" s="405"/>
      <c r="X453" s="401"/>
      <c r="Y453" s="403"/>
      <c r="Z453" s="404"/>
      <c r="AA453" s="405"/>
      <c r="AB453" s="401"/>
      <c r="AC453" s="403"/>
      <c r="AD453" s="404"/>
      <c r="AE453" s="405"/>
      <c r="AF453" s="401"/>
      <c r="AG453" s="292"/>
      <c r="AH453" s="292"/>
      <c r="AI453" s="292"/>
      <c r="AJ453" s="292"/>
      <c r="AK453" s="395"/>
      <c r="AL453" s="317"/>
      <c r="AM453" s="394"/>
      <c r="AN453" s="396"/>
      <c r="AO453" s="200"/>
      <c r="AP453" s="200"/>
    </row>
    <row r="454">
      <c r="A454" s="395"/>
      <c r="B454" s="317"/>
      <c r="C454" s="394"/>
      <c r="D454" s="396"/>
      <c r="E454" s="395"/>
      <c r="F454" s="317"/>
      <c r="G454" s="394"/>
      <c r="H454" s="396"/>
      <c r="I454" s="395"/>
      <c r="J454" s="317"/>
      <c r="K454" s="394"/>
      <c r="L454" s="396"/>
      <c r="M454" s="395"/>
      <c r="N454" s="317"/>
      <c r="O454" s="394"/>
      <c r="P454" s="396"/>
      <c r="Q454" s="403"/>
      <c r="R454" s="404"/>
      <c r="S454" s="405"/>
      <c r="T454" s="401"/>
      <c r="U454" s="403"/>
      <c r="V454" s="404"/>
      <c r="W454" s="405"/>
      <c r="X454" s="401"/>
      <c r="Y454" s="403"/>
      <c r="Z454" s="404"/>
      <c r="AA454" s="405"/>
      <c r="AB454" s="401"/>
      <c r="AC454" s="403"/>
      <c r="AD454" s="404"/>
      <c r="AE454" s="405"/>
      <c r="AF454" s="401"/>
      <c r="AG454" s="292"/>
      <c r="AH454" s="292"/>
      <c r="AI454" s="292"/>
      <c r="AJ454" s="292"/>
      <c r="AK454" s="395"/>
      <c r="AL454" s="317"/>
      <c r="AM454" s="394"/>
      <c r="AN454" s="396"/>
      <c r="AO454" s="200"/>
      <c r="AP454" s="200"/>
    </row>
    <row r="455">
      <c r="A455" s="395"/>
      <c r="B455" s="317"/>
      <c r="C455" s="394"/>
      <c r="D455" s="396"/>
      <c r="E455" s="395"/>
      <c r="F455" s="317"/>
      <c r="G455" s="394"/>
      <c r="H455" s="396"/>
      <c r="I455" s="395"/>
      <c r="J455" s="317"/>
      <c r="K455" s="394"/>
      <c r="L455" s="396"/>
      <c r="M455" s="395"/>
      <c r="N455" s="317"/>
      <c r="O455" s="394"/>
      <c r="P455" s="396"/>
      <c r="Q455" s="403"/>
      <c r="R455" s="404"/>
      <c r="S455" s="405"/>
      <c r="T455" s="401"/>
      <c r="U455" s="403"/>
      <c r="V455" s="404"/>
      <c r="W455" s="405"/>
      <c r="X455" s="401"/>
      <c r="Y455" s="403"/>
      <c r="Z455" s="404"/>
      <c r="AA455" s="405"/>
      <c r="AB455" s="401"/>
      <c r="AC455" s="403"/>
      <c r="AD455" s="404"/>
      <c r="AE455" s="405"/>
      <c r="AF455" s="401"/>
      <c r="AG455" s="292"/>
      <c r="AH455" s="292"/>
      <c r="AI455" s="292"/>
      <c r="AJ455" s="292"/>
      <c r="AK455" s="395"/>
      <c r="AL455" s="317"/>
      <c r="AM455" s="394"/>
      <c r="AN455" s="396"/>
      <c r="AO455" s="200"/>
      <c r="AP455" s="200"/>
    </row>
    <row r="456">
      <c r="A456" s="395"/>
      <c r="B456" s="317"/>
      <c r="C456" s="394"/>
      <c r="D456" s="396"/>
      <c r="E456" s="395"/>
      <c r="F456" s="317"/>
      <c r="G456" s="394"/>
      <c r="H456" s="396"/>
      <c r="I456" s="395"/>
      <c r="J456" s="317"/>
      <c r="K456" s="394"/>
      <c r="L456" s="396"/>
      <c r="M456" s="395"/>
      <c r="N456" s="317"/>
      <c r="O456" s="394"/>
      <c r="P456" s="396"/>
      <c r="Q456" s="403"/>
      <c r="R456" s="404"/>
      <c r="S456" s="405"/>
      <c r="T456" s="401"/>
      <c r="U456" s="403"/>
      <c r="V456" s="404"/>
      <c r="W456" s="405"/>
      <c r="X456" s="401"/>
      <c r="Y456" s="403"/>
      <c r="Z456" s="404"/>
      <c r="AA456" s="405"/>
      <c r="AB456" s="401"/>
      <c r="AC456" s="403"/>
      <c r="AD456" s="404"/>
      <c r="AE456" s="405"/>
      <c r="AF456" s="401"/>
      <c r="AG456" s="292"/>
      <c r="AH456" s="292"/>
      <c r="AI456" s="292"/>
      <c r="AJ456" s="292"/>
      <c r="AK456" s="395"/>
      <c r="AL456" s="317"/>
      <c r="AM456" s="394"/>
      <c r="AN456" s="396"/>
      <c r="AO456" s="200"/>
      <c r="AP456" s="200"/>
    </row>
    <row r="457">
      <c r="A457" s="395"/>
      <c r="B457" s="317"/>
      <c r="C457" s="394"/>
      <c r="D457" s="396"/>
      <c r="E457" s="395"/>
      <c r="F457" s="317"/>
      <c r="G457" s="394"/>
      <c r="H457" s="396"/>
      <c r="I457" s="395"/>
      <c r="J457" s="317"/>
      <c r="K457" s="394"/>
      <c r="L457" s="396"/>
      <c r="M457" s="395"/>
      <c r="N457" s="317"/>
      <c r="O457" s="394"/>
      <c r="P457" s="396"/>
      <c r="Q457" s="403"/>
      <c r="R457" s="404"/>
      <c r="S457" s="405"/>
      <c r="T457" s="401"/>
      <c r="U457" s="403"/>
      <c r="V457" s="404"/>
      <c r="W457" s="405"/>
      <c r="X457" s="401"/>
      <c r="Y457" s="403"/>
      <c r="Z457" s="404"/>
      <c r="AA457" s="405"/>
      <c r="AB457" s="401"/>
      <c r="AC457" s="403"/>
      <c r="AD457" s="404"/>
      <c r="AE457" s="405"/>
      <c r="AF457" s="401"/>
      <c r="AG457" s="292"/>
      <c r="AH457" s="292"/>
      <c r="AI457" s="292"/>
      <c r="AJ457" s="292"/>
      <c r="AK457" s="395"/>
      <c r="AL457" s="317"/>
      <c r="AM457" s="394"/>
      <c r="AN457" s="396"/>
      <c r="AO457" s="200"/>
      <c r="AP457" s="200"/>
    </row>
    <row r="458">
      <c r="A458" s="395"/>
      <c r="B458" s="317"/>
      <c r="C458" s="394"/>
      <c r="D458" s="396"/>
      <c r="E458" s="395"/>
      <c r="F458" s="317"/>
      <c r="G458" s="394"/>
      <c r="H458" s="396"/>
      <c r="I458" s="395"/>
      <c r="J458" s="317"/>
      <c r="K458" s="394"/>
      <c r="L458" s="396"/>
      <c r="M458" s="395"/>
      <c r="N458" s="317"/>
      <c r="O458" s="394"/>
      <c r="P458" s="396"/>
      <c r="Q458" s="403"/>
      <c r="R458" s="404"/>
      <c r="S458" s="405"/>
      <c r="T458" s="401"/>
      <c r="U458" s="403"/>
      <c r="V458" s="404"/>
      <c r="W458" s="405"/>
      <c r="X458" s="401"/>
      <c r="Y458" s="403"/>
      <c r="Z458" s="404"/>
      <c r="AA458" s="405"/>
      <c r="AB458" s="401"/>
      <c r="AC458" s="403"/>
      <c r="AD458" s="404"/>
      <c r="AE458" s="405"/>
      <c r="AF458" s="401"/>
      <c r="AG458" s="292"/>
      <c r="AH458" s="292"/>
      <c r="AI458" s="292"/>
      <c r="AJ458" s="292"/>
      <c r="AK458" s="395"/>
      <c r="AL458" s="317"/>
      <c r="AM458" s="394"/>
      <c r="AN458" s="396"/>
      <c r="AO458" s="200"/>
      <c r="AP458" s="200"/>
    </row>
    <row r="459">
      <c r="A459" s="395"/>
      <c r="B459" s="317"/>
      <c r="C459" s="394"/>
      <c r="D459" s="396"/>
      <c r="E459" s="395"/>
      <c r="F459" s="317"/>
      <c r="G459" s="394"/>
      <c r="H459" s="396"/>
      <c r="I459" s="395"/>
      <c r="J459" s="317"/>
      <c r="K459" s="394"/>
      <c r="L459" s="396"/>
      <c r="M459" s="395"/>
      <c r="N459" s="317"/>
      <c r="O459" s="394"/>
      <c r="P459" s="396"/>
      <c r="Q459" s="403"/>
      <c r="R459" s="404"/>
      <c r="S459" s="405"/>
      <c r="T459" s="401"/>
      <c r="U459" s="403"/>
      <c r="V459" s="404"/>
      <c r="W459" s="405"/>
      <c r="X459" s="401"/>
      <c r="Y459" s="403"/>
      <c r="Z459" s="404"/>
      <c r="AA459" s="405"/>
      <c r="AB459" s="401"/>
      <c r="AC459" s="403"/>
      <c r="AD459" s="404"/>
      <c r="AE459" s="405"/>
      <c r="AF459" s="401"/>
      <c r="AG459" s="292"/>
      <c r="AH459" s="292"/>
      <c r="AI459" s="292"/>
      <c r="AJ459" s="292"/>
      <c r="AK459" s="395"/>
      <c r="AL459" s="317"/>
      <c r="AM459" s="394"/>
      <c r="AN459" s="396"/>
      <c r="AO459" s="200"/>
      <c r="AP459" s="200"/>
    </row>
    <row r="460">
      <c r="A460" s="395"/>
      <c r="B460" s="317"/>
      <c r="C460" s="394"/>
      <c r="D460" s="396"/>
      <c r="E460" s="395"/>
      <c r="F460" s="317"/>
      <c r="G460" s="394"/>
      <c r="H460" s="396"/>
      <c r="I460" s="395"/>
      <c r="J460" s="317"/>
      <c r="K460" s="394"/>
      <c r="L460" s="396"/>
      <c r="M460" s="395"/>
      <c r="N460" s="317"/>
      <c r="O460" s="394"/>
      <c r="P460" s="396"/>
      <c r="Q460" s="403"/>
      <c r="R460" s="404"/>
      <c r="S460" s="405"/>
      <c r="T460" s="401"/>
      <c r="U460" s="403"/>
      <c r="V460" s="404"/>
      <c r="W460" s="405"/>
      <c r="X460" s="401"/>
      <c r="Y460" s="403"/>
      <c r="Z460" s="404"/>
      <c r="AA460" s="405"/>
      <c r="AB460" s="401"/>
      <c r="AC460" s="403"/>
      <c r="AD460" s="404"/>
      <c r="AE460" s="405"/>
      <c r="AF460" s="401"/>
      <c r="AG460" s="292"/>
      <c r="AH460" s="292"/>
      <c r="AI460" s="292"/>
      <c r="AJ460" s="292"/>
      <c r="AK460" s="395"/>
      <c r="AL460" s="317"/>
      <c r="AM460" s="394"/>
      <c r="AN460" s="396"/>
      <c r="AO460" s="200"/>
      <c r="AP460" s="200"/>
    </row>
    <row r="461">
      <c r="A461" s="395"/>
      <c r="B461" s="317"/>
      <c r="C461" s="394"/>
      <c r="D461" s="396"/>
      <c r="E461" s="395"/>
      <c r="F461" s="317"/>
      <c r="G461" s="394"/>
      <c r="H461" s="396"/>
      <c r="I461" s="395"/>
      <c r="J461" s="317"/>
      <c r="K461" s="394"/>
      <c r="L461" s="396"/>
      <c r="M461" s="395"/>
      <c r="N461" s="317"/>
      <c r="O461" s="394"/>
      <c r="P461" s="396"/>
      <c r="Q461" s="403"/>
      <c r="R461" s="404"/>
      <c r="S461" s="405"/>
      <c r="T461" s="401"/>
      <c r="U461" s="403"/>
      <c r="V461" s="404"/>
      <c r="W461" s="405"/>
      <c r="X461" s="401"/>
      <c r="Y461" s="403"/>
      <c r="Z461" s="404"/>
      <c r="AA461" s="405"/>
      <c r="AB461" s="401"/>
      <c r="AC461" s="403"/>
      <c r="AD461" s="404"/>
      <c r="AE461" s="405"/>
      <c r="AF461" s="401"/>
      <c r="AG461" s="292"/>
      <c r="AH461" s="292"/>
      <c r="AI461" s="292"/>
      <c r="AJ461" s="292"/>
      <c r="AK461" s="395"/>
      <c r="AL461" s="317"/>
      <c r="AM461" s="394"/>
      <c r="AN461" s="396"/>
      <c r="AO461" s="200"/>
      <c r="AP461" s="200"/>
    </row>
    <row r="462">
      <c r="A462" s="395"/>
      <c r="B462" s="317"/>
      <c r="C462" s="394"/>
      <c r="D462" s="396"/>
      <c r="E462" s="395"/>
      <c r="F462" s="317"/>
      <c r="G462" s="394"/>
      <c r="H462" s="396"/>
      <c r="I462" s="395"/>
      <c r="J462" s="317"/>
      <c r="K462" s="394"/>
      <c r="L462" s="396"/>
      <c r="M462" s="395"/>
      <c r="N462" s="317"/>
      <c r="O462" s="394"/>
      <c r="P462" s="396"/>
      <c r="Q462" s="403"/>
      <c r="R462" s="404"/>
      <c r="S462" s="405"/>
      <c r="T462" s="401"/>
      <c r="U462" s="403"/>
      <c r="V462" s="404"/>
      <c r="W462" s="405"/>
      <c r="X462" s="401"/>
      <c r="Y462" s="403"/>
      <c r="Z462" s="404"/>
      <c r="AA462" s="405"/>
      <c r="AB462" s="401"/>
      <c r="AC462" s="403"/>
      <c r="AD462" s="404"/>
      <c r="AE462" s="405"/>
      <c r="AF462" s="401"/>
      <c r="AG462" s="292"/>
      <c r="AH462" s="292"/>
      <c r="AI462" s="292"/>
      <c r="AJ462" s="292"/>
      <c r="AK462" s="395"/>
      <c r="AL462" s="317"/>
      <c r="AM462" s="394"/>
      <c r="AN462" s="396"/>
      <c r="AO462" s="200"/>
      <c r="AP462" s="200"/>
    </row>
    <row r="463">
      <c r="A463" s="395"/>
      <c r="B463" s="317"/>
      <c r="C463" s="394"/>
      <c r="D463" s="396"/>
      <c r="E463" s="395"/>
      <c r="F463" s="317"/>
      <c r="G463" s="394"/>
      <c r="H463" s="396"/>
      <c r="I463" s="395"/>
      <c r="J463" s="317"/>
      <c r="K463" s="394"/>
      <c r="L463" s="396"/>
      <c r="M463" s="395"/>
      <c r="N463" s="317"/>
      <c r="O463" s="394"/>
      <c r="P463" s="396"/>
      <c r="Q463" s="403"/>
      <c r="R463" s="404"/>
      <c r="S463" s="405"/>
      <c r="T463" s="401"/>
      <c r="U463" s="403"/>
      <c r="V463" s="404"/>
      <c r="W463" s="405"/>
      <c r="X463" s="401"/>
      <c r="Y463" s="403"/>
      <c r="Z463" s="404"/>
      <c r="AA463" s="405"/>
      <c r="AB463" s="401"/>
      <c r="AC463" s="403"/>
      <c r="AD463" s="404"/>
      <c r="AE463" s="405"/>
      <c r="AF463" s="401"/>
      <c r="AG463" s="292"/>
      <c r="AH463" s="292"/>
      <c r="AI463" s="292"/>
      <c r="AJ463" s="292"/>
      <c r="AK463" s="395"/>
      <c r="AL463" s="317"/>
      <c r="AM463" s="394"/>
      <c r="AN463" s="396"/>
      <c r="AO463" s="200"/>
      <c r="AP463" s="200"/>
    </row>
    <row r="464">
      <c r="A464" s="395"/>
      <c r="B464" s="317"/>
      <c r="C464" s="394"/>
      <c r="D464" s="396"/>
      <c r="E464" s="395"/>
      <c r="F464" s="317"/>
      <c r="G464" s="394"/>
      <c r="H464" s="396"/>
      <c r="I464" s="395"/>
      <c r="J464" s="317"/>
      <c r="K464" s="394"/>
      <c r="L464" s="396"/>
      <c r="M464" s="395"/>
      <c r="N464" s="317"/>
      <c r="O464" s="394"/>
      <c r="P464" s="396"/>
      <c r="Q464" s="403"/>
      <c r="R464" s="404"/>
      <c r="S464" s="405"/>
      <c r="T464" s="401"/>
      <c r="U464" s="403"/>
      <c r="V464" s="404"/>
      <c r="W464" s="405"/>
      <c r="X464" s="401"/>
      <c r="Y464" s="403"/>
      <c r="Z464" s="404"/>
      <c r="AA464" s="405"/>
      <c r="AB464" s="401"/>
      <c r="AC464" s="403"/>
      <c r="AD464" s="404"/>
      <c r="AE464" s="405"/>
      <c r="AF464" s="401"/>
      <c r="AG464" s="292"/>
      <c r="AH464" s="292"/>
      <c r="AI464" s="292"/>
      <c r="AJ464" s="292"/>
      <c r="AK464" s="395"/>
      <c r="AL464" s="317"/>
      <c r="AM464" s="394"/>
      <c r="AN464" s="396"/>
      <c r="AO464" s="200"/>
      <c r="AP464" s="200"/>
    </row>
    <row r="465">
      <c r="A465" s="395"/>
      <c r="B465" s="317"/>
      <c r="C465" s="394"/>
      <c r="D465" s="396"/>
      <c r="E465" s="395"/>
      <c r="F465" s="317"/>
      <c r="G465" s="394"/>
      <c r="H465" s="396"/>
      <c r="I465" s="395"/>
      <c r="J465" s="317"/>
      <c r="K465" s="394"/>
      <c r="L465" s="396"/>
      <c r="M465" s="395"/>
      <c r="N465" s="317"/>
      <c r="O465" s="394"/>
      <c r="P465" s="396"/>
      <c r="Q465" s="403"/>
      <c r="R465" s="404"/>
      <c r="S465" s="405"/>
      <c r="T465" s="401"/>
      <c r="U465" s="403"/>
      <c r="V465" s="404"/>
      <c r="W465" s="405"/>
      <c r="X465" s="401"/>
      <c r="Y465" s="403"/>
      <c r="Z465" s="404"/>
      <c r="AA465" s="405"/>
      <c r="AB465" s="401"/>
      <c r="AC465" s="403"/>
      <c r="AD465" s="404"/>
      <c r="AE465" s="405"/>
      <c r="AF465" s="401"/>
      <c r="AG465" s="292"/>
      <c r="AH465" s="292"/>
      <c r="AI465" s="292"/>
      <c r="AJ465" s="292"/>
      <c r="AK465" s="395"/>
      <c r="AL465" s="317"/>
      <c r="AM465" s="394"/>
      <c r="AN465" s="396"/>
      <c r="AO465" s="200"/>
      <c r="AP465" s="200"/>
    </row>
    <row r="466">
      <c r="A466" s="395"/>
      <c r="B466" s="317"/>
      <c r="C466" s="394"/>
      <c r="D466" s="396"/>
      <c r="E466" s="395"/>
      <c r="F466" s="317"/>
      <c r="G466" s="394"/>
      <c r="H466" s="396"/>
      <c r="I466" s="395"/>
      <c r="J466" s="317"/>
      <c r="K466" s="394"/>
      <c r="L466" s="396"/>
      <c r="M466" s="395"/>
      <c r="N466" s="317"/>
      <c r="O466" s="394"/>
      <c r="P466" s="396"/>
      <c r="Q466" s="403"/>
      <c r="R466" s="404"/>
      <c r="S466" s="405"/>
      <c r="T466" s="401"/>
      <c r="U466" s="403"/>
      <c r="V466" s="404"/>
      <c r="W466" s="405"/>
      <c r="X466" s="401"/>
      <c r="Y466" s="403"/>
      <c r="Z466" s="404"/>
      <c r="AA466" s="405"/>
      <c r="AB466" s="401"/>
      <c r="AC466" s="403"/>
      <c r="AD466" s="404"/>
      <c r="AE466" s="405"/>
      <c r="AF466" s="401"/>
      <c r="AG466" s="292"/>
      <c r="AH466" s="292"/>
      <c r="AI466" s="292"/>
      <c r="AJ466" s="292"/>
      <c r="AK466" s="395"/>
      <c r="AL466" s="317"/>
      <c r="AM466" s="394"/>
      <c r="AN466" s="396"/>
      <c r="AO466" s="200"/>
      <c r="AP466" s="200"/>
    </row>
    <row r="467">
      <c r="A467" s="395"/>
      <c r="B467" s="317"/>
      <c r="C467" s="394"/>
      <c r="D467" s="396"/>
      <c r="E467" s="395"/>
      <c r="F467" s="317"/>
      <c r="G467" s="394"/>
      <c r="H467" s="396"/>
      <c r="I467" s="395"/>
      <c r="J467" s="317"/>
      <c r="K467" s="394"/>
      <c r="L467" s="396"/>
      <c r="M467" s="395"/>
      <c r="N467" s="317"/>
      <c r="O467" s="394"/>
      <c r="P467" s="396"/>
      <c r="Q467" s="403"/>
      <c r="R467" s="404"/>
      <c r="S467" s="405"/>
      <c r="T467" s="401"/>
      <c r="U467" s="403"/>
      <c r="V467" s="404"/>
      <c r="W467" s="405"/>
      <c r="X467" s="401"/>
      <c r="Y467" s="403"/>
      <c r="Z467" s="404"/>
      <c r="AA467" s="405"/>
      <c r="AB467" s="401"/>
      <c r="AC467" s="403"/>
      <c r="AD467" s="404"/>
      <c r="AE467" s="405"/>
      <c r="AF467" s="401"/>
      <c r="AG467" s="292"/>
      <c r="AH467" s="292"/>
      <c r="AI467" s="292"/>
      <c r="AJ467" s="292"/>
      <c r="AK467" s="395"/>
      <c r="AL467" s="317"/>
      <c r="AM467" s="394"/>
      <c r="AN467" s="396"/>
      <c r="AO467" s="200"/>
      <c r="AP467" s="200"/>
    </row>
    <row r="468">
      <c r="A468" s="395"/>
      <c r="B468" s="317"/>
      <c r="C468" s="394"/>
      <c r="D468" s="396"/>
      <c r="E468" s="395"/>
      <c r="F468" s="317"/>
      <c r="G468" s="394"/>
      <c r="H468" s="396"/>
      <c r="I468" s="395"/>
      <c r="J468" s="317"/>
      <c r="K468" s="394"/>
      <c r="L468" s="396"/>
      <c r="M468" s="395"/>
      <c r="N468" s="317"/>
      <c r="O468" s="394"/>
      <c r="P468" s="396"/>
      <c r="Q468" s="403"/>
      <c r="R468" s="404"/>
      <c r="S468" s="405"/>
      <c r="T468" s="401"/>
      <c r="U468" s="403"/>
      <c r="V468" s="404"/>
      <c r="W468" s="405"/>
      <c r="X468" s="401"/>
      <c r="Y468" s="403"/>
      <c r="Z468" s="404"/>
      <c r="AA468" s="405"/>
      <c r="AB468" s="401"/>
      <c r="AC468" s="403"/>
      <c r="AD468" s="404"/>
      <c r="AE468" s="405"/>
      <c r="AF468" s="401"/>
      <c r="AG468" s="292"/>
      <c r="AH468" s="292"/>
      <c r="AI468" s="292"/>
      <c r="AJ468" s="292"/>
      <c r="AK468" s="395"/>
      <c r="AL468" s="317"/>
      <c r="AM468" s="394"/>
      <c r="AN468" s="396"/>
      <c r="AO468" s="200"/>
      <c r="AP468" s="200"/>
    </row>
    <row r="469">
      <c r="A469" s="395"/>
      <c r="B469" s="317"/>
      <c r="C469" s="394"/>
      <c r="D469" s="396"/>
      <c r="E469" s="395"/>
      <c r="F469" s="317"/>
      <c r="G469" s="394"/>
      <c r="H469" s="396"/>
      <c r="I469" s="395"/>
      <c r="J469" s="317"/>
      <c r="K469" s="394"/>
      <c r="L469" s="396"/>
      <c r="M469" s="395"/>
      <c r="N469" s="317"/>
      <c r="O469" s="394"/>
      <c r="P469" s="396"/>
      <c r="Q469" s="403"/>
      <c r="R469" s="404"/>
      <c r="S469" s="405"/>
      <c r="T469" s="401"/>
      <c r="U469" s="403"/>
      <c r="V469" s="404"/>
      <c r="W469" s="405"/>
      <c r="X469" s="401"/>
      <c r="Y469" s="403"/>
      <c r="Z469" s="404"/>
      <c r="AA469" s="405"/>
      <c r="AB469" s="401"/>
      <c r="AC469" s="403"/>
      <c r="AD469" s="404"/>
      <c r="AE469" s="405"/>
      <c r="AF469" s="401"/>
      <c r="AG469" s="292"/>
      <c r="AH469" s="292"/>
      <c r="AI469" s="292"/>
      <c r="AJ469" s="292"/>
      <c r="AK469" s="395"/>
      <c r="AL469" s="317"/>
      <c r="AM469" s="394"/>
      <c r="AN469" s="396"/>
      <c r="AO469" s="200"/>
      <c r="AP469" s="200"/>
    </row>
    <row r="470">
      <c r="A470" s="395"/>
      <c r="B470" s="317"/>
      <c r="C470" s="394"/>
      <c r="D470" s="396"/>
      <c r="E470" s="395"/>
      <c r="F470" s="317"/>
      <c r="G470" s="394"/>
      <c r="H470" s="396"/>
      <c r="I470" s="395"/>
      <c r="J470" s="317"/>
      <c r="K470" s="394"/>
      <c r="L470" s="396"/>
      <c r="M470" s="395"/>
      <c r="N470" s="317"/>
      <c r="O470" s="394"/>
      <c r="P470" s="396"/>
      <c r="Q470" s="403"/>
      <c r="R470" s="404"/>
      <c r="S470" s="405"/>
      <c r="T470" s="401"/>
      <c r="U470" s="403"/>
      <c r="V470" s="404"/>
      <c r="W470" s="405"/>
      <c r="X470" s="401"/>
      <c r="Y470" s="403"/>
      <c r="Z470" s="404"/>
      <c r="AA470" s="405"/>
      <c r="AB470" s="401"/>
      <c r="AC470" s="403"/>
      <c r="AD470" s="404"/>
      <c r="AE470" s="405"/>
      <c r="AF470" s="401"/>
      <c r="AG470" s="292"/>
      <c r="AH470" s="292"/>
      <c r="AI470" s="292"/>
      <c r="AJ470" s="292"/>
      <c r="AK470" s="395"/>
      <c r="AL470" s="317"/>
      <c r="AM470" s="394"/>
      <c r="AN470" s="396"/>
      <c r="AO470" s="200"/>
      <c r="AP470" s="200"/>
    </row>
    <row r="471">
      <c r="A471" s="395"/>
      <c r="B471" s="317"/>
      <c r="C471" s="394"/>
      <c r="D471" s="396"/>
      <c r="E471" s="395"/>
      <c r="F471" s="317"/>
      <c r="G471" s="394"/>
      <c r="H471" s="396"/>
      <c r="I471" s="395"/>
      <c r="J471" s="317"/>
      <c r="K471" s="394"/>
      <c r="L471" s="396"/>
      <c r="M471" s="395"/>
      <c r="N471" s="317"/>
      <c r="O471" s="394"/>
      <c r="P471" s="396"/>
      <c r="Q471" s="403"/>
      <c r="R471" s="404"/>
      <c r="S471" s="405"/>
      <c r="T471" s="401"/>
      <c r="U471" s="403"/>
      <c r="V471" s="404"/>
      <c r="W471" s="405"/>
      <c r="X471" s="401"/>
      <c r="Y471" s="403"/>
      <c r="Z471" s="404"/>
      <c r="AA471" s="405"/>
      <c r="AB471" s="401"/>
      <c r="AC471" s="403"/>
      <c r="AD471" s="404"/>
      <c r="AE471" s="405"/>
      <c r="AF471" s="401"/>
      <c r="AG471" s="292"/>
      <c r="AH471" s="292"/>
      <c r="AI471" s="292"/>
      <c r="AJ471" s="292"/>
      <c r="AK471" s="395"/>
      <c r="AL471" s="317"/>
      <c r="AM471" s="394"/>
      <c r="AN471" s="396"/>
      <c r="AO471" s="200"/>
      <c r="AP471" s="200"/>
    </row>
    <row r="472">
      <c r="A472" s="395"/>
      <c r="B472" s="317"/>
      <c r="C472" s="394"/>
      <c r="D472" s="396"/>
      <c r="E472" s="395"/>
      <c r="F472" s="317"/>
      <c r="G472" s="394"/>
      <c r="H472" s="396"/>
      <c r="I472" s="395"/>
      <c r="J472" s="317"/>
      <c r="K472" s="394"/>
      <c r="L472" s="396"/>
      <c r="M472" s="395"/>
      <c r="N472" s="317"/>
      <c r="O472" s="394"/>
      <c r="P472" s="396"/>
      <c r="Q472" s="403"/>
      <c r="R472" s="404"/>
      <c r="S472" s="405"/>
      <c r="T472" s="401"/>
      <c r="U472" s="403"/>
      <c r="V472" s="404"/>
      <c r="W472" s="405"/>
      <c r="X472" s="401"/>
      <c r="Y472" s="403"/>
      <c r="Z472" s="404"/>
      <c r="AA472" s="405"/>
      <c r="AB472" s="401"/>
      <c r="AC472" s="403"/>
      <c r="AD472" s="404"/>
      <c r="AE472" s="405"/>
      <c r="AF472" s="401"/>
      <c r="AG472" s="292"/>
      <c r="AH472" s="292"/>
      <c r="AI472" s="292"/>
      <c r="AJ472" s="292"/>
      <c r="AK472" s="395"/>
      <c r="AL472" s="317"/>
      <c r="AM472" s="394"/>
      <c r="AN472" s="396"/>
      <c r="AO472" s="200"/>
      <c r="AP472" s="200"/>
    </row>
    <row r="473">
      <c r="A473" s="395"/>
      <c r="B473" s="317"/>
      <c r="C473" s="394"/>
      <c r="D473" s="396"/>
      <c r="E473" s="395"/>
      <c r="F473" s="317"/>
      <c r="G473" s="394"/>
      <c r="H473" s="396"/>
      <c r="I473" s="395"/>
      <c r="J473" s="317"/>
      <c r="K473" s="394"/>
      <c r="L473" s="396"/>
      <c r="M473" s="395"/>
      <c r="N473" s="317"/>
      <c r="O473" s="394"/>
      <c r="P473" s="396"/>
      <c r="Q473" s="403"/>
      <c r="R473" s="404"/>
      <c r="S473" s="405"/>
      <c r="T473" s="401"/>
      <c r="U473" s="403"/>
      <c r="V473" s="404"/>
      <c r="W473" s="405"/>
      <c r="X473" s="401"/>
      <c r="Y473" s="403"/>
      <c r="Z473" s="404"/>
      <c r="AA473" s="405"/>
      <c r="AB473" s="401"/>
      <c r="AC473" s="403"/>
      <c r="AD473" s="404"/>
      <c r="AE473" s="405"/>
      <c r="AF473" s="401"/>
      <c r="AG473" s="292"/>
      <c r="AH473" s="292"/>
      <c r="AI473" s="292"/>
      <c r="AJ473" s="292"/>
      <c r="AK473" s="395"/>
      <c r="AL473" s="317"/>
      <c r="AM473" s="394"/>
      <c r="AN473" s="396"/>
      <c r="AO473" s="200"/>
      <c r="AP473" s="200"/>
    </row>
    <row r="474">
      <c r="A474" s="395"/>
      <c r="B474" s="317"/>
      <c r="C474" s="394"/>
      <c r="D474" s="396"/>
      <c r="E474" s="395"/>
      <c r="F474" s="317"/>
      <c r="G474" s="394"/>
      <c r="H474" s="396"/>
      <c r="I474" s="395"/>
      <c r="J474" s="317"/>
      <c r="K474" s="394"/>
      <c r="L474" s="396"/>
      <c r="M474" s="395"/>
      <c r="N474" s="317"/>
      <c r="O474" s="394"/>
      <c r="P474" s="396"/>
      <c r="Q474" s="403"/>
      <c r="R474" s="404"/>
      <c r="S474" s="405"/>
      <c r="T474" s="401"/>
      <c r="U474" s="403"/>
      <c r="V474" s="404"/>
      <c r="W474" s="405"/>
      <c r="X474" s="401"/>
      <c r="Y474" s="403"/>
      <c r="Z474" s="404"/>
      <c r="AA474" s="405"/>
      <c r="AB474" s="401"/>
      <c r="AC474" s="403"/>
      <c r="AD474" s="404"/>
      <c r="AE474" s="405"/>
      <c r="AF474" s="401"/>
      <c r="AG474" s="292"/>
      <c r="AH474" s="292"/>
      <c r="AI474" s="292"/>
      <c r="AJ474" s="292"/>
      <c r="AK474" s="395"/>
      <c r="AL474" s="317"/>
      <c r="AM474" s="394"/>
      <c r="AN474" s="396"/>
      <c r="AO474" s="200"/>
      <c r="AP474" s="200"/>
    </row>
    <row r="475">
      <c r="A475" s="395"/>
      <c r="B475" s="317"/>
      <c r="C475" s="394"/>
      <c r="D475" s="396"/>
      <c r="E475" s="395"/>
      <c r="F475" s="317"/>
      <c r="G475" s="394"/>
      <c r="H475" s="396"/>
      <c r="I475" s="395"/>
      <c r="J475" s="317"/>
      <c r="K475" s="394"/>
      <c r="L475" s="396"/>
      <c r="M475" s="395"/>
      <c r="N475" s="317"/>
      <c r="O475" s="394"/>
      <c r="P475" s="396"/>
      <c r="Q475" s="403"/>
      <c r="R475" s="404"/>
      <c r="S475" s="405"/>
      <c r="T475" s="401"/>
      <c r="U475" s="403"/>
      <c r="V475" s="404"/>
      <c r="W475" s="405"/>
      <c r="X475" s="401"/>
      <c r="Y475" s="403"/>
      <c r="Z475" s="404"/>
      <c r="AA475" s="405"/>
      <c r="AB475" s="401"/>
      <c r="AC475" s="403"/>
      <c r="AD475" s="404"/>
      <c r="AE475" s="405"/>
      <c r="AF475" s="401"/>
      <c r="AG475" s="292"/>
      <c r="AH475" s="292"/>
      <c r="AI475" s="292"/>
      <c r="AJ475" s="292"/>
      <c r="AK475" s="395"/>
      <c r="AL475" s="317"/>
      <c r="AM475" s="394"/>
      <c r="AN475" s="396"/>
      <c r="AO475" s="200"/>
      <c r="AP475" s="200"/>
    </row>
    <row r="476">
      <c r="A476" s="395"/>
      <c r="B476" s="317"/>
      <c r="C476" s="394"/>
      <c r="D476" s="396"/>
      <c r="E476" s="395"/>
      <c r="F476" s="317"/>
      <c r="G476" s="394"/>
      <c r="H476" s="396"/>
      <c r="I476" s="395"/>
      <c r="J476" s="317"/>
      <c r="K476" s="394"/>
      <c r="L476" s="396"/>
      <c r="M476" s="395"/>
      <c r="N476" s="317"/>
      <c r="O476" s="394"/>
      <c r="P476" s="396"/>
      <c r="Q476" s="403"/>
      <c r="R476" s="404"/>
      <c r="S476" s="405"/>
      <c r="T476" s="401"/>
      <c r="U476" s="403"/>
      <c r="V476" s="404"/>
      <c r="W476" s="405"/>
      <c r="X476" s="401"/>
      <c r="Y476" s="403"/>
      <c r="Z476" s="404"/>
      <c r="AA476" s="405"/>
      <c r="AB476" s="401"/>
      <c r="AC476" s="403"/>
      <c r="AD476" s="404"/>
      <c r="AE476" s="405"/>
      <c r="AF476" s="401"/>
      <c r="AG476" s="292"/>
      <c r="AH476" s="292"/>
      <c r="AI476" s="292"/>
      <c r="AJ476" s="292"/>
      <c r="AK476" s="395"/>
      <c r="AL476" s="317"/>
      <c r="AM476" s="394"/>
      <c r="AN476" s="396"/>
      <c r="AO476" s="200"/>
      <c r="AP476" s="200"/>
    </row>
    <row r="477">
      <c r="A477" s="395"/>
      <c r="B477" s="317"/>
      <c r="C477" s="394"/>
      <c r="D477" s="396"/>
      <c r="E477" s="395"/>
      <c r="F477" s="317"/>
      <c r="G477" s="394"/>
      <c r="H477" s="396"/>
      <c r="I477" s="395"/>
      <c r="J477" s="317"/>
      <c r="K477" s="394"/>
      <c r="L477" s="396"/>
      <c r="M477" s="395"/>
      <c r="N477" s="317"/>
      <c r="O477" s="394"/>
      <c r="P477" s="396"/>
      <c r="Q477" s="403"/>
      <c r="R477" s="404"/>
      <c r="S477" s="405"/>
      <c r="T477" s="401"/>
      <c r="U477" s="403"/>
      <c r="V477" s="404"/>
      <c r="W477" s="405"/>
      <c r="X477" s="401"/>
      <c r="Y477" s="403"/>
      <c r="Z477" s="404"/>
      <c r="AA477" s="405"/>
      <c r="AB477" s="401"/>
      <c r="AC477" s="403"/>
      <c r="AD477" s="404"/>
      <c r="AE477" s="405"/>
      <c r="AF477" s="401"/>
      <c r="AG477" s="292"/>
      <c r="AH477" s="292"/>
      <c r="AI477" s="292"/>
      <c r="AJ477" s="292"/>
      <c r="AK477" s="395"/>
      <c r="AL477" s="317"/>
      <c r="AM477" s="394"/>
      <c r="AN477" s="396"/>
      <c r="AO477" s="200"/>
      <c r="AP477" s="200"/>
    </row>
    <row r="478">
      <c r="A478" s="395"/>
      <c r="B478" s="317"/>
      <c r="C478" s="394"/>
      <c r="D478" s="396"/>
      <c r="E478" s="395"/>
      <c r="F478" s="317"/>
      <c r="G478" s="394"/>
      <c r="H478" s="396"/>
      <c r="I478" s="395"/>
      <c r="J478" s="317"/>
      <c r="K478" s="394"/>
      <c r="L478" s="396"/>
      <c r="M478" s="395"/>
      <c r="N478" s="317"/>
      <c r="O478" s="394"/>
      <c r="P478" s="396"/>
      <c r="Q478" s="403"/>
      <c r="R478" s="404"/>
      <c r="S478" s="405"/>
      <c r="T478" s="401"/>
      <c r="U478" s="403"/>
      <c r="V478" s="404"/>
      <c r="W478" s="405"/>
      <c r="X478" s="401"/>
      <c r="Y478" s="403"/>
      <c r="Z478" s="404"/>
      <c r="AA478" s="405"/>
      <c r="AB478" s="401"/>
      <c r="AC478" s="403"/>
      <c r="AD478" s="404"/>
      <c r="AE478" s="405"/>
      <c r="AF478" s="401"/>
      <c r="AG478" s="292"/>
      <c r="AH478" s="292"/>
      <c r="AI478" s="292"/>
      <c r="AJ478" s="292"/>
      <c r="AK478" s="395"/>
      <c r="AL478" s="317"/>
      <c r="AM478" s="394"/>
      <c r="AN478" s="396"/>
      <c r="AO478" s="200"/>
      <c r="AP478" s="200"/>
    </row>
    <row r="479">
      <c r="A479" s="395"/>
      <c r="B479" s="317"/>
      <c r="C479" s="394"/>
      <c r="D479" s="396"/>
      <c r="E479" s="395"/>
      <c r="F479" s="317"/>
      <c r="G479" s="394"/>
      <c r="H479" s="396"/>
      <c r="I479" s="395"/>
      <c r="J479" s="317"/>
      <c r="K479" s="394"/>
      <c r="L479" s="396"/>
      <c r="M479" s="395"/>
      <c r="N479" s="317"/>
      <c r="O479" s="394"/>
      <c r="P479" s="396"/>
      <c r="Q479" s="403"/>
      <c r="R479" s="404"/>
      <c r="S479" s="405"/>
      <c r="T479" s="401"/>
      <c r="U479" s="403"/>
      <c r="V479" s="404"/>
      <c r="W479" s="405"/>
      <c r="X479" s="401"/>
      <c r="Y479" s="403"/>
      <c r="Z479" s="404"/>
      <c r="AA479" s="405"/>
      <c r="AB479" s="401"/>
      <c r="AC479" s="403"/>
      <c r="AD479" s="404"/>
      <c r="AE479" s="405"/>
      <c r="AF479" s="401"/>
      <c r="AG479" s="292"/>
      <c r="AH479" s="292"/>
      <c r="AI479" s="292"/>
      <c r="AJ479" s="292"/>
      <c r="AK479" s="395"/>
      <c r="AL479" s="317"/>
      <c r="AM479" s="394"/>
      <c r="AN479" s="396"/>
      <c r="AO479" s="200"/>
      <c r="AP479" s="200"/>
    </row>
    <row r="480">
      <c r="A480" s="395"/>
      <c r="B480" s="317"/>
      <c r="C480" s="394"/>
      <c r="D480" s="396"/>
      <c r="E480" s="395"/>
      <c r="F480" s="317"/>
      <c r="G480" s="394"/>
      <c r="H480" s="396"/>
      <c r="I480" s="395"/>
      <c r="J480" s="317"/>
      <c r="K480" s="394"/>
      <c r="L480" s="396"/>
      <c r="M480" s="395"/>
      <c r="N480" s="317"/>
      <c r="O480" s="394"/>
      <c r="P480" s="396"/>
      <c r="Q480" s="403"/>
      <c r="R480" s="404"/>
      <c r="S480" s="405"/>
      <c r="T480" s="401"/>
      <c r="U480" s="403"/>
      <c r="V480" s="404"/>
      <c r="W480" s="405"/>
      <c r="X480" s="401"/>
      <c r="Y480" s="403"/>
      <c r="Z480" s="404"/>
      <c r="AA480" s="405"/>
      <c r="AB480" s="401"/>
      <c r="AC480" s="403"/>
      <c r="AD480" s="404"/>
      <c r="AE480" s="405"/>
      <c r="AF480" s="401"/>
      <c r="AG480" s="292"/>
      <c r="AH480" s="292"/>
      <c r="AI480" s="292"/>
      <c r="AJ480" s="292"/>
      <c r="AK480" s="395"/>
      <c r="AL480" s="317"/>
      <c r="AM480" s="394"/>
      <c r="AN480" s="396"/>
      <c r="AO480" s="200"/>
      <c r="AP480" s="200"/>
    </row>
    <row r="481">
      <c r="A481" s="395"/>
      <c r="B481" s="317"/>
      <c r="C481" s="394"/>
      <c r="D481" s="396"/>
      <c r="E481" s="395"/>
      <c r="F481" s="317"/>
      <c r="G481" s="394"/>
      <c r="H481" s="396"/>
      <c r="I481" s="395"/>
      <c r="J481" s="317"/>
      <c r="K481" s="394"/>
      <c r="L481" s="396"/>
      <c r="M481" s="395"/>
      <c r="N481" s="317"/>
      <c r="O481" s="394"/>
      <c r="P481" s="396"/>
      <c r="Q481" s="403"/>
      <c r="R481" s="404"/>
      <c r="S481" s="405"/>
      <c r="T481" s="401"/>
      <c r="U481" s="403"/>
      <c r="V481" s="404"/>
      <c r="W481" s="405"/>
      <c r="X481" s="401"/>
      <c r="Y481" s="403"/>
      <c r="Z481" s="404"/>
      <c r="AA481" s="405"/>
      <c r="AB481" s="401"/>
      <c r="AC481" s="403"/>
      <c r="AD481" s="404"/>
      <c r="AE481" s="405"/>
      <c r="AF481" s="401"/>
      <c r="AG481" s="292"/>
      <c r="AH481" s="292"/>
      <c r="AI481" s="292"/>
      <c r="AJ481" s="292"/>
      <c r="AK481" s="395"/>
      <c r="AL481" s="317"/>
      <c r="AM481" s="394"/>
      <c r="AN481" s="396"/>
      <c r="AO481" s="200"/>
      <c r="AP481" s="200"/>
    </row>
    <row r="482">
      <c r="A482" s="395"/>
      <c r="B482" s="317"/>
      <c r="C482" s="394"/>
      <c r="D482" s="396"/>
      <c r="E482" s="395"/>
      <c r="F482" s="317"/>
      <c r="G482" s="394"/>
      <c r="H482" s="396"/>
      <c r="I482" s="395"/>
      <c r="J482" s="317"/>
      <c r="K482" s="394"/>
      <c r="L482" s="396"/>
      <c r="M482" s="395"/>
      <c r="N482" s="317"/>
      <c r="O482" s="394"/>
      <c r="P482" s="396"/>
      <c r="Q482" s="403"/>
      <c r="R482" s="404"/>
      <c r="S482" s="405"/>
      <c r="T482" s="401"/>
      <c r="U482" s="403"/>
      <c r="V482" s="404"/>
      <c r="W482" s="405"/>
      <c r="X482" s="401"/>
      <c r="Y482" s="403"/>
      <c r="Z482" s="404"/>
      <c r="AA482" s="405"/>
      <c r="AB482" s="401"/>
      <c r="AC482" s="403"/>
      <c r="AD482" s="404"/>
      <c r="AE482" s="405"/>
      <c r="AF482" s="401"/>
      <c r="AG482" s="292"/>
      <c r="AH482" s="292"/>
      <c r="AI482" s="292"/>
      <c r="AJ482" s="292"/>
      <c r="AK482" s="395"/>
      <c r="AL482" s="317"/>
      <c r="AM482" s="394"/>
      <c r="AN482" s="396"/>
      <c r="AO482" s="200"/>
      <c r="AP482" s="200"/>
    </row>
    <row r="483">
      <c r="A483" s="395"/>
      <c r="B483" s="317"/>
      <c r="C483" s="394"/>
      <c r="D483" s="396"/>
      <c r="E483" s="395"/>
      <c r="F483" s="317"/>
      <c r="G483" s="394"/>
      <c r="H483" s="396"/>
      <c r="I483" s="395"/>
      <c r="J483" s="317"/>
      <c r="K483" s="394"/>
      <c r="L483" s="396"/>
      <c r="M483" s="395"/>
      <c r="N483" s="317"/>
      <c r="O483" s="394"/>
      <c r="P483" s="396"/>
      <c r="Q483" s="403"/>
      <c r="R483" s="404"/>
      <c r="S483" s="405"/>
      <c r="T483" s="401"/>
      <c r="U483" s="403"/>
      <c r="V483" s="404"/>
      <c r="W483" s="405"/>
      <c r="X483" s="401"/>
      <c r="Y483" s="403"/>
      <c r="Z483" s="404"/>
      <c r="AA483" s="405"/>
      <c r="AB483" s="401"/>
      <c r="AC483" s="403"/>
      <c r="AD483" s="404"/>
      <c r="AE483" s="405"/>
      <c r="AF483" s="401"/>
      <c r="AG483" s="292"/>
      <c r="AH483" s="292"/>
      <c r="AI483" s="292"/>
      <c r="AJ483" s="292"/>
      <c r="AK483" s="395"/>
      <c r="AL483" s="317"/>
      <c r="AM483" s="394"/>
      <c r="AN483" s="396"/>
      <c r="AO483" s="200"/>
      <c r="AP483" s="200"/>
    </row>
    <row r="484">
      <c r="A484" s="395"/>
      <c r="B484" s="317"/>
      <c r="C484" s="394"/>
      <c r="D484" s="396"/>
      <c r="E484" s="395"/>
      <c r="F484" s="317"/>
      <c r="G484" s="394"/>
      <c r="H484" s="396"/>
      <c r="I484" s="395"/>
      <c r="J484" s="317"/>
      <c r="K484" s="394"/>
      <c r="L484" s="396"/>
      <c r="M484" s="395"/>
      <c r="N484" s="317"/>
      <c r="O484" s="394"/>
      <c r="P484" s="396"/>
      <c r="Q484" s="403"/>
      <c r="R484" s="404"/>
      <c r="S484" s="405"/>
      <c r="T484" s="401"/>
      <c r="U484" s="403"/>
      <c r="V484" s="404"/>
      <c r="W484" s="405"/>
      <c r="X484" s="401"/>
      <c r="Y484" s="403"/>
      <c r="Z484" s="404"/>
      <c r="AA484" s="405"/>
      <c r="AB484" s="401"/>
      <c r="AC484" s="403"/>
      <c r="AD484" s="404"/>
      <c r="AE484" s="405"/>
      <c r="AF484" s="401"/>
      <c r="AG484" s="292"/>
      <c r="AH484" s="292"/>
      <c r="AI484" s="292"/>
      <c r="AJ484" s="292"/>
      <c r="AK484" s="395"/>
      <c r="AL484" s="317"/>
      <c r="AM484" s="394"/>
      <c r="AN484" s="396"/>
      <c r="AO484" s="200"/>
      <c r="AP484" s="200"/>
    </row>
    <row r="485">
      <c r="A485" s="395"/>
      <c r="B485" s="317"/>
      <c r="C485" s="394"/>
      <c r="D485" s="396"/>
      <c r="E485" s="395"/>
      <c r="F485" s="317"/>
      <c r="G485" s="394"/>
      <c r="H485" s="396"/>
      <c r="I485" s="395"/>
      <c r="J485" s="317"/>
      <c r="K485" s="394"/>
      <c r="L485" s="396"/>
      <c r="M485" s="395"/>
      <c r="N485" s="317"/>
      <c r="O485" s="394"/>
      <c r="P485" s="396"/>
      <c r="Q485" s="403"/>
      <c r="R485" s="404"/>
      <c r="S485" s="405"/>
      <c r="T485" s="401"/>
      <c r="U485" s="403"/>
      <c r="V485" s="404"/>
      <c r="W485" s="405"/>
      <c r="X485" s="401"/>
      <c r="Y485" s="403"/>
      <c r="Z485" s="404"/>
      <c r="AA485" s="405"/>
      <c r="AB485" s="401"/>
      <c r="AC485" s="403"/>
      <c r="AD485" s="404"/>
      <c r="AE485" s="405"/>
      <c r="AF485" s="401"/>
      <c r="AG485" s="292"/>
      <c r="AH485" s="292"/>
      <c r="AI485" s="292"/>
      <c r="AJ485" s="292"/>
      <c r="AK485" s="395"/>
      <c r="AL485" s="317"/>
      <c r="AM485" s="394"/>
      <c r="AN485" s="396"/>
      <c r="AO485" s="200"/>
      <c r="AP485" s="200"/>
    </row>
    <row r="486">
      <c r="A486" s="395"/>
      <c r="B486" s="317"/>
      <c r="C486" s="394"/>
      <c r="D486" s="396"/>
      <c r="E486" s="395"/>
      <c r="F486" s="317"/>
      <c r="G486" s="394"/>
      <c r="H486" s="396"/>
      <c r="I486" s="395"/>
      <c r="J486" s="317"/>
      <c r="K486" s="394"/>
      <c r="L486" s="396"/>
      <c r="M486" s="395"/>
      <c r="N486" s="317"/>
      <c r="O486" s="394"/>
      <c r="P486" s="396"/>
      <c r="Q486" s="403"/>
      <c r="R486" s="404"/>
      <c r="S486" s="405"/>
      <c r="T486" s="401"/>
      <c r="U486" s="403"/>
      <c r="V486" s="404"/>
      <c r="W486" s="405"/>
      <c r="X486" s="401"/>
      <c r="Y486" s="403"/>
      <c r="Z486" s="404"/>
      <c r="AA486" s="405"/>
      <c r="AB486" s="401"/>
      <c r="AC486" s="403"/>
      <c r="AD486" s="404"/>
      <c r="AE486" s="405"/>
      <c r="AF486" s="401"/>
      <c r="AG486" s="292"/>
      <c r="AH486" s="292"/>
      <c r="AI486" s="292"/>
      <c r="AJ486" s="292"/>
      <c r="AK486" s="395"/>
      <c r="AL486" s="317"/>
      <c r="AM486" s="394"/>
      <c r="AN486" s="396"/>
      <c r="AO486" s="200"/>
      <c r="AP486" s="200"/>
    </row>
    <row r="487">
      <c r="A487" s="395"/>
      <c r="B487" s="317"/>
      <c r="C487" s="394"/>
      <c r="D487" s="396"/>
      <c r="E487" s="395"/>
      <c r="F487" s="317"/>
      <c r="G487" s="394"/>
      <c r="H487" s="396"/>
      <c r="I487" s="395"/>
      <c r="J487" s="317"/>
      <c r="K487" s="394"/>
      <c r="L487" s="396"/>
      <c r="M487" s="395"/>
      <c r="N487" s="317"/>
      <c r="O487" s="394"/>
      <c r="P487" s="396"/>
      <c r="Q487" s="403"/>
      <c r="R487" s="404"/>
      <c r="S487" s="405"/>
      <c r="T487" s="401"/>
      <c r="U487" s="403"/>
      <c r="V487" s="404"/>
      <c r="W487" s="405"/>
      <c r="X487" s="401"/>
      <c r="Y487" s="403"/>
      <c r="Z487" s="404"/>
      <c r="AA487" s="405"/>
      <c r="AB487" s="401"/>
      <c r="AC487" s="403"/>
      <c r="AD487" s="404"/>
      <c r="AE487" s="405"/>
      <c r="AF487" s="401"/>
      <c r="AG487" s="292"/>
      <c r="AH487" s="292"/>
      <c r="AI487" s="292"/>
      <c r="AJ487" s="292"/>
      <c r="AK487" s="395"/>
      <c r="AL487" s="317"/>
      <c r="AM487" s="394"/>
      <c r="AN487" s="396"/>
      <c r="AO487" s="200"/>
      <c r="AP487" s="200"/>
    </row>
    <row r="488">
      <c r="A488" s="395"/>
      <c r="B488" s="317"/>
      <c r="C488" s="394"/>
      <c r="D488" s="396"/>
      <c r="E488" s="395"/>
      <c r="F488" s="317"/>
      <c r="G488" s="394"/>
      <c r="H488" s="396"/>
      <c r="I488" s="395"/>
      <c r="J488" s="317"/>
      <c r="K488" s="394"/>
      <c r="L488" s="396"/>
      <c r="M488" s="395"/>
      <c r="N488" s="317"/>
      <c r="O488" s="394"/>
      <c r="P488" s="396"/>
      <c r="Q488" s="403"/>
      <c r="R488" s="404"/>
      <c r="S488" s="405"/>
      <c r="T488" s="401"/>
      <c r="U488" s="403"/>
      <c r="V488" s="404"/>
      <c r="W488" s="405"/>
      <c r="X488" s="401"/>
      <c r="Y488" s="403"/>
      <c r="Z488" s="404"/>
      <c r="AA488" s="405"/>
      <c r="AB488" s="401"/>
      <c r="AC488" s="403"/>
      <c r="AD488" s="404"/>
      <c r="AE488" s="405"/>
      <c r="AF488" s="401"/>
      <c r="AG488" s="292"/>
      <c r="AH488" s="292"/>
      <c r="AI488" s="292"/>
      <c r="AJ488" s="292"/>
      <c r="AK488" s="395"/>
      <c r="AL488" s="317"/>
      <c r="AM488" s="394"/>
      <c r="AN488" s="396"/>
      <c r="AO488" s="200"/>
      <c r="AP488" s="200"/>
    </row>
    <row r="489">
      <c r="A489" s="395"/>
      <c r="B489" s="317"/>
      <c r="C489" s="394"/>
      <c r="D489" s="396"/>
      <c r="E489" s="395"/>
      <c r="F489" s="317"/>
      <c r="G489" s="394"/>
      <c r="H489" s="396"/>
      <c r="I489" s="395"/>
      <c r="J489" s="317"/>
      <c r="K489" s="394"/>
      <c r="L489" s="396"/>
      <c r="M489" s="395"/>
      <c r="N489" s="317"/>
      <c r="O489" s="394"/>
      <c r="P489" s="396"/>
      <c r="Q489" s="403"/>
      <c r="R489" s="404"/>
      <c r="S489" s="405"/>
      <c r="T489" s="401"/>
      <c r="U489" s="403"/>
      <c r="V489" s="404"/>
      <c r="W489" s="405"/>
      <c r="X489" s="401"/>
      <c r="Y489" s="403"/>
      <c r="Z489" s="404"/>
      <c r="AA489" s="405"/>
      <c r="AB489" s="401"/>
      <c r="AC489" s="403"/>
      <c r="AD489" s="404"/>
      <c r="AE489" s="405"/>
      <c r="AF489" s="401"/>
      <c r="AG489" s="292"/>
      <c r="AH489" s="292"/>
      <c r="AI489" s="292"/>
      <c r="AJ489" s="292"/>
      <c r="AK489" s="395"/>
      <c r="AL489" s="317"/>
      <c r="AM489" s="394"/>
      <c r="AN489" s="396"/>
      <c r="AO489" s="200"/>
      <c r="AP489" s="200"/>
    </row>
    <row r="490">
      <c r="A490" s="395"/>
      <c r="B490" s="317"/>
      <c r="C490" s="394"/>
      <c r="D490" s="396"/>
      <c r="E490" s="395"/>
      <c r="F490" s="317"/>
      <c r="G490" s="394"/>
      <c r="H490" s="396"/>
      <c r="I490" s="395"/>
      <c r="J490" s="317"/>
      <c r="K490" s="394"/>
      <c r="L490" s="396"/>
      <c r="M490" s="395"/>
      <c r="N490" s="317"/>
      <c r="O490" s="394"/>
      <c r="P490" s="396"/>
      <c r="Q490" s="403"/>
      <c r="R490" s="404"/>
      <c r="S490" s="405"/>
      <c r="T490" s="401"/>
      <c r="U490" s="403"/>
      <c r="V490" s="404"/>
      <c r="W490" s="405"/>
      <c r="X490" s="401"/>
      <c r="Y490" s="403"/>
      <c r="Z490" s="404"/>
      <c r="AA490" s="405"/>
      <c r="AB490" s="401"/>
      <c r="AC490" s="403"/>
      <c r="AD490" s="404"/>
      <c r="AE490" s="405"/>
      <c r="AF490" s="401"/>
      <c r="AG490" s="292"/>
      <c r="AH490" s="292"/>
      <c r="AI490" s="292"/>
      <c r="AJ490" s="292"/>
      <c r="AK490" s="395"/>
      <c r="AL490" s="317"/>
      <c r="AM490" s="394"/>
      <c r="AN490" s="396"/>
      <c r="AO490" s="200"/>
      <c r="AP490" s="200"/>
    </row>
    <row r="491">
      <c r="A491" s="395"/>
      <c r="B491" s="317"/>
      <c r="C491" s="394"/>
      <c r="D491" s="396"/>
      <c r="E491" s="395"/>
      <c r="F491" s="317"/>
      <c r="G491" s="394"/>
      <c r="H491" s="396"/>
      <c r="I491" s="395"/>
      <c r="J491" s="317"/>
      <c r="K491" s="394"/>
      <c r="L491" s="396"/>
      <c r="M491" s="395"/>
      <c r="N491" s="317"/>
      <c r="O491" s="394"/>
      <c r="P491" s="396"/>
      <c r="Q491" s="403"/>
      <c r="R491" s="404"/>
      <c r="S491" s="405"/>
      <c r="T491" s="401"/>
      <c r="U491" s="403"/>
      <c r="V491" s="404"/>
      <c r="W491" s="405"/>
      <c r="X491" s="401"/>
      <c r="Y491" s="403"/>
      <c r="Z491" s="404"/>
      <c r="AA491" s="405"/>
      <c r="AB491" s="401"/>
      <c r="AC491" s="403"/>
      <c r="AD491" s="404"/>
      <c r="AE491" s="405"/>
      <c r="AF491" s="401"/>
      <c r="AG491" s="292"/>
      <c r="AH491" s="292"/>
      <c r="AI491" s="292"/>
      <c r="AJ491" s="292"/>
      <c r="AK491" s="395"/>
      <c r="AL491" s="317"/>
      <c r="AM491" s="394"/>
      <c r="AN491" s="396"/>
      <c r="AO491" s="200"/>
      <c r="AP491" s="200"/>
    </row>
    <row r="492">
      <c r="A492" s="395"/>
      <c r="B492" s="317"/>
      <c r="C492" s="394"/>
      <c r="D492" s="396"/>
      <c r="E492" s="395"/>
      <c r="F492" s="317"/>
      <c r="G492" s="394"/>
      <c r="H492" s="396"/>
      <c r="I492" s="395"/>
      <c r="J492" s="317"/>
      <c r="K492" s="394"/>
      <c r="L492" s="396"/>
      <c r="M492" s="395"/>
      <c r="N492" s="317"/>
      <c r="O492" s="394"/>
      <c r="P492" s="396"/>
      <c r="Q492" s="403"/>
      <c r="R492" s="404"/>
      <c r="S492" s="405"/>
      <c r="T492" s="401"/>
      <c r="U492" s="403"/>
      <c r="V492" s="404"/>
      <c r="W492" s="405"/>
      <c r="X492" s="401"/>
      <c r="Y492" s="403"/>
      <c r="Z492" s="404"/>
      <c r="AA492" s="405"/>
      <c r="AB492" s="401"/>
      <c r="AC492" s="403"/>
      <c r="AD492" s="404"/>
      <c r="AE492" s="405"/>
      <c r="AF492" s="401"/>
      <c r="AG492" s="292"/>
      <c r="AH492" s="292"/>
      <c r="AI492" s="292"/>
      <c r="AJ492" s="292"/>
      <c r="AK492" s="395"/>
      <c r="AL492" s="317"/>
      <c r="AM492" s="394"/>
      <c r="AN492" s="396"/>
      <c r="AO492" s="200"/>
      <c r="AP492" s="200"/>
    </row>
    <row r="493">
      <c r="A493" s="395"/>
      <c r="B493" s="317"/>
      <c r="C493" s="394"/>
      <c r="D493" s="396"/>
      <c r="E493" s="395"/>
      <c r="F493" s="317"/>
      <c r="G493" s="394"/>
      <c r="H493" s="396"/>
      <c r="I493" s="395"/>
      <c r="J493" s="317"/>
      <c r="K493" s="394"/>
      <c r="L493" s="396"/>
      <c r="M493" s="395"/>
      <c r="N493" s="317"/>
      <c r="O493" s="394"/>
      <c r="P493" s="396"/>
      <c r="Q493" s="403"/>
      <c r="R493" s="404"/>
      <c r="S493" s="405"/>
      <c r="T493" s="401"/>
      <c r="U493" s="403"/>
      <c r="V493" s="404"/>
      <c r="W493" s="405"/>
      <c r="X493" s="401"/>
      <c r="Y493" s="403"/>
      <c r="Z493" s="404"/>
      <c r="AA493" s="405"/>
      <c r="AB493" s="401"/>
      <c r="AC493" s="403"/>
      <c r="AD493" s="404"/>
      <c r="AE493" s="405"/>
      <c r="AF493" s="401"/>
      <c r="AG493" s="292"/>
      <c r="AH493" s="292"/>
      <c r="AI493" s="292"/>
      <c r="AJ493" s="292"/>
      <c r="AK493" s="395"/>
      <c r="AL493" s="317"/>
      <c r="AM493" s="394"/>
      <c r="AN493" s="396"/>
      <c r="AO493" s="200"/>
      <c r="AP493" s="200"/>
    </row>
    <row r="494">
      <c r="A494" s="395"/>
      <c r="B494" s="317"/>
      <c r="C494" s="394"/>
      <c r="D494" s="396"/>
      <c r="E494" s="395"/>
      <c r="F494" s="317"/>
      <c r="G494" s="394"/>
      <c r="H494" s="396"/>
      <c r="I494" s="395"/>
      <c r="J494" s="317"/>
      <c r="K494" s="394"/>
      <c r="L494" s="396"/>
      <c r="M494" s="395"/>
      <c r="N494" s="317"/>
      <c r="O494" s="394"/>
      <c r="P494" s="396"/>
      <c r="Q494" s="403"/>
      <c r="R494" s="404"/>
      <c r="S494" s="405"/>
      <c r="T494" s="401"/>
      <c r="U494" s="403"/>
      <c r="V494" s="404"/>
      <c r="W494" s="405"/>
      <c r="X494" s="401"/>
      <c r="Y494" s="403"/>
      <c r="Z494" s="404"/>
      <c r="AA494" s="405"/>
      <c r="AB494" s="401"/>
      <c r="AC494" s="403"/>
      <c r="AD494" s="404"/>
      <c r="AE494" s="405"/>
      <c r="AF494" s="401"/>
      <c r="AG494" s="292"/>
      <c r="AH494" s="292"/>
      <c r="AI494" s="292"/>
      <c r="AJ494" s="292"/>
      <c r="AK494" s="395"/>
      <c r="AL494" s="317"/>
      <c r="AM494" s="394"/>
      <c r="AN494" s="396"/>
      <c r="AO494" s="200"/>
      <c r="AP494" s="200"/>
    </row>
    <row r="495">
      <c r="A495" s="395"/>
      <c r="B495" s="317"/>
      <c r="C495" s="394"/>
      <c r="D495" s="396"/>
      <c r="E495" s="395"/>
      <c r="F495" s="317"/>
      <c r="G495" s="394"/>
      <c r="H495" s="396"/>
      <c r="I495" s="395"/>
      <c r="J495" s="317"/>
      <c r="K495" s="394"/>
      <c r="L495" s="396"/>
      <c r="M495" s="395"/>
      <c r="N495" s="317"/>
      <c r="O495" s="394"/>
      <c r="P495" s="396"/>
      <c r="Q495" s="403"/>
      <c r="R495" s="404"/>
      <c r="S495" s="405"/>
      <c r="T495" s="401"/>
      <c r="U495" s="403"/>
      <c r="V495" s="404"/>
      <c r="W495" s="405"/>
      <c r="X495" s="401"/>
      <c r="Y495" s="403"/>
      <c r="Z495" s="404"/>
      <c r="AA495" s="405"/>
      <c r="AB495" s="401"/>
      <c r="AC495" s="403"/>
      <c r="AD495" s="404"/>
      <c r="AE495" s="405"/>
      <c r="AF495" s="401"/>
      <c r="AG495" s="292"/>
      <c r="AH495" s="292"/>
      <c r="AI495" s="292"/>
      <c r="AJ495" s="292"/>
      <c r="AK495" s="395"/>
      <c r="AL495" s="317"/>
      <c r="AM495" s="394"/>
      <c r="AN495" s="396"/>
      <c r="AO495" s="200"/>
      <c r="AP495" s="200"/>
    </row>
    <row r="496">
      <c r="A496" s="395"/>
      <c r="B496" s="317"/>
      <c r="C496" s="394"/>
      <c r="D496" s="396"/>
      <c r="E496" s="395"/>
      <c r="F496" s="317"/>
      <c r="G496" s="394"/>
      <c r="H496" s="396"/>
      <c r="I496" s="395"/>
      <c r="J496" s="317"/>
      <c r="K496" s="394"/>
      <c r="L496" s="396"/>
      <c r="M496" s="395"/>
      <c r="N496" s="317"/>
      <c r="O496" s="394"/>
      <c r="P496" s="396"/>
      <c r="Q496" s="403"/>
      <c r="R496" s="404"/>
      <c r="S496" s="405"/>
      <c r="T496" s="401"/>
      <c r="U496" s="403"/>
      <c r="V496" s="404"/>
      <c r="W496" s="405"/>
      <c r="X496" s="401"/>
      <c r="Y496" s="403"/>
      <c r="Z496" s="404"/>
      <c r="AA496" s="405"/>
      <c r="AB496" s="401"/>
      <c r="AC496" s="403"/>
      <c r="AD496" s="404"/>
      <c r="AE496" s="405"/>
      <c r="AF496" s="401"/>
      <c r="AG496" s="292"/>
      <c r="AH496" s="292"/>
      <c r="AI496" s="292"/>
      <c r="AJ496" s="292"/>
      <c r="AK496" s="395"/>
      <c r="AL496" s="317"/>
      <c r="AM496" s="394"/>
      <c r="AN496" s="396"/>
      <c r="AO496" s="200"/>
      <c r="AP496" s="200"/>
    </row>
    <row r="497">
      <c r="A497" s="395"/>
      <c r="B497" s="317"/>
      <c r="C497" s="394"/>
      <c r="D497" s="396"/>
      <c r="E497" s="395"/>
      <c r="F497" s="317"/>
      <c r="G497" s="394"/>
      <c r="H497" s="396"/>
      <c r="I497" s="395"/>
      <c r="J497" s="317"/>
      <c r="K497" s="394"/>
      <c r="L497" s="396"/>
      <c r="M497" s="395"/>
      <c r="N497" s="317"/>
      <c r="O497" s="394"/>
      <c r="P497" s="396"/>
      <c r="Q497" s="403"/>
      <c r="R497" s="404"/>
      <c r="S497" s="405"/>
      <c r="T497" s="401"/>
      <c r="U497" s="403"/>
      <c r="V497" s="404"/>
      <c r="W497" s="405"/>
      <c r="X497" s="401"/>
      <c r="Y497" s="403"/>
      <c r="Z497" s="404"/>
      <c r="AA497" s="405"/>
      <c r="AB497" s="401"/>
      <c r="AC497" s="403"/>
      <c r="AD497" s="404"/>
      <c r="AE497" s="405"/>
      <c r="AF497" s="401"/>
      <c r="AG497" s="292"/>
      <c r="AH497" s="292"/>
      <c r="AI497" s="292"/>
      <c r="AJ497" s="292"/>
      <c r="AK497" s="395"/>
      <c r="AL497" s="317"/>
      <c r="AM497" s="394"/>
      <c r="AN497" s="396"/>
      <c r="AO497" s="200"/>
      <c r="AP497" s="200"/>
    </row>
    <row r="498">
      <c r="A498" s="395"/>
      <c r="B498" s="317"/>
      <c r="C498" s="394"/>
      <c r="D498" s="396"/>
      <c r="E498" s="395"/>
      <c r="F498" s="317"/>
      <c r="G498" s="394"/>
      <c r="H498" s="396"/>
      <c r="I498" s="395"/>
      <c r="J498" s="317"/>
      <c r="K498" s="394"/>
      <c r="L498" s="396"/>
      <c r="M498" s="395"/>
      <c r="N498" s="317"/>
      <c r="O498" s="394"/>
      <c r="P498" s="396"/>
      <c r="Q498" s="403"/>
      <c r="R498" s="404"/>
      <c r="S498" s="405"/>
      <c r="T498" s="401"/>
      <c r="U498" s="403"/>
      <c r="V498" s="404"/>
      <c r="W498" s="405"/>
      <c r="X498" s="401"/>
      <c r="Y498" s="403"/>
      <c r="Z498" s="404"/>
      <c r="AA498" s="405"/>
      <c r="AB498" s="401"/>
      <c r="AC498" s="403"/>
      <c r="AD498" s="404"/>
      <c r="AE498" s="405"/>
      <c r="AF498" s="401"/>
      <c r="AG498" s="292"/>
      <c r="AH498" s="292"/>
      <c r="AI498" s="292"/>
      <c r="AJ498" s="292"/>
      <c r="AK498" s="395"/>
      <c r="AL498" s="317"/>
      <c r="AM498" s="394"/>
      <c r="AN498" s="396"/>
      <c r="AO498" s="200"/>
      <c r="AP498" s="200"/>
    </row>
    <row r="499">
      <c r="A499" s="395"/>
      <c r="B499" s="317"/>
      <c r="C499" s="394"/>
      <c r="D499" s="396"/>
      <c r="E499" s="395"/>
      <c r="F499" s="317"/>
      <c r="G499" s="394"/>
      <c r="H499" s="396"/>
      <c r="I499" s="395"/>
      <c r="J499" s="317"/>
      <c r="K499" s="394"/>
      <c r="L499" s="396"/>
      <c r="M499" s="395"/>
      <c r="N499" s="317"/>
      <c r="O499" s="394"/>
      <c r="P499" s="396"/>
      <c r="Q499" s="403"/>
      <c r="R499" s="404"/>
      <c r="S499" s="405"/>
      <c r="T499" s="401"/>
      <c r="U499" s="403"/>
      <c r="V499" s="404"/>
      <c r="W499" s="405"/>
      <c r="X499" s="401"/>
      <c r="Y499" s="403"/>
      <c r="Z499" s="404"/>
      <c r="AA499" s="405"/>
      <c r="AB499" s="401"/>
      <c r="AC499" s="403"/>
      <c r="AD499" s="404"/>
      <c r="AE499" s="405"/>
      <c r="AF499" s="401"/>
      <c r="AG499" s="292"/>
      <c r="AH499" s="292"/>
      <c r="AI499" s="292"/>
      <c r="AJ499" s="292"/>
      <c r="AK499" s="395"/>
      <c r="AL499" s="317"/>
      <c r="AM499" s="394"/>
      <c r="AN499" s="396"/>
      <c r="AO499" s="200"/>
      <c r="AP499" s="200"/>
    </row>
    <row r="500">
      <c r="A500" s="395"/>
      <c r="B500" s="317"/>
      <c r="C500" s="394"/>
      <c r="D500" s="396"/>
      <c r="E500" s="395"/>
      <c r="F500" s="317"/>
      <c r="G500" s="394"/>
      <c r="H500" s="396"/>
      <c r="I500" s="395"/>
      <c r="J500" s="317"/>
      <c r="K500" s="394"/>
      <c r="L500" s="396"/>
      <c r="M500" s="395"/>
      <c r="N500" s="317"/>
      <c r="O500" s="394"/>
      <c r="P500" s="396"/>
      <c r="Q500" s="403"/>
      <c r="R500" s="404"/>
      <c r="S500" s="405"/>
      <c r="T500" s="401"/>
      <c r="U500" s="403"/>
      <c r="V500" s="404"/>
      <c r="W500" s="405"/>
      <c r="X500" s="401"/>
      <c r="Y500" s="403"/>
      <c r="Z500" s="404"/>
      <c r="AA500" s="405"/>
      <c r="AB500" s="401"/>
      <c r="AC500" s="403"/>
      <c r="AD500" s="404"/>
      <c r="AE500" s="405"/>
      <c r="AF500" s="401"/>
      <c r="AG500" s="292"/>
      <c r="AH500" s="292"/>
      <c r="AI500" s="292"/>
      <c r="AJ500" s="292"/>
      <c r="AK500" s="395"/>
      <c r="AL500" s="317"/>
      <c r="AM500" s="394"/>
      <c r="AN500" s="396"/>
      <c r="AO500" s="200"/>
      <c r="AP500" s="200"/>
    </row>
    <row r="501">
      <c r="A501" s="395"/>
      <c r="B501" s="317"/>
      <c r="C501" s="394"/>
      <c r="D501" s="396"/>
      <c r="E501" s="395"/>
      <c r="F501" s="317"/>
      <c r="G501" s="394"/>
      <c r="H501" s="396"/>
      <c r="I501" s="395"/>
      <c r="J501" s="317"/>
      <c r="K501" s="394"/>
      <c r="L501" s="396"/>
      <c r="M501" s="395"/>
      <c r="N501" s="317"/>
      <c r="O501" s="394"/>
      <c r="P501" s="396"/>
      <c r="Q501" s="403"/>
      <c r="R501" s="404"/>
      <c r="S501" s="405"/>
      <c r="T501" s="401"/>
      <c r="U501" s="403"/>
      <c r="V501" s="404"/>
      <c r="W501" s="405"/>
      <c r="X501" s="401"/>
      <c r="Y501" s="403"/>
      <c r="Z501" s="404"/>
      <c r="AA501" s="405"/>
      <c r="AB501" s="401"/>
      <c r="AC501" s="403"/>
      <c r="AD501" s="404"/>
      <c r="AE501" s="405"/>
      <c r="AF501" s="401"/>
      <c r="AG501" s="292"/>
      <c r="AH501" s="292"/>
      <c r="AI501" s="292"/>
      <c r="AJ501" s="292"/>
      <c r="AK501" s="395"/>
      <c r="AL501" s="317"/>
      <c r="AM501" s="394"/>
      <c r="AN501" s="396"/>
      <c r="AO501" s="200"/>
      <c r="AP501" s="200"/>
    </row>
    <row r="502">
      <c r="A502" s="395"/>
      <c r="B502" s="317"/>
      <c r="C502" s="394"/>
      <c r="D502" s="396"/>
      <c r="E502" s="395"/>
      <c r="F502" s="317"/>
      <c r="G502" s="394"/>
      <c r="H502" s="396"/>
      <c r="I502" s="395"/>
      <c r="J502" s="317"/>
      <c r="K502" s="394"/>
      <c r="L502" s="396"/>
      <c r="M502" s="395"/>
      <c r="N502" s="317"/>
      <c r="O502" s="394"/>
      <c r="P502" s="396"/>
      <c r="Q502" s="403"/>
      <c r="R502" s="404"/>
      <c r="S502" s="405"/>
      <c r="T502" s="401"/>
      <c r="U502" s="403"/>
      <c r="V502" s="404"/>
      <c r="W502" s="405"/>
      <c r="X502" s="401"/>
      <c r="Y502" s="403"/>
      <c r="Z502" s="404"/>
      <c r="AA502" s="405"/>
      <c r="AB502" s="401"/>
      <c r="AC502" s="403"/>
      <c r="AD502" s="404"/>
      <c r="AE502" s="405"/>
      <c r="AF502" s="401"/>
      <c r="AG502" s="292"/>
      <c r="AH502" s="292"/>
      <c r="AI502" s="292"/>
      <c r="AJ502" s="292"/>
      <c r="AK502" s="395"/>
      <c r="AL502" s="317"/>
      <c r="AM502" s="394"/>
      <c r="AN502" s="396"/>
      <c r="AO502" s="200"/>
      <c r="AP502" s="200"/>
    </row>
    <row r="503">
      <c r="A503" s="395"/>
      <c r="B503" s="317"/>
      <c r="C503" s="394"/>
      <c r="D503" s="396"/>
      <c r="E503" s="395"/>
      <c r="F503" s="317"/>
      <c r="G503" s="394"/>
      <c r="H503" s="396"/>
      <c r="I503" s="395"/>
      <c r="J503" s="317"/>
      <c r="K503" s="394"/>
      <c r="L503" s="396"/>
      <c r="M503" s="395"/>
      <c r="N503" s="317"/>
      <c r="O503" s="394"/>
      <c r="P503" s="396"/>
      <c r="Q503" s="403"/>
      <c r="R503" s="404"/>
      <c r="S503" s="405"/>
      <c r="T503" s="401"/>
      <c r="U503" s="403"/>
      <c r="V503" s="404"/>
      <c r="W503" s="405"/>
      <c r="X503" s="401"/>
      <c r="Y503" s="403"/>
      <c r="Z503" s="404"/>
      <c r="AA503" s="405"/>
      <c r="AB503" s="401"/>
      <c r="AC503" s="403"/>
      <c r="AD503" s="404"/>
      <c r="AE503" s="405"/>
      <c r="AF503" s="401"/>
      <c r="AG503" s="292"/>
      <c r="AH503" s="292"/>
      <c r="AI503" s="292"/>
      <c r="AJ503" s="292"/>
      <c r="AK503" s="395"/>
      <c r="AL503" s="317"/>
      <c r="AM503" s="394"/>
      <c r="AN503" s="396"/>
      <c r="AO503" s="200"/>
      <c r="AP503" s="200"/>
    </row>
    <row r="504">
      <c r="A504" s="395"/>
      <c r="B504" s="317"/>
      <c r="C504" s="394"/>
      <c r="D504" s="396"/>
      <c r="E504" s="395"/>
      <c r="F504" s="317"/>
      <c r="G504" s="394"/>
      <c r="H504" s="396"/>
      <c r="I504" s="395"/>
      <c r="J504" s="317"/>
      <c r="K504" s="394"/>
      <c r="L504" s="396"/>
      <c r="M504" s="395"/>
      <c r="N504" s="317"/>
      <c r="O504" s="394"/>
      <c r="P504" s="396"/>
      <c r="Q504" s="403"/>
      <c r="R504" s="404"/>
      <c r="S504" s="405"/>
      <c r="T504" s="401"/>
      <c r="U504" s="403"/>
      <c r="V504" s="404"/>
      <c r="W504" s="405"/>
      <c r="X504" s="401"/>
      <c r="Y504" s="403"/>
      <c r="Z504" s="404"/>
      <c r="AA504" s="405"/>
      <c r="AB504" s="401"/>
      <c r="AC504" s="403"/>
      <c r="AD504" s="404"/>
      <c r="AE504" s="405"/>
      <c r="AF504" s="401"/>
      <c r="AG504" s="292"/>
      <c r="AH504" s="292"/>
      <c r="AI504" s="292"/>
      <c r="AJ504" s="292"/>
      <c r="AK504" s="395"/>
      <c r="AL504" s="317"/>
      <c r="AM504" s="394"/>
      <c r="AN504" s="396"/>
      <c r="AO504" s="200"/>
      <c r="AP504" s="200"/>
    </row>
    <row r="505">
      <c r="A505" s="395"/>
      <c r="B505" s="317"/>
      <c r="C505" s="394"/>
      <c r="D505" s="396"/>
      <c r="E505" s="395"/>
      <c r="F505" s="317"/>
      <c r="G505" s="394"/>
      <c r="H505" s="396"/>
      <c r="I505" s="395"/>
      <c r="J505" s="317"/>
      <c r="K505" s="394"/>
      <c r="L505" s="396"/>
      <c r="M505" s="395"/>
      <c r="N505" s="317"/>
      <c r="O505" s="394"/>
      <c r="P505" s="396"/>
      <c r="Q505" s="403"/>
      <c r="R505" s="404"/>
      <c r="S505" s="405"/>
      <c r="T505" s="401"/>
      <c r="U505" s="403"/>
      <c r="V505" s="404"/>
      <c r="W505" s="405"/>
      <c r="X505" s="401"/>
      <c r="Y505" s="403"/>
      <c r="Z505" s="404"/>
      <c r="AA505" s="405"/>
      <c r="AB505" s="401"/>
      <c r="AC505" s="403"/>
      <c r="AD505" s="404"/>
      <c r="AE505" s="405"/>
      <c r="AF505" s="401"/>
      <c r="AG505" s="292"/>
      <c r="AH505" s="292"/>
      <c r="AI505" s="292"/>
      <c r="AJ505" s="292"/>
      <c r="AK505" s="395"/>
      <c r="AL505" s="317"/>
      <c r="AM505" s="394"/>
      <c r="AN505" s="396"/>
      <c r="AO505" s="200"/>
      <c r="AP505" s="200"/>
    </row>
    <row r="506">
      <c r="A506" s="395"/>
      <c r="B506" s="317"/>
      <c r="C506" s="394"/>
      <c r="D506" s="396"/>
      <c r="E506" s="395"/>
      <c r="F506" s="317"/>
      <c r="G506" s="394"/>
      <c r="H506" s="396"/>
      <c r="I506" s="395"/>
      <c r="J506" s="317"/>
      <c r="K506" s="394"/>
      <c r="L506" s="396"/>
      <c r="M506" s="395"/>
      <c r="N506" s="317"/>
      <c r="O506" s="394"/>
      <c r="P506" s="396"/>
      <c r="Q506" s="403"/>
      <c r="R506" s="404"/>
      <c r="S506" s="405"/>
      <c r="T506" s="401"/>
      <c r="U506" s="403"/>
      <c r="V506" s="404"/>
      <c r="W506" s="405"/>
      <c r="X506" s="401"/>
      <c r="Y506" s="403"/>
      <c r="Z506" s="404"/>
      <c r="AA506" s="405"/>
      <c r="AB506" s="401"/>
      <c r="AC506" s="403"/>
      <c r="AD506" s="404"/>
      <c r="AE506" s="405"/>
      <c r="AF506" s="401"/>
      <c r="AG506" s="292"/>
      <c r="AH506" s="292"/>
      <c r="AI506" s="292"/>
      <c r="AJ506" s="292"/>
      <c r="AK506" s="395"/>
      <c r="AL506" s="317"/>
      <c r="AM506" s="394"/>
      <c r="AN506" s="396"/>
      <c r="AO506" s="200"/>
      <c r="AP506" s="200"/>
    </row>
    <row r="507">
      <c r="A507" s="395"/>
      <c r="B507" s="317"/>
      <c r="C507" s="394"/>
      <c r="D507" s="396"/>
      <c r="E507" s="395"/>
      <c r="F507" s="317"/>
      <c r="G507" s="394"/>
      <c r="H507" s="396"/>
      <c r="I507" s="395"/>
      <c r="J507" s="317"/>
      <c r="K507" s="394"/>
      <c r="L507" s="396"/>
      <c r="M507" s="395"/>
      <c r="N507" s="317"/>
      <c r="O507" s="394"/>
      <c r="P507" s="396"/>
      <c r="Q507" s="403"/>
      <c r="R507" s="404"/>
      <c r="S507" s="405"/>
      <c r="T507" s="401"/>
      <c r="U507" s="403"/>
      <c r="V507" s="404"/>
      <c r="W507" s="405"/>
      <c r="X507" s="401"/>
      <c r="Y507" s="403"/>
      <c r="Z507" s="404"/>
      <c r="AA507" s="405"/>
      <c r="AB507" s="401"/>
      <c r="AC507" s="403"/>
      <c r="AD507" s="404"/>
      <c r="AE507" s="405"/>
      <c r="AF507" s="401"/>
      <c r="AG507" s="292"/>
      <c r="AH507" s="292"/>
      <c r="AI507" s="292"/>
      <c r="AJ507" s="292"/>
      <c r="AK507" s="395"/>
      <c r="AL507" s="317"/>
      <c r="AM507" s="394"/>
      <c r="AN507" s="396"/>
      <c r="AO507" s="200"/>
      <c r="AP507" s="200"/>
    </row>
    <row r="508">
      <c r="A508" s="395"/>
      <c r="B508" s="317"/>
      <c r="C508" s="394"/>
      <c r="D508" s="396"/>
      <c r="E508" s="395"/>
      <c r="F508" s="317"/>
      <c r="G508" s="394"/>
      <c r="H508" s="396"/>
      <c r="I508" s="395"/>
      <c r="J508" s="317"/>
      <c r="K508" s="394"/>
      <c r="L508" s="396"/>
      <c r="M508" s="395"/>
      <c r="N508" s="317"/>
      <c r="O508" s="394"/>
      <c r="P508" s="396"/>
      <c r="Q508" s="403"/>
      <c r="R508" s="404"/>
      <c r="S508" s="405"/>
      <c r="T508" s="401"/>
      <c r="U508" s="403"/>
      <c r="V508" s="404"/>
      <c r="W508" s="405"/>
      <c r="X508" s="401"/>
      <c r="Y508" s="403"/>
      <c r="Z508" s="404"/>
      <c r="AA508" s="405"/>
      <c r="AB508" s="401"/>
      <c r="AC508" s="403"/>
      <c r="AD508" s="404"/>
      <c r="AE508" s="405"/>
      <c r="AF508" s="401"/>
      <c r="AG508" s="292"/>
      <c r="AH508" s="292"/>
      <c r="AI508" s="292"/>
      <c r="AJ508" s="292"/>
      <c r="AK508" s="395"/>
      <c r="AL508" s="317"/>
      <c r="AM508" s="394"/>
      <c r="AN508" s="396"/>
      <c r="AO508" s="200"/>
      <c r="AP508" s="200"/>
    </row>
    <row r="509">
      <c r="A509" s="395"/>
      <c r="B509" s="317"/>
      <c r="C509" s="394"/>
      <c r="D509" s="396"/>
      <c r="E509" s="395"/>
      <c r="F509" s="317"/>
      <c r="G509" s="394"/>
      <c r="H509" s="396"/>
      <c r="I509" s="395"/>
      <c r="J509" s="317"/>
      <c r="K509" s="394"/>
      <c r="L509" s="396"/>
      <c r="M509" s="395"/>
      <c r="N509" s="317"/>
      <c r="O509" s="394"/>
      <c r="P509" s="396"/>
      <c r="Q509" s="403"/>
      <c r="R509" s="404"/>
      <c r="S509" s="405"/>
      <c r="T509" s="401"/>
      <c r="U509" s="403"/>
      <c r="V509" s="404"/>
      <c r="W509" s="405"/>
      <c r="X509" s="401"/>
      <c r="Y509" s="403"/>
      <c r="Z509" s="404"/>
      <c r="AA509" s="405"/>
      <c r="AB509" s="401"/>
      <c r="AC509" s="403"/>
      <c r="AD509" s="404"/>
      <c r="AE509" s="405"/>
      <c r="AF509" s="401"/>
      <c r="AG509" s="292"/>
      <c r="AH509" s="292"/>
      <c r="AI509" s="292"/>
      <c r="AJ509" s="292"/>
      <c r="AK509" s="395"/>
      <c r="AL509" s="317"/>
      <c r="AM509" s="394"/>
      <c r="AN509" s="396"/>
      <c r="AO509" s="200"/>
      <c r="AP509" s="200"/>
    </row>
    <row r="510">
      <c r="A510" s="395"/>
      <c r="B510" s="317"/>
      <c r="C510" s="394"/>
      <c r="D510" s="396"/>
      <c r="E510" s="395"/>
      <c r="F510" s="317"/>
      <c r="G510" s="394"/>
      <c r="H510" s="396"/>
      <c r="I510" s="395"/>
      <c r="J510" s="317"/>
      <c r="K510" s="394"/>
      <c r="L510" s="396"/>
      <c r="M510" s="395"/>
      <c r="N510" s="317"/>
      <c r="O510" s="394"/>
      <c r="P510" s="396"/>
      <c r="Q510" s="403"/>
      <c r="R510" s="404"/>
      <c r="S510" s="405"/>
      <c r="T510" s="401"/>
      <c r="U510" s="403"/>
      <c r="V510" s="404"/>
      <c r="W510" s="405"/>
      <c r="X510" s="401"/>
      <c r="Y510" s="403"/>
      <c r="Z510" s="404"/>
      <c r="AA510" s="405"/>
      <c r="AB510" s="401"/>
      <c r="AC510" s="403"/>
      <c r="AD510" s="404"/>
      <c r="AE510" s="405"/>
      <c r="AF510" s="401"/>
      <c r="AG510" s="292"/>
      <c r="AH510" s="292"/>
      <c r="AI510" s="292"/>
      <c r="AJ510" s="292"/>
      <c r="AK510" s="395"/>
      <c r="AL510" s="317"/>
      <c r="AM510" s="394"/>
      <c r="AN510" s="396"/>
      <c r="AO510" s="200"/>
      <c r="AP510" s="200"/>
    </row>
    <row r="511">
      <c r="A511" s="395"/>
      <c r="B511" s="317"/>
      <c r="C511" s="394"/>
      <c r="D511" s="396"/>
      <c r="E511" s="395"/>
      <c r="F511" s="317"/>
      <c r="G511" s="394"/>
      <c r="H511" s="396"/>
      <c r="I511" s="395"/>
      <c r="J511" s="317"/>
      <c r="K511" s="394"/>
      <c r="L511" s="396"/>
      <c r="M511" s="395"/>
      <c r="N511" s="317"/>
      <c r="O511" s="394"/>
      <c r="P511" s="396"/>
      <c r="Q511" s="403"/>
      <c r="R511" s="404"/>
      <c r="S511" s="405"/>
      <c r="T511" s="401"/>
      <c r="U511" s="403"/>
      <c r="V511" s="404"/>
      <c r="W511" s="405"/>
      <c r="X511" s="401"/>
      <c r="Y511" s="403"/>
      <c r="Z511" s="404"/>
      <c r="AA511" s="405"/>
      <c r="AB511" s="401"/>
      <c r="AC511" s="403"/>
      <c r="AD511" s="404"/>
      <c r="AE511" s="405"/>
      <c r="AF511" s="401"/>
      <c r="AG511" s="292"/>
      <c r="AH511" s="292"/>
      <c r="AI511" s="292"/>
      <c r="AJ511" s="292"/>
      <c r="AK511" s="395"/>
      <c r="AL511" s="317"/>
      <c r="AM511" s="394"/>
      <c r="AN511" s="396"/>
      <c r="AO511" s="200"/>
      <c r="AP511" s="200"/>
    </row>
    <row r="512">
      <c r="A512" s="395"/>
      <c r="B512" s="317"/>
      <c r="C512" s="394"/>
      <c r="D512" s="396"/>
      <c r="E512" s="395"/>
      <c r="F512" s="317"/>
      <c r="G512" s="394"/>
      <c r="H512" s="396"/>
      <c r="I512" s="395"/>
      <c r="J512" s="317"/>
      <c r="K512" s="394"/>
      <c r="L512" s="396"/>
      <c r="M512" s="395"/>
      <c r="N512" s="317"/>
      <c r="O512" s="394"/>
      <c r="P512" s="396"/>
      <c r="Q512" s="403"/>
      <c r="R512" s="404"/>
      <c r="S512" s="405"/>
      <c r="T512" s="401"/>
      <c r="U512" s="403"/>
      <c r="V512" s="404"/>
      <c r="W512" s="405"/>
      <c r="X512" s="401"/>
      <c r="Y512" s="403"/>
      <c r="Z512" s="404"/>
      <c r="AA512" s="405"/>
      <c r="AB512" s="401"/>
      <c r="AC512" s="403"/>
      <c r="AD512" s="404"/>
      <c r="AE512" s="405"/>
      <c r="AF512" s="401"/>
      <c r="AG512" s="292"/>
      <c r="AH512" s="292"/>
      <c r="AI512" s="292"/>
      <c r="AJ512" s="292"/>
      <c r="AK512" s="395"/>
      <c r="AL512" s="317"/>
      <c r="AM512" s="394"/>
      <c r="AN512" s="396"/>
      <c r="AO512" s="200"/>
      <c r="AP512" s="200"/>
    </row>
    <row r="513">
      <c r="A513" s="395"/>
      <c r="B513" s="317"/>
      <c r="C513" s="394"/>
      <c r="D513" s="396"/>
      <c r="E513" s="395"/>
      <c r="F513" s="317"/>
      <c r="G513" s="394"/>
      <c r="H513" s="396"/>
      <c r="I513" s="395"/>
      <c r="J513" s="317"/>
      <c r="K513" s="394"/>
      <c r="L513" s="396"/>
      <c r="M513" s="395"/>
      <c r="N513" s="317"/>
      <c r="O513" s="394"/>
      <c r="P513" s="396"/>
      <c r="Q513" s="403"/>
      <c r="R513" s="404"/>
      <c r="S513" s="405"/>
      <c r="T513" s="401"/>
      <c r="U513" s="403"/>
      <c r="V513" s="404"/>
      <c r="W513" s="405"/>
      <c r="X513" s="401"/>
      <c r="Y513" s="403"/>
      <c r="Z513" s="404"/>
      <c r="AA513" s="405"/>
      <c r="AB513" s="401"/>
      <c r="AC513" s="403"/>
      <c r="AD513" s="404"/>
      <c r="AE513" s="405"/>
      <c r="AF513" s="401"/>
      <c r="AG513" s="292"/>
      <c r="AH513" s="292"/>
      <c r="AI513" s="292"/>
      <c r="AJ513" s="292"/>
      <c r="AK513" s="395"/>
      <c r="AL513" s="317"/>
      <c r="AM513" s="394"/>
      <c r="AN513" s="396"/>
      <c r="AO513" s="200"/>
      <c r="AP513" s="200"/>
    </row>
    <row r="514">
      <c r="A514" s="395"/>
      <c r="B514" s="317"/>
      <c r="C514" s="394"/>
      <c r="D514" s="396"/>
      <c r="E514" s="395"/>
      <c r="F514" s="317"/>
      <c r="G514" s="394"/>
      <c r="H514" s="396"/>
      <c r="I514" s="395"/>
      <c r="J514" s="317"/>
      <c r="K514" s="394"/>
      <c r="L514" s="396"/>
      <c r="M514" s="395"/>
      <c r="N514" s="317"/>
      <c r="O514" s="394"/>
      <c r="P514" s="396"/>
      <c r="Q514" s="403"/>
      <c r="R514" s="404"/>
      <c r="S514" s="405"/>
      <c r="T514" s="401"/>
      <c r="U514" s="403"/>
      <c r="V514" s="404"/>
      <c r="W514" s="405"/>
      <c r="X514" s="401"/>
      <c r="Y514" s="403"/>
      <c r="Z514" s="404"/>
      <c r="AA514" s="405"/>
      <c r="AB514" s="401"/>
      <c r="AC514" s="403"/>
      <c r="AD514" s="404"/>
      <c r="AE514" s="405"/>
      <c r="AF514" s="401"/>
      <c r="AG514" s="292"/>
      <c r="AH514" s="292"/>
      <c r="AI514" s="292"/>
      <c r="AJ514" s="292"/>
      <c r="AK514" s="395"/>
      <c r="AL514" s="317"/>
      <c r="AM514" s="394"/>
      <c r="AN514" s="396"/>
      <c r="AO514" s="200"/>
      <c r="AP514" s="200"/>
    </row>
    <row r="515">
      <c r="A515" s="395"/>
      <c r="B515" s="317"/>
      <c r="C515" s="394"/>
      <c r="D515" s="396"/>
      <c r="E515" s="395"/>
      <c r="F515" s="317"/>
      <c r="G515" s="394"/>
      <c r="H515" s="396"/>
      <c r="I515" s="395"/>
      <c r="J515" s="317"/>
      <c r="K515" s="394"/>
      <c r="L515" s="396"/>
      <c r="M515" s="395"/>
      <c r="N515" s="317"/>
      <c r="O515" s="394"/>
      <c r="P515" s="396"/>
      <c r="Q515" s="403"/>
      <c r="R515" s="404"/>
      <c r="S515" s="405"/>
      <c r="T515" s="401"/>
      <c r="U515" s="403"/>
      <c r="V515" s="404"/>
      <c r="W515" s="405"/>
      <c r="X515" s="401"/>
      <c r="Y515" s="403"/>
      <c r="Z515" s="404"/>
      <c r="AA515" s="405"/>
      <c r="AB515" s="401"/>
      <c r="AC515" s="403"/>
      <c r="AD515" s="404"/>
      <c r="AE515" s="405"/>
      <c r="AF515" s="401"/>
      <c r="AG515" s="292"/>
      <c r="AH515" s="292"/>
      <c r="AI515" s="292"/>
      <c r="AJ515" s="292"/>
      <c r="AK515" s="395"/>
      <c r="AL515" s="317"/>
      <c r="AM515" s="394"/>
      <c r="AN515" s="396"/>
      <c r="AO515" s="200"/>
      <c r="AP515" s="200"/>
    </row>
    <row r="516">
      <c r="A516" s="395"/>
      <c r="B516" s="317"/>
      <c r="C516" s="394"/>
      <c r="D516" s="396"/>
      <c r="E516" s="395"/>
      <c r="F516" s="317"/>
      <c r="G516" s="394"/>
      <c r="H516" s="396"/>
      <c r="I516" s="395"/>
      <c r="J516" s="317"/>
      <c r="K516" s="394"/>
      <c r="L516" s="396"/>
      <c r="M516" s="395"/>
      <c r="N516" s="317"/>
      <c r="O516" s="394"/>
      <c r="P516" s="396"/>
      <c r="Q516" s="403"/>
      <c r="R516" s="404"/>
      <c r="S516" s="405"/>
      <c r="T516" s="401"/>
      <c r="U516" s="403"/>
      <c r="V516" s="404"/>
      <c r="W516" s="405"/>
      <c r="X516" s="401"/>
      <c r="Y516" s="403"/>
      <c r="Z516" s="404"/>
      <c r="AA516" s="405"/>
      <c r="AB516" s="401"/>
      <c r="AC516" s="403"/>
      <c r="AD516" s="404"/>
      <c r="AE516" s="405"/>
      <c r="AF516" s="401"/>
      <c r="AG516" s="292"/>
      <c r="AH516" s="292"/>
      <c r="AI516" s="292"/>
      <c r="AJ516" s="292"/>
      <c r="AK516" s="395"/>
      <c r="AL516" s="317"/>
      <c r="AM516" s="394"/>
      <c r="AN516" s="396"/>
      <c r="AO516" s="200"/>
      <c r="AP516" s="200"/>
    </row>
    <row r="517">
      <c r="A517" s="395"/>
      <c r="B517" s="317"/>
      <c r="C517" s="394"/>
      <c r="D517" s="396"/>
      <c r="E517" s="395"/>
      <c r="F517" s="317"/>
      <c r="G517" s="394"/>
      <c r="H517" s="396"/>
      <c r="I517" s="395"/>
      <c r="J517" s="317"/>
      <c r="K517" s="394"/>
      <c r="L517" s="396"/>
      <c r="M517" s="395"/>
      <c r="N517" s="317"/>
      <c r="O517" s="394"/>
      <c r="P517" s="396"/>
      <c r="Q517" s="403"/>
      <c r="R517" s="404"/>
      <c r="S517" s="405"/>
      <c r="T517" s="401"/>
      <c r="U517" s="403"/>
      <c r="V517" s="404"/>
      <c r="W517" s="405"/>
      <c r="X517" s="401"/>
      <c r="Y517" s="403"/>
      <c r="Z517" s="404"/>
      <c r="AA517" s="405"/>
      <c r="AB517" s="401"/>
      <c r="AC517" s="403"/>
      <c r="AD517" s="404"/>
      <c r="AE517" s="405"/>
      <c r="AF517" s="401"/>
      <c r="AG517" s="292"/>
      <c r="AH517" s="292"/>
      <c r="AI517" s="292"/>
      <c r="AJ517" s="292"/>
      <c r="AK517" s="395"/>
      <c r="AL517" s="317"/>
      <c r="AM517" s="394"/>
      <c r="AN517" s="396"/>
      <c r="AO517" s="200"/>
      <c r="AP517" s="200"/>
    </row>
    <row r="518">
      <c r="A518" s="395"/>
      <c r="B518" s="317"/>
      <c r="C518" s="394"/>
      <c r="D518" s="396"/>
      <c r="E518" s="395"/>
      <c r="F518" s="317"/>
      <c r="G518" s="394"/>
      <c r="H518" s="396"/>
      <c r="I518" s="395"/>
      <c r="J518" s="317"/>
      <c r="K518" s="394"/>
      <c r="L518" s="396"/>
      <c r="M518" s="395"/>
      <c r="N518" s="317"/>
      <c r="O518" s="394"/>
      <c r="P518" s="396"/>
      <c r="Q518" s="403"/>
      <c r="R518" s="404"/>
      <c r="S518" s="405"/>
      <c r="T518" s="401"/>
      <c r="U518" s="403"/>
      <c r="V518" s="404"/>
      <c r="W518" s="405"/>
      <c r="X518" s="401"/>
      <c r="Y518" s="403"/>
      <c r="Z518" s="404"/>
      <c r="AA518" s="405"/>
      <c r="AB518" s="401"/>
      <c r="AC518" s="403"/>
      <c r="AD518" s="404"/>
      <c r="AE518" s="405"/>
      <c r="AF518" s="401"/>
      <c r="AG518" s="292"/>
      <c r="AH518" s="292"/>
      <c r="AI518" s="292"/>
      <c r="AJ518" s="292"/>
      <c r="AK518" s="395"/>
      <c r="AL518" s="317"/>
      <c r="AM518" s="394"/>
      <c r="AN518" s="396"/>
      <c r="AO518" s="200"/>
      <c r="AP518" s="200"/>
    </row>
    <row r="519">
      <c r="A519" s="395"/>
      <c r="B519" s="317"/>
      <c r="C519" s="394"/>
      <c r="D519" s="396"/>
      <c r="E519" s="395"/>
      <c r="F519" s="317"/>
      <c r="G519" s="394"/>
      <c r="H519" s="396"/>
      <c r="I519" s="395"/>
      <c r="J519" s="317"/>
      <c r="K519" s="394"/>
      <c r="L519" s="396"/>
      <c r="M519" s="395"/>
      <c r="N519" s="317"/>
      <c r="O519" s="394"/>
      <c r="P519" s="396"/>
      <c r="Q519" s="403"/>
      <c r="R519" s="404"/>
      <c r="S519" s="405"/>
      <c r="T519" s="401"/>
      <c r="U519" s="403"/>
      <c r="V519" s="404"/>
      <c r="W519" s="405"/>
      <c r="X519" s="401"/>
      <c r="Y519" s="403"/>
      <c r="Z519" s="404"/>
      <c r="AA519" s="405"/>
      <c r="AB519" s="401"/>
      <c r="AC519" s="403"/>
      <c r="AD519" s="404"/>
      <c r="AE519" s="405"/>
      <c r="AF519" s="401"/>
      <c r="AG519" s="292"/>
      <c r="AH519" s="292"/>
      <c r="AI519" s="292"/>
      <c r="AJ519" s="292"/>
      <c r="AK519" s="395"/>
      <c r="AL519" s="317"/>
      <c r="AM519" s="394"/>
      <c r="AN519" s="396"/>
      <c r="AO519" s="200"/>
      <c r="AP519" s="200"/>
    </row>
    <row r="520">
      <c r="A520" s="395"/>
      <c r="B520" s="317"/>
      <c r="C520" s="394"/>
      <c r="D520" s="396"/>
      <c r="E520" s="395"/>
      <c r="F520" s="317"/>
      <c r="G520" s="394"/>
      <c r="H520" s="396"/>
      <c r="I520" s="395"/>
      <c r="J520" s="317"/>
      <c r="K520" s="394"/>
      <c r="L520" s="396"/>
      <c r="M520" s="395"/>
      <c r="N520" s="317"/>
      <c r="O520" s="394"/>
      <c r="P520" s="396"/>
      <c r="Q520" s="403"/>
      <c r="R520" s="404"/>
      <c r="S520" s="405"/>
      <c r="T520" s="401"/>
      <c r="U520" s="403"/>
      <c r="V520" s="404"/>
      <c r="W520" s="405"/>
      <c r="X520" s="401"/>
      <c r="Y520" s="403"/>
      <c r="Z520" s="404"/>
      <c r="AA520" s="405"/>
      <c r="AB520" s="401"/>
      <c r="AC520" s="403"/>
      <c r="AD520" s="404"/>
      <c r="AE520" s="405"/>
      <c r="AF520" s="401"/>
      <c r="AG520" s="292"/>
      <c r="AH520" s="292"/>
      <c r="AI520" s="292"/>
      <c r="AJ520" s="292"/>
      <c r="AK520" s="395"/>
      <c r="AL520" s="317"/>
      <c r="AM520" s="394"/>
      <c r="AN520" s="396"/>
      <c r="AO520" s="200"/>
      <c r="AP520" s="200"/>
    </row>
    <row r="521">
      <c r="A521" s="395"/>
      <c r="B521" s="317"/>
      <c r="C521" s="394"/>
      <c r="D521" s="396"/>
      <c r="E521" s="395"/>
      <c r="F521" s="317"/>
      <c r="G521" s="394"/>
      <c r="H521" s="396"/>
      <c r="I521" s="395"/>
      <c r="J521" s="317"/>
      <c r="K521" s="394"/>
      <c r="L521" s="396"/>
      <c r="M521" s="395"/>
      <c r="N521" s="317"/>
      <c r="O521" s="394"/>
      <c r="P521" s="396"/>
      <c r="Q521" s="403"/>
      <c r="R521" s="404"/>
      <c r="S521" s="405"/>
      <c r="T521" s="401"/>
      <c r="U521" s="403"/>
      <c r="V521" s="404"/>
      <c r="W521" s="405"/>
      <c r="X521" s="401"/>
      <c r="Y521" s="403"/>
      <c r="Z521" s="404"/>
      <c r="AA521" s="405"/>
      <c r="AB521" s="401"/>
      <c r="AC521" s="403"/>
      <c r="AD521" s="404"/>
      <c r="AE521" s="405"/>
      <c r="AF521" s="401"/>
      <c r="AG521" s="292"/>
      <c r="AH521" s="292"/>
      <c r="AI521" s="292"/>
      <c r="AJ521" s="292"/>
      <c r="AK521" s="395"/>
      <c r="AL521" s="317"/>
      <c r="AM521" s="394"/>
      <c r="AN521" s="396"/>
      <c r="AO521" s="200"/>
      <c r="AP521" s="200"/>
    </row>
    <row r="522">
      <c r="A522" s="395"/>
      <c r="B522" s="317"/>
      <c r="C522" s="394"/>
      <c r="D522" s="396"/>
      <c r="E522" s="395"/>
      <c r="F522" s="317"/>
      <c r="G522" s="394"/>
      <c r="H522" s="396"/>
      <c r="I522" s="395"/>
      <c r="J522" s="317"/>
      <c r="K522" s="394"/>
      <c r="L522" s="396"/>
      <c r="M522" s="395"/>
      <c r="N522" s="317"/>
      <c r="O522" s="394"/>
      <c r="P522" s="396"/>
      <c r="Q522" s="403"/>
      <c r="R522" s="404"/>
      <c r="S522" s="405"/>
      <c r="T522" s="401"/>
      <c r="U522" s="403"/>
      <c r="V522" s="404"/>
      <c r="W522" s="405"/>
      <c r="X522" s="401"/>
      <c r="Y522" s="403"/>
      <c r="Z522" s="404"/>
      <c r="AA522" s="405"/>
      <c r="AB522" s="401"/>
      <c r="AC522" s="403"/>
      <c r="AD522" s="404"/>
      <c r="AE522" s="405"/>
      <c r="AF522" s="401"/>
      <c r="AG522" s="292"/>
      <c r="AH522" s="292"/>
      <c r="AI522" s="292"/>
      <c r="AJ522" s="292"/>
      <c r="AK522" s="395"/>
      <c r="AL522" s="317"/>
      <c r="AM522" s="394"/>
      <c r="AN522" s="396"/>
      <c r="AO522" s="200"/>
      <c r="AP522" s="200"/>
    </row>
    <row r="523">
      <c r="A523" s="395"/>
      <c r="B523" s="317"/>
      <c r="C523" s="394"/>
      <c r="D523" s="396"/>
      <c r="E523" s="395"/>
      <c r="F523" s="317"/>
      <c r="G523" s="394"/>
      <c r="H523" s="396"/>
      <c r="I523" s="395"/>
      <c r="J523" s="317"/>
      <c r="K523" s="394"/>
      <c r="L523" s="396"/>
      <c r="M523" s="395"/>
      <c r="N523" s="317"/>
      <c r="O523" s="394"/>
      <c r="P523" s="396"/>
      <c r="Q523" s="403"/>
      <c r="R523" s="404"/>
      <c r="S523" s="405"/>
      <c r="T523" s="401"/>
      <c r="U523" s="403"/>
      <c r="V523" s="404"/>
      <c r="W523" s="405"/>
      <c r="X523" s="401"/>
      <c r="Y523" s="403"/>
      <c r="Z523" s="404"/>
      <c r="AA523" s="405"/>
      <c r="AB523" s="401"/>
      <c r="AC523" s="403"/>
      <c r="AD523" s="404"/>
      <c r="AE523" s="405"/>
      <c r="AF523" s="401"/>
      <c r="AG523" s="292"/>
      <c r="AH523" s="292"/>
      <c r="AI523" s="292"/>
      <c r="AJ523" s="292"/>
      <c r="AK523" s="395"/>
      <c r="AL523" s="317"/>
      <c r="AM523" s="394"/>
      <c r="AN523" s="396"/>
      <c r="AO523" s="200"/>
      <c r="AP523" s="200"/>
    </row>
    <row r="524">
      <c r="A524" s="395"/>
      <c r="B524" s="317"/>
      <c r="C524" s="394"/>
      <c r="D524" s="396"/>
      <c r="E524" s="395"/>
      <c r="F524" s="317"/>
      <c r="G524" s="394"/>
      <c r="H524" s="396"/>
      <c r="I524" s="395"/>
      <c r="J524" s="317"/>
      <c r="K524" s="394"/>
      <c r="L524" s="396"/>
      <c r="M524" s="395"/>
      <c r="N524" s="317"/>
      <c r="O524" s="394"/>
      <c r="P524" s="396"/>
      <c r="Q524" s="403"/>
      <c r="R524" s="404"/>
      <c r="S524" s="405"/>
      <c r="T524" s="401"/>
      <c r="U524" s="403"/>
      <c r="V524" s="404"/>
      <c r="W524" s="405"/>
      <c r="X524" s="401"/>
      <c r="Y524" s="403"/>
      <c r="Z524" s="404"/>
      <c r="AA524" s="405"/>
      <c r="AB524" s="401"/>
      <c r="AC524" s="403"/>
      <c r="AD524" s="404"/>
      <c r="AE524" s="405"/>
      <c r="AF524" s="401"/>
      <c r="AG524" s="292"/>
      <c r="AH524" s="292"/>
      <c r="AI524" s="292"/>
      <c r="AJ524" s="292"/>
      <c r="AK524" s="395"/>
      <c r="AL524" s="317"/>
      <c r="AM524" s="394"/>
      <c r="AN524" s="396"/>
      <c r="AO524" s="200"/>
      <c r="AP524" s="200"/>
    </row>
    <row r="525">
      <c r="A525" s="395"/>
      <c r="B525" s="317"/>
      <c r="C525" s="394"/>
      <c r="D525" s="396"/>
      <c r="E525" s="395"/>
      <c r="F525" s="317"/>
      <c r="G525" s="394"/>
      <c r="H525" s="396"/>
      <c r="I525" s="395"/>
      <c r="J525" s="317"/>
      <c r="K525" s="394"/>
      <c r="L525" s="396"/>
      <c r="M525" s="395"/>
      <c r="N525" s="317"/>
      <c r="O525" s="394"/>
      <c r="P525" s="396"/>
      <c r="Q525" s="403"/>
      <c r="R525" s="404"/>
      <c r="S525" s="405"/>
      <c r="T525" s="401"/>
      <c r="U525" s="403"/>
      <c r="V525" s="404"/>
      <c r="W525" s="405"/>
      <c r="X525" s="401"/>
      <c r="Y525" s="403"/>
      <c r="Z525" s="404"/>
      <c r="AA525" s="405"/>
      <c r="AB525" s="401"/>
      <c r="AC525" s="403"/>
      <c r="AD525" s="404"/>
      <c r="AE525" s="405"/>
      <c r="AF525" s="401"/>
      <c r="AG525" s="292"/>
      <c r="AH525" s="292"/>
      <c r="AI525" s="292"/>
      <c r="AJ525" s="292"/>
      <c r="AK525" s="395"/>
      <c r="AL525" s="317"/>
      <c r="AM525" s="394"/>
      <c r="AN525" s="396"/>
      <c r="AO525" s="200"/>
      <c r="AP525" s="200"/>
    </row>
    <row r="526">
      <c r="A526" s="395"/>
      <c r="B526" s="317"/>
      <c r="C526" s="394"/>
      <c r="D526" s="396"/>
      <c r="E526" s="395"/>
      <c r="F526" s="317"/>
      <c r="G526" s="394"/>
      <c r="H526" s="396"/>
      <c r="I526" s="395"/>
      <c r="J526" s="317"/>
      <c r="K526" s="394"/>
      <c r="L526" s="396"/>
      <c r="M526" s="395"/>
      <c r="N526" s="317"/>
      <c r="O526" s="394"/>
      <c r="P526" s="396"/>
      <c r="Q526" s="403"/>
      <c r="R526" s="404"/>
      <c r="S526" s="405"/>
      <c r="T526" s="401"/>
      <c r="U526" s="403"/>
      <c r="V526" s="404"/>
      <c r="W526" s="405"/>
      <c r="X526" s="401"/>
      <c r="Y526" s="403"/>
      <c r="Z526" s="404"/>
      <c r="AA526" s="405"/>
      <c r="AB526" s="401"/>
      <c r="AC526" s="403"/>
      <c r="AD526" s="404"/>
      <c r="AE526" s="405"/>
      <c r="AF526" s="401"/>
      <c r="AG526" s="292"/>
      <c r="AH526" s="292"/>
      <c r="AI526" s="292"/>
      <c r="AJ526" s="292"/>
      <c r="AK526" s="395"/>
      <c r="AL526" s="317"/>
      <c r="AM526" s="394"/>
      <c r="AN526" s="396"/>
      <c r="AO526" s="200"/>
      <c r="AP526" s="200"/>
    </row>
    <row r="527">
      <c r="A527" s="395"/>
      <c r="B527" s="317"/>
      <c r="C527" s="394"/>
      <c r="D527" s="396"/>
      <c r="E527" s="395"/>
      <c r="F527" s="317"/>
      <c r="G527" s="394"/>
      <c r="H527" s="396"/>
      <c r="I527" s="395"/>
      <c r="J527" s="317"/>
      <c r="K527" s="394"/>
      <c r="L527" s="396"/>
      <c r="M527" s="395"/>
      <c r="N527" s="317"/>
      <c r="O527" s="394"/>
      <c r="P527" s="396"/>
      <c r="Q527" s="403"/>
      <c r="R527" s="404"/>
      <c r="S527" s="405"/>
      <c r="T527" s="401"/>
      <c r="U527" s="403"/>
      <c r="V527" s="404"/>
      <c r="W527" s="405"/>
      <c r="X527" s="401"/>
      <c r="Y527" s="403"/>
      <c r="Z527" s="404"/>
      <c r="AA527" s="405"/>
      <c r="AB527" s="401"/>
      <c r="AC527" s="403"/>
      <c r="AD527" s="404"/>
      <c r="AE527" s="405"/>
      <c r="AF527" s="401"/>
      <c r="AG527" s="292"/>
      <c r="AH527" s="292"/>
      <c r="AI527" s="292"/>
      <c r="AJ527" s="292"/>
      <c r="AK527" s="395"/>
      <c r="AL527" s="317"/>
      <c r="AM527" s="394"/>
      <c r="AN527" s="396"/>
      <c r="AO527" s="200"/>
      <c r="AP527" s="200"/>
    </row>
    <row r="528">
      <c r="A528" s="395"/>
      <c r="B528" s="317"/>
      <c r="C528" s="394"/>
      <c r="D528" s="396"/>
      <c r="E528" s="395"/>
      <c r="F528" s="317"/>
      <c r="G528" s="394"/>
      <c r="H528" s="396"/>
      <c r="I528" s="395"/>
      <c r="J528" s="317"/>
      <c r="K528" s="394"/>
      <c r="L528" s="396"/>
      <c r="M528" s="395"/>
      <c r="N528" s="317"/>
      <c r="O528" s="394"/>
      <c r="P528" s="396"/>
      <c r="Q528" s="403"/>
      <c r="R528" s="404"/>
      <c r="S528" s="405"/>
      <c r="T528" s="401"/>
      <c r="U528" s="403"/>
      <c r="V528" s="404"/>
      <c r="W528" s="405"/>
      <c r="X528" s="401"/>
      <c r="Y528" s="403"/>
      <c r="Z528" s="404"/>
      <c r="AA528" s="405"/>
      <c r="AB528" s="401"/>
      <c r="AC528" s="403"/>
      <c r="AD528" s="404"/>
      <c r="AE528" s="405"/>
      <c r="AF528" s="401"/>
      <c r="AG528" s="292"/>
      <c r="AH528" s="292"/>
      <c r="AI528" s="292"/>
      <c r="AJ528" s="292"/>
      <c r="AK528" s="395"/>
      <c r="AL528" s="317"/>
      <c r="AM528" s="394"/>
      <c r="AN528" s="396"/>
      <c r="AO528" s="200"/>
      <c r="AP528" s="200"/>
    </row>
    <row r="529">
      <c r="A529" s="395"/>
      <c r="B529" s="317"/>
      <c r="C529" s="394"/>
      <c r="D529" s="396"/>
      <c r="E529" s="395"/>
      <c r="F529" s="317"/>
      <c r="G529" s="394"/>
      <c r="H529" s="396"/>
      <c r="I529" s="395"/>
      <c r="J529" s="317"/>
      <c r="K529" s="394"/>
      <c r="L529" s="396"/>
      <c r="M529" s="395"/>
      <c r="N529" s="317"/>
      <c r="O529" s="394"/>
      <c r="P529" s="396"/>
      <c r="Q529" s="403"/>
      <c r="R529" s="404"/>
      <c r="S529" s="405"/>
      <c r="T529" s="401"/>
      <c r="U529" s="403"/>
      <c r="V529" s="404"/>
      <c r="W529" s="405"/>
      <c r="X529" s="401"/>
      <c r="Y529" s="403"/>
      <c r="Z529" s="404"/>
      <c r="AA529" s="405"/>
      <c r="AB529" s="401"/>
      <c r="AC529" s="403"/>
      <c r="AD529" s="404"/>
      <c r="AE529" s="405"/>
      <c r="AF529" s="401"/>
      <c r="AG529" s="292"/>
      <c r="AH529" s="292"/>
      <c r="AI529" s="292"/>
      <c r="AJ529" s="292"/>
      <c r="AK529" s="395"/>
      <c r="AL529" s="317"/>
      <c r="AM529" s="394"/>
      <c r="AN529" s="396"/>
      <c r="AO529" s="200"/>
      <c r="AP529" s="200"/>
    </row>
    <row r="530">
      <c r="A530" s="395"/>
      <c r="B530" s="317"/>
      <c r="C530" s="394"/>
      <c r="D530" s="396"/>
      <c r="E530" s="395"/>
      <c r="F530" s="317"/>
      <c r="G530" s="394"/>
      <c r="H530" s="396"/>
      <c r="I530" s="395"/>
      <c r="J530" s="317"/>
      <c r="K530" s="394"/>
      <c r="L530" s="396"/>
      <c r="M530" s="395"/>
      <c r="N530" s="317"/>
      <c r="O530" s="394"/>
      <c r="P530" s="396"/>
      <c r="Q530" s="403"/>
      <c r="R530" s="404"/>
      <c r="S530" s="405"/>
      <c r="T530" s="401"/>
      <c r="U530" s="403"/>
      <c r="V530" s="404"/>
      <c r="W530" s="405"/>
      <c r="X530" s="401"/>
      <c r="Y530" s="403"/>
      <c r="Z530" s="404"/>
      <c r="AA530" s="405"/>
      <c r="AB530" s="401"/>
      <c r="AC530" s="403"/>
      <c r="AD530" s="404"/>
      <c r="AE530" s="405"/>
      <c r="AF530" s="401"/>
      <c r="AG530" s="292"/>
      <c r="AH530" s="292"/>
      <c r="AI530" s="292"/>
      <c r="AJ530" s="292"/>
      <c r="AK530" s="395"/>
      <c r="AL530" s="317"/>
      <c r="AM530" s="394"/>
      <c r="AN530" s="396"/>
      <c r="AO530" s="200"/>
      <c r="AP530" s="200"/>
    </row>
    <row r="531">
      <c r="A531" s="395"/>
      <c r="B531" s="317"/>
      <c r="C531" s="394"/>
      <c r="D531" s="396"/>
      <c r="E531" s="395"/>
      <c r="F531" s="317"/>
      <c r="G531" s="394"/>
      <c r="H531" s="396"/>
      <c r="I531" s="395"/>
      <c r="J531" s="317"/>
      <c r="K531" s="394"/>
      <c r="L531" s="396"/>
      <c r="M531" s="395"/>
      <c r="N531" s="317"/>
      <c r="O531" s="394"/>
      <c r="P531" s="396"/>
      <c r="Q531" s="403"/>
      <c r="R531" s="404"/>
      <c r="S531" s="405"/>
      <c r="T531" s="401"/>
      <c r="U531" s="403"/>
      <c r="V531" s="404"/>
      <c r="W531" s="405"/>
      <c r="X531" s="401"/>
      <c r="Y531" s="403"/>
      <c r="Z531" s="404"/>
      <c r="AA531" s="405"/>
      <c r="AB531" s="401"/>
      <c r="AC531" s="403"/>
      <c r="AD531" s="404"/>
      <c r="AE531" s="405"/>
      <c r="AF531" s="401"/>
      <c r="AG531" s="292"/>
      <c r="AH531" s="292"/>
      <c r="AI531" s="292"/>
      <c r="AJ531" s="292"/>
      <c r="AK531" s="395"/>
      <c r="AL531" s="317"/>
      <c r="AM531" s="394"/>
      <c r="AN531" s="396"/>
      <c r="AO531" s="200"/>
      <c r="AP531" s="200"/>
    </row>
    <row r="532">
      <c r="A532" s="395"/>
      <c r="B532" s="317"/>
      <c r="C532" s="394"/>
      <c r="D532" s="396"/>
      <c r="E532" s="395"/>
      <c r="F532" s="317"/>
      <c r="G532" s="394"/>
      <c r="H532" s="396"/>
      <c r="I532" s="395"/>
      <c r="J532" s="317"/>
      <c r="K532" s="394"/>
      <c r="L532" s="396"/>
      <c r="M532" s="395"/>
      <c r="N532" s="317"/>
      <c r="O532" s="394"/>
      <c r="P532" s="396"/>
      <c r="Q532" s="403"/>
      <c r="R532" s="404"/>
      <c r="S532" s="405"/>
      <c r="T532" s="401"/>
      <c r="U532" s="403"/>
      <c r="V532" s="404"/>
      <c r="W532" s="405"/>
      <c r="X532" s="401"/>
      <c r="Y532" s="403"/>
      <c r="Z532" s="404"/>
      <c r="AA532" s="405"/>
      <c r="AB532" s="401"/>
      <c r="AC532" s="403"/>
      <c r="AD532" s="404"/>
      <c r="AE532" s="405"/>
      <c r="AF532" s="401"/>
      <c r="AG532" s="292"/>
      <c r="AH532" s="292"/>
      <c r="AI532" s="292"/>
      <c r="AJ532" s="292"/>
      <c r="AK532" s="395"/>
      <c r="AL532" s="317"/>
      <c r="AM532" s="394"/>
      <c r="AN532" s="396"/>
      <c r="AO532" s="200"/>
      <c r="AP532" s="200"/>
    </row>
    <row r="533">
      <c r="A533" s="395"/>
      <c r="B533" s="317"/>
      <c r="C533" s="394"/>
      <c r="D533" s="396"/>
      <c r="E533" s="395"/>
      <c r="F533" s="317"/>
      <c r="G533" s="394"/>
      <c r="H533" s="396"/>
      <c r="I533" s="395"/>
      <c r="J533" s="317"/>
      <c r="K533" s="394"/>
      <c r="L533" s="396"/>
      <c r="M533" s="395"/>
      <c r="N533" s="317"/>
      <c r="O533" s="394"/>
      <c r="P533" s="396"/>
      <c r="Q533" s="403"/>
      <c r="R533" s="404"/>
      <c r="S533" s="405"/>
      <c r="T533" s="401"/>
      <c r="U533" s="403"/>
      <c r="V533" s="404"/>
      <c r="W533" s="405"/>
      <c r="X533" s="401"/>
      <c r="Y533" s="403"/>
      <c r="Z533" s="404"/>
      <c r="AA533" s="405"/>
      <c r="AB533" s="401"/>
      <c r="AC533" s="403"/>
      <c r="AD533" s="404"/>
      <c r="AE533" s="405"/>
      <c r="AF533" s="401"/>
      <c r="AG533" s="292"/>
      <c r="AH533" s="292"/>
      <c r="AI533" s="292"/>
      <c r="AJ533" s="292"/>
      <c r="AK533" s="395"/>
      <c r="AL533" s="317"/>
      <c r="AM533" s="394"/>
      <c r="AN533" s="396"/>
      <c r="AO533" s="200"/>
      <c r="AP533" s="200"/>
    </row>
    <row r="534">
      <c r="A534" s="395"/>
      <c r="B534" s="317"/>
      <c r="C534" s="394"/>
      <c r="D534" s="396"/>
      <c r="E534" s="395"/>
      <c r="F534" s="317"/>
      <c r="G534" s="394"/>
      <c r="H534" s="396"/>
      <c r="I534" s="395"/>
      <c r="J534" s="317"/>
      <c r="K534" s="394"/>
      <c r="L534" s="396"/>
      <c r="M534" s="395"/>
      <c r="N534" s="317"/>
      <c r="O534" s="394"/>
      <c r="P534" s="396"/>
      <c r="Q534" s="403"/>
      <c r="R534" s="404"/>
      <c r="S534" s="405"/>
      <c r="T534" s="401"/>
      <c r="U534" s="403"/>
      <c r="V534" s="404"/>
      <c r="W534" s="405"/>
      <c r="X534" s="401"/>
      <c r="Y534" s="403"/>
      <c r="Z534" s="404"/>
      <c r="AA534" s="405"/>
      <c r="AB534" s="401"/>
      <c r="AC534" s="403"/>
      <c r="AD534" s="404"/>
      <c r="AE534" s="405"/>
      <c r="AF534" s="401"/>
      <c r="AG534" s="292"/>
      <c r="AH534" s="292"/>
      <c r="AI534" s="292"/>
      <c r="AJ534" s="292"/>
      <c r="AK534" s="395"/>
      <c r="AL534" s="317"/>
      <c r="AM534" s="394"/>
      <c r="AN534" s="396"/>
      <c r="AO534" s="200"/>
      <c r="AP534" s="200"/>
    </row>
    <row r="535">
      <c r="A535" s="395"/>
      <c r="B535" s="317"/>
      <c r="C535" s="394"/>
      <c r="D535" s="396"/>
      <c r="E535" s="395"/>
      <c r="F535" s="317"/>
      <c r="G535" s="394"/>
      <c r="H535" s="396"/>
      <c r="I535" s="395"/>
      <c r="J535" s="317"/>
      <c r="K535" s="394"/>
      <c r="L535" s="396"/>
      <c r="M535" s="395"/>
      <c r="N535" s="317"/>
      <c r="O535" s="394"/>
      <c r="P535" s="396"/>
      <c r="Q535" s="403"/>
      <c r="R535" s="404"/>
      <c r="S535" s="405"/>
      <c r="T535" s="401"/>
      <c r="U535" s="403"/>
      <c r="V535" s="404"/>
      <c r="W535" s="405"/>
      <c r="X535" s="401"/>
      <c r="Y535" s="403"/>
      <c r="Z535" s="404"/>
      <c r="AA535" s="405"/>
      <c r="AB535" s="401"/>
      <c r="AC535" s="403"/>
      <c r="AD535" s="404"/>
      <c r="AE535" s="405"/>
      <c r="AF535" s="401"/>
      <c r="AG535" s="292"/>
      <c r="AH535" s="292"/>
      <c r="AI535" s="292"/>
      <c r="AJ535" s="292"/>
      <c r="AK535" s="395"/>
      <c r="AL535" s="317"/>
      <c r="AM535" s="394"/>
      <c r="AN535" s="396"/>
      <c r="AO535" s="200"/>
      <c r="AP535" s="200"/>
    </row>
    <row r="536">
      <c r="A536" s="395"/>
      <c r="B536" s="317"/>
      <c r="C536" s="394"/>
      <c r="D536" s="396"/>
      <c r="E536" s="395"/>
      <c r="F536" s="317"/>
      <c r="G536" s="394"/>
      <c r="H536" s="396"/>
      <c r="I536" s="395"/>
      <c r="J536" s="317"/>
      <c r="K536" s="394"/>
      <c r="L536" s="396"/>
      <c r="M536" s="395"/>
      <c r="N536" s="317"/>
      <c r="O536" s="394"/>
      <c r="P536" s="396"/>
      <c r="Q536" s="403"/>
      <c r="R536" s="404"/>
      <c r="S536" s="405"/>
      <c r="T536" s="401"/>
      <c r="U536" s="403"/>
      <c r="V536" s="404"/>
      <c r="W536" s="405"/>
      <c r="X536" s="401"/>
      <c r="Y536" s="403"/>
      <c r="Z536" s="404"/>
      <c r="AA536" s="405"/>
      <c r="AB536" s="401"/>
      <c r="AC536" s="403"/>
      <c r="AD536" s="404"/>
      <c r="AE536" s="405"/>
      <c r="AF536" s="401"/>
      <c r="AG536" s="292"/>
      <c r="AH536" s="292"/>
      <c r="AI536" s="292"/>
      <c r="AJ536" s="292"/>
      <c r="AK536" s="395"/>
      <c r="AL536" s="317"/>
      <c r="AM536" s="394"/>
      <c r="AN536" s="396"/>
      <c r="AO536" s="200"/>
      <c r="AP536" s="200"/>
    </row>
    <row r="537">
      <c r="A537" s="395"/>
      <c r="B537" s="317"/>
      <c r="C537" s="394"/>
      <c r="D537" s="396"/>
      <c r="E537" s="395"/>
      <c r="F537" s="317"/>
      <c r="G537" s="394"/>
      <c r="H537" s="396"/>
      <c r="I537" s="395"/>
      <c r="J537" s="317"/>
      <c r="K537" s="394"/>
      <c r="L537" s="396"/>
      <c r="M537" s="395"/>
      <c r="N537" s="317"/>
      <c r="O537" s="394"/>
      <c r="P537" s="396"/>
      <c r="Q537" s="403"/>
      <c r="R537" s="404"/>
      <c r="S537" s="405"/>
      <c r="T537" s="401"/>
      <c r="U537" s="403"/>
      <c r="V537" s="404"/>
      <c r="W537" s="405"/>
      <c r="X537" s="401"/>
      <c r="Y537" s="403"/>
      <c r="Z537" s="404"/>
      <c r="AA537" s="405"/>
      <c r="AB537" s="401"/>
      <c r="AC537" s="403"/>
      <c r="AD537" s="404"/>
      <c r="AE537" s="405"/>
      <c r="AF537" s="401"/>
      <c r="AG537" s="292"/>
      <c r="AH537" s="292"/>
      <c r="AI537" s="292"/>
      <c r="AJ537" s="292"/>
      <c r="AK537" s="395"/>
      <c r="AL537" s="317"/>
      <c r="AM537" s="394"/>
      <c r="AN537" s="396"/>
      <c r="AO537" s="200"/>
      <c r="AP537" s="200"/>
    </row>
    <row r="538">
      <c r="A538" s="395"/>
      <c r="B538" s="317"/>
      <c r="C538" s="394"/>
      <c r="D538" s="396"/>
      <c r="E538" s="395"/>
      <c r="F538" s="317"/>
      <c r="G538" s="394"/>
      <c r="H538" s="396"/>
      <c r="I538" s="395"/>
      <c r="J538" s="317"/>
      <c r="K538" s="394"/>
      <c r="L538" s="396"/>
      <c r="M538" s="395"/>
      <c r="N538" s="317"/>
      <c r="O538" s="394"/>
      <c r="P538" s="396"/>
      <c r="Q538" s="403"/>
      <c r="R538" s="404"/>
      <c r="S538" s="405"/>
      <c r="T538" s="401"/>
      <c r="U538" s="403"/>
      <c r="V538" s="404"/>
      <c r="W538" s="405"/>
      <c r="X538" s="401"/>
      <c r="Y538" s="403"/>
      <c r="Z538" s="404"/>
      <c r="AA538" s="405"/>
      <c r="AB538" s="401"/>
      <c r="AC538" s="403"/>
      <c r="AD538" s="404"/>
      <c r="AE538" s="405"/>
      <c r="AF538" s="401"/>
      <c r="AG538" s="292"/>
      <c r="AH538" s="292"/>
      <c r="AI538" s="292"/>
      <c r="AJ538" s="292"/>
      <c r="AK538" s="395"/>
      <c r="AL538" s="317"/>
      <c r="AM538" s="394"/>
      <c r="AN538" s="396"/>
      <c r="AO538" s="200"/>
      <c r="AP538" s="200"/>
    </row>
    <row r="539">
      <c r="A539" s="395"/>
      <c r="B539" s="317"/>
      <c r="C539" s="394"/>
      <c r="D539" s="396"/>
      <c r="E539" s="395"/>
      <c r="F539" s="317"/>
      <c r="G539" s="394"/>
      <c r="H539" s="396"/>
      <c r="I539" s="395"/>
      <c r="J539" s="317"/>
      <c r="K539" s="394"/>
      <c r="L539" s="396"/>
      <c r="M539" s="395"/>
      <c r="N539" s="317"/>
      <c r="O539" s="394"/>
      <c r="P539" s="396"/>
      <c r="Q539" s="403"/>
      <c r="R539" s="404"/>
      <c r="S539" s="405"/>
      <c r="T539" s="401"/>
      <c r="U539" s="403"/>
      <c r="V539" s="404"/>
      <c r="W539" s="405"/>
      <c r="X539" s="401"/>
      <c r="Y539" s="403"/>
      <c r="Z539" s="404"/>
      <c r="AA539" s="405"/>
      <c r="AB539" s="401"/>
      <c r="AC539" s="403"/>
      <c r="AD539" s="404"/>
      <c r="AE539" s="405"/>
      <c r="AF539" s="401"/>
      <c r="AG539" s="292"/>
      <c r="AH539" s="292"/>
      <c r="AI539" s="292"/>
      <c r="AJ539" s="292"/>
      <c r="AK539" s="395"/>
      <c r="AL539" s="317"/>
      <c r="AM539" s="394"/>
      <c r="AN539" s="396"/>
      <c r="AO539" s="200"/>
      <c r="AP539" s="200"/>
    </row>
    <row r="540">
      <c r="A540" s="395"/>
      <c r="B540" s="317"/>
      <c r="C540" s="394"/>
      <c r="D540" s="396"/>
      <c r="E540" s="395"/>
      <c r="F540" s="317"/>
      <c r="G540" s="394"/>
      <c r="H540" s="396"/>
      <c r="I540" s="395"/>
      <c r="J540" s="317"/>
      <c r="K540" s="394"/>
      <c r="L540" s="396"/>
      <c r="M540" s="395"/>
      <c r="N540" s="317"/>
      <c r="O540" s="394"/>
      <c r="P540" s="396"/>
      <c r="Q540" s="403"/>
      <c r="R540" s="404"/>
      <c r="S540" s="405"/>
      <c r="T540" s="401"/>
      <c r="U540" s="403"/>
      <c r="V540" s="404"/>
      <c r="W540" s="405"/>
      <c r="X540" s="401"/>
      <c r="Y540" s="403"/>
      <c r="Z540" s="404"/>
      <c r="AA540" s="405"/>
      <c r="AB540" s="401"/>
      <c r="AC540" s="403"/>
      <c r="AD540" s="404"/>
      <c r="AE540" s="405"/>
      <c r="AF540" s="401"/>
      <c r="AG540" s="292"/>
      <c r="AH540" s="292"/>
      <c r="AI540" s="292"/>
      <c r="AJ540" s="292"/>
      <c r="AK540" s="395"/>
      <c r="AL540" s="317"/>
      <c r="AM540" s="394"/>
      <c r="AN540" s="396"/>
      <c r="AO540" s="200"/>
      <c r="AP540" s="200"/>
    </row>
    <row r="541">
      <c r="A541" s="395"/>
      <c r="B541" s="317"/>
      <c r="C541" s="394"/>
      <c r="D541" s="396"/>
      <c r="E541" s="395"/>
      <c r="F541" s="317"/>
      <c r="G541" s="394"/>
      <c r="H541" s="396"/>
      <c r="I541" s="395"/>
      <c r="J541" s="317"/>
      <c r="K541" s="394"/>
      <c r="L541" s="396"/>
      <c r="M541" s="395"/>
      <c r="N541" s="317"/>
      <c r="O541" s="394"/>
      <c r="P541" s="396"/>
      <c r="Q541" s="403"/>
      <c r="R541" s="404"/>
      <c r="S541" s="405"/>
      <c r="T541" s="401"/>
      <c r="U541" s="403"/>
      <c r="V541" s="404"/>
      <c r="W541" s="405"/>
      <c r="X541" s="401"/>
      <c r="Y541" s="403"/>
      <c r="Z541" s="404"/>
      <c r="AA541" s="405"/>
      <c r="AB541" s="401"/>
      <c r="AC541" s="403"/>
      <c r="AD541" s="404"/>
      <c r="AE541" s="405"/>
      <c r="AF541" s="401"/>
      <c r="AG541" s="292"/>
      <c r="AH541" s="292"/>
      <c r="AI541" s="292"/>
      <c r="AJ541" s="292"/>
      <c r="AK541" s="395"/>
      <c r="AL541" s="317"/>
      <c r="AM541" s="394"/>
      <c r="AN541" s="396"/>
      <c r="AO541" s="200"/>
      <c r="AP541" s="200"/>
    </row>
    <row r="542">
      <c r="A542" s="395"/>
      <c r="B542" s="317"/>
      <c r="C542" s="394"/>
      <c r="D542" s="396"/>
      <c r="E542" s="395"/>
      <c r="F542" s="317"/>
      <c r="G542" s="394"/>
      <c r="H542" s="396"/>
      <c r="I542" s="395"/>
      <c r="J542" s="317"/>
      <c r="K542" s="394"/>
      <c r="L542" s="396"/>
      <c r="M542" s="395"/>
      <c r="N542" s="317"/>
      <c r="O542" s="394"/>
      <c r="P542" s="396"/>
      <c r="Q542" s="403"/>
      <c r="R542" s="404"/>
      <c r="S542" s="405"/>
      <c r="T542" s="401"/>
      <c r="U542" s="403"/>
      <c r="V542" s="404"/>
      <c r="W542" s="405"/>
      <c r="X542" s="401"/>
      <c r="Y542" s="403"/>
      <c r="Z542" s="404"/>
      <c r="AA542" s="405"/>
      <c r="AB542" s="401"/>
      <c r="AC542" s="403"/>
      <c r="AD542" s="404"/>
      <c r="AE542" s="405"/>
      <c r="AF542" s="401"/>
      <c r="AG542" s="292"/>
      <c r="AH542" s="292"/>
      <c r="AI542" s="292"/>
      <c r="AJ542" s="292"/>
      <c r="AK542" s="395"/>
      <c r="AL542" s="317"/>
      <c r="AM542" s="394"/>
      <c r="AN542" s="396"/>
      <c r="AO542" s="200"/>
      <c r="AP542" s="200"/>
    </row>
    <row r="543">
      <c r="A543" s="395"/>
      <c r="B543" s="317"/>
      <c r="C543" s="394"/>
      <c r="D543" s="396"/>
      <c r="E543" s="395"/>
      <c r="F543" s="317"/>
      <c r="G543" s="394"/>
      <c r="H543" s="396"/>
      <c r="I543" s="395"/>
      <c r="J543" s="317"/>
      <c r="K543" s="394"/>
      <c r="L543" s="396"/>
      <c r="M543" s="395"/>
      <c r="N543" s="317"/>
      <c r="O543" s="394"/>
      <c r="P543" s="396"/>
      <c r="Q543" s="403"/>
      <c r="R543" s="404"/>
      <c r="S543" s="405"/>
      <c r="T543" s="401"/>
      <c r="U543" s="403"/>
      <c r="V543" s="404"/>
      <c r="W543" s="405"/>
      <c r="X543" s="401"/>
      <c r="Y543" s="403"/>
      <c r="Z543" s="404"/>
      <c r="AA543" s="405"/>
      <c r="AB543" s="401"/>
      <c r="AC543" s="403"/>
      <c r="AD543" s="404"/>
      <c r="AE543" s="405"/>
      <c r="AF543" s="401"/>
      <c r="AG543" s="292"/>
      <c r="AH543" s="292"/>
      <c r="AI543" s="292"/>
      <c r="AJ543" s="292"/>
      <c r="AK543" s="395"/>
      <c r="AL543" s="317"/>
      <c r="AM543" s="394"/>
      <c r="AN543" s="396"/>
      <c r="AO543" s="200"/>
      <c r="AP543" s="200"/>
    </row>
    <row r="544">
      <c r="A544" s="395"/>
      <c r="B544" s="317"/>
      <c r="C544" s="394"/>
      <c r="D544" s="396"/>
      <c r="E544" s="395"/>
      <c r="F544" s="317"/>
      <c r="G544" s="394"/>
      <c r="H544" s="396"/>
      <c r="I544" s="395"/>
      <c r="J544" s="317"/>
      <c r="K544" s="394"/>
      <c r="L544" s="396"/>
      <c r="M544" s="395"/>
      <c r="N544" s="317"/>
      <c r="O544" s="394"/>
      <c r="P544" s="396"/>
      <c r="Q544" s="403"/>
      <c r="R544" s="404"/>
      <c r="S544" s="405"/>
      <c r="T544" s="401"/>
      <c r="U544" s="403"/>
      <c r="V544" s="404"/>
      <c r="W544" s="405"/>
      <c r="X544" s="401"/>
      <c r="Y544" s="403"/>
      <c r="Z544" s="404"/>
      <c r="AA544" s="405"/>
      <c r="AB544" s="401"/>
      <c r="AC544" s="403"/>
      <c r="AD544" s="404"/>
      <c r="AE544" s="405"/>
      <c r="AF544" s="401"/>
      <c r="AG544" s="292"/>
      <c r="AH544" s="292"/>
      <c r="AI544" s="292"/>
      <c r="AJ544" s="292"/>
      <c r="AK544" s="395"/>
      <c r="AL544" s="317"/>
      <c r="AM544" s="394"/>
      <c r="AN544" s="396"/>
      <c r="AO544" s="200"/>
      <c r="AP544" s="200"/>
    </row>
    <row r="545">
      <c r="A545" s="395"/>
      <c r="B545" s="317"/>
      <c r="C545" s="394"/>
      <c r="D545" s="396"/>
      <c r="E545" s="395"/>
      <c r="F545" s="317"/>
      <c r="G545" s="394"/>
      <c r="H545" s="396"/>
      <c r="I545" s="395"/>
      <c r="J545" s="317"/>
      <c r="K545" s="394"/>
      <c r="L545" s="396"/>
      <c r="M545" s="395"/>
      <c r="N545" s="317"/>
      <c r="O545" s="394"/>
      <c r="P545" s="396"/>
      <c r="Q545" s="403"/>
      <c r="R545" s="404"/>
      <c r="S545" s="405"/>
      <c r="T545" s="401"/>
      <c r="U545" s="403"/>
      <c r="V545" s="404"/>
      <c r="W545" s="405"/>
      <c r="X545" s="401"/>
      <c r="Y545" s="403"/>
      <c r="Z545" s="404"/>
      <c r="AA545" s="405"/>
      <c r="AB545" s="401"/>
      <c r="AC545" s="403"/>
      <c r="AD545" s="404"/>
      <c r="AE545" s="405"/>
      <c r="AF545" s="401"/>
      <c r="AG545" s="292"/>
      <c r="AH545" s="292"/>
      <c r="AI545" s="292"/>
      <c r="AJ545" s="292"/>
      <c r="AK545" s="395"/>
      <c r="AL545" s="317"/>
      <c r="AM545" s="394"/>
      <c r="AN545" s="396"/>
      <c r="AO545" s="200"/>
      <c r="AP545" s="200"/>
    </row>
    <row r="546">
      <c r="A546" s="395"/>
      <c r="B546" s="317"/>
      <c r="C546" s="394"/>
      <c r="D546" s="396"/>
      <c r="E546" s="395"/>
      <c r="F546" s="317"/>
      <c r="G546" s="394"/>
      <c r="H546" s="396"/>
      <c r="I546" s="395"/>
      <c r="J546" s="317"/>
      <c r="K546" s="394"/>
      <c r="L546" s="396"/>
      <c r="M546" s="395"/>
      <c r="N546" s="317"/>
      <c r="O546" s="394"/>
      <c r="P546" s="396"/>
      <c r="Q546" s="403"/>
      <c r="R546" s="404"/>
      <c r="S546" s="405"/>
      <c r="T546" s="401"/>
      <c r="U546" s="403"/>
      <c r="V546" s="404"/>
      <c r="W546" s="405"/>
      <c r="X546" s="401"/>
      <c r="Y546" s="403"/>
      <c r="Z546" s="404"/>
      <c r="AA546" s="405"/>
      <c r="AB546" s="401"/>
      <c r="AC546" s="403"/>
      <c r="AD546" s="404"/>
      <c r="AE546" s="405"/>
      <c r="AF546" s="401"/>
      <c r="AG546" s="292"/>
      <c r="AH546" s="292"/>
      <c r="AI546" s="292"/>
      <c r="AJ546" s="292"/>
      <c r="AK546" s="395"/>
      <c r="AL546" s="317"/>
      <c r="AM546" s="394"/>
      <c r="AN546" s="396"/>
      <c r="AO546" s="200"/>
      <c r="AP546" s="200"/>
    </row>
    <row r="547">
      <c r="A547" s="395"/>
      <c r="B547" s="317"/>
      <c r="C547" s="394"/>
      <c r="D547" s="396"/>
      <c r="E547" s="395"/>
      <c r="F547" s="317"/>
      <c r="G547" s="394"/>
      <c r="H547" s="396"/>
      <c r="I547" s="395"/>
      <c r="J547" s="317"/>
      <c r="K547" s="394"/>
      <c r="L547" s="396"/>
      <c r="M547" s="395"/>
      <c r="N547" s="317"/>
      <c r="O547" s="394"/>
      <c r="P547" s="396"/>
      <c r="Q547" s="403"/>
      <c r="R547" s="404"/>
      <c r="S547" s="405"/>
      <c r="T547" s="401"/>
      <c r="U547" s="403"/>
      <c r="V547" s="404"/>
      <c r="W547" s="405"/>
      <c r="X547" s="401"/>
      <c r="Y547" s="403"/>
      <c r="Z547" s="404"/>
      <c r="AA547" s="405"/>
      <c r="AB547" s="401"/>
      <c r="AC547" s="403"/>
      <c r="AD547" s="404"/>
      <c r="AE547" s="405"/>
      <c r="AF547" s="401"/>
      <c r="AG547" s="292"/>
      <c r="AH547" s="292"/>
      <c r="AI547" s="292"/>
      <c r="AJ547" s="292"/>
      <c r="AK547" s="395"/>
      <c r="AL547" s="317"/>
      <c r="AM547" s="394"/>
      <c r="AN547" s="396"/>
      <c r="AO547" s="200"/>
      <c r="AP547" s="200"/>
    </row>
    <row r="548">
      <c r="A548" s="395"/>
      <c r="B548" s="317"/>
      <c r="C548" s="394"/>
      <c r="D548" s="396"/>
      <c r="E548" s="395"/>
      <c r="F548" s="317"/>
      <c r="G548" s="394"/>
      <c r="H548" s="396"/>
      <c r="I548" s="395"/>
      <c r="J548" s="317"/>
      <c r="K548" s="394"/>
      <c r="L548" s="396"/>
      <c r="M548" s="395"/>
      <c r="N548" s="317"/>
      <c r="O548" s="394"/>
      <c r="P548" s="396"/>
      <c r="Q548" s="403"/>
      <c r="R548" s="404"/>
      <c r="S548" s="405"/>
      <c r="T548" s="401"/>
      <c r="U548" s="403"/>
      <c r="V548" s="404"/>
      <c r="W548" s="405"/>
      <c r="X548" s="401"/>
      <c r="Y548" s="403"/>
      <c r="Z548" s="404"/>
      <c r="AA548" s="405"/>
      <c r="AB548" s="401"/>
      <c r="AC548" s="403"/>
      <c r="AD548" s="404"/>
      <c r="AE548" s="405"/>
      <c r="AF548" s="401"/>
      <c r="AG548" s="292"/>
      <c r="AH548" s="292"/>
      <c r="AI548" s="292"/>
      <c r="AJ548" s="292"/>
      <c r="AK548" s="395"/>
      <c r="AL548" s="317"/>
      <c r="AM548" s="394"/>
      <c r="AN548" s="396"/>
      <c r="AO548" s="200"/>
      <c r="AP548" s="200"/>
    </row>
    <row r="549">
      <c r="A549" s="395"/>
      <c r="B549" s="317"/>
      <c r="C549" s="394"/>
      <c r="D549" s="396"/>
      <c r="E549" s="395"/>
      <c r="F549" s="317"/>
      <c r="G549" s="394"/>
      <c r="H549" s="396"/>
      <c r="I549" s="395"/>
      <c r="J549" s="317"/>
      <c r="K549" s="394"/>
      <c r="L549" s="396"/>
      <c r="M549" s="395"/>
      <c r="N549" s="317"/>
      <c r="O549" s="394"/>
      <c r="P549" s="396"/>
      <c r="Q549" s="403"/>
      <c r="R549" s="404"/>
      <c r="S549" s="405"/>
      <c r="T549" s="401"/>
      <c r="U549" s="403"/>
      <c r="V549" s="404"/>
      <c r="W549" s="405"/>
      <c r="X549" s="401"/>
      <c r="Y549" s="403"/>
      <c r="Z549" s="404"/>
      <c r="AA549" s="405"/>
      <c r="AB549" s="401"/>
      <c r="AC549" s="403"/>
      <c r="AD549" s="404"/>
      <c r="AE549" s="405"/>
      <c r="AF549" s="401"/>
      <c r="AG549" s="292"/>
      <c r="AH549" s="292"/>
      <c r="AI549" s="292"/>
      <c r="AJ549" s="292"/>
      <c r="AK549" s="395"/>
      <c r="AL549" s="317"/>
      <c r="AM549" s="394"/>
      <c r="AN549" s="396"/>
      <c r="AO549" s="200"/>
      <c r="AP549" s="200"/>
    </row>
    <row r="550">
      <c r="A550" s="395"/>
      <c r="B550" s="317"/>
      <c r="C550" s="394"/>
      <c r="D550" s="396"/>
      <c r="E550" s="395"/>
      <c r="F550" s="317"/>
      <c r="G550" s="394"/>
      <c r="H550" s="396"/>
      <c r="I550" s="395"/>
      <c r="J550" s="317"/>
      <c r="K550" s="394"/>
      <c r="L550" s="396"/>
      <c r="M550" s="395"/>
      <c r="N550" s="317"/>
      <c r="O550" s="394"/>
      <c r="P550" s="396"/>
      <c r="Q550" s="403"/>
      <c r="R550" s="404"/>
      <c r="S550" s="405"/>
      <c r="T550" s="401"/>
      <c r="U550" s="403"/>
      <c r="V550" s="404"/>
      <c r="W550" s="405"/>
      <c r="X550" s="401"/>
      <c r="Y550" s="403"/>
      <c r="Z550" s="404"/>
      <c r="AA550" s="405"/>
      <c r="AB550" s="401"/>
      <c r="AC550" s="403"/>
      <c r="AD550" s="404"/>
      <c r="AE550" s="405"/>
      <c r="AF550" s="401"/>
      <c r="AG550" s="292"/>
      <c r="AH550" s="292"/>
      <c r="AI550" s="292"/>
      <c r="AJ550" s="292"/>
      <c r="AK550" s="395"/>
      <c r="AL550" s="317"/>
      <c r="AM550" s="394"/>
      <c r="AN550" s="396"/>
      <c r="AO550" s="200"/>
      <c r="AP550" s="200"/>
    </row>
    <row r="551">
      <c r="A551" s="395"/>
      <c r="B551" s="317"/>
      <c r="C551" s="394"/>
      <c r="D551" s="396"/>
      <c r="E551" s="395"/>
      <c r="F551" s="317"/>
      <c r="G551" s="394"/>
      <c r="H551" s="396"/>
      <c r="I551" s="395"/>
      <c r="J551" s="317"/>
      <c r="K551" s="394"/>
      <c r="L551" s="396"/>
      <c r="M551" s="395"/>
      <c r="N551" s="317"/>
      <c r="O551" s="394"/>
      <c r="P551" s="396"/>
      <c r="Q551" s="403"/>
      <c r="R551" s="404"/>
      <c r="S551" s="405"/>
      <c r="T551" s="401"/>
      <c r="U551" s="403"/>
      <c r="V551" s="404"/>
      <c r="W551" s="405"/>
      <c r="X551" s="401"/>
      <c r="Y551" s="403"/>
      <c r="Z551" s="404"/>
      <c r="AA551" s="405"/>
      <c r="AB551" s="401"/>
      <c r="AC551" s="403"/>
      <c r="AD551" s="404"/>
      <c r="AE551" s="405"/>
      <c r="AF551" s="401"/>
      <c r="AG551" s="292"/>
      <c r="AH551" s="292"/>
      <c r="AI551" s="292"/>
      <c r="AJ551" s="292"/>
      <c r="AK551" s="395"/>
      <c r="AL551" s="317"/>
      <c r="AM551" s="394"/>
      <c r="AN551" s="396"/>
      <c r="AO551" s="200"/>
      <c r="AP551" s="200"/>
    </row>
    <row r="552">
      <c r="A552" s="395"/>
      <c r="B552" s="317"/>
      <c r="C552" s="394"/>
      <c r="D552" s="396"/>
      <c r="E552" s="395"/>
      <c r="F552" s="317"/>
      <c r="G552" s="394"/>
      <c r="H552" s="396"/>
      <c r="I552" s="395"/>
      <c r="J552" s="317"/>
      <c r="K552" s="394"/>
      <c r="L552" s="396"/>
      <c r="M552" s="395"/>
      <c r="N552" s="317"/>
      <c r="O552" s="394"/>
      <c r="P552" s="396"/>
      <c r="Q552" s="403"/>
      <c r="R552" s="404"/>
      <c r="S552" s="405"/>
      <c r="T552" s="401"/>
      <c r="U552" s="403"/>
      <c r="V552" s="404"/>
      <c r="W552" s="405"/>
      <c r="X552" s="401"/>
      <c r="Y552" s="403"/>
      <c r="Z552" s="404"/>
      <c r="AA552" s="405"/>
      <c r="AB552" s="401"/>
      <c r="AC552" s="403"/>
      <c r="AD552" s="404"/>
      <c r="AE552" s="405"/>
      <c r="AF552" s="401"/>
      <c r="AG552" s="292"/>
      <c r="AH552" s="292"/>
      <c r="AI552" s="292"/>
      <c r="AJ552" s="292"/>
      <c r="AK552" s="395"/>
      <c r="AL552" s="317"/>
      <c r="AM552" s="394"/>
      <c r="AN552" s="396"/>
      <c r="AO552" s="200"/>
      <c r="AP552" s="200"/>
    </row>
    <row r="553">
      <c r="A553" s="395"/>
      <c r="B553" s="317"/>
      <c r="C553" s="394"/>
      <c r="D553" s="396"/>
      <c r="E553" s="395"/>
      <c r="F553" s="317"/>
      <c r="G553" s="394"/>
      <c r="H553" s="396"/>
      <c r="I553" s="395"/>
      <c r="J553" s="317"/>
      <c r="K553" s="394"/>
      <c r="L553" s="396"/>
      <c r="M553" s="395"/>
      <c r="N553" s="317"/>
      <c r="O553" s="394"/>
      <c r="P553" s="396"/>
      <c r="Q553" s="403"/>
      <c r="R553" s="404"/>
      <c r="S553" s="405"/>
      <c r="T553" s="401"/>
      <c r="U553" s="403"/>
      <c r="V553" s="404"/>
      <c r="W553" s="405"/>
      <c r="X553" s="401"/>
      <c r="Y553" s="403"/>
      <c r="Z553" s="404"/>
      <c r="AA553" s="405"/>
      <c r="AB553" s="401"/>
      <c r="AC553" s="403"/>
      <c r="AD553" s="404"/>
      <c r="AE553" s="405"/>
      <c r="AF553" s="401"/>
      <c r="AG553" s="292"/>
      <c r="AH553" s="292"/>
      <c r="AI553" s="292"/>
      <c r="AJ553" s="292"/>
      <c r="AK553" s="395"/>
      <c r="AL553" s="317"/>
      <c r="AM553" s="394"/>
      <c r="AN553" s="396"/>
      <c r="AO553" s="200"/>
      <c r="AP553" s="200"/>
    </row>
    <row r="554">
      <c r="A554" s="395"/>
      <c r="B554" s="317"/>
      <c r="C554" s="394"/>
      <c r="D554" s="396"/>
      <c r="E554" s="395"/>
      <c r="F554" s="317"/>
      <c r="G554" s="394"/>
      <c r="H554" s="396"/>
      <c r="I554" s="395"/>
      <c r="J554" s="317"/>
      <c r="K554" s="394"/>
      <c r="L554" s="396"/>
      <c r="M554" s="395"/>
      <c r="N554" s="317"/>
      <c r="O554" s="394"/>
      <c r="P554" s="396"/>
      <c r="Q554" s="403"/>
      <c r="R554" s="404"/>
      <c r="S554" s="405"/>
      <c r="T554" s="401"/>
      <c r="U554" s="403"/>
      <c r="V554" s="404"/>
      <c r="W554" s="405"/>
      <c r="X554" s="401"/>
      <c r="Y554" s="403"/>
      <c r="Z554" s="404"/>
      <c r="AA554" s="405"/>
      <c r="AB554" s="401"/>
      <c r="AC554" s="403"/>
      <c r="AD554" s="404"/>
      <c r="AE554" s="405"/>
      <c r="AF554" s="401"/>
      <c r="AG554" s="292"/>
      <c r="AH554" s="292"/>
      <c r="AI554" s="292"/>
      <c r="AJ554" s="292"/>
      <c r="AK554" s="395"/>
      <c r="AL554" s="317"/>
      <c r="AM554" s="394"/>
      <c r="AN554" s="396"/>
      <c r="AO554" s="200"/>
      <c r="AP554" s="200"/>
    </row>
    <row r="555">
      <c r="A555" s="395"/>
      <c r="B555" s="317"/>
      <c r="C555" s="394"/>
      <c r="D555" s="396"/>
      <c r="E555" s="395"/>
      <c r="F555" s="317"/>
      <c r="G555" s="394"/>
      <c r="H555" s="396"/>
      <c r="I555" s="395"/>
      <c r="J555" s="317"/>
      <c r="K555" s="394"/>
      <c r="L555" s="396"/>
      <c r="M555" s="395"/>
      <c r="N555" s="317"/>
      <c r="O555" s="394"/>
      <c r="P555" s="396"/>
      <c r="Q555" s="403"/>
      <c r="R555" s="404"/>
      <c r="S555" s="405"/>
      <c r="T555" s="401"/>
      <c r="U555" s="403"/>
      <c r="V555" s="404"/>
      <c r="W555" s="405"/>
      <c r="X555" s="401"/>
      <c r="Y555" s="403"/>
      <c r="Z555" s="404"/>
      <c r="AA555" s="405"/>
      <c r="AB555" s="401"/>
      <c r="AC555" s="403"/>
      <c r="AD555" s="404"/>
      <c r="AE555" s="405"/>
      <c r="AF555" s="401"/>
      <c r="AG555" s="292"/>
      <c r="AH555" s="292"/>
      <c r="AI555" s="292"/>
      <c r="AJ555" s="292"/>
      <c r="AK555" s="395"/>
      <c r="AL555" s="317"/>
      <c r="AM555" s="394"/>
      <c r="AN555" s="396"/>
      <c r="AO555" s="200"/>
      <c r="AP555" s="200"/>
    </row>
    <row r="556">
      <c r="A556" s="395"/>
      <c r="B556" s="317"/>
      <c r="C556" s="394"/>
      <c r="D556" s="396"/>
      <c r="E556" s="395"/>
      <c r="F556" s="317"/>
      <c r="G556" s="394"/>
      <c r="H556" s="396"/>
      <c r="I556" s="395"/>
      <c r="J556" s="317"/>
      <c r="K556" s="394"/>
      <c r="L556" s="396"/>
      <c r="M556" s="395"/>
      <c r="N556" s="317"/>
      <c r="O556" s="394"/>
      <c r="P556" s="396"/>
      <c r="Q556" s="403"/>
      <c r="R556" s="404"/>
      <c r="S556" s="405"/>
      <c r="T556" s="401"/>
      <c r="U556" s="403"/>
      <c r="V556" s="404"/>
      <c r="W556" s="405"/>
      <c r="X556" s="401"/>
      <c r="Y556" s="403"/>
      <c r="Z556" s="404"/>
      <c r="AA556" s="405"/>
      <c r="AB556" s="401"/>
      <c r="AC556" s="403"/>
      <c r="AD556" s="404"/>
      <c r="AE556" s="405"/>
      <c r="AF556" s="401"/>
      <c r="AG556" s="292"/>
      <c r="AH556" s="292"/>
      <c r="AI556" s="292"/>
      <c r="AJ556" s="292"/>
      <c r="AK556" s="395"/>
      <c r="AL556" s="317"/>
      <c r="AM556" s="394"/>
      <c r="AN556" s="396"/>
      <c r="AO556" s="200"/>
      <c r="AP556" s="200"/>
    </row>
    <row r="557">
      <c r="A557" s="395"/>
      <c r="B557" s="317"/>
      <c r="C557" s="394"/>
      <c r="D557" s="396"/>
      <c r="E557" s="395"/>
      <c r="F557" s="317"/>
      <c r="G557" s="394"/>
      <c r="H557" s="396"/>
      <c r="I557" s="395"/>
      <c r="J557" s="317"/>
      <c r="K557" s="394"/>
      <c r="L557" s="396"/>
      <c r="M557" s="395"/>
      <c r="N557" s="317"/>
      <c r="O557" s="394"/>
      <c r="P557" s="396"/>
      <c r="Q557" s="403"/>
      <c r="R557" s="404"/>
      <c r="S557" s="405"/>
      <c r="T557" s="401"/>
      <c r="U557" s="403"/>
      <c r="V557" s="404"/>
      <c r="W557" s="405"/>
      <c r="X557" s="401"/>
      <c r="Y557" s="403"/>
      <c r="Z557" s="404"/>
      <c r="AA557" s="405"/>
      <c r="AB557" s="401"/>
      <c r="AC557" s="403"/>
      <c r="AD557" s="404"/>
      <c r="AE557" s="405"/>
      <c r="AF557" s="401"/>
      <c r="AG557" s="292"/>
      <c r="AH557" s="292"/>
      <c r="AI557" s="292"/>
      <c r="AJ557" s="292"/>
      <c r="AK557" s="395"/>
      <c r="AL557" s="317"/>
      <c r="AM557" s="394"/>
      <c r="AN557" s="396"/>
      <c r="AO557" s="200"/>
      <c r="AP557" s="200"/>
    </row>
    <row r="558">
      <c r="A558" s="395"/>
      <c r="B558" s="317"/>
      <c r="C558" s="394"/>
      <c r="D558" s="396"/>
      <c r="E558" s="395"/>
      <c r="F558" s="317"/>
      <c r="G558" s="394"/>
      <c r="H558" s="396"/>
      <c r="I558" s="395"/>
      <c r="J558" s="317"/>
      <c r="K558" s="394"/>
      <c r="L558" s="396"/>
      <c r="M558" s="395"/>
      <c r="N558" s="317"/>
      <c r="O558" s="394"/>
      <c r="P558" s="396"/>
      <c r="Q558" s="403"/>
      <c r="R558" s="404"/>
      <c r="S558" s="405"/>
      <c r="T558" s="401"/>
      <c r="U558" s="403"/>
      <c r="V558" s="404"/>
      <c r="W558" s="405"/>
      <c r="X558" s="401"/>
      <c r="Y558" s="403"/>
      <c r="Z558" s="404"/>
      <c r="AA558" s="405"/>
      <c r="AB558" s="401"/>
      <c r="AC558" s="403"/>
      <c r="AD558" s="404"/>
      <c r="AE558" s="405"/>
      <c r="AF558" s="401"/>
      <c r="AG558" s="292"/>
      <c r="AH558" s="292"/>
      <c r="AI558" s="292"/>
      <c r="AJ558" s="292"/>
      <c r="AK558" s="395"/>
      <c r="AL558" s="317"/>
      <c r="AM558" s="394"/>
      <c r="AN558" s="396"/>
      <c r="AO558" s="200"/>
      <c r="AP558" s="200"/>
    </row>
    <row r="559">
      <c r="A559" s="395"/>
      <c r="B559" s="317"/>
      <c r="C559" s="394"/>
      <c r="D559" s="396"/>
      <c r="E559" s="395"/>
      <c r="F559" s="317"/>
      <c r="G559" s="394"/>
      <c r="H559" s="396"/>
      <c r="I559" s="395"/>
      <c r="J559" s="317"/>
      <c r="K559" s="394"/>
      <c r="L559" s="396"/>
      <c r="M559" s="395"/>
      <c r="N559" s="317"/>
      <c r="O559" s="394"/>
      <c r="P559" s="396"/>
      <c r="Q559" s="403"/>
      <c r="R559" s="404"/>
      <c r="S559" s="405"/>
      <c r="T559" s="401"/>
      <c r="U559" s="403"/>
      <c r="V559" s="404"/>
      <c r="W559" s="405"/>
      <c r="X559" s="401"/>
      <c r="Y559" s="403"/>
      <c r="Z559" s="404"/>
      <c r="AA559" s="405"/>
      <c r="AB559" s="401"/>
      <c r="AC559" s="403"/>
      <c r="AD559" s="404"/>
      <c r="AE559" s="405"/>
      <c r="AF559" s="401"/>
      <c r="AG559" s="292"/>
      <c r="AH559" s="292"/>
      <c r="AI559" s="292"/>
      <c r="AJ559" s="292"/>
      <c r="AK559" s="395"/>
      <c r="AL559" s="317"/>
      <c r="AM559" s="394"/>
      <c r="AN559" s="396"/>
      <c r="AO559" s="200"/>
      <c r="AP559" s="200"/>
    </row>
    <row r="560">
      <c r="A560" s="395"/>
      <c r="B560" s="317"/>
      <c r="C560" s="394"/>
      <c r="D560" s="396"/>
      <c r="E560" s="395"/>
      <c r="F560" s="317"/>
      <c r="G560" s="394"/>
      <c r="H560" s="396"/>
      <c r="I560" s="395"/>
      <c r="J560" s="317"/>
      <c r="K560" s="394"/>
      <c r="L560" s="396"/>
      <c r="M560" s="395"/>
      <c r="N560" s="317"/>
      <c r="O560" s="394"/>
      <c r="P560" s="396"/>
      <c r="Q560" s="403"/>
      <c r="R560" s="404"/>
      <c r="S560" s="405"/>
      <c r="T560" s="401"/>
      <c r="U560" s="403"/>
      <c r="V560" s="404"/>
      <c r="W560" s="405"/>
      <c r="X560" s="401"/>
      <c r="Y560" s="403"/>
      <c r="Z560" s="404"/>
      <c r="AA560" s="405"/>
      <c r="AB560" s="401"/>
      <c r="AC560" s="403"/>
      <c r="AD560" s="404"/>
      <c r="AE560" s="405"/>
      <c r="AF560" s="401"/>
      <c r="AG560" s="292"/>
      <c r="AH560" s="292"/>
      <c r="AI560" s="292"/>
      <c r="AJ560" s="292"/>
      <c r="AK560" s="395"/>
      <c r="AL560" s="317"/>
      <c r="AM560" s="394"/>
      <c r="AN560" s="396"/>
      <c r="AO560" s="200"/>
      <c r="AP560" s="200"/>
    </row>
    <row r="561">
      <c r="A561" s="395"/>
      <c r="B561" s="317"/>
      <c r="C561" s="394"/>
      <c r="D561" s="396"/>
      <c r="E561" s="395"/>
      <c r="F561" s="317"/>
      <c r="G561" s="394"/>
      <c r="H561" s="396"/>
      <c r="I561" s="395"/>
      <c r="J561" s="317"/>
      <c r="K561" s="394"/>
      <c r="L561" s="396"/>
      <c r="M561" s="395"/>
      <c r="N561" s="317"/>
      <c r="O561" s="394"/>
      <c r="P561" s="396"/>
      <c r="Q561" s="403"/>
      <c r="R561" s="404"/>
      <c r="S561" s="405"/>
      <c r="T561" s="401"/>
      <c r="U561" s="403"/>
      <c r="V561" s="404"/>
      <c r="W561" s="405"/>
      <c r="X561" s="401"/>
      <c r="Y561" s="403"/>
      <c r="Z561" s="404"/>
      <c r="AA561" s="405"/>
      <c r="AB561" s="401"/>
      <c r="AC561" s="403"/>
      <c r="AD561" s="404"/>
      <c r="AE561" s="405"/>
      <c r="AF561" s="401"/>
      <c r="AG561" s="292"/>
      <c r="AH561" s="292"/>
      <c r="AI561" s="292"/>
      <c r="AJ561" s="292"/>
      <c r="AK561" s="395"/>
      <c r="AL561" s="317"/>
      <c r="AM561" s="394"/>
      <c r="AN561" s="396"/>
      <c r="AO561" s="200"/>
      <c r="AP561" s="200"/>
    </row>
    <row r="562">
      <c r="A562" s="395"/>
      <c r="B562" s="317"/>
      <c r="C562" s="394"/>
      <c r="D562" s="396"/>
      <c r="E562" s="395"/>
      <c r="F562" s="317"/>
      <c r="G562" s="394"/>
      <c r="H562" s="396"/>
      <c r="I562" s="395"/>
      <c r="J562" s="317"/>
      <c r="K562" s="394"/>
      <c r="L562" s="396"/>
      <c r="M562" s="395"/>
      <c r="N562" s="317"/>
      <c r="O562" s="394"/>
      <c r="P562" s="396"/>
      <c r="Q562" s="403"/>
      <c r="R562" s="404"/>
      <c r="S562" s="405"/>
      <c r="T562" s="401"/>
      <c r="U562" s="403"/>
      <c r="V562" s="404"/>
      <c r="W562" s="405"/>
      <c r="X562" s="401"/>
      <c r="Y562" s="403"/>
      <c r="Z562" s="404"/>
      <c r="AA562" s="405"/>
      <c r="AB562" s="401"/>
      <c r="AC562" s="403"/>
      <c r="AD562" s="404"/>
      <c r="AE562" s="405"/>
      <c r="AF562" s="401"/>
      <c r="AG562" s="292"/>
      <c r="AH562" s="292"/>
      <c r="AI562" s="292"/>
      <c r="AJ562" s="292"/>
      <c r="AK562" s="395"/>
      <c r="AL562" s="317"/>
      <c r="AM562" s="394"/>
      <c r="AN562" s="396"/>
      <c r="AO562" s="200"/>
      <c r="AP562" s="200"/>
    </row>
    <row r="563">
      <c r="A563" s="395"/>
      <c r="B563" s="317"/>
      <c r="C563" s="394"/>
      <c r="D563" s="396"/>
      <c r="E563" s="395"/>
      <c r="F563" s="317"/>
      <c r="G563" s="394"/>
      <c r="H563" s="396"/>
      <c r="I563" s="395"/>
      <c r="J563" s="317"/>
      <c r="K563" s="394"/>
      <c r="L563" s="396"/>
      <c r="M563" s="395"/>
      <c r="N563" s="317"/>
      <c r="O563" s="394"/>
      <c r="P563" s="396"/>
      <c r="Q563" s="403"/>
      <c r="R563" s="404"/>
      <c r="S563" s="405"/>
      <c r="T563" s="401"/>
      <c r="U563" s="403"/>
      <c r="V563" s="404"/>
      <c r="W563" s="405"/>
      <c r="X563" s="401"/>
      <c r="Y563" s="403"/>
      <c r="Z563" s="404"/>
      <c r="AA563" s="405"/>
      <c r="AB563" s="401"/>
      <c r="AC563" s="403"/>
      <c r="AD563" s="404"/>
      <c r="AE563" s="405"/>
      <c r="AF563" s="401"/>
      <c r="AG563" s="292"/>
      <c r="AH563" s="292"/>
      <c r="AI563" s="292"/>
      <c r="AJ563" s="292"/>
      <c r="AK563" s="395"/>
      <c r="AL563" s="317"/>
      <c r="AM563" s="394"/>
      <c r="AN563" s="396"/>
      <c r="AO563" s="200"/>
      <c r="AP563" s="200"/>
    </row>
    <row r="564">
      <c r="A564" s="395"/>
      <c r="B564" s="317"/>
      <c r="C564" s="394"/>
      <c r="D564" s="396"/>
      <c r="E564" s="395"/>
      <c r="F564" s="317"/>
      <c r="G564" s="394"/>
      <c r="H564" s="396"/>
      <c r="I564" s="395"/>
      <c r="J564" s="317"/>
      <c r="K564" s="394"/>
      <c r="L564" s="396"/>
      <c r="M564" s="395"/>
      <c r="N564" s="317"/>
      <c r="O564" s="394"/>
      <c r="P564" s="396"/>
      <c r="Q564" s="403"/>
      <c r="R564" s="404"/>
      <c r="S564" s="405"/>
      <c r="T564" s="401"/>
      <c r="U564" s="403"/>
      <c r="V564" s="404"/>
      <c r="W564" s="405"/>
      <c r="X564" s="401"/>
      <c r="Y564" s="403"/>
      <c r="Z564" s="404"/>
      <c r="AA564" s="405"/>
      <c r="AB564" s="401"/>
      <c r="AC564" s="403"/>
      <c r="AD564" s="404"/>
      <c r="AE564" s="405"/>
      <c r="AF564" s="401"/>
      <c r="AG564" s="292"/>
      <c r="AH564" s="292"/>
      <c r="AI564" s="292"/>
      <c r="AJ564" s="292"/>
      <c r="AK564" s="395"/>
      <c r="AL564" s="317"/>
      <c r="AM564" s="394"/>
      <c r="AN564" s="396"/>
      <c r="AO564" s="200"/>
      <c r="AP564" s="200"/>
    </row>
    <row r="565">
      <c r="A565" s="395"/>
      <c r="B565" s="317"/>
      <c r="C565" s="394"/>
      <c r="D565" s="396"/>
      <c r="E565" s="395"/>
      <c r="F565" s="317"/>
      <c r="G565" s="394"/>
      <c r="H565" s="396"/>
      <c r="I565" s="395"/>
      <c r="J565" s="317"/>
      <c r="K565" s="394"/>
      <c r="L565" s="396"/>
      <c r="M565" s="395"/>
      <c r="N565" s="317"/>
      <c r="O565" s="394"/>
      <c r="P565" s="396"/>
      <c r="Q565" s="403"/>
      <c r="R565" s="404"/>
      <c r="S565" s="405"/>
      <c r="T565" s="401"/>
      <c r="U565" s="403"/>
      <c r="V565" s="404"/>
      <c r="W565" s="405"/>
      <c r="X565" s="401"/>
      <c r="Y565" s="403"/>
      <c r="Z565" s="404"/>
      <c r="AA565" s="405"/>
      <c r="AB565" s="401"/>
      <c r="AC565" s="403"/>
      <c r="AD565" s="404"/>
      <c r="AE565" s="405"/>
      <c r="AF565" s="401"/>
      <c r="AG565" s="292"/>
      <c r="AH565" s="292"/>
      <c r="AI565" s="292"/>
      <c r="AJ565" s="292"/>
      <c r="AK565" s="395"/>
      <c r="AL565" s="317"/>
      <c r="AM565" s="394"/>
      <c r="AN565" s="396"/>
      <c r="AO565" s="200"/>
      <c r="AP565" s="200"/>
    </row>
    <row r="566">
      <c r="A566" s="395"/>
      <c r="B566" s="317"/>
      <c r="C566" s="394"/>
      <c r="D566" s="396"/>
      <c r="E566" s="395"/>
      <c r="F566" s="317"/>
      <c r="G566" s="394"/>
      <c r="H566" s="396"/>
      <c r="I566" s="395"/>
      <c r="J566" s="317"/>
      <c r="K566" s="394"/>
      <c r="L566" s="396"/>
      <c r="M566" s="395"/>
      <c r="N566" s="317"/>
      <c r="O566" s="394"/>
      <c r="P566" s="396"/>
      <c r="Q566" s="403"/>
      <c r="R566" s="404"/>
      <c r="S566" s="405"/>
      <c r="T566" s="401"/>
      <c r="U566" s="403"/>
      <c r="V566" s="404"/>
      <c r="W566" s="405"/>
      <c r="X566" s="401"/>
      <c r="Y566" s="403"/>
      <c r="Z566" s="404"/>
      <c r="AA566" s="405"/>
      <c r="AB566" s="401"/>
      <c r="AC566" s="403"/>
      <c r="AD566" s="404"/>
      <c r="AE566" s="405"/>
      <c r="AF566" s="401"/>
      <c r="AG566" s="292"/>
      <c r="AH566" s="292"/>
      <c r="AI566" s="292"/>
      <c r="AJ566" s="292"/>
      <c r="AK566" s="395"/>
      <c r="AL566" s="317"/>
      <c r="AM566" s="394"/>
      <c r="AN566" s="396"/>
      <c r="AO566" s="200"/>
      <c r="AP566" s="200"/>
    </row>
    <row r="567">
      <c r="A567" s="395"/>
      <c r="B567" s="317"/>
      <c r="C567" s="394"/>
      <c r="D567" s="396"/>
      <c r="E567" s="395"/>
      <c r="F567" s="317"/>
      <c r="G567" s="394"/>
      <c r="H567" s="396"/>
      <c r="I567" s="395"/>
      <c r="J567" s="317"/>
      <c r="K567" s="394"/>
      <c r="L567" s="396"/>
      <c r="M567" s="395"/>
      <c r="N567" s="317"/>
      <c r="O567" s="394"/>
      <c r="P567" s="396"/>
      <c r="Q567" s="403"/>
      <c r="R567" s="404"/>
      <c r="S567" s="405"/>
      <c r="T567" s="401"/>
      <c r="U567" s="403"/>
      <c r="V567" s="404"/>
      <c r="W567" s="405"/>
      <c r="X567" s="401"/>
      <c r="Y567" s="403"/>
      <c r="Z567" s="404"/>
      <c r="AA567" s="405"/>
      <c r="AB567" s="401"/>
      <c r="AC567" s="403"/>
      <c r="AD567" s="404"/>
      <c r="AE567" s="405"/>
      <c r="AF567" s="401"/>
      <c r="AG567" s="292"/>
      <c r="AH567" s="292"/>
      <c r="AI567" s="292"/>
      <c r="AJ567" s="292"/>
      <c r="AK567" s="395"/>
      <c r="AL567" s="317"/>
      <c r="AM567" s="394"/>
      <c r="AN567" s="396"/>
      <c r="AO567" s="200"/>
      <c r="AP567" s="200"/>
    </row>
    <row r="568">
      <c r="A568" s="395"/>
      <c r="B568" s="317"/>
      <c r="C568" s="394"/>
      <c r="D568" s="396"/>
      <c r="E568" s="395"/>
      <c r="F568" s="317"/>
      <c r="G568" s="394"/>
      <c r="H568" s="396"/>
      <c r="I568" s="395"/>
      <c r="J568" s="317"/>
      <c r="K568" s="394"/>
      <c r="L568" s="396"/>
      <c r="M568" s="395"/>
      <c r="N568" s="317"/>
      <c r="O568" s="394"/>
      <c r="P568" s="396"/>
      <c r="Q568" s="403"/>
      <c r="R568" s="404"/>
      <c r="S568" s="405"/>
      <c r="T568" s="401"/>
      <c r="U568" s="403"/>
      <c r="V568" s="404"/>
      <c r="W568" s="405"/>
      <c r="X568" s="401"/>
      <c r="Y568" s="403"/>
      <c r="Z568" s="404"/>
      <c r="AA568" s="405"/>
      <c r="AB568" s="401"/>
      <c r="AC568" s="403"/>
      <c r="AD568" s="404"/>
      <c r="AE568" s="405"/>
      <c r="AF568" s="401"/>
      <c r="AG568" s="292"/>
      <c r="AH568" s="292"/>
      <c r="AI568" s="292"/>
      <c r="AJ568" s="292"/>
      <c r="AK568" s="395"/>
      <c r="AL568" s="317"/>
      <c r="AM568" s="394"/>
      <c r="AN568" s="396"/>
      <c r="AO568" s="200"/>
      <c r="AP568" s="200"/>
    </row>
    <row r="569">
      <c r="A569" s="395"/>
      <c r="B569" s="317"/>
      <c r="C569" s="394"/>
      <c r="D569" s="396"/>
      <c r="E569" s="395"/>
      <c r="F569" s="317"/>
      <c r="G569" s="394"/>
      <c r="H569" s="396"/>
      <c r="I569" s="395"/>
      <c r="J569" s="317"/>
      <c r="K569" s="394"/>
      <c r="L569" s="396"/>
      <c r="M569" s="395"/>
      <c r="N569" s="317"/>
      <c r="O569" s="394"/>
      <c r="P569" s="396"/>
      <c r="Q569" s="403"/>
      <c r="R569" s="404"/>
      <c r="S569" s="405"/>
      <c r="T569" s="401"/>
      <c r="U569" s="403"/>
      <c r="V569" s="404"/>
      <c r="W569" s="405"/>
      <c r="X569" s="401"/>
      <c r="Y569" s="403"/>
      <c r="Z569" s="404"/>
      <c r="AA569" s="405"/>
      <c r="AB569" s="401"/>
      <c r="AC569" s="403"/>
      <c r="AD569" s="404"/>
      <c r="AE569" s="405"/>
      <c r="AF569" s="401"/>
      <c r="AG569" s="292"/>
      <c r="AH569" s="292"/>
      <c r="AI569" s="292"/>
      <c r="AJ569" s="292"/>
      <c r="AK569" s="395"/>
      <c r="AL569" s="317"/>
      <c r="AM569" s="394"/>
      <c r="AN569" s="396"/>
      <c r="AO569" s="200"/>
      <c r="AP569" s="200"/>
    </row>
    <row r="570">
      <c r="A570" s="395"/>
      <c r="B570" s="317"/>
      <c r="C570" s="394"/>
      <c r="D570" s="396"/>
      <c r="E570" s="395"/>
      <c r="F570" s="317"/>
      <c r="G570" s="394"/>
      <c r="H570" s="396"/>
      <c r="I570" s="395"/>
      <c r="J570" s="317"/>
      <c r="K570" s="394"/>
      <c r="L570" s="396"/>
      <c r="M570" s="395"/>
      <c r="N570" s="317"/>
      <c r="O570" s="394"/>
      <c r="P570" s="396"/>
      <c r="Q570" s="403"/>
      <c r="R570" s="404"/>
      <c r="S570" s="405"/>
      <c r="T570" s="401"/>
      <c r="U570" s="403"/>
      <c r="V570" s="404"/>
      <c r="W570" s="405"/>
      <c r="X570" s="401"/>
      <c r="Y570" s="403"/>
      <c r="Z570" s="404"/>
      <c r="AA570" s="405"/>
      <c r="AB570" s="401"/>
      <c r="AC570" s="403"/>
      <c r="AD570" s="404"/>
      <c r="AE570" s="405"/>
      <c r="AF570" s="401"/>
      <c r="AG570" s="292"/>
      <c r="AH570" s="292"/>
      <c r="AI570" s="292"/>
      <c r="AJ570" s="292"/>
      <c r="AK570" s="395"/>
      <c r="AL570" s="317"/>
      <c r="AM570" s="394"/>
      <c r="AN570" s="396"/>
      <c r="AO570" s="200"/>
      <c r="AP570" s="200"/>
    </row>
    <row r="571">
      <c r="A571" s="395"/>
      <c r="B571" s="317"/>
      <c r="C571" s="394"/>
      <c r="D571" s="396"/>
      <c r="E571" s="395"/>
      <c r="F571" s="317"/>
      <c r="G571" s="394"/>
      <c r="H571" s="396"/>
      <c r="I571" s="395"/>
      <c r="J571" s="317"/>
      <c r="K571" s="394"/>
      <c r="L571" s="396"/>
      <c r="M571" s="395"/>
      <c r="N571" s="317"/>
      <c r="O571" s="394"/>
      <c r="P571" s="396"/>
      <c r="Q571" s="403"/>
      <c r="R571" s="404"/>
      <c r="S571" s="405"/>
      <c r="T571" s="401"/>
      <c r="U571" s="403"/>
      <c r="V571" s="404"/>
      <c r="W571" s="405"/>
      <c r="X571" s="401"/>
      <c r="Y571" s="403"/>
      <c r="Z571" s="404"/>
      <c r="AA571" s="405"/>
      <c r="AB571" s="401"/>
      <c r="AC571" s="403"/>
      <c r="AD571" s="404"/>
      <c r="AE571" s="405"/>
      <c r="AF571" s="401"/>
      <c r="AG571" s="292"/>
      <c r="AH571" s="292"/>
      <c r="AI571" s="292"/>
      <c r="AJ571" s="292"/>
      <c r="AK571" s="395"/>
      <c r="AL571" s="317"/>
      <c r="AM571" s="394"/>
      <c r="AN571" s="396"/>
      <c r="AO571" s="200"/>
      <c r="AP571" s="200"/>
    </row>
    <row r="572">
      <c r="A572" s="395"/>
      <c r="B572" s="317"/>
      <c r="C572" s="394"/>
      <c r="D572" s="396"/>
      <c r="E572" s="395"/>
      <c r="F572" s="317"/>
      <c r="G572" s="394"/>
      <c r="H572" s="396"/>
      <c r="I572" s="395"/>
      <c r="J572" s="317"/>
      <c r="K572" s="394"/>
      <c r="L572" s="396"/>
      <c r="M572" s="395"/>
      <c r="N572" s="317"/>
      <c r="O572" s="394"/>
      <c r="P572" s="396"/>
      <c r="Q572" s="403"/>
      <c r="R572" s="404"/>
      <c r="S572" s="405"/>
      <c r="T572" s="401"/>
      <c r="U572" s="403"/>
      <c r="V572" s="404"/>
      <c r="W572" s="405"/>
      <c r="X572" s="401"/>
      <c r="Y572" s="403"/>
      <c r="Z572" s="404"/>
      <c r="AA572" s="405"/>
      <c r="AB572" s="401"/>
      <c r="AC572" s="403"/>
      <c r="AD572" s="404"/>
      <c r="AE572" s="405"/>
      <c r="AF572" s="401"/>
      <c r="AG572" s="292"/>
      <c r="AH572" s="292"/>
      <c r="AI572" s="292"/>
      <c r="AJ572" s="292"/>
      <c r="AK572" s="395"/>
      <c r="AL572" s="317"/>
      <c r="AM572" s="394"/>
      <c r="AN572" s="396"/>
      <c r="AO572" s="200"/>
      <c r="AP572" s="200"/>
    </row>
    <row r="573">
      <c r="A573" s="395"/>
      <c r="B573" s="317"/>
      <c r="C573" s="394"/>
      <c r="D573" s="396"/>
      <c r="E573" s="395"/>
      <c r="F573" s="317"/>
      <c r="G573" s="394"/>
      <c r="H573" s="396"/>
      <c r="I573" s="395"/>
      <c r="J573" s="317"/>
      <c r="K573" s="394"/>
      <c r="L573" s="396"/>
      <c r="M573" s="395"/>
      <c r="N573" s="317"/>
      <c r="O573" s="394"/>
      <c r="P573" s="396"/>
      <c r="Q573" s="403"/>
      <c r="R573" s="404"/>
      <c r="S573" s="405"/>
      <c r="T573" s="401"/>
      <c r="U573" s="403"/>
      <c r="V573" s="404"/>
      <c r="W573" s="405"/>
      <c r="X573" s="401"/>
      <c r="Y573" s="403"/>
      <c r="Z573" s="404"/>
      <c r="AA573" s="405"/>
      <c r="AB573" s="401"/>
      <c r="AC573" s="403"/>
      <c r="AD573" s="404"/>
      <c r="AE573" s="405"/>
      <c r="AF573" s="401"/>
      <c r="AG573" s="292"/>
      <c r="AH573" s="292"/>
      <c r="AI573" s="292"/>
      <c r="AJ573" s="292"/>
      <c r="AK573" s="395"/>
      <c r="AL573" s="317"/>
      <c r="AM573" s="394"/>
      <c r="AN573" s="396"/>
      <c r="AO573" s="200"/>
      <c r="AP573" s="200"/>
    </row>
    <row r="574">
      <c r="A574" s="395"/>
      <c r="B574" s="317"/>
      <c r="C574" s="394"/>
      <c r="D574" s="396"/>
      <c r="E574" s="395"/>
      <c r="F574" s="317"/>
      <c r="G574" s="394"/>
      <c r="H574" s="396"/>
      <c r="I574" s="395"/>
      <c r="J574" s="317"/>
      <c r="K574" s="394"/>
      <c r="L574" s="396"/>
      <c r="M574" s="395"/>
      <c r="N574" s="317"/>
      <c r="O574" s="394"/>
      <c r="P574" s="396"/>
      <c r="Q574" s="403"/>
      <c r="R574" s="404"/>
      <c r="S574" s="405"/>
      <c r="T574" s="401"/>
      <c r="U574" s="403"/>
      <c r="V574" s="404"/>
      <c r="W574" s="405"/>
      <c r="X574" s="401"/>
      <c r="Y574" s="403"/>
      <c r="Z574" s="404"/>
      <c r="AA574" s="405"/>
      <c r="AB574" s="401"/>
      <c r="AC574" s="403"/>
      <c r="AD574" s="404"/>
      <c r="AE574" s="405"/>
      <c r="AF574" s="401"/>
      <c r="AG574" s="292"/>
      <c r="AH574" s="292"/>
      <c r="AI574" s="292"/>
      <c r="AJ574" s="292"/>
      <c r="AK574" s="395"/>
      <c r="AL574" s="317"/>
      <c r="AM574" s="394"/>
      <c r="AN574" s="396"/>
      <c r="AO574" s="200"/>
      <c r="AP574" s="200"/>
    </row>
    <row r="575">
      <c r="A575" s="395"/>
      <c r="B575" s="317"/>
      <c r="C575" s="394"/>
      <c r="D575" s="396"/>
      <c r="E575" s="395"/>
      <c r="F575" s="317"/>
      <c r="G575" s="394"/>
      <c r="H575" s="396"/>
      <c r="I575" s="395"/>
      <c r="J575" s="317"/>
      <c r="K575" s="394"/>
      <c r="L575" s="396"/>
      <c r="M575" s="395"/>
      <c r="N575" s="317"/>
      <c r="O575" s="394"/>
      <c r="P575" s="396"/>
      <c r="Q575" s="403"/>
      <c r="R575" s="404"/>
      <c r="S575" s="405"/>
      <c r="T575" s="401"/>
      <c r="U575" s="403"/>
      <c r="V575" s="404"/>
      <c r="W575" s="405"/>
      <c r="X575" s="401"/>
      <c r="Y575" s="403"/>
      <c r="Z575" s="404"/>
      <c r="AA575" s="405"/>
      <c r="AB575" s="401"/>
      <c r="AC575" s="403"/>
      <c r="AD575" s="404"/>
      <c r="AE575" s="405"/>
      <c r="AF575" s="401"/>
      <c r="AG575" s="292"/>
      <c r="AH575" s="292"/>
      <c r="AI575" s="292"/>
      <c r="AJ575" s="292"/>
      <c r="AK575" s="395"/>
      <c r="AL575" s="317"/>
      <c r="AM575" s="394"/>
      <c r="AN575" s="396"/>
      <c r="AO575" s="200"/>
      <c r="AP575" s="200"/>
    </row>
    <row r="576">
      <c r="A576" s="395"/>
      <c r="B576" s="317"/>
      <c r="C576" s="394"/>
      <c r="D576" s="396"/>
      <c r="E576" s="395"/>
      <c r="F576" s="317"/>
      <c r="G576" s="394"/>
      <c r="H576" s="396"/>
      <c r="I576" s="395"/>
      <c r="J576" s="317"/>
      <c r="K576" s="394"/>
      <c r="L576" s="396"/>
      <c r="M576" s="395"/>
      <c r="N576" s="317"/>
      <c r="O576" s="394"/>
      <c r="P576" s="396"/>
      <c r="Q576" s="403"/>
      <c r="R576" s="404"/>
      <c r="S576" s="405"/>
      <c r="T576" s="401"/>
      <c r="U576" s="403"/>
      <c r="V576" s="404"/>
      <c r="W576" s="405"/>
      <c r="X576" s="401"/>
      <c r="Y576" s="403"/>
      <c r="Z576" s="404"/>
      <c r="AA576" s="405"/>
      <c r="AB576" s="401"/>
      <c r="AC576" s="403"/>
      <c r="AD576" s="404"/>
      <c r="AE576" s="405"/>
      <c r="AF576" s="401"/>
      <c r="AG576" s="292"/>
      <c r="AH576" s="292"/>
      <c r="AI576" s="292"/>
      <c r="AJ576" s="292"/>
      <c r="AK576" s="395"/>
      <c r="AL576" s="317"/>
      <c r="AM576" s="394"/>
      <c r="AN576" s="396"/>
      <c r="AO576" s="200"/>
      <c r="AP576" s="200"/>
    </row>
    <row r="577">
      <c r="A577" s="395"/>
      <c r="B577" s="317"/>
      <c r="C577" s="394"/>
      <c r="D577" s="396"/>
      <c r="E577" s="395"/>
      <c r="F577" s="317"/>
      <c r="G577" s="394"/>
      <c r="H577" s="396"/>
      <c r="I577" s="395"/>
      <c r="J577" s="317"/>
      <c r="K577" s="394"/>
      <c r="L577" s="396"/>
      <c r="M577" s="395"/>
      <c r="N577" s="317"/>
      <c r="O577" s="394"/>
      <c r="P577" s="396"/>
      <c r="Q577" s="403"/>
      <c r="R577" s="404"/>
      <c r="S577" s="405"/>
      <c r="T577" s="401"/>
      <c r="U577" s="403"/>
      <c r="V577" s="404"/>
      <c r="W577" s="405"/>
      <c r="X577" s="401"/>
      <c r="Y577" s="403"/>
      <c r="Z577" s="404"/>
      <c r="AA577" s="405"/>
      <c r="AB577" s="401"/>
      <c r="AC577" s="403"/>
      <c r="AD577" s="404"/>
      <c r="AE577" s="405"/>
      <c r="AF577" s="401"/>
      <c r="AG577" s="292"/>
      <c r="AH577" s="292"/>
      <c r="AI577" s="292"/>
      <c r="AJ577" s="292"/>
      <c r="AK577" s="395"/>
      <c r="AL577" s="317"/>
      <c r="AM577" s="394"/>
      <c r="AN577" s="396"/>
      <c r="AO577" s="200"/>
      <c r="AP577" s="200"/>
    </row>
    <row r="578">
      <c r="A578" s="395"/>
      <c r="B578" s="317"/>
      <c r="C578" s="394"/>
      <c r="D578" s="396"/>
      <c r="E578" s="395"/>
      <c r="F578" s="317"/>
      <c r="G578" s="394"/>
      <c r="H578" s="396"/>
      <c r="I578" s="395"/>
      <c r="J578" s="317"/>
      <c r="K578" s="394"/>
      <c r="L578" s="396"/>
      <c r="M578" s="395"/>
      <c r="N578" s="317"/>
      <c r="O578" s="394"/>
      <c r="P578" s="396"/>
      <c r="Q578" s="403"/>
      <c r="R578" s="404"/>
      <c r="S578" s="405"/>
      <c r="T578" s="401"/>
      <c r="U578" s="403"/>
      <c r="V578" s="404"/>
      <c r="W578" s="405"/>
      <c r="X578" s="401"/>
      <c r="Y578" s="403"/>
      <c r="Z578" s="404"/>
      <c r="AA578" s="405"/>
      <c r="AB578" s="401"/>
      <c r="AC578" s="403"/>
      <c r="AD578" s="404"/>
      <c r="AE578" s="405"/>
      <c r="AF578" s="401"/>
      <c r="AG578" s="292"/>
      <c r="AH578" s="292"/>
      <c r="AI578" s="292"/>
      <c r="AJ578" s="292"/>
      <c r="AK578" s="395"/>
      <c r="AL578" s="317"/>
      <c r="AM578" s="394"/>
      <c r="AN578" s="396"/>
      <c r="AO578" s="200"/>
      <c r="AP578" s="200"/>
    </row>
    <row r="579">
      <c r="A579" s="395"/>
      <c r="B579" s="317"/>
      <c r="C579" s="394"/>
      <c r="D579" s="396"/>
      <c r="E579" s="395"/>
      <c r="F579" s="317"/>
      <c r="G579" s="394"/>
      <c r="H579" s="396"/>
      <c r="I579" s="395"/>
      <c r="J579" s="317"/>
      <c r="K579" s="394"/>
      <c r="L579" s="396"/>
      <c r="M579" s="395"/>
      <c r="N579" s="317"/>
      <c r="O579" s="394"/>
      <c r="P579" s="396"/>
      <c r="Q579" s="403"/>
      <c r="R579" s="404"/>
      <c r="S579" s="405"/>
      <c r="T579" s="401"/>
      <c r="U579" s="403"/>
      <c r="V579" s="404"/>
      <c r="W579" s="405"/>
      <c r="X579" s="401"/>
      <c r="Y579" s="403"/>
      <c r="Z579" s="404"/>
      <c r="AA579" s="405"/>
      <c r="AB579" s="401"/>
      <c r="AC579" s="403"/>
      <c r="AD579" s="404"/>
      <c r="AE579" s="405"/>
      <c r="AF579" s="401"/>
      <c r="AG579" s="292"/>
      <c r="AH579" s="292"/>
      <c r="AI579" s="292"/>
      <c r="AJ579" s="292"/>
      <c r="AK579" s="395"/>
      <c r="AL579" s="317"/>
      <c r="AM579" s="394"/>
      <c r="AN579" s="396"/>
      <c r="AO579" s="200"/>
      <c r="AP579" s="200"/>
    </row>
    <row r="580">
      <c r="A580" s="395"/>
      <c r="B580" s="317"/>
      <c r="C580" s="394"/>
      <c r="D580" s="396"/>
      <c r="E580" s="395"/>
      <c r="F580" s="317"/>
      <c r="G580" s="394"/>
      <c r="H580" s="396"/>
      <c r="I580" s="395"/>
      <c r="J580" s="317"/>
      <c r="K580" s="394"/>
      <c r="L580" s="396"/>
      <c r="M580" s="395"/>
      <c r="N580" s="317"/>
      <c r="O580" s="394"/>
      <c r="P580" s="396"/>
      <c r="Q580" s="403"/>
      <c r="R580" s="404"/>
      <c r="S580" s="405"/>
      <c r="T580" s="401"/>
      <c r="U580" s="403"/>
      <c r="V580" s="404"/>
      <c r="W580" s="405"/>
      <c r="X580" s="401"/>
      <c r="Y580" s="403"/>
      <c r="Z580" s="404"/>
      <c r="AA580" s="405"/>
      <c r="AB580" s="401"/>
      <c r="AC580" s="403"/>
      <c r="AD580" s="404"/>
      <c r="AE580" s="405"/>
      <c r="AF580" s="401"/>
      <c r="AG580" s="292"/>
      <c r="AH580" s="292"/>
      <c r="AI580" s="292"/>
      <c r="AJ580" s="292"/>
      <c r="AK580" s="395"/>
      <c r="AL580" s="317"/>
      <c r="AM580" s="394"/>
      <c r="AN580" s="396"/>
      <c r="AO580" s="200"/>
      <c r="AP580" s="200"/>
    </row>
    <row r="581">
      <c r="A581" s="395"/>
      <c r="B581" s="317"/>
      <c r="C581" s="394"/>
      <c r="D581" s="396"/>
      <c r="E581" s="395"/>
      <c r="F581" s="317"/>
      <c r="G581" s="394"/>
      <c r="H581" s="396"/>
      <c r="I581" s="395"/>
      <c r="J581" s="317"/>
      <c r="K581" s="394"/>
      <c r="L581" s="396"/>
      <c r="M581" s="395"/>
      <c r="N581" s="317"/>
      <c r="O581" s="394"/>
      <c r="P581" s="396"/>
      <c r="Q581" s="403"/>
      <c r="R581" s="404"/>
      <c r="S581" s="405"/>
      <c r="T581" s="401"/>
      <c r="U581" s="403"/>
      <c r="V581" s="404"/>
      <c r="W581" s="405"/>
      <c r="X581" s="401"/>
      <c r="Y581" s="403"/>
      <c r="Z581" s="404"/>
      <c r="AA581" s="405"/>
      <c r="AB581" s="401"/>
      <c r="AC581" s="403"/>
      <c r="AD581" s="404"/>
      <c r="AE581" s="405"/>
      <c r="AF581" s="401"/>
      <c r="AG581" s="292"/>
      <c r="AH581" s="292"/>
      <c r="AI581" s="292"/>
      <c r="AJ581" s="292"/>
      <c r="AK581" s="395"/>
      <c r="AL581" s="317"/>
      <c r="AM581" s="394"/>
      <c r="AN581" s="396"/>
      <c r="AO581" s="200"/>
      <c r="AP581" s="200"/>
    </row>
    <row r="582">
      <c r="A582" s="395"/>
      <c r="B582" s="317"/>
      <c r="C582" s="394"/>
      <c r="D582" s="396"/>
      <c r="E582" s="395"/>
      <c r="F582" s="317"/>
      <c r="G582" s="394"/>
      <c r="H582" s="396"/>
      <c r="I582" s="395"/>
      <c r="J582" s="317"/>
      <c r="K582" s="394"/>
      <c r="L582" s="396"/>
      <c r="M582" s="395"/>
      <c r="N582" s="317"/>
      <c r="O582" s="394"/>
      <c r="P582" s="396"/>
      <c r="Q582" s="403"/>
      <c r="R582" s="404"/>
      <c r="S582" s="405"/>
      <c r="T582" s="401"/>
      <c r="U582" s="403"/>
      <c r="V582" s="404"/>
      <c r="W582" s="405"/>
      <c r="X582" s="401"/>
      <c r="Y582" s="403"/>
      <c r="Z582" s="404"/>
      <c r="AA582" s="405"/>
      <c r="AB582" s="401"/>
      <c r="AC582" s="403"/>
      <c r="AD582" s="404"/>
      <c r="AE582" s="405"/>
      <c r="AF582" s="401"/>
      <c r="AG582" s="292"/>
      <c r="AH582" s="292"/>
      <c r="AI582" s="292"/>
      <c r="AJ582" s="292"/>
      <c r="AK582" s="395"/>
      <c r="AL582" s="317"/>
      <c r="AM582" s="394"/>
      <c r="AN582" s="396"/>
      <c r="AO582" s="200"/>
      <c r="AP582" s="200"/>
    </row>
    <row r="583">
      <c r="A583" s="395"/>
      <c r="B583" s="317"/>
      <c r="C583" s="394"/>
      <c r="D583" s="396"/>
      <c r="E583" s="395"/>
      <c r="F583" s="317"/>
      <c r="G583" s="394"/>
      <c r="H583" s="396"/>
      <c r="I583" s="395"/>
      <c r="J583" s="317"/>
      <c r="K583" s="394"/>
      <c r="L583" s="396"/>
      <c r="M583" s="395"/>
      <c r="N583" s="317"/>
      <c r="O583" s="394"/>
      <c r="P583" s="396"/>
      <c r="Q583" s="403"/>
      <c r="R583" s="404"/>
      <c r="S583" s="405"/>
      <c r="T583" s="401"/>
      <c r="U583" s="403"/>
      <c r="V583" s="404"/>
      <c r="W583" s="405"/>
      <c r="X583" s="401"/>
      <c r="Y583" s="403"/>
      <c r="Z583" s="404"/>
      <c r="AA583" s="405"/>
      <c r="AB583" s="401"/>
      <c r="AC583" s="403"/>
      <c r="AD583" s="404"/>
      <c r="AE583" s="405"/>
      <c r="AF583" s="401"/>
      <c r="AG583" s="292"/>
      <c r="AH583" s="292"/>
      <c r="AI583" s="292"/>
      <c r="AJ583" s="292"/>
      <c r="AK583" s="395"/>
      <c r="AL583" s="317"/>
      <c r="AM583" s="394"/>
      <c r="AN583" s="396"/>
      <c r="AO583" s="200"/>
      <c r="AP583" s="200"/>
    </row>
    <row r="584">
      <c r="A584" s="395"/>
      <c r="B584" s="317"/>
      <c r="C584" s="394"/>
      <c r="D584" s="396"/>
      <c r="E584" s="395"/>
      <c r="F584" s="317"/>
      <c r="G584" s="394"/>
      <c r="H584" s="396"/>
      <c r="I584" s="395"/>
      <c r="J584" s="317"/>
      <c r="K584" s="394"/>
      <c r="L584" s="396"/>
      <c r="M584" s="395"/>
      <c r="N584" s="317"/>
      <c r="O584" s="394"/>
      <c r="P584" s="396"/>
      <c r="Q584" s="403"/>
      <c r="R584" s="404"/>
      <c r="S584" s="405"/>
      <c r="T584" s="401"/>
      <c r="U584" s="403"/>
      <c r="V584" s="404"/>
      <c r="W584" s="405"/>
      <c r="X584" s="401"/>
      <c r="Y584" s="403"/>
      <c r="Z584" s="404"/>
      <c r="AA584" s="405"/>
      <c r="AB584" s="401"/>
      <c r="AC584" s="403"/>
      <c r="AD584" s="404"/>
      <c r="AE584" s="405"/>
      <c r="AF584" s="401"/>
      <c r="AG584" s="292"/>
      <c r="AH584" s="292"/>
      <c r="AI584" s="292"/>
      <c r="AJ584" s="292"/>
      <c r="AK584" s="395"/>
      <c r="AL584" s="317"/>
      <c r="AM584" s="394"/>
      <c r="AN584" s="396"/>
      <c r="AO584" s="200"/>
      <c r="AP584" s="200"/>
    </row>
    <row r="585">
      <c r="A585" s="395"/>
      <c r="B585" s="317"/>
      <c r="C585" s="394"/>
      <c r="D585" s="396"/>
      <c r="E585" s="395"/>
      <c r="F585" s="317"/>
      <c r="G585" s="394"/>
      <c r="H585" s="396"/>
      <c r="I585" s="395"/>
      <c r="J585" s="317"/>
      <c r="K585" s="394"/>
      <c r="L585" s="396"/>
      <c r="M585" s="395"/>
      <c r="N585" s="317"/>
      <c r="O585" s="394"/>
      <c r="P585" s="396"/>
      <c r="Q585" s="403"/>
      <c r="R585" s="404"/>
      <c r="S585" s="405"/>
      <c r="T585" s="401"/>
      <c r="U585" s="403"/>
      <c r="V585" s="404"/>
      <c r="W585" s="405"/>
      <c r="X585" s="401"/>
      <c r="Y585" s="403"/>
      <c r="Z585" s="404"/>
      <c r="AA585" s="405"/>
      <c r="AB585" s="401"/>
      <c r="AC585" s="403"/>
      <c r="AD585" s="404"/>
      <c r="AE585" s="405"/>
      <c r="AF585" s="401"/>
      <c r="AG585" s="292"/>
      <c r="AH585" s="292"/>
      <c r="AI585" s="292"/>
      <c r="AJ585" s="292"/>
      <c r="AK585" s="395"/>
      <c r="AL585" s="317"/>
      <c r="AM585" s="394"/>
      <c r="AN585" s="396"/>
      <c r="AO585" s="200"/>
      <c r="AP585" s="200"/>
    </row>
    <row r="586">
      <c r="A586" s="395"/>
      <c r="B586" s="317"/>
      <c r="C586" s="394"/>
      <c r="D586" s="396"/>
      <c r="E586" s="395"/>
      <c r="F586" s="317"/>
      <c r="G586" s="394"/>
      <c r="H586" s="396"/>
      <c r="I586" s="395"/>
      <c r="J586" s="317"/>
      <c r="K586" s="394"/>
      <c r="L586" s="396"/>
      <c r="M586" s="395"/>
      <c r="N586" s="317"/>
      <c r="O586" s="394"/>
      <c r="P586" s="396"/>
      <c r="Q586" s="403"/>
      <c r="R586" s="404"/>
      <c r="S586" s="405"/>
      <c r="T586" s="401"/>
      <c r="U586" s="403"/>
      <c r="V586" s="404"/>
      <c r="W586" s="405"/>
      <c r="X586" s="401"/>
      <c r="Y586" s="403"/>
      <c r="Z586" s="404"/>
      <c r="AA586" s="405"/>
      <c r="AB586" s="401"/>
      <c r="AC586" s="403"/>
      <c r="AD586" s="404"/>
      <c r="AE586" s="405"/>
      <c r="AF586" s="401"/>
      <c r="AG586" s="292"/>
      <c r="AH586" s="292"/>
      <c r="AI586" s="292"/>
      <c r="AJ586" s="292"/>
      <c r="AK586" s="395"/>
      <c r="AL586" s="317"/>
      <c r="AM586" s="394"/>
      <c r="AN586" s="396"/>
      <c r="AO586" s="200"/>
      <c r="AP586" s="200"/>
    </row>
    <row r="587">
      <c r="A587" s="395"/>
      <c r="B587" s="317"/>
      <c r="C587" s="394"/>
      <c r="D587" s="396"/>
      <c r="E587" s="395"/>
      <c r="F587" s="317"/>
      <c r="G587" s="394"/>
      <c r="H587" s="396"/>
      <c r="I587" s="395"/>
      <c r="J587" s="317"/>
      <c r="K587" s="394"/>
      <c r="L587" s="396"/>
      <c r="M587" s="395"/>
      <c r="N587" s="317"/>
      <c r="O587" s="394"/>
      <c r="P587" s="396"/>
      <c r="Q587" s="403"/>
      <c r="R587" s="404"/>
      <c r="S587" s="405"/>
      <c r="T587" s="401"/>
      <c r="U587" s="403"/>
      <c r="V587" s="404"/>
      <c r="W587" s="405"/>
      <c r="X587" s="401"/>
      <c r="Y587" s="403"/>
      <c r="Z587" s="404"/>
      <c r="AA587" s="405"/>
      <c r="AB587" s="401"/>
      <c r="AC587" s="403"/>
      <c r="AD587" s="404"/>
      <c r="AE587" s="405"/>
      <c r="AF587" s="401"/>
      <c r="AG587" s="292"/>
      <c r="AH587" s="292"/>
      <c r="AI587" s="292"/>
      <c r="AJ587" s="292"/>
      <c r="AK587" s="395"/>
      <c r="AL587" s="317"/>
      <c r="AM587" s="394"/>
      <c r="AN587" s="396"/>
      <c r="AO587" s="200"/>
      <c r="AP587" s="200"/>
    </row>
    <row r="588">
      <c r="A588" s="395"/>
      <c r="B588" s="317"/>
      <c r="C588" s="394"/>
      <c r="D588" s="396"/>
      <c r="E588" s="395"/>
      <c r="F588" s="317"/>
      <c r="G588" s="394"/>
      <c r="H588" s="396"/>
      <c r="I588" s="395"/>
      <c r="J588" s="317"/>
      <c r="K588" s="394"/>
      <c r="L588" s="396"/>
      <c r="M588" s="395"/>
      <c r="N588" s="317"/>
      <c r="O588" s="394"/>
      <c r="P588" s="396"/>
      <c r="Q588" s="403"/>
      <c r="R588" s="404"/>
      <c r="S588" s="405"/>
      <c r="T588" s="401"/>
      <c r="U588" s="403"/>
      <c r="V588" s="404"/>
      <c r="W588" s="405"/>
      <c r="X588" s="401"/>
      <c r="Y588" s="403"/>
      <c r="Z588" s="404"/>
      <c r="AA588" s="405"/>
      <c r="AB588" s="401"/>
      <c r="AC588" s="403"/>
      <c r="AD588" s="404"/>
      <c r="AE588" s="405"/>
      <c r="AF588" s="401"/>
      <c r="AG588" s="292"/>
      <c r="AH588" s="292"/>
      <c r="AI588" s="292"/>
      <c r="AJ588" s="292"/>
      <c r="AK588" s="395"/>
      <c r="AL588" s="317"/>
      <c r="AM588" s="394"/>
      <c r="AN588" s="396"/>
      <c r="AO588" s="200"/>
      <c r="AP588" s="200"/>
    </row>
    <row r="589">
      <c r="A589" s="395"/>
      <c r="B589" s="317"/>
      <c r="C589" s="394"/>
      <c r="D589" s="396"/>
      <c r="E589" s="395"/>
      <c r="F589" s="317"/>
      <c r="G589" s="394"/>
      <c r="H589" s="396"/>
      <c r="I589" s="395"/>
      <c r="J589" s="317"/>
      <c r="K589" s="394"/>
      <c r="L589" s="396"/>
      <c r="M589" s="395"/>
      <c r="N589" s="317"/>
      <c r="O589" s="394"/>
      <c r="P589" s="396"/>
      <c r="Q589" s="403"/>
      <c r="R589" s="404"/>
      <c r="S589" s="405"/>
      <c r="T589" s="401"/>
      <c r="U589" s="403"/>
      <c r="V589" s="404"/>
      <c r="W589" s="405"/>
      <c r="X589" s="401"/>
      <c r="Y589" s="403"/>
      <c r="Z589" s="404"/>
      <c r="AA589" s="405"/>
      <c r="AB589" s="401"/>
      <c r="AC589" s="403"/>
      <c r="AD589" s="404"/>
      <c r="AE589" s="405"/>
      <c r="AF589" s="401"/>
      <c r="AG589" s="292"/>
      <c r="AH589" s="292"/>
      <c r="AI589" s="292"/>
      <c r="AJ589" s="292"/>
      <c r="AK589" s="395"/>
      <c r="AL589" s="317"/>
      <c r="AM589" s="394"/>
      <c r="AN589" s="396"/>
      <c r="AO589" s="200"/>
      <c r="AP589" s="200"/>
    </row>
    <row r="590">
      <c r="A590" s="395"/>
      <c r="B590" s="317"/>
      <c r="C590" s="394"/>
      <c r="D590" s="396"/>
      <c r="E590" s="395"/>
      <c r="F590" s="317"/>
      <c r="G590" s="394"/>
      <c r="H590" s="396"/>
      <c r="I590" s="395"/>
      <c r="J590" s="317"/>
      <c r="K590" s="394"/>
      <c r="L590" s="396"/>
      <c r="M590" s="395"/>
      <c r="N590" s="317"/>
      <c r="O590" s="394"/>
      <c r="P590" s="396"/>
      <c r="Q590" s="403"/>
      <c r="R590" s="404"/>
      <c r="S590" s="405"/>
      <c r="T590" s="401"/>
      <c r="U590" s="403"/>
      <c r="V590" s="404"/>
      <c r="W590" s="405"/>
      <c r="X590" s="401"/>
      <c r="Y590" s="403"/>
      <c r="Z590" s="404"/>
      <c r="AA590" s="405"/>
      <c r="AB590" s="401"/>
      <c r="AC590" s="403"/>
      <c r="AD590" s="404"/>
      <c r="AE590" s="405"/>
      <c r="AF590" s="401"/>
      <c r="AG590" s="292"/>
      <c r="AH590" s="292"/>
      <c r="AI590" s="292"/>
      <c r="AJ590" s="292"/>
      <c r="AK590" s="395"/>
      <c r="AL590" s="317"/>
      <c r="AM590" s="394"/>
      <c r="AN590" s="396"/>
      <c r="AO590" s="200"/>
      <c r="AP590" s="200"/>
    </row>
    <row r="591">
      <c r="A591" s="395"/>
      <c r="B591" s="317"/>
      <c r="C591" s="394"/>
      <c r="D591" s="396"/>
      <c r="E591" s="395"/>
      <c r="F591" s="317"/>
      <c r="G591" s="394"/>
      <c r="H591" s="396"/>
      <c r="I591" s="395"/>
      <c r="J591" s="317"/>
      <c r="K591" s="394"/>
      <c r="L591" s="396"/>
      <c r="M591" s="395"/>
      <c r="N591" s="317"/>
      <c r="O591" s="394"/>
      <c r="P591" s="396"/>
      <c r="Q591" s="403"/>
      <c r="R591" s="404"/>
      <c r="S591" s="405"/>
      <c r="T591" s="401"/>
      <c r="U591" s="403"/>
      <c r="V591" s="404"/>
      <c r="W591" s="405"/>
      <c r="X591" s="401"/>
      <c r="Y591" s="403"/>
      <c r="Z591" s="404"/>
      <c r="AA591" s="405"/>
      <c r="AB591" s="401"/>
      <c r="AC591" s="403"/>
      <c r="AD591" s="404"/>
      <c r="AE591" s="405"/>
      <c r="AF591" s="401"/>
      <c r="AG591" s="292"/>
      <c r="AH591" s="292"/>
      <c r="AI591" s="292"/>
      <c r="AJ591" s="292"/>
      <c r="AK591" s="395"/>
      <c r="AL591" s="317"/>
      <c r="AM591" s="394"/>
      <c r="AN591" s="396"/>
      <c r="AO591" s="200"/>
      <c r="AP591" s="200"/>
    </row>
    <row r="592">
      <c r="A592" s="395"/>
      <c r="B592" s="317"/>
      <c r="C592" s="394"/>
      <c r="D592" s="396"/>
      <c r="E592" s="395"/>
      <c r="F592" s="317"/>
      <c r="G592" s="394"/>
      <c r="H592" s="396"/>
      <c r="I592" s="395"/>
      <c r="J592" s="317"/>
      <c r="K592" s="394"/>
      <c r="L592" s="396"/>
      <c r="M592" s="395"/>
      <c r="N592" s="317"/>
      <c r="O592" s="394"/>
      <c r="P592" s="396"/>
      <c r="Q592" s="403"/>
      <c r="R592" s="404"/>
      <c r="S592" s="405"/>
      <c r="T592" s="401"/>
      <c r="U592" s="403"/>
      <c r="V592" s="404"/>
      <c r="W592" s="405"/>
      <c r="X592" s="401"/>
      <c r="Y592" s="403"/>
      <c r="Z592" s="404"/>
      <c r="AA592" s="405"/>
      <c r="AB592" s="401"/>
      <c r="AC592" s="403"/>
      <c r="AD592" s="404"/>
      <c r="AE592" s="405"/>
      <c r="AF592" s="401"/>
      <c r="AG592" s="292"/>
      <c r="AH592" s="292"/>
      <c r="AI592" s="292"/>
      <c r="AJ592" s="292"/>
      <c r="AK592" s="395"/>
      <c r="AL592" s="317"/>
      <c r="AM592" s="394"/>
      <c r="AN592" s="396"/>
      <c r="AO592" s="200"/>
      <c r="AP592" s="200"/>
    </row>
    <row r="593">
      <c r="A593" s="395"/>
      <c r="B593" s="317"/>
      <c r="C593" s="394"/>
      <c r="D593" s="396"/>
      <c r="E593" s="395"/>
      <c r="F593" s="317"/>
      <c r="G593" s="394"/>
      <c r="H593" s="396"/>
      <c r="I593" s="395"/>
      <c r="J593" s="317"/>
      <c r="K593" s="394"/>
      <c r="L593" s="396"/>
      <c r="M593" s="395"/>
      <c r="N593" s="317"/>
      <c r="O593" s="394"/>
      <c r="P593" s="396"/>
      <c r="Q593" s="403"/>
      <c r="R593" s="404"/>
      <c r="S593" s="405"/>
      <c r="T593" s="401"/>
      <c r="U593" s="403"/>
      <c r="V593" s="404"/>
      <c r="W593" s="405"/>
      <c r="X593" s="401"/>
      <c r="Y593" s="403"/>
      <c r="Z593" s="404"/>
      <c r="AA593" s="405"/>
      <c r="AB593" s="401"/>
      <c r="AC593" s="403"/>
      <c r="AD593" s="404"/>
      <c r="AE593" s="405"/>
      <c r="AF593" s="401"/>
      <c r="AG593" s="292"/>
      <c r="AH593" s="292"/>
      <c r="AI593" s="292"/>
      <c r="AJ593" s="292"/>
      <c r="AK593" s="395"/>
      <c r="AL593" s="317"/>
      <c r="AM593" s="394"/>
      <c r="AN593" s="396"/>
      <c r="AO593" s="200"/>
      <c r="AP593" s="200"/>
    </row>
    <row r="594">
      <c r="A594" s="395"/>
      <c r="B594" s="317"/>
      <c r="C594" s="394"/>
      <c r="D594" s="396"/>
      <c r="E594" s="395"/>
      <c r="F594" s="317"/>
      <c r="G594" s="394"/>
      <c r="H594" s="396"/>
      <c r="I594" s="395"/>
      <c r="J594" s="317"/>
      <c r="K594" s="394"/>
      <c r="L594" s="396"/>
      <c r="M594" s="395"/>
      <c r="N594" s="317"/>
      <c r="O594" s="394"/>
      <c r="P594" s="396"/>
      <c r="Q594" s="403"/>
      <c r="R594" s="404"/>
      <c r="S594" s="405"/>
      <c r="T594" s="401"/>
      <c r="U594" s="403"/>
      <c r="V594" s="404"/>
      <c r="W594" s="405"/>
      <c r="X594" s="401"/>
      <c r="Y594" s="403"/>
      <c r="Z594" s="404"/>
      <c r="AA594" s="405"/>
      <c r="AB594" s="401"/>
      <c r="AC594" s="403"/>
      <c r="AD594" s="404"/>
      <c r="AE594" s="405"/>
      <c r="AF594" s="401"/>
      <c r="AG594" s="292"/>
      <c r="AH594" s="292"/>
      <c r="AI594" s="292"/>
      <c r="AJ594" s="292"/>
      <c r="AK594" s="395"/>
      <c r="AL594" s="317"/>
      <c r="AM594" s="394"/>
      <c r="AN594" s="396"/>
      <c r="AO594" s="200"/>
      <c r="AP594" s="200"/>
    </row>
    <row r="595">
      <c r="A595" s="395"/>
      <c r="B595" s="317"/>
      <c r="C595" s="394"/>
      <c r="D595" s="396"/>
      <c r="E595" s="395"/>
      <c r="F595" s="317"/>
      <c r="G595" s="394"/>
      <c r="H595" s="396"/>
      <c r="I595" s="395"/>
      <c r="J595" s="317"/>
      <c r="K595" s="394"/>
      <c r="L595" s="396"/>
      <c r="M595" s="395"/>
      <c r="N595" s="317"/>
      <c r="O595" s="394"/>
      <c r="P595" s="396"/>
      <c r="Q595" s="403"/>
      <c r="R595" s="404"/>
      <c r="S595" s="405"/>
      <c r="T595" s="401"/>
      <c r="U595" s="403"/>
      <c r="V595" s="404"/>
      <c r="W595" s="405"/>
      <c r="X595" s="401"/>
      <c r="Y595" s="403"/>
      <c r="Z595" s="404"/>
      <c r="AA595" s="405"/>
      <c r="AB595" s="401"/>
      <c r="AC595" s="403"/>
      <c r="AD595" s="404"/>
      <c r="AE595" s="405"/>
      <c r="AF595" s="401"/>
      <c r="AG595" s="292"/>
      <c r="AH595" s="292"/>
      <c r="AI595" s="292"/>
      <c r="AJ595" s="292"/>
      <c r="AK595" s="395"/>
      <c r="AL595" s="317"/>
      <c r="AM595" s="394"/>
      <c r="AN595" s="396"/>
      <c r="AO595" s="200"/>
      <c r="AP595" s="200"/>
    </row>
    <row r="596">
      <c r="A596" s="395"/>
      <c r="B596" s="317"/>
      <c r="C596" s="394"/>
      <c r="D596" s="396"/>
      <c r="E596" s="395"/>
      <c r="F596" s="317"/>
      <c r="G596" s="394"/>
      <c r="H596" s="396"/>
      <c r="I596" s="395"/>
      <c r="J596" s="317"/>
      <c r="K596" s="394"/>
      <c r="L596" s="396"/>
      <c r="M596" s="395"/>
      <c r="N596" s="317"/>
      <c r="O596" s="394"/>
      <c r="P596" s="396"/>
      <c r="Q596" s="403"/>
      <c r="R596" s="404"/>
      <c r="S596" s="405"/>
      <c r="T596" s="401"/>
      <c r="U596" s="403"/>
      <c r="V596" s="404"/>
      <c r="W596" s="405"/>
      <c r="X596" s="401"/>
      <c r="Y596" s="403"/>
      <c r="Z596" s="404"/>
      <c r="AA596" s="405"/>
      <c r="AB596" s="401"/>
      <c r="AC596" s="403"/>
      <c r="AD596" s="404"/>
      <c r="AE596" s="405"/>
      <c r="AF596" s="401"/>
      <c r="AG596" s="292"/>
      <c r="AH596" s="292"/>
      <c r="AI596" s="292"/>
      <c r="AJ596" s="292"/>
      <c r="AK596" s="395"/>
      <c r="AL596" s="317"/>
      <c r="AM596" s="394"/>
      <c r="AN596" s="396"/>
      <c r="AO596" s="200"/>
      <c r="AP596" s="200"/>
    </row>
    <row r="597">
      <c r="A597" s="395"/>
      <c r="B597" s="317"/>
      <c r="C597" s="394"/>
      <c r="D597" s="396"/>
      <c r="E597" s="395"/>
      <c r="F597" s="317"/>
      <c r="G597" s="394"/>
      <c r="H597" s="396"/>
      <c r="I597" s="395"/>
      <c r="J597" s="317"/>
      <c r="K597" s="394"/>
      <c r="L597" s="396"/>
      <c r="M597" s="395"/>
      <c r="N597" s="317"/>
      <c r="O597" s="394"/>
      <c r="P597" s="396"/>
      <c r="Q597" s="403"/>
      <c r="R597" s="404"/>
      <c r="S597" s="405"/>
      <c r="T597" s="401"/>
      <c r="U597" s="403"/>
      <c r="V597" s="404"/>
      <c r="W597" s="405"/>
      <c r="X597" s="401"/>
      <c r="Y597" s="403"/>
      <c r="Z597" s="404"/>
      <c r="AA597" s="405"/>
      <c r="AB597" s="401"/>
      <c r="AC597" s="403"/>
      <c r="AD597" s="404"/>
      <c r="AE597" s="405"/>
      <c r="AF597" s="401"/>
      <c r="AG597" s="292"/>
      <c r="AH597" s="292"/>
      <c r="AI597" s="292"/>
      <c r="AJ597" s="292"/>
      <c r="AK597" s="395"/>
      <c r="AL597" s="317"/>
      <c r="AM597" s="394"/>
      <c r="AN597" s="396"/>
      <c r="AO597" s="200"/>
      <c r="AP597" s="200"/>
    </row>
    <row r="598">
      <c r="A598" s="395"/>
      <c r="B598" s="317"/>
      <c r="C598" s="394"/>
      <c r="D598" s="396"/>
      <c r="E598" s="395"/>
      <c r="F598" s="317"/>
      <c r="G598" s="394"/>
      <c r="H598" s="396"/>
      <c r="I598" s="395"/>
      <c r="J598" s="317"/>
      <c r="K598" s="394"/>
      <c r="L598" s="396"/>
      <c r="M598" s="395"/>
      <c r="N598" s="317"/>
      <c r="O598" s="394"/>
      <c r="P598" s="396"/>
      <c r="Q598" s="403"/>
      <c r="R598" s="404"/>
      <c r="S598" s="405"/>
      <c r="T598" s="401"/>
      <c r="U598" s="403"/>
      <c r="V598" s="404"/>
      <c r="W598" s="405"/>
      <c r="X598" s="401"/>
      <c r="Y598" s="403"/>
      <c r="Z598" s="404"/>
      <c r="AA598" s="405"/>
      <c r="AB598" s="401"/>
      <c r="AC598" s="403"/>
      <c r="AD598" s="404"/>
      <c r="AE598" s="405"/>
      <c r="AF598" s="401"/>
      <c r="AG598" s="292"/>
      <c r="AH598" s="292"/>
      <c r="AI598" s="292"/>
      <c r="AJ598" s="292"/>
      <c r="AK598" s="395"/>
      <c r="AL598" s="317"/>
      <c r="AM598" s="394"/>
      <c r="AN598" s="396"/>
      <c r="AO598" s="200"/>
      <c r="AP598" s="200"/>
    </row>
    <row r="599">
      <c r="A599" s="395"/>
      <c r="B599" s="317"/>
      <c r="C599" s="394"/>
      <c r="D599" s="396"/>
      <c r="E599" s="395"/>
      <c r="F599" s="317"/>
      <c r="G599" s="394"/>
      <c r="H599" s="396"/>
      <c r="I599" s="395"/>
      <c r="J599" s="317"/>
      <c r="K599" s="394"/>
      <c r="L599" s="396"/>
      <c r="M599" s="395"/>
      <c r="N599" s="317"/>
      <c r="O599" s="394"/>
      <c r="P599" s="396"/>
      <c r="Q599" s="403"/>
      <c r="R599" s="404"/>
      <c r="S599" s="405"/>
      <c r="T599" s="401"/>
      <c r="U599" s="403"/>
      <c r="V599" s="404"/>
      <c r="W599" s="405"/>
      <c r="X599" s="401"/>
      <c r="Y599" s="403"/>
      <c r="Z599" s="404"/>
      <c r="AA599" s="405"/>
      <c r="AB599" s="401"/>
      <c r="AC599" s="403"/>
      <c r="AD599" s="404"/>
      <c r="AE599" s="405"/>
      <c r="AF599" s="401"/>
      <c r="AG599" s="292"/>
      <c r="AH599" s="292"/>
      <c r="AI599" s="292"/>
      <c r="AJ599" s="292"/>
      <c r="AK599" s="395"/>
      <c r="AL599" s="317"/>
      <c r="AM599" s="394"/>
      <c r="AN599" s="396"/>
      <c r="AO599" s="200"/>
      <c r="AP599" s="200"/>
    </row>
    <row r="600">
      <c r="A600" s="395"/>
      <c r="B600" s="317"/>
      <c r="C600" s="394"/>
      <c r="D600" s="396"/>
      <c r="E600" s="395"/>
      <c r="F600" s="317"/>
      <c r="G600" s="394"/>
      <c r="H600" s="396"/>
      <c r="I600" s="395"/>
      <c r="J600" s="317"/>
      <c r="K600" s="394"/>
      <c r="L600" s="396"/>
      <c r="M600" s="395"/>
      <c r="N600" s="317"/>
      <c r="O600" s="394"/>
      <c r="P600" s="396"/>
      <c r="Q600" s="403"/>
      <c r="R600" s="404"/>
      <c r="S600" s="405"/>
      <c r="T600" s="401"/>
      <c r="U600" s="403"/>
      <c r="V600" s="404"/>
      <c r="W600" s="405"/>
      <c r="X600" s="401"/>
      <c r="Y600" s="403"/>
      <c r="Z600" s="404"/>
      <c r="AA600" s="405"/>
      <c r="AB600" s="401"/>
      <c r="AC600" s="403"/>
      <c r="AD600" s="404"/>
      <c r="AE600" s="405"/>
      <c r="AF600" s="401"/>
      <c r="AG600" s="292"/>
      <c r="AH600" s="292"/>
      <c r="AI600" s="292"/>
      <c r="AJ600" s="292"/>
      <c r="AK600" s="395"/>
      <c r="AL600" s="317"/>
      <c r="AM600" s="394"/>
      <c r="AN600" s="396"/>
      <c r="AO600" s="200"/>
      <c r="AP600" s="200"/>
    </row>
    <row r="601">
      <c r="A601" s="395"/>
      <c r="B601" s="317"/>
      <c r="C601" s="394"/>
      <c r="D601" s="396"/>
      <c r="E601" s="395"/>
      <c r="F601" s="317"/>
      <c r="G601" s="394"/>
      <c r="H601" s="396"/>
      <c r="I601" s="395"/>
      <c r="J601" s="317"/>
      <c r="K601" s="394"/>
      <c r="L601" s="396"/>
      <c r="M601" s="395"/>
      <c r="N601" s="317"/>
      <c r="O601" s="394"/>
      <c r="P601" s="396"/>
      <c r="Q601" s="403"/>
      <c r="R601" s="404"/>
      <c r="S601" s="405"/>
      <c r="T601" s="401"/>
      <c r="U601" s="403"/>
      <c r="V601" s="404"/>
      <c r="W601" s="405"/>
      <c r="X601" s="401"/>
      <c r="Y601" s="403"/>
      <c r="Z601" s="404"/>
      <c r="AA601" s="405"/>
      <c r="AB601" s="401"/>
      <c r="AC601" s="403"/>
      <c r="AD601" s="404"/>
      <c r="AE601" s="405"/>
      <c r="AF601" s="401"/>
      <c r="AG601" s="292"/>
      <c r="AH601" s="292"/>
      <c r="AI601" s="292"/>
      <c r="AJ601" s="292"/>
      <c r="AK601" s="395"/>
      <c r="AL601" s="317"/>
      <c r="AM601" s="394"/>
      <c r="AN601" s="396"/>
      <c r="AO601" s="200"/>
      <c r="AP601" s="200"/>
    </row>
    <row r="602">
      <c r="A602" s="395"/>
      <c r="B602" s="317"/>
      <c r="C602" s="394"/>
      <c r="D602" s="396"/>
      <c r="E602" s="395"/>
      <c r="F602" s="317"/>
      <c r="G602" s="394"/>
      <c r="H602" s="396"/>
      <c r="I602" s="395"/>
      <c r="J602" s="317"/>
      <c r="K602" s="394"/>
      <c r="L602" s="396"/>
      <c r="M602" s="395"/>
      <c r="N602" s="317"/>
      <c r="O602" s="394"/>
      <c r="P602" s="396"/>
      <c r="Q602" s="403"/>
      <c r="R602" s="404"/>
      <c r="S602" s="405"/>
      <c r="T602" s="401"/>
      <c r="U602" s="403"/>
      <c r="V602" s="404"/>
      <c r="W602" s="405"/>
      <c r="X602" s="401"/>
      <c r="Y602" s="403"/>
      <c r="Z602" s="404"/>
      <c r="AA602" s="405"/>
      <c r="AB602" s="401"/>
      <c r="AC602" s="403"/>
      <c r="AD602" s="404"/>
      <c r="AE602" s="405"/>
      <c r="AF602" s="401"/>
      <c r="AG602" s="292"/>
      <c r="AH602" s="292"/>
      <c r="AI602" s="292"/>
      <c r="AJ602" s="292"/>
      <c r="AK602" s="395"/>
      <c r="AL602" s="317"/>
      <c r="AM602" s="394"/>
      <c r="AN602" s="396"/>
      <c r="AO602" s="200"/>
      <c r="AP602" s="200"/>
    </row>
    <row r="603">
      <c r="A603" s="395"/>
      <c r="B603" s="317"/>
      <c r="C603" s="394"/>
      <c r="D603" s="396"/>
      <c r="E603" s="395"/>
      <c r="F603" s="317"/>
      <c r="G603" s="394"/>
      <c r="H603" s="396"/>
      <c r="I603" s="395"/>
      <c r="J603" s="317"/>
      <c r="K603" s="394"/>
      <c r="L603" s="396"/>
      <c r="M603" s="395"/>
      <c r="N603" s="317"/>
      <c r="O603" s="394"/>
      <c r="P603" s="396"/>
      <c r="Q603" s="403"/>
      <c r="R603" s="404"/>
      <c r="S603" s="405"/>
      <c r="T603" s="401"/>
      <c r="U603" s="403"/>
      <c r="V603" s="404"/>
      <c r="W603" s="405"/>
      <c r="X603" s="401"/>
      <c r="Y603" s="403"/>
      <c r="Z603" s="404"/>
      <c r="AA603" s="405"/>
      <c r="AB603" s="401"/>
      <c r="AC603" s="403"/>
      <c r="AD603" s="404"/>
      <c r="AE603" s="405"/>
      <c r="AF603" s="401"/>
      <c r="AG603" s="292"/>
      <c r="AH603" s="292"/>
      <c r="AI603" s="292"/>
      <c r="AJ603" s="292"/>
      <c r="AK603" s="395"/>
      <c r="AL603" s="317"/>
      <c r="AM603" s="394"/>
      <c r="AN603" s="396"/>
      <c r="AO603" s="200"/>
      <c r="AP603" s="200"/>
    </row>
    <row r="604">
      <c r="A604" s="395"/>
      <c r="B604" s="317"/>
      <c r="C604" s="394"/>
      <c r="D604" s="396"/>
      <c r="E604" s="395"/>
      <c r="F604" s="317"/>
      <c r="G604" s="394"/>
      <c r="H604" s="396"/>
      <c r="I604" s="395"/>
      <c r="J604" s="317"/>
      <c r="K604" s="394"/>
      <c r="L604" s="396"/>
      <c r="M604" s="395"/>
      <c r="N604" s="317"/>
      <c r="O604" s="394"/>
      <c r="P604" s="396"/>
      <c r="Q604" s="403"/>
      <c r="R604" s="404"/>
      <c r="S604" s="405"/>
      <c r="T604" s="401"/>
      <c r="U604" s="403"/>
      <c r="V604" s="404"/>
      <c r="W604" s="405"/>
      <c r="X604" s="401"/>
      <c r="Y604" s="403"/>
      <c r="Z604" s="404"/>
      <c r="AA604" s="405"/>
      <c r="AB604" s="401"/>
      <c r="AC604" s="403"/>
      <c r="AD604" s="404"/>
      <c r="AE604" s="405"/>
      <c r="AF604" s="401"/>
      <c r="AG604" s="292"/>
      <c r="AH604" s="292"/>
      <c r="AI604" s="292"/>
      <c r="AJ604" s="292"/>
      <c r="AK604" s="395"/>
      <c r="AL604" s="317"/>
      <c r="AM604" s="394"/>
      <c r="AN604" s="396"/>
      <c r="AO604" s="200"/>
      <c r="AP604" s="200"/>
    </row>
    <row r="605">
      <c r="A605" s="395"/>
      <c r="B605" s="317"/>
      <c r="C605" s="394"/>
      <c r="D605" s="396"/>
      <c r="E605" s="395"/>
      <c r="F605" s="317"/>
      <c r="G605" s="394"/>
      <c r="H605" s="396"/>
      <c r="I605" s="395"/>
      <c r="J605" s="317"/>
      <c r="K605" s="394"/>
      <c r="L605" s="396"/>
      <c r="M605" s="395"/>
      <c r="N605" s="317"/>
      <c r="O605" s="394"/>
      <c r="P605" s="396"/>
      <c r="Q605" s="403"/>
      <c r="R605" s="404"/>
      <c r="S605" s="405"/>
      <c r="T605" s="401"/>
      <c r="U605" s="403"/>
      <c r="V605" s="404"/>
      <c r="W605" s="405"/>
      <c r="X605" s="401"/>
      <c r="Y605" s="403"/>
      <c r="Z605" s="404"/>
      <c r="AA605" s="405"/>
      <c r="AB605" s="401"/>
      <c r="AC605" s="403"/>
      <c r="AD605" s="404"/>
      <c r="AE605" s="405"/>
      <c r="AF605" s="401"/>
      <c r="AG605" s="292"/>
      <c r="AH605" s="292"/>
      <c r="AI605" s="292"/>
      <c r="AJ605" s="292"/>
      <c r="AK605" s="395"/>
      <c r="AL605" s="317"/>
      <c r="AM605" s="394"/>
      <c r="AN605" s="396"/>
      <c r="AO605" s="200"/>
      <c r="AP605" s="200"/>
    </row>
    <row r="606">
      <c r="A606" s="395"/>
      <c r="B606" s="317"/>
      <c r="C606" s="394"/>
      <c r="D606" s="396"/>
      <c r="E606" s="395"/>
      <c r="F606" s="317"/>
      <c r="G606" s="394"/>
      <c r="H606" s="396"/>
      <c r="I606" s="395"/>
      <c r="J606" s="317"/>
      <c r="K606" s="394"/>
      <c r="L606" s="396"/>
      <c r="M606" s="395"/>
      <c r="N606" s="317"/>
      <c r="O606" s="394"/>
      <c r="P606" s="396"/>
      <c r="Q606" s="403"/>
      <c r="R606" s="404"/>
      <c r="S606" s="405"/>
      <c r="T606" s="401"/>
      <c r="U606" s="403"/>
      <c r="V606" s="404"/>
      <c r="W606" s="405"/>
      <c r="X606" s="401"/>
      <c r="Y606" s="403"/>
      <c r="Z606" s="404"/>
      <c r="AA606" s="405"/>
      <c r="AB606" s="401"/>
      <c r="AC606" s="403"/>
      <c r="AD606" s="404"/>
      <c r="AE606" s="405"/>
      <c r="AF606" s="401"/>
      <c r="AG606" s="292"/>
      <c r="AH606" s="292"/>
      <c r="AI606" s="292"/>
      <c r="AJ606" s="292"/>
      <c r="AK606" s="395"/>
      <c r="AL606" s="317"/>
      <c r="AM606" s="394"/>
      <c r="AN606" s="396"/>
      <c r="AO606" s="200"/>
      <c r="AP606" s="200"/>
    </row>
    <row r="607">
      <c r="A607" s="395"/>
      <c r="B607" s="317"/>
      <c r="C607" s="394"/>
      <c r="D607" s="396"/>
      <c r="E607" s="395"/>
      <c r="F607" s="317"/>
      <c r="G607" s="394"/>
      <c r="H607" s="396"/>
      <c r="I607" s="395"/>
      <c r="J607" s="317"/>
      <c r="K607" s="394"/>
      <c r="L607" s="396"/>
      <c r="M607" s="395"/>
      <c r="N607" s="317"/>
      <c r="O607" s="394"/>
      <c r="P607" s="396"/>
      <c r="Q607" s="403"/>
      <c r="R607" s="404"/>
      <c r="S607" s="405"/>
      <c r="T607" s="401"/>
      <c r="U607" s="403"/>
      <c r="V607" s="404"/>
      <c r="W607" s="405"/>
      <c r="X607" s="401"/>
      <c r="Y607" s="403"/>
      <c r="Z607" s="404"/>
      <c r="AA607" s="405"/>
      <c r="AB607" s="401"/>
      <c r="AC607" s="403"/>
      <c r="AD607" s="404"/>
      <c r="AE607" s="405"/>
      <c r="AF607" s="401"/>
      <c r="AG607" s="292"/>
      <c r="AH607" s="292"/>
      <c r="AI607" s="292"/>
      <c r="AJ607" s="292"/>
      <c r="AK607" s="395"/>
      <c r="AL607" s="317"/>
      <c r="AM607" s="394"/>
      <c r="AN607" s="396"/>
      <c r="AO607" s="200"/>
      <c r="AP607" s="200"/>
    </row>
    <row r="608">
      <c r="A608" s="395"/>
      <c r="B608" s="317"/>
      <c r="C608" s="394"/>
      <c r="D608" s="396"/>
      <c r="E608" s="395"/>
      <c r="F608" s="317"/>
      <c r="G608" s="394"/>
      <c r="H608" s="396"/>
      <c r="I608" s="395"/>
      <c r="J608" s="317"/>
      <c r="K608" s="394"/>
      <c r="L608" s="396"/>
      <c r="M608" s="395"/>
      <c r="N608" s="317"/>
      <c r="O608" s="394"/>
      <c r="P608" s="396"/>
      <c r="Q608" s="403"/>
      <c r="R608" s="404"/>
      <c r="S608" s="405"/>
      <c r="T608" s="401"/>
      <c r="U608" s="403"/>
      <c r="V608" s="404"/>
      <c r="W608" s="405"/>
      <c r="X608" s="401"/>
      <c r="Y608" s="403"/>
      <c r="Z608" s="404"/>
      <c r="AA608" s="405"/>
      <c r="AB608" s="401"/>
      <c r="AC608" s="403"/>
      <c r="AD608" s="404"/>
      <c r="AE608" s="405"/>
      <c r="AF608" s="401"/>
      <c r="AG608" s="292"/>
      <c r="AH608" s="292"/>
      <c r="AI608" s="292"/>
      <c r="AJ608" s="292"/>
      <c r="AK608" s="395"/>
      <c r="AL608" s="317"/>
      <c r="AM608" s="394"/>
      <c r="AN608" s="396"/>
      <c r="AO608" s="200"/>
      <c r="AP608" s="200"/>
    </row>
    <row r="609">
      <c r="A609" s="395"/>
      <c r="B609" s="317"/>
      <c r="C609" s="394"/>
      <c r="D609" s="396"/>
      <c r="E609" s="395"/>
      <c r="F609" s="317"/>
      <c r="G609" s="394"/>
      <c r="H609" s="396"/>
      <c r="I609" s="395"/>
      <c r="J609" s="317"/>
      <c r="K609" s="394"/>
      <c r="L609" s="396"/>
      <c r="M609" s="395"/>
      <c r="N609" s="317"/>
      <c r="O609" s="394"/>
      <c r="P609" s="396"/>
      <c r="Q609" s="403"/>
      <c r="R609" s="404"/>
      <c r="S609" s="405"/>
      <c r="T609" s="401"/>
      <c r="U609" s="403"/>
      <c r="V609" s="404"/>
      <c r="W609" s="405"/>
      <c r="X609" s="401"/>
      <c r="Y609" s="403"/>
      <c r="Z609" s="404"/>
      <c r="AA609" s="405"/>
      <c r="AB609" s="401"/>
      <c r="AC609" s="403"/>
      <c r="AD609" s="404"/>
      <c r="AE609" s="405"/>
      <c r="AF609" s="401"/>
      <c r="AG609" s="292"/>
      <c r="AH609" s="292"/>
      <c r="AI609" s="292"/>
      <c r="AJ609" s="292"/>
      <c r="AK609" s="395"/>
      <c r="AL609" s="317"/>
      <c r="AM609" s="394"/>
      <c r="AN609" s="396"/>
      <c r="AO609" s="200"/>
      <c r="AP609" s="200"/>
    </row>
    <row r="610">
      <c r="A610" s="395"/>
      <c r="B610" s="317"/>
      <c r="C610" s="394"/>
      <c r="D610" s="396"/>
      <c r="E610" s="395"/>
      <c r="F610" s="317"/>
      <c r="G610" s="394"/>
      <c r="H610" s="396"/>
      <c r="I610" s="395"/>
      <c r="J610" s="317"/>
      <c r="K610" s="394"/>
      <c r="L610" s="396"/>
      <c r="M610" s="395"/>
      <c r="N610" s="317"/>
      <c r="O610" s="394"/>
      <c r="P610" s="396"/>
      <c r="Q610" s="403"/>
      <c r="R610" s="404"/>
      <c r="S610" s="405"/>
      <c r="T610" s="401"/>
      <c r="U610" s="403"/>
      <c r="V610" s="404"/>
      <c r="W610" s="405"/>
      <c r="X610" s="401"/>
      <c r="Y610" s="403"/>
      <c r="Z610" s="404"/>
      <c r="AA610" s="405"/>
      <c r="AB610" s="401"/>
      <c r="AC610" s="403"/>
      <c r="AD610" s="404"/>
      <c r="AE610" s="405"/>
      <c r="AF610" s="401"/>
      <c r="AG610" s="292"/>
      <c r="AH610" s="292"/>
      <c r="AI610" s="292"/>
      <c r="AJ610" s="292"/>
      <c r="AK610" s="395"/>
      <c r="AL610" s="317"/>
      <c r="AM610" s="394"/>
      <c r="AN610" s="396"/>
      <c r="AO610" s="200"/>
      <c r="AP610" s="200"/>
    </row>
    <row r="611">
      <c r="A611" s="395"/>
      <c r="B611" s="317"/>
      <c r="C611" s="394"/>
      <c r="D611" s="396"/>
      <c r="E611" s="395"/>
      <c r="F611" s="317"/>
      <c r="G611" s="394"/>
      <c r="H611" s="396"/>
      <c r="I611" s="395"/>
      <c r="J611" s="317"/>
      <c r="K611" s="394"/>
      <c r="L611" s="396"/>
      <c r="M611" s="395"/>
      <c r="N611" s="317"/>
      <c r="O611" s="394"/>
      <c r="P611" s="396"/>
      <c r="Q611" s="403"/>
      <c r="R611" s="404"/>
      <c r="S611" s="405"/>
      <c r="T611" s="401"/>
      <c r="U611" s="403"/>
      <c r="V611" s="404"/>
      <c r="W611" s="405"/>
      <c r="X611" s="401"/>
      <c r="Y611" s="403"/>
      <c r="Z611" s="404"/>
      <c r="AA611" s="405"/>
      <c r="AB611" s="401"/>
      <c r="AC611" s="403"/>
      <c r="AD611" s="404"/>
      <c r="AE611" s="405"/>
      <c r="AF611" s="401"/>
      <c r="AG611" s="292"/>
      <c r="AH611" s="292"/>
      <c r="AI611" s="292"/>
      <c r="AJ611" s="292"/>
      <c r="AK611" s="395"/>
      <c r="AL611" s="317"/>
      <c r="AM611" s="394"/>
      <c r="AN611" s="396"/>
      <c r="AO611" s="200"/>
      <c r="AP611" s="200"/>
    </row>
    <row r="612">
      <c r="A612" s="395"/>
      <c r="B612" s="317"/>
      <c r="C612" s="394"/>
      <c r="D612" s="396"/>
      <c r="E612" s="395"/>
      <c r="F612" s="317"/>
      <c r="G612" s="394"/>
      <c r="H612" s="396"/>
      <c r="I612" s="395"/>
      <c r="J612" s="317"/>
      <c r="K612" s="394"/>
      <c r="L612" s="396"/>
      <c r="M612" s="395"/>
      <c r="N612" s="317"/>
      <c r="O612" s="394"/>
      <c r="P612" s="396"/>
      <c r="Q612" s="403"/>
      <c r="R612" s="404"/>
      <c r="S612" s="405"/>
      <c r="T612" s="401"/>
      <c r="U612" s="403"/>
      <c r="V612" s="404"/>
      <c r="W612" s="405"/>
      <c r="X612" s="401"/>
      <c r="Y612" s="403"/>
      <c r="Z612" s="404"/>
      <c r="AA612" s="405"/>
      <c r="AB612" s="401"/>
      <c r="AC612" s="403"/>
      <c r="AD612" s="404"/>
      <c r="AE612" s="405"/>
      <c r="AF612" s="401"/>
      <c r="AG612" s="292"/>
      <c r="AH612" s="292"/>
      <c r="AI612" s="292"/>
      <c r="AJ612" s="292"/>
      <c r="AK612" s="395"/>
      <c r="AL612" s="317"/>
      <c r="AM612" s="394"/>
      <c r="AN612" s="396"/>
      <c r="AO612" s="200"/>
      <c r="AP612" s="200"/>
    </row>
    <row r="613">
      <c r="A613" s="395"/>
      <c r="B613" s="317"/>
      <c r="C613" s="394"/>
      <c r="D613" s="396"/>
      <c r="E613" s="395"/>
      <c r="F613" s="317"/>
      <c r="G613" s="394"/>
      <c r="H613" s="396"/>
      <c r="I613" s="395"/>
      <c r="J613" s="317"/>
      <c r="K613" s="394"/>
      <c r="L613" s="396"/>
      <c r="M613" s="395"/>
      <c r="N613" s="317"/>
      <c r="O613" s="394"/>
      <c r="P613" s="396"/>
      <c r="Q613" s="403"/>
      <c r="R613" s="404"/>
      <c r="S613" s="405"/>
      <c r="T613" s="401"/>
      <c r="U613" s="403"/>
      <c r="V613" s="404"/>
      <c r="W613" s="405"/>
      <c r="X613" s="401"/>
      <c r="Y613" s="403"/>
      <c r="Z613" s="404"/>
      <c r="AA613" s="405"/>
      <c r="AB613" s="401"/>
      <c r="AC613" s="403"/>
      <c r="AD613" s="404"/>
      <c r="AE613" s="405"/>
      <c r="AF613" s="401"/>
      <c r="AG613" s="292"/>
      <c r="AH613" s="292"/>
      <c r="AI613" s="292"/>
      <c r="AJ613" s="292"/>
      <c r="AK613" s="395"/>
      <c r="AL613" s="317"/>
      <c r="AM613" s="394"/>
      <c r="AN613" s="396"/>
      <c r="AO613" s="200"/>
      <c r="AP613" s="200"/>
    </row>
    <row r="614">
      <c r="A614" s="395"/>
      <c r="B614" s="317"/>
      <c r="C614" s="394"/>
      <c r="D614" s="396"/>
      <c r="E614" s="395"/>
      <c r="F614" s="317"/>
      <c r="G614" s="394"/>
      <c r="H614" s="396"/>
      <c r="I614" s="395"/>
      <c r="J614" s="317"/>
      <c r="K614" s="394"/>
      <c r="L614" s="396"/>
      <c r="M614" s="395"/>
      <c r="N614" s="317"/>
      <c r="O614" s="394"/>
      <c r="P614" s="396"/>
      <c r="Q614" s="403"/>
      <c r="R614" s="404"/>
      <c r="S614" s="405"/>
      <c r="T614" s="401"/>
      <c r="U614" s="403"/>
      <c r="V614" s="404"/>
      <c r="W614" s="405"/>
      <c r="X614" s="401"/>
      <c r="Y614" s="403"/>
      <c r="Z614" s="404"/>
      <c r="AA614" s="405"/>
      <c r="AB614" s="401"/>
      <c r="AC614" s="403"/>
      <c r="AD614" s="404"/>
      <c r="AE614" s="405"/>
      <c r="AF614" s="401"/>
      <c r="AG614" s="292"/>
      <c r="AH614" s="292"/>
      <c r="AI614" s="292"/>
      <c r="AJ614" s="292"/>
      <c r="AK614" s="395"/>
      <c r="AL614" s="317"/>
      <c r="AM614" s="394"/>
      <c r="AN614" s="396"/>
      <c r="AO614" s="200"/>
      <c r="AP614" s="200"/>
    </row>
    <row r="615">
      <c r="A615" s="395"/>
      <c r="B615" s="317"/>
      <c r="C615" s="394"/>
      <c r="D615" s="396"/>
      <c r="E615" s="395"/>
      <c r="F615" s="317"/>
      <c r="G615" s="394"/>
      <c r="H615" s="396"/>
      <c r="I615" s="395"/>
      <c r="J615" s="317"/>
      <c r="K615" s="394"/>
      <c r="L615" s="396"/>
      <c r="M615" s="395"/>
      <c r="N615" s="317"/>
      <c r="O615" s="394"/>
      <c r="P615" s="396"/>
      <c r="Q615" s="403"/>
      <c r="R615" s="404"/>
      <c r="S615" s="405"/>
      <c r="T615" s="401"/>
      <c r="U615" s="403"/>
      <c r="V615" s="404"/>
      <c r="W615" s="405"/>
      <c r="X615" s="401"/>
      <c r="Y615" s="403"/>
      <c r="Z615" s="404"/>
      <c r="AA615" s="405"/>
      <c r="AB615" s="401"/>
      <c r="AC615" s="403"/>
      <c r="AD615" s="404"/>
      <c r="AE615" s="405"/>
      <c r="AF615" s="401"/>
      <c r="AG615" s="292"/>
      <c r="AH615" s="292"/>
      <c r="AI615" s="292"/>
      <c r="AJ615" s="292"/>
      <c r="AK615" s="395"/>
      <c r="AL615" s="317"/>
      <c r="AM615" s="394"/>
      <c r="AN615" s="396"/>
      <c r="AO615" s="200"/>
      <c r="AP615" s="200"/>
    </row>
    <row r="616">
      <c r="A616" s="395"/>
      <c r="B616" s="317"/>
      <c r="C616" s="394"/>
      <c r="D616" s="396"/>
      <c r="E616" s="395"/>
      <c r="F616" s="317"/>
      <c r="G616" s="394"/>
      <c r="H616" s="396"/>
      <c r="I616" s="395"/>
      <c r="J616" s="317"/>
      <c r="K616" s="394"/>
      <c r="L616" s="396"/>
      <c r="M616" s="395"/>
      <c r="N616" s="317"/>
      <c r="O616" s="394"/>
      <c r="P616" s="396"/>
      <c r="Q616" s="403"/>
      <c r="R616" s="404"/>
      <c r="S616" s="405"/>
      <c r="T616" s="401"/>
      <c r="U616" s="403"/>
      <c r="V616" s="404"/>
      <c r="W616" s="405"/>
      <c r="X616" s="401"/>
      <c r="Y616" s="403"/>
      <c r="Z616" s="404"/>
      <c r="AA616" s="405"/>
      <c r="AB616" s="401"/>
      <c r="AC616" s="403"/>
      <c r="AD616" s="404"/>
      <c r="AE616" s="405"/>
      <c r="AF616" s="401"/>
      <c r="AG616" s="292"/>
      <c r="AH616" s="292"/>
      <c r="AI616" s="292"/>
      <c r="AJ616" s="292"/>
      <c r="AK616" s="395"/>
      <c r="AL616" s="317"/>
      <c r="AM616" s="394"/>
      <c r="AN616" s="396"/>
      <c r="AO616" s="200"/>
      <c r="AP616" s="200"/>
    </row>
    <row r="617">
      <c r="A617" s="395"/>
      <c r="B617" s="317"/>
      <c r="C617" s="394"/>
      <c r="D617" s="396"/>
      <c r="E617" s="395"/>
      <c r="F617" s="317"/>
      <c r="G617" s="394"/>
      <c r="H617" s="396"/>
      <c r="I617" s="395"/>
      <c r="J617" s="317"/>
      <c r="K617" s="394"/>
      <c r="L617" s="396"/>
      <c r="M617" s="395"/>
      <c r="N617" s="317"/>
      <c r="O617" s="394"/>
      <c r="P617" s="396"/>
      <c r="Q617" s="403"/>
      <c r="R617" s="404"/>
      <c r="S617" s="405"/>
      <c r="T617" s="401"/>
      <c r="U617" s="403"/>
      <c r="V617" s="404"/>
      <c r="W617" s="405"/>
      <c r="X617" s="401"/>
      <c r="Y617" s="403"/>
      <c r="Z617" s="404"/>
      <c r="AA617" s="405"/>
      <c r="AB617" s="401"/>
      <c r="AC617" s="403"/>
      <c r="AD617" s="404"/>
      <c r="AE617" s="405"/>
      <c r="AF617" s="401"/>
      <c r="AG617" s="292"/>
      <c r="AH617" s="292"/>
      <c r="AI617" s="292"/>
      <c r="AJ617" s="292"/>
      <c r="AK617" s="395"/>
      <c r="AL617" s="317"/>
      <c r="AM617" s="394"/>
      <c r="AN617" s="396"/>
      <c r="AO617" s="200"/>
      <c r="AP617" s="200"/>
    </row>
    <row r="618">
      <c r="A618" s="395"/>
      <c r="B618" s="317"/>
      <c r="C618" s="394"/>
      <c r="D618" s="396"/>
      <c r="E618" s="395"/>
      <c r="F618" s="317"/>
      <c r="G618" s="394"/>
      <c r="H618" s="396"/>
      <c r="I618" s="395"/>
      <c r="J618" s="317"/>
      <c r="K618" s="394"/>
      <c r="L618" s="396"/>
      <c r="M618" s="395"/>
      <c r="N618" s="317"/>
      <c r="O618" s="394"/>
      <c r="P618" s="396"/>
      <c r="Q618" s="403"/>
      <c r="R618" s="404"/>
      <c r="S618" s="405"/>
      <c r="T618" s="401"/>
      <c r="U618" s="403"/>
      <c r="V618" s="404"/>
      <c r="W618" s="405"/>
      <c r="X618" s="401"/>
      <c r="Y618" s="403"/>
      <c r="Z618" s="404"/>
      <c r="AA618" s="405"/>
      <c r="AB618" s="401"/>
      <c r="AC618" s="403"/>
      <c r="AD618" s="404"/>
      <c r="AE618" s="405"/>
      <c r="AF618" s="401"/>
      <c r="AG618" s="292"/>
      <c r="AH618" s="292"/>
      <c r="AI618" s="292"/>
      <c r="AJ618" s="292"/>
      <c r="AK618" s="395"/>
      <c r="AL618" s="317"/>
      <c r="AM618" s="394"/>
      <c r="AN618" s="396"/>
      <c r="AO618" s="200"/>
      <c r="AP618" s="200"/>
    </row>
    <row r="619">
      <c r="A619" s="395"/>
      <c r="B619" s="317"/>
      <c r="C619" s="394"/>
      <c r="D619" s="396"/>
      <c r="E619" s="395"/>
      <c r="F619" s="317"/>
      <c r="G619" s="394"/>
      <c r="H619" s="396"/>
      <c r="I619" s="395"/>
      <c r="J619" s="317"/>
      <c r="K619" s="394"/>
      <c r="L619" s="396"/>
      <c r="M619" s="395"/>
      <c r="N619" s="317"/>
      <c r="O619" s="394"/>
      <c r="P619" s="396"/>
      <c r="Q619" s="403"/>
      <c r="R619" s="404"/>
      <c r="S619" s="405"/>
      <c r="T619" s="401"/>
      <c r="U619" s="403"/>
      <c r="V619" s="404"/>
      <c r="W619" s="405"/>
      <c r="X619" s="401"/>
      <c r="Y619" s="403"/>
      <c r="Z619" s="404"/>
      <c r="AA619" s="405"/>
      <c r="AB619" s="401"/>
      <c r="AC619" s="403"/>
      <c r="AD619" s="404"/>
      <c r="AE619" s="405"/>
      <c r="AF619" s="401"/>
      <c r="AG619" s="292"/>
      <c r="AH619" s="292"/>
      <c r="AI619" s="292"/>
      <c r="AJ619" s="292"/>
      <c r="AK619" s="395"/>
      <c r="AL619" s="317"/>
      <c r="AM619" s="394"/>
      <c r="AN619" s="396"/>
      <c r="AO619" s="200"/>
      <c r="AP619" s="200"/>
    </row>
    <row r="620">
      <c r="A620" s="395"/>
      <c r="B620" s="317"/>
      <c r="C620" s="394"/>
      <c r="D620" s="396"/>
      <c r="E620" s="395"/>
      <c r="F620" s="317"/>
      <c r="G620" s="394"/>
      <c r="H620" s="396"/>
      <c r="I620" s="395"/>
      <c r="J620" s="317"/>
      <c r="K620" s="394"/>
      <c r="L620" s="396"/>
      <c r="M620" s="395"/>
      <c r="N620" s="317"/>
      <c r="O620" s="394"/>
      <c r="P620" s="396"/>
      <c r="Q620" s="403"/>
      <c r="R620" s="404"/>
      <c r="S620" s="405"/>
      <c r="T620" s="401"/>
      <c r="U620" s="403"/>
      <c r="V620" s="404"/>
      <c r="W620" s="405"/>
      <c r="X620" s="401"/>
      <c r="Y620" s="403"/>
      <c r="Z620" s="404"/>
      <c r="AA620" s="405"/>
      <c r="AB620" s="401"/>
      <c r="AC620" s="403"/>
      <c r="AD620" s="404"/>
      <c r="AE620" s="405"/>
      <c r="AF620" s="401"/>
      <c r="AG620" s="292"/>
      <c r="AH620" s="292"/>
      <c r="AI620" s="292"/>
      <c r="AJ620" s="292"/>
      <c r="AK620" s="395"/>
      <c r="AL620" s="317"/>
      <c r="AM620" s="394"/>
      <c r="AN620" s="396"/>
      <c r="AO620" s="200"/>
      <c r="AP620" s="200"/>
    </row>
    <row r="621">
      <c r="A621" s="395"/>
      <c r="B621" s="317"/>
      <c r="C621" s="394"/>
      <c r="D621" s="396"/>
      <c r="E621" s="395"/>
      <c r="F621" s="317"/>
      <c r="G621" s="394"/>
      <c r="H621" s="396"/>
      <c r="I621" s="395"/>
      <c r="J621" s="317"/>
      <c r="K621" s="394"/>
      <c r="L621" s="396"/>
      <c r="M621" s="395"/>
      <c r="N621" s="317"/>
      <c r="O621" s="394"/>
      <c r="P621" s="396"/>
      <c r="Q621" s="403"/>
      <c r="R621" s="404"/>
      <c r="S621" s="405"/>
      <c r="T621" s="401"/>
      <c r="U621" s="403"/>
      <c r="V621" s="404"/>
      <c r="W621" s="405"/>
      <c r="X621" s="401"/>
      <c r="Y621" s="403"/>
      <c r="Z621" s="404"/>
      <c r="AA621" s="405"/>
      <c r="AB621" s="401"/>
      <c r="AC621" s="403"/>
      <c r="AD621" s="404"/>
      <c r="AE621" s="405"/>
      <c r="AF621" s="401"/>
      <c r="AG621" s="292"/>
      <c r="AH621" s="292"/>
      <c r="AI621" s="292"/>
      <c r="AJ621" s="292"/>
      <c r="AK621" s="395"/>
      <c r="AL621" s="317"/>
      <c r="AM621" s="394"/>
      <c r="AN621" s="396"/>
      <c r="AO621" s="200"/>
      <c r="AP621" s="200"/>
    </row>
    <row r="622">
      <c r="A622" s="395"/>
      <c r="B622" s="317"/>
      <c r="C622" s="394"/>
      <c r="D622" s="396"/>
      <c r="E622" s="395"/>
      <c r="F622" s="317"/>
      <c r="G622" s="394"/>
      <c r="H622" s="396"/>
      <c r="I622" s="395"/>
      <c r="J622" s="317"/>
      <c r="K622" s="394"/>
      <c r="L622" s="396"/>
      <c r="M622" s="395"/>
      <c r="N622" s="317"/>
      <c r="O622" s="394"/>
      <c r="P622" s="396"/>
      <c r="Q622" s="403"/>
      <c r="R622" s="404"/>
      <c r="S622" s="405"/>
      <c r="T622" s="401"/>
      <c r="U622" s="403"/>
      <c r="V622" s="404"/>
      <c r="W622" s="405"/>
      <c r="X622" s="401"/>
      <c r="Y622" s="403"/>
      <c r="Z622" s="404"/>
      <c r="AA622" s="405"/>
      <c r="AB622" s="401"/>
      <c r="AC622" s="403"/>
      <c r="AD622" s="404"/>
      <c r="AE622" s="405"/>
      <c r="AF622" s="401"/>
      <c r="AG622" s="292"/>
      <c r="AH622" s="292"/>
      <c r="AI622" s="292"/>
      <c r="AJ622" s="292"/>
      <c r="AK622" s="395"/>
      <c r="AL622" s="317"/>
      <c r="AM622" s="394"/>
      <c r="AN622" s="396"/>
      <c r="AO622" s="200"/>
      <c r="AP622" s="200"/>
    </row>
    <row r="623">
      <c r="A623" s="395"/>
      <c r="B623" s="317"/>
      <c r="C623" s="394"/>
      <c r="D623" s="396"/>
      <c r="E623" s="395"/>
      <c r="F623" s="317"/>
      <c r="G623" s="394"/>
      <c r="H623" s="396"/>
      <c r="I623" s="395"/>
      <c r="J623" s="317"/>
      <c r="K623" s="394"/>
      <c r="L623" s="396"/>
      <c r="M623" s="395"/>
      <c r="N623" s="317"/>
      <c r="O623" s="394"/>
      <c r="P623" s="396"/>
      <c r="Q623" s="403"/>
      <c r="R623" s="404"/>
      <c r="S623" s="405"/>
      <c r="T623" s="401"/>
      <c r="U623" s="403"/>
      <c r="V623" s="404"/>
      <c r="W623" s="405"/>
      <c r="X623" s="401"/>
      <c r="Y623" s="403"/>
      <c r="Z623" s="404"/>
      <c r="AA623" s="405"/>
      <c r="AB623" s="401"/>
      <c r="AC623" s="403"/>
      <c r="AD623" s="404"/>
      <c r="AE623" s="405"/>
      <c r="AF623" s="401"/>
      <c r="AG623" s="292"/>
      <c r="AH623" s="292"/>
      <c r="AI623" s="292"/>
      <c r="AJ623" s="292"/>
      <c r="AK623" s="395"/>
      <c r="AL623" s="317"/>
      <c r="AM623" s="394"/>
      <c r="AN623" s="396"/>
      <c r="AO623" s="200"/>
      <c r="AP623" s="200"/>
    </row>
    <row r="624">
      <c r="A624" s="395"/>
      <c r="B624" s="317"/>
      <c r="C624" s="394"/>
      <c r="D624" s="396"/>
      <c r="E624" s="395"/>
      <c r="F624" s="317"/>
      <c r="G624" s="394"/>
      <c r="H624" s="396"/>
      <c r="I624" s="395"/>
      <c r="J624" s="317"/>
      <c r="K624" s="394"/>
      <c r="L624" s="396"/>
      <c r="M624" s="395"/>
      <c r="N624" s="317"/>
      <c r="O624" s="394"/>
      <c r="P624" s="396"/>
      <c r="Q624" s="403"/>
      <c r="R624" s="404"/>
      <c r="S624" s="405"/>
      <c r="T624" s="401"/>
      <c r="U624" s="403"/>
      <c r="V624" s="404"/>
      <c r="W624" s="405"/>
      <c r="X624" s="401"/>
      <c r="Y624" s="403"/>
      <c r="Z624" s="404"/>
      <c r="AA624" s="405"/>
      <c r="AB624" s="401"/>
      <c r="AC624" s="403"/>
      <c r="AD624" s="404"/>
      <c r="AE624" s="405"/>
      <c r="AF624" s="401"/>
      <c r="AG624" s="292"/>
      <c r="AH624" s="292"/>
      <c r="AI624" s="292"/>
      <c r="AJ624" s="292"/>
      <c r="AK624" s="395"/>
      <c r="AL624" s="317"/>
      <c r="AM624" s="394"/>
      <c r="AN624" s="396"/>
      <c r="AO624" s="200"/>
      <c r="AP624" s="200"/>
    </row>
    <row r="625">
      <c r="A625" s="395"/>
      <c r="B625" s="317"/>
      <c r="C625" s="394"/>
      <c r="D625" s="396"/>
      <c r="E625" s="395"/>
      <c r="F625" s="317"/>
      <c r="G625" s="394"/>
      <c r="H625" s="396"/>
      <c r="I625" s="395"/>
      <c r="J625" s="317"/>
      <c r="K625" s="394"/>
      <c r="L625" s="396"/>
      <c r="M625" s="395"/>
      <c r="N625" s="317"/>
      <c r="O625" s="394"/>
      <c r="P625" s="396"/>
      <c r="Q625" s="403"/>
      <c r="R625" s="404"/>
      <c r="S625" s="405"/>
      <c r="T625" s="401"/>
      <c r="U625" s="403"/>
      <c r="V625" s="404"/>
      <c r="W625" s="405"/>
      <c r="X625" s="401"/>
      <c r="Y625" s="403"/>
      <c r="Z625" s="404"/>
      <c r="AA625" s="405"/>
      <c r="AB625" s="401"/>
      <c r="AC625" s="403"/>
      <c r="AD625" s="404"/>
      <c r="AE625" s="405"/>
      <c r="AF625" s="401"/>
      <c r="AG625" s="292"/>
      <c r="AH625" s="292"/>
      <c r="AI625" s="292"/>
      <c r="AJ625" s="292"/>
      <c r="AK625" s="395"/>
      <c r="AL625" s="317"/>
      <c r="AM625" s="394"/>
      <c r="AN625" s="396"/>
      <c r="AO625" s="200"/>
      <c r="AP625" s="200"/>
    </row>
    <row r="626">
      <c r="A626" s="395"/>
      <c r="B626" s="317"/>
      <c r="C626" s="394"/>
      <c r="D626" s="396"/>
      <c r="E626" s="395"/>
      <c r="F626" s="317"/>
      <c r="G626" s="394"/>
      <c r="H626" s="396"/>
      <c r="I626" s="395"/>
      <c r="J626" s="317"/>
      <c r="K626" s="394"/>
      <c r="L626" s="396"/>
      <c r="M626" s="395"/>
      <c r="N626" s="317"/>
      <c r="O626" s="394"/>
      <c r="P626" s="396"/>
      <c r="Q626" s="403"/>
      <c r="R626" s="404"/>
      <c r="S626" s="405"/>
      <c r="T626" s="401"/>
      <c r="U626" s="403"/>
      <c r="V626" s="404"/>
      <c r="W626" s="405"/>
      <c r="X626" s="401"/>
      <c r="Y626" s="403"/>
      <c r="Z626" s="404"/>
      <c r="AA626" s="405"/>
      <c r="AB626" s="401"/>
      <c r="AC626" s="403"/>
      <c r="AD626" s="404"/>
      <c r="AE626" s="405"/>
      <c r="AF626" s="401"/>
      <c r="AG626" s="292"/>
      <c r="AH626" s="292"/>
      <c r="AI626" s="292"/>
      <c r="AJ626" s="292"/>
      <c r="AK626" s="395"/>
      <c r="AL626" s="317"/>
      <c r="AM626" s="394"/>
      <c r="AN626" s="396"/>
      <c r="AO626" s="200"/>
      <c r="AP626" s="200"/>
    </row>
    <row r="627">
      <c r="A627" s="395"/>
      <c r="B627" s="317"/>
      <c r="C627" s="394"/>
      <c r="D627" s="396"/>
      <c r="E627" s="395"/>
      <c r="F627" s="317"/>
      <c r="G627" s="394"/>
      <c r="H627" s="396"/>
      <c r="I627" s="395"/>
      <c r="J627" s="317"/>
      <c r="K627" s="394"/>
      <c r="L627" s="396"/>
      <c r="M627" s="395"/>
      <c r="N627" s="317"/>
      <c r="O627" s="394"/>
      <c r="P627" s="396"/>
      <c r="Q627" s="403"/>
      <c r="R627" s="404"/>
      <c r="S627" s="405"/>
      <c r="T627" s="401"/>
      <c r="U627" s="403"/>
      <c r="V627" s="404"/>
      <c r="W627" s="405"/>
      <c r="X627" s="401"/>
      <c r="Y627" s="403"/>
      <c r="Z627" s="404"/>
      <c r="AA627" s="405"/>
      <c r="AB627" s="401"/>
      <c r="AC627" s="403"/>
      <c r="AD627" s="404"/>
      <c r="AE627" s="405"/>
      <c r="AF627" s="401"/>
      <c r="AG627" s="292"/>
      <c r="AH627" s="292"/>
      <c r="AI627" s="292"/>
      <c r="AJ627" s="292"/>
      <c r="AK627" s="395"/>
      <c r="AL627" s="317"/>
      <c r="AM627" s="394"/>
      <c r="AN627" s="396"/>
      <c r="AO627" s="200"/>
      <c r="AP627" s="200"/>
    </row>
    <row r="628">
      <c r="A628" s="395"/>
      <c r="B628" s="317"/>
      <c r="C628" s="394"/>
      <c r="D628" s="396"/>
      <c r="E628" s="395"/>
      <c r="F628" s="317"/>
      <c r="G628" s="394"/>
      <c r="H628" s="396"/>
      <c r="I628" s="395"/>
      <c r="J628" s="317"/>
      <c r="K628" s="394"/>
      <c r="L628" s="396"/>
      <c r="M628" s="395"/>
      <c r="N628" s="317"/>
      <c r="O628" s="394"/>
      <c r="P628" s="396"/>
      <c r="Q628" s="403"/>
      <c r="R628" s="404"/>
      <c r="S628" s="405"/>
      <c r="T628" s="401"/>
      <c r="U628" s="403"/>
      <c r="V628" s="404"/>
      <c r="W628" s="405"/>
      <c r="X628" s="401"/>
      <c r="Y628" s="403"/>
      <c r="Z628" s="404"/>
      <c r="AA628" s="405"/>
      <c r="AB628" s="401"/>
      <c r="AC628" s="403"/>
      <c r="AD628" s="404"/>
      <c r="AE628" s="405"/>
      <c r="AF628" s="401"/>
      <c r="AG628" s="292"/>
      <c r="AH628" s="292"/>
      <c r="AI628" s="292"/>
      <c r="AJ628" s="292"/>
      <c r="AK628" s="395"/>
      <c r="AL628" s="317"/>
      <c r="AM628" s="394"/>
      <c r="AN628" s="396"/>
      <c r="AO628" s="200"/>
      <c r="AP628" s="200"/>
    </row>
    <row r="629">
      <c r="A629" s="395"/>
      <c r="B629" s="317"/>
      <c r="C629" s="394"/>
      <c r="D629" s="396"/>
      <c r="E629" s="395"/>
      <c r="F629" s="317"/>
      <c r="G629" s="394"/>
      <c r="H629" s="396"/>
      <c r="I629" s="395"/>
      <c r="J629" s="317"/>
      <c r="K629" s="394"/>
      <c r="L629" s="396"/>
      <c r="M629" s="395"/>
      <c r="N629" s="317"/>
      <c r="O629" s="394"/>
      <c r="P629" s="396"/>
      <c r="Q629" s="403"/>
      <c r="R629" s="404"/>
      <c r="S629" s="405"/>
      <c r="T629" s="401"/>
      <c r="U629" s="403"/>
      <c r="V629" s="404"/>
      <c r="W629" s="405"/>
      <c r="X629" s="401"/>
      <c r="Y629" s="403"/>
      <c r="Z629" s="404"/>
      <c r="AA629" s="405"/>
      <c r="AB629" s="401"/>
      <c r="AC629" s="403"/>
      <c r="AD629" s="404"/>
      <c r="AE629" s="405"/>
      <c r="AF629" s="401"/>
      <c r="AG629" s="292"/>
      <c r="AH629" s="292"/>
      <c r="AI629" s="292"/>
      <c r="AJ629" s="292"/>
      <c r="AK629" s="395"/>
      <c r="AL629" s="317"/>
      <c r="AM629" s="394"/>
      <c r="AN629" s="396"/>
      <c r="AO629" s="200"/>
      <c r="AP629" s="200"/>
    </row>
    <row r="630">
      <c r="A630" s="395"/>
      <c r="B630" s="317"/>
      <c r="C630" s="394"/>
      <c r="D630" s="396"/>
      <c r="E630" s="395"/>
      <c r="F630" s="317"/>
      <c r="G630" s="394"/>
      <c r="H630" s="396"/>
      <c r="I630" s="395"/>
      <c r="J630" s="317"/>
      <c r="K630" s="394"/>
      <c r="L630" s="396"/>
      <c r="M630" s="395"/>
      <c r="N630" s="317"/>
      <c r="O630" s="394"/>
      <c r="P630" s="396"/>
      <c r="Q630" s="403"/>
      <c r="R630" s="404"/>
      <c r="S630" s="405"/>
      <c r="T630" s="401"/>
      <c r="U630" s="403"/>
      <c r="V630" s="404"/>
      <c r="W630" s="405"/>
      <c r="X630" s="401"/>
      <c r="Y630" s="403"/>
      <c r="Z630" s="404"/>
      <c r="AA630" s="405"/>
      <c r="AB630" s="401"/>
      <c r="AC630" s="403"/>
      <c r="AD630" s="404"/>
      <c r="AE630" s="405"/>
      <c r="AF630" s="401"/>
      <c r="AG630" s="292"/>
      <c r="AH630" s="292"/>
      <c r="AI630" s="292"/>
      <c r="AJ630" s="292"/>
      <c r="AK630" s="395"/>
      <c r="AL630" s="317"/>
      <c r="AM630" s="394"/>
      <c r="AN630" s="396"/>
      <c r="AO630" s="200"/>
      <c r="AP630" s="200"/>
    </row>
    <row r="631">
      <c r="A631" s="395"/>
      <c r="B631" s="317"/>
      <c r="C631" s="394"/>
      <c r="D631" s="396"/>
      <c r="E631" s="395"/>
      <c r="F631" s="317"/>
      <c r="G631" s="394"/>
      <c r="H631" s="396"/>
      <c r="I631" s="395"/>
      <c r="J631" s="317"/>
      <c r="K631" s="394"/>
      <c r="L631" s="396"/>
      <c r="M631" s="395"/>
      <c r="N631" s="317"/>
      <c r="O631" s="394"/>
      <c r="P631" s="396"/>
      <c r="Q631" s="403"/>
      <c r="R631" s="404"/>
      <c r="S631" s="405"/>
      <c r="T631" s="401"/>
      <c r="U631" s="403"/>
      <c r="V631" s="404"/>
      <c r="W631" s="405"/>
      <c r="X631" s="401"/>
      <c r="Y631" s="403"/>
      <c r="Z631" s="404"/>
      <c r="AA631" s="405"/>
      <c r="AB631" s="401"/>
      <c r="AC631" s="403"/>
      <c r="AD631" s="404"/>
      <c r="AE631" s="405"/>
      <c r="AF631" s="401"/>
      <c r="AG631" s="292"/>
      <c r="AH631" s="292"/>
      <c r="AI631" s="292"/>
      <c r="AJ631" s="292"/>
      <c r="AK631" s="395"/>
      <c r="AL631" s="317"/>
      <c r="AM631" s="394"/>
      <c r="AN631" s="396"/>
      <c r="AO631" s="200"/>
      <c r="AP631" s="200"/>
    </row>
    <row r="632">
      <c r="A632" s="395"/>
      <c r="B632" s="317"/>
      <c r="C632" s="394"/>
      <c r="D632" s="396"/>
      <c r="E632" s="395"/>
      <c r="F632" s="317"/>
      <c r="G632" s="394"/>
      <c r="H632" s="396"/>
      <c r="I632" s="395"/>
      <c r="J632" s="317"/>
      <c r="K632" s="394"/>
      <c r="L632" s="396"/>
      <c r="M632" s="395"/>
      <c r="N632" s="317"/>
      <c r="O632" s="394"/>
      <c r="P632" s="396"/>
      <c r="Q632" s="403"/>
      <c r="R632" s="404"/>
      <c r="S632" s="405"/>
      <c r="T632" s="401"/>
      <c r="U632" s="403"/>
      <c r="V632" s="404"/>
      <c r="W632" s="405"/>
      <c r="X632" s="401"/>
      <c r="Y632" s="403"/>
      <c r="Z632" s="404"/>
      <c r="AA632" s="405"/>
      <c r="AB632" s="401"/>
      <c r="AC632" s="403"/>
      <c r="AD632" s="404"/>
      <c r="AE632" s="405"/>
      <c r="AF632" s="401"/>
      <c r="AG632" s="292"/>
      <c r="AH632" s="292"/>
      <c r="AI632" s="292"/>
      <c r="AJ632" s="292"/>
      <c r="AK632" s="395"/>
      <c r="AL632" s="317"/>
      <c r="AM632" s="394"/>
      <c r="AN632" s="396"/>
      <c r="AO632" s="200"/>
      <c r="AP632" s="200"/>
    </row>
    <row r="633">
      <c r="A633" s="395"/>
      <c r="B633" s="317"/>
      <c r="C633" s="394"/>
      <c r="D633" s="396"/>
      <c r="E633" s="395"/>
      <c r="F633" s="317"/>
      <c r="G633" s="394"/>
      <c r="H633" s="396"/>
      <c r="I633" s="395"/>
      <c r="J633" s="317"/>
      <c r="K633" s="394"/>
      <c r="L633" s="396"/>
      <c r="M633" s="395"/>
      <c r="N633" s="317"/>
      <c r="O633" s="394"/>
      <c r="P633" s="396"/>
      <c r="Q633" s="403"/>
      <c r="R633" s="404"/>
      <c r="S633" s="405"/>
      <c r="T633" s="401"/>
      <c r="U633" s="403"/>
      <c r="V633" s="404"/>
      <c r="W633" s="405"/>
      <c r="X633" s="401"/>
      <c r="Y633" s="403"/>
      <c r="Z633" s="404"/>
      <c r="AA633" s="405"/>
      <c r="AB633" s="401"/>
      <c r="AC633" s="403"/>
      <c r="AD633" s="404"/>
      <c r="AE633" s="405"/>
      <c r="AF633" s="401"/>
      <c r="AG633" s="292"/>
      <c r="AH633" s="292"/>
      <c r="AI633" s="292"/>
      <c r="AJ633" s="292"/>
      <c r="AK633" s="395"/>
      <c r="AL633" s="317"/>
      <c r="AM633" s="394"/>
      <c r="AN633" s="396"/>
      <c r="AO633" s="200"/>
      <c r="AP633" s="200"/>
    </row>
    <row r="634">
      <c r="A634" s="395"/>
      <c r="B634" s="317"/>
      <c r="C634" s="394"/>
      <c r="D634" s="396"/>
      <c r="E634" s="395"/>
      <c r="F634" s="317"/>
      <c r="G634" s="394"/>
      <c r="H634" s="396"/>
      <c r="I634" s="395"/>
      <c r="J634" s="317"/>
      <c r="K634" s="394"/>
      <c r="L634" s="396"/>
      <c r="M634" s="395"/>
      <c r="N634" s="317"/>
      <c r="O634" s="394"/>
      <c r="P634" s="396"/>
      <c r="Q634" s="403"/>
      <c r="R634" s="404"/>
      <c r="S634" s="405"/>
      <c r="T634" s="401"/>
      <c r="U634" s="403"/>
      <c r="V634" s="404"/>
      <c r="W634" s="405"/>
      <c r="X634" s="401"/>
      <c r="Y634" s="403"/>
      <c r="Z634" s="404"/>
      <c r="AA634" s="405"/>
      <c r="AB634" s="401"/>
      <c r="AC634" s="403"/>
      <c r="AD634" s="404"/>
      <c r="AE634" s="405"/>
      <c r="AF634" s="401"/>
      <c r="AG634" s="292"/>
      <c r="AH634" s="292"/>
      <c r="AI634" s="292"/>
      <c r="AJ634" s="292"/>
      <c r="AK634" s="395"/>
      <c r="AL634" s="317"/>
      <c r="AM634" s="394"/>
      <c r="AN634" s="396"/>
      <c r="AO634" s="200"/>
      <c r="AP634" s="200"/>
    </row>
    <row r="635">
      <c r="A635" s="395"/>
      <c r="B635" s="317"/>
      <c r="C635" s="394"/>
      <c r="D635" s="396"/>
      <c r="E635" s="395"/>
      <c r="F635" s="317"/>
      <c r="G635" s="394"/>
      <c r="H635" s="396"/>
      <c r="I635" s="395"/>
      <c r="J635" s="317"/>
      <c r="K635" s="394"/>
      <c r="L635" s="396"/>
      <c r="M635" s="395"/>
      <c r="N635" s="317"/>
      <c r="O635" s="394"/>
      <c r="P635" s="396"/>
      <c r="Q635" s="403"/>
      <c r="R635" s="404"/>
      <c r="S635" s="405"/>
      <c r="T635" s="401"/>
      <c r="U635" s="403"/>
      <c r="V635" s="404"/>
      <c r="W635" s="405"/>
      <c r="X635" s="401"/>
      <c r="Y635" s="403"/>
      <c r="Z635" s="404"/>
      <c r="AA635" s="405"/>
      <c r="AB635" s="401"/>
      <c r="AC635" s="403"/>
      <c r="AD635" s="404"/>
      <c r="AE635" s="405"/>
      <c r="AF635" s="401"/>
      <c r="AG635" s="292"/>
      <c r="AH635" s="292"/>
      <c r="AI635" s="292"/>
      <c r="AJ635" s="292"/>
      <c r="AK635" s="395"/>
      <c r="AL635" s="317"/>
      <c r="AM635" s="394"/>
      <c r="AN635" s="396"/>
      <c r="AO635" s="200"/>
      <c r="AP635" s="200"/>
    </row>
    <row r="636">
      <c r="A636" s="395"/>
      <c r="B636" s="317"/>
      <c r="C636" s="394"/>
      <c r="D636" s="396"/>
      <c r="E636" s="395"/>
      <c r="F636" s="317"/>
      <c r="G636" s="394"/>
      <c r="H636" s="396"/>
      <c r="I636" s="395"/>
      <c r="J636" s="317"/>
      <c r="K636" s="394"/>
      <c r="L636" s="396"/>
      <c r="M636" s="395"/>
      <c r="N636" s="317"/>
      <c r="O636" s="394"/>
      <c r="P636" s="396"/>
      <c r="Q636" s="403"/>
      <c r="R636" s="404"/>
      <c r="S636" s="405"/>
      <c r="T636" s="401"/>
      <c r="U636" s="403"/>
      <c r="V636" s="404"/>
      <c r="W636" s="405"/>
      <c r="X636" s="401"/>
      <c r="Y636" s="403"/>
      <c r="Z636" s="404"/>
      <c r="AA636" s="405"/>
      <c r="AB636" s="401"/>
      <c r="AC636" s="403"/>
      <c r="AD636" s="404"/>
      <c r="AE636" s="405"/>
      <c r="AF636" s="401"/>
      <c r="AG636" s="292"/>
      <c r="AH636" s="292"/>
      <c r="AI636" s="292"/>
      <c r="AJ636" s="292"/>
      <c r="AK636" s="395"/>
      <c r="AL636" s="317"/>
      <c r="AM636" s="394"/>
      <c r="AN636" s="396"/>
      <c r="AO636" s="200"/>
      <c r="AP636" s="200"/>
    </row>
    <row r="637">
      <c r="A637" s="395"/>
      <c r="B637" s="317"/>
      <c r="C637" s="394"/>
      <c r="D637" s="396"/>
      <c r="E637" s="395"/>
      <c r="F637" s="317"/>
      <c r="G637" s="394"/>
      <c r="H637" s="396"/>
      <c r="I637" s="395"/>
      <c r="J637" s="317"/>
      <c r="K637" s="394"/>
      <c r="L637" s="396"/>
      <c r="M637" s="395"/>
      <c r="N637" s="317"/>
      <c r="O637" s="394"/>
      <c r="P637" s="396"/>
      <c r="Q637" s="403"/>
      <c r="R637" s="404"/>
      <c r="S637" s="405"/>
      <c r="T637" s="401"/>
      <c r="U637" s="403"/>
      <c r="V637" s="404"/>
      <c r="W637" s="405"/>
      <c r="X637" s="401"/>
      <c r="Y637" s="403"/>
      <c r="Z637" s="404"/>
      <c r="AA637" s="405"/>
      <c r="AB637" s="401"/>
      <c r="AC637" s="403"/>
      <c r="AD637" s="404"/>
      <c r="AE637" s="405"/>
      <c r="AF637" s="401"/>
      <c r="AG637" s="292"/>
      <c r="AH637" s="292"/>
      <c r="AI637" s="292"/>
      <c r="AJ637" s="292"/>
      <c r="AK637" s="395"/>
      <c r="AL637" s="317"/>
      <c r="AM637" s="394"/>
      <c r="AN637" s="396"/>
      <c r="AO637" s="200"/>
      <c r="AP637" s="200"/>
    </row>
    <row r="638">
      <c r="A638" s="395"/>
      <c r="B638" s="317"/>
      <c r="C638" s="394"/>
      <c r="D638" s="396"/>
      <c r="E638" s="395"/>
      <c r="F638" s="317"/>
      <c r="G638" s="394"/>
      <c r="H638" s="396"/>
      <c r="I638" s="395"/>
      <c r="J638" s="317"/>
      <c r="K638" s="394"/>
      <c r="L638" s="396"/>
      <c r="M638" s="395"/>
      <c r="N638" s="317"/>
      <c r="O638" s="394"/>
      <c r="P638" s="396"/>
      <c r="Q638" s="403"/>
      <c r="R638" s="404"/>
      <c r="S638" s="405"/>
      <c r="T638" s="401"/>
      <c r="U638" s="403"/>
      <c r="V638" s="404"/>
      <c r="W638" s="405"/>
      <c r="X638" s="401"/>
      <c r="Y638" s="403"/>
      <c r="Z638" s="404"/>
      <c r="AA638" s="405"/>
      <c r="AB638" s="401"/>
      <c r="AC638" s="403"/>
      <c r="AD638" s="404"/>
      <c r="AE638" s="405"/>
      <c r="AF638" s="401"/>
      <c r="AG638" s="292"/>
      <c r="AH638" s="292"/>
      <c r="AI638" s="292"/>
      <c r="AJ638" s="292"/>
      <c r="AK638" s="395"/>
      <c r="AL638" s="317"/>
      <c r="AM638" s="394"/>
      <c r="AN638" s="396"/>
      <c r="AO638" s="200"/>
      <c r="AP638" s="200"/>
    </row>
    <row r="639">
      <c r="A639" s="395"/>
      <c r="B639" s="317"/>
      <c r="C639" s="394"/>
      <c r="D639" s="396"/>
      <c r="E639" s="395"/>
      <c r="F639" s="317"/>
      <c r="G639" s="394"/>
      <c r="H639" s="396"/>
      <c r="I639" s="395"/>
      <c r="J639" s="317"/>
      <c r="K639" s="394"/>
      <c r="L639" s="396"/>
      <c r="M639" s="395"/>
      <c r="N639" s="317"/>
      <c r="O639" s="394"/>
      <c r="P639" s="396"/>
      <c r="Q639" s="403"/>
      <c r="R639" s="404"/>
      <c r="S639" s="405"/>
      <c r="T639" s="401"/>
      <c r="U639" s="403"/>
      <c r="V639" s="404"/>
      <c r="W639" s="405"/>
      <c r="X639" s="401"/>
      <c r="Y639" s="403"/>
      <c r="Z639" s="404"/>
      <c r="AA639" s="405"/>
      <c r="AB639" s="401"/>
      <c r="AC639" s="403"/>
      <c r="AD639" s="404"/>
      <c r="AE639" s="405"/>
      <c r="AF639" s="401"/>
      <c r="AG639" s="292"/>
      <c r="AH639" s="292"/>
      <c r="AI639" s="292"/>
      <c r="AJ639" s="292"/>
      <c r="AK639" s="395"/>
      <c r="AL639" s="317"/>
      <c r="AM639" s="394"/>
      <c r="AN639" s="396"/>
      <c r="AO639" s="200"/>
      <c r="AP639" s="200"/>
    </row>
    <row r="640">
      <c r="A640" s="395"/>
      <c r="B640" s="317"/>
      <c r="C640" s="394"/>
      <c r="D640" s="396"/>
      <c r="E640" s="395"/>
      <c r="F640" s="317"/>
      <c r="G640" s="394"/>
      <c r="H640" s="396"/>
      <c r="I640" s="395"/>
      <c r="J640" s="317"/>
      <c r="K640" s="394"/>
      <c r="L640" s="396"/>
      <c r="M640" s="395"/>
      <c r="N640" s="317"/>
      <c r="O640" s="394"/>
      <c r="P640" s="396"/>
      <c r="Q640" s="403"/>
      <c r="R640" s="404"/>
      <c r="S640" s="405"/>
      <c r="T640" s="401"/>
      <c r="U640" s="403"/>
      <c r="V640" s="404"/>
      <c r="W640" s="405"/>
      <c r="X640" s="401"/>
      <c r="Y640" s="403"/>
      <c r="Z640" s="404"/>
      <c r="AA640" s="405"/>
      <c r="AB640" s="401"/>
      <c r="AC640" s="403"/>
      <c r="AD640" s="404"/>
      <c r="AE640" s="405"/>
      <c r="AF640" s="401"/>
      <c r="AG640" s="292"/>
      <c r="AH640" s="292"/>
      <c r="AI640" s="292"/>
      <c r="AJ640" s="292"/>
      <c r="AK640" s="395"/>
      <c r="AL640" s="317"/>
      <c r="AM640" s="394"/>
      <c r="AN640" s="396"/>
      <c r="AO640" s="200"/>
      <c r="AP640" s="200"/>
    </row>
    <row r="641">
      <c r="A641" s="395"/>
      <c r="B641" s="317"/>
      <c r="C641" s="394"/>
      <c r="D641" s="396"/>
      <c r="E641" s="395"/>
      <c r="F641" s="317"/>
      <c r="G641" s="394"/>
      <c r="H641" s="396"/>
      <c r="I641" s="395"/>
      <c r="J641" s="317"/>
      <c r="K641" s="394"/>
      <c r="L641" s="396"/>
      <c r="M641" s="395"/>
      <c r="N641" s="317"/>
      <c r="O641" s="394"/>
      <c r="P641" s="396"/>
      <c r="Q641" s="403"/>
      <c r="R641" s="404"/>
      <c r="S641" s="405"/>
      <c r="T641" s="401"/>
      <c r="U641" s="403"/>
      <c r="V641" s="404"/>
      <c r="W641" s="405"/>
      <c r="X641" s="401"/>
      <c r="Y641" s="403"/>
      <c r="Z641" s="404"/>
      <c r="AA641" s="405"/>
      <c r="AB641" s="401"/>
      <c r="AC641" s="403"/>
      <c r="AD641" s="404"/>
      <c r="AE641" s="405"/>
      <c r="AF641" s="401"/>
      <c r="AG641" s="292"/>
      <c r="AH641" s="292"/>
      <c r="AI641" s="292"/>
      <c r="AJ641" s="292"/>
      <c r="AK641" s="395"/>
      <c r="AL641" s="317"/>
      <c r="AM641" s="394"/>
      <c r="AN641" s="396"/>
      <c r="AO641" s="200"/>
      <c r="AP641" s="200"/>
    </row>
    <row r="642">
      <c r="A642" s="395"/>
      <c r="B642" s="317"/>
      <c r="C642" s="394"/>
      <c r="D642" s="396"/>
      <c r="E642" s="395"/>
      <c r="F642" s="317"/>
      <c r="G642" s="394"/>
      <c r="H642" s="396"/>
      <c r="I642" s="395"/>
      <c r="J642" s="317"/>
      <c r="K642" s="394"/>
      <c r="L642" s="396"/>
      <c r="M642" s="395"/>
      <c r="N642" s="317"/>
      <c r="O642" s="394"/>
      <c r="P642" s="396"/>
      <c r="Q642" s="403"/>
      <c r="R642" s="404"/>
      <c r="S642" s="405"/>
      <c r="T642" s="401"/>
      <c r="U642" s="403"/>
      <c r="V642" s="404"/>
      <c r="W642" s="405"/>
      <c r="X642" s="401"/>
      <c r="Y642" s="403"/>
      <c r="Z642" s="404"/>
      <c r="AA642" s="405"/>
      <c r="AB642" s="401"/>
      <c r="AC642" s="403"/>
      <c r="AD642" s="404"/>
      <c r="AE642" s="405"/>
      <c r="AF642" s="401"/>
      <c r="AG642" s="292"/>
      <c r="AH642" s="292"/>
      <c r="AI642" s="292"/>
      <c r="AJ642" s="292"/>
      <c r="AK642" s="395"/>
      <c r="AL642" s="317"/>
      <c r="AM642" s="394"/>
      <c r="AN642" s="396"/>
      <c r="AO642" s="200"/>
      <c r="AP642" s="200"/>
    </row>
    <row r="643">
      <c r="A643" s="395"/>
      <c r="B643" s="317"/>
      <c r="C643" s="394"/>
      <c r="D643" s="396"/>
      <c r="E643" s="395"/>
      <c r="F643" s="317"/>
      <c r="G643" s="394"/>
      <c r="H643" s="396"/>
      <c r="I643" s="395"/>
      <c r="J643" s="317"/>
      <c r="K643" s="394"/>
      <c r="L643" s="396"/>
      <c r="M643" s="395"/>
      <c r="N643" s="317"/>
      <c r="O643" s="394"/>
      <c r="P643" s="396"/>
      <c r="Q643" s="403"/>
      <c r="R643" s="404"/>
      <c r="S643" s="405"/>
      <c r="T643" s="401"/>
      <c r="U643" s="403"/>
      <c r="V643" s="404"/>
      <c r="W643" s="405"/>
      <c r="X643" s="401"/>
      <c r="Y643" s="403"/>
      <c r="Z643" s="404"/>
      <c r="AA643" s="405"/>
      <c r="AB643" s="401"/>
      <c r="AC643" s="403"/>
      <c r="AD643" s="404"/>
      <c r="AE643" s="405"/>
      <c r="AF643" s="401"/>
      <c r="AG643" s="292"/>
      <c r="AH643" s="292"/>
      <c r="AI643" s="292"/>
      <c r="AJ643" s="292"/>
      <c r="AK643" s="395"/>
      <c r="AL643" s="317"/>
      <c r="AM643" s="394"/>
      <c r="AN643" s="396"/>
      <c r="AO643" s="200"/>
      <c r="AP643" s="200"/>
    </row>
    <row r="644">
      <c r="A644" s="395"/>
      <c r="B644" s="317"/>
      <c r="C644" s="394"/>
      <c r="D644" s="396"/>
      <c r="E644" s="395"/>
      <c r="F644" s="317"/>
      <c r="G644" s="394"/>
      <c r="H644" s="396"/>
      <c r="I644" s="395"/>
      <c r="J644" s="317"/>
      <c r="K644" s="394"/>
      <c r="L644" s="396"/>
      <c r="M644" s="395"/>
      <c r="N644" s="317"/>
      <c r="O644" s="394"/>
      <c r="P644" s="396"/>
      <c r="Q644" s="403"/>
      <c r="R644" s="404"/>
      <c r="S644" s="405"/>
      <c r="T644" s="401"/>
      <c r="U644" s="403"/>
      <c r="V644" s="404"/>
      <c r="W644" s="405"/>
      <c r="X644" s="401"/>
      <c r="Y644" s="403"/>
      <c r="Z644" s="404"/>
      <c r="AA644" s="405"/>
      <c r="AB644" s="401"/>
      <c r="AC644" s="403"/>
      <c r="AD644" s="404"/>
      <c r="AE644" s="405"/>
      <c r="AF644" s="401"/>
      <c r="AG644" s="292"/>
      <c r="AH644" s="292"/>
      <c r="AI644" s="292"/>
      <c r="AJ644" s="292"/>
      <c r="AK644" s="395"/>
      <c r="AL644" s="317"/>
      <c r="AM644" s="394"/>
      <c r="AN644" s="396"/>
      <c r="AO644" s="200"/>
      <c r="AP644" s="200"/>
    </row>
    <row r="645">
      <c r="A645" s="395"/>
      <c r="B645" s="317"/>
      <c r="C645" s="394"/>
      <c r="D645" s="396"/>
      <c r="E645" s="395"/>
      <c r="F645" s="317"/>
      <c r="G645" s="394"/>
      <c r="H645" s="396"/>
      <c r="I645" s="395"/>
      <c r="J645" s="317"/>
      <c r="K645" s="394"/>
      <c r="L645" s="396"/>
      <c r="M645" s="395"/>
      <c r="N645" s="317"/>
      <c r="O645" s="394"/>
      <c r="P645" s="396"/>
      <c r="Q645" s="403"/>
      <c r="R645" s="404"/>
      <c r="S645" s="405"/>
      <c r="T645" s="401"/>
      <c r="U645" s="403"/>
      <c r="V645" s="404"/>
      <c r="W645" s="405"/>
      <c r="X645" s="401"/>
      <c r="Y645" s="403"/>
      <c r="Z645" s="404"/>
      <c r="AA645" s="405"/>
      <c r="AB645" s="401"/>
      <c r="AC645" s="403"/>
      <c r="AD645" s="404"/>
      <c r="AE645" s="405"/>
      <c r="AF645" s="401"/>
      <c r="AG645" s="292"/>
      <c r="AH645" s="292"/>
      <c r="AI645" s="292"/>
      <c r="AJ645" s="292"/>
      <c r="AK645" s="395"/>
      <c r="AL645" s="317"/>
      <c r="AM645" s="394"/>
      <c r="AN645" s="396"/>
      <c r="AO645" s="200"/>
      <c r="AP645" s="200"/>
    </row>
    <row r="646">
      <c r="A646" s="395"/>
      <c r="B646" s="317"/>
      <c r="C646" s="394"/>
      <c r="D646" s="396"/>
      <c r="E646" s="395"/>
      <c r="F646" s="317"/>
      <c r="G646" s="394"/>
      <c r="H646" s="396"/>
      <c r="I646" s="395"/>
      <c r="J646" s="317"/>
      <c r="K646" s="394"/>
      <c r="L646" s="396"/>
      <c r="M646" s="395"/>
      <c r="N646" s="317"/>
      <c r="O646" s="394"/>
      <c r="P646" s="396"/>
      <c r="Q646" s="403"/>
      <c r="R646" s="404"/>
      <c r="S646" s="405"/>
      <c r="T646" s="401"/>
      <c r="U646" s="403"/>
      <c r="V646" s="404"/>
      <c r="W646" s="405"/>
      <c r="X646" s="401"/>
      <c r="Y646" s="403"/>
      <c r="Z646" s="404"/>
      <c r="AA646" s="405"/>
      <c r="AB646" s="401"/>
      <c r="AC646" s="403"/>
      <c r="AD646" s="404"/>
      <c r="AE646" s="405"/>
      <c r="AF646" s="401"/>
      <c r="AG646" s="292"/>
      <c r="AH646" s="292"/>
      <c r="AI646" s="292"/>
      <c r="AJ646" s="292"/>
      <c r="AK646" s="395"/>
      <c r="AL646" s="317"/>
      <c r="AM646" s="394"/>
      <c r="AN646" s="396"/>
      <c r="AO646" s="200"/>
      <c r="AP646" s="200"/>
    </row>
    <row r="647">
      <c r="A647" s="395"/>
      <c r="B647" s="317"/>
      <c r="C647" s="394"/>
      <c r="D647" s="396"/>
      <c r="E647" s="395"/>
      <c r="F647" s="317"/>
      <c r="G647" s="394"/>
      <c r="H647" s="396"/>
      <c r="I647" s="395"/>
      <c r="J647" s="317"/>
      <c r="K647" s="394"/>
      <c r="L647" s="396"/>
      <c r="M647" s="395"/>
      <c r="N647" s="317"/>
      <c r="O647" s="394"/>
      <c r="P647" s="396"/>
      <c r="Q647" s="403"/>
      <c r="R647" s="404"/>
      <c r="S647" s="405"/>
      <c r="T647" s="401"/>
      <c r="U647" s="403"/>
      <c r="V647" s="404"/>
      <c r="W647" s="405"/>
      <c r="X647" s="401"/>
      <c r="Y647" s="403"/>
      <c r="Z647" s="404"/>
      <c r="AA647" s="405"/>
      <c r="AB647" s="401"/>
      <c r="AC647" s="403"/>
      <c r="AD647" s="404"/>
      <c r="AE647" s="405"/>
      <c r="AF647" s="401"/>
      <c r="AG647" s="292"/>
      <c r="AH647" s="292"/>
      <c r="AI647" s="292"/>
      <c r="AJ647" s="292"/>
      <c r="AK647" s="395"/>
      <c r="AL647" s="317"/>
      <c r="AM647" s="394"/>
      <c r="AN647" s="396"/>
      <c r="AO647" s="200"/>
      <c r="AP647" s="200"/>
    </row>
    <row r="648">
      <c r="A648" s="395"/>
      <c r="B648" s="317"/>
      <c r="C648" s="394"/>
      <c r="D648" s="396"/>
      <c r="E648" s="395"/>
      <c r="F648" s="317"/>
      <c r="G648" s="394"/>
      <c r="H648" s="396"/>
      <c r="I648" s="395"/>
      <c r="J648" s="317"/>
      <c r="K648" s="394"/>
      <c r="L648" s="396"/>
      <c r="M648" s="395"/>
      <c r="N648" s="317"/>
      <c r="O648" s="394"/>
      <c r="P648" s="396"/>
      <c r="Q648" s="403"/>
      <c r="R648" s="404"/>
      <c r="S648" s="405"/>
      <c r="T648" s="401"/>
      <c r="U648" s="403"/>
      <c r="V648" s="404"/>
      <c r="W648" s="405"/>
      <c r="X648" s="401"/>
      <c r="Y648" s="403"/>
      <c r="Z648" s="404"/>
      <c r="AA648" s="405"/>
      <c r="AB648" s="401"/>
      <c r="AC648" s="403"/>
      <c r="AD648" s="404"/>
      <c r="AE648" s="405"/>
      <c r="AF648" s="401"/>
      <c r="AG648" s="292"/>
      <c r="AH648" s="292"/>
      <c r="AI648" s="292"/>
      <c r="AJ648" s="292"/>
      <c r="AK648" s="395"/>
      <c r="AL648" s="317"/>
      <c r="AM648" s="394"/>
      <c r="AN648" s="396"/>
      <c r="AO648" s="200"/>
      <c r="AP648" s="200"/>
    </row>
    <row r="649">
      <c r="A649" s="395"/>
      <c r="B649" s="317"/>
      <c r="C649" s="394"/>
      <c r="D649" s="396"/>
      <c r="E649" s="395"/>
      <c r="F649" s="317"/>
      <c r="G649" s="394"/>
      <c r="H649" s="396"/>
      <c r="I649" s="395"/>
      <c r="J649" s="317"/>
      <c r="K649" s="394"/>
      <c r="L649" s="396"/>
      <c r="M649" s="395"/>
      <c r="N649" s="317"/>
      <c r="O649" s="394"/>
      <c r="P649" s="396"/>
      <c r="Q649" s="403"/>
      <c r="R649" s="404"/>
      <c r="S649" s="405"/>
      <c r="T649" s="401"/>
      <c r="U649" s="403"/>
      <c r="V649" s="404"/>
      <c r="W649" s="405"/>
      <c r="X649" s="401"/>
      <c r="Y649" s="403"/>
      <c r="Z649" s="404"/>
      <c r="AA649" s="405"/>
      <c r="AB649" s="401"/>
      <c r="AC649" s="403"/>
      <c r="AD649" s="404"/>
      <c r="AE649" s="405"/>
      <c r="AF649" s="401"/>
      <c r="AG649" s="292"/>
      <c r="AH649" s="292"/>
      <c r="AI649" s="292"/>
      <c r="AJ649" s="292"/>
      <c r="AK649" s="395"/>
      <c r="AL649" s="317"/>
      <c r="AM649" s="394"/>
      <c r="AN649" s="396"/>
      <c r="AO649" s="200"/>
      <c r="AP649" s="200"/>
    </row>
    <row r="650">
      <c r="A650" s="395"/>
      <c r="B650" s="317"/>
      <c r="C650" s="394"/>
      <c r="D650" s="396"/>
      <c r="E650" s="395"/>
      <c r="F650" s="317"/>
      <c r="G650" s="394"/>
      <c r="H650" s="396"/>
      <c r="I650" s="395"/>
      <c r="J650" s="317"/>
      <c r="K650" s="394"/>
      <c r="L650" s="396"/>
      <c r="M650" s="395"/>
      <c r="N650" s="317"/>
      <c r="O650" s="394"/>
      <c r="P650" s="396"/>
      <c r="Q650" s="403"/>
      <c r="R650" s="404"/>
      <c r="S650" s="405"/>
      <c r="T650" s="401"/>
      <c r="U650" s="403"/>
      <c r="V650" s="404"/>
      <c r="W650" s="405"/>
      <c r="X650" s="401"/>
      <c r="Y650" s="403"/>
      <c r="Z650" s="404"/>
      <c r="AA650" s="405"/>
      <c r="AB650" s="401"/>
      <c r="AC650" s="403"/>
      <c r="AD650" s="404"/>
      <c r="AE650" s="405"/>
      <c r="AF650" s="401"/>
      <c r="AG650" s="292"/>
      <c r="AH650" s="292"/>
      <c r="AI650" s="292"/>
      <c r="AJ650" s="292"/>
      <c r="AK650" s="395"/>
      <c r="AL650" s="317"/>
      <c r="AM650" s="394"/>
      <c r="AN650" s="396"/>
      <c r="AO650" s="200"/>
      <c r="AP650" s="200"/>
    </row>
    <row r="651">
      <c r="A651" s="395"/>
      <c r="B651" s="317"/>
      <c r="C651" s="394"/>
      <c r="D651" s="396"/>
      <c r="E651" s="395"/>
      <c r="F651" s="317"/>
      <c r="G651" s="394"/>
      <c r="H651" s="396"/>
      <c r="I651" s="395"/>
      <c r="J651" s="317"/>
      <c r="K651" s="394"/>
      <c r="L651" s="396"/>
      <c r="M651" s="395"/>
      <c r="N651" s="317"/>
      <c r="O651" s="394"/>
      <c r="P651" s="396"/>
      <c r="Q651" s="403"/>
      <c r="R651" s="404"/>
      <c r="S651" s="405"/>
      <c r="T651" s="401"/>
      <c r="U651" s="403"/>
      <c r="V651" s="404"/>
      <c r="W651" s="405"/>
      <c r="X651" s="401"/>
      <c r="Y651" s="403"/>
      <c r="Z651" s="404"/>
      <c r="AA651" s="405"/>
      <c r="AB651" s="401"/>
      <c r="AC651" s="403"/>
      <c r="AD651" s="404"/>
      <c r="AE651" s="405"/>
      <c r="AF651" s="401"/>
      <c r="AG651" s="292"/>
      <c r="AH651" s="292"/>
      <c r="AI651" s="292"/>
      <c r="AJ651" s="292"/>
      <c r="AK651" s="395"/>
      <c r="AL651" s="317"/>
      <c r="AM651" s="394"/>
      <c r="AN651" s="396"/>
      <c r="AO651" s="200"/>
      <c r="AP651" s="200"/>
    </row>
    <row r="652">
      <c r="A652" s="395"/>
      <c r="B652" s="317"/>
      <c r="C652" s="394"/>
      <c r="D652" s="396"/>
      <c r="E652" s="395"/>
      <c r="F652" s="317"/>
      <c r="G652" s="394"/>
      <c r="H652" s="396"/>
      <c r="I652" s="395"/>
      <c r="J652" s="317"/>
      <c r="K652" s="394"/>
      <c r="L652" s="396"/>
      <c r="M652" s="395"/>
      <c r="N652" s="317"/>
      <c r="O652" s="394"/>
      <c r="P652" s="396"/>
      <c r="Q652" s="403"/>
      <c r="R652" s="404"/>
      <c r="S652" s="405"/>
      <c r="T652" s="401"/>
      <c r="U652" s="403"/>
      <c r="V652" s="404"/>
      <c r="W652" s="405"/>
      <c r="X652" s="401"/>
      <c r="Y652" s="403"/>
      <c r="Z652" s="404"/>
      <c r="AA652" s="405"/>
      <c r="AB652" s="401"/>
      <c r="AC652" s="403"/>
      <c r="AD652" s="404"/>
      <c r="AE652" s="405"/>
      <c r="AF652" s="401"/>
      <c r="AG652" s="292"/>
      <c r="AH652" s="292"/>
      <c r="AI652" s="292"/>
      <c r="AJ652" s="292"/>
      <c r="AK652" s="395"/>
      <c r="AL652" s="317"/>
      <c r="AM652" s="394"/>
      <c r="AN652" s="396"/>
      <c r="AO652" s="200"/>
      <c r="AP652" s="200"/>
    </row>
    <row r="653">
      <c r="A653" s="395"/>
      <c r="B653" s="317"/>
      <c r="C653" s="394"/>
      <c r="D653" s="396"/>
      <c r="E653" s="395"/>
      <c r="F653" s="317"/>
      <c r="G653" s="394"/>
      <c r="H653" s="396"/>
      <c r="I653" s="395"/>
      <c r="J653" s="317"/>
      <c r="K653" s="394"/>
      <c r="L653" s="396"/>
      <c r="M653" s="395"/>
      <c r="N653" s="317"/>
      <c r="O653" s="394"/>
      <c r="P653" s="396"/>
      <c r="Q653" s="403"/>
      <c r="R653" s="404"/>
      <c r="S653" s="405"/>
      <c r="T653" s="401"/>
      <c r="U653" s="403"/>
      <c r="V653" s="404"/>
      <c r="W653" s="405"/>
      <c r="X653" s="401"/>
      <c r="Y653" s="403"/>
      <c r="Z653" s="404"/>
      <c r="AA653" s="405"/>
      <c r="AB653" s="401"/>
      <c r="AC653" s="403"/>
      <c r="AD653" s="404"/>
      <c r="AE653" s="405"/>
      <c r="AF653" s="401"/>
      <c r="AG653" s="292"/>
      <c r="AH653" s="292"/>
      <c r="AI653" s="292"/>
      <c r="AJ653" s="292"/>
      <c r="AK653" s="395"/>
      <c r="AL653" s="317"/>
      <c r="AM653" s="394"/>
      <c r="AN653" s="396"/>
      <c r="AO653" s="200"/>
      <c r="AP653" s="200"/>
    </row>
    <row r="654">
      <c r="A654" s="395"/>
      <c r="B654" s="317"/>
      <c r="C654" s="394"/>
      <c r="D654" s="396"/>
      <c r="E654" s="395"/>
      <c r="F654" s="317"/>
      <c r="G654" s="394"/>
      <c r="H654" s="396"/>
      <c r="I654" s="395"/>
      <c r="J654" s="317"/>
      <c r="K654" s="394"/>
      <c r="L654" s="396"/>
      <c r="M654" s="395"/>
      <c r="N654" s="317"/>
      <c r="O654" s="394"/>
      <c r="P654" s="396"/>
      <c r="Q654" s="403"/>
      <c r="R654" s="404"/>
      <c r="S654" s="405"/>
      <c r="T654" s="401"/>
      <c r="U654" s="403"/>
      <c r="V654" s="404"/>
      <c r="W654" s="405"/>
      <c r="X654" s="401"/>
      <c r="Y654" s="403"/>
      <c r="Z654" s="404"/>
      <c r="AA654" s="405"/>
      <c r="AB654" s="401"/>
      <c r="AC654" s="403"/>
      <c r="AD654" s="404"/>
      <c r="AE654" s="405"/>
      <c r="AF654" s="401"/>
      <c r="AG654" s="292"/>
      <c r="AH654" s="292"/>
      <c r="AI654" s="292"/>
      <c r="AJ654" s="292"/>
      <c r="AK654" s="395"/>
      <c r="AL654" s="317"/>
      <c r="AM654" s="394"/>
      <c r="AN654" s="396"/>
      <c r="AO654" s="200"/>
      <c r="AP654" s="200"/>
    </row>
    <row r="655">
      <c r="A655" s="395"/>
      <c r="B655" s="317"/>
      <c r="C655" s="394"/>
      <c r="D655" s="396"/>
      <c r="E655" s="395"/>
      <c r="F655" s="317"/>
      <c r="G655" s="394"/>
      <c r="H655" s="396"/>
      <c r="I655" s="395"/>
      <c r="J655" s="317"/>
      <c r="K655" s="394"/>
      <c r="L655" s="396"/>
      <c r="M655" s="395"/>
      <c r="N655" s="317"/>
      <c r="O655" s="394"/>
      <c r="P655" s="396"/>
      <c r="Q655" s="403"/>
      <c r="R655" s="404"/>
      <c r="S655" s="405"/>
      <c r="T655" s="401"/>
      <c r="U655" s="403"/>
      <c r="V655" s="404"/>
      <c r="W655" s="405"/>
      <c r="X655" s="401"/>
      <c r="Y655" s="403"/>
      <c r="Z655" s="404"/>
      <c r="AA655" s="405"/>
      <c r="AB655" s="401"/>
      <c r="AC655" s="403"/>
      <c r="AD655" s="404"/>
      <c r="AE655" s="405"/>
      <c r="AF655" s="401"/>
      <c r="AG655" s="292"/>
      <c r="AH655" s="292"/>
      <c r="AI655" s="292"/>
      <c r="AJ655" s="292"/>
      <c r="AK655" s="395"/>
      <c r="AL655" s="317"/>
      <c r="AM655" s="394"/>
      <c r="AN655" s="396"/>
      <c r="AO655" s="200"/>
      <c r="AP655" s="200"/>
    </row>
    <row r="656">
      <c r="A656" s="395"/>
      <c r="B656" s="317"/>
      <c r="C656" s="394"/>
      <c r="D656" s="396"/>
      <c r="E656" s="395"/>
      <c r="F656" s="317"/>
      <c r="G656" s="394"/>
      <c r="H656" s="396"/>
      <c r="I656" s="395"/>
      <c r="J656" s="317"/>
      <c r="K656" s="394"/>
      <c r="L656" s="396"/>
      <c r="M656" s="395"/>
      <c r="N656" s="317"/>
      <c r="O656" s="394"/>
      <c r="P656" s="396"/>
      <c r="Q656" s="403"/>
      <c r="R656" s="404"/>
      <c r="S656" s="405"/>
      <c r="T656" s="401"/>
      <c r="U656" s="403"/>
      <c r="V656" s="404"/>
      <c r="W656" s="405"/>
      <c r="X656" s="401"/>
      <c r="Y656" s="403"/>
      <c r="Z656" s="404"/>
      <c r="AA656" s="405"/>
      <c r="AB656" s="401"/>
      <c r="AC656" s="403"/>
      <c r="AD656" s="404"/>
      <c r="AE656" s="405"/>
      <c r="AF656" s="401"/>
      <c r="AG656" s="292"/>
      <c r="AH656" s="292"/>
      <c r="AI656" s="292"/>
      <c r="AJ656" s="292"/>
      <c r="AK656" s="395"/>
      <c r="AL656" s="317"/>
      <c r="AM656" s="394"/>
      <c r="AN656" s="396"/>
      <c r="AO656" s="200"/>
      <c r="AP656" s="200"/>
    </row>
    <row r="657">
      <c r="A657" s="395"/>
      <c r="B657" s="317"/>
      <c r="C657" s="394"/>
      <c r="D657" s="396"/>
      <c r="E657" s="395"/>
      <c r="F657" s="317"/>
      <c r="G657" s="394"/>
      <c r="H657" s="396"/>
      <c r="I657" s="395"/>
      <c r="J657" s="317"/>
      <c r="K657" s="394"/>
      <c r="L657" s="396"/>
      <c r="M657" s="395"/>
      <c r="N657" s="317"/>
      <c r="O657" s="394"/>
      <c r="P657" s="396"/>
      <c r="Q657" s="403"/>
      <c r="R657" s="404"/>
      <c r="S657" s="405"/>
      <c r="T657" s="401"/>
      <c r="U657" s="403"/>
      <c r="V657" s="404"/>
      <c r="W657" s="405"/>
      <c r="X657" s="401"/>
      <c r="Y657" s="403"/>
      <c r="Z657" s="404"/>
      <c r="AA657" s="405"/>
      <c r="AB657" s="401"/>
      <c r="AC657" s="403"/>
      <c r="AD657" s="404"/>
      <c r="AE657" s="405"/>
      <c r="AF657" s="401"/>
      <c r="AG657" s="292"/>
      <c r="AH657" s="292"/>
      <c r="AI657" s="292"/>
      <c r="AJ657" s="292"/>
      <c r="AK657" s="395"/>
      <c r="AL657" s="317"/>
      <c r="AM657" s="394"/>
      <c r="AN657" s="396"/>
      <c r="AO657" s="200"/>
      <c r="AP657" s="200"/>
    </row>
    <row r="658">
      <c r="A658" s="395"/>
      <c r="B658" s="317"/>
      <c r="C658" s="394"/>
      <c r="D658" s="396"/>
      <c r="E658" s="395"/>
      <c r="F658" s="317"/>
      <c r="G658" s="394"/>
      <c r="H658" s="396"/>
      <c r="I658" s="395"/>
      <c r="J658" s="317"/>
      <c r="K658" s="394"/>
      <c r="L658" s="396"/>
      <c r="M658" s="395"/>
      <c r="N658" s="317"/>
      <c r="O658" s="394"/>
      <c r="P658" s="396"/>
      <c r="Q658" s="403"/>
      <c r="R658" s="404"/>
      <c r="S658" s="405"/>
      <c r="T658" s="401"/>
      <c r="U658" s="403"/>
      <c r="V658" s="404"/>
      <c r="W658" s="405"/>
      <c r="X658" s="401"/>
      <c r="Y658" s="403"/>
      <c r="Z658" s="404"/>
      <c r="AA658" s="405"/>
      <c r="AB658" s="401"/>
      <c r="AC658" s="403"/>
      <c r="AD658" s="404"/>
      <c r="AE658" s="405"/>
      <c r="AF658" s="401"/>
      <c r="AG658" s="292"/>
      <c r="AH658" s="292"/>
      <c r="AI658" s="292"/>
      <c r="AJ658" s="292"/>
      <c r="AK658" s="395"/>
      <c r="AL658" s="317"/>
      <c r="AM658" s="394"/>
      <c r="AN658" s="396"/>
      <c r="AO658" s="200"/>
      <c r="AP658" s="200"/>
    </row>
    <row r="659">
      <c r="A659" s="395"/>
      <c r="B659" s="317"/>
      <c r="C659" s="394"/>
      <c r="D659" s="396"/>
      <c r="E659" s="395"/>
      <c r="F659" s="317"/>
      <c r="G659" s="394"/>
      <c r="H659" s="396"/>
      <c r="I659" s="395"/>
      <c r="J659" s="317"/>
      <c r="K659" s="394"/>
      <c r="L659" s="396"/>
      <c r="M659" s="395"/>
      <c r="N659" s="317"/>
      <c r="O659" s="394"/>
      <c r="P659" s="396"/>
      <c r="Q659" s="403"/>
      <c r="R659" s="404"/>
      <c r="S659" s="405"/>
      <c r="T659" s="401"/>
      <c r="U659" s="403"/>
      <c r="V659" s="404"/>
      <c r="W659" s="405"/>
      <c r="X659" s="401"/>
      <c r="Y659" s="403"/>
      <c r="Z659" s="404"/>
      <c r="AA659" s="405"/>
      <c r="AB659" s="401"/>
      <c r="AC659" s="403"/>
      <c r="AD659" s="404"/>
      <c r="AE659" s="405"/>
      <c r="AF659" s="401"/>
      <c r="AG659" s="292"/>
      <c r="AH659" s="292"/>
      <c r="AI659" s="292"/>
      <c r="AJ659" s="292"/>
      <c r="AK659" s="395"/>
      <c r="AL659" s="317"/>
      <c r="AM659" s="394"/>
      <c r="AN659" s="396"/>
      <c r="AO659" s="200"/>
      <c r="AP659" s="200"/>
    </row>
    <row r="660">
      <c r="A660" s="395"/>
      <c r="B660" s="317"/>
      <c r="C660" s="394"/>
      <c r="D660" s="396"/>
      <c r="E660" s="395"/>
      <c r="F660" s="317"/>
      <c r="G660" s="394"/>
      <c r="H660" s="396"/>
      <c r="I660" s="395"/>
      <c r="J660" s="317"/>
      <c r="K660" s="394"/>
      <c r="L660" s="396"/>
      <c r="M660" s="395"/>
      <c r="N660" s="317"/>
      <c r="O660" s="394"/>
      <c r="P660" s="396"/>
      <c r="Q660" s="403"/>
      <c r="R660" s="404"/>
      <c r="S660" s="405"/>
      <c r="T660" s="401"/>
      <c r="U660" s="403"/>
      <c r="V660" s="404"/>
      <c r="W660" s="405"/>
      <c r="X660" s="401"/>
      <c r="Y660" s="403"/>
      <c r="Z660" s="404"/>
      <c r="AA660" s="405"/>
      <c r="AB660" s="401"/>
      <c r="AC660" s="403"/>
      <c r="AD660" s="404"/>
      <c r="AE660" s="405"/>
      <c r="AF660" s="401"/>
      <c r="AG660" s="292"/>
      <c r="AH660" s="292"/>
      <c r="AI660" s="292"/>
      <c r="AJ660" s="292"/>
      <c r="AK660" s="395"/>
      <c r="AL660" s="317"/>
      <c r="AM660" s="394"/>
      <c r="AN660" s="396"/>
      <c r="AO660" s="200"/>
      <c r="AP660" s="200"/>
    </row>
    <row r="661">
      <c r="A661" s="395"/>
      <c r="B661" s="317"/>
      <c r="C661" s="394"/>
      <c r="D661" s="396"/>
      <c r="E661" s="395"/>
      <c r="F661" s="317"/>
      <c r="G661" s="394"/>
      <c r="H661" s="396"/>
      <c r="I661" s="395"/>
      <c r="J661" s="317"/>
      <c r="K661" s="394"/>
      <c r="L661" s="396"/>
      <c r="M661" s="395"/>
      <c r="N661" s="317"/>
      <c r="O661" s="394"/>
      <c r="P661" s="396"/>
      <c r="Q661" s="403"/>
      <c r="R661" s="404"/>
      <c r="S661" s="405"/>
      <c r="T661" s="401"/>
      <c r="U661" s="403"/>
      <c r="V661" s="404"/>
      <c r="W661" s="405"/>
      <c r="X661" s="401"/>
      <c r="Y661" s="403"/>
      <c r="Z661" s="404"/>
      <c r="AA661" s="405"/>
      <c r="AB661" s="401"/>
      <c r="AC661" s="403"/>
      <c r="AD661" s="404"/>
      <c r="AE661" s="405"/>
      <c r="AF661" s="401"/>
      <c r="AG661" s="292"/>
      <c r="AH661" s="292"/>
      <c r="AI661" s="292"/>
      <c r="AJ661" s="292"/>
      <c r="AK661" s="395"/>
      <c r="AL661" s="317"/>
      <c r="AM661" s="394"/>
      <c r="AN661" s="396"/>
      <c r="AO661" s="200"/>
      <c r="AP661" s="200"/>
    </row>
    <row r="662">
      <c r="A662" s="395"/>
      <c r="B662" s="317"/>
      <c r="C662" s="394"/>
      <c r="D662" s="396"/>
      <c r="E662" s="395"/>
      <c r="F662" s="317"/>
      <c r="G662" s="394"/>
      <c r="H662" s="396"/>
      <c r="I662" s="395"/>
      <c r="J662" s="317"/>
      <c r="K662" s="394"/>
      <c r="L662" s="396"/>
      <c r="M662" s="395"/>
      <c r="N662" s="317"/>
      <c r="O662" s="394"/>
      <c r="P662" s="396"/>
      <c r="Q662" s="403"/>
      <c r="R662" s="404"/>
      <c r="S662" s="405"/>
      <c r="T662" s="401"/>
      <c r="U662" s="403"/>
      <c r="V662" s="404"/>
      <c r="W662" s="405"/>
      <c r="X662" s="401"/>
      <c r="Y662" s="403"/>
      <c r="Z662" s="404"/>
      <c r="AA662" s="405"/>
      <c r="AB662" s="401"/>
      <c r="AC662" s="403"/>
      <c r="AD662" s="404"/>
      <c r="AE662" s="405"/>
      <c r="AF662" s="401"/>
      <c r="AG662" s="292"/>
      <c r="AH662" s="292"/>
      <c r="AI662" s="292"/>
      <c r="AJ662" s="292"/>
      <c r="AK662" s="395"/>
      <c r="AL662" s="317"/>
      <c r="AM662" s="394"/>
      <c r="AN662" s="396"/>
      <c r="AO662" s="200"/>
      <c r="AP662" s="200"/>
    </row>
    <row r="663">
      <c r="A663" s="395"/>
      <c r="B663" s="317"/>
      <c r="C663" s="394"/>
      <c r="D663" s="396"/>
      <c r="E663" s="395"/>
      <c r="F663" s="317"/>
      <c r="G663" s="394"/>
      <c r="H663" s="396"/>
      <c r="I663" s="395"/>
      <c r="J663" s="317"/>
      <c r="K663" s="394"/>
      <c r="L663" s="396"/>
      <c r="M663" s="395"/>
      <c r="N663" s="317"/>
      <c r="O663" s="394"/>
      <c r="P663" s="396"/>
      <c r="Q663" s="403"/>
      <c r="R663" s="404"/>
      <c r="S663" s="405"/>
      <c r="T663" s="401"/>
      <c r="U663" s="403"/>
      <c r="V663" s="404"/>
      <c r="W663" s="405"/>
      <c r="X663" s="401"/>
      <c r="Y663" s="403"/>
      <c r="Z663" s="404"/>
      <c r="AA663" s="405"/>
      <c r="AB663" s="401"/>
      <c r="AC663" s="403"/>
      <c r="AD663" s="404"/>
      <c r="AE663" s="405"/>
      <c r="AF663" s="401"/>
      <c r="AG663" s="292"/>
      <c r="AH663" s="292"/>
      <c r="AI663" s="292"/>
      <c r="AJ663" s="292"/>
      <c r="AK663" s="395"/>
      <c r="AL663" s="317"/>
      <c r="AM663" s="394"/>
      <c r="AN663" s="396"/>
      <c r="AO663" s="200"/>
      <c r="AP663" s="200"/>
    </row>
    <row r="664">
      <c r="A664" s="395"/>
      <c r="B664" s="317"/>
      <c r="C664" s="394"/>
      <c r="D664" s="396"/>
      <c r="E664" s="395"/>
      <c r="F664" s="317"/>
      <c r="G664" s="394"/>
      <c r="H664" s="396"/>
      <c r="I664" s="395"/>
      <c r="J664" s="317"/>
      <c r="K664" s="394"/>
      <c r="L664" s="396"/>
      <c r="M664" s="395"/>
      <c r="N664" s="317"/>
      <c r="O664" s="394"/>
      <c r="P664" s="396"/>
      <c r="Q664" s="403"/>
      <c r="R664" s="404"/>
      <c r="S664" s="405"/>
      <c r="T664" s="401"/>
      <c r="U664" s="403"/>
      <c r="V664" s="404"/>
      <c r="W664" s="405"/>
      <c r="X664" s="401"/>
      <c r="Y664" s="403"/>
      <c r="Z664" s="404"/>
      <c r="AA664" s="405"/>
      <c r="AB664" s="401"/>
      <c r="AC664" s="403"/>
      <c r="AD664" s="404"/>
      <c r="AE664" s="405"/>
      <c r="AF664" s="401"/>
      <c r="AG664" s="292"/>
      <c r="AH664" s="292"/>
      <c r="AI664" s="292"/>
      <c r="AJ664" s="292"/>
      <c r="AK664" s="395"/>
      <c r="AL664" s="317"/>
      <c r="AM664" s="394"/>
      <c r="AN664" s="396"/>
      <c r="AO664" s="200"/>
      <c r="AP664" s="200"/>
    </row>
    <row r="665">
      <c r="A665" s="395"/>
      <c r="B665" s="317"/>
      <c r="C665" s="394"/>
      <c r="D665" s="396"/>
      <c r="E665" s="395"/>
      <c r="F665" s="317"/>
      <c r="G665" s="394"/>
      <c r="H665" s="396"/>
      <c r="I665" s="395"/>
      <c r="J665" s="317"/>
      <c r="K665" s="394"/>
      <c r="L665" s="396"/>
      <c r="M665" s="395"/>
      <c r="N665" s="317"/>
      <c r="O665" s="394"/>
      <c r="P665" s="396"/>
      <c r="Q665" s="403"/>
      <c r="R665" s="404"/>
      <c r="S665" s="405"/>
      <c r="T665" s="401"/>
      <c r="U665" s="403"/>
      <c r="V665" s="404"/>
      <c r="W665" s="405"/>
      <c r="X665" s="401"/>
      <c r="Y665" s="403"/>
      <c r="Z665" s="404"/>
      <c r="AA665" s="405"/>
      <c r="AB665" s="401"/>
      <c r="AC665" s="403"/>
      <c r="AD665" s="404"/>
      <c r="AE665" s="405"/>
      <c r="AF665" s="401"/>
      <c r="AG665" s="292"/>
      <c r="AH665" s="292"/>
      <c r="AI665" s="292"/>
      <c r="AJ665" s="292"/>
      <c r="AK665" s="395"/>
      <c r="AL665" s="317"/>
      <c r="AM665" s="394"/>
      <c r="AN665" s="396"/>
      <c r="AO665" s="200"/>
      <c r="AP665" s="200"/>
    </row>
    <row r="666">
      <c r="A666" s="395"/>
      <c r="B666" s="317"/>
      <c r="C666" s="394"/>
      <c r="D666" s="396"/>
      <c r="E666" s="395"/>
      <c r="F666" s="317"/>
      <c r="G666" s="394"/>
      <c r="H666" s="396"/>
      <c r="I666" s="395"/>
      <c r="J666" s="317"/>
      <c r="K666" s="394"/>
      <c r="L666" s="396"/>
      <c r="M666" s="395"/>
      <c r="N666" s="317"/>
      <c r="O666" s="394"/>
      <c r="P666" s="396"/>
      <c r="Q666" s="403"/>
      <c r="R666" s="404"/>
      <c r="S666" s="405"/>
      <c r="T666" s="401"/>
      <c r="U666" s="403"/>
      <c r="V666" s="404"/>
      <c r="W666" s="405"/>
      <c r="X666" s="401"/>
      <c r="Y666" s="403"/>
      <c r="Z666" s="404"/>
      <c r="AA666" s="405"/>
      <c r="AB666" s="401"/>
      <c r="AC666" s="403"/>
      <c r="AD666" s="404"/>
      <c r="AE666" s="405"/>
      <c r="AF666" s="401"/>
      <c r="AG666" s="292"/>
      <c r="AH666" s="292"/>
      <c r="AI666" s="292"/>
      <c r="AJ666" s="292"/>
      <c r="AK666" s="395"/>
      <c r="AL666" s="317"/>
      <c r="AM666" s="394"/>
      <c r="AN666" s="396"/>
      <c r="AO666" s="200"/>
      <c r="AP666" s="200"/>
    </row>
    <row r="667">
      <c r="A667" s="395"/>
      <c r="B667" s="317"/>
      <c r="C667" s="394"/>
      <c r="D667" s="396"/>
      <c r="E667" s="395"/>
      <c r="F667" s="317"/>
      <c r="G667" s="394"/>
      <c r="H667" s="396"/>
      <c r="I667" s="395"/>
      <c r="J667" s="317"/>
      <c r="K667" s="394"/>
      <c r="L667" s="396"/>
      <c r="M667" s="395"/>
      <c r="N667" s="317"/>
      <c r="O667" s="394"/>
      <c r="P667" s="396"/>
      <c r="Q667" s="403"/>
      <c r="R667" s="404"/>
      <c r="S667" s="405"/>
      <c r="T667" s="401"/>
      <c r="U667" s="403"/>
      <c r="V667" s="404"/>
      <c r="W667" s="405"/>
      <c r="X667" s="401"/>
      <c r="Y667" s="403"/>
      <c r="Z667" s="404"/>
      <c r="AA667" s="405"/>
      <c r="AB667" s="401"/>
      <c r="AC667" s="403"/>
      <c r="AD667" s="404"/>
      <c r="AE667" s="405"/>
      <c r="AF667" s="401"/>
      <c r="AG667" s="292"/>
      <c r="AH667" s="292"/>
      <c r="AI667" s="292"/>
      <c r="AJ667" s="292"/>
      <c r="AK667" s="395"/>
      <c r="AL667" s="317"/>
      <c r="AM667" s="394"/>
      <c r="AN667" s="396"/>
      <c r="AO667" s="200"/>
      <c r="AP667" s="200"/>
    </row>
    <row r="668">
      <c r="A668" s="395"/>
      <c r="B668" s="317"/>
      <c r="C668" s="394"/>
      <c r="D668" s="396"/>
      <c r="E668" s="395"/>
      <c r="F668" s="317"/>
      <c r="G668" s="394"/>
      <c r="H668" s="396"/>
      <c r="I668" s="395"/>
      <c r="J668" s="317"/>
      <c r="K668" s="394"/>
      <c r="L668" s="396"/>
      <c r="M668" s="395"/>
      <c r="N668" s="317"/>
      <c r="O668" s="394"/>
      <c r="P668" s="396"/>
      <c r="Q668" s="403"/>
      <c r="R668" s="404"/>
      <c r="S668" s="405"/>
      <c r="T668" s="401"/>
      <c r="U668" s="403"/>
      <c r="V668" s="404"/>
      <c r="W668" s="405"/>
      <c r="X668" s="401"/>
      <c r="Y668" s="403"/>
      <c r="Z668" s="404"/>
      <c r="AA668" s="405"/>
      <c r="AB668" s="401"/>
      <c r="AC668" s="403"/>
      <c r="AD668" s="404"/>
      <c r="AE668" s="405"/>
      <c r="AF668" s="401"/>
      <c r="AG668" s="292"/>
      <c r="AH668" s="292"/>
      <c r="AI668" s="292"/>
      <c r="AJ668" s="292"/>
      <c r="AK668" s="395"/>
      <c r="AL668" s="317"/>
      <c r="AM668" s="394"/>
      <c r="AN668" s="396"/>
      <c r="AO668" s="200"/>
      <c r="AP668" s="200"/>
    </row>
    <row r="669">
      <c r="A669" s="395"/>
      <c r="B669" s="317"/>
      <c r="C669" s="394"/>
      <c r="D669" s="396"/>
      <c r="E669" s="395"/>
      <c r="F669" s="317"/>
      <c r="G669" s="394"/>
      <c r="H669" s="396"/>
      <c r="I669" s="395"/>
      <c r="J669" s="317"/>
      <c r="K669" s="394"/>
      <c r="L669" s="396"/>
      <c r="M669" s="395"/>
      <c r="N669" s="317"/>
      <c r="O669" s="394"/>
      <c r="P669" s="396"/>
      <c r="Q669" s="403"/>
      <c r="R669" s="404"/>
      <c r="S669" s="405"/>
      <c r="T669" s="401"/>
      <c r="U669" s="403"/>
      <c r="V669" s="404"/>
      <c r="W669" s="405"/>
      <c r="X669" s="401"/>
      <c r="Y669" s="403"/>
      <c r="Z669" s="404"/>
      <c r="AA669" s="405"/>
      <c r="AB669" s="401"/>
      <c r="AC669" s="403"/>
      <c r="AD669" s="404"/>
      <c r="AE669" s="405"/>
      <c r="AF669" s="401"/>
      <c r="AG669" s="292"/>
      <c r="AH669" s="292"/>
      <c r="AI669" s="292"/>
      <c r="AJ669" s="292"/>
      <c r="AK669" s="395"/>
      <c r="AL669" s="317"/>
      <c r="AM669" s="394"/>
      <c r="AN669" s="396"/>
      <c r="AO669" s="200"/>
      <c r="AP669" s="200"/>
    </row>
    <row r="670">
      <c r="A670" s="395"/>
      <c r="B670" s="317"/>
      <c r="C670" s="394"/>
      <c r="D670" s="396"/>
      <c r="E670" s="395"/>
      <c r="F670" s="317"/>
      <c r="G670" s="394"/>
      <c r="H670" s="396"/>
      <c r="I670" s="395"/>
      <c r="J670" s="317"/>
      <c r="K670" s="394"/>
      <c r="L670" s="396"/>
      <c r="M670" s="395"/>
      <c r="N670" s="317"/>
      <c r="O670" s="394"/>
      <c r="P670" s="396"/>
      <c r="Q670" s="403"/>
      <c r="R670" s="404"/>
      <c r="S670" s="405"/>
      <c r="T670" s="401"/>
      <c r="U670" s="403"/>
      <c r="V670" s="404"/>
      <c r="W670" s="405"/>
      <c r="X670" s="401"/>
      <c r="Y670" s="403"/>
      <c r="Z670" s="404"/>
      <c r="AA670" s="405"/>
      <c r="AB670" s="401"/>
      <c r="AC670" s="403"/>
      <c r="AD670" s="404"/>
      <c r="AE670" s="405"/>
      <c r="AF670" s="401"/>
      <c r="AG670" s="292"/>
      <c r="AH670" s="292"/>
      <c r="AI670" s="292"/>
      <c r="AJ670" s="292"/>
      <c r="AK670" s="395"/>
      <c r="AL670" s="317"/>
      <c r="AM670" s="394"/>
      <c r="AN670" s="396"/>
      <c r="AO670" s="200"/>
      <c r="AP670" s="200"/>
    </row>
    <row r="671">
      <c r="A671" s="395"/>
      <c r="B671" s="317"/>
      <c r="C671" s="394"/>
      <c r="D671" s="396"/>
      <c r="E671" s="395"/>
      <c r="F671" s="317"/>
      <c r="G671" s="394"/>
      <c r="H671" s="396"/>
      <c r="I671" s="395"/>
      <c r="J671" s="317"/>
      <c r="K671" s="394"/>
      <c r="L671" s="396"/>
      <c r="M671" s="395"/>
      <c r="N671" s="317"/>
      <c r="O671" s="394"/>
      <c r="P671" s="396"/>
      <c r="Q671" s="403"/>
      <c r="R671" s="404"/>
      <c r="S671" s="405"/>
      <c r="T671" s="401"/>
      <c r="U671" s="403"/>
      <c r="V671" s="404"/>
      <c r="W671" s="405"/>
      <c r="X671" s="401"/>
      <c r="Y671" s="403"/>
      <c r="Z671" s="404"/>
      <c r="AA671" s="405"/>
      <c r="AB671" s="401"/>
      <c r="AC671" s="403"/>
      <c r="AD671" s="404"/>
      <c r="AE671" s="405"/>
      <c r="AF671" s="401"/>
      <c r="AG671" s="292"/>
      <c r="AH671" s="292"/>
      <c r="AI671" s="292"/>
      <c r="AJ671" s="292"/>
      <c r="AK671" s="395"/>
      <c r="AL671" s="317"/>
      <c r="AM671" s="394"/>
      <c r="AN671" s="396"/>
      <c r="AO671" s="200"/>
      <c r="AP671" s="200"/>
    </row>
    <row r="672">
      <c r="A672" s="395"/>
      <c r="B672" s="317"/>
      <c r="C672" s="394"/>
      <c r="D672" s="396"/>
      <c r="E672" s="395"/>
      <c r="F672" s="317"/>
      <c r="G672" s="394"/>
      <c r="H672" s="396"/>
      <c r="I672" s="395"/>
      <c r="J672" s="317"/>
      <c r="K672" s="394"/>
      <c r="L672" s="396"/>
      <c r="M672" s="395"/>
      <c r="N672" s="317"/>
      <c r="O672" s="394"/>
      <c r="P672" s="396"/>
      <c r="Q672" s="403"/>
      <c r="R672" s="404"/>
      <c r="S672" s="405"/>
      <c r="T672" s="401"/>
      <c r="U672" s="403"/>
      <c r="V672" s="404"/>
      <c r="W672" s="405"/>
      <c r="X672" s="401"/>
      <c r="Y672" s="403"/>
      <c r="Z672" s="404"/>
      <c r="AA672" s="405"/>
      <c r="AB672" s="401"/>
      <c r="AC672" s="403"/>
      <c r="AD672" s="404"/>
      <c r="AE672" s="405"/>
      <c r="AF672" s="401"/>
      <c r="AG672" s="292"/>
      <c r="AH672" s="292"/>
      <c r="AI672" s="292"/>
      <c r="AJ672" s="292"/>
      <c r="AK672" s="395"/>
      <c r="AL672" s="317"/>
      <c r="AM672" s="394"/>
      <c r="AN672" s="396"/>
      <c r="AO672" s="200"/>
      <c r="AP672" s="200"/>
    </row>
    <row r="673">
      <c r="A673" s="395"/>
      <c r="B673" s="317"/>
      <c r="C673" s="394"/>
      <c r="D673" s="396"/>
      <c r="E673" s="395"/>
      <c r="F673" s="317"/>
      <c r="G673" s="394"/>
      <c r="H673" s="396"/>
      <c r="I673" s="395"/>
      <c r="J673" s="317"/>
      <c r="K673" s="394"/>
      <c r="L673" s="396"/>
      <c r="M673" s="395"/>
      <c r="N673" s="317"/>
      <c r="O673" s="394"/>
      <c r="P673" s="396"/>
      <c r="Q673" s="403"/>
      <c r="R673" s="404"/>
      <c r="S673" s="405"/>
      <c r="T673" s="401"/>
      <c r="U673" s="403"/>
      <c r="V673" s="404"/>
      <c r="W673" s="405"/>
      <c r="X673" s="401"/>
      <c r="Y673" s="403"/>
      <c r="Z673" s="404"/>
      <c r="AA673" s="405"/>
      <c r="AB673" s="401"/>
      <c r="AC673" s="403"/>
      <c r="AD673" s="404"/>
      <c r="AE673" s="405"/>
      <c r="AF673" s="401"/>
      <c r="AG673" s="292"/>
      <c r="AH673" s="292"/>
      <c r="AI673" s="292"/>
      <c r="AJ673" s="292"/>
      <c r="AK673" s="395"/>
      <c r="AL673" s="317"/>
      <c r="AM673" s="394"/>
      <c r="AN673" s="396"/>
      <c r="AO673" s="200"/>
      <c r="AP673" s="200"/>
    </row>
    <row r="674">
      <c r="A674" s="395"/>
      <c r="B674" s="317"/>
      <c r="C674" s="394"/>
      <c r="D674" s="396"/>
      <c r="E674" s="395"/>
      <c r="F674" s="317"/>
      <c r="G674" s="394"/>
      <c r="H674" s="396"/>
      <c r="I674" s="395"/>
      <c r="J674" s="317"/>
      <c r="K674" s="394"/>
      <c r="L674" s="396"/>
      <c r="M674" s="395"/>
      <c r="N674" s="317"/>
      <c r="O674" s="394"/>
      <c r="P674" s="396"/>
      <c r="Q674" s="403"/>
      <c r="R674" s="404"/>
      <c r="S674" s="405"/>
      <c r="T674" s="401"/>
      <c r="U674" s="403"/>
      <c r="V674" s="404"/>
      <c r="W674" s="405"/>
      <c r="X674" s="401"/>
      <c r="Y674" s="403"/>
      <c r="Z674" s="404"/>
      <c r="AA674" s="405"/>
      <c r="AB674" s="401"/>
      <c r="AC674" s="403"/>
      <c r="AD674" s="404"/>
      <c r="AE674" s="405"/>
      <c r="AF674" s="401"/>
      <c r="AG674" s="292"/>
      <c r="AH674" s="292"/>
      <c r="AI674" s="292"/>
      <c r="AJ674" s="292"/>
      <c r="AK674" s="395"/>
      <c r="AL674" s="317"/>
      <c r="AM674" s="394"/>
      <c r="AN674" s="396"/>
      <c r="AO674" s="200"/>
      <c r="AP674" s="200"/>
    </row>
    <row r="675">
      <c r="A675" s="395"/>
      <c r="B675" s="317"/>
      <c r="C675" s="394"/>
      <c r="D675" s="396"/>
      <c r="E675" s="395"/>
      <c r="F675" s="317"/>
      <c r="G675" s="394"/>
      <c r="H675" s="396"/>
      <c r="I675" s="395"/>
      <c r="J675" s="317"/>
      <c r="K675" s="394"/>
      <c r="L675" s="396"/>
      <c r="M675" s="395"/>
      <c r="N675" s="317"/>
      <c r="O675" s="394"/>
      <c r="P675" s="396"/>
      <c r="Q675" s="403"/>
      <c r="R675" s="404"/>
      <c r="S675" s="405"/>
      <c r="T675" s="401"/>
      <c r="U675" s="403"/>
      <c r="V675" s="404"/>
      <c r="W675" s="405"/>
      <c r="X675" s="401"/>
      <c r="Y675" s="403"/>
      <c r="Z675" s="404"/>
      <c r="AA675" s="405"/>
      <c r="AB675" s="401"/>
      <c r="AC675" s="403"/>
      <c r="AD675" s="404"/>
      <c r="AE675" s="405"/>
      <c r="AF675" s="401"/>
      <c r="AG675" s="292"/>
      <c r="AH675" s="292"/>
      <c r="AI675" s="292"/>
      <c r="AJ675" s="292"/>
      <c r="AK675" s="395"/>
      <c r="AL675" s="317"/>
      <c r="AM675" s="394"/>
      <c r="AN675" s="396"/>
      <c r="AO675" s="200"/>
      <c r="AP675" s="200"/>
    </row>
    <row r="676">
      <c r="A676" s="395"/>
      <c r="B676" s="317"/>
      <c r="C676" s="394"/>
      <c r="D676" s="396"/>
      <c r="E676" s="395"/>
      <c r="F676" s="317"/>
      <c r="G676" s="394"/>
      <c r="H676" s="396"/>
      <c r="I676" s="395"/>
      <c r="J676" s="317"/>
      <c r="K676" s="394"/>
      <c r="L676" s="396"/>
      <c r="M676" s="395"/>
      <c r="N676" s="317"/>
      <c r="O676" s="394"/>
      <c r="P676" s="396"/>
      <c r="Q676" s="403"/>
      <c r="R676" s="404"/>
      <c r="S676" s="405"/>
      <c r="T676" s="401"/>
      <c r="U676" s="403"/>
      <c r="V676" s="404"/>
      <c r="W676" s="405"/>
      <c r="X676" s="401"/>
      <c r="Y676" s="403"/>
      <c r="Z676" s="404"/>
      <c r="AA676" s="405"/>
      <c r="AB676" s="401"/>
      <c r="AC676" s="403"/>
      <c r="AD676" s="404"/>
      <c r="AE676" s="405"/>
      <c r="AF676" s="401"/>
      <c r="AG676" s="292"/>
      <c r="AH676" s="292"/>
      <c r="AI676" s="292"/>
      <c r="AJ676" s="292"/>
      <c r="AK676" s="395"/>
      <c r="AL676" s="317"/>
      <c r="AM676" s="394"/>
      <c r="AN676" s="396"/>
      <c r="AO676" s="200"/>
      <c r="AP676" s="200"/>
    </row>
    <row r="677">
      <c r="A677" s="395"/>
      <c r="B677" s="317"/>
      <c r="C677" s="394"/>
      <c r="D677" s="396"/>
      <c r="E677" s="395"/>
      <c r="F677" s="317"/>
      <c r="G677" s="394"/>
      <c r="H677" s="396"/>
      <c r="I677" s="395"/>
      <c r="J677" s="317"/>
      <c r="K677" s="394"/>
      <c r="L677" s="396"/>
      <c r="M677" s="395"/>
      <c r="N677" s="317"/>
      <c r="O677" s="394"/>
      <c r="P677" s="396"/>
      <c r="Q677" s="403"/>
      <c r="R677" s="404"/>
      <c r="S677" s="405"/>
      <c r="T677" s="401"/>
      <c r="U677" s="403"/>
      <c r="V677" s="404"/>
      <c r="W677" s="405"/>
      <c r="X677" s="401"/>
      <c r="Y677" s="403"/>
      <c r="Z677" s="404"/>
      <c r="AA677" s="405"/>
      <c r="AB677" s="401"/>
      <c r="AC677" s="403"/>
      <c r="AD677" s="404"/>
      <c r="AE677" s="405"/>
      <c r="AF677" s="401"/>
      <c r="AG677" s="292"/>
      <c r="AH677" s="292"/>
      <c r="AI677" s="292"/>
      <c r="AJ677" s="292"/>
      <c r="AK677" s="395"/>
      <c r="AL677" s="317"/>
      <c r="AM677" s="394"/>
      <c r="AN677" s="396"/>
      <c r="AO677" s="200"/>
      <c r="AP677" s="200"/>
    </row>
    <row r="678">
      <c r="A678" s="395"/>
      <c r="B678" s="317"/>
      <c r="C678" s="394"/>
      <c r="D678" s="396"/>
      <c r="E678" s="395"/>
      <c r="F678" s="317"/>
      <c r="G678" s="394"/>
      <c r="H678" s="396"/>
      <c r="I678" s="395"/>
      <c r="J678" s="317"/>
      <c r="K678" s="394"/>
      <c r="L678" s="396"/>
      <c r="M678" s="395"/>
      <c r="N678" s="317"/>
      <c r="O678" s="394"/>
      <c r="P678" s="396"/>
      <c r="Q678" s="403"/>
      <c r="R678" s="404"/>
      <c r="S678" s="405"/>
      <c r="T678" s="401"/>
      <c r="U678" s="403"/>
      <c r="V678" s="404"/>
      <c r="W678" s="405"/>
      <c r="X678" s="401"/>
      <c r="Y678" s="403"/>
      <c r="Z678" s="404"/>
      <c r="AA678" s="405"/>
      <c r="AB678" s="401"/>
      <c r="AC678" s="403"/>
      <c r="AD678" s="404"/>
      <c r="AE678" s="405"/>
      <c r="AF678" s="401"/>
      <c r="AG678" s="292"/>
      <c r="AH678" s="292"/>
      <c r="AI678" s="292"/>
      <c r="AJ678" s="292"/>
      <c r="AK678" s="395"/>
      <c r="AL678" s="317"/>
      <c r="AM678" s="394"/>
      <c r="AN678" s="396"/>
      <c r="AO678" s="200"/>
      <c r="AP678" s="200"/>
    </row>
    <row r="679">
      <c r="A679" s="395"/>
      <c r="B679" s="317"/>
      <c r="C679" s="394"/>
      <c r="D679" s="396"/>
      <c r="E679" s="395"/>
      <c r="F679" s="317"/>
      <c r="G679" s="394"/>
      <c r="H679" s="396"/>
      <c r="I679" s="395"/>
      <c r="J679" s="317"/>
      <c r="K679" s="394"/>
      <c r="L679" s="396"/>
      <c r="M679" s="395"/>
      <c r="N679" s="317"/>
      <c r="O679" s="394"/>
      <c r="P679" s="396"/>
      <c r="Q679" s="403"/>
      <c r="R679" s="404"/>
      <c r="S679" s="405"/>
      <c r="T679" s="401"/>
      <c r="U679" s="403"/>
      <c r="V679" s="404"/>
      <c r="W679" s="405"/>
      <c r="X679" s="401"/>
      <c r="Y679" s="403"/>
      <c r="Z679" s="404"/>
      <c r="AA679" s="405"/>
      <c r="AB679" s="401"/>
      <c r="AC679" s="403"/>
      <c r="AD679" s="404"/>
      <c r="AE679" s="405"/>
      <c r="AF679" s="401"/>
      <c r="AG679" s="292"/>
      <c r="AH679" s="292"/>
      <c r="AI679" s="292"/>
      <c r="AJ679" s="292"/>
      <c r="AK679" s="395"/>
      <c r="AL679" s="317"/>
      <c r="AM679" s="394"/>
      <c r="AN679" s="396"/>
      <c r="AO679" s="200"/>
      <c r="AP679" s="200"/>
    </row>
    <row r="680">
      <c r="A680" s="395"/>
      <c r="B680" s="317"/>
      <c r="C680" s="394"/>
      <c r="D680" s="396"/>
      <c r="E680" s="395"/>
      <c r="F680" s="317"/>
      <c r="G680" s="394"/>
      <c r="H680" s="396"/>
      <c r="I680" s="395"/>
      <c r="J680" s="317"/>
      <c r="K680" s="394"/>
      <c r="L680" s="396"/>
      <c r="M680" s="395"/>
      <c r="N680" s="317"/>
      <c r="O680" s="394"/>
      <c r="P680" s="396"/>
      <c r="Q680" s="403"/>
      <c r="R680" s="404"/>
      <c r="S680" s="405"/>
      <c r="T680" s="401"/>
      <c r="U680" s="403"/>
      <c r="V680" s="404"/>
      <c r="W680" s="405"/>
      <c r="X680" s="401"/>
      <c r="Y680" s="403"/>
      <c r="Z680" s="404"/>
      <c r="AA680" s="405"/>
      <c r="AB680" s="401"/>
      <c r="AC680" s="403"/>
      <c r="AD680" s="404"/>
      <c r="AE680" s="405"/>
      <c r="AF680" s="401"/>
      <c r="AG680" s="292"/>
      <c r="AH680" s="292"/>
      <c r="AI680" s="292"/>
      <c r="AJ680" s="292"/>
      <c r="AK680" s="395"/>
      <c r="AL680" s="317"/>
      <c r="AM680" s="394"/>
      <c r="AN680" s="396"/>
      <c r="AO680" s="200"/>
      <c r="AP680" s="200"/>
    </row>
    <row r="681">
      <c r="A681" s="395"/>
      <c r="B681" s="317"/>
      <c r="C681" s="394"/>
      <c r="D681" s="396"/>
      <c r="E681" s="395"/>
      <c r="F681" s="317"/>
      <c r="G681" s="394"/>
      <c r="H681" s="396"/>
      <c r="I681" s="395"/>
      <c r="J681" s="317"/>
      <c r="K681" s="394"/>
      <c r="L681" s="396"/>
      <c r="M681" s="395"/>
      <c r="N681" s="317"/>
      <c r="O681" s="394"/>
      <c r="P681" s="396"/>
      <c r="Q681" s="403"/>
      <c r="R681" s="404"/>
      <c r="S681" s="405"/>
      <c r="T681" s="401"/>
      <c r="U681" s="403"/>
      <c r="V681" s="404"/>
      <c r="W681" s="405"/>
      <c r="X681" s="401"/>
      <c r="Y681" s="403"/>
      <c r="Z681" s="404"/>
      <c r="AA681" s="405"/>
      <c r="AB681" s="401"/>
      <c r="AC681" s="403"/>
      <c r="AD681" s="404"/>
      <c r="AE681" s="405"/>
      <c r="AF681" s="401"/>
      <c r="AG681" s="292"/>
      <c r="AH681" s="292"/>
      <c r="AI681" s="292"/>
      <c r="AJ681" s="292"/>
      <c r="AK681" s="395"/>
      <c r="AL681" s="317"/>
      <c r="AM681" s="394"/>
      <c r="AN681" s="396"/>
      <c r="AO681" s="200"/>
      <c r="AP681" s="200"/>
    </row>
    <row r="682">
      <c r="A682" s="395"/>
      <c r="B682" s="317"/>
      <c r="C682" s="394"/>
      <c r="D682" s="396"/>
      <c r="E682" s="395"/>
      <c r="F682" s="317"/>
      <c r="G682" s="394"/>
      <c r="H682" s="396"/>
      <c r="I682" s="395"/>
      <c r="J682" s="317"/>
      <c r="K682" s="394"/>
      <c r="L682" s="396"/>
      <c r="M682" s="395"/>
      <c r="N682" s="317"/>
      <c r="O682" s="394"/>
      <c r="P682" s="396"/>
      <c r="Q682" s="403"/>
      <c r="R682" s="404"/>
      <c r="S682" s="405"/>
      <c r="T682" s="401"/>
      <c r="U682" s="403"/>
      <c r="V682" s="404"/>
      <c r="W682" s="405"/>
      <c r="X682" s="401"/>
      <c r="Y682" s="403"/>
      <c r="Z682" s="404"/>
      <c r="AA682" s="405"/>
      <c r="AB682" s="401"/>
      <c r="AC682" s="403"/>
      <c r="AD682" s="404"/>
      <c r="AE682" s="405"/>
      <c r="AF682" s="401"/>
      <c r="AG682" s="292"/>
      <c r="AH682" s="292"/>
      <c r="AI682" s="292"/>
      <c r="AJ682" s="292"/>
      <c r="AK682" s="395"/>
      <c r="AL682" s="317"/>
      <c r="AM682" s="394"/>
      <c r="AN682" s="396"/>
      <c r="AO682" s="200"/>
      <c r="AP682" s="200"/>
    </row>
    <row r="683">
      <c r="A683" s="395"/>
      <c r="B683" s="317"/>
      <c r="C683" s="394"/>
      <c r="D683" s="396"/>
      <c r="E683" s="395"/>
      <c r="F683" s="317"/>
      <c r="G683" s="394"/>
      <c r="H683" s="396"/>
      <c r="I683" s="395"/>
      <c r="J683" s="317"/>
      <c r="K683" s="394"/>
      <c r="L683" s="396"/>
      <c r="M683" s="395"/>
      <c r="N683" s="317"/>
      <c r="O683" s="394"/>
      <c r="P683" s="396"/>
      <c r="Q683" s="403"/>
      <c r="R683" s="404"/>
      <c r="S683" s="405"/>
      <c r="T683" s="401"/>
      <c r="U683" s="403"/>
      <c r="V683" s="404"/>
      <c r="W683" s="405"/>
      <c r="X683" s="401"/>
      <c r="Y683" s="403"/>
      <c r="Z683" s="404"/>
      <c r="AA683" s="405"/>
      <c r="AB683" s="401"/>
      <c r="AC683" s="403"/>
      <c r="AD683" s="404"/>
      <c r="AE683" s="405"/>
      <c r="AF683" s="401"/>
      <c r="AG683" s="292"/>
      <c r="AH683" s="292"/>
      <c r="AI683" s="292"/>
      <c r="AJ683" s="292"/>
      <c r="AK683" s="395"/>
      <c r="AL683" s="317"/>
      <c r="AM683" s="394"/>
      <c r="AN683" s="396"/>
      <c r="AO683" s="200"/>
      <c r="AP683" s="200"/>
    </row>
    <row r="684">
      <c r="A684" s="395"/>
      <c r="B684" s="317"/>
      <c r="C684" s="394"/>
      <c r="D684" s="396"/>
      <c r="E684" s="395"/>
      <c r="F684" s="317"/>
      <c r="G684" s="394"/>
      <c r="H684" s="396"/>
      <c r="I684" s="395"/>
      <c r="J684" s="317"/>
      <c r="K684" s="394"/>
      <c r="L684" s="396"/>
      <c r="M684" s="395"/>
      <c r="N684" s="317"/>
      <c r="O684" s="394"/>
      <c r="P684" s="396"/>
      <c r="Q684" s="403"/>
      <c r="R684" s="404"/>
      <c r="S684" s="405"/>
      <c r="T684" s="401"/>
      <c r="U684" s="403"/>
      <c r="V684" s="404"/>
      <c r="W684" s="405"/>
      <c r="X684" s="401"/>
      <c r="Y684" s="403"/>
      <c r="Z684" s="404"/>
      <c r="AA684" s="405"/>
      <c r="AB684" s="401"/>
      <c r="AC684" s="403"/>
      <c r="AD684" s="404"/>
      <c r="AE684" s="405"/>
      <c r="AF684" s="401"/>
      <c r="AG684" s="292"/>
      <c r="AH684" s="292"/>
      <c r="AI684" s="292"/>
      <c r="AJ684" s="292"/>
      <c r="AK684" s="395"/>
      <c r="AL684" s="317"/>
      <c r="AM684" s="394"/>
      <c r="AN684" s="396"/>
      <c r="AO684" s="200"/>
      <c r="AP684" s="200"/>
    </row>
    <row r="685">
      <c r="A685" s="395"/>
      <c r="B685" s="317"/>
      <c r="C685" s="394"/>
      <c r="D685" s="396"/>
      <c r="E685" s="395"/>
      <c r="F685" s="317"/>
      <c r="G685" s="394"/>
      <c r="H685" s="396"/>
      <c r="I685" s="395"/>
      <c r="J685" s="317"/>
      <c r="K685" s="394"/>
      <c r="L685" s="396"/>
      <c r="M685" s="395"/>
      <c r="N685" s="317"/>
      <c r="O685" s="394"/>
      <c r="P685" s="396"/>
      <c r="Q685" s="403"/>
      <c r="R685" s="404"/>
      <c r="S685" s="405"/>
      <c r="T685" s="401"/>
      <c r="U685" s="403"/>
      <c r="V685" s="404"/>
      <c r="W685" s="405"/>
      <c r="X685" s="401"/>
      <c r="Y685" s="403"/>
      <c r="Z685" s="404"/>
      <c r="AA685" s="405"/>
      <c r="AB685" s="401"/>
      <c r="AC685" s="403"/>
      <c r="AD685" s="404"/>
      <c r="AE685" s="405"/>
      <c r="AF685" s="401"/>
      <c r="AG685" s="292"/>
      <c r="AH685" s="292"/>
      <c r="AI685" s="292"/>
      <c r="AJ685" s="292"/>
      <c r="AK685" s="395"/>
      <c r="AL685" s="317"/>
      <c r="AM685" s="394"/>
      <c r="AN685" s="396"/>
      <c r="AO685" s="200"/>
      <c r="AP685" s="200"/>
    </row>
    <row r="686">
      <c r="A686" s="395"/>
      <c r="B686" s="317"/>
      <c r="C686" s="394"/>
      <c r="D686" s="396"/>
      <c r="E686" s="395"/>
      <c r="F686" s="317"/>
      <c r="G686" s="394"/>
      <c r="H686" s="396"/>
      <c r="I686" s="395"/>
      <c r="J686" s="317"/>
      <c r="K686" s="394"/>
      <c r="L686" s="396"/>
      <c r="M686" s="395"/>
      <c r="N686" s="317"/>
      <c r="O686" s="394"/>
      <c r="P686" s="396"/>
      <c r="Q686" s="403"/>
      <c r="R686" s="404"/>
      <c r="S686" s="405"/>
      <c r="T686" s="401"/>
      <c r="U686" s="403"/>
      <c r="V686" s="404"/>
      <c r="W686" s="405"/>
      <c r="X686" s="401"/>
      <c r="Y686" s="403"/>
      <c r="Z686" s="404"/>
      <c r="AA686" s="405"/>
      <c r="AB686" s="401"/>
      <c r="AC686" s="403"/>
      <c r="AD686" s="404"/>
      <c r="AE686" s="405"/>
      <c r="AF686" s="401"/>
      <c r="AG686" s="292"/>
      <c r="AH686" s="292"/>
      <c r="AI686" s="292"/>
      <c r="AJ686" s="292"/>
      <c r="AK686" s="395"/>
      <c r="AL686" s="317"/>
      <c r="AM686" s="394"/>
      <c r="AN686" s="396"/>
      <c r="AO686" s="200"/>
      <c r="AP686" s="200"/>
    </row>
    <row r="687">
      <c r="A687" s="395"/>
      <c r="B687" s="317"/>
      <c r="C687" s="394"/>
      <c r="D687" s="396"/>
      <c r="E687" s="395"/>
      <c r="F687" s="317"/>
      <c r="G687" s="394"/>
      <c r="H687" s="396"/>
      <c r="I687" s="395"/>
      <c r="J687" s="317"/>
      <c r="K687" s="394"/>
      <c r="L687" s="396"/>
      <c r="M687" s="395"/>
      <c r="N687" s="317"/>
      <c r="O687" s="394"/>
      <c r="P687" s="396"/>
      <c r="Q687" s="403"/>
      <c r="R687" s="404"/>
      <c r="S687" s="405"/>
      <c r="T687" s="401"/>
      <c r="U687" s="403"/>
      <c r="V687" s="404"/>
      <c r="W687" s="405"/>
      <c r="X687" s="401"/>
      <c r="Y687" s="403"/>
      <c r="Z687" s="404"/>
      <c r="AA687" s="405"/>
      <c r="AB687" s="401"/>
      <c r="AC687" s="403"/>
      <c r="AD687" s="404"/>
      <c r="AE687" s="405"/>
      <c r="AF687" s="401"/>
      <c r="AG687" s="292"/>
      <c r="AH687" s="292"/>
      <c r="AI687" s="292"/>
      <c r="AJ687" s="292"/>
      <c r="AK687" s="395"/>
      <c r="AL687" s="317"/>
      <c r="AM687" s="394"/>
      <c r="AN687" s="396"/>
      <c r="AO687" s="200"/>
      <c r="AP687" s="200"/>
    </row>
    <row r="688">
      <c r="A688" s="395"/>
      <c r="B688" s="317"/>
      <c r="C688" s="394"/>
      <c r="D688" s="396"/>
      <c r="E688" s="395"/>
      <c r="F688" s="317"/>
      <c r="G688" s="394"/>
      <c r="H688" s="396"/>
      <c r="I688" s="395"/>
      <c r="J688" s="317"/>
      <c r="K688" s="394"/>
      <c r="L688" s="396"/>
      <c r="M688" s="395"/>
      <c r="N688" s="317"/>
      <c r="O688" s="394"/>
      <c r="P688" s="396"/>
      <c r="Q688" s="403"/>
      <c r="R688" s="404"/>
      <c r="S688" s="405"/>
      <c r="T688" s="401"/>
      <c r="U688" s="403"/>
      <c r="V688" s="404"/>
      <c r="W688" s="405"/>
      <c r="X688" s="401"/>
      <c r="Y688" s="403"/>
      <c r="Z688" s="404"/>
      <c r="AA688" s="405"/>
      <c r="AB688" s="401"/>
      <c r="AC688" s="403"/>
      <c r="AD688" s="404"/>
      <c r="AE688" s="405"/>
      <c r="AF688" s="401"/>
      <c r="AG688" s="292"/>
      <c r="AH688" s="292"/>
      <c r="AI688" s="292"/>
      <c r="AJ688" s="292"/>
      <c r="AK688" s="395"/>
      <c r="AL688" s="317"/>
      <c r="AM688" s="394"/>
      <c r="AN688" s="396"/>
      <c r="AO688" s="200"/>
      <c r="AP688" s="200"/>
    </row>
    <row r="689">
      <c r="A689" s="395"/>
      <c r="B689" s="317"/>
      <c r="C689" s="394"/>
      <c r="D689" s="396"/>
      <c r="E689" s="395"/>
      <c r="F689" s="317"/>
      <c r="G689" s="394"/>
      <c r="H689" s="396"/>
      <c r="I689" s="395"/>
      <c r="J689" s="317"/>
      <c r="K689" s="394"/>
      <c r="L689" s="396"/>
      <c r="M689" s="395"/>
      <c r="N689" s="317"/>
      <c r="O689" s="394"/>
      <c r="P689" s="396"/>
      <c r="Q689" s="403"/>
      <c r="R689" s="404"/>
      <c r="S689" s="405"/>
      <c r="T689" s="401"/>
      <c r="U689" s="403"/>
      <c r="V689" s="404"/>
      <c r="W689" s="405"/>
      <c r="X689" s="401"/>
      <c r="Y689" s="403"/>
      <c r="Z689" s="404"/>
      <c r="AA689" s="405"/>
      <c r="AB689" s="401"/>
      <c r="AC689" s="403"/>
      <c r="AD689" s="404"/>
      <c r="AE689" s="405"/>
      <c r="AF689" s="401"/>
      <c r="AG689" s="292"/>
      <c r="AH689" s="292"/>
      <c r="AI689" s="292"/>
      <c r="AJ689" s="292"/>
      <c r="AK689" s="395"/>
      <c r="AL689" s="317"/>
      <c r="AM689" s="394"/>
      <c r="AN689" s="396"/>
      <c r="AO689" s="200"/>
      <c r="AP689" s="200"/>
    </row>
    <row r="690">
      <c r="A690" s="395"/>
      <c r="B690" s="317"/>
      <c r="C690" s="394"/>
      <c r="D690" s="396"/>
      <c r="E690" s="395"/>
      <c r="F690" s="317"/>
      <c r="G690" s="394"/>
      <c r="H690" s="396"/>
      <c r="I690" s="395"/>
      <c r="J690" s="317"/>
      <c r="K690" s="394"/>
      <c r="L690" s="396"/>
      <c r="M690" s="395"/>
      <c r="N690" s="317"/>
      <c r="O690" s="394"/>
      <c r="P690" s="396"/>
      <c r="Q690" s="403"/>
      <c r="R690" s="404"/>
      <c r="S690" s="405"/>
      <c r="T690" s="401"/>
      <c r="U690" s="403"/>
      <c r="V690" s="404"/>
      <c r="W690" s="405"/>
      <c r="X690" s="401"/>
      <c r="Y690" s="403"/>
      <c r="Z690" s="404"/>
      <c r="AA690" s="405"/>
      <c r="AB690" s="401"/>
      <c r="AC690" s="403"/>
      <c r="AD690" s="404"/>
      <c r="AE690" s="405"/>
      <c r="AF690" s="401"/>
      <c r="AG690" s="292"/>
      <c r="AH690" s="292"/>
      <c r="AI690" s="292"/>
      <c r="AJ690" s="292"/>
      <c r="AK690" s="395"/>
      <c r="AL690" s="317"/>
      <c r="AM690" s="394"/>
      <c r="AN690" s="396"/>
      <c r="AO690" s="200"/>
      <c r="AP690" s="200"/>
    </row>
    <row r="691">
      <c r="A691" s="395"/>
      <c r="B691" s="317"/>
      <c r="C691" s="394"/>
      <c r="D691" s="396"/>
      <c r="E691" s="395"/>
      <c r="F691" s="317"/>
      <c r="G691" s="394"/>
      <c r="H691" s="396"/>
      <c r="I691" s="395"/>
      <c r="J691" s="317"/>
      <c r="K691" s="394"/>
      <c r="L691" s="396"/>
      <c r="M691" s="395"/>
      <c r="N691" s="317"/>
      <c r="O691" s="394"/>
      <c r="P691" s="396"/>
      <c r="Q691" s="403"/>
      <c r="R691" s="404"/>
      <c r="S691" s="405"/>
      <c r="T691" s="401"/>
      <c r="U691" s="403"/>
      <c r="V691" s="404"/>
      <c r="W691" s="405"/>
      <c r="X691" s="401"/>
      <c r="Y691" s="403"/>
      <c r="Z691" s="404"/>
      <c r="AA691" s="405"/>
      <c r="AB691" s="401"/>
      <c r="AC691" s="403"/>
      <c r="AD691" s="404"/>
      <c r="AE691" s="405"/>
      <c r="AF691" s="401"/>
      <c r="AG691" s="292"/>
      <c r="AH691" s="292"/>
      <c r="AI691" s="292"/>
      <c r="AJ691" s="292"/>
      <c r="AK691" s="395"/>
      <c r="AL691" s="317"/>
      <c r="AM691" s="394"/>
      <c r="AN691" s="396"/>
      <c r="AO691" s="200"/>
      <c r="AP691" s="200"/>
    </row>
    <row r="692">
      <c r="A692" s="395"/>
      <c r="B692" s="317"/>
      <c r="C692" s="394"/>
      <c r="D692" s="396"/>
      <c r="E692" s="395"/>
      <c r="F692" s="317"/>
      <c r="G692" s="394"/>
      <c r="H692" s="396"/>
      <c r="I692" s="395"/>
      <c r="J692" s="317"/>
      <c r="K692" s="394"/>
      <c r="L692" s="396"/>
      <c r="M692" s="395"/>
      <c r="N692" s="317"/>
      <c r="O692" s="394"/>
      <c r="P692" s="396"/>
      <c r="Q692" s="403"/>
      <c r="R692" s="404"/>
      <c r="S692" s="405"/>
      <c r="T692" s="401"/>
      <c r="U692" s="403"/>
      <c r="V692" s="404"/>
      <c r="W692" s="405"/>
      <c r="X692" s="401"/>
      <c r="Y692" s="403"/>
      <c r="Z692" s="404"/>
      <c r="AA692" s="405"/>
      <c r="AB692" s="401"/>
      <c r="AC692" s="403"/>
      <c r="AD692" s="404"/>
      <c r="AE692" s="405"/>
      <c r="AF692" s="401"/>
      <c r="AG692" s="292"/>
      <c r="AH692" s="292"/>
      <c r="AI692" s="292"/>
      <c r="AJ692" s="292"/>
      <c r="AK692" s="395"/>
      <c r="AL692" s="317"/>
      <c r="AM692" s="394"/>
      <c r="AN692" s="396"/>
      <c r="AO692" s="200"/>
      <c r="AP692" s="200"/>
    </row>
    <row r="693">
      <c r="A693" s="395"/>
      <c r="B693" s="317"/>
      <c r="C693" s="394"/>
      <c r="D693" s="396"/>
      <c r="E693" s="395"/>
      <c r="F693" s="317"/>
      <c r="G693" s="394"/>
      <c r="H693" s="396"/>
      <c r="I693" s="395"/>
      <c r="J693" s="317"/>
      <c r="K693" s="394"/>
      <c r="L693" s="396"/>
      <c r="M693" s="395"/>
      <c r="N693" s="317"/>
      <c r="O693" s="394"/>
      <c r="P693" s="396"/>
      <c r="Q693" s="403"/>
      <c r="R693" s="404"/>
      <c r="S693" s="405"/>
      <c r="T693" s="401"/>
      <c r="U693" s="403"/>
      <c r="V693" s="404"/>
      <c r="W693" s="405"/>
      <c r="X693" s="401"/>
      <c r="Y693" s="403"/>
      <c r="Z693" s="404"/>
      <c r="AA693" s="405"/>
      <c r="AB693" s="401"/>
      <c r="AC693" s="403"/>
      <c r="AD693" s="404"/>
      <c r="AE693" s="405"/>
      <c r="AF693" s="401"/>
      <c r="AG693" s="292"/>
      <c r="AH693" s="292"/>
      <c r="AI693" s="292"/>
      <c r="AJ693" s="292"/>
      <c r="AK693" s="395"/>
      <c r="AL693" s="317"/>
      <c r="AM693" s="394"/>
      <c r="AN693" s="396"/>
      <c r="AO693" s="200"/>
      <c r="AP693" s="200"/>
    </row>
    <row r="694">
      <c r="A694" s="395"/>
      <c r="B694" s="317"/>
      <c r="C694" s="394"/>
      <c r="D694" s="396"/>
      <c r="E694" s="395"/>
      <c r="F694" s="317"/>
      <c r="G694" s="394"/>
      <c r="H694" s="396"/>
      <c r="I694" s="395"/>
      <c r="J694" s="317"/>
      <c r="K694" s="394"/>
      <c r="L694" s="396"/>
      <c r="M694" s="395"/>
      <c r="N694" s="317"/>
      <c r="O694" s="394"/>
      <c r="P694" s="396"/>
      <c r="Q694" s="403"/>
      <c r="R694" s="404"/>
      <c r="S694" s="405"/>
      <c r="T694" s="401"/>
      <c r="U694" s="403"/>
      <c r="V694" s="404"/>
      <c r="W694" s="405"/>
      <c r="X694" s="401"/>
      <c r="Y694" s="403"/>
      <c r="Z694" s="404"/>
      <c r="AA694" s="405"/>
      <c r="AB694" s="401"/>
      <c r="AC694" s="403"/>
      <c r="AD694" s="404"/>
      <c r="AE694" s="405"/>
      <c r="AF694" s="401"/>
      <c r="AG694" s="292"/>
      <c r="AH694" s="292"/>
      <c r="AI694" s="292"/>
      <c r="AJ694" s="292"/>
      <c r="AK694" s="395"/>
      <c r="AL694" s="317"/>
      <c r="AM694" s="394"/>
      <c r="AN694" s="396"/>
      <c r="AO694" s="200"/>
      <c r="AP694" s="200"/>
    </row>
    <row r="695">
      <c r="A695" s="395"/>
      <c r="B695" s="317"/>
      <c r="C695" s="394"/>
      <c r="D695" s="396"/>
      <c r="E695" s="395"/>
      <c r="F695" s="317"/>
      <c r="G695" s="394"/>
      <c r="H695" s="396"/>
      <c r="I695" s="395"/>
      <c r="J695" s="317"/>
      <c r="K695" s="394"/>
      <c r="L695" s="396"/>
      <c r="M695" s="395"/>
      <c r="N695" s="317"/>
      <c r="O695" s="394"/>
      <c r="P695" s="396"/>
      <c r="Q695" s="403"/>
      <c r="R695" s="404"/>
      <c r="S695" s="405"/>
      <c r="T695" s="401"/>
      <c r="U695" s="403"/>
      <c r="V695" s="404"/>
      <c r="W695" s="405"/>
      <c r="X695" s="401"/>
      <c r="Y695" s="403"/>
      <c r="Z695" s="404"/>
      <c r="AA695" s="405"/>
      <c r="AB695" s="401"/>
      <c r="AC695" s="403"/>
      <c r="AD695" s="404"/>
      <c r="AE695" s="405"/>
      <c r="AF695" s="401"/>
      <c r="AG695" s="292"/>
      <c r="AH695" s="292"/>
      <c r="AI695" s="292"/>
      <c r="AJ695" s="292"/>
      <c r="AK695" s="395"/>
      <c r="AL695" s="317"/>
      <c r="AM695" s="394"/>
      <c r="AN695" s="396"/>
      <c r="AO695" s="200"/>
      <c r="AP695" s="200"/>
    </row>
    <row r="696">
      <c r="A696" s="395"/>
      <c r="B696" s="317"/>
      <c r="C696" s="394"/>
      <c r="D696" s="396"/>
      <c r="E696" s="395"/>
      <c r="F696" s="317"/>
      <c r="G696" s="394"/>
      <c r="H696" s="396"/>
      <c r="I696" s="395"/>
      <c r="J696" s="317"/>
      <c r="K696" s="394"/>
      <c r="L696" s="396"/>
      <c r="M696" s="395"/>
      <c r="N696" s="317"/>
      <c r="O696" s="394"/>
      <c r="P696" s="396"/>
      <c r="Q696" s="403"/>
      <c r="R696" s="404"/>
      <c r="S696" s="405"/>
      <c r="T696" s="401"/>
      <c r="U696" s="403"/>
      <c r="V696" s="404"/>
      <c r="W696" s="405"/>
      <c r="X696" s="401"/>
      <c r="Y696" s="403"/>
      <c r="Z696" s="404"/>
      <c r="AA696" s="405"/>
      <c r="AB696" s="401"/>
      <c r="AC696" s="403"/>
      <c r="AD696" s="404"/>
      <c r="AE696" s="405"/>
      <c r="AF696" s="401"/>
      <c r="AG696" s="292"/>
      <c r="AH696" s="292"/>
      <c r="AI696" s="292"/>
      <c r="AJ696" s="292"/>
      <c r="AK696" s="395"/>
      <c r="AL696" s="317"/>
      <c r="AM696" s="394"/>
      <c r="AN696" s="396"/>
      <c r="AO696" s="200"/>
      <c r="AP696" s="200"/>
    </row>
    <row r="697">
      <c r="A697" s="395"/>
      <c r="B697" s="317"/>
      <c r="C697" s="394"/>
      <c r="D697" s="396"/>
      <c r="E697" s="395"/>
      <c r="F697" s="317"/>
      <c r="G697" s="394"/>
      <c r="H697" s="396"/>
      <c r="I697" s="395"/>
      <c r="J697" s="317"/>
      <c r="K697" s="394"/>
      <c r="L697" s="396"/>
      <c r="M697" s="395"/>
      <c r="N697" s="317"/>
      <c r="O697" s="394"/>
      <c r="P697" s="396"/>
      <c r="Q697" s="403"/>
      <c r="R697" s="404"/>
      <c r="S697" s="405"/>
      <c r="T697" s="401"/>
      <c r="U697" s="403"/>
      <c r="V697" s="404"/>
      <c r="W697" s="405"/>
      <c r="X697" s="401"/>
      <c r="Y697" s="403"/>
      <c r="Z697" s="404"/>
      <c r="AA697" s="405"/>
      <c r="AB697" s="401"/>
      <c r="AC697" s="403"/>
      <c r="AD697" s="404"/>
      <c r="AE697" s="405"/>
      <c r="AF697" s="401"/>
      <c r="AG697" s="292"/>
      <c r="AH697" s="292"/>
      <c r="AI697" s="292"/>
      <c r="AJ697" s="292"/>
      <c r="AK697" s="395"/>
      <c r="AL697" s="317"/>
      <c r="AM697" s="394"/>
      <c r="AN697" s="396"/>
      <c r="AO697" s="200"/>
      <c r="AP697" s="200"/>
    </row>
    <row r="698">
      <c r="A698" s="395"/>
      <c r="B698" s="317"/>
      <c r="C698" s="394"/>
      <c r="D698" s="396"/>
      <c r="E698" s="395"/>
      <c r="F698" s="317"/>
      <c r="G698" s="394"/>
      <c r="H698" s="396"/>
      <c r="I698" s="395"/>
      <c r="J698" s="317"/>
      <c r="K698" s="394"/>
      <c r="L698" s="396"/>
      <c r="M698" s="395"/>
      <c r="N698" s="317"/>
      <c r="O698" s="394"/>
      <c r="P698" s="396"/>
      <c r="Q698" s="403"/>
      <c r="R698" s="404"/>
      <c r="S698" s="405"/>
      <c r="T698" s="401"/>
      <c r="U698" s="403"/>
      <c r="V698" s="404"/>
      <c r="W698" s="405"/>
      <c r="X698" s="401"/>
      <c r="Y698" s="403"/>
      <c r="Z698" s="404"/>
      <c r="AA698" s="405"/>
      <c r="AB698" s="401"/>
      <c r="AC698" s="403"/>
      <c r="AD698" s="404"/>
      <c r="AE698" s="405"/>
      <c r="AF698" s="401"/>
      <c r="AG698" s="292"/>
      <c r="AH698" s="292"/>
      <c r="AI698" s="292"/>
      <c r="AJ698" s="292"/>
      <c r="AK698" s="395"/>
      <c r="AL698" s="317"/>
      <c r="AM698" s="394"/>
      <c r="AN698" s="396"/>
      <c r="AO698" s="200"/>
      <c r="AP698" s="200"/>
    </row>
    <row r="699">
      <c r="A699" s="395"/>
      <c r="B699" s="317"/>
      <c r="C699" s="394"/>
      <c r="D699" s="396"/>
      <c r="E699" s="395"/>
      <c r="F699" s="317"/>
      <c r="G699" s="394"/>
      <c r="H699" s="396"/>
      <c r="I699" s="395"/>
      <c r="J699" s="317"/>
      <c r="K699" s="394"/>
      <c r="L699" s="396"/>
      <c r="M699" s="395"/>
      <c r="N699" s="317"/>
      <c r="O699" s="394"/>
      <c r="P699" s="396"/>
      <c r="Q699" s="403"/>
      <c r="R699" s="404"/>
      <c r="S699" s="405"/>
      <c r="T699" s="401"/>
      <c r="U699" s="403"/>
      <c r="V699" s="404"/>
      <c r="W699" s="405"/>
      <c r="X699" s="401"/>
      <c r="Y699" s="403"/>
      <c r="Z699" s="404"/>
      <c r="AA699" s="405"/>
      <c r="AB699" s="401"/>
      <c r="AC699" s="403"/>
      <c r="AD699" s="404"/>
      <c r="AE699" s="405"/>
      <c r="AF699" s="401"/>
      <c r="AG699" s="292"/>
      <c r="AH699" s="292"/>
      <c r="AI699" s="292"/>
      <c r="AJ699" s="292"/>
      <c r="AK699" s="395"/>
      <c r="AL699" s="317"/>
      <c r="AM699" s="394"/>
      <c r="AN699" s="396"/>
      <c r="AO699" s="200"/>
      <c r="AP699" s="200"/>
    </row>
    <row r="700">
      <c r="A700" s="395"/>
      <c r="B700" s="317"/>
      <c r="C700" s="394"/>
      <c r="D700" s="396"/>
      <c r="E700" s="395"/>
      <c r="F700" s="317"/>
      <c r="G700" s="394"/>
      <c r="H700" s="396"/>
      <c r="I700" s="395"/>
      <c r="J700" s="317"/>
      <c r="K700" s="394"/>
      <c r="L700" s="396"/>
      <c r="M700" s="395"/>
      <c r="N700" s="317"/>
      <c r="O700" s="394"/>
      <c r="P700" s="396"/>
      <c r="Q700" s="403"/>
      <c r="R700" s="404"/>
      <c r="S700" s="405"/>
      <c r="T700" s="401"/>
      <c r="U700" s="403"/>
      <c r="V700" s="404"/>
      <c r="W700" s="405"/>
      <c r="X700" s="401"/>
      <c r="Y700" s="403"/>
      <c r="Z700" s="404"/>
      <c r="AA700" s="405"/>
      <c r="AB700" s="401"/>
      <c r="AC700" s="403"/>
      <c r="AD700" s="404"/>
      <c r="AE700" s="405"/>
      <c r="AF700" s="401"/>
      <c r="AG700" s="292"/>
      <c r="AH700" s="292"/>
      <c r="AI700" s="292"/>
      <c r="AJ700" s="292"/>
      <c r="AK700" s="395"/>
      <c r="AL700" s="317"/>
      <c r="AM700" s="394"/>
      <c r="AN700" s="396"/>
      <c r="AO700" s="200"/>
      <c r="AP700" s="200"/>
    </row>
    <row r="701">
      <c r="A701" s="395"/>
      <c r="B701" s="317"/>
      <c r="C701" s="394"/>
      <c r="D701" s="396"/>
      <c r="E701" s="395"/>
      <c r="F701" s="317"/>
      <c r="G701" s="394"/>
      <c r="H701" s="396"/>
      <c r="I701" s="395"/>
      <c r="J701" s="317"/>
      <c r="K701" s="394"/>
      <c r="L701" s="396"/>
      <c r="M701" s="395"/>
      <c r="N701" s="317"/>
      <c r="O701" s="394"/>
      <c r="P701" s="396"/>
      <c r="Q701" s="403"/>
      <c r="R701" s="404"/>
      <c r="S701" s="405"/>
      <c r="T701" s="401"/>
      <c r="U701" s="403"/>
      <c r="V701" s="404"/>
      <c r="W701" s="405"/>
      <c r="X701" s="401"/>
      <c r="Y701" s="403"/>
      <c r="Z701" s="404"/>
      <c r="AA701" s="405"/>
      <c r="AB701" s="401"/>
      <c r="AC701" s="403"/>
      <c r="AD701" s="404"/>
      <c r="AE701" s="405"/>
      <c r="AF701" s="401"/>
      <c r="AG701" s="292"/>
      <c r="AH701" s="292"/>
      <c r="AI701" s="292"/>
      <c r="AJ701" s="292"/>
      <c r="AK701" s="395"/>
      <c r="AL701" s="317"/>
      <c r="AM701" s="394"/>
      <c r="AN701" s="396"/>
      <c r="AO701" s="200"/>
      <c r="AP701" s="200"/>
    </row>
    <row r="702">
      <c r="A702" s="395"/>
      <c r="B702" s="317"/>
      <c r="C702" s="394"/>
      <c r="D702" s="396"/>
      <c r="E702" s="395"/>
      <c r="F702" s="317"/>
      <c r="G702" s="394"/>
      <c r="H702" s="396"/>
      <c r="I702" s="395"/>
      <c r="J702" s="317"/>
      <c r="K702" s="394"/>
      <c r="L702" s="396"/>
      <c r="M702" s="395"/>
      <c r="N702" s="317"/>
      <c r="O702" s="394"/>
      <c r="P702" s="396"/>
      <c r="Q702" s="403"/>
      <c r="R702" s="404"/>
      <c r="S702" s="405"/>
      <c r="T702" s="401"/>
      <c r="U702" s="403"/>
      <c r="V702" s="404"/>
      <c r="W702" s="405"/>
      <c r="X702" s="401"/>
      <c r="Y702" s="403"/>
      <c r="Z702" s="404"/>
      <c r="AA702" s="405"/>
      <c r="AB702" s="401"/>
      <c r="AC702" s="403"/>
      <c r="AD702" s="404"/>
      <c r="AE702" s="405"/>
      <c r="AF702" s="401"/>
      <c r="AG702" s="292"/>
      <c r="AH702" s="292"/>
      <c r="AI702" s="292"/>
      <c r="AJ702" s="292"/>
      <c r="AK702" s="395"/>
      <c r="AL702" s="317"/>
      <c r="AM702" s="394"/>
      <c r="AN702" s="396"/>
      <c r="AO702" s="200"/>
      <c r="AP702" s="200"/>
    </row>
    <row r="703">
      <c r="A703" s="395"/>
      <c r="B703" s="317"/>
      <c r="C703" s="394"/>
      <c r="D703" s="396"/>
      <c r="E703" s="395"/>
      <c r="F703" s="317"/>
      <c r="G703" s="394"/>
      <c r="H703" s="396"/>
      <c r="I703" s="395"/>
      <c r="J703" s="317"/>
      <c r="K703" s="394"/>
      <c r="L703" s="396"/>
      <c r="M703" s="395"/>
      <c r="N703" s="317"/>
      <c r="O703" s="394"/>
      <c r="P703" s="396"/>
      <c r="Q703" s="403"/>
      <c r="R703" s="404"/>
      <c r="S703" s="405"/>
      <c r="T703" s="401"/>
      <c r="U703" s="403"/>
      <c r="V703" s="404"/>
      <c r="W703" s="405"/>
      <c r="X703" s="401"/>
      <c r="Y703" s="403"/>
      <c r="Z703" s="404"/>
      <c r="AA703" s="405"/>
      <c r="AB703" s="401"/>
      <c r="AC703" s="403"/>
      <c r="AD703" s="404"/>
      <c r="AE703" s="405"/>
      <c r="AF703" s="401"/>
      <c r="AG703" s="292"/>
      <c r="AH703" s="292"/>
      <c r="AI703" s="292"/>
      <c r="AJ703" s="292"/>
      <c r="AK703" s="395"/>
      <c r="AL703" s="317"/>
      <c r="AM703" s="394"/>
      <c r="AN703" s="396"/>
      <c r="AO703" s="200"/>
      <c r="AP703" s="200"/>
    </row>
    <row r="704">
      <c r="A704" s="395"/>
      <c r="B704" s="317"/>
      <c r="C704" s="394"/>
      <c r="D704" s="396"/>
      <c r="E704" s="395"/>
      <c r="F704" s="317"/>
      <c r="G704" s="394"/>
      <c r="H704" s="396"/>
      <c r="I704" s="395"/>
      <c r="J704" s="317"/>
      <c r="K704" s="394"/>
      <c r="L704" s="396"/>
      <c r="M704" s="395"/>
      <c r="N704" s="317"/>
      <c r="O704" s="394"/>
      <c r="P704" s="396"/>
      <c r="Q704" s="403"/>
      <c r="R704" s="404"/>
      <c r="S704" s="405"/>
      <c r="T704" s="401"/>
      <c r="U704" s="403"/>
      <c r="V704" s="404"/>
      <c r="W704" s="405"/>
      <c r="X704" s="401"/>
      <c r="Y704" s="403"/>
      <c r="Z704" s="404"/>
      <c r="AA704" s="405"/>
      <c r="AB704" s="401"/>
      <c r="AC704" s="403"/>
      <c r="AD704" s="404"/>
      <c r="AE704" s="405"/>
      <c r="AF704" s="401"/>
      <c r="AG704" s="292"/>
      <c r="AH704" s="292"/>
      <c r="AI704" s="292"/>
      <c r="AJ704" s="292"/>
      <c r="AK704" s="395"/>
      <c r="AL704" s="317"/>
      <c r="AM704" s="394"/>
      <c r="AN704" s="396"/>
      <c r="AO704" s="200"/>
      <c r="AP704" s="200"/>
    </row>
    <row r="705">
      <c r="A705" s="395"/>
      <c r="B705" s="317"/>
      <c r="C705" s="394"/>
      <c r="D705" s="396"/>
      <c r="E705" s="395"/>
      <c r="F705" s="317"/>
      <c r="G705" s="394"/>
      <c r="H705" s="396"/>
      <c r="I705" s="395"/>
      <c r="J705" s="317"/>
      <c r="K705" s="394"/>
      <c r="L705" s="396"/>
      <c r="M705" s="395"/>
      <c r="N705" s="317"/>
      <c r="O705" s="394"/>
      <c r="P705" s="396"/>
      <c r="Q705" s="403"/>
      <c r="R705" s="404"/>
      <c r="S705" s="405"/>
      <c r="T705" s="401"/>
      <c r="U705" s="403"/>
      <c r="V705" s="404"/>
      <c r="W705" s="405"/>
      <c r="X705" s="401"/>
      <c r="Y705" s="403"/>
      <c r="Z705" s="404"/>
      <c r="AA705" s="405"/>
      <c r="AB705" s="401"/>
      <c r="AC705" s="403"/>
      <c r="AD705" s="404"/>
      <c r="AE705" s="405"/>
      <c r="AF705" s="401"/>
      <c r="AG705" s="292"/>
      <c r="AH705" s="292"/>
      <c r="AI705" s="292"/>
      <c r="AJ705" s="292"/>
      <c r="AK705" s="395"/>
      <c r="AL705" s="317"/>
      <c r="AM705" s="394"/>
      <c r="AN705" s="396"/>
      <c r="AO705" s="200"/>
      <c r="AP705" s="200"/>
    </row>
    <row r="706">
      <c r="A706" s="395"/>
      <c r="B706" s="317"/>
      <c r="C706" s="394"/>
      <c r="D706" s="396"/>
      <c r="E706" s="395"/>
      <c r="F706" s="317"/>
      <c r="G706" s="394"/>
      <c r="H706" s="396"/>
      <c r="I706" s="395"/>
      <c r="J706" s="317"/>
      <c r="K706" s="394"/>
      <c r="L706" s="396"/>
      <c r="M706" s="395"/>
      <c r="N706" s="317"/>
      <c r="O706" s="394"/>
      <c r="P706" s="396"/>
      <c r="Q706" s="403"/>
      <c r="R706" s="404"/>
      <c r="S706" s="405"/>
      <c r="T706" s="401"/>
      <c r="U706" s="403"/>
      <c r="V706" s="404"/>
      <c r="W706" s="405"/>
      <c r="X706" s="401"/>
      <c r="Y706" s="403"/>
      <c r="Z706" s="404"/>
      <c r="AA706" s="405"/>
      <c r="AB706" s="401"/>
      <c r="AC706" s="403"/>
      <c r="AD706" s="404"/>
      <c r="AE706" s="405"/>
      <c r="AF706" s="401"/>
      <c r="AG706" s="292"/>
      <c r="AH706" s="292"/>
      <c r="AI706" s="292"/>
      <c r="AJ706" s="292"/>
      <c r="AK706" s="395"/>
      <c r="AL706" s="317"/>
      <c r="AM706" s="394"/>
      <c r="AN706" s="396"/>
      <c r="AO706" s="200"/>
      <c r="AP706" s="200"/>
    </row>
    <row r="707">
      <c r="A707" s="395"/>
      <c r="B707" s="317"/>
      <c r="C707" s="394"/>
      <c r="D707" s="396"/>
      <c r="E707" s="395"/>
      <c r="F707" s="317"/>
      <c r="G707" s="394"/>
      <c r="H707" s="396"/>
      <c r="I707" s="395"/>
      <c r="J707" s="317"/>
      <c r="K707" s="394"/>
      <c r="L707" s="396"/>
      <c r="M707" s="395"/>
      <c r="N707" s="317"/>
      <c r="O707" s="394"/>
      <c r="P707" s="396"/>
      <c r="Q707" s="403"/>
      <c r="R707" s="404"/>
      <c r="S707" s="405"/>
      <c r="T707" s="401"/>
      <c r="U707" s="403"/>
      <c r="V707" s="404"/>
      <c r="W707" s="405"/>
      <c r="X707" s="401"/>
      <c r="Y707" s="403"/>
      <c r="Z707" s="404"/>
      <c r="AA707" s="405"/>
      <c r="AB707" s="401"/>
      <c r="AC707" s="403"/>
      <c r="AD707" s="404"/>
      <c r="AE707" s="405"/>
      <c r="AF707" s="401"/>
      <c r="AG707" s="292"/>
      <c r="AH707" s="292"/>
      <c r="AI707" s="292"/>
      <c r="AJ707" s="292"/>
      <c r="AK707" s="395"/>
      <c r="AL707" s="317"/>
      <c r="AM707" s="394"/>
      <c r="AN707" s="396"/>
      <c r="AO707" s="200"/>
      <c r="AP707" s="200"/>
    </row>
    <row r="708">
      <c r="A708" s="395"/>
      <c r="B708" s="317"/>
      <c r="C708" s="394"/>
      <c r="D708" s="396"/>
      <c r="E708" s="395"/>
      <c r="F708" s="317"/>
      <c r="G708" s="394"/>
      <c r="H708" s="396"/>
      <c r="I708" s="395"/>
      <c r="J708" s="317"/>
      <c r="K708" s="394"/>
      <c r="L708" s="396"/>
      <c r="M708" s="395"/>
      <c r="N708" s="317"/>
      <c r="O708" s="394"/>
      <c r="P708" s="396"/>
      <c r="Q708" s="403"/>
      <c r="R708" s="404"/>
      <c r="S708" s="405"/>
      <c r="T708" s="401"/>
      <c r="U708" s="403"/>
      <c r="V708" s="404"/>
      <c r="W708" s="405"/>
      <c r="X708" s="401"/>
      <c r="Y708" s="403"/>
      <c r="Z708" s="404"/>
      <c r="AA708" s="405"/>
      <c r="AB708" s="401"/>
      <c r="AC708" s="403"/>
      <c r="AD708" s="404"/>
      <c r="AE708" s="405"/>
      <c r="AF708" s="401"/>
      <c r="AG708" s="292"/>
      <c r="AH708" s="292"/>
      <c r="AI708" s="292"/>
      <c r="AJ708" s="292"/>
      <c r="AK708" s="395"/>
      <c r="AL708" s="317"/>
      <c r="AM708" s="394"/>
      <c r="AN708" s="396"/>
      <c r="AO708" s="200"/>
      <c r="AP708" s="200"/>
    </row>
    <row r="709">
      <c r="A709" s="395"/>
      <c r="B709" s="317"/>
      <c r="C709" s="394"/>
      <c r="D709" s="396"/>
      <c r="E709" s="395"/>
      <c r="F709" s="317"/>
      <c r="G709" s="394"/>
      <c r="H709" s="396"/>
      <c r="I709" s="395"/>
      <c r="J709" s="317"/>
      <c r="K709" s="394"/>
      <c r="L709" s="396"/>
      <c r="M709" s="395"/>
      <c r="N709" s="317"/>
      <c r="O709" s="394"/>
      <c r="P709" s="396"/>
      <c r="Q709" s="403"/>
      <c r="R709" s="404"/>
      <c r="S709" s="405"/>
      <c r="T709" s="401"/>
      <c r="U709" s="403"/>
      <c r="V709" s="404"/>
      <c r="W709" s="405"/>
      <c r="X709" s="401"/>
      <c r="Y709" s="403"/>
      <c r="Z709" s="404"/>
      <c r="AA709" s="405"/>
      <c r="AB709" s="401"/>
      <c r="AC709" s="403"/>
      <c r="AD709" s="404"/>
      <c r="AE709" s="405"/>
      <c r="AF709" s="401"/>
      <c r="AG709" s="292"/>
      <c r="AH709" s="292"/>
      <c r="AI709" s="292"/>
      <c r="AJ709" s="292"/>
      <c r="AK709" s="395"/>
      <c r="AL709" s="317"/>
      <c r="AM709" s="394"/>
      <c r="AN709" s="396"/>
      <c r="AO709" s="200"/>
      <c r="AP709" s="200"/>
    </row>
    <row r="710">
      <c r="A710" s="395"/>
      <c r="B710" s="317"/>
      <c r="C710" s="394"/>
      <c r="D710" s="396"/>
      <c r="E710" s="395"/>
      <c r="F710" s="317"/>
      <c r="G710" s="394"/>
      <c r="H710" s="396"/>
      <c r="I710" s="395"/>
      <c r="J710" s="317"/>
      <c r="K710" s="394"/>
      <c r="L710" s="396"/>
      <c r="M710" s="395"/>
      <c r="N710" s="317"/>
      <c r="O710" s="394"/>
      <c r="P710" s="396"/>
      <c r="Q710" s="403"/>
      <c r="R710" s="404"/>
      <c r="S710" s="405"/>
      <c r="T710" s="401"/>
      <c r="U710" s="403"/>
      <c r="V710" s="404"/>
      <c r="W710" s="405"/>
      <c r="X710" s="401"/>
      <c r="Y710" s="403"/>
      <c r="Z710" s="404"/>
      <c r="AA710" s="405"/>
      <c r="AB710" s="401"/>
      <c r="AC710" s="403"/>
      <c r="AD710" s="404"/>
      <c r="AE710" s="405"/>
      <c r="AF710" s="401"/>
      <c r="AG710" s="292"/>
      <c r="AH710" s="292"/>
      <c r="AI710" s="292"/>
      <c r="AJ710" s="292"/>
      <c r="AK710" s="395"/>
      <c r="AL710" s="317"/>
      <c r="AM710" s="394"/>
      <c r="AN710" s="396"/>
      <c r="AO710" s="200"/>
      <c r="AP710" s="200"/>
    </row>
    <row r="711">
      <c r="A711" s="395"/>
      <c r="B711" s="317"/>
      <c r="C711" s="394"/>
      <c r="D711" s="396"/>
      <c r="E711" s="395"/>
      <c r="F711" s="317"/>
      <c r="G711" s="394"/>
      <c r="H711" s="396"/>
      <c r="I711" s="395"/>
      <c r="J711" s="317"/>
      <c r="K711" s="394"/>
      <c r="L711" s="396"/>
      <c r="M711" s="395"/>
      <c r="N711" s="317"/>
      <c r="O711" s="394"/>
      <c r="P711" s="396"/>
      <c r="Q711" s="403"/>
      <c r="R711" s="404"/>
      <c r="S711" s="405"/>
      <c r="T711" s="401"/>
      <c r="U711" s="403"/>
      <c r="V711" s="404"/>
      <c r="W711" s="405"/>
      <c r="X711" s="401"/>
      <c r="Y711" s="403"/>
      <c r="Z711" s="404"/>
      <c r="AA711" s="405"/>
      <c r="AB711" s="401"/>
      <c r="AC711" s="403"/>
      <c r="AD711" s="404"/>
      <c r="AE711" s="405"/>
      <c r="AF711" s="401"/>
      <c r="AG711" s="292"/>
      <c r="AH711" s="292"/>
      <c r="AI711" s="292"/>
      <c r="AJ711" s="292"/>
      <c r="AK711" s="395"/>
      <c r="AL711" s="317"/>
      <c r="AM711" s="394"/>
      <c r="AN711" s="396"/>
      <c r="AO711" s="200"/>
      <c r="AP711" s="200"/>
    </row>
    <row r="712">
      <c r="A712" s="395"/>
      <c r="B712" s="317"/>
      <c r="C712" s="394"/>
      <c r="D712" s="396"/>
      <c r="E712" s="395"/>
      <c r="F712" s="317"/>
      <c r="G712" s="394"/>
      <c r="H712" s="396"/>
      <c r="I712" s="395"/>
      <c r="J712" s="317"/>
      <c r="K712" s="394"/>
      <c r="L712" s="396"/>
      <c r="M712" s="395"/>
      <c r="N712" s="317"/>
      <c r="O712" s="394"/>
      <c r="P712" s="396"/>
      <c r="Q712" s="403"/>
      <c r="R712" s="404"/>
      <c r="S712" s="405"/>
      <c r="T712" s="401"/>
      <c r="U712" s="403"/>
      <c r="V712" s="404"/>
      <c r="W712" s="405"/>
      <c r="X712" s="401"/>
      <c r="Y712" s="403"/>
      <c r="Z712" s="404"/>
      <c r="AA712" s="405"/>
      <c r="AB712" s="401"/>
      <c r="AC712" s="403"/>
      <c r="AD712" s="404"/>
      <c r="AE712" s="405"/>
      <c r="AF712" s="401"/>
      <c r="AG712" s="292"/>
      <c r="AH712" s="292"/>
      <c r="AI712" s="292"/>
      <c r="AJ712" s="292"/>
      <c r="AK712" s="395"/>
      <c r="AL712" s="317"/>
      <c r="AM712" s="394"/>
      <c r="AN712" s="396"/>
      <c r="AO712" s="200"/>
      <c r="AP712" s="200"/>
    </row>
    <row r="713">
      <c r="A713" s="395"/>
      <c r="B713" s="317"/>
      <c r="C713" s="394"/>
      <c r="D713" s="396"/>
      <c r="E713" s="395"/>
      <c r="F713" s="317"/>
      <c r="G713" s="394"/>
      <c r="H713" s="396"/>
      <c r="I713" s="395"/>
      <c r="J713" s="317"/>
      <c r="K713" s="394"/>
      <c r="L713" s="396"/>
      <c r="M713" s="395"/>
      <c r="N713" s="317"/>
      <c r="O713" s="394"/>
      <c r="P713" s="396"/>
      <c r="Q713" s="403"/>
      <c r="R713" s="404"/>
      <c r="S713" s="405"/>
      <c r="T713" s="401"/>
      <c r="U713" s="403"/>
      <c r="V713" s="404"/>
      <c r="W713" s="405"/>
      <c r="X713" s="401"/>
      <c r="Y713" s="403"/>
      <c r="Z713" s="404"/>
      <c r="AA713" s="405"/>
      <c r="AB713" s="401"/>
      <c r="AC713" s="403"/>
      <c r="AD713" s="404"/>
      <c r="AE713" s="405"/>
      <c r="AF713" s="401"/>
      <c r="AG713" s="292"/>
      <c r="AH713" s="292"/>
      <c r="AI713" s="292"/>
      <c r="AJ713" s="292"/>
      <c r="AK713" s="395"/>
      <c r="AL713" s="317"/>
      <c r="AM713" s="394"/>
      <c r="AN713" s="396"/>
      <c r="AO713" s="200"/>
      <c r="AP713" s="200"/>
    </row>
    <row r="714">
      <c r="A714" s="395"/>
      <c r="B714" s="317"/>
      <c r="C714" s="394"/>
      <c r="D714" s="396"/>
      <c r="E714" s="395"/>
      <c r="F714" s="317"/>
      <c r="G714" s="394"/>
      <c r="H714" s="396"/>
      <c r="I714" s="395"/>
      <c r="J714" s="317"/>
      <c r="K714" s="394"/>
      <c r="L714" s="396"/>
      <c r="M714" s="395"/>
      <c r="N714" s="317"/>
      <c r="O714" s="394"/>
      <c r="P714" s="396"/>
      <c r="Q714" s="403"/>
      <c r="R714" s="404"/>
      <c r="S714" s="405"/>
      <c r="T714" s="401"/>
      <c r="U714" s="403"/>
      <c r="V714" s="404"/>
      <c r="W714" s="405"/>
      <c r="X714" s="401"/>
      <c r="Y714" s="403"/>
      <c r="Z714" s="404"/>
      <c r="AA714" s="405"/>
      <c r="AB714" s="401"/>
      <c r="AC714" s="403"/>
      <c r="AD714" s="404"/>
      <c r="AE714" s="405"/>
      <c r="AF714" s="401"/>
      <c r="AG714" s="292"/>
      <c r="AH714" s="292"/>
      <c r="AI714" s="292"/>
      <c r="AJ714" s="292"/>
      <c r="AK714" s="395"/>
      <c r="AL714" s="317"/>
      <c r="AM714" s="394"/>
      <c r="AN714" s="396"/>
      <c r="AO714" s="200"/>
      <c r="AP714" s="200"/>
    </row>
    <row r="715">
      <c r="A715" s="395"/>
      <c r="B715" s="317"/>
      <c r="C715" s="394"/>
      <c r="D715" s="396"/>
      <c r="E715" s="395"/>
      <c r="F715" s="317"/>
      <c r="G715" s="394"/>
      <c r="H715" s="396"/>
      <c r="I715" s="395"/>
      <c r="J715" s="317"/>
      <c r="K715" s="394"/>
      <c r="L715" s="396"/>
      <c r="M715" s="395"/>
      <c r="N715" s="317"/>
      <c r="O715" s="394"/>
      <c r="P715" s="396"/>
      <c r="Q715" s="403"/>
      <c r="R715" s="404"/>
      <c r="S715" s="405"/>
      <c r="T715" s="401"/>
      <c r="U715" s="403"/>
      <c r="V715" s="404"/>
      <c r="W715" s="405"/>
      <c r="X715" s="401"/>
      <c r="Y715" s="403"/>
      <c r="Z715" s="404"/>
      <c r="AA715" s="405"/>
      <c r="AB715" s="401"/>
      <c r="AC715" s="403"/>
      <c r="AD715" s="404"/>
      <c r="AE715" s="405"/>
      <c r="AF715" s="401"/>
      <c r="AG715" s="292"/>
      <c r="AH715" s="292"/>
      <c r="AI715" s="292"/>
      <c r="AJ715" s="292"/>
      <c r="AK715" s="395"/>
      <c r="AL715" s="317"/>
      <c r="AM715" s="394"/>
      <c r="AN715" s="396"/>
      <c r="AO715" s="200"/>
      <c r="AP715" s="200"/>
    </row>
    <row r="716">
      <c r="A716" s="395"/>
      <c r="B716" s="317"/>
      <c r="C716" s="394"/>
      <c r="D716" s="396"/>
      <c r="E716" s="395"/>
      <c r="F716" s="317"/>
      <c r="G716" s="394"/>
      <c r="H716" s="396"/>
      <c r="I716" s="395"/>
      <c r="J716" s="317"/>
      <c r="K716" s="394"/>
      <c r="L716" s="396"/>
      <c r="M716" s="395"/>
      <c r="N716" s="317"/>
      <c r="O716" s="394"/>
      <c r="P716" s="396"/>
      <c r="Q716" s="403"/>
      <c r="R716" s="404"/>
      <c r="S716" s="405"/>
      <c r="T716" s="401"/>
      <c r="U716" s="403"/>
      <c r="V716" s="404"/>
      <c r="W716" s="405"/>
      <c r="X716" s="401"/>
      <c r="Y716" s="403"/>
      <c r="Z716" s="404"/>
      <c r="AA716" s="405"/>
      <c r="AB716" s="401"/>
      <c r="AC716" s="403"/>
      <c r="AD716" s="404"/>
      <c r="AE716" s="405"/>
      <c r="AF716" s="401"/>
      <c r="AG716" s="292"/>
      <c r="AH716" s="292"/>
      <c r="AI716" s="292"/>
      <c r="AJ716" s="292"/>
      <c r="AK716" s="395"/>
      <c r="AL716" s="317"/>
      <c r="AM716" s="394"/>
      <c r="AN716" s="396"/>
      <c r="AO716" s="200"/>
      <c r="AP716" s="200"/>
    </row>
    <row r="717">
      <c r="A717" s="395"/>
      <c r="B717" s="317"/>
      <c r="C717" s="394"/>
      <c r="D717" s="396"/>
      <c r="E717" s="395"/>
      <c r="F717" s="317"/>
      <c r="G717" s="394"/>
      <c r="H717" s="396"/>
      <c r="I717" s="395"/>
      <c r="J717" s="317"/>
      <c r="K717" s="394"/>
      <c r="L717" s="396"/>
      <c r="M717" s="395"/>
      <c r="N717" s="317"/>
      <c r="O717" s="394"/>
      <c r="P717" s="396"/>
      <c r="Q717" s="403"/>
      <c r="R717" s="404"/>
      <c r="S717" s="405"/>
      <c r="T717" s="401"/>
      <c r="U717" s="403"/>
      <c r="V717" s="404"/>
      <c r="W717" s="405"/>
      <c r="X717" s="401"/>
      <c r="Y717" s="403"/>
      <c r="Z717" s="404"/>
      <c r="AA717" s="405"/>
      <c r="AB717" s="401"/>
      <c r="AC717" s="403"/>
      <c r="AD717" s="404"/>
      <c r="AE717" s="405"/>
      <c r="AF717" s="401"/>
      <c r="AG717" s="292"/>
      <c r="AH717" s="292"/>
      <c r="AI717" s="292"/>
      <c r="AJ717" s="292"/>
      <c r="AK717" s="395"/>
      <c r="AL717" s="317"/>
      <c r="AM717" s="394"/>
      <c r="AN717" s="396"/>
      <c r="AO717" s="200"/>
      <c r="AP717" s="200"/>
    </row>
    <row r="718">
      <c r="A718" s="395"/>
      <c r="B718" s="317"/>
      <c r="C718" s="394"/>
      <c r="D718" s="396"/>
      <c r="E718" s="395"/>
      <c r="F718" s="317"/>
      <c r="G718" s="394"/>
      <c r="H718" s="396"/>
      <c r="I718" s="395"/>
      <c r="J718" s="317"/>
      <c r="K718" s="394"/>
      <c r="L718" s="396"/>
      <c r="M718" s="395"/>
      <c r="N718" s="317"/>
      <c r="O718" s="394"/>
      <c r="P718" s="396"/>
      <c r="Q718" s="403"/>
      <c r="R718" s="404"/>
      <c r="S718" s="405"/>
      <c r="T718" s="401"/>
      <c r="U718" s="403"/>
      <c r="V718" s="404"/>
      <c r="W718" s="405"/>
      <c r="X718" s="401"/>
      <c r="Y718" s="403"/>
      <c r="Z718" s="404"/>
      <c r="AA718" s="405"/>
      <c r="AB718" s="401"/>
      <c r="AC718" s="403"/>
      <c r="AD718" s="404"/>
      <c r="AE718" s="405"/>
      <c r="AF718" s="401"/>
      <c r="AG718" s="292"/>
      <c r="AH718" s="292"/>
      <c r="AI718" s="292"/>
      <c r="AJ718" s="292"/>
      <c r="AK718" s="395"/>
      <c r="AL718" s="317"/>
      <c r="AM718" s="394"/>
      <c r="AN718" s="396"/>
      <c r="AO718" s="200"/>
      <c r="AP718" s="200"/>
    </row>
    <row r="719">
      <c r="A719" s="395"/>
      <c r="B719" s="317"/>
      <c r="C719" s="394"/>
      <c r="D719" s="396"/>
      <c r="E719" s="395"/>
      <c r="F719" s="317"/>
      <c r="G719" s="394"/>
      <c r="H719" s="396"/>
      <c r="I719" s="395"/>
      <c r="J719" s="317"/>
      <c r="K719" s="394"/>
      <c r="L719" s="396"/>
      <c r="M719" s="395"/>
      <c r="N719" s="317"/>
      <c r="O719" s="394"/>
      <c r="P719" s="396"/>
      <c r="Q719" s="403"/>
      <c r="R719" s="404"/>
      <c r="S719" s="405"/>
      <c r="T719" s="401"/>
      <c r="U719" s="403"/>
      <c r="V719" s="404"/>
      <c r="W719" s="405"/>
      <c r="X719" s="401"/>
      <c r="Y719" s="403"/>
      <c r="Z719" s="404"/>
      <c r="AA719" s="405"/>
      <c r="AB719" s="401"/>
      <c r="AC719" s="403"/>
      <c r="AD719" s="404"/>
      <c r="AE719" s="405"/>
      <c r="AF719" s="401"/>
      <c r="AG719" s="292"/>
      <c r="AH719" s="292"/>
      <c r="AI719" s="292"/>
      <c r="AJ719" s="292"/>
      <c r="AK719" s="395"/>
      <c r="AL719" s="317"/>
      <c r="AM719" s="394"/>
      <c r="AN719" s="396"/>
      <c r="AO719" s="200"/>
      <c r="AP719" s="200"/>
    </row>
    <row r="720">
      <c r="A720" s="395"/>
      <c r="B720" s="317"/>
      <c r="C720" s="394"/>
      <c r="D720" s="396"/>
      <c r="E720" s="395"/>
      <c r="F720" s="317"/>
      <c r="G720" s="394"/>
      <c r="H720" s="396"/>
      <c r="I720" s="395"/>
      <c r="J720" s="317"/>
      <c r="K720" s="394"/>
      <c r="L720" s="396"/>
      <c r="M720" s="395"/>
      <c r="N720" s="317"/>
      <c r="O720" s="394"/>
      <c r="P720" s="396"/>
      <c r="Q720" s="403"/>
      <c r="R720" s="404"/>
      <c r="S720" s="405"/>
      <c r="T720" s="401"/>
      <c r="U720" s="403"/>
      <c r="V720" s="404"/>
      <c r="W720" s="405"/>
      <c r="X720" s="401"/>
      <c r="Y720" s="403"/>
      <c r="Z720" s="404"/>
      <c r="AA720" s="405"/>
      <c r="AB720" s="401"/>
      <c r="AC720" s="403"/>
      <c r="AD720" s="404"/>
      <c r="AE720" s="405"/>
      <c r="AF720" s="401"/>
      <c r="AG720" s="292"/>
      <c r="AH720" s="292"/>
      <c r="AI720" s="292"/>
      <c r="AJ720" s="292"/>
      <c r="AK720" s="395"/>
      <c r="AL720" s="317"/>
      <c r="AM720" s="394"/>
      <c r="AN720" s="396"/>
      <c r="AO720" s="200"/>
      <c r="AP720" s="200"/>
    </row>
    <row r="721">
      <c r="A721" s="395"/>
      <c r="B721" s="317"/>
      <c r="C721" s="394"/>
      <c r="D721" s="396"/>
      <c r="E721" s="395"/>
      <c r="F721" s="317"/>
      <c r="G721" s="394"/>
      <c r="H721" s="396"/>
      <c r="I721" s="395"/>
      <c r="J721" s="317"/>
      <c r="K721" s="394"/>
      <c r="L721" s="396"/>
      <c r="M721" s="395"/>
      <c r="N721" s="317"/>
      <c r="O721" s="394"/>
      <c r="P721" s="396"/>
      <c r="Q721" s="403"/>
      <c r="R721" s="404"/>
      <c r="S721" s="405"/>
      <c r="T721" s="401"/>
      <c r="U721" s="403"/>
      <c r="V721" s="404"/>
      <c r="W721" s="405"/>
      <c r="X721" s="401"/>
      <c r="Y721" s="403"/>
      <c r="Z721" s="404"/>
      <c r="AA721" s="405"/>
      <c r="AB721" s="401"/>
      <c r="AC721" s="403"/>
      <c r="AD721" s="404"/>
      <c r="AE721" s="405"/>
      <c r="AF721" s="401"/>
      <c r="AG721" s="292"/>
      <c r="AH721" s="292"/>
      <c r="AI721" s="292"/>
      <c r="AJ721" s="292"/>
      <c r="AK721" s="395"/>
      <c r="AL721" s="317"/>
      <c r="AM721" s="394"/>
      <c r="AN721" s="396"/>
      <c r="AO721" s="200"/>
      <c r="AP721" s="200"/>
    </row>
    <row r="722">
      <c r="A722" s="395"/>
      <c r="B722" s="317"/>
      <c r="C722" s="394"/>
      <c r="D722" s="396"/>
      <c r="E722" s="395"/>
      <c r="F722" s="317"/>
      <c r="G722" s="394"/>
      <c r="H722" s="396"/>
      <c r="I722" s="395"/>
      <c r="J722" s="317"/>
      <c r="K722" s="394"/>
      <c r="L722" s="396"/>
      <c r="M722" s="395"/>
      <c r="N722" s="317"/>
      <c r="O722" s="394"/>
      <c r="P722" s="396"/>
      <c r="Q722" s="403"/>
      <c r="R722" s="404"/>
      <c r="S722" s="405"/>
      <c r="T722" s="401"/>
      <c r="U722" s="403"/>
      <c r="V722" s="404"/>
      <c r="W722" s="405"/>
      <c r="X722" s="401"/>
      <c r="Y722" s="403"/>
      <c r="Z722" s="404"/>
      <c r="AA722" s="405"/>
      <c r="AB722" s="401"/>
      <c r="AC722" s="403"/>
      <c r="AD722" s="404"/>
      <c r="AE722" s="405"/>
      <c r="AF722" s="401"/>
      <c r="AG722" s="292"/>
      <c r="AH722" s="292"/>
      <c r="AI722" s="292"/>
      <c r="AJ722" s="292"/>
      <c r="AK722" s="395"/>
      <c r="AL722" s="317"/>
      <c r="AM722" s="394"/>
      <c r="AN722" s="396"/>
      <c r="AO722" s="200"/>
      <c r="AP722" s="200"/>
    </row>
    <row r="723">
      <c r="A723" s="395"/>
      <c r="B723" s="317"/>
      <c r="C723" s="394"/>
      <c r="D723" s="396"/>
      <c r="E723" s="395"/>
      <c r="F723" s="317"/>
      <c r="G723" s="394"/>
      <c r="H723" s="396"/>
      <c r="I723" s="395"/>
      <c r="J723" s="317"/>
      <c r="K723" s="394"/>
      <c r="L723" s="396"/>
      <c r="M723" s="395"/>
      <c r="N723" s="317"/>
      <c r="O723" s="394"/>
      <c r="P723" s="396"/>
      <c r="Q723" s="403"/>
      <c r="R723" s="404"/>
      <c r="S723" s="405"/>
      <c r="T723" s="401"/>
      <c r="U723" s="403"/>
      <c r="V723" s="404"/>
      <c r="W723" s="405"/>
      <c r="X723" s="401"/>
      <c r="Y723" s="403"/>
      <c r="Z723" s="404"/>
      <c r="AA723" s="405"/>
      <c r="AB723" s="401"/>
      <c r="AC723" s="403"/>
      <c r="AD723" s="404"/>
      <c r="AE723" s="405"/>
      <c r="AF723" s="401"/>
      <c r="AG723" s="292"/>
      <c r="AH723" s="292"/>
      <c r="AI723" s="292"/>
      <c r="AJ723" s="292"/>
      <c r="AK723" s="395"/>
      <c r="AL723" s="317"/>
      <c r="AM723" s="394"/>
      <c r="AN723" s="396"/>
      <c r="AO723" s="200"/>
      <c r="AP723" s="200"/>
    </row>
    <row r="724">
      <c r="A724" s="395"/>
      <c r="B724" s="317"/>
      <c r="C724" s="394"/>
      <c r="D724" s="396"/>
      <c r="E724" s="395"/>
      <c r="F724" s="317"/>
      <c r="G724" s="394"/>
      <c r="H724" s="396"/>
      <c r="I724" s="395"/>
      <c r="J724" s="317"/>
      <c r="K724" s="394"/>
      <c r="L724" s="396"/>
      <c r="M724" s="395"/>
      <c r="N724" s="317"/>
      <c r="O724" s="394"/>
      <c r="P724" s="396"/>
      <c r="Q724" s="403"/>
      <c r="R724" s="404"/>
      <c r="S724" s="405"/>
      <c r="T724" s="401"/>
      <c r="U724" s="403"/>
      <c r="V724" s="404"/>
      <c r="W724" s="405"/>
      <c r="X724" s="401"/>
      <c r="Y724" s="403"/>
      <c r="Z724" s="404"/>
      <c r="AA724" s="405"/>
      <c r="AB724" s="401"/>
      <c r="AC724" s="403"/>
      <c r="AD724" s="404"/>
      <c r="AE724" s="405"/>
      <c r="AF724" s="401"/>
      <c r="AG724" s="292"/>
      <c r="AH724" s="292"/>
      <c r="AI724" s="292"/>
      <c r="AJ724" s="292"/>
      <c r="AK724" s="395"/>
      <c r="AL724" s="317"/>
      <c r="AM724" s="394"/>
      <c r="AN724" s="396"/>
      <c r="AO724" s="200"/>
      <c r="AP724" s="200"/>
    </row>
    <row r="725">
      <c r="A725" s="395"/>
      <c r="B725" s="317"/>
      <c r="C725" s="394"/>
      <c r="D725" s="396"/>
      <c r="E725" s="395"/>
      <c r="F725" s="317"/>
      <c r="G725" s="394"/>
      <c r="H725" s="396"/>
      <c r="I725" s="395"/>
      <c r="J725" s="317"/>
      <c r="K725" s="394"/>
      <c r="L725" s="396"/>
      <c r="M725" s="395"/>
      <c r="N725" s="317"/>
      <c r="O725" s="394"/>
      <c r="P725" s="396"/>
      <c r="Q725" s="403"/>
      <c r="R725" s="404"/>
      <c r="S725" s="405"/>
      <c r="T725" s="401"/>
      <c r="U725" s="403"/>
      <c r="V725" s="404"/>
      <c r="W725" s="405"/>
      <c r="X725" s="401"/>
      <c r="Y725" s="403"/>
      <c r="Z725" s="404"/>
      <c r="AA725" s="405"/>
      <c r="AB725" s="401"/>
      <c r="AC725" s="403"/>
      <c r="AD725" s="404"/>
      <c r="AE725" s="405"/>
      <c r="AF725" s="401"/>
      <c r="AG725" s="292"/>
      <c r="AH725" s="292"/>
      <c r="AI725" s="292"/>
      <c r="AJ725" s="292"/>
      <c r="AK725" s="395"/>
      <c r="AL725" s="317"/>
      <c r="AM725" s="394"/>
      <c r="AN725" s="396"/>
      <c r="AO725" s="200"/>
      <c r="AP725" s="200"/>
    </row>
    <row r="726">
      <c r="A726" s="395"/>
      <c r="B726" s="317"/>
      <c r="C726" s="394"/>
      <c r="D726" s="396"/>
      <c r="E726" s="395"/>
      <c r="F726" s="317"/>
      <c r="G726" s="394"/>
      <c r="H726" s="396"/>
      <c r="I726" s="395"/>
      <c r="J726" s="317"/>
      <c r="K726" s="394"/>
      <c r="L726" s="396"/>
      <c r="M726" s="395"/>
      <c r="N726" s="317"/>
      <c r="O726" s="394"/>
      <c r="P726" s="396"/>
      <c r="Q726" s="403"/>
      <c r="R726" s="404"/>
      <c r="S726" s="405"/>
      <c r="T726" s="401"/>
      <c r="U726" s="403"/>
      <c r="V726" s="404"/>
      <c r="W726" s="405"/>
      <c r="X726" s="401"/>
      <c r="Y726" s="403"/>
      <c r="Z726" s="404"/>
      <c r="AA726" s="405"/>
      <c r="AB726" s="401"/>
      <c r="AC726" s="403"/>
      <c r="AD726" s="404"/>
      <c r="AE726" s="405"/>
      <c r="AF726" s="401"/>
      <c r="AG726" s="292"/>
      <c r="AH726" s="292"/>
      <c r="AI726" s="292"/>
      <c r="AJ726" s="292"/>
      <c r="AK726" s="395"/>
      <c r="AL726" s="317"/>
      <c r="AM726" s="394"/>
      <c r="AN726" s="396"/>
      <c r="AO726" s="200"/>
      <c r="AP726" s="200"/>
    </row>
    <row r="727">
      <c r="A727" s="395"/>
      <c r="B727" s="317"/>
      <c r="C727" s="394"/>
      <c r="D727" s="396"/>
      <c r="E727" s="395"/>
      <c r="F727" s="317"/>
      <c r="G727" s="394"/>
      <c r="H727" s="396"/>
      <c r="I727" s="395"/>
      <c r="J727" s="317"/>
      <c r="K727" s="394"/>
      <c r="L727" s="396"/>
      <c r="M727" s="395"/>
      <c r="N727" s="317"/>
      <c r="O727" s="394"/>
      <c r="P727" s="396"/>
      <c r="Q727" s="403"/>
      <c r="R727" s="404"/>
      <c r="S727" s="405"/>
      <c r="T727" s="401"/>
      <c r="U727" s="403"/>
      <c r="V727" s="404"/>
      <c r="W727" s="405"/>
      <c r="X727" s="401"/>
      <c r="Y727" s="403"/>
      <c r="Z727" s="404"/>
      <c r="AA727" s="405"/>
      <c r="AB727" s="401"/>
      <c r="AC727" s="403"/>
      <c r="AD727" s="404"/>
      <c r="AE727" s="405"/>
      <c r="AF727" s="401"/>
      <c r="AG727" s="292"/>
      <c r="AH727" s="292"/>
      <c r="AI727" s="292"/>
      <c r="AJ727" s="292"/>
      <c r="AK727" s="395"/>
      <c r="AL727" s="317"/>
      <c r="AM727" s="394"/>
      <c r="AN727" s="396"/>
      <c r="AO727" s="200"/>
      <c r="AP727" s="200"/>
    </row>
    <row r="728">
      <c r="A728" s="395"/>
      <c r="B728" s="317"/>
      <c r="C728" s="394"/>
      <c r="D728" s="396"/>
      <c r="E728" s="395"/>
      <c r="F728" s="317"/>
      <c r="G728" s="394"/>
      <c r="H728" s="396"/>
      <c r="I728" s="395"/>
      <c r="J728" s="317"/>
      <c r="K728" s="394"/>
      <c r="L728" s="396"/>
      <c r="M728" s="395"/>
      <c r="N728" s="317"/>
      <c r="O728" s="394"/>
      <c r="P728" s="396"/>
      <c r="Q728" s="403"/>
      <c r="R728" s="404"/>
      <c r="S728" s="405"/>
      <c r="T728" s="401"/>
      <c r="U728" s="403"/>
      <c r="V728" s="404"/>
      <c r="W728" s="405"/>
      <c r="X728" s="401"/>
      <c r="Y728" s="403"/>
      <c r="Z728" s="404"/>
      <c r="AA728" s="405"/>
      <c r="AB728" s="401"/>
      <c r="AC728" s="403"/>
      <c r="AD728" s="404"/>
      <c r="AE728" s="405"/>
      <c r="AF728" s="401"/>
      <c r="AG728" s="292"/>
      <c r="AH728" s="292"/>
      <c r="AI728" s="292"/>
      <c r="AJ728" s="292"/>
      <c r="AK728" s="395"/>
      <c r="AL728" s="317"/>
      <c r="AM728" s="394"/>
      <c r="AN728" s="396"/>
      <c r="AO728" s="200"/>
      <c r="AP728" s="200"/>
    </row>
    <row r="729">
      <c r="A729" s="395"/>
      <c r="B729" s="317"/>
      <c r="C729" s="394"/>
      <c r="D729" s="396"/>
      <c r="E729" s="395"/>
      <c r="F729" s="317"/>
      <c r="G729" s="394"/>
      <c r="H729" s="396"/>
      <c r="I729" s="395"/>
      <c r="J729" s="317"/>
      <c r="K729" s="394"/>
      <c r="L729" s="396"/>
      <c r="M729" s="395"/>
      <c r="N729" s="317"/>
      <c r="O729" s="394"/>
      <c r="P729" s="396"/>
      <c r="Q729" s="403"/>
      <c r="R729" s="404"/>
      <c r="S729" s="405"/>
      <c r="T729" s="401"/>
      <c r="U729" s="403"/>
      <c r="V729" s="404"/>
      <c r="W729" s="405"/>
      <c r="X729" s="401"/>
      <c r="Y729" s="403"/>
      <c r="Z729" s="404"/>
      <c r="AA729" s="405"/>
      <c r="AB729" s="401"/>
      <c r="AC729" s="403"/>
      <c r="AD729" s="404"/>
      <c r="AE729" s="405"/>
      <c r="AF729" s="401"/>
      <c r="AG729" s="292"/>
      <c r="AH729" s="292"/>
      <c r="AI729" s="292"/>
      <c r="AJ729" s="292"/>
      <c r="AK729" s="395"/>
      <c r="AL729" s="317"/>
      <c r="AM729" s="394"/>
      <c r="AN729" s="396"/>
      <c r="AO729" s="200"/>
      <c r="AP729" s="200"/>
    </row>
    <row r="730">
      <c r="A730" s="395"/>
      <c r="B730" s="317"/>
      <c r="C730" s="394"/>
      <c r="D730" s="396"/>
      <c r="E730" s="395"/>
      <c r="F730" s="317"/>
      <c r="G730" s="394"/>
      <c r="H730" s="396"/>
      <c r="I730" s="395"/>
      <c r="J730" s="317"/>
      <c r="K730" s="394"/>
      <c r="L730" s="396"/>
      <c r="M730" s="395"/>
      <c r="N730" s="317"/>
      <c r="O730" s="394"/>
      <c r="P730" s="396"/>
      <c r="Q730" s="403"/>
      <c r="R730" s="404"/>
      <c r="S730" s="405"/>
      <c r="T730" s="401"/>
      <c r="U730" s="403"/>
      <c r="V730" s="404"/>
      <c r="W730" s="405"/>
      <c r="X730" s="401"/>
      <c r="Y730" s="403"/>
      <c r="Z730" s="404"/>
      <c r="AA730" s="405"/>
      <c r="AB730" s="401"/>
      <c r="AC730" s="403"/>
      <c r="AD730" s="404"/>
      <c r="AE730" s="405"/>
      <c r="AF730" s="401"/>
      <c r="AG730" s="292"/>
      <c r="AH730" s="292"/>
      <c r="AI730" s="292"/>
      <c r="AJ730" s="292"/>
      <c r="AK730" s="395"/>
      <c r="AL730" s="317"/>
      <c r="AM730" s="394"/>
      <c r="AN730" s="396"/>
      <c r="AO730" s="200"/>
      <c r="AP730" s="200"/>
    </row>
    <row r="731">
      <c r="A731" s="395"/>
      <c r="B731" s="317"/>
      <c r="C731" s="394"/>
      <c r="D731" s="396"/>
      <c r="E731" s="395"/>
      <c r="F731" s="317"/>
      <c r="G731" s="394"/>
      <c r="H731" s="396"/>
      <c r="I731" s="395"/>
      <c r="J731" s="317"/>
      <c r="K731" s="394"/>
      <c r="L731" s="396"/>
      <c r="M731" s="395"/>
      <c r="N731" s="317"/>
      <c r="O731" s="394"/>
      <c r="P731" s="396"/>
      <c r="Q731" s="403"/>
      <c r="R731" s="404"/>
      <c r="S731" s="405"/>
      <c r="T731" s="401"/>
      <c r="U731" s="403"/>
      <c r="V731" s="404"/>
      <c r="W731" s="405"/>
      <c r="X731" s="401"/>
      <c r="Y731" s="403"/>
      <c r="Z731" s="404"/>
      <c r="AA731" s="405"/>
      <c r="AB731" s="401"/>
      <c r="AC731" s="403"/>
      <c r="AD731" s="404"/>
      <c r="AE731" s="405"/>
      <c r="AF731" s="401"/>
      <c r="AG731" s="292"/>
      <c r="AH731" s="292"/>
      <c r="AI731" s="292"/>
      <c r="AJ731" s="292"/>
      <c r="AK731" s="395"/>
      <c r="AL731" s="317"/>
      <c r="AM731" s="394"/>
      <c r="AN731" s="396"/>
      <c r="AO731" s="200"/>
      <c r="AP731" s="200"/>
    </row>
    <row r="732">
      <c r="A732" s="395"/>
      <c r="B732" s="317"/>
      <c r="C732" s="394"/>
      <c r="D732" s="396"/>
      <c r="E732" s="395"/>
      <c r="F732" s="317"/>
      <c r="G732" s="394"/>
      <c r="H732" s="396"/>
      <c r="I732" s="395"/>
      <c r="J732" s="317"/>
      <c r="K732" s="394"/>
      <c r="L732" s="396"/>
      <c r="M732" s="395"/>
      <c r="N732" s="317"/>
      <c r="O732" s="394"/>
      <c r="P732" s="396"/>
      <c r="Q732" s="403"/>
      <c r="R732" s="404"/>
      <c r="S732" s="405"/>
      <c r="T732" s="401"/>
      <c r="U732" s="403"/>
      <c r="V732" s="404"/>
      <c r="W732" s="405"/>
      <c r="X732" s="401"/>
      <c r="Y732" s="403"/>
      <c r="Z732" s="404"/>
      <c r="AA732" s="405"/>
      <c r="AB732" s="401"/>
      <c r="AC732" s="403"/>
      <c r="AD732" s="404"/>
      <c r="AE732" s="405"/>
      <c r="AF732" s="401"/>
      <c r="AG732" s="292"/>
      <c r="AH732" s="292"/>
      <c r="AI732" s="292"/>
      <c r="AJ732" s="292"/>
      <c r="AK732" s="395"/>
      <c r="AL732" s="317"/>
      <c r="AM732" s="394"/>
      <c r="AN732" s="396"/>
      <c r="AO732" s="200"/>
      <c r="AP732" s="200"/>
    </row>
    <row r="733">
      <c r="A733" s="395"/>
      <c r="B733" s="317"/>
      <c r="C733" s="394"/>
      <c r="D733" s="396"/>
      <c r="E733" s="395"/>
      <c r="F733" s="317"/>
      <c r="G733" s="394"/>
      <c r="H733" s="396"/>
      <c r="I733" s="395"/>
      <c r="J733" s="317"/>
      <c r="K733" s="394"/>
      <c r="L733" s="396"/>
      <c r="M733" s="395"/>
      <c r="N733" s="317"/>
      <c r="O733" s="394"/>
      <c r="P733" s="396"/>
      <c r="Q733" s="403"/>
      <c r="R733" s="404"/>
      <c r="S733" s="405"/>
      <c r="T733" s="401"/>
      <c r="U733" s="403"/>
      <c r="V733" s="404"/>
      <c r="W733" s="405"/>
      <c r="X733" s="401"/>
      <c r="Y733" s="403"/>
      <c r="Z733" s="404"/>
      <c r="AA733" s="405"/>
      <c r="AB733" s="401"/>
      <c r="AC733" s="403"/>
      <c r="AD733" s="404"/>
      <c r="AE733" s="405"/>
      <c r="AF733" s="401"/>
      <c r="AG733" s="292"/>
      <c r="AH733" s="292"/>
      <c r="AI733" s="292"/>
      <c r="AJ733" s="292"/>
      <c r="AK733" s="395"/>
      <c r="AL733" s="317"/>
      <c r="AM733" s="394"/>
      <c r="AN733" s="396"/>
      <c r="AO733" s="200"/>
      <c r="AP733" s="200"/>
    </row>
    <row r="734">
      <c r="A734" s="395"/>
      <c r="B734" s="317"/>
      <c r="C734" s="394"/>
      <c r="D734" s="396"/>
      <c r="E734" s="395"/>
      <c r="F734" s="317"/>
      <c r="G734" s="394"/>
      <c r="H734" s="396"/>
      <c r="I734" s="395"/>
      <c r="J734" s="317"/>
      <c r="K734" s="394"/>
      <c r="L734" s="396"/>
      <c r="M734" s="395"/>
      <c r="N734" s="317"/>
      <c r="O734" s="394"/>
      <c r="P734" s="396"/>
      <c r="Q734" s="403"/>
      <c r="R734" s="404"/>
      <c r="S734" s="405"/>
      <c r="T734" s="401"/>
      <c r="U734" s="403"/>
      <c r="V734" s="404"/>
      <c r="W734" s="405"/>
      <c r="X734" s="401"/>
      <c r="Y734" s="403"/>
      <c r="Z734" s="404"/>
      <c r="AA734" s="405"/>
      <c r="AB734" s="401"/>
      <c r="AC734" s="403"/>
      <c r="AD734" s="404"/>
      <c r="AE734" s="405"/>
      <c r="AF734" s="401"/>
      <c r="AG734" s="292"/>
      <c r="AH734" s="292"/>
      <c r="AI734" s="292"/>
      <c r="AJ734" s="292"/>
      <c r="AK734" s="395"/>
      <c r="AL734" s="317"/>
      <c r="AM734" s="394"/>
      <c r="AN734" s="396"/>
      <c r="AO734" s="200"/>
      <c r="AP734" s="200"/>
    </row>
    <row r="735">
      <c r="A735" s="395"/>
      <c r="B735" s="317"/>
      <c r="C735" s="394"/>
      <c r="D735" s="396"/>
      <c r="E735" s="395"/>
      <c r="F735" s="317"/>
      <c r="G735" s="394"/>
      <c r="H735" s="396"/>
      <c r="I735" s="395"/>
      <c r="J735" s="317"/>
      <c r="K735" s="394"/>
      <c r="L735" s="396"/>
      <c r="M735" s="395"/>
      <c r="N735" s="317"/>
      <c r="O735" s="394"/>
      <c r="P735" s="396"/>
      <c r="Q735" s="403"/>
      <c r="R735" s="404"/>
      <c r="S735" s="405"/>
      <c r="T735" s="401"/>
      <c r="U735" s="403"/>
      <c r="V735" s="404"/>
      <c r="W735" s="405"/>
      <c r="X735" s="401"/>
      <c r="Y735" s="403"/>
      <c r="Z735" s="404"/>
      <c r="AA735" s="405"/>
      <c r="AB735" s="401"/>
      <c r="AC735" s="403"/>
      <c r="AD735" s="404"/>
      <c r="AE735" s="405"/>
      <c r="AF735" s="401"/>
      <c r="AG735" s="292"/>
      <c r="AH735" s="292"/>
      <c r="AI735" s="292"/>
      <c r="AJ735" s="292"/>
      <c r="AK735" s="395"/>
      <c r="AL735" s="317"/>
      <c r="AM735" s="394"/>
      <c r="AN735" s="396"/>
      <c r="AO735" s="200"/>
      <c r="AP735" s="200"/>
    </row>
    <row r="736">
      <c r="A736" s="395"/>
      <c r="B736" s="317"/>
      <c r="C736" s="394"/>
      <c r="D736" s="396"/>
      <c r="E736" s="395"/>
      <c r="F736" s="317"/>
      <c r="G736" s="394"/>
      <c r="H736" s="396"/>
      <c r="I736" s="395"/>
      <c r="J736" s="317"/>
      <c r="K736" s="394"/>
      <c r="L736" s="396"/>
      <c r="M736" s="395"/>
      <c r="N736" s="317"/>
      <c r="O736" s="394"/>
      <c r="P736" s="396"/>
      <c r="Q736" s="403"/>
      <c r="R736" s="404"/>
      <c r="S736" s="405"/>
      <c r="T736" s="401"/>
      <c r="U736" s="403"/>
      <c r="V736" s="404"/>
      <c r="W736" s="405"/>
      <c r="X736" s="401"/>
      <c r="Y736" s="403"/>
      <c r="Z736" s="404"/>
      <c r="AA736" s="405"/>
      <c r="AB736" s="401"/>
      <c r="AC736" s="403"/>
      <c r="AD736" s="404"/>
      <c r="AE736" s="405"/>
      <c r="AF736" s="401"/>
      <c r="AG736" s="292"/>
      <c r="AH736" s="292"/>
      <c r="AI736" s="292"/>
      <c r="AJ736" s="292"/>
      <c r="AK736" s="395"/>
      <c r="AL736" s="317"/>
      <c r="AM736" s="394"/>
      <c r="AN736" s="396"/>
      <c r="AO736" s="200"/>
      <c r="AP736" s="200"/>
    </row>
    <row r="737">
      <c r="A737" s="395"/>
      <c r="B737" s="317"/>
      <c r="C737" s="394"/>
      <c r="D737" s="396"/>
      <c r="E737" s="395"/>
      <c r="F737" s="317"/>
      <c r="G737" s="394"/>
      <c r="H737" s="396"/>
      <c r="I737" s="395"/>
      <c r="J737" s="317"/>
      <c r="K737" s="394"/>
      <c r="L737" s="396"/>
      <c r="M737" s="395"/>
      <c r="N737" s="317"/>
      <c r="O737" s="394"/>
      <c r="P737" s="396"/>
      <c r="Q737" s="403"/>
      <c r="R737" s="404"/>
      <c r="S737" s="405"/>
      <c r="T737" s="401"/>
      <c r="U737" s="403"/>
      <c r="V737" s="404"/>
      <c r="W737" s="405"/>
      <c r="X737" s="401"/>
      <c r="Y737" s="403"/>
      <c r="Z737" s="404"/>
      <c r="AA737" s="405"/>
      <c r="AB737" s="401"/>
      <c r="AC737" s="403"/>
      <c r="AD737" s="404"/>
      <c r="AE737" s="405"/>
      <c r="AF737" s="401"/>
      <c r="AG737" s="292"/>
      <c r="AH737" s="292"/>
      <c r="AI737" s="292"/>
      <c r="AJ737" s="292"/>
      <c r="AK737" s="395"/>
      <c r="AL737" s="317"/>
      <c r="AM737" s="394"/>
      <c r="AN737" s="396"/>
      <c r="AO737" s="200"/>
      <c r="AP737" s="200"/>
    </row>
    <row r="738">
      <c r="A738" s="395"/>
      <c r="B738" s="317"/>
      <c r="C738" s="394"/>
      <c r="D738" s="396"/>
      <c r="E738" s="395"/>
      <c r="F738" s="317"/>
      <c r="G738" s="394"/>
      <c r="H738" s="396"/>
      <c r="I738" s="395"/>
      <c r="J738" s="317"/>
      <c r="K738" s="394"/>
      <c r="L738" s="396"/>
      <c r="M738" s="395"/>
      <c r="N738" s="317"/>
      <c r="O738" s="394"/>
      <c r="P738" s="396"/>
      <c r="Q738" s="403"/>
      <c r="R738" s="404"/>
      <c r="S738" s="405"/>
      <c r="T738" s="401"/>
      <c r="U738" s="403"/>
      <c r="V738" s="404"/>
      <c r="W738" s="405"/>
      <c r="X738" s="401"/>
      <c r="Y738" s="403"/>
      <c r="Z738" s="404"/>
      <c r="AA738" s="405"/>
      <c r="AB738" s="401"/>
      <c r="AC738" s="403"/>
      <c r="AD738" s="404"/>
      <c r="AE738" s="405"/>
      <c r="AF738" s="401"/>
      <c r="AG738" s="292"/>
      <c r="AH738" s="292"/>
      <c r="AI738" s="292"/>
      <c r="AJ738" s="292"/>
      <c r="AK738" s="395"/>
      <c r="AL738" s="317"/>
      <c r="AM738" s="394"/>
      <c r="AN738" s="396"/>
      <c r="AO738" s="200"/>
      <c r="AP738" s="200"/>
    </row>
    <row r="739">
      <c r="A739" s="395"/>
      <c r="B739" s="317"/>
      <c r="C739" s="394"/>
      <c r="D739" s="396"/>
      <c r="E739" s="395"/>
      <c r="F739" s="317"/>
      <c r="G739" s="394"/>
      <c r="H739" s="396"/>
      <c r="I739" s="395"/>
      <c r="J739" s="317"/>
      <c r="K739" s="394"/>
      <c r="L739" s="396"/>
      <c r="M739" s="395"/>
      <c r="N739" s="317"/>
      <c r="O739" s="394"/>
      <c r="P739" s="396"/>
      <c r="Q739" s="403"/>
      <c r="R739" s="404"/>
      <c r="S739" s="405"/>
      <c r="T739" s="401"/>
      <c r="U739" s="403"/>
      <c r="V739" s="404"/>
      <c r="W739" s="405"/>
      <c r="X739" s="401"/>
      <c r="Y739" s="403"/>
      <c r="Z739" s="404"/>
      <c r="AA739" s="405"/>
      <c r="AB739" s="401"/>
      <c r="AC739" s="403"/>
      <c r="AD739" s="404"/>
      <c r="AE739" s="405"/>
      <c r="AF739" s="401"/>
      <c r="AG739" s="292"/>
      <c r="AH739" s="292"/>
      <c r="AI739" s="292"/>
      <c r="AJ739" s="292"/>
      <c r="AK739" s="395"/>
      <c r="AL739" s="317"/>
      <c r="AM739" s="394"/>
      <c r="AN739" s="396"/>
      <c r="AO739" s="200"/>
      <c r="AP739" s="200"/>
    </row>
    <row r="740">
      <c r="A740" s="395"/>
      <c r="B740" s="317"/>
      <c r="C740" s="394"/>
      <c r="D740" s="396"/>
      <c r="E740" s="395"/>
      <c r="F740" s="317"/>
      <c r="G740" s="394"/>
      <c r="H740" s="396"/>
      <c r="I740" s="395"/>
      <c r="J740" s="317"/>
      <c r="K740" s="394"/>
      <c r="L740" s="396"/>
      <c r="M740" s="395"/>
      <c r="N740" s="317"/>
      <c r="O740" s="394"/>
      <c r="P740" s="396"/>
      <c r="Q740" s="403"/>
      <c r="R740" s="404"/>
      <c r="S740" s="405"/>
      <c r="T740" s="401"/>
      <c r="U740" s="403"/>
      <c r="V740" s="404"/>
      <c r="W740" s="405"/>
      <c r="X740" s="401"/>
      <c r="Y740" s="403"/>
      <c r="Z740" s="404"/>
      <c r="AA740" s="405"/>
      <c r="AB740" s="401"/>
      <c r="AC740" s="403"/>
      <c r="AD740" s="404"/>
      <c r="AE740" s="405"/>
      <c r="AF740" s="401"/>
      <c r="AG740" s="292"/>
      <c r="AH740" s="292"/>
      <c r="AI740" s="292"/>
      <c r="AJ740" s="292"/>
      <c r="AK740" s="395"/>
      <c r="AL740" s="317"/>
      <c r="AM740" s="394"/>
      <c r="AN740" s="396"/>
      <c r="AO740" s="200"/>
      <c r="AP740" s="200"/>
    </row>
    <row r="741">
      <c r="A741" s="395"/>
      <c r="B741" s="317"/>
      <c r="C741" s="394"/>
      <c r="D741" s="396"/>
      <c r="E741" s="395"/>
      <c r="F741" s="317"/>
      <c r="G741" s="394"/>
      <c r="H741" s="396"/>
      <c r="I741" s="395"/>
      <c r="J741" s="317"/>
      <c r="K741" s="394"/>
      <c r="L741" s="396"/>
      <c r="M741" s="395"/>
      <c r="N741" s="317"/>
      <c r="O741" s="394"/>
      <c r="P741" s="396"/>
      <c r="Q741" s="403"/>
      <c r="R741" s="404"/>
      <c r="S741" s="405"/>
      <c r="T741" s="401"/>
      <c r="U741" s="403"/>
      <c r="V741" s="404"/>
      <c r="W741" s="405"/>
      <c r="X741" s="401"/>
      <c r="Y741" s="403"/>
      <c r="Z741" s="404"/>
      <c r="AA741" s="405"/>
      <c r="AB741" s="401"/>
      <c r="AC741" s="403"/>
      <c r="AD741" s="404"/>
      <c r="AE741" s="405"/>
      <c r="AF741" s="401"/>
      <c r="AG741" s="292"/>
      <c r="AH741" s="292"/>
      <c r="AI741" s="292"/>
      <c r="AJ741" s="292"/>
      <c r="AK741" s="395"/>
      <c r="AL741" s="317"/>
      <c r="AM741" s="394"/>
      <c r="AN741" s="396"/>
      <c r="AO741" s="200"/>
      <c r="AP741" s="200"/>
    </row>
    <row r="742">
      <c r="A742" s="395"/>
      <c r="B742" s="317"/>
      <c r="C742" s="394"/>
      <c r="D742" s="396"/>
      <c r="E742" s="395"/>
      <c r="F742" s="317"/>
      <c r="G742" s="394"/>
      <c r="H742" s="396"/>
      <c r="I742" s="395"/>
      <c r="J742" s="317"/>
      <c r="K742" s="394"/>
      <c r="L742" s="396"/>
      <c r="M742" s="395"/>
      <c r="N742" s="317"/>
      <c r="O742" s="394"/>
      <c r="P742" s="396"/>
      <c r="Q742" s="403"/>
      <c r="R742" s="404"/>
      <c r="S742" s="405"/>
      <c r="T742" s="401"/>
      <c r="U742" s="403"/>
      <c r="V742" s="404"/>
      <c r="W742" s="405"/>
      <c r="X742" s="401"/>
      <c r="Y742" s="403"/>
      <c r="Z742" s="404"/>
      <c r="AA742" s="405"/>
      <c r="AB742" s="401"/>
      <c r="AC742" s="403"/>
      <c r="AD742" s="404"/>
      <c r="AE742" s="405"/>
      <c r="AF742" s="401"/>
      <c r="AG742" s="292"/>
      <c r="AH742" s="292"/>
      <c r="AI742" s="292"/>
      <c r="AJ742" s="292"/>
      <c r="AK742" s="395"/>
      <c r="AL742" s="317"/>
      <c r="AM742" s="394"/>
      <c r="AN742" s="396"/>
      <c r="AO742" s="200"/>
      <c r="AP742" s="200"/>
    </row>
    <row r="743">
      <c r="A743" s="395"/>
      <c r="B743" s="317"/>
      <c r="C743" s="394"/>
      <c r="D743" s="396"/>
      <c r="E743" s="395"/>
      <c r="F743" s="317"/>
      <c r="G743" s="394"/>
      <c r="H743" s="396"/>
      <c r="I743" s="395"/>
      <c r="J743" s="317"/>
      <c r="K743" s="394"/>
      <c r="L743" s="396"/>
      <c r="M743" s="395"/>
      <c r="N743" s="317"/>
      <c r="O743" s="394"/>
      <c r="P743" s="396"/>
      <c r="Q743" s="403"/>
      <c r="R743" s="404"/>
      <c r="S743" s="405"/>
      <c r="T743" s="401"/>
      <c r="U743" s="403"/>
      <c r="V743" s="404"/>
      <c r="W743" s="405"/>
      <c r="X743" s="401"/>
      <c r="Y743" s="403"/>
      <c r="Z743" s="404"/>
      <c r="AA743" s="405"/>
      <c r="AB743" s="401"/>
      <c r="AC743" s="403"/>
      <c r="AD743" s="404"/>
      <c r="AE743" s="405"/>
      <c r="AF743" s="401"/>
      <c r="AG743" s="292"/>
      <c r="AH743" s="292"/>
      <c r="AI743" s="292"/>
      <c r="AJ743" s="292"/>
      <c r="AK743" s="395"/>
      <c r="AL743" s="317"/>
      <c r="AM743" s="394"/>
      <c r="AN743" s="396"/>
      <c r="AO743" s="200"/>
      <c r="AP743" s="200"/>
    </row>
    <row r="744">
      <c r="A744" s="395"/>
      <c r="B744" s="317"/>
      <c r="C744" s="394"/>
      <c r="D744" s="396"/>
      <c r="E744" s="395"/>
      <c r="F744" s="317"/>
      <c r="G744" s="394"/>
      <c r="H744" s="396"/>
      <c r="I744" s="395"/>
      <c r="J744" s="317"/>
      <c r="K744" s="394"/>
      <c r="L744" s="396"/>
      <c r="M744" s="395"/>
      <c r="N744" s="317"/>
      <c r="O744" s="394"/>
      <c r="P744" s="396"/>
      <c r="Q744" s="403"/>
      <c r="R744" s="404"/>
      <c r="S744" s="405"/>
      <c r="T744" s="401"/>
      <c r="U744" s="403"/>
      <c r="V744" s="404"/>
      <c r="W744" s="405"/>
      <c r="X744" s="401"/>
      <c r="Y744" s="403"/>
      <c r="Z744" s="404"/>
      <c r="AA744" s="405"/>
      <c r="AB744" s="401"/>
      <c r="AC744" s="403"/>
      <c r="AD744" s="404"/>
      <c r="AE744" s="405"/>
      <c r="AF744" s="401"/>
      <c r="AG744" s="292"/>
      <c r="AH744" s="292"/>
      <c r="AI744" s="292"/>
      <c r="AJ744" s="292"/>
      <c r="AK744" s="395"/>
      <c r="AL744" s="317"/>
      <c r="AM744" s="394"/>
      <c r="AN744" s="396"/>
      <c r="AO744" s="200"/>
      <c r="AP744" s="200"/>
    </row>
    <row r="745">
      <c r="A745" s="395"/>
      <c r="B745" s="317"/>
      <c r="C745" s="394"/>
      <c r="D745" s="396"/>
      <c r="E745" s="395"/>
      <c r="F745" s="317"/>
      <c r="G745" s="394"/>
      <c r="H745" s="396"/>
      <c r="I745" s="395"/>
      <c r="J745" s="317"/>
      <c r="K745" s="394"/>
      <c r="L745" s="396"/>
      <c r="M745" s="395"/>
      <c r="N745" s="317"/>
      <c r="O745" s="394"/>
      <c r="P745" s="396"/>
      <c r="Q745" s="403"/>
      <c r="R745" s="404"/>
      <c r="S745" s="405"/>
      <c r="T745" s="401"/>
      <c r="U745" s="403"/>
      <c r="V745" s="404"/>
      <c r="W745" s="405"/>
      <c r="X745" s="401"/>
      <c r="Y745" s="403"/>
      <c r="Z745" s="404"/>
      <c r="AA745" s="405"/>
      <c r="AB745" s="401"/>
      <c r="AC745" s="403"/>
      <c r="AD745" s="404"/>
      <c r="AE745" s="405"/>
      <c r="AF745" s="401"/>
      <c r="AG745" s="292"/>
      <c r="AH745" s="292"/>
      <c r="AI745" s="292"/>
      <c r="AJ745" s="292"/>
      <c r="AK745" s="395"/>
      <c r="AL745" s="317"/>
      <c r="AM745" s="394"/>
      <c r="AN745" s="396"/>
      <c r="AO745" s="200"/>
      <c r="AP745" s="200"/>
    </row>
    <row r="746">
      <c r="A746" s="395"/>
      <c r="B746" s="317"/>
      <c r="C746" s="394"/>
      <c r="D746" s="396"/>
      <c r="E746" s="395"/>
      <c r="F746" s="317"/>
      <c r="G746" s="394"/>
      <c r="H746" s="396"/>
      <c r="I746" s="395"/>
      <c r="J746" s="317"/>
      <c r="K746" s="394"/>
      <c r="L746" s="396"/>
      <c r="M746" s="395"/>
      <c r="N746" s="317"/>
      <c r="O746" s="394"/>
      <c r="P746" s="396"/>
      <c r="Q746" s="403"/>
      <c r="R746" s="404"/>
      <c r="S746" s="405"/>
      <c r="T746" s="401"/>
      <c r="U746" s="403"/>
      <c r="V746" s="404"/>
      <c r="W746" s="405"/>
      <c r="X746" s="401"/>
      <c r="Y746" s="403"/>
      <c r="Z746" s="404"/>
      <c r="AA746" s="405"/>
      <c r="AB746" s="401"/>
      <c r="AC746" s="403"/>
      <c r="AD746" s="404"/>
      <c r="AE746" s="405"/>
      <c r="AF746" s="401"/>
      <c r="AG746" s="292"/>
      <c r="AH746" s="292"/>
      <c r="AI746" s="292"/>
      <c r="AJ746" s="292"/>
      <c r="AK746" s="395"/>
      <c r="AL746" s="317"/>
      <c r="AM746" s="394"/>
      <c r="AN746" s="396"/>
      <c r="AO746" s="200"/>
      <c r="AP746" s="200"/>
    </row>
    <row r="747">
      <c r="A747" s="395"/>
      <c r="B747" s="317"/>
      <c r="C747" s="394"/>
      <c r="D747" s="396"/>
      <c r="E747" s="395"/>
      <c r="F747" s="317"/>
      <c r="G747" s="394"/>
      <c r="H747" s="396"/>
      <c r="I747" s="395"/>
      <c r="J747" s="317"/>
      <c r="K747" s="394"/>
      <c r="L747" s="396"/>
      <c r="M747" s="395"/>
      <c r="N747" s="317"/>
      <c r="O747" s="394"/>
      <c r="P747" s="396"/>
      <c r="Q747" s="403"/>
      <c r="R747" s="404"/>
      <c r="S747" s="405"/>
      <c r="T747" s="401"/>
      <c r="U747" s="403"/>
      <c r="V747" s="404"/>
      <c r="W747" s="405"/>
      <c r="X747" s="401"/>
      <c r="Y747" s="403"/>
      <c r="Z747" s="404"/>
      <c r="AA747" s="405"/>
      <c r="AB747" s="401"/>
      <c r="AC747" s="403"/>
      <c r="AD747" s="404"/>
      <c r="AE747" s="405"/>
      <c r="AF747" s="401"/>
      <c r="AG747" s="292"/>
      <c r="AH747" s="292"/>
      <c r="AI747" s="292"/>
      <c r="AJ747" s="292"/>
      <c r="AK747" s="395"/>
      <c r="AL747" s="317"/>
      <c r="AM747" s="394"/>
      <c r="AN747" s="396"/>
      <c r="AO747" s="200"/>
      <c r="AP747" s="200"/>
    </row>
    <row r="748">
      <c r="A748" s="395"/>
      <c r="B748" s="317"/>
      <c r="C748" s="394"/>
      <c r="D748" s="396"/>
      <c r="E748" s="395"/>
      <c r="F748" s="317"/>
      <c r="G748" s="394"/>
      <c r="H748" s="396"/>
      <c r="I748" s="395"/>
      <c r="J748" s="317"/>
      <c r="K748" s="394"/>
      <c r="L748" s="396"/>
      <c r="M748" s="395"/>
      <c r="N748" s="317"/>
      <c r="O748" s="394"/>
      <c r="P748" s="396"/>
      <c r="Q748" s="403"/>
      <c r="R748" s="404"/>
      <c r="S748" s="405"/>
      <c r="T748" s="401"/>
      <c r="U748" s="403"/>
      <c r="V748" s="404"/>
      <c r="W748" s="405"/>
      <c r="X748" s="401"/>
      <c r="Y748" s="403"/>
      <c r="Z748" s="404"/>
      <c r="AA748" s="405"/>
      <c r="AB748" s="401"/>
      <c r="AC748" s="403"/>
      <c r="AD748" s="404"/>
      <c r="AE748" s="405"/>
      <c r="AF748" s="401"/>
      <c r="AG748" s="292"/>
      <c r="AH748" s="292"/>
      <c r="AI748" s="292"/>
      <c r="AJ748" s="292"/>
      <c r="AK748" s="395"/>
      <c r="AL748" s="317"/>
      <c r="AM748" s="394"/>
      <c r="AN748" s="396"/>
      <c r="AO748" s="200"/>
      <c r="AP748" s="200"/>
    </row>
    <row r="749">
      <c r="A749" s="395"/>
      <c r="B749" s="317"/>
      <c r="C749" s="394"/>
      <c r="D749" s="396"/>
      <c r="E749" s="395"/>
      <c r="F749" s="317"/>
      <c r="G749" s="394"/>
      <c r="H749" s="396"/>
      <c r="I749" s="395"/>
      <c r="J749" s="317"/>
      <c r="K749" s="394"/>
      <c r="L749" s="396"/>
      <c r="M749" s="395"/>
      <c r="N749" s="317"/>
      <c r="O749" s="394"/>
      <c r="P749" s="396"/>
      <c r="Q749" s="403"/>
      <c r="R749" s="404"/>
      <c r="S749" s="405"/>
      <c r="T749" s="401"/>
      <c r="U749" s="403"/>
      <c r="V749" s="404"/>
      <c r="W749" s="405"/>
      <c r="X749" s="401"/>
      <c r="Y749" s="403"/>
      <c r="Z749" s="404"/>
      <c r="AA749" s="405"/>
      <c r="AB749" s="401"/>
      <c r="AC749" s="403"/>
      <c r="AD749" s="404"/>
      <c r="AE749" s="405"/>
      <c r="AF749" s="401"/>
      <c r="AG749" s="292"/>
      <c r="AH749" s="292"/>
      <c r="AI749" s="292"/>
      <c r="AJ749" s="292"/>
      <c r="AK749" s="395"/>
      <c r="AL749" s="317"/>
      <c r="AM749" s="394"/>
      <c r="AN749" s="396"/>
      <c r="AO749" s="200"/>
      <c r="AP749" s="200"/>
    </row>
    <row r="750">
      <c r="A750" s="395"/>
      <c r="B750" s="317"/>
      <c r="C750" s="394"/>
      <c r="D750" s="396"/>
      <c r="E750" s="395"/>
      <c r="F750" s="317"/>
      <c r="G750" s="394"/>
      <c r="H750" s="396"/>
      <c r="I750" s="395"/>
      <c r="J750" s="317"/>
      <c r="K750" s="394"/>
      <c r="L750" s="396"/>
      <c r="M750" s="395"/>
      <c r="N750" s="317"/>
      <c r="O750" s="394"/>
      <c r="P750" s="396"/>
      <c r="Q750" s="403"/>
      <c r="R750" s="404"/>
      <c r="S750" s="405"/>
      <c r="T750" s="401"/>
      <c r="U750" s="403"/>
      <c r="V750" s="404"/>
      <c r="W750" s="405"/>
      <c r="X750" s="401"/>
      <c r="Y750" s="403"/>
      <c r="Z750" s="404"/>
      <c r="AA750" s="405"/>
      <c r="AB750" s="401"/>
      <c r="AC750" s="403"/>
      <c r="AD750" s="404"/>
      <c r="AE750" s="405"/>
      <c r="AF750" s="401"/>
      <c r="AG750" s="292"/>
      <c r="AH750" s="292"/>
      <c r="AI750" s="292"/>
      <c r="AJ750" s="292"/>
      <c r="AK750" s="395"/>
      <c r="AL750" s="317"/>
      <c r="AM750" s="394"/>
      <c r="AN750" s="396"/>
      <c r="AO750" s="200"/>
      <c r="AP750" s="200"/>
    </row>
    <row r="751">
      <c r="A751" s="395"/>
      <c r="B751" s="317"/>
      <c r="C751" s="394"/>
      <c r="D751" s="396"/>
      <c r="E751" s="395"/>
      <c r="F751" s="317"/>
      <c r="G751" s="394"/>
      <c r="H751" s="396"/>
      <c r="I751" s="395"/>
      <c r="J751" s="317"/>
      <c r="K751" s="394"/>
      <c r="L751" s="396"/>
      <c r="M751" s="395"/>
      <c r="N751" s="317"/>
      <c r="O751" s="394"/>
      <c r="P751" s="396"/>
      <c r="Q751" s="403"/>
      <c r="R751" s="404"/>
      <c r="S751" s="405"/>
      <c r="T751" s="401"/>
      <c r="U751" s="403"/>
      <c r="V751" s="404"/>
      <c r="W751" s="405"/>
      <c r="X751" s="401"/>
      <c r="Y751" s="403"/>
      <c r="Z751" s="404"/>
      <c r="AA751" s="405"/>
      <c r="AB751" s="401"/>
      <c r="AC751" s="403"/>
      <c r="AD751" s="404"/>
      <c r="AE751" s="405"/>
      <c r="AF751" s="401"/>
      <c r="AG751" s="292"/>
      <c r="AH751" s="292"/>
      <c r="AI751" s="292"/>
      <c r="AJ751" s="292"/>
      <c r="AK751" s="395"/>
      <c r="AL751" s="317"/>
      <c r="AM751" s="394"/>
      <c r="AN751" s="396"/>
      <c r="AO751" s="200"/>
      <c r="AP751" s="200"/>
    </row>
    <row r="752">
      <c r="A752" s="395"/>
      <c r="B752" s="317"/>
      <c r="C752" s="394"/>
      <c r="D752" s="396"/>
      <c r="E752" s="395"/>
      <c r="F752" s="317"/>
      <c r="G752" s="394"/>
      <c r="H752" s="396"/>
      <c r="I752" s="395"/>
      <c r="J752" s="317"/>
      <c r="K752" s="394"/>
      <c r="L752" s="396"/>
      <c r="M752" s="395"/>
      <c r="N752" s="317"/>
      <c r="O752" s="394"/>
      <c r="P752" s="396"/>
      <c r="Q752" s="403"/>
      <c r="R752" s="404"/>
      <c r="S752" s="405"/>
      <c r="T752" s="401"/>
      <c r="U752" s="403"/>
      <c r="V752" s="404"/>
      <c r="W752" s="405"/>
      <c r="X752" s="401"/>
      <c r="Y752" s="403"/>
      <c r="Z752" s="404"/>
      <c r="AA752" s="405"/>
      <c r="AB752" s="401"/>
      <c r="AC752" s="403"/>
      <c r="AD752" s="404"/>
      <c r="AE752" s="405"/>
      <c r="AF752" s="401"/>
      <c r="AG752" s="292"/>
      <c r="AH752" s="292"/>
      <c r="AI752" s="292"/>
      <c r="AJ752" s="292"/>
      <c r="AK752" s="395"/>
      <c r="AL752" s="317"/>
      <c r="AM752" s="394"/>
      <c r="AN752" s="396"/>
      <c r="AO752" s="200"/>
      <c r="AP752" s="200"/>
    </row>
    <row r="753">
      <c r="A753" s="395"/>
      <c r="B753" s="317"/>
      <c r="C753" s="394"/>
      <c r="D753" s="396"/>
      <c r="E753" s="395"/>
      <c r="F753" s="317"/>
      <c r="G753" s="394"/>
      <c r="H753" s="396"/>
      <c r="I753" s="395"/>
      <c r="J753" s="317"/>
      <c r="K753" s="394"/>
      <c r="L753" s="396"/>
      <c r="M753" s="395"/>
      <c r="N753" s="317"/>
      <c r="O753" s="394"/>
      <c r="P753" s="396"/>
      <c r="Q753" s="403"/>
      <c r="R753" s="404"/>
      <c r="S753" s="405"/>
      <c r="T753" s="401"/>
      <c r="U753" s="403"/>
      <c r="V753" s="404"/>
      <c r="W753" s="405"/>
      <c r="X753" s="401"/>
      <c r="Y753" s="403"/>
      <c r="Z753" s="404"/>
      <c r="AA753" s="405"/>
      <c r="AB753" s="401"/>
      <c r="AC753" s="403"/>
      <c r="AD753" s="404"/>
      <c r="AE753" s="405"/>
      <c r="AF753" s="401"/>
      <c r="AG753" s="292"/>
      <c r="AH753" s="292"/>
      <c r="AI753" s="292"/>
      <c r="AJ753" s="292"/>
      <c r="AK753" s="395"/>
      <c r="AL753" s="317"/>
      <c r="AM753" s="394"/>
      <c r="AN753" s="396"/>
      <c r="AO753" s="200"/>
      <c r="AP753" s="200"/>
    </row>
    <row r="754">
      <c r="A754" s="395"/>
      <c r="B754" s="317"/>
      <c r="C754" s="394"/>
      <c r="D754" s="396"/>
      <c r="E754" s="395"/>
      <c r="F754" s="317"/>
      <c r="G754" s="394"/>
      <c r="H754" s="396"/>
      <c r="I754" s="395"/>
      <c r="J754" s="317"/>
      <c r="K754" s="394"/>
      <c r="L754" s="396"/>
      <c r="M754" s="395"/>
      <c r="N754" s="317"/>
      <c r="O754" s="394"/>
      <c r="P754" s="396"/>
      <c r="Q754" s="403"/>
      <c r="R754" s="404"/>
      <c r="S754" s="405"/>
      <c r="T754" s="401"/>
      <c r="U754" s="403"/>
      <c r="V754" s="404"/>
      <c r="W754" s="405"/>
      <c r="X754" s="401"/>
      <c r="Y754" s="403"/>
      <c r="Z754" s="404"/>
      <c r="AA754" s="405"/>
      <c r="AB754" s="401"/>
      <c r="AC754" s="403"/>
      <c r="AD754" s="404"/>
      <c r="AE754" s="405"/>
      <c r="AF754" s="401"/>
      <c r="AG754" s="292"/>
      <c r="AH754" s="292"/>
      <c r="AI754" s="292"/>
      <c r="AJ754" s="292"/>
      <c r="AK754" s="395"/>
      <c r="AL754" s="317"/>
      <c r="AM754" s="394"/>
      <c r="AN754" s="396"/>
      <c r="AO754" s="200"/>
      <c r="AP754" s="200"/>
    </row>
    <row r="755">
      <c r="A755" s="395"/>
      <c r="B755" s="317"/>
      <c r="C755" s="394"/>
      <c r="D755" s="396"/>
      <c r="E755" s="395"/>
      <c r="F755" s="317"/>
      <c r="G755" s="394"/>
      <c r="H755" s="396"/>
      <c r="I755" s="395"/>
      <c r="J755" s="317"/>
      <c r="K755" s="394"/>
      <c r="L755" s="396"/>
      <c r="M755" s="395"/>
      <c r="N755" s="317"/>
      <c r="O755" s="394"/>
      <c r="P755" s="396"/>
      <c r="Q755" s="403"/>
      <c r="R755" s="404"/>
      <c r="S755" s="405"/>
      <c r="T755" s="401"/>
      <c r="U755" s="403"/>
      <c r="V755" s="404"/>
      <c r="W755" s="405"/>
      <c r="X755" s="401"/>
      <c r="Y755" s="403"/>
      <c r="Z755" s="404"/>
      <c r="AA755" s="405"/>
      <c r="AB755" s="401"/>
      <c r="AC755" s="403"/>
      <c r="AD755" s="404"/>
      <c r="AE755" s="405"/>
      <c r="AF755" s="401"/>
      <c r="AG755" s="292"/>
      <c r="AH755" s="292"/>
      <c r="AI755" s="292"/>
      <c r="AJ755" s="292"/>
      <c r="AK755" s="395"/>
      <c r="AL755" s="317"/>
      <c r="AM755" s="394"/>
      <c r="AN755" s="396"/>
      <c r="AO755" s="200"/>
      <c r="AP755" s="200"/>
    </row>
    <row r="756">
      <c r="A756" s="395"/>
      <c r="B756" s="317"/>
      <c r="C756" s="394"/>
      <c r="D756" s="396"/>
      <c r="E756" s="395"/>
      <c r="F756" s="317"/>
      <c r="G756" s="394"/>
      <c r="H756" s="396"/>
      <c r="I756" s="395"/>
      <c r="J756" s="317"/>
      <c r="K756" s="394"/>
      <c r="L756" s="396"/>
      <c r="M756" s="395"/>
      <c r="N756" s="317"/>
      <c r="O756" s="394"/>
      <c r="P756" s="396"/>
      <c r="Q756" s="403"/>
      <c r="R756" s="404"/>
      <c r="S756" s="405"/>
      <c r="T756" s="401"/>
      <c r="U756" s="403"/>
      <c r="V756" s="404"/>
      <c r="W756" s="405"/>
      <c r="X756" s="401"/>
      <c r="Y756" s="403"/>
      <c r="Z756" s="404"/>
      <c r="AA756" s="405"/>
      <c r="AB756" s="401"/>
      <c r="AC756" s="403"/>
      <c r="AD756" s="404"/>
      <c r="AE756" s="405"/>
      <c r="AF756" s="401"/>
      <c r="AG756" s="292"/>
      <c r="AH756" s="292"/>
      <c r="AI756" s="292"/>
      <c r="AJ756" s="292"/>
      <c r="AK756" s="395"/>
      <c r="AL756" s="317"/>
      <c r="AM756" s="394"/>
      <c r="AN756" s="396"/>
      <c r="AO756" s="200"/>
      <c r="AP756" s="200"/>
    </row>
    <row r="757">
      <c r="A757" s="395"/>
      <c r="B757" s="317"/>
      <c r="C757" s="394"/>
      <c r="D757" s="396"/>
      <c r="E757" s="395"/>
      <c r="F757" s="317"/>
      <c r="G757" s="394"/>
      <c r="H757" s="396"/>
      <c r="I757" s="395"/>
      <c r="J757" s="317"/>
      <c r="K757" s="394"/>
      <c r="L757" s="396"/>
      <c r="M757" s="395"/>
      <c r="N757" s="317"/>
      <c r="O757" s="394"/>
      <c r="P757" s="396"/>
      <c r="Q757" s="403"/>
      <c r="R757" s="404"/>
      <c r="S757" s="405"/>
      <c r="T757" s="401"/>
      <c r="U757" s="403"/>
      <c r="V757" s="404"/>
      <c r="W757" s="405"/>
      <c r="X757" s="401"/>
      <c r="Y757" s="403"/>
      <c r="Z757" s="404"/>
      <c r="AA757" s="405"/>
      <c r="AB757" s="401"/>
      <c r="AC757" s="403"/>
      <c r="AD757" s="404"/>
      <c r="AE757" s="405"/>
      <c r="AF757" s="401"/>
      <c r="AG757" s="292"/>
      <c r="AH757" s="292"/>
      <c r="AI757" s="292"/>
      <c r="AJ757" s="292"/>
      <c r="AK757" s="395"/>
      <c r="AL757" s="317"/>
      <c r="AM757" s="394"/>
      <c r="AN757" s="396"/>
      <c r="AO757" s="200"/>
      <c r="AP757" s="200"/>
    </row>
    <row r="758">
      <c r="A758" s="395"/>
      <c r="B758" s="317"/>
      <c r="C758" s="394"/>
      <c r="D758" s="396"/>
      <c r="E758" s="395"/>
      <c r="F758" s="317"/>
      <c r="G758" s="394"/>
      <c r="H758" s="396"/>
      <c r="I758" s="395"/>
      <c r="J758" s="317"/>
      <c r="K758" s="394"/>
      <c r="L758" s="396"/>
      <c r="M758" s="395"/>
      <c r="N758" s="317"/>
      <c r="O758" s="394"/>
      <c r="P758" s="396"/>
      <c r="Q758" s="403"/>
      <c r="R758" s="404"/>
      <c r="S758" s="405"/>
      <c r="T758" s="401"/>
      <c r="U758" s="403"/>
      <c r="V758" s="404"/>
      <c r="W758" s="405"/>
      <c r="X758" s="401"/>
      <c r="Y758" s="403"/>
      <c r="Z758" s="404"/>
      <c r="AA758" s="405"/>
      <c r="AB758" s="401"/>
      <c r="AC758" s="403"/>
      <c r="AD758" s="404"/>
      <c r="AE758" s="405"/>
      <c r="AF758" s="401"/>
      <c r="AG758" s="292"/>
      <c r="AH758" s="292"/>
      <c r="AI758" s="292"/>
      <c r="AJ758" s="292"/>
      <c r="AK758" s="395"/>
      <c r="AL758" s="317"/>
      <c r="AM758" s="394"/>
      <c r="AN758" s="396"/>
      <c r="AO758" s="200"/>
      <c r="AP758" s="200"/>
    </row>
    <row r="759">
      <c r="A759" s="395"/>
      <c r="B759" s="317"/>
      <c r="C759" s="394"/>
      <c r="D759" s="396"/>
      <c r="E759" s="395"/>
      <c r="F759" s="317"/>
      <c r="G759" s="394"/>
      <c r="H759" s="396"/>
      <c r="I759" s="395"/>
      <c r="J759" s="317"/>
      <c r="K759" s="394"/>
      <c r="L759" s="396"/>
      <c r="M759" s="395"/>
      <c r="N759" s="317"/>
      <c r="O759" s="394"/>
      <c r="P759" s="396"/>
      <c r="Q759" s="403"/>
      <c r="R759" s="404"/>
      <c r="S759" s="405"/>
      <c r="T759" s="401"/>
      <c r="U759" s="403"/>
      <c r="V759" s="404"/>
      <c r="W759" s="405"/>
      <c r="X759" s="401"/>
      <c r="Y759" s="403"/>
      <c r="Z759" s="404"/>
      <c r="AA759" s="405"/>
      <c r="AB759" s="401"/>
      <c r="AC759" s="403"/>
      <c r="AD759" s="404"/>
      <c r="AE759" s="405"/>
      <c r="AF759" s="401"/>
      <c r="AG759" s="292"/>
      <c r="AH759" s="292"/>
      <c r="AI759" s="292"/>
      <c r="AJ759" s="292"/>
      <c r="AK759" s="395"/>
      <c r="AL759" s="317"/>
      <c r="AM759" s="394"/>
      <c r="AN759" s="396"/>
      <c r="AO759" s="200"/>
      <c r="AP759" s="200"/>
    </row>
    <row r="760">
      <c r="A760" s="395"/>
      <c r="B760" s="317"/>
      <c r="C760" s="394"/>
      <c r="D760" s="396"/>
      <c r="E760" s="395"/>
      <c r="F760" s="317"/>
      <c r="G760" s="394"/>
      <c r="H760" s="396"/>
      <c r="I760" s="395"/>
      <c r="J760" s="317"/>
      <c r="K760" s="394"/>
      <c r="L760" s="396"/>
      <c r="M760" s="395"/>
      <c r="N760" s="317"/>
      <c r="O760" s="394"/>
      <c r="P760" s="396"/>
      <c r="Q760" s="403"/>
      <c r="R760" s="404"/>
      <c r="S760" s="405"/>
      <c r="T760" s="401"/>
      <c r="U760" s="403"/>
      <c r="V760" s="404"/>
      <c r="W760" s="405"/>
      <c r="X760" s="401"/>
      <c r="Y760" s="403"/>
      <c r="Z760" s="404"/>
      <c r="AA760" s="405"/>
      <c r="AB760" s="401"/>
      <c r="AC760" s="403"/>
      <c r="AD760" s="404"/>
      <c r="AE760" s="405"/>
      <c r="AF760" s="401"/>
      <c r="AG760" s="292"/>
      <c r="AH760" s="292"/>
      <c r="AI760" s="292"/>
      <c r="AJ760" s="292"/>
      <c r="AK760" s="395"/>
      <c r="AL760" s="317"/>
      <c r="AM760" s="394"/>
      <c r="AN760" s="396"/>
      <c r="AO760" s="200"/>
      <c r="AP760" s="200"/>
    </row>
    <row r="761">
      <c r="A761" s="395"/>
      <c r="B761" s="317"/>
      <c r="C761" s="394"/>
      <c r="D761" s="396"/>
      <c r="E761" s="395"/>
      <c r="F761" s="317"/>
      <c r="G761" s="394"/>
      <c r="H761" s="396"/>
      <c r="I761" s="395"/>
      <c r="J761" s="317"/>
      <c r="K761" s="394"/>
      <c r="L761" s="396"/>
      <c r="M761" s="395"/>
      <c r="N761" s="317"/>
      <c r="O761" s="394"/>
      <c r="P761" s="396"/>
      <c r="Q761" s="403"/>
      <c r="R761" s="404"/>
      <c r="S761" s="405"/>
      <c r="T761" s="401"/>
      <c r="U761" s="403"/>
      <c r="V761" s="404"/>
      <c r="W761" s="405"/>
      <c r="X761" s="401"/>
      <c r="Y761" s="403"/>
      <c r="Z761" s="404"/>
      <c r="AA761" s="405"/>
      <c r="AB761" s="401"/>
      <c r="AC761" s="403"/>
      <c r="AD761" s="404"/>
      <c r="AE761" s="405"/>
      <c r="AF761" s="401"/>
      <c r="AG761" s="292"/>
      <c r="AH761" s="292"/>
      <c r="AI761" s="292"/>
      <c r="AJ761" s="292"/>
      <c r="AK761" s="395"/>
      <c r="AL761" s="317"/>
      <c r="AM761" s="394"/>
      <c r="AN761" s="396"/>
      <c r="AO761" s="200"/>
      <c r="AP761" s="200"/>
    </row>
    <row r="762">
      <c r="A762" s="395"/>
      <c r="B762" s="317"/>
      <c r="C762" s="394"/>
      <c r="D762" s="396"/>
      <c r="E762" s="395"/>
      <c r="F762" s="317"/>
      <c r="G762" s="394"/>
      <c r="H762" s="396"/>
      <c r="I762" s="395"/>
      <c r="J762" s="317"/>
      <c r="K762" s="394"/>
      <c r="L762" s="396"/>
      <c r="M762" s="395"/>
      <c r="N762" s="317"/>
      <c r="O762" s="394"/>
      <c r="P762" s="396"/>
      <c r="Q762" s="403"/>
      <c r="R762" s="404"/>
      <c r="S762" s="405"/>
      <c r="T762" s="401"/>
      <c r="U762" s="403"/>
      <c r="V762" s="404"/>
      <c r="W762" s="405"/>
      <c r="X762" s="401"/>
      <c r="Y762" s="403"/>
      <c r="Z762" s="404"/>
      <c r="AA762" s="405"/>
      <c r="AB762" s="401"/>
      <c r="AC762" s="403"/>
      <c r="AD762" s="404"/>
      <c r="AE762" s="405"/>
      <c r="AF762" s="401"/>
      <c r="AG762" s="292"/>
      <c r="AH762" s="292"/>
      <c r="AI762" s="292"/>
      <c r="AJ762" s="292"/>
      <c r="AK762" s="395"/>
      <c r="AL762" s="317"/>
      <c r="AM762" s="394"/>
      <c r="AN762" s="396"/>
      <c r="AO762" s="200"/>
      <c r="AP762" s="200"/>
    </row>
    <row r="763">
      <c r="A763" s="395"/>
      <c r="B763" s="317"/>
      <c r="C763" s="394"/>
      <c r="D763" s="396"/>
      <c r="E763" s="395"/>
      <c r="F763" s="317"/>
      <c r="G763" s="394"/>
      <c r="H763" s="396"/>
      <c r="I763" s="395"/>
      <c r="J763" s="317"/>
      <c r="K763" s="394"/>
      <c r="L763" s="396"/>
      <c r="M763" s="395"/>
      <c r="N763" s="317"/>
      <c r="O763" s="394"/>
      <c r="P763" s="396"/>
      <c r="Q763" s="403"/>
      <c r="R763" s="404"/>
      <c r="S763" s="405"/>
      <c r="T763" s="401"/>
      <c r="U763" s="403"/>
      <c r="V763" s="404"/>
      <c r="W763" s="405"/>
      <c r="X763" s="401"/>
      <c r="Y763" s="403"/>
      <c r="Z763" s="404"/>
      <c r="AA763" s="405"/>
      <c r="AB763" s="401"/>
      <c r="AC763" s="403"/>
      <c r="AD763" s="404"/>
      <c r="AE763" s="405"/>
      <c r="AF763" s="401"/>
      <c r="AG763" s="292"/>
      <c r="AH763" s="292"/>
      <c r="AI763" s="292"/>
      <c r="AJ763" s="292"/>
      <c r="AK763" s="395"/>
      <c r="AL763" s="317"/>
      <c r="AM763" s="394"/>
      <c r="AN763" s="396"/>
      <c r="AO763" s="200"/>
      <c r="AP763" s="200"/>
    </row>
    <row r="764">
      <c r="A764" s="395"/>
      <c r="B764" s="317"/>
      <c r="C764" s="394"/>
      <c r="D764" s="396"/>
      <c r="E764" s="395"/>
      <c r="F764" s="317"/>
      <c r="G764" s="394"/>
      <c r="H764" s="396"/>
      <c r="I764" s="395"/>
      <c r="J764" s="317"/>
      <c r="K764" s="394"/>
      <c r="L764" s="396"/>
      <c r="M764" s="395"/>
      <c r="N764" s="317"/>
      <c r="O764" s="394"/>
      <c r="P764" s="396"/>
      <c r="Q764" s="403"/>
      <c r="R764" s="404"/>
      <c r="S764" s="405"/>
      <c r="T764" s="401"/>
      <c r="U764" s="403"/>
      <c r="V764" s="404"/>
      <c r="W764" s="405"/>
      <c r="X764" s="401"/>
      <c r="Y764" s="403"/>
      <c r="Z764" s="404"/>
      <c r="AA764" s="405"/>
      <c r="AB764" s="401"/>
      <c r="AC764" s="403"/>
      <c r="AD764" s="404"/>
      <c r="AE764" s="405"/>
      <c r="AF764" s="401"/>
      <c r="AG764" s="292"/>
      <c r="AH764" s="292"/>
      <c r="AI764" s="292"/>
      <c r="AJ764" s="292"/>
      <c r="AK764" s="395"/>
      <c r="AL764" s="317"/>
      <c r="AM764" s="394"/>
      <c r="AN764" s="396"/>
      <c r="AO764" s="200"/>
      <c r="AP764" s="200"/>
    </row>
    <row r="765">
      <c r="A765" s="395"/>
      <c r="B765" s="317"/>
      <c r="C765" s="394"/>
      <c r="D765" s="396"/>
      <c r="E765" s="395"/>
      <c r="F765" s="317"/>
      <c r="G765" s="394"/>
      <c r="H765" s="396"/>
      <c r="I765" s="395"/>
      <c r="J765" s="317"/>
      <c r="K765" s="394"/>
      <c r="L765" s="396"/>
      <c r="M765" s="395"/>
      <c r="N765" s="317"/>
      <c r="O765" s="394"/>
      <c r="P765" s="396"/>
      <c r="Q765" s="403"/>
      <c r="R765" s="404"/>
      <c r="S765" s="405"/>
      <c r="T765" s="401"/>
      <c r="U765" s="403"/>
      <c r="V765" s="404"/>
      <c r="W765" s="405"/>
      <c r="X765" s="401"/>
      <c r="Y765" s="403"/>
      <c r="Z765" s="404"/>
      <c r="AA765" s="405"/>
      <c r="AB765" s="401"/>
      <c r="AC765" s="403"/>
      <c r="AD765" s="404"/>
      <c r="AE765" s="405"/>
      <c r="AF765" s="401"/>
      <c r="AG765" s="292"/>
      <c r="AH765" s="292"/>
      <c r="AI765" s="292"/>
      <c r="AJ765" s="292"/>
      <c r="AK765" s="395"/>
      <c r="AL765" s="317"/>
      <c r="AM765" s="394"/>
      <c r="AN765" s="396"/>
      <c r="AO765" s="200"/>
      <c r="AP765" s="200"/>
    </row>
    <row r="766">
      <c r="A766" s="395"/>
      <c r="B766" s="317"/>
      <c r="C766" s="394"/>
      <c r="D766" s="396"/>
      <c r="E766" s="395"/>
      <c r="F766" s="317"/>
      <c r="G766" s="394"/>
      <c r="H766" s="396"/>
      <c r="I766" s="395"/>
      <c r="J766" s="317"/>
      <c r="K766" s="394"/>
      <c r="L766" s="396"/>
      <c r="M766" s="395"/>
      <c r="N766" s="317"/>
      <c r="O766" s="394"/>
      <c r="P766" s="396"/>
      <c r="Q766" s="403"/>
      <c r="R766" s="404"/>
      <c r="S766" s="405"/>
      <c r="T766" s="401"/>
      <c r="U766" s="403"/>
      <c r="V766" s="404"/>
      <c r="W766" s="405"/>
      <c r="X766" s="401"/>
      <c r="Y766" s="403"/>
      <c r="Z766" s="404"/>
      <c r="AA766" s="405"/>
      <c r="AB766" s="401"/>
      <c r="AC766" s="403"/>
      <c r="AD766" s="404"/>
      <c r="AE766" s="405"/>
      <c r="AF766" s="401"/>
      <c r="AG766" s="292"/>
      <c r="AH766" s="292"/>
      <c r="AI766" s="292"/>
      <c r="AJ766" s="292"/>
      <c r="AK766" s="395"/>
      <c r="AL766" s="317"/>
      <c r="AM766" s="394"/>
      <c r="AN766" s="396"/>
      <c r="AO766" s="200"/>
      <c r="AP766" s="200"/>
    </row>
    <row r="767">
      <c r="A767" s="395"/>
      <c r="B767" s="317"/>
      <c r="C767" s="394"/>
      <c r="D767" s="396"/>
      <c r="E767" s="395"/>
      <c r="F767" s="317"/>
      <c r="G767" s="394"/>
      <c r="H767" s="396"/>
      <c r="I767" s="395"/>
      <c r="J767" s="317"/>
      <c r="K767" s="394"/>
      <c r="L767" s="396"/>
      <c r="M767" s="395"/>
      <c r="N767" s="317"/>
      <c r="O767" s="394"/>
      <c r="P767" s="396"/>
      <c r="Q767" s="403"/>
      <c r="R767" s="404"/>
      <c r="S767" s="405"/>
      <c r="T767" s="401"/>
      <c r="U767" s="403"/>
      <c r="V767" s="404"/>
      <c r="W767" s="405"/>
      <c r="X767" s="401"/>
      <c r="Y767" s="403"/>
      <c r="Z767" s="404"/>
      <c r="AA767" s="405"/>
      <c r="AB767" s="401"/>
      <c r="AC767" s="403"/>
      <c r="AD767" s="404"/>
      <c r="AE767" s="405"/>
      <c r="AF767" s="401"/>
      <c r="AG767" s="292"/>
      <c r="AH767" s="292"/>
      <c r="AI767" s="292"/>
      <c r="AJ767" s="292"/>
      <c r="AK767" s="395"/>
      <c r="AL767" s="317"/>
      <c r="AM767" s="394"/>
      <c r="AN767" s="396"/>
      <c r="AO767" s="200"/>
      <c r="AP767" s="200"/>
    </row>
    <row r="768">
      <c r="A768" s="395"/>
      <c r="B768" s="317"/>
      <c r="C768" s="394"/>
      <c r="D768" s="396"/>
      <c r="E768" s="395"/>
      <c r="F768" s="317"/>
      <c r="G768" s="394"/>
      <c r="H768" s="396"/>
      <c r="I768" s="395"/>
      <c r="J768" s="317"/>
      <c r="K768" s="394"/>
      <c r="L768" s="396"/>
      <c r="M768" s="395"/>
      <c r="N768" s="317"/>
      <c r="O768" s="394"/>
      <c r="P768" s="396"/>
      <c r="Q768" s="403"/>
      <c r="R768" s="404"/>
      <c r="S768" s="405"/>
      <c r="T768" s="401"/>
      <c r="U768" s="403"/>
      <c r="V768" s="404"/>
      <c r="W768" s="405"/>
      <c r="X768" s="401"/>
      <c r="Y768" s="403"/>
      <c r="Z768" s="404"/>
      <c r="AA768" s="405"/>
      <c r="AB768" s="401"/>
      <c r="AC768" s="403"/>
      <c r="AD768" s="404"/>
      <c r="AE768" s="405"/>
      <c r="AF768" s="401"/>
      <c r="AG768" s="292"/>
      <c r="AH768" s="292"/>
      <c r="AI768" s="292"/>
      <c r="AJ768" s="292"/>
      <c r="AK768" s="395"/>
      <c r="AL768" s="317"/>
      <c r="AM768" s="394"/>
      <c r="AN768" s="396"/>
      <c r="AO768" s="200"/>
      <c r="AP768" s="200"/>
    </row>
    <row r="769">
      <c r="A769" s="395"/>
      <c r="B769" s="317"/>
      <c r="C769" s="394"/>
      <c r="D769" s="396"/>
      <c r="E769" s="395"/>
      <c r="F769" s="317"/>
      <c r="G769" s="394"/>
      <c r="H769" s="396"/>
      <c r="I769" s="395"/>
      <c r="J769" s="317"/>
      <c r="K769" s="394"/>
      <c r="L769" s="396"/>
      <c r="M769" s="395"/>
      <c r="N769" s="317"/>
      <c r="O769" s="394"/>
      <c r="P769" s="396"/>
      <c r="Q769" s="403"/>
      <c r="R769" s="404"/>
      <c r="S769" s="405"/>
      <c r="T769" s="401"/>
      <c r="U769" s="403"/>
      <c r="V769" s="404"/>
      <c r="W769" s="405"/>
      <c r="X769" s="401"/>
      <c r="Y769" s="403"/>
      <c r="Z769" s="404"/>
      <c r="AA769" s="405"/>
      <c r="AB769" s="401"/>
      <c r="AC769" s="403"/>
      <c r="AD769" s="404"/>
      <c r="AE769" s="405"/>
      <c r="AF769" s="401"/>
      <c r="AG769" s="292"/>
      <c r="AH769" s="292"/>
      <c r="AI769" s="292"/>
      <c r="AJ769" s="292"/>
      <c r="AK769" s="395"/>
      <c r="AL769" s="317"/>
      <c r="AM769" s="394"/>
      <c r="AN769" s="396"/>
      <c r="AO769" s="200"/>
      <c r="AP769" s="200"/>
    </row>
    <row r="770">
      <c r="A770" s="395"/>
      <c r="B770" s="317"/>
      <c r="C770" s="394"/>
      <c r="D770" s="396"/>
      <c r="E770" s="395"/>
      <c r="F770" s="317"/>
      <c r="G770" s="394"/>
      <c r="H770" s="396"/>
      <c r="I770" s="395"/>
      <c r="J770" s="317"/>
      <c r="K770" s="394"/>
      <c r="L770" s="396"/>
      <c r="M770" s="395"/>
      <c r="N770" s="317"/>
      <c r="O770" s="394"/>
      <c r="P770" s="396"/>
      <c r="Q770" s="403"/>
      <c r="R770" s="404"/>
      <c r="S770" s="405"/>
      <c r="T770" s="401"/>
      <c r="U770" s="403"/>
      <c r="V770" s="404"/>
      <c r="W770" s="405"/>
      <c r="X770" s="401"/>
      <c r="Y770" s="403"/>
      <c r="Z770" s="404"/>
      <c r="AA770" s="405"/>
      <c r="AB770" s="401"/>
      <c r="AC770" s="403"/>
      <c r="AD770" s="404"/>
      <c r="AE770" s="405"/>
      <c r="AF770" s="401"/>
      <c r="AG770" s="292"/>
      <c r="AH770" s="292"/>
      <c r="AI770" s="292"/>
      <c r="AJ770" s="292"/>
      <c r="AK770" s="395"/>
      <c r="AL770" s="317"/>
      <c r="AM770" s="394"/>
      <c r="AN770" s="396"/>
      <c r="AO770" s="200"/>
      <c r="AP770" s="200"/>
    </row>
    <row r="771">
      <c r="A771" s="395"/>
      <c r="B771" s="317"/>
      <c r="C771" s="394"/>
      <c r="D771" s="396"/>
      <c r="E771" s="395"/>
      <c r="F771" s="317"/>
      <c r="G771" s="394"/>
      <c r="H771" s="396"/>
      <c r="I771" s="395"/>
      <c r="J771" s="317"/>
      <c r="K771" s="394"/>
      <c r="L771" s="396"/>
      <c r="M771" s="395"/>
      <c r="N771" s="317"/>
      <c r="O771" s="394"/>
      <c r="P771" s="396"/>
      <c r="Q771" s="403"/>
      <c r="R771" s="404"/>
      <c r="S771" s="405"/>
      <c r="T771" s="401"/>
      <c r="U771" s="403"/>
      <c r="V771" s="404"/>
      <c r="W771" s="405"/>
      <c r="X771" s="401"/>
      <c r="Y771" s="403"/>
      <c r="Z771" s="404"/>
      <c r="AA771" s="405"/>
      <c r="AB771" s="401"/>
      <c r="AC771" s="403"/>
      <c r="AD771" s="404"/>
      <c r="AE771" s="405"/>
      <c r="AF771" s="401"/>
      <c r="AG771" s="292"/>
      <c r="AH771" s="292"/>
      <c r="AI771" s="292"/>
      <c r="AJ771" s="292"/>
      <c r="AK771" s="395"/>
      <c r="AL771" s="317"/>
      <c r="AM771" s="394"/>
      <c r="AN771" s="396"/>
      <c r="AO771" s="200"/>
      <c r="AP771" s="200"/>
    </row>
    <row r="772">
      <c r="A772" s="395"/>
      <c r="B772" s="317"/>
      <c r="C772" s="394"/>
      <c r="D772" s="396"/>
      <c r="E772" s="395"/>
      <c r="F772" s="317"/>
      <c r="G772" s="394"/>
      <c r="H772" s="396"/>
      <c r="I772" s="395"/>
      <c r="J772" s="317"/>
      <c r="K772" s="394"/>
      <c r="L772" s="396"/>
      <c r="M772" s="395"/>
      <c r="N772" s="317"/>
      <c r="O772" s="394"/>
      <c r="P772" s="396"/>
      <c r="Q772" s="403"/>
      <c r="R772" s="404"/>
      <c r="S772" s="405"/>
      <c r="T772" s="401"/>
      <c r="U772" s="403"/>
      <c r="V772" s="404"/>
      <c r="W772" s="405"/>
      <c r="X772" s="401"/>
      <c r="Y772" s="403"/>
      <c r="Z772" s="404"/>
      <c r="AA772" s="405"/>
      <c r="AB772" s="401"/>
      <c r="AC772" s="403"/>
      <c r="AD772" s="404"/>
      <c r="AE772" s="405"/>
      <c r="AF772" s="401"/>
      <c r="AG772" s="292"/>
      <c r="AH772" s="292"/>
      <c r="AI772" s="292"/>
      <c r="AJ772" s="292"/>
      <c r="AK772" s="395"/>
      <c r="AL772" s="317"/>
      <c r="AM772" s="394"/>
      <c r="AN772" s="396"/>
      <c r="AO772" s="200"/>
      <c r="AP772" s="200"/>
    </row>
    <row r="773">
      <c r="A773" s="395"/>
      <c r="B773" s="317"/>
      <c r="C773" s="394"/>
      <c r="D773" s="396"/>
      <c r="E773" s="395"/>
      <c r="F773" s="317"/>
      <c r="G773" s="394"/>
      <c r="H773" s="396"/>
      <c r="I773" s="395"/>
      <c r="J773" s="317"/>
      <c r="K773" s="394"/>
      <c r="L773" s="396"/>
      <c r="M773" s="395"/>
      <c r="N773" s="317"/>
      <c r="O773" s="394"/>
      <c r="P773" s="396"/>
      <c r="Q773" s="403"/>
      <c r="R773" s="404"/>
      <c r="S773" s="405"/>
      <c r="T773" s="401"/>
      <c r="U773" s="403"/>
      <c r="V773" s="404"/>
      <c r="W773" s="405"/>
      <c r="X773" s="401"/>
      <c r="Y773" s="403"/>
      <c r="Z773" s="404"/>
      <c r="AA773" s="405"/>
      <c r="AB773" s="401"/>
      <c r="AC773" s="403"/>
      <c r="AD773" s="404"/>
      <c r="AE773" s="405"/>
      <c r="AF773" s="401"/>
      <c r="AG773" s="292"/>
      <c r="AH773" s="292"/>
      <c r="AI773" s="292"/>
      <c r="AJ773" s="292"/>
      <c r="AK773" s="395"/>
      <c r="AL773" s="317"/>
      <c r="AM773" s="394"/>
      <c r="AN773" s="396"/>
      <c r="AO773" s="200"/>
      <c r="AP773" s="200"/>
    </row>
    <row r="774">
      <c r="A774" s="395"/>
      <c r="B774" s="317"/>
      <c r="C774" s="394"/>
      <c r="D774" s="396"/>
      <c r="E774" s="395"/>
      <c r="F774" s="317"/>
      <c r="G774" s="394"/>
      <c r="H774" s="396"/>
      <c r="I774" s="395"/>
      <c r="J774" s="317"/>
      <c r="K774" s="394"/>
      <c r="L774" s="396"/>
      <c r="M774" s="395"/>
      <c r="N774" s="317"/>
      <c r="O774" s="394"/>
      <c r="P774" s="396"/>
      <c r="Q774" s="403"/>
      <c r="R774" s="404"/>
      <c r="S774" s="405"/>
      <c r="T774" s="401"/>
      <c r="U774" s="403"/>
      <c r="V774" s="404"/>
      <c r="W774" s="405"/>
      <c r="X774" s="401"/>
      <c r="Y774" s="403"/>
      <c r="Z774" s="404"/>
      <c r="AA774" s="405"/>
      <c r="AB774" s="401"/>
      <c r="AC774" s="403"/>
      <c r="AD774" s="404"/>
      <c r="AE774" s="405"/>
      <c r="AF774" s="401"/>
      <c r="AG774" s="292"/>
      <c r="AH774" s="292"/>
      <c r="AI774" s="292"/>
      <c r="AJ774" s="292"/>
      <c r="AK774" s="395"/>
      <c r="AL774" s="317"/>
      <c r="AM774" s="394"/>
      <c r="AN774" s="396"/>
      <c r="AO774" s="200"/>
      <c r="AP774" s="200"/>
    </row>
    <row r="775">
      <c r="A775" s="395"/>
      <c r="B775" s="317"/>
      <c r="C775" s="394"/>
      <c r="D775" s="396"/>
      <c r="E775" s="395"/>
      <c r="F775" s="317"/>
      <c r="G775" s="394"/>
      <c r="H775" s="396"/>
      <c r="I775" s="395"/>
      <c r="J775" s="317"/>
      <c r="K775" s="394"/>
      <c r="L775" s="396"/>
      <c r="M775" s="395"/>
      <c r="N775" s="317"/>
      <c r="O775" s="394"/>
      <c r="P775" s="396"/>
      <c r="Q775" s="403"/>
      <c r="R775" s="404"/>
      <c r="S775" s="405"/>
      <c r="T775" s="401"/>
      <c r="U775" s="403"/>
      <c r="V775" s="404"/>
      <c r="W775" s="405"/>
      <c r="X775" s="401"/>
      <c r="Y775" s="403"/>
      <c r="Z775" s="404"/>
      <c r="AA775" s="405"/>
      <c r="AB775" s="401"/>
      <c r="AC775" s="403"/>
      <c r="AD775" s="404"/>
      <c r="AE775" s="405"/>
      <c r="AF775" s="401"/>
      <c r="AG775" s="292"/>
      <c r="AH775" s="292"/>
      <c r="AI775" s="292"/>
      <c r="AJ775" s="292"/>
      <c r="AK775" s="395"/>
      <c r="AL775" s="317"/>
      <c r="AM775" s="394"/>
      <c r="AN775" s="396"/>
      <c r="AO775" s="200"/>
      <c r="AP775" s="200"/>
    </row>
    <row r="776">
      <c r="A776" s="395"/>
      <c r="B776" s="317"/>
      <c r="C776" s="394"/>
      <c r="D776" s="396"/>
      <c r="E776" s="395"/>
      <c r="F776" s="317"/>
      <c r="G776" s="394"/>
      <c r="H776" s="396"/>
      <c r="I776" s="395"/>
      <c r="J776" s="317"/>
      <c r="K776" s="394"/>
      <c r="L776" s="396"/>
      <c r="M776" s="395"/>
      <c r="N776" s="317"/>
      <c r="O776" s="394"/>
      <c r="P776" s="396"/>
      <c r="Q776" s="403"/>
      <c r="R776" s="404"/>
      <c r="S776" s="405"/>
      <c r="T776" s="401"/>
      <c r="U776" s="403"/>
      <c r="V776" s="404"/>
      <c r="W776" s="405"/>
      <c r="X776" s="401"/>
      <c r="Y776" s="403"/>
      <c r="Z776" s="404"/>
      <c r="AA776" s="405"/>
      <c r="AB776" s="401"/>
      <c r="AC776" s="403"/>
      <c r="AD776" s="404"/>
      <c r="AE776" s="405"/>
      <c r="AF776" s="401"/>
      <c r="AG776" s="292"/>
      <c r="AH776" s="292"/>
      <c r="AI776" s="292"/>
      <c r="AJ776" s="292"/>
      <c r="AK776" s="395"/>
      <c r="AL776" s="317"/>
      <c r="AM776" s="394"/>
      <c r="AN776" s="396"/>
      <c r="AO776" s="200"/>
      <c r="AP776" s="200"/>
    </row>
    <row r="777">
      <c r="A777" s="395"/>
      <c r="B777" s="317"/>
      <c r="C777" s="394"/>
      <c r="D777" s="396"/>
      <c r="E777" s="395"/>
      <c r="F777" s="317"/>
      <c r="G777" s="394"/>
      <c r="H777" s="396"/>
      <c r="I777" s="395"/>
      <c r="J777" s="317"/>
      <c r="K777" s="394"/>
      <c r="L777" s="396"/>
      <c r="M777" s="395"/>
      <c r="N777" s="317"/>
      <c r="O777" s="394"/>
      <c r="P777" s="396"/>
      <c r="Q777" s="403"/>
      <c r="R777" s="404"/>
      <c r="S777" s="405"/>
      <c r="T777" s="401"/>
      <c r="U777" s="403"/>
      <c r="V777" s="404"/>
      <c r="W777" s="405"/>
      <c r="X777" s="401"/>
      <c r="Y777" s="403"/>
      <c r="Z777" s="404"/>
      <c r="AA777" s="405"/>
      <c r="AB777" s="401"/>
      <c r="AC777" s="403"/>
      <c r="AD777" s="404"/>
      <c r="AE777" s="405"/>
      <c r="AF777" s="401"/>
      <c r="AG777" s="292"/>
      <c r="AH777" s="292"/>
      <c r="AI777" s="292"/>
      <c r="AJ777" s="292"/>
      <c r="AK777" s="395"/>
      <c r="AL777" s="317"/>
      <c r="AM777" s="394"/>
      <c r="AN777" s="396"/>
      <c r="AO777" s="200"/>
      <c r="AP777" s="200"/>
    </row>
    <row r="778">
      <c r="A778" s="395"/>
      <c r="B778" s="317"/>
      <c r="C778" s="394"/>
      <c r="D778" s="396"/>
      <c r="E778" s="395"/>
      <c r="F778" s="317"/>
      <c r="G778" s="394"/>
      <c r="H778" s="396"/>
      <c r="I778" s="395"/>
      <c r="J778" s="317"/>
      <c r="K778" s="394"/>
      <c r="L778" s="396"/>
      <c r="M778" s="395"/>
      <c r="N778" s="317"/>
      <c r="O778" s="394"/>
      <c r="P778" s="396"/>
      <c r="Q778" s="403"/>
      <c r="R778" s="404"/>
      <c r="S778" s="405"/>
      <c r="T778" s="401"/>
      <c r="U778" s="403"/>
      <c r="V778" s="404"/>
      <c r="W778" s="405"/>
      <c r="X778" s="401"/>
      <c r="Y778" s="403"/>
      <c r="Z778" s="404"/>
      <c r="AA778" s="405"/>
      <c r="AB778" s="401"/>
      <c r="AC778" s="403"/>
      <c r="AD778" s="404"/>
      <c r="AE778" s="405"/>
      <c r="AF778" s="401"/>
      <c r="AG778" s="292"/>
      <c r="AH778" s="292"/>
      <c r="AI778" s="292"/>
      <c r="AJ778" s="292"/>
      <c r="AK778" s="395"/>
      <c r="AL778" s="317"/>
      <c r="AM778" s="394"/>
      <c r="AN778" s="396"/>
      <c r="AO778" s="200"/>
      <c r="AP778" s="200"/>
    </row>
    <row r="779">
      <c r="A779" s="395"/>
      <c r="B779" s="317"/>
      <c r="C779" s="394"/>
      <c r="D779" s="396"/>
      <c r="E779" s="395"/>
      <c r="F779" s="317"/>
      <c r="G779" s="394"/>
      <c r="H779" s="396"/>
      <c r="I779" s="395"/>
      <c r="J779" s="317"/>
      <c r="K779" s="394"/>
      <c r="L779" s="396"/>
      <c r="M779" s="395"/>
      <c r="N779" s="317"/>
      <c r="O779" s="394"/>
      <c r="P779" s="396"/>
      <c r="Q779" s="403"/>
      <c r="R779" s="404"/>
      <c r="S779" s="405"/>
      <c r="T779" s="401"/>
      <c r="U779" s="403"/>
      <c r="V779" s="404"/>
      <c r="W779" s="405"/>
      <c r="X779" s="401"/>
      <c r="Y779" s="403"/>
      <c r="Z779" s="404"/>
      <c r="AA779" s="405"/>
      <c r="AB779" s="401"/>
      <c r="AC779" s="403"/>
      <c r="AD779" s="404"/>
      <c r="AE779" s="405"/>
      <c r="AF779" s="401"/>
      <c r="AG779" s="292"/>
      <c r="AH779" s="292"/>
      <c r="AI779" s="292"/>
      <c r="AJ779" s="292"/>
      <c r="AK779" s="395"/>
      <c r="AL779" s="317"/>
      <c r="AM779" s="394"/>
      <c r="AN779" s="396"/>
      <c r="AO779" s="200"/>
      <c r="AP779" s="200"/>
    </row>
    <row r="780">
      <c r="A780" s="395"/>
      <c r="B780" s="317"/>
      <c r="C780" s="394"/>
      <c r="D780" s="396"/>
      <c r="E780" s="395"/>
      <c r="F780" s="317"/>
      <c r="G780" s="394"/>
      <c r="H780" s="396"/>
      <c r="I780" s="395"/>
      <c r="J780" s="317"/>
      <c r="K780" s="394"/>
      <c r="L780" s="396"/>
      <c r="M780" s="395"/>
      <c r="N780" s="317"/>
      <c r="O780" s="394"/>
      <c r="P780" s="396"/>
      <c r="Q780" s="403"/>
      <c r="R780" s="404"/>
      <c r="S780" s="405"/>
      <c r="T780" s="401"/>
      <c r="U780" s="403"/>
      <c r="V780" s="404"/>
      <c r="W780" s="405"/>
      <c r="X780" s="401"/>
      <c r="Y780" s="403"/>
      <c r="Z780" s="404"/>
      <c r="AA780" s="405"/>
      <c r="AB780" s="401"/>
      <c r="AC780" s="403"/>
      <c r="AD780" s="404"/>
      <c r="AE780" s="405"/>
      <c r="AF780" s="401"/>
      <c r="AG780" s="292"/>
      <c r="AH780" s="292"/>
      <c r="AI780" s="292"/>
      <c r="AJ780" s="292"/>
      <c r="AK780" s="395"/>
      <c r="AL780" s="317"/>
      <c r="AM780" s="394"/>
      <c r="AN780" s="396"/>
      <c r="AO780" s="200"/>
      <c r="AP780" s="200"/>
    </row>
    <row r="781">
      <c r="A781" s="395"/>
      <c r="B781" s="317"/>
      <c r="C781" s="394"/>
      <c r="D781" s="396"/>
      <c r="E781" s="395"/>
      <c r="F781" s="317"/>
      <c r="G781" s="394"/>
      <c r="H781" s="396"/>
      <c r="I781" s="395"/>
      <c r="J781" s="317"/>
      <c r="K781" s="394"/>
      <c r="L781" s="396"/>
      <c r="M781" s="395"/>
      <c r="N781" s="317"/>
      <c r="O781" s="394"/>
      <c r="P781" s="396"/>
      <c r="Q781" s="403"/>
      <c r="R781" s="404"/>
      <c r="S781" s="405"/>
      <c r="T781" s="401"/>
      <c r="U781" s="403"/>
      <c r="V781" s="404"/>
      <c r="W781" s="405"/>
      <c r="X781" s="401"/>
      <c r="Y781" s="403"/>
      <c r="Z781" s="404"/>
      <c r="AA781" s="405"/>
      <c r="AB781" s="401"/>
      <c r="AC781" s="403"/>
      <c r="AD781" s="404"/>
      <c r="AE781" s="405"/>
      <c r="AF781" s="401"/>
      <c r="AG781" s="292"/>
      <c r="AH781" s="292"/>
      <c r="AI781" s="292"/>
      <c r="AJ781" s="292"/>
      <c r="AK781" s="395"/>
      <c r="AL781" s="317"/>
      <c r="AM781" s="394"/>
      <c r="AN781" s="396"/>
      <c r="AO781" s="200"/>
      <c r="AP781" s="200"/>
    </row>
    <row r="782">
      <c r="A782" s="395"/>
      <c r="B782" s="317"/>
      <c r="C782" s="394"/>
      <c r="D782" s="396"/>
      <c r="E782" s="395"/>
      <c r="F782" s="317"/>
      <c r="G782" s="394"/>
      <c r="H782" s="396"/>
      <c r="I782" s="395"/>
      <c r="J782" s="317"/>
      <c r="K782" s="394"/>
      <c r="L782" s="396"/>
      <c r="M782" s="395"/>
      <c r="N782" s="317"/>
      <c r="O782" s="394"/>
      <c r="P782" s="396"/>
      <c r="Q782" s="403"/>
      <c r="R782" s="404"/>
      <c r="S782" s="405"/>
      <c r="T782" s="401"/>
      <c r="U782" s="403"/>
      <c r="V782" s="404"/>
      <c r="W782" s="405"/>
      <c r="X782" s="401"/>
      <c r="Y782" s="403"/>
      <c r="Z782" s="404"/>
      <c r="AA782" s="405"/>
      <c r="AB782" s="401"/>
      <c r="AC782" s="403"/>
      <c r="AD782" s="404"/>
      <c r="AE782" s="405"/>
      <c r="AF782" s="401"/>
      <c r="AG782" s="292"/>
      <c r="AH782" s="292"/>
      <c r="AI782" s="292"/>
      <c r="AJ782" s="292"/>
      <c r="AK782" s="395"/>
      <c r="AL782" s="317"/>
      <c r="AM782" s="394"/>
      <c r="AN782" s="396"/>
      <c r="AO782" s="200"/>
      <c r="AP782" s="200"/>
    </row>
    <row r="783">
      <c r="A783" s="395"/>
      <c r="B783" s="317"/>
      <c r="C783" s="394"/>
      <c r="D783" s="396"/>
      <c r="E783" s="395"/>
      <c r="F783" s="317"/>
      <c r="G783" s="394"/>
      <c r="H783" s="396"/>
      <c r="I783" s="395"/>
      <c r="J783" s="317"/>
      <c r="K783" s="394"/>
      <c r="L783" s="396"/>
      <c r="M783" s="395"/>
      <c r="N783" s="317"/>
      <c r="O783" s="394"/>
      <c r="P783" s="396"/>
      <c r="Q783" s="403"/>
      <c r="R783" s="404"/>
      <c r="S783" s="405"/>
      <c r="T783" s="401"/>
      <c r="U783" s="403"/>
      <c r="V783" s="404"/>
      <c r="W783" s="405"/>
      <c r="X783" s="401"/>
      <c r="Y783" s="403"/>
      <c r="Z783" s="404"/>
      <c r="AA783" s="405"/>
      <c r="AB783" s="401"/>
      <c r="AC783" s="403"/>
      <c r="AD783" s="404"/>
      <c r="AE783" s="405"/>
      <c r="AF783" s="401"/>
      <c r="AG783" s="292"/>
      <c r="AH783" s="292"/>
      <c r="AI783" s="292"/>
      <c r="AJ783" s="292"/>
      <c r="AK783" s="395"/>
      <c r="AL783" s="317"/>
      <c r="AM783" s="394"/>
      <c r="AN783" s="396"/>
      <c r="AO783" s="200"/>
      <c r="AP783" s="200"/>
    </row>
    <row r="784">
      <c r="A784" s="395"/>
      <c r="B784" s="317"/>
      <c r="C784" s="394"/>
      <c r="D784" s="396"/>
      <c r="E784" s="395"/>
      <c r="F784" s="317"/>
      <c r="G784" s="394"/>
      <c r="H784" s="396"/>
      <c r="I784" s="395"/>
      <c r="J784" s="317"/>
      <c r="K784" s="394"/>
      <c r="L784" s="396"/>
      <c r="M784" s="395"/>
      <c r="N784" s="317"/>
      <c r="O784" s="394"/>
      <c r="P784" s="396"/>
      <c r="Q784" s="403"/>
      <c r="R784" s="404"/>
      <c r="S784" s="405"/>
      <c r="T784" s="401"/>
      <c r="U784" s="403"/>
      <c r="V784" s="404"/>
      <c r="W784" s="405"/>
      <c r="X784" s="401"/>
      <c r="Y784" s="403"/>
      <c r="Z784" s="404"/>
      <c r="AA784" s="405"/>
      <c r="AB784" s="401"/>
      <c r="AC784" s="403"/>
      <c r="AD784" s="404"/>
      <c r="AE784" s="405"/>
      <c r="AF784" s="401"/>
      <c r="AG784" s="292"/>
      <c r="AH784" s="292"/>
      <c r="AI784" s="292"/>
      <c r="AJ784" s="292"/>
      <c r="AK784" s="395"/>
      <c r="AL784" s="317"/>
      <c r="AM784" s="394"/>
      <c r="AN784" s="396"/>
      <c r="AO784" s="200"/>
      <c r="AP784" s="200"/>
    </row>
    <row r="785">
      <c r="A785" s="395"/>
      <c r="B785" s="317"/>
      <c r="C785" s="394"/>
      <c r="D785" s="396"/>
      <c r="E785" s="395"/>
      <c r="F785" s="317"/>
      <c r="G785" s="394"/>
      <c r="H785" s="396"/>
      <c r="I785" s="395"/>
      <c r="J785" s="317"/>
      <c r="K785" s="394"/>
      <c r="L785" s="396"/>
      <c r="M785" s="395"/>
      <c r="N785" s="317"/>
      <c r="O785" s="394"/>
      <c r="P785" s="396"/>
      <c r="Q785" s="403"/>
      <c r="R785" s="404"/>
      <c r="S785" s="405"/>
      <c r="T785" s="401"/>
      <c r="U785" s="403"/>
      <c r="V785" s="404"/>
      <c r="W785" s="405"/>
      <c r="X785" s="401"/>
      <c r="Y785" s="403"/>
      <c r="Z785" s="404"/>
      <c r="AA785" s="405"/>
      <c r="AB785" s="401"/>
      <c r="AC785" s="403"/>
      <c r="AD785" s="404"/>
      <c r="AE785" s="405"/>
      <c r="AF785" s="401"/>
      <c r="AG785" s="292"/>
      <c r="AH785" s="292"/>
      <c r="AI785" s="292"/>
      <c r="AJ785" s="292"/>
      <c r="AK785" s="395"/>
      <c r="AL785" s="317"/>
      <c r="AM785" s="394"/>
      <c r="AN785" s="396"/>
      <c r="AO785" s="200"/>
      <c r="AP785" s="200"/>
    </row>
    <row r="786">
      <c r="A786" s="395"/>
      <c r="B786" s="317"/>
      <c r="C786" s="394"/>
      <c r="D786" s="396"/>
      <c r="E786" s="395"/>
      <c r="F786" s="317"/>
      <c r="G786" s="394"/>
      <c r="H786" s="396"/>
      <c r="I786" s="395"/>
      <c r="J786" s="317"/>
      <c r="K786" s="394"/>
      <c r="L786" s="396"/>
      <c r="M786" s="395"/>
      <c r="N786" s="317"/>
      <c r="O786" s="394"/>
      <c r="P786" s="396"/>
      <c r="Q786" s="403"/>
      <c r="R786" s="404"/>
      <c r="S786" s="405"/>
      <c r="T786" s="401"/>
      <c r="U786" s="403"/>
      <c r="V786" s="404"/>
      <c r="W786" s="405"/>
      <c r="X786" s="401"/>
      <c r="Y786" s="403"/>
      <c r="Z786" s="404"/>
      <c r="AA786" s="405"/>
      <c r="AB786" s="401"/>
      <c r="AC786" s="403"/>
      <c r="AD786" s="404"/>
      <c r="AE786" s="405"/>
      <c r="AF786" s="401"/>
      <c r="AG786" s="292"/>
      <c r="AH786" s="292"/>
      <c r="AI786" s="292"/>
      <c r="AJ786" s="292"/>
      <c r="AK786" s="395"/>
      <c r="AL786" s="317"/>
      <c r="AM786" s="394"/>
      <c r="AN786" s="396"/>
      <c r="AO786" s="200"/>
      <c r="AP786" s="200"/>
    </row>
    <row r="787">
      <c r="A787" s="395"/>
      <c r="B787" s="317"/>
      <c r="C787" s="394"/>
      <c r="D787" s="396"/>
      <c r="E787" s="395"/>
      <c r="F787" s="317"/>
      <c r="G787" s="394"/>
      <c r="H787" s="396"/>
      <c r="I787" s="395"/>
      <c r="J787" s="317"/>
      <c r="K787" s="394"/>
      <c r="L787" s="396"/>
      <c r="M787" s="395"/>
      <c r="N787" s="317"/>
      <c r="O787" s="394"/>
      <c r="P787" s="396"/>
      <c r="Q787" s="403"/>
      <c r="R787" s="404"/>
      <c r="S787" s="405"/>
      <c r="T787" s="401"/>
      <c r="U787" s="403"/>
      <c r="V787" s="404"/>
      <c r="W787" s="405"/>
      <c r="X787" s="401"/>
      <c r="Y787" s="403"/>
      <c r="Z787" s="404"/>
      <c r="AA787" s="405"/>
      <c r="AB787" s="401"/>
      <c r="AC787" s="403"/>
      <c r="AD787" s="404"/>
      <c r="AE787" s="405"/>
      <c r="AF787" s="401"/>
      <c r="AG787" s="292"/>
      <c r="AH787" s="292"/>
      <c r="AI787" s="292"/>
      <c r="AJ787" s="292"/>
      <c r="AK787" s="395"/>
      <c r="AL787" s="317"/>
      <c r="AM787" s="394"/>
      <c r="AN787" s="396"/>
      <c r="AO787" s="200"/>
      <c r="AP787" s="200"/>
    </row>
    <row r="788">
      <c r="A788" s="395"/>
      <c r="B788" s="317"/>
      <c r="C788" s="394"/>
      <c r="D788" s="396"/>
      <c r="E788" s="395"/>
      <c r="F788" s="317"/>
      <c r="G788" s="394"/>
      <c r="H788" s="396"/>
      <c r="I788" s="395"/>
      <c r="J788" s="317"/>
      <c r="K788" s="394"/>
      <c r="L788" s="396"/>
      <c r="M788" s="395"/>
      <c r="N788" s="317"/>
      <c r="O788" s="394"/>
      <c r="P788" s="396"/>
      <c r="Q788" s="403"/>
      <c r="R788" s="404"/>
      <c r="S788" s="405"/>
      <c r="T788" s="401"/>
      <c r="U788" s="403"/>
      <c r="V788" s="404"/>
      <c r="W788" s="405"/>
      <c r="X788" s="401"/>
      <c r="Y788" s="403"/>
      <c r="Z788" s="404"/>
      <c r="AA788" s="405"/>
      <c r="AB788" s="401"/>
      <c r="AC788" s="403"/>
      <c r="AD788" s="404"/>
      <c r="AE788" s="405"/>
      <c r="AF788" s="401"/>
      <c r="AG788" s="292"/>
      <c r="AH788" s="292"/>
      <c r="AI788" s="292"/>
      <c r="AJ788" s="292"/>
      <c r="AK788" s="395"/>
      <c r="AL788" s="317"/>
      <c r="AM788" s="394"/>
      <c r="AN788" s="396"/>
      <c r="AO788" s="200"/>
      <c r="AP788" s="200"/>
    </row>
    <row r="789">
      <c r="A789" s="395"/>
      <c r="B789" s="317"/>
      <c r="C789" s="394"/>
      <c r="D789" s="396"/>
      <c r="E789" s="395"/>
      <c r="F789" s="317"/>
      <c r="G789" s="394"/>
      <c r="H789" s="396"/>
      <c r="I789" s="395"/>
      <c r="J789" s="317"/>
      <c r="K789" s="394"/>
      <c r="L789" s="396"/>
      <c r="M789" s="395"/>
      <c r="N789" s="317"/>
      <c r="O789" s="394"/>
      <c r="P789" s="396"/>
      <c r="Q789" s="403"/>
      <c r="R789" s="404"/>
      <c r="S789" s="405"/>
      <c r="T789" s="401"/>
      <c r="U789" s="403"/>
      <c r="V789" s="404"/>
      <c r="W789" s="405"/>
      <c r="X789" s="401"/>
      <c r="Y789" s="403"/>
      <c r="Z789" s="404"/>
      <c r="AA789" s="405"/>
      <c r="AB789" s="401"/>
      <c r="AC789" s="403"/>
      <c r="AD789" s="404"/>
      <c r="AE789" s="405"/>
      <c r="AF789" s="401"/>
      <c r="AG789" s="292"/>
      <c r="AH789" s="292"/>
      <c r="AI789" s="292"/>
      <c r="AJ789" s="292"/>
      <c r="AK789" s="395"/>
      <c r="AL789" s="317"/>
      <c r="AM789" s="394"/>
      <c r="AN789" s="396"/>
      <c r="AO789" s="200"/>
      <c r="AP789" s="200"/>
    </row>
    <row r="790">
      <c r="A790" s="395"/>
      <c r="B790" s="317"/>
      <c r="C790" s="394"/>
      <c r="D790" s="396"/>
      <c r="E790" s="395"/>
      <c r="F790" s="317"/>
      <c r="G790" s="394"/>
      <c r="H790" s="396"/>
      <c r="I790" s="395"/>
      <c r="J790" s="317"/>
      <c r="K790" s="394"/>
      <c r="L790" s="396"/>
      <c r="M790" s="395"/>
      <c r="N790" s="317"/>
      <c r="O790" s="394"/>
      <c r="P790" s="396"/>
      <c r="Q790" s="403"/>
      <c r="R790" s="404"/>
      <c r="S790" s="405"/>
      <c r="T790" s="401"/>
      <c r="U790" s="403"/>
      <c r="V790" s="404"/>
      <c r="W790" s="405"/>
      <c r="X790" s="401"/>
      <c r="Y790" s="403"/>
      <c r="Z790" s="404"/>
      <c r="AA790" s="405"/>
      <c r="AB790" s="401"/>
      <c r="AC790" s="403"/>
      <c r="AD790" s="404"/>
      <c r="AE790" s="405"/>
      <c r="AF790" s="401"/>
      <c r="AG790" s="292"/>
      <c r="AH790" s="292"/>
      <c r="AI790" s="292"/>
      <c r="AJ790" s="292"/>
      <c r="AK790" s="395"/>
      <c r="AL790" s="317"/>
      <c r="AM790" s="394"/>
      <c r="AN790" s="396"/>
      <c r="AO790" s="200"/>
      <c r="AP790" s="200"/>
    </row>
    <row r="791">
      <c r="A791" s="395"/>
      <c r="B791" s="317"/>
      <c r="C791" s="394"/>
      <c r="D791" s="396"/>
      <c r="E791" s="395"/>
      <c r="F791" s="317"/>
      <c r="G791" s="394"/>
      <c r="H791" s="396"/>
      <c r="I791" s="395"/>
      <c r="J791" s="317"/>
      <c r="K791" s="394"/>
      <c r="L791" s="396"/>
      <c r="M791" s="395"/>
      <c r="N791" s="317"/>
      <c r="O791" s="394"/>
      <c r="P791" s="396"/>
      <c r="Q791" s="403"/>
      <c r="R791" s="404"/>
      <c r="S791" s="405"/>
      <c r="T791" s="401"/>
      <c r="U791" s="403"/>
      <c r="V791" s="404"/>
      <c r="W791" s="405"/>
      <c r="X791" s="401"/>
      <c r="Y791" s="403"/>
      <c r="Z791" s="404"/>
      <c r="AA791" s="405"/>
      <c r="AB791" s="401"/>
      <c r="AC791" s="403"/>
      <c r="AD791" s="404"/>
      <c r="AE791" s="405"/>
      <c r="AF791" s="401"/>
      <c r="AG791" s="292"/>
      <c r="AH791" s="292"/>
      <c r="AI791" s="292"/>
      <c r="AJ791" s="292"/>
      <c r="AK791" s="395"/>
      <c r="AL791" s="317"/>
      <c r="AM791" s="394"/>
      <c r="AN791" s="396"/>
      <c r="AO791" s="200"/>
      <c r="AP791" s="200"/>
    </row>
    <row r="792">
      <c r="A792" s="395"/>
      <c r="B792" s="317"/>
      <c r="C792" s="394"/>
      <c r="D792" s="396"/>
      <c r="E792" s="395"/>
      <c r="F792" s="317"/>
      <c r="G792" s="394"/>
      <c r="H792" s="396"/>
      <c r="I792" s="395"/>
      <c r="J792" s="317"/>
      <c r="K792" s="394"/>
      <c r="L792" s="396"/>
      <c r="M792" s="395"/>
      <c r="N792" s="317"/>
      <c r="O792" s="394"/>
      <c r="P792" s="396"/>
      <c r="Q792" s="403"/>
      <c r="R792" s="404"/>
      <c r="S792" s="405"/>
      <c r="T792" s="401"/>
      <c r="U792" s="403"/>
      <c r="V792" s="404"/>
      <c r="W792" s="405"/>
      <c r="X792" s="401"/>
      <c r="Y792" s="403"/>
      <c r="Z792" s="404"/>
      <c r="AA792" s="405"/>
      <c r="AB792" s="401"/>
      <c r="AC792" s="403"/>
      <c r="AD792" s="404"/>
      <c r="AE792" s="405"/>
      <c r="AF792" s="401"/>
      <c r="AG792" s="292"/>
      <c r="AH792" s="292"/>
      <c r="AI792" s="292"/>
      <c r="AJ792" s="292"/>
      <c r="AK792" s="395"/>
      <c r="AL792" s="317"/>
      <c r="AM792" s="394"/>
      <c r="AN792" s="396"/>
      <c r="AO792" s="200"/>
      <c r="AP792" s="200"/>
    </row>
    <row r="793">
      <c r="A793" s="395"/>
      <c r="B793" s="317"/>
      <c r="C793" s="394"/>
      <c r="D793" s="396"/>
      <c r="E793" s="395"/>
      <c r="F793" s="317"/>
      <c r="G793" s="394"/>
      <c r="H793" s="396"/>
      <c r="I793" s="395"/>
      <c r="J793" s="317"/>
      <c r="K793" s="394"/>
      <c r="L793" s="396"/>
      <c r="M793" s="395"/>
      <c r="N793" s="317"/>
      <c r="O793" s="394"/>
      <c r="P793" s="396"/>
      <c r="Q793" s="403"/>
      <c r="R793" s="404"/>
      <c r="S793" s="405"/>
      <c r="T793" s="401"/>
      <c r="U793" s="403"/>
      <c r="V793" s="404"/>
      <c r="W793" s="405"/>
      <c r="X793" s="401"/>
      <c r="Y793" s="403"/>
      <c r="Z793" s="404"/>
      <c r="AA793" s="405"/>
      <c r="AB793" s="401"/>
      <c r="AC793" s="403"/>
      <c r="AD793" s="404"/>
      <c r="AE793" s="405"/>
      <c r="AF793" s="401"/>
      <c r="AG793" s="292"/>
      <c r="AH793" s="292"/>
      <c r="AI793" s="292"/>
      <c r="AJ793" s="292"/>
      <c r="AK793" s="395"/>
      <c r="AL793" s="317"/>
      <c r="AM793" s="394"/>
      <c r="AN793" s="396"/>
      <c r="AO793" s="200"/>
      <c r="AP793" s="200"/>
    </row>
    <row r="794">
      <c r="A794" s="395"/>
      <c r="B794" s="317"/>
      <c r="C794" s="394"/>
      <c r="D794" s="396"/>
      <c r="E794" s="395"/>
      <c r="F794" s="317"/>
      <c r="G794" s="394"/>
      <c r="H794" s="396"/>
      <c r="I794" s="395"/>
      <c r="J794" s="317"/>
      <c r="K794" s="394"/>
      <c r="L794" s="396"/>
      <c r="M794" s="395"/>
      <c r="N794" s="317"/>
      <c r="O794" s="394"/>
      <c r="P794" s="396"/>
      <c r="Q794" s="403"/>
      <c r="R794" s="404"/>
      <c r="S794" s="405"/>
      <c r="T794" s="401"/>
      <c r="U794" s="403"/>
      <c r="V794" s="404"/>
      <c r="W794" s="405"/>
      <c r="X794" s="401"/>
      <c r="Y794" s="403"/>
      <c r="Z794" s="404"/>
      <c r="AA794" s="405"/>
      <c r="AB794" s="401"/>
      <c r="AC794" s="403"/>
      <c r="AD794" s="404"/>
      <c r="AE794" s="405"/>
      <c r="AF794" s="401"/>
      <c r="AG794" s="292"/>
      <c r="AH794" s="292"/>
      <c r="AI794" s="292"/>
      <c r="AJ794" s="292"/>
      <c r="AK794" s="395"/>
      <c r="AL794" s="317"/>
      <c r="AM794" s="394"/>
      <c r="AN794" s="396"/>
      <c r="AO794" s="200"/>
      <c r="AP794" s="200"/>
    </row>
    <row r="795">
      <c r="A795" s="395"/>
      <c r="B795" s="317"/>
      <c r="C795" s="394"/>
      <c r="D795" s="396"/>
      <c r="E795" s="395"/>
      <c r="F795" s="317"/>
      <c r="G795" s="394"/>
      <c r="H795" s="396"/>
      <c r="I795" s="395"/>
      <c r="J795" s="317"/>
      <c r="K795" s="394"/>
      <c r="L795" s="396"/>
      <c r="M795" s="395"/>
      <c r="N795" s="317"/>
      <c r="O795" s="394"/>
      <c r="P795" s="396"/>
      <c r="Q795" s="403"/>
      <c r="R795" s="404"/>
      <c r="S795" s="405"/>
      <c r="T795" s="401"/>
      <c r="U795" s="403"/>
      <c r="V795" s="404"/>
      <c r="W795" s="405"/>
      <c r="X795" s="401"/>
      <c r="Y795" s="403"/>
      <c r="Z795" s="404"/>
      <c r="AA795" s="405"/>
      <c r="AB795" s="401"/>
      <c r="AC795" s="403"/>
      <c r="AD795" s="404"/>
      <c r="AE795" s="405"/>
      <c r="AF795" s="401"/>
      <c r="AG795" s="292"/>
      <c r="AH795" s="292"/>
      <c r="AI795" s="292"/>
      <c r="AJ795" s="292"/>
      <c r="AK795" s="395"/>
      <c r="AL795" s="317"/>
      <c r="AM795" s="394"/>
      <c r="AN795" s="396"/>
      <c r="AO795" s="200"/>
      <c r="AP795" s="200"/>
    </row>
    <row r="796">
      <c r="A796" s="395"/>
      <c r="B796" s="317"/>
      <c r="C796" s="394"/>
      <c r="D796" s="396"/>
      <c r="E796" s="395"/>
      <c r="F796" s="317"/>
      <c r="G796" s="394"/>
      <c r="H796" s="396"/>
      <c r="I796" s="395"/>
      <c r="J796" s="317"/>
      <c r="K796" s="394"/>
      <c r="L796" s="396"/>
      <c r="M796" s="395"/>
      <c r="N796" s="317"/>
      <c r="O796" s="394"/>
      <c r="P796" s="396"/>
      <c r="Q796" s="403"/>
      <c r="R796" s="404"/>
      <c r="S796" s="405"/>
      <c r="T796" s="401"/>
      <c r="U796" s="403"/>
      <c r="V796" s="404"/>
      <c r="W796" s="405"/>
      <c r="X796" s="401"/>
      <c r="Y796" s="403"/>
      <c r="Z796" s="404"/>
      <c r="AA796" s="405"/>
      <c r="AB796" s="401"/>
      <c r="AC796" s="403"/>
      <c r="AD796" s="404"/>
      <c r="AE796" s="405"/>
      <c r="AF796" s="401"/>
      <c r="AG796" s="292"/>
      <c r="AH796" s="292"/>
      <c r="AI796" s="292"/>
      <c r="AJ796" s="292"/>
      <c r="AK796" s="395"/>
      <c r="AL796" s="317"/>
      <c r="AM796" s="394"/>
      <c r="AN796" s="396"/>
      <c r="AO796" s="200"/>
      <c r="AP796" s="200"/>
    </row>
    <row r="797">
      <c r="A797" s="395"/>
      <c r="B797" s="317"/>
      <c r="C797" s="394"/>
      <c r="D797" s="396"/>
      <c r="E797" s="395"/>
      <c r="F797" s="317"/>
      <c r="G797" s="394"/>
      <c r="H797" s="396"/>
      <c r="I797" s="395"/>
      <c r="J797" s="317"/>
      <c r="K797" s="394"/>
      <c r="L797" s="396"/>
      <c r="M797" s="395"/>
      <c r="N797" s="317"/>
      <c r="O797" s="394"/>
      <c r="P797" s="396"/>
      <c r="Q797" s="403"/>
      <c r="R797" s="404"/>
      <c r="S797" s="405"/>
      <c r="T797" s="401"/>
      <c r="U797" s="403"/>
      <c r="V797" s="404"/>
      <c r="W797" s="405"/>
      <c r="X797" s="401"/>
      <c r="Y797" s="403"/>
      <c r="Z797" s="404"/>
      <c r="AA797" s="405"/>
      <c r="AB797" s="401"/>
      <c r="AC797" s="403"/>
      <c r="AD797" s="404"/>
      <c r="AE797" s="405"/>
      <c r="AF797" s="401"/>
      <c r="AG797" s="292"/>
      <c r="AH797" s="292"/>
      <c r="AI797" s="292"/>
      <c r="AJ797" s="292"/>
      <c r="AK797" s="395"/>
      <c r="AL797" s="317"/>
      <c r="AM797" s="394"/>
      <c r="AN797" s="396"/>
      <c r="AO797" s="200"/>
      <c r="AP797" s="200"/>
    </row>
    <row r="798">
      <c r="A798" s="395"/>
      <c r="B798" s="317"/>
      <c r="C798" s="394"/>
      <c r="D798" s="396"/>
      <c r="E798" s="395"/>
      <c r="F798" s="317"/>
      <c r="G798" s="394"/>
      <c r="H798" s="396"/>
      <c r="I798" s="395"/>
      <c r="J798" s="317"/>
      <c r="K798" s="394"/>
      <c r="L798" s="396"/>
      <c r="M798" s="395"/>
      <c r="N798" s="317"/>
      <c r="O798" s="394"/>
      <c r="P798" s="396"/>
      <c r="Q798" s="403"/>
      <c r="R798" s="404"/>
      <c r="S798" s="405"/>
      <c r="T798" s="401"/>
      <c r="U798" s="403"/>
      <c r="V798" s="404"/>
      <c r="W798" s="405"/>
      <c r="X798" s="401"/>
      <c r="Y798" s="403"/>
      <c r="Z798" s="404"/>
      <c r="AA798" s="405"/>
      <c r="AB798" s="401"/>
      <c r="AC798" s="403"/>
      <c r="AD798" s="404"/>
      <c r="AE798" s="405"/>
      <c r="AF798" s="401"/>
      <c r="AG798" s="292"/>
      <c r="AH798" s="292"/>
      <c r="AI798" s="292"/>
      <c r="AJ798" s="292"/>
      <c r="AK798" s="395"/>
      <c r="AL798" s="317"/>
      <c r="AM798" s="394"/>
      <c r="AN798" s="396"/>
      <c r="AO798" s="200"/>
      <c r="AP798" s="200"/>
    </row>
    <row r="799">
      <c r="A799" s="395"/>
      <c r="B799" s="317"/>
      <c r="C799" s="394"/>
      <c r="D799" s="396"/>
      <c r="E799" s="395"/>
      <c r="F799" s="317"/>
      <c r="G799" s="394"/>
      <c r="H799" s="396"/>
      <c r="I799" s="395"/>
      <c r="J799" s="317"/>
      <c r="K799" s="394"/>
      <c r="L799" s="396"/>
      <c r="M799" s="395"/>
      <c r="N799" s="317"/>
      <c r="O799" s="394"/>
      <c r="P799" s="396"/>
      <c r="Q799" s="403"/>
      <c r="R799" s="404"/>
      <c r="S799" s="405"/>
      <c r="T799" s="401"/>
      <c r="U799" s="403"/>
      <c r="V799" s="404"/>
      <c r="W799" s="405"/>
      <c r="X799" s="401"/>
      <c r="Y799" s="403"/>
      <c r="Z799" s="404"/>
      <c r="AA799" s="405"/>
      <c r="AB799" s="401"/>
      <c r="AC799" s="403"/>
      <c r="AD799" s="404"/>
      <c r="AE799" s="405"/>
      <c r="AF799" s="401"/>
      <c r="AG799" s="292"/>
      <c r="AH799" s="292"/>
      <c r="AI799" s="292"/>
      <c r="AJ799" s="292"/>
      <c r="AK799" s="395"/>
      <c r="AL799" s="317"/>
      <c r="AM799" s="394"/>
      <c r="AN799" s="396"/>
      <c r="AO799" s="200"/>
      <c r="AP799" s="200"/>
    </row>
    <row r="800">
      <c r="A800" s="395"/>
      <c r="B800" s="317"/>
      <c r="C800" s="394"/>
      <c r="D800" s="396"/>
      <c r="E800" s="395"/>
      <c r="F800" s="317"/>
      <c r="G800" s="394"/>
      <c r="H800" s="396"/>
      <c r="I800" s="395"/>
      <c r="J800" s="317"/>
      <c r="K800" s="394"/>
      <c r="L800" s="396"/>
      <c r="M800" s="395"/>
      <c r="N800" s="317"/>
      <c r="O800" s="394"/>
      <c r="P800" s="396"/>
      <c r="Q800" s="403"/>
      <c r="R800" s="404"/>
      <c r="S800" s="405"/>
      <c r="T800" s="401"/>
      <c r="U800" s="403"/>
      <c r="V800" s="404"/>
      <c r="W800" s="405"/>
      <c r="X800" s="401"/>
      <c r="Y800" s="403"/>
      <c r="Z800" s="404"/>
      <c r="AA800" s="405"/>
      <c r="AB800" s="401"/>
      <c r="AC800" s="403"/>
      <c r="AD800" s="404"/>
      <c r="AE800" s="405"/>
      <c r="AF800" s="401"/>
      <c r="AG800" s="292"/>
      <c r="AH800" s="292"/>
      <c r="AI800" s="292"/>
      <c r="AJ800" s="292"/>
      <c r="AK800" s="395"/>
      <c r="AL800" s="317"/>
      <c r="AM800" s="394"/>
      <c r="AN800" s="396"/>
      <c r="AO800" s="200"/>
      <c r="AP800" s="200"/>
    </row>
    <row r="801">
      <c r="A801" s="395"/>
      <c r="B801" s="317"/>
      <c r="C801" s="394"/>
      <c r="D801" s="396"/>
      <c r="E801" s="395"/>
      <c r="F801" s="317"/>
      <c r="G801" s="394"/>
      <c r="H801" s="396"/>
      <c r="I801" s="395"/>
      <c r="J801" s="317"/>
      <c r="K801" s="394"/>
      <c r="L801" s="396"/>
      <c r="M801" s="395"/>
      <c r="N801" s="317"/>
      <c r="O801" s="394"/>
      <c r="P801" s="396"/>
      <c r="Q801" s="403"/>
      <c r="R801" s="404"/>
      <c r="S801" s="405"/>
      <c r="T801" s="401"/>
      <c r="U801" s="403"/>
      <c r="V801" s="404"/>
      <c r="W801" s="405"/>
      <c r="X801" s="401"/>
      <c r="Y801" s="403"/>
      <c r="Z801" s="404"/>
      <c r="AA801" s="405"/>
      <c r="AB801" s="401"/>
      <c r="AC801" s="403"/>
      <c r="AD801" s="404"/>
      <c r="AE801" s="405"/>
      <c r="AF801" s="401"/>
      <c r="AG801" s="292"/>
      <c r="AH801" s="292"/>
      <c r="AI801" s="292"/>
      <c r="AJ801" s="292"/>
      <c r="AK801" s="395"/>
      <c r="AL801" s="317"/>
      <c r="AM801" s="394"/>
      <c r="AN801" s="396"/>
      <c r="AO801" s="200"/>
      <c r="AP801" s="200"/>
    </row>
    <row r="802">
      <c r="A802" s="395"/>
      <c r="B802" s="317"/>
      <c r="C802" s="394"/>
      <c r="D802" s="396"/>
      <c r="E802" s="395"/>
      <c r="F802" s="317"/>
      <c r="G802" s="394"/>
      <c r="H802" s="396"/>
      <c r="I802" s="395"/>
      <c r="J802" s="317"/>
      <c r="K802" s="394"/>
      <c r="L802" s="396"/>
      <c r="M802" s="395"/>
      <c r="N802" s="317"/>
      <c r="O802" s="394"/>
      <c r="P802" s="396"/>
      <c r="Q802" s="403"/>
      <c r="R802" s="404"/>
      <c r="S802" s="405"/>
      <c r="T802" s="401"/>
      <c r="U802" s="403"/>
      <c r="V802" s="404"/>
      <c r="W802" s="405"/>
      <c r="X802" s="401"/>
      <c r="Y802" s="403"/>
      <c r="Z802" s="404"/>
      <c r="AA802" s="405"/>
      <c r="AB802" s="401"/>
      <c r="AC802" s="403"/>
      <c r="AD802" s="404"/>
      <c r="AE802" s="405"/>
      <c r="AF802" s="401"/>
      <c r="AG802" s="292"/>
      <c r="AH802" s="292"/>
      <c r="AI802" s="292"/>
      <c r="AJ802" s="292"/>
      <c r="AK802" s="395"/>
      <c r="AL802" s="317"/>
      <c r="AM802" s="394"/>
      <c r="AN802" s="396"/>
      <c r="AO802" s="200"/>
      <c r="AP802" s="200"/>
    </row>
    <row r="803">
      <c r="A803" s="395"/>
      <c r="B803" s="317"/>
      <c r="C803" s="394"/>
      <c r="D803" s="396"/>
      <c r="E803" s="395"/>
      <c r="F803" s="317"/>
      <c r="G803" s="394"/>
      <c r="H803" s="396"/>
      <c r="I803" s="395"/>
      <c r="J803" s="317"/>
      <c r="K803" s="394"/>
      <c r="L803" s="396"/>
      <c r="M803" s="395"/>
      <c r="N803" s="317"/>
      <c r="O803" s="394"/>
      <c r="P803" s="396"/>
      <c r="Q803" s="403"/>
      <c r="R803" s="404"/>
      <c r="S803" s="405"/>
      <c r="T803" s="401"/>
      <c r="U803" s="403"/>
      <c r="V803" s="404"/>
      <c r="W803" s="405"/>
      <c r="X803" s="401"/>
      <c r="Y803" s="403"/>
      <c r="Z803" s="404"/>
      <c r="AA803" s="405"/>
      <c r="AB803" s="401"/>
      <c r="AC803" s="403"/>
      <c r="AD803" s="404"/>
      <c r="AE803" s="405"/>
      <c r="AF803" s="401"/>
      <c r="AG803" s="292"/>
      <c r="AH803" s="292"/>
      <c r="AI803" s="292"/>
      <c r="AJ803" s="292"/>
      <c r="AK803" s="395"/>
      <c r="AL803" s="317"/>
      <c r="AM803" s="394"/>
      <c r="AN803" s="396"/>
      <c r="AO803" s="200"/>
      <c r="AP803" s="200"/>
    </row>
    <row r="804">
      <c r="A804" s="395"/>
      <c r="B804" s="317"/>
      <c r="C804" s="394"/>
      <c r="D804" s="396"/>
      <c r="E804" s="395"/>
      <c r="F804" s="317"/>
      <c r="G804" s="394"/>
      <c r="H804" s="396"/>
      <c r="I804" s="395"/>
      <c r="J804" s="317"/>
      <c r="K804" s="394"/>
      <c r="L804" s="396"/>
      <c r="M804" s="395"/>
      <c r="N804" s="317"/>
      <c r="O804" s="394"/>
      <c r="P804" s="396"/>
      <c r="Q804" s="403"/>
      <c r="R804" s="404"/>
      <c r="S804" s="405"/>
      <c r="T804" s="401"/>
      <c r="U804" s="403"/>
      <c r="V804" s="404"/>
      <c r="W804" s="405"/>
      <c r="X804" s="401"/>
      <c r="Y804" s="403"/>
      <c r="Z804" s="404"/>
      <c r="AA804" s="405"/>
      <c r="AB804" s="401"/>
      <c r="AC804" s="403"/>
      <c r="AD804" s="404"/>
      <c r="AE804" s="405"/>
      <c r="AF804" s="401"/>
      <c r="AG804" s="292"/>
      <c r="AH804" s="292"/>
      <c r="AI804" s="292"/>
      <c r="AJ804" s="292"/>
      <c r="AK804" s="395"/>
      <c r="AL804" s="317"/>
      <c r="AM804" s="394"/>
      <c r="AN804" s="396"/>
      <c r="AO804" s="200"/>
      <c r="AP804" s="200"/>
    </row>
    <row r="805">
      <c r="A805" s="395"/>
      <c r="B805" s="317"/>
      <c r="C805" s="394"/>
      <c r="D805" s="396"/>
      <c r="E805" s="395"/>
      <c r="F805" s="317"/>
      <c r="G805" s="394"/>
      <c r="H805" s="396"/>
      <c r="I805" s="395"/>
      <c r="J805" s="317"/>
      <c r="K805" s="394"/>
      <c r="L805" s="396"/>
      <c r="M805" s="395"/>
      <c r="N805" s="317"/>
      <c r="O805" s="394"/>
      <c r="P805" s="396"/>
      <c r="Q805" s="403"/>
      <c r="R805" s="404"/>
      <c r="S805" s="405"/>
      <c r="T805" s="401"/>
      <c r="U805" s="403"/>
      <c r="V805" s="404"/>
      <c r="W805" s="405"/>
      <c r="X805" s="401"/>
      <c r="Y805" s="403"/>
      <c r="Z805" s="404"/>
      <c r="AA805" s="405"/>
      <c r="AB805" s="401"/>
      <c r="AC805" s="403"/>
      <c r="AD805" s="404"/>
      <c r="AE805" s="405"/>
      <c r="AF805" s="401"/>
      <c r="AG805" s="292"/>
      <c r="AH805" s="292"/>
      <c r="AI805" s="292"/>
      <c r="AJ805" s="292"/>
      <c r="AK805" s="395"/>
      <c r="AL805" s="317"/>
      <c r="AM805" s="394"/>
      <c r="AN805" s="396"/>
      <c r="AO805" s="200"/>
      <c r="AP805" s="200"/>
    </row>
    <row r="806">
      <c r="A806" s="395"/>
      <c r="B806" s="317"/>
      <c r="C806" s="394"/>
      <c r="D806" s="396"/>
      <c r="E806" s="395"/>
      <c r="F806" s="317"/>
      <c r="G806" s="394"/>
      <c r="H806" s="396"/>
      <c r="I806" s="395"/>
      <c r="J806" s="317"/>
      <c r="K806" s="394"/>
      <c r="L806" s="396"/>
      <c r="M806" s="395"/>
      <c r="N806" s="317"/>
      <c r="O806" s="394"/>
      <c r="P806" s="396"/>
      <c r="Q806" s="403"/>
      <c r="R806" s="404"/>
      <c r="S806" s="405"/>
      <c r="T806" s="401"/>
      <c r="U806" s="403"/>
      <c r="V806" s="404"/>
      <c r="W806" s="405"/>
      <c r="X806" s="401"/>
      <c r="Y806" s="403"/>
      <c r="Z806" s="404"/>
      <c r="AA806" s="405"/>
      <c r="AB806" s="401"/>
      <c r="AC806" s="403"/>
      <c r="AD806" s="404"/>
      <c r="AE806" s="405"/>
      <c r="AF806" s="401"/>
      <c r="AG806" s="292"/>
      <c r="AH806" s="292"/>
      <c r="AI806" s="292"/>
      <c r="AJ806" s="292"/>
      <c r="AK806" s="395"/>
      <c r="AL806" s="317"/>
      <c r="AM806" s="394"/>
      <c r="AN806" s="396"/>
      <c r="AO806" s="200"/>
      <c r="AP806" s="200"/>
    </row>
    <row r="807">
      <c r="A807" s="395"/>
      <c r="B807" s="317"/>
      <c r="C807" s="394"/>
      <c r="D807" s="396"/>
      <c r="E807" s="395"/>
      <c r="F807" s="317"/>
      <c r="G807" s="394"/>
      <c r="H807" s="396"/>
      <c r="I807" s="395"/>
      <c r="J807" s="317"/>
      <c r="K807" s="394"/>
      <c r="L807" s="396"/>
      <c r="M807" s="395"/>
      <c r="N807" s="317"/>
      <c r="O807" s="394"/>
      <c r="P807" s="396"/>
      <c r="Q807" s="403"/>
      <c r="R807" s="404"/>
      <c r="S807" s="405"/>
      <c r="T807" s="401"/>
      <c r="U807" s="403"/>
      <c r="V807" s="404"/>
      <c r="W807" s="405"/>
      <c r="X807" s="401"/>
      <c r="Y807" s="403"/>
      <c r="Z807" s="404"/>
      <c r="AA807" s="405"/>
      <c r="AB807" s="401"/>
      <c r="AC807" s="403"/>
      <c r="AD807" s="404"/>
      <c r="AE807" s="405"/>
      <c r="AF807" s="401"/>
      <c r="AG807" s="292"/>
      <c r="AH807" s="292"/>
      <c r="AI807" s="292"/>
      <c r="AJ807" s="292"/>
      <c r="AK807" s="395"/>
      <c r="AL807" s="317"/>
      <c r="AM807" s="394"/>
      <c r="AN807" s="396"/>
      <c r="AO807" s="200"/>
      <c r="AP807" s="200"/>
    </row>
    <row r="808">
      <c r="A808" s="395"/>
      <c r="B808" s="317"/>
      <c r="C808" s="394"/>
      <c r="D808" s="396"/>
      <c r="E808" s="395"/>
      <c r="F808" s="317"/>
      <c r="G808" s="394"/>
      <c r="H808" s="396"/>
      <c r="I808" s="395"/>
      <c r="J808" s="317"/>
      <c r="K808" s="394"/>
      <c r="L808" s="396"/>
      <c r="M808" s="395"/>
      <c r="N808" s="317"/>
      <c r="O808" s="394"/>
      <c r="P808" s="396"/>
      <c r="Q808" s="403"/>
      <c r="R808" s="404"/>
      <c r="S808" s="405"/>
      <c r="T808" s="401"/>
      <c r="U808" s="403"/>
      <c r="V808" s="404"/>
      <c r="W808" s="405"/>
      <c r="X808" s="401"/>
      <c r="Y808" s="403"/>
      <c r="Z808" s="404"/>
      <c r="AA808" s="405"/>
      <c r="AB808" s="401"/>
      <c r="AC808" s="403"/>
      <c r="AD808" s="404"/>
      <c r="AE808" s="405"/>
      <c r="AF808" s="401"/>
      <c r="AG808" s="292"/>
      <c r="AH808" s="292"/>
      <c r="AI808" s="292"/>
      <c r="AJ808" s="292"/>
      <c r="AK808" s="395"/>
      <c r="AL808" s="317"/>
      <c r="AM808" s="394"/>
      <c r="AN808" s="396"/>
      <c r="AO808" s="200"/>
      <c r="AP808" s="200"/>
    </row>
    <row r="809">
      <c r="A809" s="395"/>
      <c r="B809" s="317"/>
      <c r="C809" s="394"/>
      <c r="D809" s="396"/>
      <c r="E809" s="395"/>
      <c r="F809" s="317"/>
      <c r="G809" s="394"/>
      <c r="H809" s="396"/>
      <c r="I809" s="395"/>
      <c r="J809" s="317"/>
      <c r="K809" s="394"/>
      <c r="L809" s="396"/>
      <c r="M809" s="395"/>
      <c r="N809" s="317"/>
      <c r="O809" s="394"/>
      <c r="P809" s="396"/>
      <c r="Q809" s="403"/>
      <c r="R809" s="404"/>
      <c r="S809" s="405"/>
      <c r="T809" s="401"/>
      <c r="U809" s="403"/>
      <c r="V809" s="404"/>
      <c r="W809" s="405"/>
      <c r="X809" s="401"/>
      <c r="Y809" s="403"/>
      <c r="Z809" s="404"/>
      <c r="AA809" s="405"/>
      <c r="AB809" s="401"/>
      <c r="AC809" s="403"/>
      <c r="AD809" s="404"/>
      <c r="AE809" s="405"/>
      <c r="AF809" s="401"/>
      <c r="AG809" s="292"/>
      <c r="AH809" s="292"/>
      <c r="AI809" s="292"/>
      <c r="AJ809" s="292"/>
      <c r="AK809" s="395"/>
      <c r="AL809" s="317"/>
      <c r="AM809" s="394"/>
      <c r="AN809" s="396"/>
      <c r="AO809" s="200"/>
      <c r="AP809" s="200"/>
    </row>
    <row r="810">
      <c r="A810" s="395"/>
      <c r="B810" s="317"/>
      <c r="C810" s="394"/>
      <c r="D810" s="396"/>
      <c r="E810" s="395"/>
      <c r="F810" s="317"/>
      <c r="G810" s="394"/>
      <c r="H810" s="396"/>
      <c r="I810" s="395"/>
      <c r="J810" s="317"/>
      <c r="K810" s="394"/>
      <c r="L810" s="396"/>
      <c r="M810" s="395"/>
      <c r="N810" s="317"/>
      <c r="O810" s="394"/>
      <c r="P810" s="396"/>
      <c r="Q810" s="403"/>
      <c r="R810" s="404"/>
      <c r="S810" s="405"/>
      <c r="T810" s="401"/>
      <c r="U810" s="403"/>
      <c r="V810" s="404"/>
      <c r="W810" s="405"/>
      <c r="X810" s="401"/>
      <c r="Y810" s="403"/>
      <c r="Z810" s="404"/>
      <c r="AA810" s="405"/>
      <c r="AB810" s="401"/>
      <c r="AC810" s="403"/>
      <c r="AD810" s="404"/>
      <c r="AE810" s="405"/>
      <c r="AF810" s="401"/>
      <c r="AG810" s="292"/>
      <c r="AH810" s="292"/>
      <c r="AI810" s="292"/>
      <c r="AJ810" s="292"/>
      <c r="AK810" s="395"/>
      <c r="AL810" s="317"/>
      <c r="AM810" s="394"/>
      <c r="AN810" s="396"/>
      <c r="AO810" s="200"/>
      <c r="AP810" s="200"/>
    </row>
    <row r="811">
      <c r="A811" s="395"/>
      <c r="B811" s="317"/>
      <c r="C811" s="394"/>
      <c r="D811" s="396"/>
      <c r="E811" s="395"/>
      <c r="F811" s="317"/>
      <c r="G811" s="394"/>
      <c r="H811" s="396"/>
      <c r="I811" s="395"/>
      <c r="J811" s="317"/>
      <c r="K811" s="394"/>
      <c r="L811" s="396"/>
      <c r="M811" s="395"/>
      <c r="N811" s="317"/>
      <c r="O811" s="394"/>
      <c r="P811" s="396"/>
      <c r="Q811" s="403"/>
      <c r="R811" s="404"/>
      <c r="S811" s="405"/>
      <c r="T811" s="401"/>
      <c r="U811" s="403"/>
      <c r="V811" s="404"/>
      <c r="W811" s="405"/>
      <c r="X811" s="401"/>
      <c r="Y811" s="403"/>
      <c r="Z811" s="404"/>
      <c r="AA811" s="405"/>
      <c r="AB811" s="401"/>
      <c r="AC811" s="403"/>
      <c r="AD811" s="404"/>
      <c r="AE811" s="405"/>
      <c r="AF811" s="401"/>
      <c r="AG811" s="292"/>
      <c r="AH811" s="292"/>
      <c r="AI811" s="292"/>
      <c r="AJ811" s="292"/>
      <c r="AK811" s="395"/>
      <c r="AL811" s="317"/>
      <c r="AM811" s="394"/>
      <c r="AN811" s="396"/>
      <c r="AO811" s="200"/>
      <c r="AP811" s="200"/>
    </row>
    <row r="812">
      <c r="A812" s="395"/>
      <c r="B812" s="317"/>
      <c r="C812" s="394"/>
      <c r="D812" s="396"/>
      <c r="E812" s="395"/>
      <c r="F812" s="317"/>
      <c r="G812" s="394"/>
      <c r="H812" s="396"/>
      <c r="I812" s="395"/>
      <c r="J812" s="317"/>
      <c r="K812" s="394"/>
      <c r="L812" s="396"/>
      <c r="M812" s="395"/>
      <c r="N812" s="317"/>
      <c r="O812" s="394"/>
      <c r="P812" s="396"/>
      <c r="Q812" s="403"/>
      <c r="R812" s="404"/>
      <c r="S812" s="405"/>
      <c r="T812" s="401"/>
      <c r="U812" s="403"/>
      <c r="V812" s="404"/>
      <c r="W812" s="405"/>
      <c r="X812" s="401"/>
      <c r="Y812" s="403"/>
      <c r="Z812" s="404"/>
      <c r="AA812" s="405"/>
      <c r="AB812" s="401"/>
      <c r="AC812" s="403"/>
      <c r="AD812" s="404"/>
      <c r="AE812" s="405"/>
      <c r="AF812" s="401"/>
      <c r="AG812" s="292"/>
      <c r="AH812" s="292"/>
      <c r="AI812" s="292"/>
      <c r="AJ812" s="292"/>
      <c r="AK812" s="395"/>
      <c r="AL812" s="317"/>
      <c r="AM812" s="394"/>
      <c r="AN812" s="396"/>
      <c r="AO812" s="200"/>
      <c r="AP812" s="200"/>
    </row>
    <row r="813">
      <c r="A813" s="395"/>
      <c r="B813" s="317"/>
      <c r="C813" s="394"/>
      <c r="D813" s="396"/>
      <c r="E813" s="395"/>
      <c r="F813" s="317"/>
      <c r="G813" s="394"/>
      <c r="H813" s="396"/>
      <c r="I813" s="395"/>
      <c r="J813" s="317"/>
      <c r="K813" s="394"/>
      <c r="L813" s="396"/>
      <c r="M813" s="395"/>
      <c r="N813" s="317"/>
      <c r="O813" s="394"/>
      <c r="P813" s="396"/>
      <c r="Q813" s="403"/>
      <c r="R813" s="404"/>
      <c r="S813" s="405"/>
      <c r="T813" s="401"/>
      <c r="U813" s="403"/>
      <c r="V813" s="404"/>
      <c r="W813" s="405"/>
      <c r="X813" s="401"/>
      <c r="Y813" s="403"/>
      <c r="Z813" s="404"/>
      <c r="AA813" s="405"/>
      <c r="AB813" s="401"/>
      <c r="AC813" s="403"/>
      <c r="AD813" s="404"/>
      <c r="AE813" s="405"/>
      <c r="AF813" s="401"/>
      <c r="AG813" s="292"/>
      <c r="AH813" s="292"/>
      <c r="AI813" s="292"/>
      <c r="AJ813" s="292"/>
      <c r="AK813" s="395"/>
      <c r="AL813" s="317"/>
      <c r="AM813" s="394"/>
      <c r="AN813" s="396"/>
      <c r="AO813" s="200"/>
      <c r="AP813" s="200"/>
    </row>
    <row r="814">
      <c r="A814" s="395"/>
      <c r="B814" s="317"/>
      <c r="C814" s="394"/>
      <c r="D814" s="396"/>
      <c r="E814" s="395"/>
      <c r="F814" s="317"/>
      <c r="G814" s="394"/>
      <c r="H814" s="396"/>
      <c r="I814" s="395"/>
      <c r="J814" s="317"/>
      <c r="K814" s="394"/>
      <c r="L814" s="396"/>
      <c r="M814" s="395"/>
      <c r="N814" s="317"/>
      <c r="O814" s="394"/>
      <c r="P814" s="396"/>
      <c r="Q814" s="403"/>
      <c r="R814" s="404"/>
      <c r="S814" s="405"/>
      <c r="T814" s="401"/>
      <c r="U814" s="403"/>
      <c r="V814" s="404"/>
      <c r="W814" s="405"/>
      <c r="X814" s="401"/>
      <c r="Y814" s="403"/>
      <c r="Z814" s="404"/>
      <c r="AA814" s="405"/>
      <c r="AB814" s="401"/>
      <c r="AC814" s="403"/>
      <c r="AD814" s="404"/>
      <c r="AE814" s="405"/>
      <c r="AF814" s="401"/>
      <c r="AG814" s="292"/>
      <c r="AH814" s="292"/>
      <c r="AI814" s="292"/>
      <c r="AJ814" s="292"/>
      <c r="AK814" s="395"/>
      <c r="AL814" s="317"/>
      <c r="AM814" s="394"/>
      <c r="AN814" s="396"/>
      <c r="AO814" s="200"/>
      <c r="AP814" s="200"/>
    </row>
    <row r="815">
      <c r="A815" s="395"/>
      <c r="B815" s="317"/>
      <c r="C815" s="394"/>
      <c r="D815" s="396"/>
      <c r="E815" s="395"/>
      <c r="F815" s="317"/>
      <c r="G815" s="394"/>
      <c r="H815" s="396"/>
      <c r="I815" s="395"/>
      <c r="J815" s="317"/>
      <c r="K815" s="394"/>
      <c r="L815" s="396"/>
      <c r="M815" s="395"/>
      <c r="N815" s="317"/>
      <c r="O815" s="394"/>
      <c r="P815" s="396"/>
      <c r="Q815" s="403"/>
      <c r="R815" s="404"/>
      <c r="S815" s="405"/>
      <c r="T815" s="401"/>
      <c r="U815" s="403"/>
      <c r="V815" s="404"/>
      <c r="W815" s="405"/>
      <c r="X815" s="401"/>
      <c r="Y815" s="403"/>
      <c r="Z815" s="404"/>
      <c r="AA815" s="405"/>
      <c r="AB815" s="401"/>
      <c r="AC815" s="403"/>
      <c r="AD815" s="404"/>
      <c r="AE815" s="405"/>
      <c r="AF815" s="401"/>
      <c r="AG815" s="292"/>
      <c r="AH815" s="292"/>
      <c r="AI815" s="292"/>
      <c r="AJ815" s="292"/>
      <c r="AK815" s="395"/>
      <c r="AL815" s="317"/>
      <c r="AM815" s="394"/>
      <c r="AN815" s="396"/>
      <c r="AO815" s="200"/>
      <c r="AP815" s="200"/>
    </row>
    <row r="816">
      <c r="A816" s="395"/>
      <c r="B816" s="317"/>
      <c r="C816" s="394"/>
      <c r="D816" s="396"/>
      <c r="E816" s="395"/>
      <c r="F816" s="317"/>
      <c r="G816" s="394"/>
      <c r="H816" s="396"/>
      <c r="I816" s="395"/>
      <c r="J816" s="317"/>
      <c r="K816" s="394"/>
      <c r="L816" s="396"/>
      <c r="M816" s="395"/>
      <c r="N816" s="317"/>
      <c r="O816" s="394"/>
      <c r="P816" s="396"/>
      <c r="Q816" s="403"/>
      <c r="R816" s="404"/>
      <c r="S816" s="405"/>
      <c r="T816" s="401"/>
      <c r="U816" s="403"/>
      <c r="V816" s="404"/>
      <c r="W816" s="405"/>
      <c r="X816" s="401"/>
      <c r="Y816" s="403"/>
      <c r="Z816" s="404"/>
      <c r="AA816" s="405"/>
      <c r="AB816" s="401"/>
      <c r="AC816" s="403"/>
      <c r="AD816" s="404"/>
      <c r="AE816" s="405"/>
      <c r="AF816" s="401"/>
      <c r="AG816" s="292"/>
      <c r="AH816" s="292"/>
      <c r="AI816" s="292"/>
      <c r="AJ816" s="292"/>
      <c r="AK816" s="395"/>
      <c r="AL816" s="317"/>
      <c r="AM816" s="394"/>
      <c r="AN816" s="396"/>
      <c r="AO816" s="200"/>
      <c r="AP816" s="200"/>
    </row>
    <row r="817">
      <c r="A817" s="395"/>
      <c r="B817" s="317"/>
      <c r="C817" s="394"/>
      <c r="D817" s="396"/>
      <c r="E817" s="395"/>
      <c r="F817" s="317"/>
      <c r="G817" s="394"/>
      <c r="H817" s="396"/>
      <c r="I817" s="395"/>
      <c r="J817" s="317"/>
      <c r="K817" s="394"/>
      <c r="L817" s="396"/>
      <c r="M817" s="395"/>
      <c r="N817" s="317"/>
      <c r="O817" s="394"/>
      <c r="P817" s="396"/>
      <c r="Q817" s="403"/>
      <c r="R817" s="404"/>
      <c r="S817" s="405"/>
      <c r="T817" s="401"/>
      <c r="U817" s="403"/>
      <c r="V817" s="404"/>
      <c r="W817" s="405"/>
      <c r="X817" s="401"/>
      <c r="Y817" s="403"/>
      <c r="Z817" s="404"/>
      <c r="AA817" s="405"/>
      <c r="AB817" s="401"/>
      <c r="AC817" s="403"/>
      <c r="AD817" s="404"/>
      <c r="AE817" s="405"/>
      <c r="AF817" s="401"/>
      <c r="AG817" s="292"/>
      <c r="AH817" s="292"/>
      <c r="AI817" s="292"/>
      <c r="AJ817" s="292"/>
      <c r="AK817" s="395"/>
      <c r="AL817" s="317"/>
      <c r="AM817" s="394"/>
      <c r="AN817" s="396"/>
      <c r="AO817" s="200"/>
      <c r="AP817" s="200"/>
    </row>
    <row r="818">
      <c r="A818" s="395"/>
      <c r="B818" s="317"/>
      <c r="C818" s="394"/>
      <c r="D818" s="396"/>
      <c r="E818" s="395"/>
      <c r="F818" s="317"/>
      <c r="G818" s="394"/>
      <c r="H818" s="396"/>
      <c r="I818" s="395"/>
      <c r="J818" s="317"/>
      <c r="K818" s="394"/>
      <c r="L818" s="396"/>
      <c r="M818" s="395"/>
      <c r="N818" s="317"/>
      <c r="O818" s="394"/>
      <c r="P818" s="396"/>
      <c r="Q818" s="403"/>
      <c r="R818" s="404"/>
      <c r="S818" s="405"/>
      <c r="T818" s="401"/>
      <c r="U818" s="403"/>
      <c r="V818" s="404"/>
      <c r="W818" s="405"/>
      <c r="X818" s="401"/>
      <c r="Y818" s="403"/>
      <c r="Z818" s="404"/>
      <c r="AA818" s="405"/>
      <c r="AB818" s="401"/>
      <c r="AC818" s="403"/>
      <c r="AD818" s="404"/>
      <c r="AE818" s="405"/>
      <c r="AF818" s="401"/>
      <c r="AG818" s="292"/>
      <c r="AH818" s="292"/>
      <c r="AI818" s="292"/>
      <c r="AJ818" s="292"/>
      <c r="AK818" s="395"/>
      <c r="AL818" s="317"/>
      <c r="AM818" s="394"/>
      <c r="AN818" s="396"/>
      <c r="AO818" s="200"/>
      <c r="AP818" s="200"/>
    </row>
    <row r="819">
      <c r="A819" s="395"/>
      <c r="B819" s="317"/>
      <c r="C819" s="394"/>
      <c r="D819" s="396"/>
      <c r="E819" s="395"/>
      <c r="F819" s="317"/>
      <c r="G819" s="394"/>
      <c r="H819" s="396"/>
      <c r="I819" s="395"/>
      <c r="J819" s="317"/>
      <c r="K819" s="394"/>
      <c r="L819" s="396"/>
      <c r="M819" s="395"/>
      <c r="N819" s="317"/>
      <c r="O819" s="394"/>
      <c r="P819" s="396"/>
      <c r="Q819" s="403"/>
      <c r="R819" s="404"/>
      <c r="S819" s="405"/>
      <c r="T819" s="401"/>
      <c r="U819" s="403"/>
      <c r="V819" s="404"/>
      <c r="W819" s="405"/>
      <c r="X819" s="401"/>
      <c r="Y819" s="403"/>
      <c r="Z819" s="404"/>
      <c r="AA819" s="405"/>
      <c r="AB819" s="401"/>
      <c r="AC819" s="403"/>
      <c r="AD819" s="404"/>
      <c r="AE819" s="405"/>
      <c r="AF819" s="401"/>
      <c r="AG819" s="292"/>
      <c r="AH819" s="292"/>
      <c r="AI819" s="292"/>
      <c r="AJ819" s="292"/>
      <c r="AK819" s="395"/>
      <c r="AL819" s="317"/>
      <c r="AM819" s="394"/>
      <c r="AN819" s="396"/>
      <c r="AO819" s="200"/>
      <c r="AP819" s="200"/>
    </row>
    <row r="820">
      <c r="A820" s="395"/>
      <c r="B820" s="317"/>
      <c r="C820" s="394"/>
      <c r="D820" s="396"/>
      <c r="E820" s="395"/>
      <c r="F820" s="317"/>
      <c r="G820" s="394"/>
      <c r="H820" s="396"/>
      <c r="I820" s="395"/>
      <c r="J820" s="317"/>
      <c r="K820" s="394"/>
      <c r="L820" s="396"/>
      <c r="M820" s="395"/>
      <c r="N820" s="317"/>
      <c r="O820" s="394"/>
      <c r="P820" s="396"/>
      <c r="Q820" s="403"/>
      <c r="R820" s="404"/>
      <c r="S820" s="405"/>
      <c r="T820" s="401"/>
      <c r="U820" s="403"/>
      <c r="V820" s="404"/>
      <c r="W820" s="405"/>
      <c r="X820" s="401"/>
      <c r="Y820" s="403"/>
      <c r="Z820" s="404"/>
      <c r="AA820" s="405"/>
      <c r="AB820" s="401"/>
      <c r="AC820" s="403"/>
      <c r="AD820" s="404"/>
      <c r="AE820" s="405"/>
      <c r="AF820" s="401"/>
      <c r="AG820" s="292"/>
      <c r="AH820" s="292"/>
      <c r="AI820" s="292"/>
      <c r="AJ820" s="292"/>
      <c r="AK820" s="395"/>
      <c r="AL820" s="317"/>
      <c r="AM820" s="394"/>
      <c r="AN820" s="396"/>
      <c r="AO820" s="200"/>
      <c r="AP820" s="200"/>
    </row>
    <row r="821">
      <c r="A821" s="395"/>
      <c r="B821" s="317"/>
      <c r="C821" s="394"/>
      <c r="D821" s="396"/>
      <c r="E821" s="395"/>
      <c r="F821" s="317"/>
      <c r="G821" s="394"/>
      <c r="H821" s="396"/>
      <c r="I821" s="395"/>
      <c r="J821" s="317"/>
      <c r="K821" s="394"/>
      <c r="L821" s="396"/>
      <c r="M821" s="395"/>
      <c r="N821" s="317"/>
      <c r="O821" s="394"/>
      <c r="P821" s="396"/>
      <c r="Q821" s="403"/>
      <c r="R821" s="404"/>
      <c r="S821" s="405"/>
      <c r="T821" s="401"/>
      <c r="U821" s="403"/>
      <c r="V821" s="404"/>
      <c r="W821" s="405"/>
      <c r="X821" s="401"/>
      <c r="Y821" s="403"/>
      <c r="Z821" s="404"/>
      <c r="AA821" s="405"/>
      <c r="AB821" s="401"/>
      <c r="AC821" s="403"/>
      <c r="AD821" s="404"/>
      <c r="AE821" s="405"/>
      <c r="AF821" s="401"/>
      <c r="AG821" s="292"/>
      <c r="AH821" s="292"/>
      <c r="AI821" s="292"/>
      <c r="AJ821" s="292"/>
      <c r="AK821" s="395"/>
      <c r="AL821" s="317"/>
      <c r="AM821" s="394"/>
      <c r="AN821" s="396"/>
      <c r="AO821" s="200"/>
      <c r="AP821" s="200"/>
    </row>
    <row r="822">
      <c r="A822" s="395"/>
      <c r="B822" s="317"/>
      <c r="C822" s="394"/>
      <c r="D822" s="396"/>
      <c r="E822" s="395"/>
      <c r="F822" s="317"/>
      <c r="G822" s="394"/>
      <c r="H822" s="396"/>
      <c r="I822" s="395"/>
      <c r="J822" s="317"/>
      <c r="K822" s="394"/>
      <c r="L822" s="396"/>
      <c r="M822" s="395"/>
      <c r="N822" s="317"/>
      <c r="O822" s="394"/>
      <c r="P822" s="396"/>
      <c r="Q822" s="403"/>
      <c r="R822" s="404"/>
      <c r="S822" s="405"/>
      <c r="T822" s="401"/>
      <c r="U822" s="403"/>
      <c r="V822" s="404"/>
      <c r="W822" s="405"/>
      <c r="X822" s="401"/>
      <c r="Y822" s="403"/>
      <c r="Z822" s="404"/>
      <c r="AA822" s="405"/>
      <c r="AB822" s="401"/>
      <c r="AC822" s="403"/>
      <c r="AD822" s="404"/>
      <c r="AE822" s="405"/>
      <c r="AF822" s="401"/>
      <c r="AG822" s="292"/>
      <c r="AH822" s="292"/>
      <c r="AI822" s="292"/>
      <c r="AJ822" s="292"/>
      <c r="AK822" s="395"/>
      <c r="AL822" s="317"/>
      <c r="AM822" s="394"/>
      <c r="AN822" s="396"/>
      <c r="AO822" s="200"/>
      <c r="AP822" s="200"/>
    </row>
    <row r="823">
      <c r="A823" s="395"/>
      <c r="B823" s="317"/>
      <c r="C823" s="394"/>
      <c r="D823" s="396"/>
      <c r="E823" s="395"/>
      <c r="F823" s="317"/>
      <c r="G823" s="394"/>
      <c r="H823" s="396"/>
      <c r="I823" s="395"/>
      <c r="J823" s="317"/>
      <c r="K823" s="394"/>
      <c r="L823" s="396"/>
      <c r="M823" s="395"/>
      <c r="N823" s="317"/>
      <c r="O823" s="394"/>
      <c r="P823" s="396"/>
      <c r="Q823" s="403"/>
      <c r="R823" s="404"/>
      <c r="S823" s="405"/>
      <c r="T823" s="401"/>
      <c r="U823" s="403"/>
      <c r="V823" s="404"/>
      <c r="W823" s="405"/>
      <c r="X823" s="401"/>
      <c r="Y823" s="403"/>
      <c r="Z823" s="404"/>
      <c r="AA823" s="405"/>
      <c r="AB823" s="401"/>
      <c r="AC823" s="403"/>
      <c r="AD823" s="404"/>
      <c r="AE823" s="405"/>
      <c r="AF823" s="401"/>
      <c r="AG823" s="292"/>
      <c r="AH823" s="292"/>
      <c r="AI823" s="292"/>
      <c r="AJ823" s="292"/>
      <c r="AK823" s="395"/>
      <c r="AL823" s="317"/>
      <c r="AM823" s="394"/>
      <c r="AN823" s="396"/>
      <c r="AO823" s="200"/>
      <c r="AP823" s="200"/>
    </row>
    <row r="824">
      <c r="A824" s="395"/>
      <c r="B824" s="317"/>
      <c r="C824" s="394"/>
      <c r="D824" s="396"/>
      <c r="E824" s="395"/>
      <c r="F824" s="317"/>
      <c r="G824" s="394"/>
      <c r="H824" s="396"/>
      <c r="I824" s="395"/>
      <c r="J824" s="317"/>
      <c r="K824" s="394"/>
      <c r="L824" s="396"/>
      <c r="M824" s="395"/>
      <c r="N824" s="317"/>
      <c r="O824" s="394"/>
      <c r="P824" s="396"/>
      <c r="Q824" s="403"/>
      <c r="R824" s="404"/>
      <c r="S824" s="405"/>
      <c r="T824" s="401"/>
      <c r="U824" s="403"/>
      <c r="V824" s="404"/>
      <c r="W824" s="405"/>
      <c r="X824" s="401"/>
      <c r="Y824" s="403"/>
      <c r="Z824" s="404"/>
      <c r="AA824" s="405"/>
      <c r="AB824" s="401"/>
      <c r="AC824" s="403"/>
      <c r="AD824" s="404"/>
      <c r="AE824" s="405"/>
      <c r="AF824" s="401"/>
      <c r="AG824" s="292"/>
      <c r="AH824" s="292"/>
      <c r="AI824" s="292"/>
      <c r="AJ824" s="292"/>
      <c r="AK824" s="395"/>
      <c r="AL824" s="317"/>
      <c r="AM824" s="394"/>
      <c r="AN824" s="396"/>
      <c r="AO824" s="200"/>
      <c r="AP824" s="200"/>
    </row>
    <row r="825">
      <c r="A825" s="395"/>
      <c r="B825" s="317"/>
      <c r="C825" s="394"/>
      <c r="D825" s="396"/>
      <c r="E825" s="395"/>
      <c r="F825" s="317"/>
      <c r="G825" s="394"/>
      <c r="H825" s="396"/>
      <c r="I825" s="395"/>
      <c r="J825" s="317"/>
      <c r="K825" s="394"/>
      <c r="L825" s="396"/>
      <c r="M825" s="395"/>
      <c r="N825" s="317"/>
      <c r="O825" s="394"/>
      <c r="P825" s="396"/>
      <c r="Q825" s="403"/>
      <c r="R825" s="404"/>
      <c r="S825" s="405"/>
      <c r="T825" s="401"/>
      <c r="U825" s="403"/>
      <c r="V825" s="404"/>
      <c r="W825" s="405"/>
      <c r="X825" s="401"/>
      <c r="Y825" s="403"/>
      <c r="Z825" s="404"/>
      <c r="AA825" s="405"/>
      <c r="AB825" s="401"/>
      <c r="AC825" s="403"/>
      <c r="AD825" s="404"/>
      <c r="AE825" s="405"/>
      <c r="AF825" s="401"/>
      <c r="AG825" s="292"/>
      <c r="AH825" s="292"/>
      <c r="AI825" s="292"/>
      <c r="AJ825" s="292"/>
      <c r="AK825" s="395"/>
      <c r="AL825" s="317"/>
      <c r="AM825" s="394"/>
      <c r="AN825" s="396"/>
      <c r="AO825" s="200"/>
      <c r="AP825" s="200"/>
    </row>
    <row r="826">
      <c r="A826" s="395"/>
      <c r="B826" s="317"/>
      <c r="C826" s="394"/>
      <c r="D826" s="396"/>
      <c r="E826" s="395"/>
      <c r="F826" s="317"/>
      <c r="G826" s="394"/>
      <c r="H826" s="396"/>
      <c r="I826" s="395"/>
      <c r="J826" s="317"/>
      <c r="K826" s="394"/>
      <c r="L826" s="396"/>
      <c r="M826" s="395"/>
      <c r="N826" s="317"/>
      <c r="O826" s="394"/>
      <c r="P826" s="396"/>
      <c r="Q826" s="403"/>
      <c r="R826" s="404"/>
      <c r="S826" s="405"/>
      <c r="T826" s="401"/>
      <c r="U826" s="403"/>
      <c r="V826" s="404"/>
      <c r="W826" s="405"/>
      <c r="X826" s="401"/>
      <c r="Y826" s="403"/>
      <c r="Z826" s="404"/>
      <c r="AA826" s="405"/>
      <c r="AB826" s="401"/>
      <c r="AC826" s="403"/>
      <c r="AD826" s="404"/>
      <c r="AE826" s="405"/>
      <c r="AF826" s="401"/>
      <c r="AG826" s="292"/>
      <c r="AH826" s="292"/>
      <c r="AI826" s="292"/>
      <c r="AJ826" s="292"/>
      <c r="AK826" s="395"/>
      <c r="AL826" s="317"/>
      <c r="AM826" s="394"/>
      <c r="AN826" s="396"/>
      <c r="AO826" s="200"/>
      <c r="AP826" s="200"/>
    </row>
    <row r="827">
      <c r="A827" s="395"/>
      <c r="B827" s="317"/>
      <c r="C827" s="394"/>
      <c r="D827" s="396"/>
      <c r="E827" s="395"/>
      <c r="F827" s="317"/>
      <c r="G827" s="394"/>
      <c r="H827" s="396"/>
      <c r="I827" s="395"/>
      <c r="J827" s="317"/>
      <c r="K827" s="394"/>
      <c r="L827" s="396"/>
      <c r="M827" s="395"/>
      <c r="N827" s="317"/>
      <c r="O827" s="394"/>
      <c r="P827" s="396"/>
      <c r="Q827" s="403"/>
      <c r="R827" s="404"/>
      <c r="S827" s="405"/>
      <c r="T827" s="401"/>
      <c r="U827" s="403"/>
      <c r="V827" s="404"/>
      <c r="W827" s="405"/>
      <c r="X827" s="401"/>
      <c r="Y827" s="403"/>
      <c r="Z827" s="404"/>
      <c r="AA827" s="405"/>
      <c r="AB827" s="401"/>
      <c r="AC827" s="403"/>
      <c r="AD827" s="404"/>
      <c r="AE827" s="405"/>
      <c r="AF827" s="401"/>
      <c r="AG827" s="292"/>
      <c r="AH827" s="292"/>
      <c r="AI827" s="292"/>
      <c r="AJ827" s="292"/>
      <c r="AK827" s="395"/>
      <c r="AL827" s="317"/>
      <c r="AM827" s="394"/>
      <c r="AN827" s="396"/>
      <c r="AO827" s="200"/>
      <c r="AP827" s="200"/>
    </row>
    <row r="828">
      <c r="A828" s="395"/>
      <c r="B828" s="317"/>
      <c r="C828" s="394"/>
      <c r="D828" s="396"/>
      <c r="E828" s="395"/>
      <c r="F828" s="317"/>
      <c r="G828" s="394"/>
      <c r="H828" s="396"/>
      <c r="I828" s="395"/>
      <c r="J828" s="317"/>
      <c r="K828" s="394"/>
      <c r="L828" s="396"/>
      <c r="M828" s="395"/>
      <c r="N828" s="317"/>
      <c r="O828" s="394"/>
      <c r="P828" s="396"/>
      <c r="Q828" s="403"/>
      <c r="R828" s="404"/>
      <c r="S828" s="405"/>
      <c r="T828" s="401"/>
      <c r="U828" s="403"/>
      <c r="V828" s="404"/>
      <c r="W828" s="405"/>
      <c r="X828" s="401"/>
      <c r="Y828" s="403"/>
      <c r="Z828" s="404"/>
      <c r="AA828" s="405"/>
      <c r="AB828" s="401"/>
      <c r="AC828" s="403"/>
      <c r="AD828" s="404"/>
      <c r="AE828" s="405"/>
      <c r="AF828" s="401"/>
      <c r="AG828" s="292"/>
      <c r="AH828" s="292"/>
      <c r="AI828" s="292"/>
      <c r="AJ828" s="292"/>
      <c r="AK828" s="395"/>
      <c r="AL828" s="317"/>
      <c r="AM828" s="394"/>
      <c r="AN828" s="396"/>
      <c r="AO828" s="200"/>
      <c r="AP828" s="200"/>
    </row>
    <row r="829">
      <c r="A829" s="395"/>
      <c r="B829" s="317"/>
      <c r="C829" s="394"/>
      <c r="D829" s="396"/>
      <c r="E829" s="395"/>
      <c r="F829" s="317"/>
      <c r="G829" s="394"/>
      <c r="H829" s="396"/>
      <c r="I829" s="395"/>
      <c r="J829" s="317"/>
      <c r="K829" s="394"/>
      <c r="L829" s="396"/>
      <c r="M829" s="395"/>
      <c r="N829" s="317"/>
      <c r="O829" s="394"/>
      <c r="P829" s="396"/>
      <c r="Q829" s="403"/>
      <c r="R829" s="404"/>
      <c r="S829" s="405"/>
      <c r="T829" s="401"/>
      <c r="U829" s="403"/>
      <c r="V829" s="404"/>
      <c r="W829" s="405"/>
      <c r="X829" s="401"/>
      <c r="Y829" s="403"/>
      <c r="Z829" s="404"/>
      <c r="AA829" s="405"/>
      <c r="AB829" s="401"/>
      <c r="AC829" s="403"/>
      <c r="AD829" s="404"/>
      <c r="AE829" s="405"/>
      <c r="AF829" s="401"/>
      <c r="AG829" s="292"/>
      <c r="AH829" s="292"/>
      <c r="AI829" s="292"/>
      <c r="AJ829" s="292"/>
      <c r="AK829" s="395"/>
      <c r="AL829" s="317"/>
      <c r="AM829" s="394"/>
      <c r="AN829" s="396"/>
      <c r="AO829" s="200"/>
      <c r="AP829" s="200"/>
    </row>
    <row r="830">
      <c r="A830" s="395"/>
      <c r="B830" s="317"/>
      <c r="C830" s="394"/>
      <c r="D830" s="396"/>
      <c r="E830" s="395"/>
      <c r="F830" s="317"/>
      <c r="G830" s="394"/>
      <c r="H830" s="396"/>
      <c r="I830" s="395"/>
      <c r="J830" s="317"/>
      <c r="K830" s="394"/>
      <c r="L830" s="396"/>
      <c r="M830" s="395"/>
      <c r="N830" s="317"/>
      <c r="O830" s="394"/>
      <c r="P830" s="396"/>
      <c r="Q830" s="403"/>
      <c r="R830" s="404"/>
      <c r="S830" s="405"/>
      <c r="T830" s="401"/>
      <c r="U830" s="403"/>
      <c r="V830" s="404"/>
      <c r="W830" s="405"/>
      <c r="X830" s="401"/>
      <c r="Y830" s="403"/>
      <c r="Z830" s="404"/>
      <c r="AA830" s="405"/>
      <c r="AB830" s="401"/>
      <c r="AC830" s="403"/>
      <c r="AD830" s="404"/>
      <c r="AE830" s="405"/>
      <c r="AF830" s="401"/>
      <c r="AG830" s="292"/>
      <c r="AH830" s="292"/>
      <c r="AI830" s="292"/>
      <c r="AJ830" s="292"/>
      <c r="AK830" s="395"/>
      <c r="AL830" s="317"/>
      <c r="AM830" s="394"/>
      <c r="AN830" s="396"/>
      <c r="AO830" s="200"/>
      <c r="AP830" s="200"/>
    </row>
    <row r="831">
      <c r="A831" s="395"/>
      <c r="B831" s="317"/>
      <c r="C831" s="394"/>
      <c r="D831" s="396"/>
      <c r="E831" s="395"/>
      <c r="F831" s="317"/>
      <c r="G831" s="394"/>
      <c r="H831" s="396"/>
      <c r="I831" s="395"/>
      <c r="J831" s="317"/>
      <c r="K831" s="394"/>
      <c r="L831" s="396"/>
      <c r="M831" s="395"/>
      <c r="N831" s="317"/>
      <c r="O831" s="394"/>
      <c r="P831" s="396"/>
      <c r="Q831" s="403"/>
      <c r="R831" s="404"/>
      <c r="S831" s="405"/>
      <c r="T831" s="401"/>
      <c r="U831" s="403"/>
      <c r="V831" s="404"/>
      <c r="W831" s="405"/>
      <c r="X831" s="401"/>
      <c r="Y831" s="403"/>
      <c r="Z831" s="404"/>
      <c r="AA831" s="405"/>
      <c r="AB831" s="401"/>
      <c r="AC831" s="403"/>
      <c r="AD831" s="404"/>
      <c r="AE831" s="405"/>
      <c r="AF831" s="401"/>
      <c r="AG831" s="292"/>
      <c r="AH831" s="292"/>
      <c r="AI831" s="292"/>
      <c r="AJ831" s="292"/>
      <c r="AK831" s="395"/>
      <c r="AL831" s="317"/>
      <c r="AM831" s="394"/>
      <c r="AN831" s="396"/>
      <c r="AO831" s="200"/>
      <c r="AP831" s="200"/>
    </row>
    <row r="832">
      <c r="A832" s="395"/>
      <c r="B832" s="317"/>
      <c r="C832" s="394"/>
      <c r="D832" s="396"/>
      <c r="E832" s="395"/>
      <c r="F832" s="317"/>
      <c r="G832" s="394"/>
      <c r="H832" s="396"/>
      <c r="I832" s="395"/>
      <c r="J832" s="317"/>
      <c r="K832" s="394"/>
      <c r="L832" s="396"/>
      <c r="M832" s="395"/>
      <c r="N832" s="317"/>
      <c r="O832" s="394"/>
      <c r="P832" s="396"/>
      <c r="Q832" s="403"/>
      <c r="R832" s="404"/>
      <c r="S832" s="405"/>
      <c r="T832" s="401"/>
      <c r="U832" s="403"/>
      <c r="V832" s="404"/>
      <c r="W832" s="405"/>
      <c r="X832" s="401"/>
      <c r="Y832" s="403"/>
      <c r="Z832" s="404"/>
      <c r="AA832" s="405"/>
      <c r="AB832" s="401"/>
      <c r="AC832" s="403"/>
      <c r="AD832" s="404"/>
      <c r="AE832" s="405"/>
      <c r="AF832" s="401"/>
      <c r="AG832" s="292"/>
      <c r="AH832" s="292"/>
      <c r="AI832" s="292"/>
      <c r="AJ832" s="292"/>
      <c r="AK832" s="395"/>
      <c r="AL832" s="317"/>
      <c r="AM832" s="394"/>
      <c r="AN832" s="396"/>
      <c r="AO832" s="200"/>
      <c r="AP832" s="200"/>
    </row>
    <row r="833">
      <c r="A833" s="395"/>
      <c r="B833" s="317"/>
      <c r="C833" s="394"/>
      <c r="D833" s="396"/>
      <c r="E833" s="395"/>
      <c r="F833" s="317"/>
      <c r="G833" s="394"/>
      <c r="H833" s="396"/>
      <c r="I833" s="395"/>
      <c r="J833" s="317"/>
      <c r="K833" s="394"/>
      <c r="L833" s="396"/>
      <c r="M833" s="395"/>
      <c r="N833" s="317"/>
      <c r="O833" s="394"/>
      <c r="P833" s="396"/>
      <c r="Q833" s="403"/>
      <c r="R833" s="404"/>
      <c r="S833" s="405"/>
      <c r="T833" s="401"/>
      <c r="U833" s="403"/>
      <c r="V833" s="404"/>
      <c r="W833" s="405"/>
      <c r="X833" s="401"/>
      <c r="Y833" s="403"/>
      <c r="Z833" s="404"/>
      <c r="AA833" s="405"/>
      <c r="AB833" s="401"/>
      <c r="AC833" s="403"/>
      <c r="AD833" s="404"/>
      <c r="AE833" s="405"/>
      <c r="AF833" s="401"/>
      <c r="AG833" s="292"/>
      <c r="AH833" s="292"/>
      <c r="AI833" s="292"/>
      <c r="AJ833" s="292"/>
      <c r="AK833" s="395"/>
      <c r="AL833" s="317"/>
      <c r="AM833" s="394"/>
      <c r="AN833" s="396"/>
      <c r="AO833" s="200"/>
      <c r="AP833" s="200"/>
    </row>
    <row r="834">
      <c r="A834" s="395"/>
      <c r="B834" s="317"/>
      <c r="C834" s="394"/>
      <c r="D834" s="396"/>
      <c r="E834" s="395"/>
      <c r="F834" s="317"/>
      <c r="G834" s="394"/>
      <c r="H834" s="396"/>
      <c r="I834" s="395"/>
      <c r="J834" s="317"/>
      <c r="K834" s="394"/>
      <c r="L834" s="396"/>
      <c r="M834" s="395"/>
      <c r="N834" s="317"/>
      <c r="O834" s="394"/>
      <c r="P834" s="396"/>
      <c r="Q834" s="403"/>
      <c r="R834" s="404"/>
      <c r="S834" s="405"/>
      <c r="T834" s="401"/>
      <c r="U834" s="403"/>
      <c r="V834" s="404"/>
      <c r="W834" s="405"/>
      <c r="X834" s="401"/>
      <c r="Y834" s="403"/>
      <c r="Z834" s="404"/>
      <c r="AA834" s="405"/>
      <c r="AB834" s="401"/>
      <c r="AC834" s="403"/>
      <c r="AD834" s="404"/>
      <c r="AE834" s="405"/>
      <c r="AF834" s="401"/>
      <c r="AG834" s="292"/>
      <c r="AH834" s="292"/>
      <c r="AI834" s="292"/>
      <c r="AJ834" s="292"/>
      <c r="AK834" s="395"/>
      <c r="AL834" s="317"/>
      <c r="AM834" s="394"/>
      <c r="AN834" s="396"/>
      <c r="AO834" s="200"/>
      <c r="AP834" s="200"/>
    </row>
    <row r="835">
      <c r="A835" s="395"/>
      <c r="B835" s="317"/>
      <c r="C835" s="394"/>
      <c r="D835" s="396"/>
      <c r="E835" s="395"/>
      <c r="F835" s="317"/>
      <c r="G835" s="394"/>
      <c r="H835" s="396"/>
      <c r="I835" s="395"/>
      <c r="J835" s="317"/>
      <c r="K835" s="394"/>
      <c r="L835" s="396"/>
      <c r="M835" s="395"/>
      <c r="N835" s="317"/>
      <c r="O835" s="394"/>
      <c r="P835" s="396"/>
      <c r="Q835" s="403"/>
      <c r="R835" s="404"/>
      <c r="S835" s="405"/>
      <c r="T835" s="401"/>
      <c r="U835" s="403"/>
      <c r="V835" s="404"/>
      <c r="W835" s="405"/>
      <c r="X835" s="401"/>
      <c r="Y835" s="403"/>
      <c r="Z835" s="404"/>
      <c r="AA835" s="405"/>
      <c r="AB835" s="401"/>
      <c r="AC835" s="403"/>
      <c r="AD835" s="404"/>
      <c r="AE835" s="405"/>
      <c r="AF835" s="401"/>
      <c r="AG835" s="292"/>
      <c r="AH835" s="292"/>
      <c r="AI835" s="292"/>
      <c r="AJ835" s="292"/>
      <c r="AK835" s="395"/>
      <c r="AL835" s="317"/>
      <c r="AM835" s="394"/>
      <c r="AN835" s="396"/>
      <c r="AO835" s="200"/>
      <c r="AP835" s="200"/>
    </row>
    <row r="836">
      <c r="A836" s="395"/>
      <c r="B836" s="317"/>
      <c r="C836" s="394"/>
      <c r="D836" s="396"/>
      <c r="E836" s="395"/>
      <c r="F836" s="317"/>
      <c r="G836" s="394"/>
      <c r="H836" s="396"/>
      <c r="I836" s="395"/>
      <c r="J836" s="317"/>
      <c r="K836" s="394"/>
      <c r="L836" s="396"/>
      <c r="M836" s="395"/>
      <c r="N836" s="317"/>
      <c r="O836" s="394"/>
      <c r="P836" s="396"/>
      <c r="Q836" s="403"/>
      <c r="R836" s="404"/>
      <c r="S836" s="405"/>
      <c r="T836" s="401"/>
      <c r="U836" s="403"/>
      <c r="V836" s="404"/>
      <c r="W836" s="405"/>
      <c r="X836" s="401"/>
      <c r="Y836" s="403"/>
      <c r="Z836" s="404"/>
      <c r="AA836" s="405"/>
      <c r="AB836" s="401"/>
      <c r="AC836" s="403"/>
      <c r="AD836" s="404"/>
      <c r="AE836" s="405"/>
      <c r="AF836" s="401"/>
      <c r="AG836" s="292"/>
      <c r="AH836" s="292"/>
      <c r="AI836" s="292"/>
      <c r="AJ836" s="292"/>
      <c r="AK836" s="395"/>
      <c r="AL836" s="317"/>
      <c r="AM836" s="394"/>
      <c r="AN836" s="396"/>
      <c r="AO836" s="200"/>
      <c r="AP836" s="200"/>
    </row>
    <row r="837">
      <c r="A837" s="395"/>
      <c r="B837" s="317"/>
      <c r="C837" s="394"/>
      <c r="D837" s="396"/>
      <c r="E837" s="395"/>
      <c r="F837" s="317"/>
      <c r="G837" s="394"/>
      <c r="H837" s="396"/>
      <c r="I837" s="395"/>
      <c r="J837" s="317"/>
      <c r="K837" s="394"/>
      <c r="L837" s="396"/>
      <c r="M837" s="395"/>
      <c r="N837" s="317"/>
      <c r="O837" s="394"/>
      <c r="P837" s="396"/>
      <c r="Q837" s="403"/>
      <c r="R837" s="404"/>
      <c r="S837" s="405"/>
      <c r="T837" s="401"/>
      <c r="U837" s="403"/>
      <c r="V837" s="404"/>
      <c r="W837" s="405"/>
      <c r="X837" s="401"/>
      <c r="Y837" s="403"/>
      <c r="Z837" s="404"/>
      <c r="AA837" s="405"/>
      <c r="AB837" s="401"/>
      <c r="AC837" s="403"/>
      <c r="AD837" s="404"/>
      <c r="AE837" s="405"/>
      <c r="AF837" s="401"/>
      <c r="AG837" s="292"/>
      <c r="AH837" s="292"/>
      <c r="AI837" s="292"/>
      <c r="AJ837" s="292"/>
      <c r="AK837" s="395"/>
      <c r="AL837" s="317"/>
      <c r="AM837" s="394"/>
      <c r="AN837" s="396"/>
      <c r="AO837" s="200"/>
      <c r="AP837" s="200"/>
    </row>
    <row r="838">
      <c r="A838" s="395"/>
      <c r="B838" s="317"/>
      <c r="C838" s="394"/>
      <c r="D838" s="396"/>
      <c r="E838" s="395"/>
      <c r="F838" s="317"/>
      <c r="G838" s="394"/>
      <c r="H838" s="396"/>
      <c r="I838" s="395"/>
      <c r="J838" s="317"/>
      <c r="K838" s="394"/>
      <c r="L838" s="396"/>
      <c r="M838" s="395"/>
      <c r="N838" s="317"/>
      <c r="O838" s="394"/>
      <c r="P838" s="396"/>
      <c r="Q838" s="403"/>
      <c r="R838" s="404"/>
      <c r="S838" s="405"/>
      <c r="T838" s="401"/>
      <c r="U838" s="403"/>
      <c r="V838" s="404"/>
      <c r="W838" s="405"/>
      <c r="X838" s="401"/>
      <c r="Y838" s="403"/>
      <c r="Z838" s="404"/>
      <c r="AA838" s="405"/>
      <c r="AB838" s="401"/>
      <c r="AC838" s="403"/>
      <c r="AD838" s="404"/>
      <c r="AE838" s="405"/>
      <c r="AF838" s="401"/>
      <c r="AG838" s="292"/>
      <c r="AH838" s="292"/>
      <c r="AI838" s="292"/>
      <c r="AJ838" s="292"/>
      <c r="AK838" s="395"/>
      <c r="AL838" s="317"/>
      <c r="AM838" s="394"/>
      <c r="AN838" s="396"/>
      <c r="AO838" s="200"/>
      <c r="AP838" s="200"/>
    </row>
    <row r="839">
      <c r="A839" s="395"/>
      <c r="B839" s="317"/>
      <c r="C839" s="394"/>
      <c r="D839" s="396"/>
      <c r="E839" s="395"/>
      <c r="F839" s="317"/>
      <c r="G839" s="394"/>
      <c r="H839" s="396"/>
      <c r="I839" s="395"/>
      <c r="J839" s="317"/>
      <c r="K839" s="394"/>
      <c r="L839" s="396"/>
      <c r="M839" s="395"/>
      <c r="N839" s="317"/>
      <c r="O839" s="394"/>
      <c r="P839" s="396"/>
      <c r="Q839" s="403"/>
      <c r="R839" s="404"/>
      <c r="S839" s="405"/>
      <c r="T839" s="401"/>
      <c r="U839" s="403"/>
      <c r="V839" s="404"/>
      <c r="W839" s="405"/>
      <c r="X839" s="401"/>
      <c r="Y839" s="403"/>
      <c r="Z839" s="404"/>
      <c r="AA839" s="405"/>
      <c r="AB839" s="401"/>
      <c r="AC839" s="403"/>
      <c r="AD839" s="404"/>
      <c r="AE839" s="405"/>
      <c r="AF839" s="401"/>
      <c r="AG839" s="292"/>
      <c r="AH839" s="292"/>
      <c r="AI839" s="292"/>
      <c r="AJ839" s="292"/>
      <c r="AK839" s="395"/>
      <c r="AL839" s="317"/>
      <c r="AM839" s="394"/>
      <c r="AN839" s="396"/>
      <c r="AO839" s="200"/>
      <c r="AP839" s="200"/>
    </row>
    <row r="840">
      <c r="A840" s="395"/>
      <c r="B840" s="317"/>
      <c r="C840" s="394"/>
      <c r="D840" s="396"/>
      <c r="E840" s="395"/>
      <c r="F840" s="317"/>
      <c r="G840" s="394"/>
      <c r="H840" s="396"/>
      <c r="I840" s="395"/>
      <c r="J840" s="317"/>
      <c r="K840" s="394"/>
      <c r="L840" s="396"/>
      <c r="M840" s="395"/>
      <c r="N840" s="317"/>
      <c r="O840" s="394"/>
      <c r="P840" s="396"/>
      <c r="Q840" s="403"/>
      <c r="R840" s="404"/>
      <c r="S840" s="405"/>
      <c r="T840" s="401"/>
      <c r="U840" s="403"/>
      <c r="V840" s="404"/>
      <c r="W840" s="405"/>
      <c r="X840" s="401"/>
      <c r="Y840" s="403"/>
      <c r="Z840" s="404"/>
      <c r="AA840" s="405"/>
      <c r="AB840" s="401"/>
      <c r="AC840" s="403"/>
      <c r="AD840" s="404"/>
      <c r="AE840" s="405"/>
      <c r="AF840" s="401"/>
      <c r="AG840" s="292"/>
      <c r="AH840" s="292"/>
      <c r="AI840" s="292"/>
      <c r="AJ840" s="292"/>
      <c r="AK840" s="395"/>
      <c r="AL840" s="317"/>
      <c r="AM840" s="394"/>
      <c r="AN840" s="396"/>
      <c r="AO840" s="200"/>
      <c r="AP840" s="200"/>
    </row>
    <row r="841">
      <c r="A841" s="395"/>
      <c r="B841" s="317"/>
      <c r="C841" s="394"/>
      <c r="D841" s="396"/>
      <c r="E841" s="395"/>
      <c r="F841" s="317"/>
      <c r="G841" s="394"/>
      <c r="H841" s="396"/>
      <c r="I841" s="395"/>
      <c r="J841" s="317"/>
      <c r="K841" s="394"/>
      <c r="L841" s="396"/>
      <c r="M841" s="395"/>
      <c r="N841" s="317"/>
      <c r="O841" s="394"/>
      <c r="P841" s="396"/>
      <c r="Q841" s="403"/>
      <c r="R841" s="404"/>
      <c r="S841" s="405"/>
      <c r="T841" s="401"/>
      <c r="U841" s="403"/>
      <c r="V841" s="404"/>
      <c r="W841" s="405"/>
      <c r="X841" s="401"/>
      <c r="Y841" s="403"/>
      <c r="Z841" s="404"/>
      <c r="AA841" s="405"/>
      <c r="AB841" s="401"/>
      <c r="AC841" s="403"/>
      <c r="AD841" s="404"/>
      <c r="AE841" s="405"/>
      <c r="AF841" s="401"/>
      <c r="AG841" s="292"/>
      <c r="AH841" s="292"/>
      <c r="AI841" s="292"/>
      <c r="AJ841" s="292"/>
      <c r="AK841" s="395"/>
      <c r="AL841" s="317"/>
      <c r="AM841" s="394"/>
      <c r="AN841" s="396"/>
      <c r="AO841" s="200"/>
      <c r="AP841" s="200"/>
    </row>
    <row r="842">
      <c r="A842" s="395"/>
      <c r="B842" s="317"/>
      <c r="C842" s="394"/>
      <c r="D842" s="396"/>
      <c r="E842" s="395"/>
      <c r="F842" s="317"/>
      <c r="G842" s="394"/>
      <c r="H842" s="396"/>
      <c r="I842" s="395"/>
      <c r="J842" s="317"/>
      <c r="K842" s="394"/>
      <c r="L842" s="396"/>
      <c r="M842" s="395"/>
      <c r="N842" s="317"/>
      <c r="O842" s="394"/>
      <c r="P842" s="396"/>
      <c r="Q842" s="403"/>
      <c r="R842" s="404"/>
      <c r="S842" s="405"/>
      <c r="T842" s="401"/>
      <c r="U842" s="403"/>
      <c r="V842" s="404"/>
      <c r="W842" s="405"/>
      <c r="X842" s="401"/>
      <c r="Y842" s="403"/>
      <c r="Z842" s="404"/>
      <c r="AA842" s="405"/>
      <c r="AB842" s="401"/>
      <c r="AC842" s="403"/>
      <c r="AD842" s="404"/>
      <c r="AE842" s="405"/>
      <c r="AF842" s="401"/>
      <c r="AG842" s="292"/>
      <c r="AH842" s="292"/>
      <c r="AI842" s="292"/>
      <c r="AJ842" s="292"/>
      <c r="AK842" s="395"/>
      <c r="AL842" s="317"/>
      <c r="AM842" s="394"/>
      <c r="AN842" s="396"/>
      <c r="AO842" s="200"/>
      <c r="AP842" s="200"/>
    </row>
    <row r="843">
      <c r="A843" s="395"/>
      <c r="B843" s="317"/>
      <c r="C843" s="394"/>
      <c r="D843" s="396"/>
      <c r="E843" s="395"/>
      <c r="F843" s="317"/>
      <c r="G843" s="394"/>
      <c r="H843" s="396"/>
      <c r="I843" s="395"/>
      <c r="J843" s="317"/>
      <c r="K843" s="394"/>
      <c r="L843" s="396"/>
      <c r="M843" s="395"/>
      <c r="N843" s="317"/>
      <c r="O843" s="394"/>
      <c r="P843" s="396"/>
      <c r="Q843" s="403"/>
      <c r="R843" s="404"/>
      <c r="S843" s="405"/>
      <c r="T843" s="401"/>
      <c r="U843" s="403"/>
      <c r="V843" s="404"/>
      <c r="W843" s="405"/>
      <c r="X843" s="401"/>
      <c r="Y843" s="403"/>
      <c r="Z843" s="404"/>
      <c r="AA843" s="405"/>
      <c r="AB843" s="401"/>
      <c r="AC843" s="403"/>
      <c r="AD843" s="404"/>
      <c r="AE843" s="405"/>
      <c r="AF843" s="401"/>
      <c r="AG843" s="292"/>
      <c r="AH843" s="292"/>
      <c r="AI843" s="292"/>
      <c r="AJ843" s="292"/>
      <c r="AK843" s="395"/>
      <c r="AL843" s="317"/>
      <c r="AM843" s="394"/>
      <c r="AN843" s="396"/>
      <c r="AO843" s="200"/>
      <c r="AP843" s="200"/>
    </row>
    <row r="844">
      <c r="A844" s="395"/>
      <c r="B844" s="317"/>
      <c r="C844" s="394"/>
      <c r="D844" s="396"/>
      <c r="E844" s="395"/>
      <c r="F844" s="317"/>
      <c r="G844" s="394"/>
      <c r="H844" s="396"/>
      <c r="I844" s="395"/>
      <c r="J844" s="317"/>
      <c r="K844" s="394"/>
      <c r="L844" s="396"/>
      <c r="M844" s="395"/>
      <c r="N844" s="317"/>
      <c r="O844" s="394"/>
      <c r="P844" s="396"/>
      <c r="Q844" s="403"/>
      <c r="R844" s="404"/>
      <c r="S844" s="405"/>
      <c r="T844" s="401"/>
      <c r="U844" s="403"/>
      <c r="V844" s="404"/>
      <c r="W844" s="405"/>
      <c r="X844" s="401"/>
      <c r="Y844" s="403"/>
      <c r="Z844" s="404"/>
      <c r="AA844" s="405"/>
      <c r="AB844" s="401"/>
      <c r="AC844" s="403"/>
      <c r="AD844" s="404"/>
      <c r="AE844" s="405"/>
      <c r="AF844" s="401"/>
      <c r="AG844" s="292"/>
      <c r="AH844" s="292"/>
      <c r="AI844" s="292"/>
      <c r="AJ844" s="292"/>
      <c r="AK844" s="395"/>
      <c r="AL844" s="317"/>
      <c r="AM844" s="394"/>
      <c r="AN844" s="396"/>
      <c r="AO844" s="200"/>
      <c r="AP844" s="200"/>
    </row>
    <row r="845">
      <c r="A845" s="395"/>
      <c r="B845" s="317"/>
      <c r="C845" s="394"/>
      <c r="D845" s="396"/>
      <c r="E845" s="395"/>
      <c r="F845" s="317"/>
      <c r="G845" s="394"/>
      <c r="H845" s="396"/>
      <c r="I845" s="395"/>
      <c r="J845" s="317"/>
      <c r="K845" s="394"/>
      <c r="L845" s="396"/>
      <c r="M845" s="395"/>
      <c r="N845" s="317"/>
      <c r="O845" s="394"/>
      <c r="P845" s="396"/>
      <c r="Q845" s="403"/>
      <c r="R845" s="404"/>
      <c r="S845" s="405"/>
      <c r="T845" s="401"/>
      <c r="U845" s="403"/>
      <c r="V845" s="404"/>
      <c r="W845" s="405"/>
      <c r="X845" s="401"/>
      <c r="Y845" s="403"/>
      <c r="Z845" s="404"/>
      <c r="AA845" s="405"/>
      <c r="AB845" s="401"/>
      <c r="AC845" s="403"/>
      <c r="AD845" s="404"/>
      <c r="AE845" s="405"/>
      <c r="AF845" s="401"/>
      <c r="AG845" s="292"/>
      <c r="AH845" s="292"/>
      <c r="AI845" s="292"/>
      <c r="AJ845" s="292"/>
      <c r="AK845" s="395"/>
      <c r="AL845" s="317"/>
      <c r="AM845" s="394"/>
      <c r="AN845" s="396"/>
      <c r="AO845" s="200"/>
      <c r="AP845" s="200"/>
    </row>
    <row r="846">
      <c r="A846" s="395"/>
      <c r="B846" s="317"/>
      <c r="C846" s="394"/>
      <c r="D846" s="396"/>
      <c r="E846" s="395"/>
      <c r="F846" s="317"/>
      <c r="G846" s="394"/>
      <c r="H846" s="396"/>
      <c r="I846" s="395"/>
      <c r="J846" s="317"/>
      <c r="K846" s="394"/>
      <c r="L846" s="396"/>
      <c r="M846" s="395"/>
      <c r="N846" s="317"/>
      <c r="O846" s="394"/>
      <c r="P846" s="396"/>
      <c r="Q846" s="403"/>
      <c r="R846" s="404"/>
      <c r="S846" s="405"/>
      <c r="T846" s="401"/>
      <c r="U846" s="403"/>
      <c r="V846" s="404"/>
      <c r="W846" s="405"/>
      <c r="X846" s="401"/>
      <c r="Y846" s="403"/>
      <c r="Z846" s="404"/>
      <c r="AA846" s="405"/>
      <c r="AB846" s="401"/>
      <c r="AC846" s="403"/>
      <c r="AD846" s="404"/>
      <c r="AE846" s="405"/>
      <c r="AF846" s="401"/>
      <c r="AG846" s="292"/>
      <c r="AH846" s="292"/>
      <c r="AI846" s="292"/>
      <c r="AJ846" s="292"/>
      <c r="AK846" s="395"/>
      <c r="AL846" s="317"/>
      <c r="AM846" s="394"/>
      <c r="AN846" s="396"/>
      <c r="AO846" s="200"/>
      <c r="AP846" s="200"/>
    </row>
    <row r="847">
      <c r="A847" s="395"/>
      <c r="B847" s="317"/>
      <c r="C847" s="394"/>
      <c r="D847" s="396"/>
      <c r="E847" s="395"/>
      <c r="F847" s="317"/>
      <c r="G847" s="394"/>
      <c r="H847" s="396"/>
      <c r="I847" s="395"/>
      <c r="J847" s="317"/>
      <c r="K847" s="394"/>
      <c r="L847" s="396"/>
      <c r="M847" s="395"/>
      <c r="N847" s="317"/>
      <c r="O847" s="394"/>
      <c r="P847" s="396"/>
      <c r="Q847" s="403"/>
      <c r="R847" s="404"/>
      <c r="S847" s="405"/>
      <c r="T847" s="401"/>
      <c r="U847" s="403"/>
      <c r="V847" s="404"/>
      <c r="W847" s="405"/>
      <c r="X847" s="401"/>
      <c r="Y847" s="403"/>
      <c r="Z847" s="404"/>
      <c r="AA847" s="405"/>
      <c r="AB847" s="401"/>
      <c r="AC847" s="403"/>
      <c r="AD847" s="404"/>
      <c r="AE847" s="405"/>
      <c r="AF847" s="401"/>
      <c r="AG847" s="292"/>
      <c r="AH847" s="292"/>
      <c r="AI847" s="292"/>
      <c r="AJ847" s="292"/>
      <c r="AK847" s="395"/>
      <c r="AL847" s="317"/>
      <c r="AM847" s="394"/>
      <c r="AN847" s="396"/>
      <c r="AO847" s="200"/>
      <c r="AP847" s="200"/>
    </row>
    <row r="848">
      <c r="A848" s="395"/>
      <c r="B848" s="317"/>
      <c r="C848" s="394"/>
      <c r="D848" s="396"/>
      <c r="E848" s="395"/>
      <c r="F848" s="317"/>
      <c r="G848" s="394"/>
      <c r="H848" s="396"/>
      <c r="I848" s="395"/>
      <c r="J848" s="317"/>
      <c r="K848" s="394"/>
      <c r="L848" s="396"/>
      <c r="M848" s="395"/>
      <c r="N848" s="317"/>
      <c r="O848" s="394"/>
      <c r="P848" s="396"/>
      <c r="Q848" s="403"/>
      <c r="R848" s="404"/>
      <c r="S848" s="405"/>
      <c r="T848" s="401"/>
      <c r="U848" s="403"/>
      <c r="V848" s="404"/>
      <c r="W848" s="405"/>
      <c r="X848" s="401"/>
      <c r="Y848" s="403"/>
      <c r="Z848" s="404"/>
      <c r="AA848" s="405"/>
      <c r="AB848" s="401"/>
      <c r="AC848" s="403"/>
      <c r="AD848" s="404"/>
      <c r="AE848" s="405"/>
      <c r="AF848" s="401"/>
      <c r="AG848" s="292"/>
      <c r="AH848" s="292"/>
      <c r="AI848" s="292"/>
      <c r="AJ848" s="292"/>
      <c r="AK848" s="395"/>
      <c r="AL848" s="317"/>
      <c r="AM848" s="394"/>
      <c r="AN848" s="396"/>
      <c r="AO848" s="200"/>
      <c r="AP848" s="200"/>
    </row>
    <row r="849">
      <c r="A849" s="395"/>
      <c r="B849" s="317"/>
      <c r="C849" s="394"/>
      <c r="D849" s="396"/>
      <c r="E849" s="395"/>
      <c r="F849" s="317"/>
      <c r="G849" s="394"/>
      <c r="H849" s="396"/>
      <c r="I849" s="395"/>
      <c r="J849" s="317"/>
      <c r="K849" s="394"/>
      <c r="L849" s="396"/>
      <c r="M849" s="395"/>
      <c r="N849" s="317"/>
      <c r="O849" s="394"/>
      <c r="P849" s="396"/>
      <c r="Q849" s="403"/>
      <c r="R849" s="404"/>
      <c r="S849" s="405"/>
      <c r="T849" s="401"/>
      <c r="U849" s="403"/>
      <c r="V849" s="404"/>
      <c r="W849" s="405"/>
      <c r="X849" s="401"/>
      <c r="Y849" s="403"/>
      <c r="Z849" s="404"/>
      <c r="AA849" s="405"/>
      <c r="AB849" s="401"/>
      <c r="AC849" s="403"/>
      <c r="AD849" s="404"/>
      <c r="AE849" s="405"/>
      <c r="AF849" s="401"/>
      <c r="AG849" s="292"/>
      <c r="AH849" s="292"/>
      <c r="AI849" s="292"/>
      <c r="AJ849" s="292"/>
      <c r="AK849" s="395"/>
      <c r="AL849" s="317"/>
      <c r="AM849" s="394"/>
      <c r="AN849" s="396"/>
      <c r="AO849" s="200"/>
      <c r="AP849" s="200"/>
    </row>
    <row r="850">
      <c r="A850" s="395"/>
      <c r="B850" s="317"/>
      <c r="C850" s="394"/>
      <c r="D850" s="396"/>
      <c r="E850" s="395"/>
      <c r="F850" s="317"/>
      <c r="G850" s="394"/>
      <c r="H850" s="396"/>
      <c r="I850" s="395"/>
      <c r="J850" s="317"/>
      <c r="K850" s="394"/>
      <c r="L850" s="396"/>
      <c r="M850" s="395"/>
      <c r="N850" s="317"/>
      <c r="O850" s="394"/>
      <c r="P850" s="396"/>
      <c r="Q850" s="403"/>
      <c r="R850" s="404"/>
      <c r="S850" s="405"/>
      <c r="T850" s="401"/>
      <c r="U850" s="403"/>
      <c r="V850" s="404"/>
      <c r="W850" s="405"/>
      <c r="X850" s="401"/>
      <c r="Y850" s="403"/>
      <c r="Z850" s="404"/>
      <c r="AA850" s="405"/>
      <c r="AB850" s="401"/>
      <c r="AC850" s="403"/>
      <c r="AD850" s="404"/>
      <c r="AE850" s="405"/>
      <c r="AF850" s="401"/>
      <c r="AG850" s="292"/>
      <c r="AH850" s="292"/>
      <c r="AI850" s="292"/>
      <c r="AJ850" s="292"/>
      <c r="AK850" s="395"/>
      <c r="AL850" s="317"/>
      <c r="AM850" s="394"/>
      <c r="AN850" s="396"/>
      <c r="AO850" s="200"/>
      <c r="AP850" s="200"/>
    </row>
    <row r="851">
      <c r="A851" s="395"/>
      <c r="B851" s="317"/>
      <c r="C851" s="394"/>
      <c r="D851" s="396"/>
      <c r="E851" s="395"/>
      <c r="F851" s="317"/>
      <c r="G851" s="394"/>
      <c r="H851" s="396"/>
      <c r="I851" s="395"/>
      <c r="J851" s="317"/>
      <c r="K851" s="394"/>
      <c r="L851" s="396"/>
      <c r="M851" s="395"/>
      <c r="N851" s="317"/>
      <c r="O851" s="394"/>
      <c r="P851" s="396"/>
      <c r="Q851" s="403"/>
      <c r="R851" s="404"/>
      <c r="S851" s="405"/>
      <c r="T851" s="401"/>
      <c r="U851" s="403"/>
      <c r="V851" s="404"/>
      <c r="W851" s="405"/>
      <c r="X851" s="401"/>
      <c r="Y851" s="403"/>
      <c r="Z851" s="404"/>
      <c r="AA851" s="405"/>
      <c r="AB851" s="401"/>
      <c r="AC851" s="403"/>
      <c r="AD851" s="404"/>
      <c r="AE851" s="405"/>
      <c r="AF851" s="401"/>
      <c r="AG851" s="292"/>
      <c r="AH851" s="292"/>
      <c r="AI851" s="292"/>
      <c r="AJ851" s="292"/>
      <c r="AK851" s="395"/>
      <c r="AL851" s="317"/>
      <c r="AM851" s="394"/>
      <c r="AN851" s="396"/>
      <c r="AO851" s="200"/>
      <c r="AP851" s="200"/>
    </row>
    <row r="852">
      <c r="A852" s="395"/>
      <c r="B852" s="317"/>
      <c r="C852" s="394"/>
      <c r="D852" s="396"/>
      <c r="E852" s="395"/>
      <c r="F852" s="317"/>
      <c r="G852" s="394"/>
      <c r="H852" s="396"/>
      <c r="I852" s="395"/>
      <c r="J852" s="317"/>
      <c r="K852" s="394"/>
      <c r="L852" s="396"/>
      <c r="M852" s="395"/>
      <c r="N852" s="317"/>
      <c r="O852" s="394"/>
      <c r="P852" s="396"/>
      <c r="Q852" s="403"/>
      <c r="R852" s="404"/>
      <c r="S852" s="405"/>
      <c r="T852" s="401"/>
      <c r="U852" s="403"/>
      <c r="V852" s="404"/>
      <c r="W852" s="405"/>
      <c r="X852" s="401"/>
      <c r="Y852" s="403"/>
      <c r="Z852" s="404"/>
      <c r="AA852" s="405"/>
      <c r="AB852" s="401"/>
      <c r="AC852" s="403"/>
      <c r="AD852" s="404"/>
      <c r="AE852" s="405"/>
      <c r="AF852" s="401"/>
      <c r="AG852" s="292"/>
      <c r="AH852" s="292"/>
      <c r="AI852" s="292"/>
      <c r="AJ852" s="292"/>
      <c r="AK852" s="395"/>
      <c r="AL852" s="317"/>
      <c r="AM852" s="394"/>
      <c r="AN852" s="396"/>
      <c r="AO852" s="200"/>
      <c r="AP852" s="200"/>
    </row>
    <row r="853">
      <c r="A853" s="395"/>
      <c r="B853" s="317"/>
      <c r="C853" s="394"/>
      <c r="D853" s="396"/>
      <c r="E853" s="395"/>
      <c r="F853" s="317"/>
      <c r="G853" s="394"/>
      <c r="H853" s="396"/>
      <c r="I853" s="395"/>
      <c r="J853" s="317"/>
      <c r="K853" s="394"/>
      <c r="L853" s="396"/>
      <c r="M853" s="395"/>
      <c r="N853" s="317"/>
      <c r="O853" s="394"/>
      <c r="P853" s="396"/>
      <c r="Q853" s="403"/>
      <c r="R853" s="404"/>
      <c r="S853" s="405"/>
      <c r="T853" s="401"/>
      <c r="U853" s="403"/>
      <c r="V853" s="404"/>
      <c r="W853" s="405"/>
      <c r="X853" s="401"/>
      <c r="Y853" s="403"/>
      <c r="Z853" s="404"/>
      <c r="AA853" s="405"/>
      <c r="AB853" s="401"/>
      <c r="AC853" s="403"/>
      <c r="AD853" s="404"/>
      <c r="AE853" s="405"/>
      <c r="AF853" s="401"/>
      <c r="AG853" s="292"/>
      <c r="AH853" s="292"/>
      <c r="AI853" s="292"/>
      <c r="AJ853" s="292"/>
      <c r="AK853" s="395"/>
      <c r="AL853" s="317"/>
      <c r="AM853" s="394"/>
      <c r="AN853" s="396"/>
      <c r="AO853" s="200"/>
      <c r="AP853" s="200"/>
    </row>
    <row r="854">
      <c r="A854" s="395"/>
      <c r="B854" s="317"/>
      <c r="C854" s="394"/>
      <c r="D854" s="396"/>
      <c r="E854" s="395"/>
      <c r="F854" s="317"/>
      <c r="G854" s="394"/>
      <c r="H854" s="396"/>
      <c r="I854" s="395"/>
      <c r="J854" s="317"/>
      <c r="K854" s="394"/>
      <c r="L854" s="396"/>
      <c r="M854" s="395"/>
      <c r="N854" s="317"/>
      <c r="O854" s="394"/>
      <c r="P854" s="396"/>
      <c r="Q854" s="403"/>
      <c r="R854" s="404"/>
      <c r="S854" s="405"/>
      <c r="T854" s="401"/>
      <c r="U854" s="403"/>
      <c r="V854" s="404"/>
      <c r="W854" s="405"/>
      <c r="X854" s="401"/>
      <c r="Y854" s="403"/>
      <c r="Z854" s="404"/>
      <c r="AA854" s="405"/>
      <c r="AB854" s="401"/>
      <c r="AC854" s="403"/>
      <c r="AD854" s="404"/>
      <c r="AE854" s="405"/>
      <c r="AF854" s="401"/>
      <c r="AG854" s="292"/>
      <c r="AH854" s="292"/>
      <c r="AI854" s="292"/>
      <c r="AJ854" s="292"/>
      <c r="AK854" s="395"/>
      <c r="AL854" s="317"/>
      <c r="AM854" s="394"/>
      <c r="AN854" s="396"/>
      <c r="AO854" s="200"/>
      <c r="AP854" s="200"/>
    </row>
    <row r="855">
      <c r="A855" s="395"/>
      <c r="B855" s="317"/>
      <c r="C855" s="394"/>
      <c r="D855" s="396"/>
      <c r="E855" s="395"/>
      <c r="F855" s="317"/>
      <c r="G855" s="394"/>
      <c r="H855" s="396"/>
      <c r="I855" s="395"/>
      <c r="J855" s="317"/>
      <c r="K855" s="394"/>
      <c r="L855" s="396"/>
      <c r="M855" s="395"/>
      <c r="N855" s="317"/>
      <c r="O855" s="394"/>
      <c r="P855" s="396"/>
      <c r="Q855" s="403"/>
      <c r="R855" s="404"/>
      <c r="S855" s="405"/>
      <c r="T855" s="401"/>
      <c r="U855" s="403"/>
      <c r="V855" s="404"/>
      <c r="W855" s="405"/>
      <c r="X855" s="401"/>
      <c r="Y855" s="403"/>
      <c r="Z855" s="404"/>
      <c r="AA855" s="405"/>
      <c r="AB855" s="401"/>
      <c r="AC855" s="403"/>
      <c r="AD855" s="404"/>
      <c r="AE855" s="405"/>
      <c r="AF855" s="401"/>
      <c r="AG855" s="292"/>
      <c r="AH855" s="292"/>
      <c r="AI855" s="292"/>
      <c r="AJ855" s="292"/>
      <c r="AK855" s="395"/>
      <c r="AL855" s="317"/>
      <c r="AM855" s="394"/>
      <c r="AN855" s="396"/>
      <c r="AO855" s="200"/>
      <c r="AP855" s="200"/>
    </row>
    <row r="856">
      <c r="A856" s="395"/>
      <c r="B856" s="317"/>
      <c r="C856" s="394"/>
      <c r="D856" s="396"/>
      <c r="E856" s="395"/>
      <c r="F856" s="317"/>
      <c r="G856" s="394"/>
      <c r="H856" s="396"/>
      <c r="I856" s="395"/>
      <c r="J856" s="317"/>
      <c r="K856" s="394"/>
      <c r="L856" s="396"/>
      <c r="M856" s="395"/>
      <c r="N856" s="317"/>
      <c r="O856" s="394"/>
      <c r="P856" s="396"/>
      <c r="Q856" s="403"/>
      <c r="R856" s="404"/>
      <c r="S856" s="405"/>
      <c r="T856" s="401"/>
      <c r="U856" s="403"/>
      <c r="V856" s="404"/>
      <c r="W856" s="405"/>
      <c r="X856" s="401"/>
      <c r="Y856" s="403"/>
      <c r="Z856" s="404"/>
      <c r="AA856" s="405"/>
      <c r="AB856" s="401"/>
      <c r="AC856" s="403"/>
      <c r="AD856" s="404"/>
      <c r="AE856" s="405"/>
      <c r="AF856" s="401"/>
      <c r="AG856" s="292"/>
      <c r="AH856" s="292"/>
      <c r="AI856" s="292"/>
      <c r="AJ856" s="292"/>
      <c r="AK856" s="395"/>
      <c r="AL856" s="317"/>
      <c r="AM856" s="394"/>
      <c r="AN856" s="396"/>
      <c r="AO856" s="200"/>
      <c r="AP856" s="200"/>
    </row>
    <row r="857">
      <c r="A857" s="395"/>
      <c r="B857" s="317"/>
      <c r="C857" s="394"/>
      <c r="D857" s="396"/>
      <c r="E857" s="395"/>
      <c r="F857" s="317"/>
      <c r="G857" s="394"/>
      <c r="H857" s="396"/>
      <c r="I857" s="395"/>
      <c r="J857" s="317"/>
      <c r="K857" s="394"/>
      <c r="L857" s="396"/>
      <c r="M857" s="395"/>
      <c r="N857" s="317"/>
      <c r="O857" s="394"/>
      <c r="P857" s="396"/>
      <c r="Q857" s="403"/>
      <c r="R857" s="404"/>
      <c r="S857" s="405"/>
      <c r="T857" s="401"/>
      <c r="U857" s="403"/>
      <c r="V857" s="404"/>
      <c r="W857" s="405"/>
      <c r="X857" s="401"/>
      <c r="Y857" s="403"/>
      <c r="Z857" s="404"/>
      <c r="AA857" s="405"/>
      <c r="AB857" s="401"/>
      <c r="AC857" s="403"/>
      <c r="AD857" s="404"/>
      <c r="AE857" s="405"/>
      <c r="AF857" s="401"/>
      <c r="AG857" s="292"/>
      <c r="AH857" s="292"/>
      <c r="AI857" s="292"/>
      <c r="AJ857" s="292"/>
      <c r="AK857" s="395"/>
      <c r="AL857" s="317"/>
      <c r="AM857" s="394"/>
      <c r="AN857" s="396"/>
      <c r="AO857" s="200"/>
      <c r="AP857" s="200"/>
    </row>
    <row r="858">
      <c r="A858" s="395"/>
      <c r="B858" s="317"/>
      <c r="C858" s="394"/>
      <c r="D858" s="396"/>
      <c r="E858" s="395"/>
      <c r="F858" s="317"/>
      <c r="G858" s="394"/>
      <c r="H858" s="396"/>
      <c r="I858" s="395"/>
      <c r="J858" s="317"/>
      <c r="K858" s="394"/>
      <c r="L858" s="396"/>
      <c r="M858" s="395"/>
      <c r="N858" s="317"/>
      <c r="O858" s="394"/>
      <c r="P858" s="396"/>
      <c r="Q858" s="403"/>
      <c r="R858" s="404"/>
      <c r="S858" s="405"/>
      <c r="T858" s="401"/>
      <c r="U858" s="403"/>
      <c r="V858" s="404"/>
      <c r="W858" s="405"/>
      <c r="X858" s="401"/>
      <c r="Y858" s="403"/>
      <c r="Z858" s="404"/>
      <c r="AA858" s="405"/>
      <c r="AB858" s="401"/>
      <c r="AC858" s="403"/>
      <c r="AD858" s="404"/>
      <c r="AE858" s="405"/>
      <c r="AF858" s="401"/>
      <c r="AG858" s="292"/>
      <c r="AH858" s="292"/>
      <c r="AI858" s="292"/>
      <c r="AJ858" s="292"/>
      <c r="AK858" s="395"/>
      <c r="AL858" s="317"/>
      <c r="AM858" s="394"/>
      <c r="AN858" s="396"/>
      <c r="AO858" s="200"/>
      <c r="AP858" s="200"/>
    </row>
    <row r="859">
      <c r="A859" s="395"/>
      <c r="B859" s="317"/>
      <c r="C859" s="394"/>
      <c r="D859" s="396"/>
      <c r="E859" s="395"/>
      <c r="F859" s="317"/>
      <c r="G859" s="394"/>
      <c r="H859" s="396"/>
      <c r="I859" s="395"/>
      <c r="J859" s="317"/>
      <c r="K859" s="394"/>
      <c r="L859" s="396"/>
      <c r="M859" s="395"/>
      <c r="N859" s="317"/>
      <c r="O859" s="394"/>
      <c r="P859" s="396"/>
      <c r="Q859" s="403"/>
      <c r="R859" s="404"/>
      <c r="S859" s="405"/>
      <c r="T859" s="401"/>
      <c r="U859" s="403"/>
      <c r="V859" s="404"/>
      <c r="W859" s="405"/>
      <c r="X859" s="401"/>
      <c r="Y859" s="403"/>
      <c r="Z859" s="404"/>
      <c r="AA859" s="405"/>
      <c r="AB859" s="401"/>
      <c r="AC859" s="403"/>
      <c r="AD859" s="404"/>
      <c r="AE859" s="405"/>
      <c r="AF859" s="401"/>
      <c r="AG859" s="292"/>
      <c r="AH859" s="292"/>
      <c r="AI859" s="292"/>
      <c r="AJ859" s="292"/>
      <c r="AK859" s="395"/>
      <c r="AL859" s="317"/>
      <c r="AM859" s="394"/>
      <c r="AN859" s="396"/>
      <c r="AO859" s="200"/>
      <c r="AP859" s="200"/>
    </row>
    <row r="860">
      <c r="A860" s="395"/>
      <c r="B860" s="317"/>
      <c r="C860" s="394"/>
      <c r="D860" s="396"/>
      <c r="E860" s="395"/>
      <c r="F860" s="317"/>
      <c r="G860" s="394"/>
      <c r="H860" s="396"/>
      <c r="I860" s="395"/>
      <c r="J860" s="317"/>
      <c r="K860" s="394"/>
      <c r="L860" s="396"/>
      <c r="M860" s="395"/>
      <c r="N860" s="317"/>
      <c r="O860" s="394"/>
      <c r="P860" s="396"/>
      <c r="Q860" s="403"/>
      <c r="R860" s="404"/>
      <c r="S860" s="405"/>
      <c r="T860" s="401"/>
      <c r="U860" s="403"/>
      <c r="V860" s="404"/>
      <c r="W860" s="405"/>
      <c r="X860" s="401"/>
      <c r="Y860" s="403"/>
      <c r="Z860" s="404"/>
      <c r="AA860" s="405"/>
      <c r="AB860" s="401"/>
      <c r="AC860" s="403"/>
      <c r="AD860" s="404"/>
      <c r="AE860" s="405"/>
      <c r="AF860" s="401"/>
      <c r="AG860" s="292"/>
      <c r="AH860" s="292"/>
      <c r="AI860" s="292"/>
      <c r="AJ860" s="292"/>
      <c r="AK860" s="395"/>
      <c r="AL860" s="317"/>
      <c r="AM860" s="394"/>
      <c r="AN860" s="396"/>
      <c r="AO860" s="200"/>
      <c r="AP860" s="200"/>
    </row>
    <row r="861">
      <c r="A861" s="395"/>
      <c r="B861" s="317"/>
      <c r="C861" s="394"/>
      <c r="D861" s="396"/>
      <c r="E861" s="395"/>
      <c r="F861" s="317"/>
      <c r="G861" s="394"/>
      <c r="H861" s="396"/>
      <c r="I861" s="395"/>
      <c r="J861" s="317"/>
      <c r="K861" s="394"/>
      <c r="L861" s="396"/>
      <c r="M861" s="395"/>
      <c r="N861" s="317"/>
      <c r="O861" s="394"/>
      <c r="P861" s="396"/>
      <c r="Q861" s="403"/>
      <c r="R861" s="404"/>
      <c r="S861" s="405"/>
      <c r="T861" s="401"/>
      <c r="U861" s="403"/>
      <c r="V861" s="404"/>
      <c r="W861" s="405"/>
      <c r="X861" s="401"/>
      <c r="Y861" s="403"/>
      <c r="Z861" s="404"/>
      <c r="AA861" s="405"/>
      <c r="AB861" s="401"/>
      <c r="AC861" s="403"/>
      <c r="AD861" s="404"/>
      <c r="AE861" s="405"/>
      <c r="AF861" s="401"/>
      <c r="AG861" s="292"/>
      <c r="AH861" s="292"/>
      <c r="AI861" s="292"/>
      <c r="AJ861" s="292"/>
      <c r="AK861" s="395"/>
      <c r="AL861" s="317"/>
      <c r="AM861" s="394"/>
      <c r="AN861" s="396"/>
      <c r="AO861" s="200"/>
      <c r="AP861" s="200"/>
    </row>
    <row r="862">
      <c r="A862" s="395"/>
      <c r="B862" s="317"/>
      <c r="C862" s="394"/>
      <c r="D862" s="396"/>
      <c r="E862" s="395"/>
      <c r="F862" s="317"/>
      <c r="G862" s="394"/>
      <c r="H862" s="396"/>
      <c r="I862" s="395"/>
      <c r="J862" s="317"/>
      <c r="K862" s="394"/>
      <c r="L862" s="396"/>
      <c r="M862" s="395"/>
      <c r="N862" s="317"/>
      <c r="O862" s="394"/>
      <c r="P862" s="396"/>
      <c r="Q862" s="403"/>
      <c r="R862" s="404"/>
      <c r="S862" s="405"/>
      <c r="T862" s="401"/>
      <c r="U862" s="403"/>
      <c r="V862" s="404"/>
      <c r="W862" s="405"/>
      <c r="X862" s="401"/>
      <c r="Y862" s="403"/>
      <c r="Z862" s="404"/>
      <c r="AA862" s="405"/>
      <c r="AB862" s="401"/>
      <c r="AC862" s="403"/>
      <c r="AD862" s="404"/>
      <c r="AE862" s="405"/>
      <c r="AF862" s="401"/>
      <c r="AG862" s="292"/>
      <c r="AH862" s="292"/>
      <c r="AI862" s="292"/>
      <c r="AJ862" s="292"/>
      <c r="AK862" s="395"/>
      <c r="AL862" s="317"/>
      <c r="AM862" s="394"/>
      <c r="AN862" s="396"/>
      <c r="AO862" s="200"/>
      <c r="AP862" s="200"/>
    </row>
    <row r="863">
      <c r="A863" s="395"/>
      <c r="B863" s="317"/>
      <c r="C863" s="394"/>
      <c r="D863" s="396"/>
      <c r="E863" s="395"/>
      <c r="F863" s="317"/>
      <c r="G863" s="394"/>
      <c r="H863" s="396"/>
      <c r="I863" s="395"/>
      <c r="J863" s="317"/>
      <c r="K863" s="394"/>
      <c r="L863" s="396"/>
      <c r="M863" s="395"/>
      <c r="N863" s="317"/>
      <c r="O863" s="394"/>
      <c r="P863" s="396"/>
      <c r="Q863" s="403"/>
      <c r="R863" s="404"/>
      <c r="S863" s="405"/>
      <c r="T863" s="401"/>
      <c r="U863" s="403"/>
      <c r="V863" s="404"/>
      <c r="W863" s="405"/>
      <c r="X863" s="401"/>
      <c r="Y863" s="403"/>
      <c r="Z863" s="404"/>
      <c r="AA863" s="405"/>
      <c r="AB863" s="401"/>
      <c r="AC863" s="403"/>
      <c r="AD863" s="404"/>
      <c r="AE863" s="405"/>
      <c r="AF863" s="401"/>
      <c r="AG863" s="292"/>
      <c r="AH863" s="292"/>
      <c r="AI863" s="292"/>
      <c r="AJ863" s="292"/>
      <c r="AK863" s="395"/>
      <c r="AL863" s="317"/>
      <c r="AM863" s="394"/>
      <c r="AN863" s="396"/>
      <c r="AO863" s="200"/>
      <c r="AP863" s="200"/>
    </row>
    <row r="864">
      <c r="A864" s="395"/>
      <c r="B864" s="317"/>
      <c r="C864" s="394"/>
      <c r="D864" s="396"/>
      <c r="E864" s="395"/>
      <c r="F864" s="317"/>
      <c r="G864" s="394"/>
      <c r="H864" s="396"/>
      <c r="I864" s="395"/>
      <c r="J864" s="317"/>
      <c r="K864" s="394"/>
      <c r="L864" s="396"/>
      <c r="M864" s="395"/>
      <c r="N864" s="317"/>
      <c r="O864" s="394"/>
      <c r="P864" s="396"/>
      <c r="Q864" s="403"/>
      <c r="R864" s="404"/>
      <c r="S864" s="405"/>
      <c r="T864" s="401"/>
      <c r="U864" s="403"/>
      <c r="V864" s="404"/>
      <c r="W864" s="405"/>
      <c r="X864" s="401"/>
      <c r="Y864" s="403"/>
      <c r="Z864" s="404"/>
      <c r="AA864" s="405"/>
      <c r="AB864" s="401"/>
      <c r="AC864" s="403"/>
      <c r="AD864" s="404"/>
      <c r="AE864" s="405"/>
      <c r="AF864" s="401"/>
      <c r="AG864" s="292"/>
      <c r="AH864" s="292"/>
      <c r="AI864" s="292"/>
      <c r="AJ864" s="292"/>
      <c r="AK864" s="395"/>
      <c r="AL864" s="317"/>
      <c r="AM864" s="394"/>
      <c r="AN864" s="396"/>
      <c r="AO864" s="200"/>
      <c r="AP864" s="200"/>
    </row>
    <row r="865">
      <c r="A865" s="395"/>
      <c r="B865" s="317"/>
      <c r="C865" s="394"/>
      <c r="D865" s="396"/>
      <c r="E865" s="395"/>
      <c r="F865" s="317"/>
      <c r="G865" s="394"/>
      <c r="H865" s="396"/>
      <c r="I865" s="395"/>
      <c r="J865" s="317"/>
      <c r="K865" s="394"/>
      <c r="L865" s="396"/>
      <c r="M865" s="395"/>
      <c r="N865" s="317"/>
      <c r="O865" s="394"/>
      <c r="P865" s="396"/>
      <c r="Q865" s="403"/>
      <c r="R865" s="404"/>
      <c r="S865" s="405"/>
      <c r="T865" s="401"/>
      <c r="U865" s="403"/>
      <c r="V865" s="404"/>
      <c r="W865" s="405"/>
      <c r="X865" s="401"/>
      <c r="Y865" s="403"/>
      <c r="Z865" s="404"/>
      <c r="AA865" s="405"/>
      <c r="AB865" s="401"/>
      <c r="AC865" s="403"/>
      <c r="AD865" s="404"/>
      <c r="AE865" s="405"/>
      <c r="AF865" s="401"/>
      <c r="AG865" s="292"/>
      <c r="AH865" s="292"/>
      <c r="AI865" s="292"/>
      <c r="AJ865" s="292"/>
      <c r="AK865" s="395"/>
      <c r="AL865" s="317"/>
      <c r="AM865" s="394"/>
      <c r="AN865" s="396"/>
      <c r="AO865" s="200"/>
      <c r="AP865" s="200"/>
    </row>
    <row r="866">
      <c r="A866" s="395"/>
      <c r="B866" s="317"/>
      <c r="C866" s="394"/>
      <c r="D866" s="396"/>
      <c r="E866" s="395"/>
      <c r="F866" s="317"/>
      <c r="G866" s="394"/>
      <c r="H866" s="396"/>
      <c r="I866" s="395"/>
      <c r="J866" s="317"/>
      <c r="K866" s="394"/>
      <c r="L866" s="396"/>
      <c r="M866" s="395"/>
      <c r="N866" s="317"/>
      <c r="O866" s="394"/>
      <c r="P866" s="396"/>
      <c r="Q866" s="403"/>
      <c r="R866" s="404"/>
      <c r="S866" s="405"/>
      <c r="T866" s="401"/>
      <c r="U866" s="403"/>
      <c r="V866" s="404"/>
      <c r="W866" s="405"/>
      <c r="X866" s="401"/>
      <c r="Y866" s="403"/>
      <c r="Z866" s="404"/>
      <c r="AA866" s="405"/>
      <c r="AB866" s="401"/>
      <c r="AC866" s="403"/>
      <c r="AD866" s="404"/>
      <c r="AE866" s="405"/>
      <c r="AF866" s="401"/>
      <c r="AG866" s="292"/>
      <c r="AH866" s="292"/>
      <c r="AI866" s="292"/>
      <c r="AJ866" s="292"/>
      <c r="AK866" s="395"/>
      <c r="AL866" s="317"/>
      <c r="AM866" s="394"/>
      <c r="AN866" s="396"/>
      <c r="AO866" s="200"/>
      <c r="AP866" s="200"/>
    </row>
    <row r="867">
      <c r="A867" s="395"/>
      <c r="B867" s="317"/>
      <c r="C867" s="394"/>
      <c r="D867" s="396"/>
      <c r="E867" s="395"/>
      <c r="F867" s="317"/>
      <c r="G867" s="394"/>
      <c r="H867" s="396"/>
      <c r="I867" s="395"/>
      <c r="J867" s="317"/>
      <c r="K867" s="394"/>
      <c r="L867" s="396"/>
      <c r="M867" s="395"/>
      <c r="N867" s="317"/>
      <c r="O867" s="394"/>
      <c r="P867" s="396"/>
      <c r="Q867" s="403"/>
      <c r="R867" s="404"/>
      <c r="S867" s="405"/>
      <c r="T867" s="401"/>
      <c r="U867" s="403"/>
      <c r="V867" s="404"/>
      <c r="W867" s="405"/>
      <c r="X867" s="401"/>
      <c r="Y867" s="403"/>
      <c r="Z867" s="404"/>
      <c r="AA867" s="405"/>
      <c r="AB867" s="401"/>
      <c r="AC867" s="403"/>
      <c r="AD867" s="404"/>
      <c r="AE867" s="405"/>
      <c r="AF867" s="401"/>
      <c r="AG867" s="292"/>
      <c r="AH867" s="292"/>
      <c r="AI867" s="292"/>
      <c r="AJ867" s="292"/>
      <c r="AK867" s="395"/>
      <c r="AL867" s="317"/>
      <c r="AM867" s="394"/>
      <c r="AN867" s="396"/>
      <c r="AO867" s="200"/>
      <c r="AP867" s="200"/>
    </row>
    <row r="868">
      <c r="A868" s="395"/>
      <c r="B868" s="317"/>
      <c r="C868" s="394"/>
      <c r="D868" s="396"/>
      <c r="E868" s="395"/>
      <c r="F868" s="317"/>
      <c r="G868" s="394"/>
      <c r="H868" s="396"/>
      <c r="I868" s="395"/>
      <c r="J868" s="317"/>
      <c r="K868" s="394"/>
      <c r="L868" s="396"/>
      <c r="M868" s="395"/>
      <c r="N868" s="317"/>
      <c r="O868" s="394"/>
      <c r="P868" s="396"/>
      <c r="Q868" s="403"/>
      <c r="R868" s="404"/>
      <c r="S868" s="405"/>
      <c r="T868" s="401"/>
      <c r="U868" s="403"/>
      <c r="V868" s="404"/>
      <c r="W868" s="405"/>
      <c r="X868" s="401"/>
      <c r="Y868" s="403"/>
      <c r="Z868" s="404"/>
      <c r="AA868" s="405"/>
      <c r="AB868" s="401"/>
      <c r="AC868" s="403"/>
      <c r="AD868" s="404"/>
      <c r="AE868" s="405"/>
      <c r="AF868" s="401"/>
      <c r="AG868" s="292"/>
      <c r="AH868" s="292"/>
      <c r="AI868" s="292"/>
      <c r="AJ868" s="292"/>
      <c r="AK868" s="395"/>
      <c r="AL868" s="317"/>
      <c r="AM868" s="394"/>
      <c r="AN868" s="396"/>
      <c r="AO868" s="200"/>
      <c r="AP868" s="200"/>
    </row>
    <row r="869">
      <c r="A869" s="395"/>
      <c r="B869" s="317"/>
      <c r="C869" s="394"/>
      <c r="D869" s="396"/>
      <c r="E869" s="395"/>
      <c r="F869" s="317"/>
      <c r="G869" s="394"/>
      <c r="H869" s="396"/>
      <c r="I869" s="395"/>
      <c r="J869" s="317"/>
      <c r="K869" s="394"/>
      <c r="L869" s="396"/>
      <c r="M869" s="395"/>
      <c r="N869" s="317"/>
      <c r="O869" s="394"/>
      <c r="P869" s="396"/>
      <c r="Q869" s="403"/>
      <c r="R869" s="404"/>
      <c r="S869" s="405"/>
      <c r="T869" s="401"/>
      <c r="U869" s="403"/>
      <c r="V869" s="404"/>
      <c r="W869" s="405"/>
      <c r="X869" s="401"/>
      <c r="Y869" s="403"/>
      <c r="Z869" s="404"/>
      <c r="AA869" s="405"/>
      <c r="AB869" s="401"/>
      <c r="AC869" s="403"/>
      <c r="AD869" s="404"/>
      <c r="AE869" s="405"/>
      <c r="AF869" s="401"/>
      <c r="AG869" s="292"/>
      <c r="AH869" s="292"/>
      <c r="AI869" s="292"/>
      <c r="AJ869" s="292"/>
      <c r="AK869" s="395"/>
      <c r="AL869" s="317"/>
      <c r="AM869" s="394"/>
      <c r="AN869" s="396"/>
      <c r="AO869" s="200"/>
      <c r="AP869" s="200"/>
    </row>
    <row r="870">
      <c r="A870" s="395"/>
      <c r="B870" s="317"/>
      <c r="C870" s="394"/>
      <c r="D870" s="396"/>
      <c r="E870" s="395"/>
      <c r="F870" s="317"/>
      <c r="G870" s="394"/>
      <c r="H870" s="396"/>
      <c r="I870" s="395"/>
      <c r="J870" s="317"/>
      <c r="K870" s="394"/>
      <c r="L870" s="396"/>
      <c r="M870" s="395"/>
      <c r="N870" s="317"/>
      <c r="O870" s="394"/>
      <c r="P870" s="396"/>
      <c r="Q870" s="403"/>
      <c r="R870" s="404"/>
      <c r="S870" s="405"/>
      <c r="T870" s="401"/>
      <c r="U870" s="403"/>
      <c r="V870" s="404"/>
      <c r="W870" s="405"/>
      <c r="X870" s="401"/>
      <c r="Y870" s="403"/>
      <c r="Z870" s="404"/>
      <c r="AA870" s="405"/>
      <c r="AB870" s="401"/>
      <c r="AC870" s="403"/>
      <c r="AD870" s="404"/>
      <c r="AE870" s="405"/>
      <c r="AF870" s="401"/>
      <c r="AG870" s="292"/>
      <c r="AH870" s="292"/>
      <c r="AI870" s="292"/>
      <c r="AJ870" s="292"/>
      <c r="AK870" s="395"/>
      <c r="AL870" s="317"/>
      <c r="AM870" s="394"/>
      <c r="AN870" s="396"/>
      <c r="AO870" s="200"/>
      <c r="AP870" s="200"/>
    </row>
    <row r="871">
      <c r="A871" s="395"/>
      <c r="B871" s="317"/>
      <c r="C871" s="394"/>
      <c r="D871" s="396"/>
      <c r="E871" s="395"/>
      <c r="F871" s="317"/>
      <c r="G871" s="394"/>
      <c r="H871" s="396"/>
      <c r="I871" s="395"/>
      <c r="J871" s="317"/>
      <c r="K871" s="394"/>
      <c r="L871" s="396"/>
      <c r="M871" s="395"/>
      <c r="N871" s="317"/>
      <c r="O871" s="394"/>
      <c r="P871" s="396"/>
      <c r="Q871" s="403"/>
      <c r="R871" s="404"/>
      <c r="S871" s="405"/>
      <c r="T871" s="401"/>
      <c r="U871" s="403"/>
      <c r="V871" s="404"/>
      <c r="W871" s="405"/>
      <c r="X871" s="401"/>
      <c r="Y871" s="403"/>
      <c r="Z871" s="404"/>
      <c r="AA871" s="405"/>
      <c r="AB871" s="401"/>
      <c r="AC871" s="403"/>
      <c r="AD871" s="404"/>
      <c r="AE871" s="405"/>
      <c r="AF871" s="401"/>
      <c r="AG871" s="292"/>
      <c r="AH871" s="292"/>
      <c r="AI871" s="292"/>
      <c r="AJ871" s="292"/>
      <c r="AK871" s="395"/>
      <c r="AL871" s="317"/>
      <c r="AM871" s="394"/>
      <c r="AN871" s="396"/>
      <c r="AO871" s="200"/>
      <c r="AP871" s="200"/>
    </row>
    <row r="872">
      <c r="A872" s="395"/>
      <c r="B872" s="317"/>
      <c r="C872" s="394"/>
      <c r="D872" s="396"/>
      <c r="E872" s="395"/>
      <c r="F872" s="317"/>
      <c r="G872" s="394"/>
      <c r="H872" s="396"/>
      <c r="I872" s="395"/>
      <c r="J872" s="317"/>
      <c r="K872" s="394"/>
      <c r="L872" s="396"/>
      <c r="M872" s="395"/>
      <c r="N872" s="317"/>
      <c r="O872" s="394"/>
      <c r="P872" s="396"/>
      <c r="Q872" s="403"/>
      <c r="R872" s="404"/>
      <c r="S872" s="405"/>
      <c r="T872" s="401"/>
      <c r="U872" s="403"/>
      <c r="V872" s="404"/>
      <c r="W872" s="405"/>
      <c r="X872" s="401"/>
      <c r="Y872" s="403"/>
      <c r="Z872" s="404"/>
      <c r="AA872" s="405"/>
      <c r="AB872" s="401"/>
      <c r="AC872" s="403"/>
      <c r="AD872" s="404"/>
      <c r="AE872" s="405"/>
      <c r="AF872" s="401"/>
      <c r="AG872" s="292"/>
      <c r="AH872" s="292"/>
      <c r="AI872" s="292"/>
      <c r="AJ872" s="292"/>
      <c r="AK872" s="395"/>
      <c r="AL872" s="317"/>
      <c r="AM872" s="394"/>
      <c r="AN872" s="396"/>
      <c r="AO872" s="200"/>
      <c r="AP872" s="200"/>
    </row>
    <row r="873">
      <c r="A873" s="395"/>
      <c r="B873" s="317"/>
      <c r="C873" s="394"/>
      <c r="D873" s="396"/>
      <c r="E873" s="395"/>
      <c r="F873" s="317"/>
      <c r="G873" s="394"/>
      <c r="H873" s="396"/>
      <c r="I873" s="395"/>
      <c r="J873" s="317"/>
      <c r="K873" s="394"/>
      <c r="L873" s="396"/>
      <c r="M873" s="395"/>
      <c r="N873" s="317"/>
      <c r="O873" s="394"/>
      <c r="P873" s="396"/>
      <c r="Q873" s="403"/>
      <c r="R873" s="404"/>
      <c r="S873" s="405"/>
      <c r="T873" s="401"/>
      <c r="U873" s="403"/>
      <c r="V873" s="404"/>
      <c r="W873" s="405"/>
      <c r="X873" s="401"/>
      <c r="Y873" s="403"/>
      <c r="Z873" s="404"/>
      <c r="AA873" s="405"/>
      <c r="AB873" s="401"/>
      <c r="AC873" s="403"/>
      <c r="AD873" s="404"/>
      <c r="AE873" s="405"/>
      <c r="AF873" s="401"/>
      <c r="AG873" s="292"/>
      <c r="AH873" s="292"/>
      <c r="AI873" s="292"/>
      <c r="AJ873" s="292"/>
      <c r="AK873" s="395"/>
      <c r="AL873" s="317"/>
      <c r="AM873" s="394"/>
      <c r="AN873" s="396"/>
      <c r="AO873" s="200"/>
      <c r="AP873" s="200"/>
    </row>
    <row r="874">
      <c r="A874" s="395"/>
      <c r="B874" s="317"/>
      <c r="C874" s="394"/>
      <c r="D874" s="396"/>
      <c r="E874" s="395"/>
      <c r="F874" s="317"/>
      <c r="G874" s="394"/>
      <c r="H874" s="396"/>
      <c r="I874" s="395"/>
      <c r="J874" s="317"/>
      <c r="K874" s="394"/>
      <c r="L874" s="396"/>
      <c r="M874" s="395"/>
      <c r="N874" s="317"/>
      <c r="O874" s="394"/>
      <c r="P874" s="396"/>
      <c r="Q874" s="403"/>
      <c r="R874" s="404"/>
      <c r="S874" s="405"/>
      <c r="T874" s="401"/>
      <c r="U874" s="403"/>
      <c r="V874" s="404"/>
      <c r="W874" s="405"/>
      <c r="X874" s="401"/>
      <c r="Y874" s="403"/>
      <c r="Z874" s="404"/>
      <c r="AA874" s="405"/>
      <c r="AB874" s="401"/>
      <c r="AC874" s="403"/>
      <c r="AD874" s="404"/>
      <c r="AE874" s="405"/>
      <c r="AF874" s="401"/>
      <c r="AG874" s="292"/>
      <c r="AH874" s="292"/>
      <c r="AI874" s="292"/>
      <c r="AJ874" s="292"/>
      <c r="AK874" s="395"/>
      <c r="AL874" s="317"/>
      <c r="AM874" s="394"/>
      <c r="AN874" s="396"/>
      <c r="AO874" s="200"/>
      <c r="AP874" s="200"/>
    </row>
    <row r="875">
      <c r="A875" s="395"/>
      <c r="B875" s="317"/>
      <c r="C875" s="394"/>
      <c r="D875" s="396"/>
      <c r="E875" s="395"/>
      <c r="F875" s="317"/>
      <c r="G875" s="394"/>
      <c r="H875" s="396"/>
      <c r="I875" s="395"/>
      <c r="J875" s="317"/>
      <c r="K875" s="394"/>
      <c r="L875" s="396"/>
      <c r="M875" s="395"/>
      <c r="N875" s="317"/>
      <c r="O875" s="394"/>
      <c r="P875" s="396"/>
      <c r="Q875" s="403"/>
      <c r="R875" s="404"/>
      <c r="S875" s="405"/>
      <c r="T875" s="401"/>
      <c r="U875" s="403"/>
      <c r="V875" s="404"/>
      <c r="W875" s="405"/>
      <c r="X875" s="401"/>
      <c r="Y875" s="403"/>
      <c r="Z875" s="404"/>
      <c r="AA875" s="405"/>
      <c r="AB875" s="401"/>
      <c r="AC875" s="403"/>
      <c r="AD875" s="404"/>
      <c r="AE875" s="405"/>
      <c r="AF875" s="401"/>
      <c r="AG875" s="292"/>
      <c r="AH875" s="292"/>
      <c r="AI875" s="292"/>
      <c r="AJ875" s="292"/>
      <c r="AK875" s="395"/>
      <c r="AL875" s="317"/>
      <c r="AM875" s="394"/>
      <c r="AN875" s="396"/>
      <c r="AO875" s="200"/>
      <c r="AP875" s="200"/>
    </row>
    <row r="876">
      <c r="A876" s="395"/>
      <c r="B876" s="317"/>
      <c r="C876" s="394"/>
      <c r="D876" s="396"/>
      <c r="E876" s="395"/>
      <c r="F876" s="317"/>
      <c r="G876" s="394"/>
      <c r="H876" s="396"/>
      <c r="I876" s="395"/>
      <c r="J876" s="317"/>
      <c r="K876" s="394"/>
      <c r="L876" s="396"/>
      <c r="M876" s="395"/>
      <c r="N876" s="317"/>
      <c r="O876" s="394"/>
      <c r="P876" s="396"/>
      <c r="Q876" s="403"/>
      <c r="R876" s="404"/>
      <c r="S876" s="405"/>
      <c r="T876" s="401"/>
      <c r="U876" s="403"/>
      <c r="V876" s="404"/>
      <c r="W876" s="405"/>
      <c r="X876" s="401"/>
      <c r="Y876" s="403"/>
      <c r="Z876" s="404"/>
      <c r="AA876" s="405"/>
      <c r="AB876" s="401"/>
      <c r="AC876" s="403"/>
      <c r="AD876" s="404"/>
      <c r="AE876" s="405"/>
      <c r="AF876" s="401"/>
      <c r="AG876" s="292"/>
      <c r="AH876" s="292"/>
      <c r="AI876" s="292"/>
      <c r="AJ876" s="292"/>
      <c r="AK876" s="395"/>
      <c r="AL876" s="317"/>
      <c r="AM876" s="394"/>
      <c r="AN876" s="396"/>
      <c r="AO876" s="200"/>
      <c r="AP876" s="200"/>
    </row>
    <row r="877">
      <c r="A877" s="395"/>
      <c r="B877" s="317"/>
      <c r="C877" s="394"/>
      <c r="D877" s="396"/>
      <c r="E877" s="395"/>
      <c r="F877" s="317"/>
      <c r="G877" s="394"/>
      <c r="H877" s="396"/>
      <c r="I877" s="395"/>
      <c r="J877" s="317"/>
      <c r="K877" s="394"/>
      <c r="L877" s="396"/>
      <c r="M877" s="395"/>
      <c r="N877" s="317"/>
      <c r="O877" s="394"/>
      <c r="P877" s="396"/>
      <c r="Q877" s="403"/>
      <c r="R877" s="404"/>
      <c r="S877" s="405"/>
      <c r="T877" s="401"/>
      <c r="U877" s="403"/>
      <c r="V877" s="404"/>
      <c r="W877" s="405"/>
      <c r="X877" s="401"/>
      <c r="Y877" s="403"/>
      <c r="Z877" s="404"/>
      <c r="AA877" s="405"/>
      <c r="AB877" s="401"/>
      <c r="AC877" s="403"/>
      <c r="AD877" s="404"/>
      <c r="AE877" s="405"/>
      <c r="AF877" s="401"/>
      <c r="AG877" s="292"/>
      <c r="AH877" s="292"/>
      <c r="AI877" s="292"/>
      <c r="AJ877" s="292"/>
      <c r="AK877" s="395"/>
      <c r="AL877" s="317"/>
      <c r="AM877" s="394"/>
      <c r="AN877" s="396"/>
      <c r="AO877" s="200"/>
      <c r="AP877" s="200"/>
    </row>
    <row r="878">
      <c r="A878" s="395"/>
      <c r="B878" s="317"/>
      <c r="C878" s="394"/>
      <c r="D878" s="396"/>
      <c r="E878" s="395"/>
      <c r="F878" s="317"/>
      <c r="G878" s="394"/>
      <c r="H878" s="396"/>
      <c r="I878" s="395"/>
      <c r="J878" s="317"/>
      <c r="K878" s="394"/>
      <c r="L878" s="396"/>
      <c r="M878" s="395"/>
      <c r="N878" s="317"/>
      <c r="O878" s="394"/>
      <c r="P878" s="396"/>
      <c r="Q878" s="403"/>
      <c r="R878" s="404"/>
      <c r="S878" s="405"/>
      <c r="T878" s="401"/>
      <c r="U878" s="403"/>
      <c r="V878" s="404"/>
      <c r="W878" s="405"/>
      <c r="X878" s="401"/>
      <c r="Y878" s="403"/>
      <c r="Z878" s="404"/>
      <c r="AA878" s="405"/>
      <c r="AB878" s="401"/>
      <c r="AC878" s="403"/>
      <c r="AD878" s="404"/>
      <c r="AE878" s="405"/>
      <c r="AF878" s="401"/>
      <c r="AG878" s="292"/>
      <c r="AH878" s="292"/>
      <c r="AI878" s="292"/>
      <c r="AJ878" s="292"/>
      <c r="AK878" s="395"/>
      <c r="AL878" s="317"/>
      <c r="AM878" s="394"/>
      <c r="AN878" s="396"/>
      <c r="AO878" s="200"/>
      <c r="AP878" s="200"/>
    </row>
    <row r="879">
      <c r="A879" s="395"/>
      <c r="B879" s="317"/>
      <c r="C879" s="394"/>
      <c r="D879" s="396"/>
      <c r="E879" s="395"/>
      <c r="F879" s="317"/>
      <c r="G879" s="394"/>
      <c r="H879" s="396"/>
      <c r="I879" s="395"/>
      <c r="J879" s="317"/>
      <c r="K879" s="394"/>
      <c r="L879" s="396"/>
      <c r="M879" s="395"/>
      <c r="N879" s="317"/>
      <c r="O879" s="394"/>
      <c r="P879" s="396"/>
      <c r="Q879" s="403"/>
      <c r="R879" s="404"/>
      <c r="S879" s="405"/>
      <c r="T879" s="401"/>
      <c r="U879" s="403"/>
      <c r="V879" s="404"/>
      <c r="W879" s="405"/>
      <c r="X879" s="401"/>
      <c r="Y879" s="403"/>
      <c r="Z879" s="404"/>
      <c r="AA879" s="405"/>
      <c r="AB879" s="401"/>
      <c r="AC879" s="403"/>
      <c r="AD879" s="404"/>
      <c r="AE879" s="405"/>
      <c r="AF879" s="401"/>
      <c r="AG879" s="292"/>
      <c r="AH879" s="292"/>
      <c r="AI879" s="292"/>
      <c r="AJ879" s="292"/>
      <c r="AK879" s="395"/>
      <c r="AL879" s="317"/>
      <c r="AM879" s="394"/>
      <c r="AN879" s="396"/>
      <c r="AO879" s="200"/>
      <c r="AP879" s="200"/>
    </row>
    <row r="880">
      <c r="A880" s="395"/>
      <c r="B880" s="317"/>
      <c r="C880" s="394"/>
      <c r="D880" s="396"/>
      <c r="E880" s="395"/>
      <c r="F880" s="317"/>
      <c r="G880" s="394"/>
      <c r="H880" s="396"/>
      <c r="I880" s="395"/>
      <c r="J880" s="317"/>
      <c r="K880" s="394"/>
      <c r="L880" s="396"/>
      <c r="M880" s="395"/>
      <c r="N880" s="317"/>
      <c r="O880" s="394"/>
      <c r="P880" s="396"/>
      <c r="Q880" s="403"/>
      <c r="R880" s="404"/>
      <c r="S880" s="405"/>
      <c r="T880" s="401"/>
      <c r="U880" s="403"/>
      <c r="V880" s="404"/>
      <c r="W880" s="405"/>
      <c r="X880" s="401"/>
      <c r="Y880" s="403"/>
      <c r="Z880" s="404"/>
      <c r="AA880" s="405"/>
      <c r="AB880" s="401"/>
      <c r="AC880" s="403"/>
      <c r="AD880" s="404"/>
      <c r="AE880" s="405"/>
      <c r="AF880" s="401"/>
      <c r="AG880" s="292"/>
      <c r="AH880" s="292"/>
      <c r="AI880" s="292"/>
      <c r="AJ880" s="292"/>
      <c r="AK880" s="395"/>
      <c r="AL880" s="317"/>
      <c r="AM880" s="394"/>
      <c r="AN880" s="396"/>
      <c r="AO880" s="200"/>
      <c r="AP880" s="200"/>
    </row>
    <row r="881">
      <c r="A881" s="395"/>
      <c r="B881" s="317"/>
      <c r="C881" s="394"/>
      <c r="D881" s="396"/>
      <c r="E881" s="395"/>
      <c r="F881" s="317"/>
      <c r="G881" s="394"/>
      <c r="H881" s="396"/>
      <c r="I881" s="395"/>
      <c r="J881" s="317"/>
      <c r="K881" s="394"/>
      <c r="L881" s="396"/>
      <c r="M881" s="395"/>
      <c r="N881" s="317"/>
      <c r="O881" s="394"/>
      <c r="P881" s="396"/>
      <c r="Q881" s="403"/>
      <c r="R881" s="404"/>
      <c r="S881" s="405"/>
      <c r="T881" s="401"/>
      <c r="U881" s="403"/>
      <c r="V881" s="404"/>
      <c r="W881" s="405"/>
      <c r="X881" s="401"/>
      <c r="Y881" s="403"/>
      <c r="Z881" s="404"/>
      <c r="AA881" s="405"/>
      <c r="AB881" s="401"/>
      <c r="AC881" s="403"/>
      <c r="AD881" s="404"/>
      <c r="AE881" s="405"/>
      <c r="AF881" s="401"/>
      <c r="AG881" s="292"/>
      <c r="AH881" s="292"/>
      <c r="AI881" s="292"/>
      <c r="AJ881" s="292"/>
      <c r="AK881" s="395"/>
      <c r="AL881" s="317"/>
      <c r="AM881" s="394"/>
      <c r="AN881" s="396"/>
      <c r="AO881" s="200"/>
      <c r="AP881" s="200"/>
    </row>
    <row r="882">
      <c r="A882" s="395"/>
      <c r="B882" s="317"/>
      <c r="C882" s="394"/>
      <c r="D882" s="396"/>
      <c r="E882" s="395"/>
      <c r="F882" s="317"/>
      <c r="G882" s="394"/>
      <c r="H882" s="396"/>
      <c r="I882" s="395"/>
      <c r="J882" s="317"/>
      <c r="K882" s="394"/>
      <c r="L882" s="396"/>
      <c r="M882" s="395"/>
      <c r="N882" s="317"/>
      <c r="O882" s="394"/>
      <c r="P882" s="396"/>
      <c r="Q882" s="403"/>
      <c r="R882" s="404"/>
      <c r="S882" s="405"/>
      <c r="T882" s="401"/>
      <c r="U882" s="403"/>
      <c r="V882" s="404"/>
      <c r="W882" s="405"/>
      <c r="X882" s="401"/>
      <c r="Y882" s="403"/>
      <c r="Z882" s="404"/>
      <c r="AA882" s="405"/>
      <c r="AB882" s="401"/>
      <c r="AC882" s="403"/>
      <c r="AD882" s="404"/>
      <c r="AE882" s="405"/>
      <c r="AF882" s="401"/>
      <c r="AG882" s="292"/>
      <c r="AH882" s="292"/>
      <c r="AI882" s="292"/>
      <c r="AJ882" s="292"/>
      <c r="AK882" s="395"/>
      <c r="AL882" s="317"/>
      <c r="AM882" s="394"/>
      <c r="AN882" s="396"/>
      <c r="AO882" s="200"/>
      <c r="AP882" s="200"/>
    </row>
    <row r="883">
      <c r="A883" s="395"/>
      <c r="B883" s="317"/>
      <c r="C883" s="394"/>
      <c r="D883" s="396"/>
      <c r="E883" s="395"/>
      <c r="F883" s="317"/>
      <c r="G883" s="394"/>
      <c r="H883" s="396"/>
      <c r="I883" s="395"/>
      <c r="J883" s="317"/>
      <c r="K883" s="394"/>
      <c r="L883" s="396"/>
      <c r="M883" s="395"/>
      <c r="N883" s="317"/>
      <c r="O883" s="394"/>
      <c r="P883" s="396"/>
      <c r="Q883" s="403"/>
      <c r="R883" s="404"/>
      <c r="S883" s="405"/>
      <c r="T883" s="401"/>
      <c r="U883" s="403"/>
      <c r="V883" s="404"/>
      <c r="W883" s="405"/>
      <c r="X883" s="401"/>
      <c r="Y883" s="403"/>
      <c r="Z883" s="404"/>
      <c r="AA883" s="405"/>
      <c r="AB883" s="401"/>
      <c r="AC883" s="403"/>
      <c r="AD883" s="404"/>
      <c r="AE883" s="405"/>
      <c r="AF883" s="401"/>
      <c r="AG883" s="292"/>
      <c r="AH883" s="292"/>
      <c r="AI883" s="292"/>
      <c r="AJ883" s="292"/>
      <c r="AK883" s="395"/>
      <c r="AL883" s="317"/>
      <c r="AM883" s="394"/>
      <c r="AN883" s="396"/>
      <c r="AO883" s="200"/>
      <c r="AP883" s="200"/>
    </row>
    <row r="884">
      <c r="A884" s="395"/>
      <c r="B884" s="317"/>
      <c r="C884" s="394"/>
      <c r="D884" s="396"/>
      <c r="E884" s="395"/>
      <c r="F884" s="317"/>
      <c r="G884" s="394"/>
      <c r="H884" s="396"/>
      <c r="I884" s="395"/>
      <c r="J884" s="317"/>
      <c r="K884" s="394"/>
      <c r="L884" s="396"/>
      <c r="M884" s="395"/>
      <c r="N884" s="317"/>
      <c r="O884" s="394"/>
      <c r="P884" s="396"/>
      <c r="Q884" s="403"/>
      <c r="R884" s="404"/>
      <c r="S884" s="405"/>
      <c r="T884" s="401"/>
      <c r="U884" s="403"/>
      <c r="V884" s="404"/>
      <c r="W884" s="405"/>
      <c r="X884" s="401"/>
      <c r="Y884" s="403"/>
      <c r="Z884" s="404"/>
      <c r="AA884" s="405"/>
      <c r="AB884" s="401"/>
      <c r="AC884" s="403"/>
      <c r="AD884" s="404"/>
      <c r="AE884" s="405"/>
      <c r="AF884" s="401"/>
      <c r="AG884" s="292"/>
      <c r="AH884" s="292"/>
      <c r="AI884" s="292"/>
      <c r="AJ884" s="292"/>
      <c r="AK884" s="395"/>
      <c r="AL884" s="317"/>
      <c r="AM884" s="394"/>
      <c r="AN884" s="396"/>
      <c r="AO884" s="200"/>
      <c r="AP884" s="200"/>
    </row>
    <row r="885">
      <c r="A885" s="395"/>
      <c r="B885" s="317"/>
      <c r="C885" s="394"/>
      <c r="D885" s="396"/>
      <c r="E885" s="395"/>
      <c r="F885" s="317"/>
      <c r="G885" s="394"/>
      <c r="H885" s="396"/>
      <c r="I885" s="395"/>
      <c r="J885" s="317"/>
      <c r="K885" s="394"/>
      <c r="L885" s="396"/>
      <c r="M885" s="395"/>
      <c r="N885" s="317"/>
      <c r="O885" s="394"/>
      <c r="P885" s="396"/>
      <c r="Q885" s="403"/>
      <c r="R885" s="404"/>
      <c r="S885" s="405"/>
      <c r="T885" s="401"/>
      <c r="U885" s="403"/>
      <c r="V885" s="404"/>
      <c r="W885" s="405"/>
      <c r="X885" s="401"/>
      <c r="Y885" s="403"/>
      <c r="Z885" s="404"/>
      <c r="AA885" s="405"/>
      <c r="AB885" s="401"/>
      <c r="AC885" s="403"/>
      <c r="AD885" s="404"/>
      <c r="AE885" s="405"/>
      <c r="AF885" s="401"/>
      <c r="AG885" s="292"/>
      <c r="AH885" s="292"/>
      <c r="AI885" s="292"/>
      <c r="AJ885" s="292"/>
      <c r="AK885" s="395"/>
      <c r="AL885" s="317"/>
      <c r="AM885" s="394"/>
      <c r="AN885" s="396"/>
      <c r="AO885" s="200"/>
      <c r="AP885" s="200"/>
    </row>
    <row r="886">
      <c r="A886" s="395"/>
      <c r="B886" s="317"/>
      <c r="C886" s="394"/>
      <c r="D886" s="396"/>
      <c r="E886" s="395"/>
      <c r="F886" s="317"/>
      <c r="G886" s="394"/>
      <c r="H886" s="396"/>
      <c r="I886" s="395"/>
      <c r="J886" s="317"/>
      <c r="K886" s="394"/>
      <c r="L886" s="396"/>
      <c r="M886" s="395"/>
      <c r="N886" s="317"/>
      <c r="O886" s="394"/>
      <c r="P886" s="396"/>
      <c r="Q886" s="403"/>
      <c r="R886" s="404"/>
      <c r="S886" s="405"/>
      <c r="T886" s="401"/>
      <c r="U886" s="403"/>
      <c r="V886" s="404"/>
      <c r="W886" s="405"/>
      <c r="X886" s="401"/>
      <c r="Y886" s="403"/>
      <c r="Z886" s="404"/>
      <c r="AA886" s="405"/>
      <c r="AB886" s="401"/>
      <c r="AC886" s="403"/>
      <c r="AD886" s="404"/>
      <c r="AE886" s="405"/>
      <c r="AF886" s="401"/>
      <c r="AG886" s="292"/>
      <c r="AH886" s="292"/>
      <c r="AI886" s="292"/>
      <c r="AJ886" s="292"/>
      <c r="AK886" s="395"/>
      <c r="AL886" s="317"/>
      <c r="AM886" s="394"/>
      <c r="AN886" s="396"/>
      <c r="AO886" s="200"/>
      <c r="AP886" s="200"/>
    </row>
    <row r="887">
      <c r="A887" s="395"/>
      <c r="B887" s="317"/>
      <c r="C887" s="394"/>
      <c r="D887" s="396"/>
      <c r="E887" s="395"/>
      <c r="F887" s="317"/>
      <c r="G887" s="394"/>
      <c r="H887" s="396"/>
      <c r="I887" s="395"/>
      <c r="J887" s="317"/>
      <c r="K887" s="394"/>
      <c r="L887" s="396"/>
      <c r="M887" s="395"/>
      <c r="N887" s="317"/>
      <c r="O887" s="394"/>
      <c r="P887" s="396"/>
      <c r="Q887" s="403"/>
      <c r="R887" s="404"/>
      <c r="S887" s="405"/>
      <c r="T887" s="401"/>
      <c r="U887" s="403"/>
      <c r="V887" s="404"/>
      <c r="W887" s="405"/>
      <c r="X887" s="401"/>
      <c r="Y887" s="403"/>
      <c r="Z887" s="404"/>
      <c r="AA887" s="405"/>
      <c r="AB887" s="401"/>
      <c r="AC887" s="403"/>
      <c r="AD887" s="404"/>
      <c r="AE887" s="405"/>
      <c r="AF887" s="401"/>
      <c r="AG887" s="292"/>
      <c r="AH887" s="292"/>
      <c r="AI887" s="292"/>
      <c r="AJ887" s="292"/>
      <c r="AK887" s="395"/>
      <c r="AL887" s="317"/>
      <c r="AM887" s="394"/>
      <c r="AN887" s="396"/>
      <c r="AO887" s="200"/>
      <c r="AP887" s="200"/>
    </row>
    <row r="888">
      <c r="A888" s="395"/>
      <c r="B888" s="317"/>
      <c r="C888" s="394"/>
      <c r="D888" s="396"/>
      <c r="E888" s="395"/>
      <c r="F888" s="317"/>
      <c r="G888" s="394"/>
      <c r="H888" s="396"/>
      <c r="I888" s="395"/>
      <c r="J888" s="317"/>
      <c r="K888" s="394"/>
      <c r="L888" s="396"/>
      <c r="M888" s="395"/>
      <c r="N888" s="317"/>
      <c r="O888" s="394"/>
      <c r="P888" s="396"/>
      <c r="Q888" s="403"/>
      <c r="R888" s="404"/>
      <c r="S888" s="405"/>
      <c r="T888" s="401"/>
      <c r="U888" s="403"/>
      <c r="V888" s="404"/>
      <c r="W888" s="405"/>
      <c r="X888" s="401"/>
      <c r="Y888" s="403"/>
      <c r="Z888" s="404"/>
      <c r="AA888" s="405"/>
      <c r="AB888" s="401"/>
      <c r="AC888" s="403"/>
      <c r="AD888" s="404"/>
      <c r="AE888" s="405"/>
      <c r="AF888" s="401"/>
      <c r="AG888" s="292"/>
      <c r="AH888" s="292"/>
      <c r="AI888" s="292"/>
      <c r="AJ888" s="292"/>
      <c r="AK888" s="395"/>
      <c r="AL888" s="317"/>
      <c r="AM888" s="394"/>
      <c r="AN888" s="396"/>
      <c r="AO888" s="200"/>
      <c r="AP888" s="200"/>
    </row>
    <row r="889">
      <c r="A889" s="395"/>
      <c r="B889" s="317"/>
      <c r="C889" s="394"/>
      <c r="D889" s="396"/>
      <c r="E889" s="395"/>
      <c r="F889" s="317"/>
      <c r="G889" s="394"/>
      <c r="H889" s="396"/>
      <c r="I889" s="395"/>
      <c r="J889" s="317"/>
      <c r="K889" s="394"/>
      <c r="L889" s="396"/>
      <c r="M889" s="395"/>
      <c r="N889" s="317"/>
      <c r="O889" s="394"/>
      <c r="P889" s="396"/>
      <c r="Q889" s="403"/>
      <c r="R889" s="404"/>
      <c r="S889" s="405"/>
      <c r="T889" s="401"/>
      <c r="U889" s="403"/>
      <c r="V889" s="404"/>
      <c r="W889" s="405"/>
      <c r="X889" s="401"/>
      <c r="Y889" s="403"/>
      <c r="Z889" s="404"/>
      <c r="AA889" s="405"/>
      <c r="AB889" s="401"/>
      <c r="AC889" s="403"/>
      <c r="AD889" s="404"/>
      <c r="AE889" s="405"/>
      <c r="AF889" s="401"/>
      <c r="AG889" s="292"/>
      <c r="AH889" s="292"/>
      <c r="AI889" s="292"/>
      <c r="AJ889" s="292"/>
      <c r="AK889" s="395"/>
      <c r="AL889" s="317"/>
      <c r="AM889" s="394"/>
      <c r="AN889" s="396"/>
      <c r="AO889" s="200"/>
      <c r="AP889" s="200"/>
    </row>
    <row r="890">
      <c r="A890" s="395"/>
      <c r="B890" s="317"/>
      <c r="C890" s="394"/>
      <c r="D890" s="396"/>
      <c r="E890" s="395"/>
      <c r="F890" s="317"/>
      <c r="G890" s="394"/>
      <c r="H890" s="396"/>
      <c r="I890" s="395"/>
      <c r="J890" s="317"/>
      <c r="K890" s="394"/>
      <c r="L890" s="396"/>
      <c r="M890" s="395"/>
      <c r="N890" s="317"/>
      <c r="O890" s="394"/>
      <c r="P890" s="396"/>
      <c r="Q890" s="403"/>
      <c r="R890" s="404"/>
      <c r="S890" s="405"/>
      <c r="T890" s="401"/>
      <c r="U890" s="403"/>
      <c r="V890" s="404"/>
      <c r="W890" s="405"/>
      <c r="X890" s="401"/>
      <c r="Y890" s="403"/>
      <c r="Z890" s="404"/>
      <c r="AA890" s="405"/>
      <c r="AB890" s="401"/>
      <c r="AC890" s="403"/>
      <c r="AD890" s="404"/>
      <c r="AE890" s="405"/>
      <c r="AF890" s="401"/>
      <c r="AG890" s="292"/>
      <c r="AH890" s="292"/>
      <c r="AI890" s="292"/>
      <c r="AJ890" s="292"/>
      <c r="AK890" s="395"/>
      <c r="AL890" s="317"/>
      <c r="AM890" s="394"/>
      <c r="AN890" s="396"/>
      <c r="AO890" s="200"/>
      <c r="AP890" s="200"/>
    </row>
    <row r="891">
      <c r="A891" s="395"/>
      <c r="B891" s="317"/>
      <c r="C891" s="394"/>
      <c r="D891" s="396"/>
      <c r="E891" s="395"/>
      <c r="F891" s="317"/>
      <c r="G891" s="394"/>
      <c r="H891" s="396"/>
      <c r="I891" s="395"/>
      <c r="J891" s="317"/>
      <c r="K891" s="394"/>
      <c r="L891" s="396"/>
      <c r="M891" s="395"/>
      <c r="N891" s="317"/>
      <c r="O891" s="394"/>
      <c r="P891" s="396"/>
      <c r="Q891" s="403"/>
      <c r="R891" s="404"/>
      <c r="S891" s="405"/>
      <c r="T891" s="401"/>
      <c r="U891" s="403"/>
      <c r="V891" s="404"/>
      <c r="W891" s="405"/>
      <c r="X891" s="401"/>
      <c r="Y891" s="403"/>
      <c r="Z891" s="404"/>
      <c r="AA891" s="405"/>
      <c r="AB891" s="401"/>
      <c r="AC891" s="403"/>
      <c r="AD891" s="404"/>
      <c r="AE891" s="405"/>
      <c r="AF891" s="401"/>
      <c r="AG891" s="292"/>
      <c r="AH891" s="292"/>
      <c r="AI891" s="292"/>
      <c r="AJ891" s="292"/>
      <c r="AK891" s="395"/>
      <c r="AL891" s="317"/>
      <c r="AM891" s="394"/>
      <c r="AN891" s="396"/>
      <c r="AO891" s="200"/>
      <c r="AP891" s="200"/>
    </row>
    <row r="892">
      <c r="A892" s="395"/>
      <c r="B892" s="317"/>
      <c r="C892" s="394"/>
      <c r="D892" s="396"/>
      <c r="E892" s="395"/>
      <c r="F892" s="317"/>
      <c r="G892" s="394"/>
      <c r="H892" s="396"/>
      <c r="I892" s="395"/>
      <c r="J892" s="317"/>
      <c r="K892" s="394"/>
      <c r="L892" s="396"/>
      <c r="M892" s="395"/>
      <c r="N892" s="317"/>
      <c r="O892" s="394"/>
      <c r="P892" s="396"/>
      <c r="Q892" s="403"/>
      <c r="R892" s="404"/>
      <c r="S892" s="405"/>
      <c r="T892" s="401"/>
      <c r="U892" s="403"/>
      <c r="V892" s="404"/>
      <c r="W892" s="405"/>
      <c r="X892" s="401"/>
      <c r="Y892" s="403"/>
      <c r="Z892" s="404"/>
      <c r="AA892" s="405"/>
      <c r="AB892" s="401"/>
      <c r="AC892" s="403"/>
      <c r="AD892" s="404"/>
      <c r="AE892" s="405"/>
      <c r="AF892" s="401"/>
      <c r="AG892" s="292"/>
      <c r="AH892" s="292"/>
      <c r="AI892" s="292"/>
      <c r="AJ892" s="292"/>
      <c r="AK892" s="395"/>
      <c r="AL892" s="317"/>
      <c r="AM892" s="394"/>
      <c r="AN892" s="396"/>
      <c r="AO892" s="200"/>
      <c r="AP892" s="200"/>
    </row>
    <row r="893">
      <c r="A893" s="395"/>
      <c r="B893" s="317"/>
      <c r="C893" s="394"/>
      <c r="D893" s="396"/>
      <c r="E893" s="395"/>
      <c r="F893" s="317"/>
      <c r="G893" s="394"/>
      <c r="H893" s="396"/>
      <c r="I893" s="395"/>
      <c r="J893" s="317"/>
      <c r="K893" s="394"/>
      <c r="L893" s="396"/>
      <c r="M893" s="395"/>
      <c r="N893" s="317"/>
      <c r="O893" s="394"/>
      <c r="P893" s="396"/>
      <c r="Q893" s="403"/>
      <c r="R893" s="404"/>
      <c r="S893" s="405"/>
      <c r="T893" s="401"/>
      <c r="U893" s="403"/>
      <c r="V893" s="404"/>
      <c r="W893" s="405"/>
      <c r="X893" s="401"/>
      <c r="Y893" s="403"/>
      <c r="Z893" s="404"/>
      <c r="AA893" s="405"/>
      <c r="AB893" s="401"/>
      <c r="AC893" s="403"/>
      <c r="AD893" s="404"/>
      <c r="AE893" s="405"/>
      <c r="AF893" s="401"/>
      <c r="AG893" s="292"/>
      <c r="AH893" s="292"/>
      <c r="AI893" s="292"/>
      <c r="AJ893" s="292"/>
      <c r="AK893" s="395"/>
      <c r="AL893" s="317"/>
      <c r="AM893" s="394"/>
      <c r="AN893" s="396"/>
      <c r="AO893" s="200"/>
      <c r="AP893" s="200"/>
    </row>
    <row r="894">
      <c r="A894" s="395"/>
      <c r="B894" s="317"/>
      <c r="C894" s="394"/>
      <c r="D894" s="396"/>
      <c r="E894" s="395"/>
      <c r="F894" s="317"/>
      <c r="G894" s="394"/>
      <c r="H894" s="396"/>
      <c r="I894" s="395"/>
      <c r="J894" s="317"/>
      <c r="K894" s="394"/>
      <c r="L894" s="396"/>
      <c r="M894" s="395"/>
      <c r="N894" s="317"/>
      <c r="O894" s="394"/>
      <c r="P894" s="396"/>
      <c r="Q894" s="403"/>
      <c r="R894" s="404"/>
      <c r="S894" s="405"/>
      <c r="T894" s="401"/>
      <c r="U894" s="403"/>
      <c r="V894" s="404"/>
      <c r="W894" s="405"/>
      <c r="X894" s="401"/>
      <c r="Y894" s="403"/>
      <c r="Z894" s="404"/>
      <c r="AA894" s="405"/>
      <c r="AB894" s="401"/>
      <c r="AC894" s="403"/>
      <c r="AD894" s="404"/>
      <c r="AE894" s="405"/>
      <c r="AF894" s="401"/>
      <c r="AG894" s="292"/>
      <c r="AH894" s="292"/>
      <c r="AI894" s="292"/>
      <c r="AJ894" s="292"/>
      <c r="AK894" s="395"/>
      <c r="AL894" s="317"/>
      <c r="AM894" s="394"/>
      <c r="AN894" s="396"/>
      <c r="AO894" s="200"/>
      <c r="AP894" s="200"/>
    </row>
    <row r="895">
      <c r="A895" s="395"/>
      <c r="B895" s="317"/>
      <c r="C895" s="394"/>
      <c r="D895" s="396"/>
      <c r="E895" s="395"/>
      <c r="F895" s="317"/>
      <c r="G895" s="394"/>
      <c r="H895" s="396"/>
      <c r="I895" s="395"/>
      <c r="J895" s="317"/>
      <c r="K895" s="394"/>
      <c r="L895" s="396"/>
      <c r="M895" s="395"/>
      <c r="N895" s="317"/>
      <c r="O895" s="394"/>
      <c r="P895" s="396"/>
      <c r="Q895" s="403"/>
      <c r="R895" s="404"/>
      <c r="S895" s="405"/>
      <c r="T895" s="401"/>
      <c r="U895" s="403"/>
      <c r="V895" s="404"/>
      <c r="W895" s="405"/>
      <c r="X895" s="401"/>
      <c r="Y895" s="403"/>
      <c r="Z895" s="404"/>
      <c r="AA895" s="405"/>
      <c r="AB895" s="401"/>
      <c r="AC895" s="403"/>
      <c r="AD895" s="404"/>
      <c r="AE895" s="405"/>
      <c r="AF895" s="401"/>
      <c r="AG895" s="292"/>
      <c r="AH895" s="292"/>
      <c r="AI895" s="292"/>
      <c r="AJ895" s="292"/>
      <c r="AK895" s="395"/>
      <c r="AL895" s="317"/>
      <c r="AM895" s="394"/>
      <c r="AN895" s="396"/>
      <c r="AO895" s="200"/>
      <c r="AP895" s="200"/>
    </row>
    <row r="896">
      <c r="A896" s="395"/>
      <c r="B896" s="317"/>
      <c r="C896" s="394"/>
      <c r="D896" s="396"/>
      <c r="E896" s="395"/>
      <c r="F896" s="317"/>
      <c r="G896" s="394"/>
      <c r="H896" s="396"/>
      <c r="I896" s="395"/>
      <c r="J896" s="317"/>
      <c r="K896" s="394"/>
      <c r="L896" s="396"/>
      <c r="M896" s="395"/>
      <c r="N896" s="317"/>
      <c r="O896" s="394"/>
      <c r="P896" s="396"/>
      <c r="Q896" s="403"/>
      <c r="R896" s="404"/>
      <c r="S896" s="405"/>
      <c r="T896" s="401"/>
      <c r="U896" s="403"/>
      <c r="V896" s="404"/>
      <c r="W896" s="405"/>
      <c r="X896" s="401"/>
      <c r="Y896" s="403"/>
      <c r="Z896" s="404"/>
      <c r="AA896" s="405"/>
      <c r="AB896" s="401"/>
      <c r="AC896" s="403"/>
      <c r="AD896" s="404"/>
      <c r="AE896" s="405"/>
      <c r="AF896" s="401"/>
      <c r="AG896" s="292"/>
      <c r="AH896" s="292"/>
      <c r="AI896" s="292"/>
      <c r="AJ896" s="292"/>
      <c r="AK896" s="395"/>
      <c r="AL896" s="317"/>
      <c r="AM896" s="394"/>
      <c r="AN896" s="396"/>
      <c r="AO896" s="200"/>
      <c r="AP896" s="200"/>
    </row>
    <row r="897">
      <c r="A897" s="395"/>
      <c r="B897" s="317"/>
      <c r="C897" s="394"/>
      <c r="D897" s="396"/>
      <c r="E897" s="395"/>
      <c r="F897" s="317"/>
      <c r="G897" s="394"/>
      <c r="H897" s="396"/>
      <c r="I897" s="395"/>
      <c r="J897" s="317"/>
      <c r="K897" s="394"/>
      <c r="L897" s="396"/>
      <c r="M897" s="395"/>
      <c r="N897" s="317"/>
      <c r="O897" s="394"/>
      <c r="P897" s="396"/>
      <c r="Q897" s="403"/>
      <c r="R897" s="404"/>
      <c r="S897" s="405"/>
      <c r="T897" s="401"/>
      <c r="U897" s="403"/>
      <c r="V897" s="404"/>
      <c r="W897" s="405"/>
      <c r="X897" s="401"/>
      <c r="Y897" s="403"/>
      <c r="Z897" s="404"/>
      <c r="AA897" s="405"/>
      <c r="AB897" s="401"/>
      <c r="AC897" s="403"/>
      <c r="AD897" s="404"/>
      <c r="AE897" s="405"/>
      <c r="AF897" s="401"/>
      <c r="AG897" s="292"/>
      <c r="AH897" s="292"/>
      <c r="AI897" s="292"/>
      <c r="AJ897" s="292"/>
      <c r="AK897" s="395"/>
      <c r="AL897" s="317"/>
      <c r="AM897" s="394"/>
      <c r="AN897" s="396"/>
      <c r="AO897" s="200"/>
      <c r="AP897" s="200"/>
    </row>
    <row r="898">
      <c r="A898" s="395"/>
      <c r="B898" s="317"/>
      <c r="C898" s="394"/>
      <c r="D898" s="396"/>
      <c r="E898" s="395"/>
      <c r="F898" s="317"/>
      <c r="G898" s="394"/>
      <c r="H898" s="396"/>
      <c r="I898" s="395"/>
      <c r="J898" s="317"/>
      <c r="K898" s="394"/>
      <c r="L898" s="396"/>
      <c r="M898" s="395"/>
      <c r="N898" s="317"/>
      <c r="O898" s="394"/>
      <c r="P898" s="396"/>
      <c r="Q898" s="403"/>
      <c r="R898" s="404"/>
      <c r="S898" s="405"/>
      <c r="T898" s="401"/>
      <c r="U898" s="403"/>
      <c r="V898" s="404"/>
      <c r="W898" s="405"/>
      <c r="X898" s="401"/>
      <c r="Y898" s="403"/>
      <c r="Z898" s="404"/>
      <c r="AA898" s="405"/>
      <c r="AB898" s="401"/>
      <c r="AC898" s="403"/>
      <c r="AD898" s="404"/>
      <c r="AE898" s="405"/>
      <c r="AF898" s="401"/>
      <c r="AG898" s="292"/>
      <c r="AH898" s="292"/>
      <c r="AI898" s="292"/>
      <c r="AJ898" s="292"/>
      <c r="AK898" s="395"/>
      <c r="AL898" s="317"/>
      <c r="AM898" s="394"/>
      <c r="AN898" s="396"/>
      <c r="AO898" s="200"/>
      <c r="AP898" s="200"/>
    </row>
    <row r="899">
      <c r="A899" s="395"/>
      <c r="B899" s="317"/>
      <c r="C899" s="394"/>
      <c r="D899" s="396"/>
      <c r="E899" s="395"/>
      <c r="F899" s="317"/>
      <c r="G899" s="394"/>
      <c r="H899" s="396"/>
      <c r="I899" s="395"/>
      <c r="J899" s="317"/>
      <c r="K899" s="394"/>
      <c r="L899" s="396"/>
      <c r="M899" s="395"/>
      <c r="N899" s="317"/>
      <c r="O899" s="394"/>
      <c r="P899" s="396"/>
      <c r="Q899" s="403"/>
      <c r="R899" s="404"/>
      <c r="S899" s="405"/>
      <c r="T899" s="401"/>
      <c r="U899" s="403"/>
      <c r="V899" s="404"/>
      <c r="W899" s="405"/>
      <c r="X899" s="401"/>
      <c r="Y899" s="403"/>
      <c r="Z899" s="404"/>
      <c r="AA899" s="405"/>
      <c r="AB899" s="401"/>
      <c r="AC899" s="403"/>
      <c r="AD899" s="404"/>
      <c r="AE899" s="405"/>
      <c r="AF899" s="401"/>
      <c r="AG899" s="292"/>
      <c r="AH899" s="292"/>
      <c r="AI899" s="292"/>
      <c r="AJ899" s="292"/>
      <c r="AK899" s="395"/>
      <c r="AL899" s="317"/>
      <c r="AM899" s="394"/>
      <c r="AN899" s="396"/>
      <c r="AO899" s="200"/>
      <c r="AP899" s="200"/>
    </row>
    <row r="900">
      <c r="A900" s="395"/>
      <c r="B900" s="317"/>
      <c r="C900" s="394"/>
      <c r="D900" s="396"/>
      <c r="E900" s="395"/>
      <c r="F900" s="317"/>
      <c r="G900" s="394"/>
      <c r="H900" s="396"/>
      <c r="I900" s="395"/>
      <c r="J900" s="317"/>
      <c r="K900" s="394"/>
      <c r="L900" s="396"/>
      <c r="M900" s="395"/>
      <c r="N900" s="317"/>
      <c r="O900" s="394"/>
      <c r="P900" s="396"/>
      <c r="Q900" s="403"/>
      <c r="R900" s="404"/>
      <c r="S900" s="405"/>
      <c r="T900" s="401"/>
      <c r="U900" s="403"/>
      <c r="V900" s="404"/>
      <c r="W900" s="405"/>
      <c r="X900" s="401"/>
      <c r="Y900" s="403"/>
      <c r="Z900" s="404"/>
      <c r="AA900" s="405"/>
      <c r="AB900" s="401"/>
      <c r="AC900" s="403"/>
      <c r="AD900" s="404"/>
      <c r="AE900" s="405"/>
      <c r="AF900" s="401"/>
      <c r="AG900" s="292"/>
      <c r="AH900" s="292"/>
      <c r="AI900" s="292"/>
      <c r="AJ900" s="292"/>
      <c r="AK900" s="395"/>
      <c r="AL900" s="317"/>
      <c r="AM900" s="394"/>
      <c r="AN900" s="396"/>
      <c r="AO900" s="200"/>
      <c r="AP900" s="200"/>
    </row>
    <row r="901">
      <c r="A901" s="395"/>
      <c r="B901" s="317"/>
      <c r="C901" s="394"/>
      <c r="D901" s="396"/>
      <c r="E901" s="395"/>
      <c r="F901" s="317"/>
      <c r="G901" s="394"/>
      <c r="H901" s="396"/>
      <c r="I901" s="395"/>
      <c r="J901" s="317"/>
      <c r="K901" s="394"/>
      <c r="L901" s="396"/>
      <c r="M901" s="395"/>
      <c r="N901" s="317"/>
      <c r="O901" s="394"/>
      <c r="P901" s="396"/>
      <c r="Q901" s="403"/>
      <c r="R901" s="404"/>
      <c r="S901" s="405"/>
      <c r="T901" s="401"/>
      <c r="U901" s="403"/>
      <c r="V901" s="404"/>
      <c r="W901" s="405"/>
      <c r="X901" s="401"/>
      <c r="Y901" s="403"/>
      <c r="Z901" s="404"/>
      <c r="AA901" s="405"/>
      <c r="AB901" s="401"/>
      <c r="AC901" s="403"/>
      <c r="AD901" s="404"/>
      <c r="AE901" s="405"/>
      <c r="AF901" s="401"/>
      <c r="AG901" s="292"/>
      <c r="AH901" s="292"/>
      <c r="AI901" s="292"/>
      <c r="AJ901" s="292"/>
      <c r="AK901" s="395"/>
      <c r="AL901" s="317"/>
      <c r="AM901" s="394"/>
      <c r="AN901" s="396"/>
      <c r="AO901" s="200"/>
      <c r="AP901" s="200"/>
    </row>
    <row r="902">
      <c r="A902" s="395"/>
      <c r="B902" s="317"/>
      <c r="C902" s="394"/>
      <c r="D902" s="396"/>
      <c r="E902" s="395"/>
      <c r="F902" s="317"/>
      <c r="G902" s="394"/>
      <c r="H902" s="396"/>
      <c r="I902" s="395"/>
      <c r="J902" s="317"/>
      <c r="K902" s="394"/>
      <c r="L902" s="396"/>
      <c r="M902" s="395"/>
      <c r="N902" s="317"/>
      <c r="O902" s="394"/>
      <c r="P902" s="396"/>
      <c r="Q902" s="403"/>
      <c r="R902" s="404"/>
      <c r="S902" s="405"/>
      <c r="T902" s="401"/>
      <c r="U902" s="403"/>
      <c r="V902" s="404"/>
      <c r="W902" s="405"/>
      <c r="X902" s="401"/>
      <c r="Y902" s="403"/>
      <c r="Z902" s="404"/>
      <c r="AA902" s="405"/>
      <c r="AB902" s="401"/>
      <c r="AC902" s="403"/>
      <c r="AD902" s="404"/>
      <c r="AE902" s="405"/>
      <c r="AF902" s="401"/>
      <c r="AG902" s="292"/>
      <c r="AH902" s="292"/>
      <c r="AI902" s="292"/>
      <c r="AJ902" s="292"/>
      <c r="AK902" s="395"/>
      <c r="AL902" s="317"/>
      <c r="AM902" s="394"/>
      <c r="AN902" s="396"/>
      <c r="AO902" s="200"/>
      <c r="AP902" s="200"/>
    </row>
    <row r="903">
      <c r="A903" s="395"/>
      <c r="B903" s="317"/>
      <c r="C903" s="394"/>
      <c r="D903" s="396"/>
      <c r="E903" s="395"/>
      <c r="F903" s="317"/>
      <c r="G903" s="394"/>
      <c r="H903" s="396"/>
      <c r="I903" s="395"/>
      <c r="J903" s="317"/>
      <c r="K903" s="394"/>
      <c r="L903" s="396"/>
      <c r="M903" s="395"/>
      <c r="N903" s="317"/>
      <c r="O903" s="394"/>
      <c r="P903" s="396"/>
      <c r="Q903" s="403"/>
      <c r="R903" s="404"/>
      <c r="S903" s="405"/>
      <c r="T903" s="401"/>
      <c r="U903" s="403"/>
      <c r="V903" s="404"/>
      <c r="W903" s="405"/>
      <c r="X903" s="401"/>
      <c r="Y903" s="403"/>
      <c r="Z903" s="404"/>
      <c r="AA903" s="405"/>
      <c r="AB903" s="401"/>
      <c r="AC903" s="403"/>
      <c r="AD903" s="404"/>
      <c r="AE903" s="405"/>
      <c r="AF903" s="401"/>
      <c r="AG903" s="292"/>
      <c r="AH903" s="292"/>
      <c r="AI903" s="292"/>
      <c r="AJ903" s="292"/>
      <c r="AK903" s="395"/>
      <c r="AL903" s="317"/>
      <c r="AM903" s="394"/>
      <c r="AN903" s="396"/>
      <c r="AO903" s="200"/>
      <c r="AP903" s="200"/>
    </row>
    <row r="904">
      <c r="A904" s="395"/>
      <c r="B904" s="317"/>
      <c r="C904" s="394"/>
      <c r="D904" s="396"/>
      <c r="E904" s="395"/>
      <c r="F904" s="317"/>
      <c r="G904" s="394"/>
      <c r="H904" s="396"/>
      <c r="I904" s="395"/>
      <c r="J904" s="317"/>
      <c r="K904" s="394"/>
      <c r="L904" s="396"/>
      <c r="M904" s="395"/>
      <c r="N904" s="317"/>
      <c r="O904" s="394"/>
      <c r="P904" s="396"/>
      <c r="Q904" s="403"/>
      <c r="R904" s="404"/>
      <c r="S904" s="405"/>
      <c r="T904" s="401"/>
      <c r="U904" s="403"/>
      <c r="V904" s="404"/>
      <c r="W904" s="405"/>
      <c r="X904" s="401"/>
      <c r="Y904" s="403"/>
      <c r="Z904" s="404"/>
      <c r="AA904" s="405"/>
      <c r="AB904" s="401"/>
      <c r="AC904" s="403"/>
      <c r="AD904" s="404"/>
      <c r="AE904" s="405"/>
      <c r="AF904" s="401"/>
      <c r="AG904" s="292"/>
      <c r="AH904" s="292"/>
      <c r="AI904" s="292"/>
      <c r="AJ904" s="292"/>
      <c r="AK904" s="395"/>
      <c r="AL904" s="317"/>
      <c r="AM904" s="394"/>
      <c r="AN904" s="396"/>
      <c r="AO904" s="200"/>
      <c r="AP904" s="200"/>
    </row>
    <row r="905">
      <c r="A905" s="395"/>
      <c r="B905" s="317"/>
      <c r="C905" s="394"/>
      <c r="D905" s="396"/>
      <c r="E905" s="395"/>
      <c r="F905" s="317"/>
      <c r="G905" s="394"/>
      <c r="H905" s="396"/>
      <c r="I905" s="395"/>
      <c r="J905" s="317"/>
      <c r="K905" s="394"/>
      <c r="L905" s="396"/>
      <c r="M905" s="395"/>
      <c r="N905" s="317"/>
      <c r="O905" s="394"/>
      <c r="P905" s="396"/>
      <c r="Q905" s="403"/>
      <c r="R905" s="404"/>
      <c r="S905" s="405"/>
      <c r="T905" s="401"/>
      <c r="U905" s="403"/>
      <c r="V905" s="404"/>
      <c r="W905" s="405"/>
      <c r="X905" s="401"/>
      <c r="Y905" s="403"/>
      <c r="Z905" s="404"/>
      <c r="AA905" s="405"/>
      <c r="AB905" s="401"/>
      <c r="AC905" s="403"/>
      <c r="AD905" s="404"/>
      <c r="AE905" s="405"/>
      <c r="AF905" s="401"/>
      <c r="AG905" s="292"/>
      <c r="AH905" s="292"/>
      <c r="AI905" s="292"/>
      <c r="AJ905" s="292"/>
      <c r="AK905" s="395"/>
      <c r="AL905" s="317"/>
      <c r="AM905" s="394"/>
      <c r="AN905" s="396"/>
      <c r="AO905" s="200"/>
      <c r="AP905" s="200"/>
    </row>
    <row r="906">
      <c r="A906" s="395"/>
      <c r="B906" s="317"/>
      <c r="C906" s="394"/>
      <c r="D906" s="396"/>
      <c r="E906" s="395"/>
      <c r="F906" s="317"/>
      <c r="G906" s="394"/>
      <c r="H906" s="396"/>
      <c r="I906" s="395"/>
      <c r="J906" s="317"/>
      <c r="K906" s="394"/>
      <c r="L906" s="396"/>
      <c r="M906" s="395"/>
      <c r="N906" s="317"/>
      <c r="O906" s="394"/>
      <c r="P906" s="396"/>
      <c r="Q906" s="403"/>
      <c r="R906" s="404"/>
      <c r="S906" s="405"/>
      <c r="T906" s="401"/>
      <c r="U906" s="403"/>
      <c r="V906" s="404"/>
      <c r="W906" s="405"/>
      <c r="X906" s="401"/>
      <c r="Y906" s="403"/>
      <c r="Z906" s="404"/>
      <c r="AA906" s="405"/>
      <c r="AB906" s="401"/>
      <c r="AC906" s="403"/>
      <c r="AD906" s="404"/>
      <c r="AE906" s="405"/>
      <c r="AF906" s="401"/>
      <c r="AG906" s="292"/>
      <c r="AH906" s="292"/>
      <c r="AI906" s="292"/>
      <c r="AJ906" s="292"/>
      <c r="AK906" s="395"/>
      <c r="AL906" s="317"/>
      <c r="AM906" s="394"/>
      <c r="AN906" s="396"/>
      <c r="AO906" s="200"/>
      <c r="AP906" s="200"/>
    </row>
    <row r="907">
      <c r="A907" s="395"/>
      <c r="B907" s="317"/>
      <c r="C907" s="394"/>
      <c r="D907" s="396"/>
      <c r="E907" s="395"/>
      <c r="F907" s="317"/>
      <c r="G907" s="394"/>
      <c r="H907" s="396"/>
      <c r="I907" s="395"/>
      <c r="J907" s="317"/>
      <c r="K907" s="394"/>
      <c r="L907" s="396"/>
      <c r="M907" s="395"/>
      <c r="N907" s="317"/>
      <c r="O907" s="394"/>
      <c r="P907" s="396"/>
      <c r="Q907" s="403"/>
      <c r="R907" s="404"/>
      <c r="S907" s="405"/>
      <c r="T907" s="401"/>
      <c r="U907" s="403"/>
      <c r="V907" s="404"/>
      <c r="W907" s="405"/>
      <c r="X907" s="401"/>
      <c r="Y907" s="403"/>
      <c r="Z907" s="404"/>
      <c r="AA907" s="405"/>
      <c r="AB907" s="401"/>
      <c r="AC907" s="403"/>
      <c r="AD907" s="404"/>
      <c r="AE907" s="405"/>
      <c r="AF907" s="401"/>
      <c r="AG907" s="292"/>
      <c r="AH907" s="292"/>
      <c r="AI907" s="292"/>
      <c r="AJ907" s="292"/>
      <c r="AK907" s="395"/>
      <c r="AL907" s="317"/>
      <c r="AM907" s="394"/>
      <c r="AN907" s="396"/>
      <c r="AO907" s="200"/>
      <c r="AP907" s="200"/>
    </row>
    <row r="908">
      <c r="A908" s="395"/>
      <c r="B908" s="317"/>
      <c r="C908" s="394"/>
      <c r="D908" s="396"/>
      <c r="E908" s="395"/>
      <c r="F908" s="317"/>
      <c r="G908" s="394"/>
      <c r="H908" s="396"/>
      <c r="I908" s="395"/>
      <c r="J908" s="317"/>
      <c r="K908" s="394"/>
      <c r="L908" s="396"/>
      <c r="M908" s="395"/>
      <c r="N908" s="317"/>
      <c r="O908" s="394"/>
      <c r="P908" s="396"/>
      <c r="Q908" s="403"/>
      <c r="R908" s="404"/>
      <c r="S908" s="405"/>
      <c r="T908" s="401"/>
      <c r="U908" s="403"/>
      <c r="V908" s="404"/>
      <c r="W908" s="405"/>
      <c r="X908" s="401"/>
      <c r="Y908" s="403"/>
      <c r="Z908" s="404"/>
      <c r="AA908" s="405"/>
      <c r="AB908" s="401"/>
      <c r="AC908" s="403"/>
      <c r="AD908" s="404"/>
      <c r="AE908" s="405"/>
      <c r="AF908" s="401"/>
      <c r="AG908" s="292"/>
      <c r="AH908" s="292"/>
      <c r="AI908" s="292"/>
      <c r="AJ908" s="292"/>
      <c r="AK908" s="395"/>
      <c r="AL908" s="317"/>
      <c r="AM908" s="394"/>
      <c r="AN908" s="396"/>
      <c r="AO908" s="200"/>
      <c r="AP908" s="200"/>
    </row>
    <row r="909">
      <c r="A909" s="395"/>
      <c r="B909" s="317"/>
      <c r="C909" s="394"/>
      <c r="D909" s="396"/>
      <c r="E909" s="395"/>
      <c r="F909" s="317"/>
      <c r="G909" s="394"/>
      <c r="H909" s="396"/>
      <c r="I909" s="395"/>
      <c r="J909" s="317"/>
      <c r="K909" s="394"/>
      <c r="L909" s="396"/>
      <c r="M909" s="395"/>
      <c r="N909" s="317"/>
      <c r="O909" s="394"/>
      <c r="P909" s="396"/>
      <c r="Q909" s="403"/>
      <c r="R909" s="404"/>
      <c r="S909" s="405"/>
      <c r="T909" s="401"/>
      <c r="U909" s="403"/>
      <c r="V909" s="404"/>
      <c r="W909" s="405"/>
      <c r="X909" s="401"/>
      <c r="Y909" s="403"/>
      <c r="Z909" s="404"/>
      <c r="AA909" s="405"/>
      <c r="AB909" s="401"/>
      <c r="AC909" s="403"/>
      <c r="AD909" s="404"/>
      <c r="AE909" s="405"/>
      <c r="AF909" s="401"/>
      <c r="AG909" s="292"/>
      <c r="AH909" s="292"/>
      <c r="AI909" s="292"/>
      <c r="AJ909" s="292"/>
      <c r="AK909" s="395"/>
      <c r="AL909" s="317"/>
      <c r="AM909" s="394"/>
      <c r="AN909" s="396"/>
      <c r="AO909" s="200"/>
      <c r="AP909" s="200"/>
    </row>
    <row r="910">
      <c r="A910" s="395"/>
      <c r="B910" s="317"/>
      <c r="C910" s="394"/>
      <c r="D910" s="396"/>
      <c r="E910" s="395"/>
      <c r="F910" s="317"/>
      <c r="G910" s="394"/>
      <c r="H910" s="396"/>
      <c r="I910" s="395"/>
      <c r="J910" s="317"/>
      <c r="K910" s="394"/>
      <c r="L910" s="396"/>
      <c r="M910" s="395"/>
      <c r="N910" s="317"/>
      <c r="O910" s="394"/>
      <c r="P910" s="396"/>
      <c r="Q910" s="403"/>
      <c r="R910" s="404"/>
      <c r="S910" s="405"/>
      <c r="T910" s="401"/>
      <c r="U910" s="403"/>
      <c r="V910" s="404"/>
      <c r="W910" s="405"/>
      <c r="X910" s="401"/>
      <c r="Y910" s="403"/>
      <c r="Z910" s="404"/>
      <c r="AA910" s="405"/>
      <c r="AB910" s="401"/>
      <c r="AC910" s="403"/>
      <c r="AD910" s="404"/>
      <c r="AE910" s="405"/>
      <c r="AF910" s="401"/>
      <c r="AG910" s="292"/>
      <c r="AH910" s="292"/>
      <c r="AI910" s="292"/>
      <c r="AJ910" s="292"/>
      <c r="AK910" s="395"/>
      <c r="AL910" s="317"/>
      <c r="AM910" s="394"/>
      <c r="AN910" s="396"/>
      <c r="AO910" s="200"/>
      <c r="AP910" s="200"/>
    </row>
    <row r="911">
      <c r="A911" s="395"/>
      <c r="B911" s="317"/>
      <c r="C911" s="394"/>
      <c r="D911" s="396"/>
      <c r="E911" s="395"/>
      <c r="F911" s="317"/>
      <c r="G911" s="394"/>
      <c r="H911" s="396"/>
      <c r="I911" s="395"/>
      <c r="J911" s="317"/>
      <c r="K911" s="394"/>
      <c r="L911" s="396"/>
      <c r="M911" s="395"/>
      <c r="N911" s="317"/>
      <c r="O911" s="394"/>
      <c r="P911" s="396"/>
      <c r="Q911" s="403"/>
      <c r="R911" s="404"/>
      <c r="S911" s="405"/>
      <c r="T911" s="401"/>
      <c r="U911" s="403"/>
      <c r="V911" s="404"/>
      <c r="W911" s="405"/>
      <c r="X911" s="401"/>
      <c r="Y911" s="403"/>
      <c r="Z911" s="404"/>
      <c r="AA911" s="405"/>
      <c r="AB911" s="401"/>
      <c r="AC911" s="403"/>
      <c r="AD911" s="404"/>
      <c r="AE911" s="405"/>
      <c r="AF911" s="401"/>
      <c r="AG911" s="292"/>
      <c r="AH911" s="292"/>
      <c r="AI911" s="292"/>
      <c r="AJ911" s="292"/>
      <c r="AK911" s="395"/>
      <c r="AL911" s="317"/>
      <c r="AM911" s="394"/>
      <c r="AN911" s="396"/>
      <c r="AO911" s="200"/>
      <c r="AP911" s="200"/>
    </row>
    <row r="912">
      <c r="A912" s="395"/>
      <c r="B912" s="317"/>
      <c r="C912" s="394"/>
      <c r="D912" s="396"/>
      <c r="E912" s="395"/>
      <c r="F912" s="317"/>
      <c r="G912" s="394"/>
      <c r="H912" s="396"/>
      <c r="I912" s="395"/>
      <c r="J912" s="317"/>
      <c r="K912" s="394"/>
      <c r="L912" s="396"/>
      <c r="M912" s="395"/>
      <c r="N912" s="317"/>
      <c r="O912" s="394"/>
      <c r="P912" s="396"/>
      <c r="Q912" s="403"/>
      <c r="R912" s="404"/>
      <c r="S912" s="405"/>
      <c r="T912" s="401"/>
      <c r="U912" s="403"/>
      <c r="V912" s="404"/>
      <c r="W912" s="405"/>
      <c r="X912" s="401"/>
      <c r="Y912" s="403"/>
      <c r="Z912" s="404"/>
      <c r="AA912" s="405"/>
      <c r="AB912" s="401"/>
      <c r="AC912" s="403"/>
      <c r="AD912" s="404"/>
      <c r="AE912" s="405"/>
      <c r="AF912" s="401"/>
      <c r="AG912" s="292"/>
      <c r="AH912" s="292"/>
      <c r="AI912" s="292"/>
      <c r="AJ912" s="292"/>
      <c r="AK912" s="395"/>
      <c r="AL912" s="317"/>
      <c r="AM912" s="394"/>
      <c r="AN912" s="396"/>
      <c r="AO912" s="200"/>
      <c r="AP912" s="200"/>
    </row>
    <row r="913">
      <c r="A913" s="395"/>
      <c r="B913" s="317"/>
      <c r="C913" s="394"/>
      <c r="D913" s="396"/>
      <c r="E913" s="395"/>
      <c r="F913" s="317"/>
      <c r="G913" s="394"/>
      <c r="H913" s="396"/>
      <c r="I913" s="395"/>
      <c r="J913" s="317"/>
      <c r="K913" s="394"/>
      <c r="L913" s="396"/>
      <c r="M913" s="395"/>
      <c r="N913" s="317"/>
      <c r="O913" s="394"/>
      <c r="P913" s="396"/>
      <c r="Q913" s="403"/>
      <c r="R913" s="404"/>
      <c r="S913" s="405"/>
      <c r="T913" s="401"/>
      <c r="U913" s="403"/>
      <c r="V913" s="404"/>
      <c r="W913" s="405"/>
      <c r="X913" s="401"/>
      <c r="Y913" s="403"/>
      <c r="Z913" s="404"/>
      <c r="AA913" s="405"/>
      <c r="AB913" s="401"/>
      <c r="AC913" s="403"/>
      <c r="AD913" s="404"/>
      <c r="AE913" s="405"/>
      <c r="AF913" s="401"/>
      <c r="AG913" s="292"/>
      <c r="AH913" s="292"/>
      <c r="AI913" s="292"/>
      <c r="AJ913" s="292"/>
      <c r="AK913" s="395"/>
      <c r="AL913" s="317"/>
      <c r="AM913" s="394"/>
      <c r="AN913" s="396"/>
      <c r="AO913" s="200"/>
      <c r="AP913" s="200"/>
    </row>
    <row r="914">
      <c r="A914" s="395"/>
      <c r="B914" s="317"/>
      <c r="C914" s="394"/>
      <c r="D914" s="396"/>
      <c r="E914" s="395"/>
      <c r="F914" s="317"/>
      <c r="G914" s="394"/>
      <c r="H914" s="396"/>
      <c r="I914" s="395"/>
      <c r="J914" s="317"/>
      <c r="K914" s="394"/>
      <c r="L914" s="396"/>
      <c r="M914" s="395"/>
      <c r="N914" s="317"/>
      <c r="O914" s="394"/>
      <c r="P914" s="396"/>
      <c r="Q914" s="403"/>
      <c r="R914" s="404"/>
      <c r="S914" s="405"/>
      <c r="T914" s="401"/>
      <c r="U914" s="403"/>
      <c r="V914" s="404"/>
      <c r="W914" s="405"/>
      <c r="X914" s="401"/>
      <c r="Y914" s="403"/>
      <c r="Z914" s="404"/>
      <c r="AA914" s="405"/>
      <c r="AB914" s="401"/>
      <c r="AC914" s="403"/>
      <c r="AD914" s="404"/>
      <c r="AE914" s="405"/>
      <c r="AF914" s="401"/>
      <c r="AG914" s="292"/>
      <c r="AH914" s="292"/>
      <c r="AI914" s="292"/>
      <c r="AJ914" s="292"/>
      <c r="AK914" s="395"/>
      <c r="AL914" s="317"/>
      <c r="AM914" s="394"/>
      <c r="AN914" s="396"/>
      <c r="AO914" s="200"/>
      <c r="AP914" s="200"/>
    </row>
    <row r="915">
      <c r="A915" s="395"/>
      <c r="B915" s="317"/>
      <c r="C915" s="394"/>
      <c r="D915" s="396"/>
      <c r="E915" s="395"/>
      <c r="F915" s="317"/>
      <c r="G915" s="394"/>
      <c r="H915" s="396"/>
      <c r="I915" s="395"/>
      <c r="J915" s="317"/>
      <c r="K915" s="394"/>
      <c r="L915" s="396"/>
      <c r="M915" s="395"/>
      <c r="N915" s="317"/>
      <c r="O915" s="394"/>
      <c r="P915" s="396"/>
      <c r="Q915" s="403"/>
      <c r="R915" s="404"/>
      <c r="S915" s="405"/>
      <c r="T915" s="401"/>
      <c r="U915" s="403"/>
      <c r="V915" s="404"/>
      <c r="W915" s="405"/>
      <c r="X915" s="401"/>
      <c r="Y915" s="403"/>
      <c r="Z915" s="404"/>
      <c r="AA915" s="405"/>
      <c r="AB915" s="401"/>
      <c r="AC915" s="403"/>
      <c r="AD915" s="404"/>
      <c r="AE915" s="405"/>
      <c r="AF915" s="401"/>
      <c r="AG915" s="292"/>
      <c r="AH915" s="292"/>
      <c r="AI915" s="292"/>
      <c r="AJ915" s="292"/>
      <c r="AK915" s="395"/>
      <c r="AL915" s="317"/>
      <c r="AM915" s="394"/>
      <c r="AN915" s="396"/>
      <c r="AO915" s="200"/>
      <c r="AP915" s="200"/>
    </row>
    <row r="916">
      <c r="A916" s="395"/>
      <c r="B916" s="317"/>
      <c r="C916" s="394"/>
      <c r="D916" s="396"/>
      <c r="E916" s="395"/>
      <c r="F916" s="317"/>
      <c r="G916" s="394"/>
      <c r="H916" s="396"/>
      <c r="I916" s="395"/>
      <c r="J916" s="317"/>
      <c r="K916" s="394"/>
      <c r="L916" s="396"/>
      <c r="M916" s="395"/>
      <c r="N916" s="317"/>
      <c r="O916" s="394"/>
      <c r="P916" s="396"/>
      <c r="Q916" s="403"/>
      <c r="R916" s="404"/>
      <c r="S916" s="405"/>
      <c r="T916" s="401"/>
      <c r="U916" s="403"/>
      <c r="V916" s="404"/>
      <c r="W916" s="405"/>
      <c r="X916" s="401"/>
      <c r="Y916" s="403"/>
      <c r="Z916" s="404"/>
      <c r="AA916" s="405"/>
      <c r="AB916" s="401"/>
      <c r="AC916" s="403"/>
      <c r="AD916" s="404"/>
      <c r="AE916" s="405"/>
      <c r="AF916" s="401"/>
      <c r="AG916" s="292"/>
      <c r="AH916" s="292"/>
      <c r="AI916" s="292"/>
      <c r="AJ916" s="292"/>
      <c r="AK916" s="395"/>
      <c r="AL916" s="317"/>
      <c r="AM916" s="394"/>
      <c r="AN916" s="396"/>
      <c r="AO916" s="200"/>
      <c r="AP916" s="200"/>
    </row>
    <row r="917">
      <c r="A917" s="395"/>
      <c r="B917" s="317"/>
      <c r="C917" s="394"/>
      <c r="D917" s="396"/>
      <c r="E917" s="395"/>
      <c r="F917" s="317"/>
      <c r="G917" s="394"/>
      <c r="H917" s="396"/>
      <c r="I917" s="395"/>
      <c r="J917" s="317"/>
      <c r="K917" s="394"/>
      <c r="L917" s="396"/>
      <c r="M917" s="395"/>
      <c r="N917" s="317"/>
      <c r="O917" s="394"/>
      <c r="P917" s="396"/>
      <c r="Q917" s="403"/>
      <c r="R917" s="404"/>
      <c r="S917" s="405"/>
      <c r="T917" s="401"/>
      <c r="U917" s="403"/>
      <c r="V917" s="404"/>
      <c r="W917" s="405"/>
      <c r="X917" s="401"/>
      <c r="Y917" s="403"/>
      <c r="Z917" s="404"/>
      <c r="AA917" s="405"/>
      <c r="AB917" s="401"/>
      <c r="AC917" s="403"/>
      <c r="AD917" s="404"/>
      <c r="AE917" s="405"/>
      <c r="AF917" s="401"/>
      <c r="AG917" s="292"/>
      <c r="AH917" s="292"/>
      <c r="AI917" s="292"/>
      <c r="AJ917" s="292"/>
      <c r="AK917" s="395"/>
      <c r="AL917" s="317"/>
      <c r="AM917" s="394"/>
      <c r="AN917" s="396"/>
      <c r="AO917" s="200"/>
      <c r="AP917" s="200"/>
    </row>
    <row r="918">
      <c r="A918" s="395"/>
      <c r="B918" s="317"/>
      <c r="C918" s="394"/>
      <c r="D918" s="396"/>
      <c r="E918" s="395"/>
      <c r="F918" s="317"/>
      <c r="G918" s="394"/>
      <c r="H918" s="396"/>
      <c r="I918" s="395"/>
      <c r="J918" s="317"/>
      <c r="K918" s="394"/>
      <c r="L918" s="396"/>
      <c r="M918" s="395"/>
      <c r="N918" s="317"/>
      <c r="O918" s="394"/>
      <c r="P918" s="396"/>
      <c r="Q918" s="403"/>
      <c r="R918" s="404"/>
      <c r="S918" s="405"/>
      <c r="T918" s="401"/>
      <c r="U918" s="403"/>
      <c r="V918" s="404"/>
      <c r="W918" s="405"/>
      <c r="X918" s="401"/>
      <c r="Y918" s="403"/>
      <c r="Z918" s="404"/>
      <c r="AA918" s="405"/>
      <c r="AB918" s="401"/>
      <c r="AC918" s="403"/>
      <c r="AD918" s="404"/>
      <c r="AE918" s="405"/>
      <c r="AF918" s="401"/>
      <c r="AG918" s="292"/>
      <c r="AH918" s="292"/>
      <c r="AI918" s="292"/>
      <c r="AJ918" s="292"/>
      <c r="AK918" s="395"/>
      <c r="AL918" s="317"/>
      <c r="AM918" s="394"/>
      <c r="AN918" s="396"/>
      <c r="AO918" s="200"/>
      <c r="AP918" s="200"/>
    </row>
    <row r="919">
      <c r="A919" s="395"/>
      <c r="B919" s="317"/>
      <c r="C919" s="394"/>
      <c r="D919" s="396"/>
      <c r="E919" s="395"/>
      <c r="F919" s="317"/>
      <c r="G919" s="394"/>
      <c r="H919" s="396"/>
      <c r="I919" s="395"/>
      <c r="J919" s="317"/>
      <c r="K919" s="394"/>
      <c r="L919" s="396"/>
      <c r="M919" s="395"/>
      <c r="N919" s="317"/>
      <c r="O919" s="394"/>
      <c r="P919" s="396"/>
      <c r="Q919" s="403"/>
      <c r="R919" s="404"/>
      <c r="S919" s="405"/>
      <c r="T919" s="401"/>
      <c r="U919" s="403"/>
      <c r="V919" s="404"/>
      <c r="W919" s="405"/>
      <c r="X919" s="401"/>
      <c r="Y919" s="403"/>
      <c r="Z919" s="404"/>
      <c r="AA919" s="405"/>
      <c r="AB919" s="401"/>
      <c r="AC919" s="403"/>
      <c r="AD919" s="404"/>
      <c r="AE919" s="405"/>
      <c r="AF919" s="401"/>
      <c r="AG919" s="292"/>
      <c r="AH919" s="292"/>
      <c r="AI919" s="292"/>
      <c r="AJ919" s="292"/>
      <c r="AK919" s="395"/>
      <c r="AL919" s="317"/>
      <c r="AM919" s="394"/>
      <c r="AN919" s="396"/>
      <c r="AO919" s="200"/>
      <c r="AP919" s="200"/>
    </row>
    <row r="920">
      <c r="A920" s="395"/>
      <c r="B920" s="317"/>
      <c r="C920" s="394"/>
      <c r="D920" s="396"/>
      <c r="E920" s="395"/>
      <c r="F920" s="317"/>
      <c r="G920" s="394"/>
      <c r="H920" s="396"/>
      <c r="I920" s="395"/>
      <c r="J920" s="317"/>
      <c r="K920" s="394"/>
      <c r="L920" s="396"/>
      <c r="M920" s="395"/>
      <c r="N920" s="317"/>
      <c r="O920" s="394"/>
      <c r="P920" s="396"/>
      <c r="Q920" s="403"/>
      <c r="R920" s="404"/>
      <c r="S920" s="405"/>
      <c r="T920" s="401"/>
      <c r="U920" s="403"/>
      <c r="V920" s="404"/>
      <c r="W920" s="405"/>
      <c r="X920" s="401"/>
      <c r="Y920" s="403"/>
      <c r="Z920" s="404"/>
      <c r="AA920" s="405"/>
      <c r="AB920" s="401"/>
      <c r="AC920" s="403"/>
      <c r="AD920" s="404"/>
      <c r="AE920" s="405"/>
      <c r="AF920" s="401"/>
      <c r="AG920" s="292"/>
      <c r="AH920" s="292"/>
      <c r="AI920" s="292"/>
      <c r="AJ920" s="292"/>
      <c r="AK920" s="395"/>
      <c r="AL920" s="317"/>
      <c r="AM920" s="394"/>
      <c r="AN920" s="396"/>
      <c r="AO920" s="200"/>
      <c r="AP920" s="200"/>
    </row>
    <row r="921">
      <c r="A921" s="395"/>
      <c r="B921" s="317"/>
      <c r="C921" s="394"/>
      <c r="D921" s="396"/>
      <c r="E921" s="395"/>
      <c r="F921" s="317"/>
      <c r="G921" s="394"/>
      <c r="H921" s="396"/>
      <c r="I921" s="395"/>
      <c r="J921" s="317"/>
      <c r="K921" s="394"/>
      <c r="L921" s="396"/>
      <c r="M921" s="395"/>
      <c r="N921" s="317"/>
      <c r="O921" s="394"/>
      <c r="P921" s="396"/>
      <c r="Q921" s="403"/>
      <c r="R921" s="404"/>
      <c r="S921" s="405"/>
      <c r="T921" s="401"/>
      <c r="U921" s="403"/>
      <c r="V921" s="404"/>
      <c r="W921" s="405"/>
      <c r="X921" s="401"/>
      <c r="Y921" s="403"/>
      <c r="Z921" s="404"/>
      <c r="AA921" s="405"/>
      <c r="AB921" s="401"/>
      <c r="AC921" s="403"/>
      <c r="AD921" s="404"/>
      <c r="AE921" s="405"/>
      <c r="AF921" s="401"/>
      <c r="AG921" s="292"/>
      <c r="AH921" s="292"/>
      <c r="AI921" s="292"/>
      <c r="AJ921" s="292"/>
      <c r="AK921" s="395"/>
      <c r="AL921" s="317"/>
      <c r="AM921" s="394"/>
      <c r="AN921" s="396"/>
      <c r="AO921" s="200"/>
      <c r="AP921" s="200"/>
    </row>
    <row r="922">
      <c r="A922" s="395"/>
      <c r="B922" s="317"/>
      <c r="C922" s="394"/>
      <c r="D922" s="396"/>
      <c r="E922" s="395"/>
      <c r="F922" s="317"/>
      <c r="G922" s="394"/>
      <c r="H922" s="396"/>
      <c r="I922" s="395"/>
      <c r="J922" s="317"/>
      <c r="K922" s="394"/>
      <c r="L922" s="396"/>
      <c r="M922" s="395"/>
      <c r="N922" s="317"/>
      <c r="O922" s="394"/>
      <c r="P922" s="396"/>
      <c r="Q922" s="403"/>
      <c r="R922" s="404"/>
      <c r="S922" s="405"/>
      <c r="T922" s="401"/>
      <c r="U922" s="403"/>
      <c r="V922" s="404"/>
      <c r="W922" s="405"/>
      <c r="X922" s="401"/>
      <c r="Y922" s="403"/>
      <c r="Z922" s="404"/>
      <c r="AA922" s="405"/>
      <c r="AB922" s="401"/>
      <c r="AC922" s="403"/>
      <c r="AD922" s="404"/>
      <c r="AE922" s="405"/>
      <c r="AF922" s="401"/>
      <c r="AG922" s="292"/>
      <c r="AH922" s="292"/>
      <c r="AI922" s="292"/>
      <c r="AJ922" s="292"/>
      <c r="AK922" s="395"/>
      <c r="AL922" s="317"/>
      <c r="AM922" s="394"/>
      <c r="AN922" s="396"/>
      <c r="AO922" s="200"/>
      <c r="AP922" s="200"/>
    </row>
    <row r="923">
      <c r="A923" s="395"/>
      <c r="B923" s="317"/>
      <c r="C923" s="394"/>
      <c r="D923" s="396"/>
      <c r="E923" s="395"/>
      <c r="F923" s="317"/>
      <c r="G923" s="394"/>
      <c r="H923" s="396"/>
      <c r="I923" s="395"/>
      <c r="J923" s="317"/>
      <c r="K923" s="394"/>
      <c r="L923" s="396"/>
      <c r="M923" s="395"/>
      <c r="N923" s="317"/>
      <c r="O923" s="394"/>
      <c r="P923" s="396"/>
      <c r="Q923" s="403"/>
      <c r="R923" s="404"/>
      <c r="S923" s="405"/>
      <c r="T923" s="401"/>
      <c r="U923" s="403"/>
      <c r="V923" s="404"/>
      <c r="W923" s="405"/>
      <c r="X923" s="401"/>
      <c r="Y923" s="403"/>
      <c r="Z923" s="404"/>
      <c r="AA923" s="405"/>
      <c r="AB923" s="401"/>
      <c r="AC923" s="403"/>
      <c r="AD923" s="404"/>
      <c r="AE923" s="405"/>
      <c r="AF923" s="401"/>
      <c r="AG923" s="292"/>
      <c r="AH923" s="292"/>
      <c r="AI923" s="292"/>
      <c r="AJ923" s="292"/>
      <c r="AK923" s="395"/>
      <c r="AL923" s="317"/>
      <c r="AM923" s="394"/>
      <c r="AN923" s="396"/>
      <c r="AO923" s="200"/>
      <c r="AP923" s="200"/>
    </row>
    <row r="924">
      <c r="A924" s="395"/>
      <c r="B924" s="317"/>
      <c r="C924" s="394"/>
      <c r="D924" s="396"/>
      <c r="E924" s="395"/>
      <c r="F924" s="317"/>
      <c r="G924" s="394"/>
      <c r="H924" s="396"/>
      <c r="I924" s="395"/>
      <c r="J924" s="317"/>
      <c r="K924" s="394"/>
      <c r="L924" s="396"/>
      <c r="M924" s="395"/>
      <c r="N924" s="317"/>
      <c r="O924" s="394"/>
      <c r="P924" s="396"/>
      <c r="Q924" s="403"/>
      <c r="R924" s="404"/>
      <c r="S924" s="405"/>
      <c r="T924" s="401"/>
      <c r="U924" s="403"/>
      <c r="V924" s="404"/>
      <c r="W924" s="405"/>
      <c r="X924" s="401"/>
      <c r="Y924" s="403"/>
      <c r="Z924" s="404"/>
      <c r="AA924" s="405"/>
      <c r="AB924" s="401"/>
      <c r="AC924" s="403"/>
      <c r="AD924" s="404"/>
      <c r="AE924" s="405"/>
      <c r="AF924" s="401"/>
      <c r="AG924" s="292"/>
      <c r="AH924" s="292"/>
      <c r="AI924" s="292"/>
      <c r="AJ924" s="292"/>
      <c r="AK924" s="395"/>
      <c r="AL924" s="317"/>
      <c r="AM924" s="394"/>
      <c r="AN924" s="396"/>
      <c r="AO924" s="200"/>
      <c r="AP924" s="200"/>
    </row>
    <row r="925">
      <c r="A925" s="395"/>
      <c r="B925" s="317"/>
      <c r="C925" s="394"/>
      <c r="D925" s="396"/>
      <c r="E925" s="395"/>
      <c r="F925" s="317"/>
      <c r="G925" s="394"/>
      <c r="H925" s="396"/>
      <c r="I925" s="395"/>
      <c r="J925" s="317"/>
      <c r="K925" s="394"/>
      <c r="L925" s="396"/>
      <c r="M925" s="395"/>
      <c r="N925" s="317"/>
      <c r="O925" s="394"/>
      <c r="P925" s="396"/>
      <c r="Q925" s="403"/>
      <c r="R925" s="404"/>
      <c r="S925" s="405"/>
      <c r="T925" s="401"/>
      <c r="U925" s="403"/>
      <c r="V925" s="404"/>
      <c r="W925" s="405"/>
      <c r="X925" s="401"/>
      <c r="Y925" s="403"/>
      <c r="Z925" s="404"/>
      <c r="AA925" s="405"/>
      <c r="AB925" s="401"/>
      <c r="AC925" s="403"/>
      <c r="AD925" s="404"/>
      <c r="AE925" s="405"/>
      <c r="AF925" s="401"/>
      <c r="AG925" s="292"/>
      <c r="AH925" s="292"/>
      <c r="AI925" s="292"/>
      <c r="AJ925" s="292"/>
      <c r="AK925" s="395"/>
      <c r="AL925" s="317"/>
      <c r="AM925" s="394"/>
      <c r="AN925" s="396"/>
      <c r="AO925" s="200"/>
      <c r="AP925" s="200"/>
    </row>
    <row r="926">
      <c r="A926" s="395"/>
      <c r="B926" s="317"/>
      <c r="C926" s="394"/>
      <c r="D926" s="396"/>
      <c r="E926" s="395"/>
      <c r="F926" s="317"/>
      <c r="G926" s="394"/>
      <c r="H926" s="396"/>
      <c r="I926" s="395"/>
      <c r="J926" s="317"/>
      <c r="K926" s="394"/>
      <c r="L926" s="396"/>
      <c r="M926" s="395"/>
      <c r="N926" s="317"/>
      <c r="O926" s="394"/>
      <c r="P926" s="396"/>
      <c r="Q926" s="403"/>
      <c r="R926" s="404"/>
      <c r="S926" s="405"/>
      <c r="T926" s="401"/>
      <c r="U926" s="403"/>
      <c r="V926" s="404"/>
      <c r="W926" s="405"/>
      <c r="X926" s="401"/>
      <c r="Y926" s="403"/>
      <c r="Z926" s="404"/>
      <c r="AA926" s="405"/>
      <c r="AB926" s="401"/>
      <c r="AC926" s="403"/>
      <c r="AD926" s="404"/>
      <c r="AE926" s="405"/>
      <c r="AF926" s="401"/>
      <c r="AG926" s="292"/>
      <c r="AH926" s="292"/>
      <c r="AI926" s="292"/>
      <c r="AJ926" s="292"/>
      <c r="AK926" s="395"/>
      <c r="AL926" s="317"/>
      <c r="AM926" s="394"/>
      <c r="AN926" s="396"/>
      <c r="AO926" s="200"/>
      <c r="AP926" s="200"/>
    </row>
    <row r="927">
      <c r="A927" s="395"/>
      <c r="B927" s="317"/>
      <c r="C927" s="394"/>
      <c r="D927" s="396"/>
      <c r="E927" s="395"/>
      <c r="F927" s="317"/>
      <c r="G927" s="394"/>
      <c r="H927" s="396"/>
      <c r="I927" s="395"/>
      <c r="J927" s="317"/>
      <c r="K927" s="394"/>
      <c r="L927" s="396"/>
      <c r="M927" s="395"/>
      <c r="N927" s="317"/>
      <c r="O927" s="394"/>
      <c r="P927" s="396"/>
      <c r="Q927" s="403"/>
      <c r="R927" s="404"/>
      <c r="S927" s="405"/>
      <c r="T927" s="401"/>
      <c r="U927" s="403"/>
      <c r="V927" s="404"/>
      <c r="W927" s="405"/>
      <c r="X927" s="401"/>
      <c r="Y927" s="403"/>
      <c r="Z927" s="404"/>
      <c r="AA927" s="405"/>
      <c r="AB927" s="401"/>
      <c r="AC927" s="403"/>
      <c r="AD927" s="404"/>
      <c r="AE927" s="405"/>
      <c r="AF927" s="401"/>
      <c r="AG927" s="292"/>
      <c r="AH927" s="292"/>
      <c r="AI927" s="292"/>
      <c r="AJ927" s="292"/>
      <c r="AK927" s="395"/>
      <c r="AL927" s="317"/>
      <c r="AM927" s="394"/>
      <c r="AN927" s="396"/>
      <c r="AO927" s="200"/>
      <c r="AP927" s="200"/>
    </row>
    <row r="928">
      <c r="A928" s="395"/>
      <c r="B928" s="317"/>
      <c r="C928" s="394"/>
      <c r="D928" s="396"/>
      <c r="E928" s="395"/>
      <c r="F928" s="317"/>
      <c r="G928" s="394"/>
      <c r="H928" s="396"/>
      <c r="I928" s="395"/>
      <c r="J928" s="317"/>
      <c r="K928" s="394"/>
      <c r="L928" s="396"/>
      <c r="M928" s="395"/>
      <c r="N928" s="317"/>
      <c r="O928" s="394"/>
      <c r="P928" s="396"/>
      <c r="Q928" s="403"/>
      <c r="R928" s="404"/>
      <c r="S928" s="405"/>
      <c r="T928" s="401"/>
      <c r="U928" s="403"/>
      <c r="V928" s="404"/>
      <c r="W928" s="405"/>
      <c r="X928" s="401"/>
      <c r="Y928" s="403"/>
      <c r="Z928" s="404"/>
      <c r="AA928" s="405"/>
      <c r="AB928" s="401"/>
      <c r="AC928" s="403"/>
      <c r="AD928" s="404"/>
      <c r="AE928" s="405"/>
      <c r="AF928" s="401"/>
      <c r="AG928" s="292"/>
      <c r="AH928" s="292"/>
      <c r="AI928" s="292"/>
      <c r="AJ928" s="292"/>
      <c r="AK928" s="395"/>
      <c r="AL928" s="317"/>
      <c r="AM928" s="394"/>
      <c r="AN928" s="396"/>
      <c r="AO928" s="200"/>
      <c r="AP928" s="200"/>
    </row>
    <row r="929">
      <c r="A929" s="395"/>
      <c r="B929" s="317"/>
      <c r="C929" s="394"/>
      <c r="D929" s="396"/>
      <c r="E929" s="395"/>
      <c r="F929" s="317"/>
      <c r="G929" s="394"/>
      <c r="H929" s="396"/>
      <c r="I929" s="395"/>
      <c r="J929" s="317"/>
      <c r="K929" s="394"/>
      <c r="L929" s="396"/>
      <c r="M929" s="395"/>
      <c r="N929" s="317"/>
      <c r="O929" s="394"/>
      <c r="P929" s="396"/>
      <c r="Q929" s="403"/>
      <c r="R929" s="404"/>
      <c r="S929" s="405"/>
      <c r="T929" s="401"/>
      <c r="U929" s="403"/>
      <c r="V929" s="404"/>
      <c r="W929" s="405"/>
      <c r="X929" s="401"/>
      <c r="Y929" s="403"/>
      <c r="Z929" s="404"/>
      <c r="AA929" s="405"/>
      <c r="AB929" s="401"/>
      <c r="AC929" s="403"/>
      <c r="AD929" s="404"/>
      <c r="AE929" s="405"/>
      <c r="AF929" s="401"/>
      <c r="AG929" s="292"/>
      <c r="AH929" s="292"/>
      <c r="AI929" s="292"/>
      <c r="AJ929" s="292"/>
      <c r="AK929" s="395"/>
      <c r="AL929" s="317"/>
      <c r="AM929" s="394"/>
      <c r="AN929" s="396"/>
      <c r="AO929" s="200"/>
      <c r="AP929" s="200"/>
    </row>
    <row r="930">
      <c r="A930" s="395"/>
      <c r="B930" s="317"/>
      <c r="C930" s="394"/>
      <c r="D930" s="396"/>
      <c r="E930" s="395"/>
      <c r="F930" s="317"/>
      <c r="G930" s="394"/>
      <c r="H930" s="396"/>
      <c r="I930" s="395"/>
      <c r="J930" s="317"/>
      <c r="K930" s="394"/>
      <c r="L930" s="396"/>
      <c r="M930" s="395"/>
      <c r="N930" s="317"/>
      <c r="O930" s="394"/>
      <c r="P930" s="396"/>
      <c r="Q930" s="403"/>
      <c r="R930" s="404"/>
      <c r="S930" s="405"/>
      <c r="T930" s="401"/>
      <c r="U930" s="403"/>
      <c r="V930" s="404"/>
      <c r="W930" s="405"/>
      <c r="X930" s="401"/>
      <c r="Y930" s="403"/>
      <c r="Z930" s="404"/>
      <c r="AA930" s="405"/>
      <c r="AB930" s="401"/>
      <c r="AC930" s="403"/>
      <c r="AD930" s="404"/>
      <c r="AE930" s="405"/>
      <c r="AF930" s="401"/>
      <c r="AG930" s="292"/>
      <c r="AH930" s="292"/>
      <c r="AI930" s="292"/>
      <c r="AJ930" s="292"/>
      <c r="AK930" s="395"/>
      <c r="AL930" s="317"/>
      <c r="AM930" s="394"/>
      <c r="AN930" s="396"/>
      <c r="AO930" s="200"/>
      <c r="AP930" s="200"/>
    </row>
    <row r="931">
      <c r="A931" s="395"/>
      <c r="B931" s="317"/>
      <c r="C931" s="394"/>
      <c r="D931" s="396"/>
      <c r="E931" s="395"/>
      <c r="F931" s="317"/>
      <c r="G931" s="394"/>
      <c r="H931" s="396"/>
      <c r="I931" s="395"/>
      <c r="J931" s="317"/>
      <c r="K931" s="394"/>
      <c r="L931" s="396"/>
      <c r="M931" s="395"/>
      <c r="N931" s="317"/>
      <c r="O931" s="394"/>
      <c r="P931" s="396"/>
      <c r="Q931" s="403"/>
      <c r="R931" s="404"/>
      <c r="S931" s="405"/>
      <c r="T931" s="401"/>
      <c r="U931" s="403"/>
      <c r="V931" s="404"/>
      <c r="W931" s="405"/>
      <c r="X931" s="401"/>
      <c r="Y931" s="403"/>
      <c r="Z931" s="404"/>
      <c r="AA931" s="405"/>
      <c r="AB931" s="401"/>
      <c r="AC931" s="403"/>
      <c r="AD931" s="404"/>
      <c r="AE931" s="405"/>
      <c r="AF931" s="401"/>
      <c r="AG931" s="292"/>
      <c r="AH931" s="292"/>
      <c r="AI931" s="292"/>
      <c r="AJ931" s="292"/>
      <c r="AK931" s="395"/>
      <c r="AL931" s="317"/>
      <c r="AM931" s="394"/>
      <c r="AN931" s="396"/>
      <c r="AO931" s="200"/>
      <c r="AP931" s="200"/>
    </row>
    <row r="932">
      <c r="A932" s="395"/>
      <c r="B932" s="317"/>
      <c r="C932" s="394"/>
      <c r="D932" s="396"/>
      <c r="E932" s="395"/>
      <c r="F932" s="317"/>
      <c r="G932" s="394"/>
      <c r="H932" s="396"/>
      <c r="I932" s="395"/>
      <c r="J932" s="317"/>
      <c r="K932" s="394"/>
      <c r="L932" s="396"/>
      <c r="M932" s="395"/>
      <c r="N932" s="317"/>
      <c r="O932" s="394"/>
      <c r="P932" s="396"/>
      <c r="Q932" s="403"/>
      <c r="R932" s="404"/>
      <c r="S932" s="405"/>
      <c r="T932" s="401"/>
      <c r="U932" s="403"/>
      <c r="V932" s="404"/>
      <c r="W932" s="405"/>
      <c r="X932" s="401"/>
      <c r="Y932" s="403"/>
      <c r="Z932" s="404"/>
      <c r="AA932" s="405"/>
      <c r="AB932" s="401"/>
      <c r="AC932" s="403"/>
      <c r="AD932" s="404"/>
      <c r="AE932" s="405"/>
      <c r="AF932" s="401"/>
      <c r="AG932" s="292"/>
      <c r="AH932" s="292"/>
      <c r="AI932" s="292"/>
      <c r="AJ932" s="292"/>
      <c r="AK932" s="395"/>
      <c r="AL932" s="317"/>
      <c r="AM932" s="394"/>
      <c r="AN932" s="396"/>
      <c r="AO932" s="200"/>
      <c r="AP932" s="200"/>
    </row>
    <row r="933">
      <c r="A933" s="395"/>
      <c r="B933" s="317"/>
      <c r="C933" s="394"/>
      <c r="D933" s="396"/>
      <c r="E933" s="395"/>
      <c r="F933" s="317"/>
      <c r="G933" s="394"/>
      <c r="H933" s="396"/>
      <c r="I933" s="395"/>
      <c r="J933" s="317"/>
      <c r="K933" s="394"/>
      <c r="L933" s="396"/>
      <c r="M933" s="395"/>
      <c r="N933" s="317"/>
      <c r="O933" s="394"/>
      <c r="P933" s="396"/>
      <c r="Q933" s="403"/>
      <c r="R933" s="404"/>
      <c r="S933" s="405"/>
      <c r="T933" s="401"/>
      <c r="U933" s="403"/>
      <c r="V933" s="404"/>
      <c r="W933" s="405"/>
      <c r="X933" s="401"/>
      <c r="Y933" s="403"/>
      <c r="Z933" s="404"/>
      <c r="AA933" s="405"/>
      <c r="AB933" s="401"/>
      <c r="AC933" s="403"/>
      <c r="AD933" s="404"/>
      <c r="AE933" s="405"/>
      <c r="AF933" s="401"/>
      <c r="AG933" s="292"/>
      <c r="AH933" s="292"/>
      <c r="AI933" s="292"/>
      <c r="AJ933" s="292"/>
      <c r="AK933" s="395"/>
      <c r="AL933" s="317"/>
      <c r="AM933" s="394"/>
      <c r="AN933" s="396"/>
      <c r="AO933" s="200"/>
      <c r="AP933" s="200"/>
    </row>
    <row r="934">
      <c r="A934" s="395"/>
      <c r="B934" s="317"/>
      <c r="C934" s="394"/>
      <c r="D934" s="396"/>
      <c r="E934" s="395"/>
      <c r="F934" s="317"/>
      <c r="G934" s="394"/>
      <c r="H934" s="396"/>
      <c r="I934" s="395"/>
      <c r="J934" s="317"/>
      <c r="K934" s="394"/>
      <c r="L934" s="396"/>
      <c r="M934" s="395"/>
      <c r="N934" s="317"/>
      <c r="O934" s="394"/>
      <c r="P934" s="396"/>
      <c r="Q934" s="403"/>
      <c r="R934" s="404"/>
      <c r="S934" s="405"/>
      <c r="T934" s="401"/>
      <c r="U934" s="403"/>
      <c r="V934" s="404"/>
      <c r="W934" s="405"/>
      <c r="X934" s="401"/>
      <c r="Y934" s="403"/>
      <c r="Z934" s="404"/>
      <c r="AA934" s="405"/>
      <c r="AB934" s="401"/>
      <c r="AC934" s="403"/>
      <c r="AD934" s="404"/>
      <c r="AE934" s="405"/>
      <c r="AF934" s="401"/>
      <c r="AG934" s="292"/>
      <c r="AH934" s="292"/>
      <c r="AI934" s="292"/>
      <c r="AJ934" s="292"/>
      <c r="AK934" s="395"/>
      <c r="AL934" s="317"/>
      <c r="AM934" s="394"/>
      <c r="AN934" s="396"/>
      <c r="AO934" s="200"/>
      <c r="AP934" s="200"/>
    </row>
    <row r="935">
      <c r="A935" s="395"/>
      <c r="B935" s="317"/>
      <c r="C935" s="394"/>
      <c r="D935" s="396"/>
      <c r="E935" s="395"/>
      <c r="F935" s="317"/>
      <c r="G935" s="394"/>
      <c r="H935" s="396"/>
      <c r="I935" s="395"/>
      <c r="J935" s="317"/>
      <c r="K935" s="394"/>
      <c r="L935" s="396"/>
      <c r="M935" s="395"/>
      <c r="N935" s="317"/>
      <c r="O935" s="394"/>
      <c r="P935" s="396"/>
      <c r="Q935" s="403"/>
      <c r="R935" s="404"/>
      <c r="S935" s="405"/>
      <c r="T935" s="401"/>
      <c r="U935" s="403"/>
      <c r="V935" s="404"/>
      <c r="W935" s="405"/>
      <c r="X935" s="401"/>
      <c r="Y935" s="403"/>
      <c r="Z935" s="404"/>
      <c r="AA935" s="405"/>
      <c r="AB935" s="401"/>
      <c r="AC935" s="403"/>
      <c r="AD935" s="404"/>
      <c r="AE935" s="405"/>
      <c r="AF935" s="401"/>
      <c r="AG935" s="292"/>
      <c r="AH935" s="292"/>
      <c r="AI935" s="292"/>
      <c r="AJ935" s="292"/>
      <c r="AK935" s="395"/>
      <c r="AL935" s="317"/>
      <c r="AM935" s="394"/>
      <c r="AN935" s="396"/>
      <c r="AO935" s="200"/>
      <c r="AP935" s="200"/>
    </row>
    <row r="936">
      <c r="A936" s="395"/>
      <c r="B936" s="317"/>
      <c r="C936" s="394"/>
      <c r="D936" s="396"/>
      <c r="E936" s="395"/>
      <c r="F936" s="317"/>
      <c r="G936" s="394"/>
      <c r="H936" s="396"/>
      <c r="I936" s="395"/>
      <c r="J936" s="317"/>
      <c r="K936" s="394"/>
      <c r="L936" s="396"/>
      <c r="M936" s="395"/>
      <c r="N936" s="317"/>
      <c r="O936" s="394"/>
      <c r="P936" s="396"/>
      <c r="Q936" s="403"/>
      <c r="R936" s="404"/>
      <c r="S936" s="405"/>
      <c r="T936" s="401"/>
      <c r="U936" s="403"/>
      <c r="V936" s="404"/>
      <c r="W936" s="405"/>
      <c r="X936" s="401"/>
      <c r="Y936" s="403"/>
      <c r="Z936" s="404"/>
      <c r="AA936" s="405"/>
      <c r="AB936" s="401"/>
      <c r="AC936" s="403"/>
      <c r="AD936" s="404"/>
      <c r="AE936" s="405"/>
      <c r="AF936" s="401"/>
      <c r="AG936" s="292"/>
      <c r="AH936" s="292"/>
      <c r="AI936" s="292"/>
      <c r="AJ936" s="292"/>
      <c r="AK936" s="395"/>
      <c r="AL936" s="317"/>
      <c r="AM936" s="394"/>
      <c r="AN936" s="396"/>
      <c r="AO936" s="200"/>
      <c r="AP936" s="200"/>
    </row>
    <row r="937">
      <c r="A937" s="395"/>
      <c r="B937" s="317"/>
      <c r="C937" s="394"/>
      <c r="D937" s="396"/>
      <c r="E937" s="395"/>
      <c r="F937" s="317"/>
      <c r="G937" s="394"/>
      <c r="H937" s="396"/>
      <c r="I937" s="395"/>
      <c r="J937" s="317"/>
      <c r="K937" s="394"/>
      <c r="L937" s="396"/>
      <c r="M937" s="395"/>
      <c r="N937" s="317"/>
      <c r="O937" s="394"/>
      <c r="P937" s="396"/>
      <c r="Q937" s="403"/>
      <c r="R937" s="404"/>
      <c r="S937" s="405"/>
      <c r="T937" s="401"/>
      <c r="U937" s="403"/>
      <c r="V937" s="404"/>
      <c r="W937" s="405"/>
      <c r="X937" s="401"/>
      <c r="Y937" s="403"/>
      <c r="Z937" s="404"/>
      <c r="AA937" s="405"/>
      <c r="AB937" s="401"/>
      <c r="AC937" s="403"/>
      <c r="AD937" s="404"/>
      <c r="AE937" s="405"/>
      <c r="AF937" s="401"/>
      <c r="AG937" s="292"/>
      <c r="AH937" s="292"/>
      <c r="AI937" s="292"/>
      <c r="AJ937" s="292"/>
      <c r="AK937" s="395"/>
      <c r="AL937" s="317"/>
      <c r="AM937" s="394"/>
      <c r="AN937" s="396"/>
      <c r="AO937" s="200"/>
      <c r="AP937" s="200"/>
    </row>
    <row r="938">
      <c r="A938" s="395"/>
      <c r="B938" s="317"/>
      <c r="C938" s="394"/>
      <c r="D938" s="396"/>
      <c r="E938" s="395"/>
      <c r="F938" s="317"/>
      <c r="G938" s="394"/>
      <c r="H938" s="396"/>
      <c r="I938" s="395"/>
      <c r="J938" s="317"/>
      <c r="K938" s="394"/>
      <c r="L938" s="396"/>
      <c r="M938" s="395"/>
      <c r="N938" s="317"/>
      <c r="O938" s="394"/>
      <c r="P938" s="396"/>
      <c r="Q938" s="403"/>
      <c r="R938" s="404"/>
      <c r="S938" s="405"/>
      <c r="T938" s="401"/>
      <c r="U938" s="403"/>
      <c r="V938" s="404"/>
      <c r="W938" s="405"/>
      <c r="X938" s="401"/>
      <c r="Y938" s="403"/>
      <c r="Z938" s="404"/>
      <c r="AA938" s="405"/>
      <c r="AB938" s="401"/>
      <c r="AC938" s="403"/>
      <c r="AD938" s="404"/>
      <c r="AE938" s="405"/>
      <c r="AF938" s="401"/>
      <c r="AG938" s="292"/>
      <c r="AH938" s="292"/>
      <c r="AI938" s="292"/>
      <c r="AJ938" s="292"/>
      <c r="AK938" s="395"/>
      <c r="AL938" s="317"/>
      <c r="AM938" s="394"/>
      <c r="AN938" s="396"/>
      <c r="AO938" s="200"/>
      <c r="AP938" s="200"/>
    </row>
    <row r="939">
      <c r="A939" s="395"/>
      <c r="B939" s="317"/>
      <c r="C939" s="394"/>
      <c r="D939" s="396"/>
      <c r="E939" s="395"/>
      <c r="F939" s="317"/>
      <c r="G939" s="394"/>
      <c r="H939" s="396"/>
      <c r="I939" s="395"/>
      <c r="J939" s="317"/>
      <c r="K939" s="394"/>
      <c r="L939" s="396"/>
      <c r="M939" s="395"/>
      <c r="N939" s="317"/>
      <c r="O939" s="394"/>
      <c r="P939" s="396"/>
      <c r="Q939" s="403"/>
      <c r="R939" s="404"/>
      <c r="S939" s="405"/>
      <c r="T939" s="401"/>
      <c r="U939" s="403"/>
      <c r="V939" s="404"/>
      <c r="W939" s="405"/>
      <c r="X939" s="401"/>
      <c r="Y939" s="403"/>
      <c r="Z939" s="404"/>
      <c r="AA939" s="405"/>
      <c r="AB939" s="401"/>
      <c r="AC939" s="403"/>
      <c r="AD939" s="404"/>
      <c r="AE939" s="405"/>
      <c r="AF939" s="401"/>
      <c r="AG939" s="292"/>
      <c r="AH939" s="292"/>
      <c r="AI939" s="292"/>
      <c r="AJ939" s="292"/>
      <c r="AK939" s="395"/>
      <c r="AL939" s="317"/>
      <c r="AM939" s="394"/>
      <c r="AN939" s="396"/>
      <c r="AO939" s="200"/>
      <c r="AP939" s="200"/>
    </row>
    <row r="940">
      <c r="A940" s="395"/>
      <c r="B940" s="317"/>
      <c r="C940" s="394"/>
      <c r="D940" s="396"/>
      <c r="E940" s="395"/>
      <c r="F940" s="317"/>
      <c r="G940" s="394"/>
      <c r="H940" s="396"/>
      <c r="I940" s="395"/>
      <c r="J940" s="317"/>
      <c r="K940" s="394"/>
      <c r="L940" s="396"/>
      <c r="M940" s="395"/>
      <c r="N940" s="317"/>
      <c r="O940" s="394"/>
      <c r="P940" s="396"/>
      <c r="Q940" s="403"/>
      <c r="R940" s="404"/>
      <c r="S940" s="405"/>
      <c r="T940" s="401"/>
      <c r="U940" s="403"/>
      <c r="V940" s="404"/>
      <c r="W940" s="405"/>
      <c r="X940" s="401"/>
      <c r="Y940" s="403"/>
      <c r="Z940" s="404"/>
      <c r="AA940" s="405"/>
      <c r="AB940" s="401"/>
      <c r="AC940" s="403"/>
      <c r="AD940" s="404"/>
      <c r="AE940" s="405"/>
      <c r="AF940" s="401"/>
      <c r="AG940" s="292"/>
      <c r="AH940" s="292"/>
      <c r="AI940" s="292"/>
      <c r="AJ940" s="292"/>
      <c r="AK940" s="395"/>
      <c r="AL940" s="317"/>
      <c r="AM940" s="394"/>
      <c r="AN940" s="396"/>
      <c r="AO940" s="200"/>
      <c r="AP940" s="200"/>
    </row>
    <row r="941">
      <c r="A941" s="395"/>
      <c r="B941" s="317"/>
      <c r="C941" s="394"/>
      <c r="D941" s="396"/>
      <c r="E941" s="395"/>
      <c r="F941" s="317"/>
      <c r="G941" s="394"/>
      <c r="H941" s="396"/>
      <c r="I941" s="395"/>
      <c r="J941" s="317"/>
      <c r="K941" s="394"/>
      <c r="L941" s="396"/>
      <c r="M941" s="395"/>
      <c r="N941" s="317"/>
      <c r="O941" s="394"/>
      <c r="P941" s="396"/>
      <c r="Q941" s="403"/>
      <c r="R941" s="404"/>
      <c r="S941" s="405"/>
      <c r="T941" s="401"/>
      <c r="U941" s="403"/>
      <c r="V941" s="404"/>
      <c r="W941" s="405"/>
      <c r="X941" s="401"/>
      <c r="Y941" s="403"/>
      <c r="Z941" s="404"/>
      <c r="AA941" s="405"/>
      <c r="AB941" s="401"/>
      <c r="AC941" s="403"/>
      <c r="AD941" s="404"/>
      <c r="AE941" s="405"/>
      <c r="AF941" s="401"/>
      <c r="AG941" s="292"/>
      <c r="AH941" s="292"/>
      <c r="AI941" s="292"/>
      <c r="AJ941" s="292"/>
      <c r="AK941" s="395"/>
      <c r="AL941" s="317"/>
      <c r="AM941" s="394"/>
      <c r="AN941" s="396"/>
      <c r="AO941" s="200"/>
      <c r="AP941" s="200"/>
    </row>
    <row r="942">
      <c r="A942" s="395"/>
      <c r="B942" s="317"/>
      <c r="C942" s="394"/>
      <c r="D942" s="396"/>
      <c r="E942" s="395"/>
      <c r="F942" s="317"/>
      <c r="G942" s="394"/>
      <c r="H942" s="396"/>
      <c r="I942" s="395"/>
      <c r="J942" s="317"/>
      <c r="K942" s="394"/>
      <c r="L942" s="396"/>
      <c r="M942" s="395"/>
      <c r="N942" s="317"/>
      <c r="O942" s="394"/>
      <c r="P942" s="396"/>
      <c r="Q942" s="403"/>
      <c r="R942" s="404"/>
      <c r="S942" s="405"/>
      <c r="T942" s="401"/>
      <c r="U942" s="403"/>
      <c r="V942" s="404"/>
      <c r="W942" s="405"/>
      <c r="X942" s="401"/>
      <c r="Y942" s="403"/>
      <c r="Z942" s="404"/>
      <c r="AA942" s="405"/>
      <c r="AB942" s="401"/>
      <c r="AC942" s="403"/>
      <c r="AD942" s="404"/>
      <c r="AE942" s="405"/>
      <c r="AF942" s="401"/>
      <c r="AG942" s="292"/>
      <c r="AH942" s="292"/>
      <c r="AI942" s="292"/>
      <c r="AJ942" s="292"/>
      <c r="AK942" s="395"/>
      <c r="AL942" s="317"/>
      <c r="AM942" s="394"/>
      <c r="AN942" s="396"/>
      <c r="AO942" s="200"/>
      <c r="AP942" s="200"/>
    </row>
    <row r="943">
      <c r="A943" s="395"/>
      <c r="B943" s="317"/>
      <c r="C943" s="394"/>
      <c r="D943" s="396"/>
      <c r="E943" s="395"/>
      <c r="F943" s="317"/>
      <c r="G943" s="394"/>
      <c r="H943" s="396"/>
      <c r="I943" s="395"/>
      <c r="J943" s="317"/>
      <c r="K943" s="394"/>
      <c r="L943" s="396"/>
      <c r="M943" s="395"/>
      <c r="N943" s="317"/>
      <c r="O943" s="394"/>
      <c r="P943" s="396"/>
      <c r="Q943" s="403"/>
      <c r="R943" s="404"/>
      <c r="S943" s="405"/>
      <c r="T943" s="401"/>
      <c r="U943" s="403"/>
      <c r="V943" s="404"/>
      <c r="W943" s="405"/>
      <c r="X943" s="401"/>
      <c r="Y943" s="403"/>
      <c r="Z943" s="404"/>
      <c r="AA943" s="405"/>
      <c r="AB943" s="401"/>
      <c r="AC943" s="403"/>
      <c r="AD943" s="404"/>
      <c r="AE943" s="405"/>
      <c r="AF943" s="401"/>
      <c r="AG943" s="292"/>
      <c r="AH943" s="292"/>
      <c r="AI943" s="292"/>
      <c r="AJ943" s="292"/>
      <c r="AK943" s="395"/>
      <c r="AL943" s="317"/>
      <c r="AM943" s="394"/>
      <c r="AN943" s="396"/>
      <c r="AO943" s="200"/>
      <c r="AP943" s="200"/>
    </row>
    <row r="944">
      <c r="A944" s="395"/>
      <c r="B944" s="317"/>
      <c r="C944" s="394"/>
      <c r="D944" s="396"/>
      <c r="E944" s="395"/>
      <c r="F944" s="317"/>
      <c r="G944" s="394"/>
      <c r="H944" s="396"/>
      <c r="I944" s="395"/>
      <c r="J944" s="317"/>
      <c r="K944" s="394"/>
      <c r="L944" s="396"/>
      <c r="M944" s="395"/>
      <c r="N944" s="317"/>
      <c r="O944" s="394"/>
      <c r="P944" s="396"/>
      <c r="Q944" s="403"/>
      <c r="R944" s="404"/>
      <c r="S944" s="405"/>
      <c r="T944" s="401"/>
      <c r="U944" s="403"/>
      <c r="V944" s="404"/>
      <c r="W944" s="405"/>
      <c r="X944" s="401"/>
      <c r="Y944" s="403"/>
      <c r="Z944" s="404"/>
      <c r="AA944" s="405"/>
      <c r="AB944" s="401"/>
      <c r="AC944" s="403"/>
      <c r="AD944" s="404"/>
      <c r="AE944" s="405"/>
      <c r="AF944" s="401"/>
      <c r="AG944" s="292"/>
      <c r="AH944" s="292"/>
      <c r="AI944" s="292"/>
      <c r="AJ944" s="292"/>
      <c r="AK944" s="395"/>
      <c r="AL944" s="317"/>
      <c r="AM944" s="394"/>
      <c r="AN944" s="396"/>
      <c r="AO944" s="200"/>
      <c r="AP944" s="200"/>
    </row>
    <row r="945">
      <c r="A945" s="395"/>
      <c r="B945" s="317"/>
      <c r="C945" s="394"/>
      <c r="D945" s="396"/>
      <c r="E945" s="395"/>
      <c r="F945" s="317"/>
      <c r="G945" s="394"/>
      <c r="H945" s="396"/>
      <c r="I945" s="395"/>
      <c r="J945" s="317"/>
      <c r="K945" s="394"/>
      <c r="L945" s="396"/>
      <c r="M945" s="395"/>
      <c r="N945" s="317"/>
      <c r="O945" s="394"/>
      <c r="P945" s="396"/>
      <c r="Q945" s="403"/>
      <c r="R945" s="404"/>
      <c r="S945" s="405"/>
      <c r="T945" s="401"/>
      <c r="U945" s="403"/>
      <c r="V945" s="404"/>
      <c r="W945" s="405"/>
      <c r="X945" s="401"/>
      <c r="Y945" s="403"/>
      <c r="Z945" s="404"/>
      <c r="AA945" s="405"/>
      <c r="AB945" s="401"/>
      <c r="AC945" s="403"/>
      <c r="AD945" s="404"/>
      <c r="AE945" s="405"/>
      <c r="AF945" s="401"/>
      <c r="AG945" s="292"/>
      <c r="AH945" s="292"/>
      <c r="AI945" s="292"/>
      <c r="AJ945" s="292"/>
      <c r="AK945" s="395"/>
      <c r="AL945" s="317"/>
      <c r="AM945" s="394"/>
      <c r="AN945" s="396"/>
      <c r="AO945" s="200"/>
      <c r="AP945" s="200"/>
    </row>
    <row r="946">
      <c r="A946" s="395"/>
      <c r="B946" s="317"/>
      <c r="C946" s="394"/>
      <c r="D946" s="396"/>
      <c r="E946" s="395"/>
      <c r="F946" s="317"/>
      <c r="G946" s="394"/>
      <c r="H946" s="396"/>
      <c r="I946" s="395"/>
      <c r="J946" s="317"/>
      <c r="K946" s="394"/>
      <c r="L946" s="396"/>
      <c r="M946" s="395"/>
      <c r="N946" s="317"/>
      <c r="O946" s="394"/>
      <c r="P946" s="396"/>
      <c r="Q946" s="403"/>
      <c r="R946" s="404"/>
      <c r="S946" s="405"/>
      <c r="T946" s="401"/>
      <c r="U946" s="403"/>
      <c r="V946" s="404"/>
      <c r="W946" s="405"/>
      <c r="X946" s="401"/>
      <c r="Y946" s="403"/>
      <c r="Z946" s="404"/>
      <c r="AA946" s="405"/>
      <c r="AB946" s="401"/>
      <c r="AC946" s="403"/>
      <c r="AD946" s="404"/>
      <c r="AE946" s="405"/>
      <c r="AF946" s="401"/>
      <c r="AG946" s="292"/>
      <c r="AH946" s="292"/>
      <c r="AI946" s="292"/>
      <c r="AJ946" s="292"/>
      <c r="AK946" s="395"/>
      <c r="AL946" s="317"/>
      <c r="AM946" s="394"/>
      <c r="AN946" s="396"/>
      <c r="AO946" s="200"/>
      <c r="AP946" s="200"/>
    </row>
    <row r="947">
      <c r="A947" s="395"/>
      <c r="B947" s="317"/>
      <c r="C947" s="394"/>
      <c r="D947" s="396"/>
      <c r="E947" s="395"/>
      <c r="F947" s="317"/>
      <c r="G947" s="394"/>
      <c r="H947" s="396"/>
      <c r="I947" s="395"/>
      <c r="J947" s="317"/>
      <c r="K947" s="394"/>
      <c r="L947" s="396"/>
      <c r="M947" s="395"/>
      <c r="N947" s="317"/>
      <c r="O947" s="394"/>
      <c r="P947" s="396"/>
      <c r="Q947" s="403"/>
      <c r="R947" s="404"/>
      <c r="S947" s="405"/>
      <c r="T947" s="401"/>
      <c r="U947" s="403"/>
      <c r="V947" s="404"/>
      <c r="W947" s="405"/>
      <c r="X947" s="401"/>
      <c r="Y947" s="403"/>
      <c r="Z947" s="404"/>
      <c r="AA947" s="405"/>
      <c r="AB947" s="401"/>
      <c r="AC947" s="403"/>
      <c r="AD947" s="404"/>
      <c r="AE947" s="405"/>
      <c r="AF947" s="401"/>
      <c r="AG947" s="292"/>
      <c r="AH947" s="292"/>
      <c r="AI947" s="292"/>
      <c r="AJ947" s="292"/>
      <c r="AK947" s="395"/>
      <c r="AL947" s="317"/>
      <c r="AM947" s="394"/>
      <c r="AN947" s="396"/>
      <c r="AO947" s="200"/>
      <c r="AP947" s="200"/>
    </row>
    <row r="948">
      <c r="A948" s="395"/>
      <c r="B948" s="317"/>
      <c r="C948" s="394"/>
      <c r="D948" s="396"/>
      <c r="E948" s="395"/>
      <c r="F948" s="317"/>
      <c r="G948" s="394"/>
      <c r="H948" s="396"/>
      <c r="I948" s="395"/>
      <c r="J948" s="317"/>
      <c r="K948" s="394"/>
      <c r="L948" s="396"/>
      <c r="M948" s="395"/>
      <c r="N948" s="317"/>
      <c r="O948" s="394"/>
      <c r="P948" s="396"/>
      <c r="Q948" s="403"/>
      <c r="R948" s="404"/>
      <c r="S948" s="405"/>
      <c r="T948" s="401"/>
      <c r="U948" s="403"/>
      <c r="V948" s="404"/>
      <c r="W948" s="405"/>
      <c r="X948" s="401"/>
      <c r="Y948" s="403"/>
      <c r="Z948" s="404"/>
      <c r="AA948" s="405"/>
      <c r="AB948" s="401"/>
      <c r="AC948" s="403"/>
      <c r="AD948" s="404"/>
      <c r="AE948" s="405"/>
      <c r="AF948" s="401"/>
      <c r="AG948" s="292"/>
      <c r="AH948" s="292"/>
      <c r="AI948" s="292"/>
      <c r="AJ948" s="292"/>
      <c r="AK948" s="395"/>
      <c r="AL948" s="317"/>
      <c r="AM948" s="394"/>
      <c r="AN948" s="396"/>
      <c r="AO948" s="200"/>
      <c r="AP948" s="200"/>
    </row>
    <row r="949">
      <c r="A949" s="395"/>
      <c r="B949" s="317"/>
      <c r="C949" s="394"/>
      <c r="D949" s="396"/>
      <c r="E949" s="395"/>
      <c r="F949" s="317"/>
      <c r="G949" s="394"/>
      <c r="H949" s="396"/>
      <c r="I949" s="395"/>
      <c r="J949" s="317"/>
      <c r="K949" s="394"/>
      <c r="L949" s="396"/>
      <c r="M949" s="395"/>
      <c r="N949" s="317"/>
      <c r="O949" s="394"/>
      <c r="P949" s="396"/>
      <c r="Q949" s="403"/>
      <c r="R949" s="404"/>
      <c r="S949" s="405"/>
      <c r="T949" s="401"/>
      <c r="U949" s="403"/>
      <c r="V949" s="404"/>
      <c r="W949" s="405"/>
      <c r="X949" s="401"/>
      <c r="Y949" s="403"/>
      <c r="Z949" s="404"/>
      <c r="AA949" s="405"/>
      <c r="AB949" s="401"/>
      <c r="AC949" s="403"/>
      <c r="AD949" s="404"/>
      <c r="AE949" s="405"/>
      <c r="AF949" s="401"/>
      <c r="AG949" s="292"/>
      <c r="AH949" s="292"/>
      <c r="AI949" s="292"/>
      <c r="AJ949" s="292"/>
      <c r="AK949" s="395"/>
      <c r="AL949" s="317"/>
      <c r="AM949" s="394"/>
      <c r="AN949" s="396"/>
      <c r="AO949" s="200"/>
      <c r="AP949" s="200"/>
    </row>
    <row r="950">
      <c r="A950" s="395"/>
      <c r="B950" s="317"/>
      <c r="C950" s="394"/>
      <c r="D950" s="396"/>
      <c r="E950" s="395"/>
      <c r="F950" s="317"/>
      <c r="G950" s="394"/>
      <c r="H950" s="396"/>
      <c r="I950" s="395"/>
      <c r="J950" s="317"/>
      <c r="K950" s="394"/>
      <c r="L950" s="396"/>
      <c r="M950" s="395"/>
      <c r="N950" s="317"/>
      <c r="O950" s="394"/>
      <c r="P950" s="396"/>
      <c r="Q950" s="403"/>
      <c r="R950" s="404"/>
      <c r="S950" s="405"/>
      <c r="T950" s="401"/>
      <c r="U950" s="403"/>
      <c r="V950" s="404"/>
      <c r="W950" s="405"/>
      <c r="X950" s="401"/>
      <c r="Y950" s="403"/>
      <c r="Z950" s="404"/>
      <c r="AA950" s="405"/>
      <c r="AB950" s="401"/>
      <c r="AC950" s="403"/>
      <c r="AD950" s="404"/>
      <c r="AE950" s="405"/>
      <c r="AF950" s="401"/>
      <c r="AG950" s="292"/>
      <c r="AH950" s="292"/>
      <c r="AI950" s="292"/>
      <c r="AJ950" s="292"/>
      <c r="AK950" s="395"/>
      <c r="AL950" s="317"/>
      <c r="AM950" s="394"/>
      <c r="AN950" s="396"/>
      <c r="AO950" s="200"/>
      <c r="AP950" s="200"/>
    </row>
    <row r="951">
      <c r="A951" s="395"/>
      <c r="B951" s="317"/>
      <c r="C951" s="394"/>
      <c r="D951" s="396"/>
      <c r="E951" s="395"/>
      <c r="F951" s="317"/>
      <c r="G951" s="394"/>
      <c r="H951" s="396"/>
      <c r="I951" s="395"/>
      <c r="J951" s="317"/>
      <c r="K951" s="394"/>
      <c r="L951" s="396"/>
      <c r="M951" s="395"/>
      <c r="N951" s="317"/>
      <c r="O951" s="394"/>
      <c r="P951" s="396"/>
      <c r="Q951" s="403"/>
      <c r="R951" s="404"/>
      <c r="S951" s="405"/>
      <c r="T951" s="401"/>
      <c r="U951" s="403"/>
      <c r="V951" s="404"/>
      <c r="W951" s="405"/>
      <c r="X951" s="401"/>
      <c r="Y951" s="403"/>
      <c r="Z951" s="404"/>
      <c r="AA951" s="405"/>
      <c r="AB951" s="401"/>
      <c r="AC951" s="403"/>
      <c r="AD951" s="404"/>
      <c r="AE951" s="405"/>
      <c r="AF951" s="401"/>
      <c r="AG951" s="292"/>
      <c r="AH951" s="292"/>
      <c r="AI951" s="292"/>
      <c r="AJ951" s="292"/>
      <c r="AK951" s="395"/>
      <c r="AL951" s="317"/>
      <c r="AM951" s="394"/>
      <c r="AN951" s="396"/>
      <c r="AO951" s="200"/>
      <c r="AP951" s="200"/>
    </row>
    <row r="952">
      <c r="A952" s="395"/>
      <c r="B952" s="317"/>
      <c r="C952" s="394"/>
      <c r="D952" s="396"/>
      <c r="E952" s="395"/>
      <c r="F952" s="317"/>
      <c r="G952" s="394"/>
      <c r="H952" s="396"/>
      <c r="I952" s="395"/>
      <c r="J952" s="317"/>
      <c r="K952" s="394"/>
      <c r="L952" s="396"/>
      <c r="M952" s="395"/>
      <c r="N952" s="317"/>
      <c r="O952" s="394"/>
      <c r="P952" s="396"/>
      <c r="Q952" s="403"/>
      <c r="R952" s="404"/>
      <c r="S952" s="405"/>
      <c r="T952" s="401"/>
      <c r="U952" s="403"/>
      <c r="V952" s="404"/>
      <c r="W952" s="405"/>
      <c r="X952" s="401"/>
      <c r="Y952" s="403"/>
      <c r="Z952" s="404"/>
      <c r="AA952" s="405"/>
      <c r="AB952" s="401"/>
      <c r="AC952" s="403"/>
      <c r="AD952" s="404"/>
      <c r="AE952" s="405"/>
      <c r="AF952" s="401"/>
      <c r="AG952" s="292"/>
      <c r="AH952" s="292"/>
      <c r="AI952" s="292"/>
      <c r="AJ952" s="292"/>
      <c r="AK952" s="395"/>
      <c r="AL952" s="317"/>
      <c r="AM952" s="394"/>
      <c r="AN952" s="396"/>
      <c r="AO952" s="200"/>
      <c r="AP952" s="200"/>
    </row>
    <row r="953">
      <c r="A953" s="395"/>
      <c r="B953" s="317"/>
      <c r="C953" s="394"/>
      <c r="D953" s="396"/>
      <c r="E953" s="395"/>
      <c r="F953" s="317"/>
      <c r="G953" s="394"/>
      <c r="H953" s="396"/>
      <c r="I953" s="395"/>
      <c r="J953" s="317"/>
      <c r="K953" s="394"/>
      <c r="L953" s="396"/>
      <c r="M953" s="395"/>
      <c r="N953" s="317"/>
      <c r="O953" s="394"/>
      <c r="P953" s="396"/>
      <c r="Q953" s="403"/>
      <c r="R953" s="404"/>
      <c r="S953" s="405"/>
      <c r="T953" s="401"/>
      <c r="U953" s="403"/>
      <c r="V953" s="404"/>
      <c r="W953" s="405"/>
      <c r="X953" s="401"/>
      <c r="Y953" s="403"/>
      <c r="Z953" s="404"/>
      <c r="AA953" s="405"/>
      <c r="AB953" s="401"/>
      <c r="AC953" s="403"/>
      <c r="AD953" s="404"/>
      <c r="AE953" s="405"/>
      <c r="AF953" s="401"/>
      <c r="AG953" s="292"/>
      <c r="AH953" s="292"/>
      <c r="AI953" s="292"/>
      <c r="AJ953" s="292"/>
      <c r="AK953" s="395"/>
      <c r="AL953" s="317"/>
      <c r="AM953" s="394"/>
      <c r="AN953" s="396"/>
      <c r="AO953" s="200"/>
      <c r="AP953" s="200"/>
    </row>
    <row r="954">
      <c r="A954" s="395"/>
      <c r="B954" s="317"/>
      <c r="C954" s="394"/>
      <c r="D954" s="396"/>
      <c r="E954" s="395"/>
      <c r="F954" s="317"/>
      <c r="G954" s="394"/>
      <c r="H954" s="396"/>
      <c r="I954" s="395"/>
      <c r="J954" s="317"/>
      <c r="K954" s="394"/>
      <c r="L954" s="396"/>
      <c r="M954" s="395"/>
      <c r="N954" s="317"/>
      <c r="O954" s="394"/>
      <c r="P954" s="396"/>
      <c r="Q954" s="403"/>
      <c r="R954" s="404"/>
      <c r="S954" s="405"/>
      <c r="T954" s="401"/>
      <c r="U954" s="403"/>
      <c r="V954" s="404"/>
      <c r="W954" s="405"/>
      <c r="X954" s="401"/>
      <c r="Y954" s="403"/>
      <c r="Z954" s="404"/>
      <c r="AA954" s="405"/>
      <c r="AB954" s="401"/>
      <c r="AC954" s="403"/>
      <c r="AD954" s="404"/>
      <c r="AE954" s="405"/>
      <c r="AF954" s="401"/>
      <c r="AG954" s="292"/>
      <c r="AH954" s="292"/>
      <c r="AI954" s="292"/>
      <c r="AJ954" s="292"/>
      <c r="AK954" s="395"/>
      <c r="AL954" s="317"/>
      <c r="AM954" s="394"/>
      <c r="AN954" s="396"/>
      <c r="AO954" s="200"/>
      <c r="AP954" s="200"/>
    </row>
    <row r="955">
      <c r="A955" s="395"/>
      <c r="B955" s="317"/>
      <c r="C955" s="394"/>
      <c r="D955" s="396"/>
      <c r="E955" s="395"/>
      <c r="F955" s="317"/>
      <c r="G955" s="394"/>
      <c r="H955" s="396"/>
      <c r="I955" s="395"/>
      <c r="J955" s="317"/>
      <c r="K955" s="394"/>
      <c r="L955" s="396"/>
      <c r="M955" s="395"/>
      <c r="N955" s="317"/>
      <c r="O955" s="394"/>
      <c r="P955" s="396"/>
      <c r="Q955" s="403"/>
      <c r="R955" s="404"/>
      <c r="S955" s="405"/>
      <c r="T955" s="401"/>
      <c r="U955" s="403"/>
      <c r="V955" s="404"/>
      <c r="W955" s="405"/>
      <c r="X955" s="401"/>
      <c r="Y955" s="403"/>
      <c r="Z955" s="404"/>
      <c r="AA955" s="405"/>
      <c r="AB955" s="401"/>
      <c r="AC955" s="403"/>
      <c r="AD955" s="404"/>
      <c r="AE955" s="405"/>
      <c r="AF955" s="401"/>
      <c r="AG955" s="292"/>
      <c r="AH955" s="292"/>
      <c r="AI955" s="292"/>
      <c r="AJ955" s="292"/>
      <c r="AK955" s="395"/>
      <c r="AL955" s="317"/>
      <c r="AM955" s="394"/>
      <c r="AN955" s="396"/>
      <c r="AO955" s="200"/>
      <c r="AP955" s="200"/>
    </row>
    <row r="956">
      <c r="A956" s="395"/>
      <c r="B956" s="317"/>
      <c r="C956" s="394"/>
      <c r="D956" s="396"/>
      <c r="E956" s="395"/>
      <c r="F956" s="317"/>
      <c r="G956" s="394"/>
      <c r="H956" s="396"/>
      <c r="I956" s="395"/>
      <c r="J956" s="317"/>
      <c r="K956" s="394"/>
      <c r="L956" s="396"/>
      <c r="M956" s="395"/>
      <c r="N956" s="317"/>
      <c r="O956" s="394"/>
      <c r="P956" s="396"/>
      <c r="Q956" s="403"/>
      <c r="R956" s="404"/>
      <c r="S956" s="405"/>
      <c r="T956" s="401"/>
      <c r="U956" s="403"/>
      <c r="V956" s="404"/>
      <c r="W956" s="405"/>
      <c r="X956" s="401"/>
      <c r="Y956" s="403"/>
      <c r="Z956" s="404"/>
      <c r="AA956" s="405"/>
      <c r="AB956" s="401"/>
      <c r="AC956" s="403"/>
      <c r="AD956" s="404"/>
      <c r="AE956" s="405"/>
      <c r="AF956" s="401"/>
      <c r="AG956" s="292"/>
      <c r="AH956" s="292"/>
      <c r="AI956" s="292"/>
      <c r="AJ956" s="292"/>
      <c r="AK956" s="395"/>
      <c r="AL956" s="317"/>
      <c r="AM956" s="394"/>
      <c r="AN956" s="396"/>
      <c r="AO956" s="200"/>
      <c r="AP956" s="200"/>
    </row>
    <row r="957">
      <c r="A957" s="395"/>
      <c r="B957" s="317"/>
      <c r="C957" s="394"/>
      <c r="D957" s="396"/>
      <c r="E957" s="395"/>
      <c r="F957" s="317"/>
      <c r="G957" s="394"/>
      <c r="H957" s="396"/>
      <c r="I957" s="395"/>
      <c r="J957" s="317"/>
      <c r="K957" s="394"/>
      <c r="L957" s="396"/>
      <c r="M957" s="395"/>
      <c r="N957" s="317"/>
      <c r="O957" s="394"/>
      <c r="P957" s="396"/>
      <c r="Q957" s="403"/>
      <c r="R957" s="404"/>
      <c r="S957" s="405"/>
      <c r="T957" s="401"/>
      <c r="U957" s="403"/>
      <c r="V957" s="404"/>
      <c r="W957" s="405"/>
      <c r="X957" s="401"/>
      <c r="Y957" s="403"/>
      <c r="Z957" s="404"/>
      <c r="AA957" s="405"/>
      <c r="AB957" s="401"/>
      <c r="AC957" s="403"/>
      <c r="AD957" s="404"/>
      <c r="AE957" s="405"/>
      <c r="AF957" s="401"/>
      <c r="AG957" s="292"/>
      <c r="AH957" s="292"/>
      <c r="AI957" s="292"/>
      <c r="AJ957" s="292"/>
      <c r="AK957" s="395"/>
      <c r="AL957" s="317"/>
      <c r="AM957" s="394"/>
      <c r="AN957" s="396"/>
      <c r="AO957" s="200"/>
      <c r="AP957" s="200"/>
    </row>
    <row r="958">
      <c r="A958" s="395"/>
      <c r="B958" s="317"/>
      <c r="C958" s="394"/>
      <c r="D958" s="396"/>
      <c r="E958" s="395"/>
      <c r="F958" s="317"/>
      <c r="G958" s="394"/>
      <c r="H958" s="396"/>
      <c r="I958" s="395"/>
      <c r="J958" s="317"/>
      <c r="K958" s="394"/>
      <c r="L958" s="396"/>
      <c r="M958" s="395"/>
      <c r="N958" s="317"/>
      <c r="O958" s="394"/>
      <c r="P958" s="396"/>
      <c r="Q958" s="403"/>
      <c r="R958" s="404"/>
      <c r="S958" s="405"/>
      <c r="T958" s="401"/>
      <c r="U958" s="403"/>
      <c r="V958" s="404"/>
      <c r="W958" s="405"/>
      <c r="X958" s="401"/>
      <c r="Y958" s="403"/>
      <c r="Z958" s="404"/>
      <c r="AA958" s="405"/>
      <c r="AB958" s="401"/>
      <c r="AC958" s="403"/>
      <c r="AD958" s="404"/>
      <c r="AE958" s="405"/>
      <c r="AF958" s="401"/>
      <c r="AG958" s="292"/>
      <c r="AH958" s="292"/>
      <c r="AI958" s="292"/>
      <c r="AJ958" s="292"/>
      <c r="AK958" s="395"/>
      <c r="AL958" s="317"/>
      <c r="AM958" s="394"/>
      <c r="AN958" s="396"/>
      <c r="AO958" s="200"/>
      <c r="AP958" s="200"/>
    </row>
    <row r="959">
      <c r="A959" s="395"/>
      <c r="B959" s="317"/>
      <c r="C959" s="394"/>
      <c r="D959" s="396"/>
      <c r="E959" s="395"/>
      <c r="F959" s="317"/>
      <c r="G959" s="394"/>
      <c r="H959" s="396"/>
      <c r="I959" s="395"/>
      <c r="J959" s="317"/>
      <c r="K959" s="394"/>
      <c r="L959" s="396"/>
      <c r="M959" s="395"/>
      <c r="N959" s="317"/>
      <c r="O959" s="394"/>
      <c r="P959" s="396"/>
      <c r="Q959" s="403"/>
      <c r="R959" s="404"/>
      <c r="S959" s="405"/>
      <c r="T959" s="401"/>
      <c r="U959" s="403"/>
      <c r="V959" s="404"/>
      <c r="W959" s="405"/>
      <c r="X959" s="401"/>
      <c r="Y959" s="403"/>
      <c r="Z959" s="404"/>
      <c r="AA959" s="405"/>
      <c r="AB959" s="401"/>
      <c r="AC959" s="403"/>
      <c r="AD959" s="404"/>
      <c r="AE959" s="405"/>
      <c r="AF959" s="401"/>
      <c r="AG959" s="292"/>
      <c r="AH959" s="292"/>
      <c r="AI959" s="292"/>
      <c r="AJ959" s="292"/>
      <c r="AK959" s="395"/>
      <c r="AL959" s="317"/>
      <c r="AM959" s="394"/>
      <c r="AN959" s="396"/>
      <c r="AO959" s="200"/>
      <c r="AP959" s="200"/>
    </row>
    <row r="960">
      <c r="A960" s="395"/>
      <c r="B960" s="317"/>
      <c r="C960" s="394"/>
      <c r="D960" s="396"/>
      <c r="E960" s="395"/>
      <c r="F960" s="317"/>
      <c r="G960" s="394"/>
      <c r="H960" s="396"/>
      <c r="I960" s="395"/>
      <c r="J960" s="317"/>
      <c r="K960" s="394"/>
      <c r="L960" s="396"/>
      <c r="M960" s="395"/>
      <c r="N960" s="317"/>
      <c r="O960" s="394"/>
      <c r="P960" s="396"/>
      <c r="Q960" s="403"/>
      <c r="R960" s="404"/>
      <c r="S960" s="405"/>
      <c r="T960" s="401"/>
      <c r="U960" s="403"/>
      <c r="V960" s="404"/>
      <c r="W960" s="405"/>
      <c r="X960" s="401"/>
      <c r="Y960" s="403"/>
      <c r="Z960" s="404"/>
      <c r="AA960" s="405"/>
      <c r="AB960" s="401"/>
      <c r="AC960" s="403"/>
      <c r="AD960" s="404"/>
      <c r="AE960" s="405"/>
      <c r="AF960" s="401"/>
      <c r="AG960" s="292"/>
      <c r="AH960" s="292"/>
      <c r="AI960" s="292"/>
      <c r="AJ960" s="292"/>
      <c r="AK960" s="395"/>
      <c r="AL960" s="317"/>
      <c r="AM960" s="394"/>
      <c r="AN960" s="396"/>
      <c r="AO960" s="200"/>
      <c r="AP960" s="200"/>
    </row>
    <row r="961">
      <c r="A961" s="395"/>
      <c r="B961" s="317"/>
      <c r="C961" s="394"/>
      <c r="D961" s="396"/>
      <c r="E961" s="395"/>
      <c r="F961" s="317"/>
      <c r="G961" s="394"/>
      <c r="H961" s="396"/>
      <c r="I961" s="395"/>
      <c r="J961" s="317"/>
      <c r="K961" s="394"/>
      <c r="L961" s="396"/>
      <c r="M961" s="395"/>
      <c r="N961" s="317"/>
      <c r="O961" s="394"/>
      <c r="P961" s="396"/>
      <c r="Q961" s="403"/>
      <c r="R961" s="404"/>
      <c r="S961" s="405"/>
      <c r="T961" s="401"/>
      <c r="U961" s="403"/>
      <c r="V961" s="404"/>
      <c r="W961" s="405"/>
      <c r="X961" s="401"/>
      <c r="Y961" s="403"/>
      <c r="Z961" s="404"/>
      <c r="AA961" s="405"/>
      <c r="AB961" s="401"/>
      <c r="AC961" s="403"/>
      <c r="AD961" s="404"/>
      <c r="AE961" s="405"/>
      <c r="AF961" s="401"/>
      <c r="AG961" s="292"/>
      <c r="AH961" s="292"/>
      <c r="AI961" s="292"/>
      <c r="AJ961" s="292"/>
      <c r="AK961" s="395"/>
      <c r="AL961" s="317"/>
      <c r="AM961" s="394"/>
      <c r="AN961" s="396"/>
      <c r="AO961" s="200"/>
      <c r="AP961" s="200"/>
    </row>
    <row r="962">
      <c r="A962" s="395"/>
      <c r="B962" s="317"/>
      <c r="C962" s="394"/>
      <c r="D962" s="396"/>
      <c r="E962" s="395"/>
      <c r="F962" s="317"/>
      <c r="G962" s="394"/>
      <c r="H962" s="396"/>
      <c r="I962" s="395"/>
      <c r="J962" s="317"/>
      <c r="K962" s="394"/>
      <c r="L962" s="396"/>
      <c r="M962" s="395"/>
      <c r="N962" s="317"/>
      <c r="O962" s="394"/>
      <c r="P962" s="396"/>
      <c r="Q962" s="403"/>
      <c r="R962" s="404"/>
      <c r="S962" s="405"/>
      <c r="T962" s="401"/>
      <c r="U962" s="403"/>
      <c r="V962" s="404"/>
      <c r="W962" s="405"/>
      <c r="X962" s="401"/>
      <c r="Y962" s="403"/>
      <c r="Z962" s="404"/>
      <c r="AA962" s="405"/>
      <c r="AB962" s="401"/>
      <c r="AC962" s="403"/>
      <c r="AD962" s="404"/>
      <c r="AE962" s="405"/>
      <c r="AF962" s="401"/>
      <c r="AG962" s="292"/>
      <c r="AH962" s="292"/>
      <c r="AI962" s="292"/>
      <c r="AJ962" s="292"/>
      <c r="AK962" s="395"/>
      <c r="AL962" s="317"/>
      <c r="AM962" s="394"/>
      <c r="AN962" s="396"/>
      <c r="AO962" s="200"/>
      <c r="AP962" s="200"/>
    </row>
    <row r="963">
      <c r="A963" s="395"/>
      <c r="B963" s="317"/>
      <c r="C963" s="394"/>
      <c r="D963" s="396"/>
      <c r="E963" s="395"/>
      <c r="F963" s="317"/>
      <c r="G963" s="394"/>
      <c r="H963" s="396"/>
      <c r="I963" s="395"/>
      <c r="J963" s="317"/>
      <c r="K963" s="394"/>
      <c r="L963" s="396"/>
      <c r="M963" s="395"/>
      <c r="N963" s="317"/>
      <c r="O963" s="394"/>
      <c r="P963" s="396"/>
      <c r="Q963" s="403"/>
      <c r="R963" s="404"/>
      <c r="S963" s="405"/>
      <c r="T963" s="401"/>
      <c r="U963" s="403"/>
      <c r="V963" s="404"/>
      <c r="W963" s="405"/>
      <c r="X963" s="401"/>
      <c r="Y963" s="403"/>
      <c r="Z963" s="404"/>
      <c r="AA963" s="405"/>
      <c r="AB963" s="401"/>
      <c r="AC963" s="403"/>
      <c r="AD963" s="404"/>
      <c r="AE963" s="405"/>
      <c r="AF963" s="401"/>
      <c r="AG963" s="292"/>
      <c r="AH963" s="292"/>
      <c r="AI963" s="292"/>
      <c r="AJ963" s="292"/>
      <c r="AK963" s="395"/>
      <c r="AL963" s="317"/>
      <c r="AM963" s="394"/>
      <c r="AN963" s="396"/>
      <c r="AO963" s="200"/>
      <c r="AP963" s="200"/>
    </row>
    <row r="964">
      <c r="A964" s="395"/>
      <c r="B964" s="317"/>
      <c r="C964" s="394"/>
      <c r="D964" s="396"/>
      <c r="E964" s="395"/>
      <c r="F964" s="317"/>
      <c r="G964" s="394"/>
      <c r="H964" s="396"/>
      <c r="I964" s="395"/>
      <c r="J964" s="317"/>
      <c r="K964" s="394"/>
      <c r="L964" s="396"/>
      <c r="M964" s="395"/>
      <c r="N964" s="317"/>
      <c r="O964" s="394"/>
      <c r="P964" s="396"/>
      <c r="Q964" s="403"/>
      <c r="R964" s="404"/>
      <c r="S964" s="405"/>
      <c r="T964" s="401"/>
      <c r="U964" s="403"/>
      <c r="V964" s="404"/>
      <c r="W964" s="405"/>
      <c r="X964" s="401"/>
      <c r="Y964" s="403"/>
      <c r="Z964" s="404"/>
      <c r="AA964" s="405"/>
      <c r="AB964" s="401"/>
      <c r="AC964" s="403"/>
      <c r="AD964" s="404"/>
      <c r="AE964" s="405"/>
      <c r="AF964" s="401"/>
      <c r="AG964" s="292"/>
      <c r="AH964" s="292"/>
      <c r="AI964" s="292"/>
      <c r="AJ964" s="292"/>
      <c r="AK964" s="395"/>
      <c r="AL964" s="317"/>
      <c r="AM964" s="394"/>
      <c r="AN964" s="396"/>
      <c r="AO964" s="200"/>
      <c r="AP964" s="200"/>
    </row>
    <row r="965">
      <c r="A965" s="395"/>
      <c r="B965" s="317"/>
      <c r="C965" s="394"/>
      <c r="D965" s="396"/>
      <c r="E965" s="395"/>
      <c r="F965" s="317"/>
      <c r="G965" s="394"/>
      <c r="H965" s="396"/>
      <c r="I965" s="395"/>
      <c r="J965" s="317"/>
      <c r="K965" s="394"/>
      <c r="L965" s="396"/>
      <c r="M965" s="395"/>
      <c r="N965" s="317"/>
      <c r="O965" s="394"/>
      <c r="P965" s="396"/>
      <c r="Q965" s="403"/>
      <c r="R965" s="404"/>
      <c r="S965" s="405"/>
      <c r="T965" s="401"/>
      <c r="U965" s="403"/>
      <c r="V965" s="404"/>
      <c r="W965" s="405"/>
      <c r="X965" s="401"/>
      <c r="Y965" s="403"/>
      <c r="Z965" s="404"/>
      <c r="AA965" s="405"/>
      <c r="AB965" s="401"/>
      <c r="AC965" s="403"/>
      <c r="AD965" s="404"/>
      <c r="AE965" s="405"/>
      <c r="AF965" s="401"/>
      <c r="AG965" s="292"/>
      <c r="AH965" s="292"/>
      <c r="AI965" s="292"/>
      <c r="AJ965" s="292"/>
      <c r="AK965" s="395"/>
      <c r="AL965" s="317"/>
      <c r="AM965" s="394"/>
      <c r="AN965" s="396"/>
      <c r="AO965" s="200"/>
      <c r="AP965" s="200"/>
    </row>
    <row r="966">
      <c r="A966" s="395"/>
      <c r="B966" s="317"/>
      <c r="C966" s="394"/>
      <c r="D966" s="396"/>
      <c r="E966" s="395"/>
      <c r="F966" s="317"/>
      <c r="G966" s="394"/>
      <c r="H966" s="396"/>
      <c r="I966" s="395"/>
      <c r="J966" s="317"/>
      <c r="K966" s="394"/>
      <c r="L966" s="396"/>
      <c r="M966" s="395"/>
      <c r="N966" s="317"/>
      <c r="O966" s="394"/>
      <c r="P966" s="396"/>
      <c r="Q966" s="403"/>
      <c r="R966" s="404"/>
      <c r="S966" s="405"/>
      <c r="T966" s="401"/>
      <c r="U966" s="403"/>
      <c r="V966" s="404"/>
      <c r="W966" s="405"/>
      <c r="X966" s="401"/>
      <c r="Y966" s="403"/>
      <c r="Z966" s="404"/>
      <c r="AA966" s="405"/>
      <c r="AB966" s="401"/>
      <c r="AC966" s="403"/>
      <c r="AD966" s="404"/>
      <c r="AE966" s="405"/>
      <c r="AF966" s="401"/>
      <c r="AG966" s="292"/>
      <c r="AH966" s="292"/>
      <c r="AI966" s="292"/>
      <c r="AJ966" s="292"/>
      <c r="AK966" s="395"/>
      <c r="AL966" s="317"/>
      <c r="AM966" s="394"/>
      <c r="AN966" s="396"/>
      <c r="AO966" s="200"/>
      <c r="AP966" s="200"/>
    </row>
    <row r="967">
      <c r="A967" s="395"/>
      <c r="B967" s="317"/>
      <c r="C967" s="394"/>
      <c r="D967" s="396"/>
      <c r="E967" s="395"/>
      <c r="F967" s="317"/>
      <c r="G967" s="394"/>
      <c r="H967" s="396"/>
      <c r="I967" s="395"/>
      <c r="J967" s="317"/>
      <c r="K967" s="394"/>
      <c r="L967" s="396"/>
      <c r="M967" s="395"/>
      <c r="N967" s="317"/>
      <c r="O967" s="394"/>
      <c r="P967" s="396"/>
      <c r="Q967" s="403"/>
      <c r="R967" s="404"/>
      <c r="S967" s="405"/>
      <c r="T967" s="401"/>
      <c r="U967" s="403"/>
      <c r="V967" s="404"/>
      <c r="W967" s="405"/>
      <c r="X967" s="401"/>
      <c r="Y967" s="403"/>
      <c r="Z967" s="404"/>
      <c r="AA967" s="405"/>
      <c r="AB967" s="401"/>
      <c r="AC967" s="403"/>
      <c r="AD967" s="404"/>
      <c r="AE967" s="405"/>
      <c r="AF967" s="401"/>
      <c r="AG967" s="292"/>
      <c r="AH967" s="292"/>
      <c r="AI967" s="292"/>
      <c r="AJ967" s="292"/>
      <c r="AK967" s="395"/>
      <c r="AL967" s="317"/>
      <c r="AM967" s="394"/>
      <c r="AN967" s="396"/>
      <c r="AO967" s="200"/>
      <c r="AP967" s="200"/>
    </row>
    <row r="968">
      <c r="A968" s="395"/>
      <c r="B968" s="317"/>
      <c r="C968" s="394"/>
      <c r="D968" s="396"/>
      <c r="E968" s="395"/>
      <c r="F968" s="317"/>
      <c r="G968" s="394"/>
      <c r="H968" s="396"/>
      <c r="I968" s="395"/>
      <c r="J968" s="317"/>
      <c r="K968" s="394"/>
      <c r="L968" s="396"/>
      <c r="M968" s="395"/>
      <c r="N968" s="317"/>
      <c r="O968" s="394"/>
      <c r="P968" s="396"/>
      <c r="Q968" s="403"/>
      <c r="R968" s="404"/>
      <c r="S968" s="405"/>
      <c r="T968" s="401"/>
      <c r="U968" s="403"/>
      <c r="V968" s="404"/>
      <c r="W968" s="405"/>
      <c r="X968" s="401"/>
      <c r="Y968" s="403"/>
      <c r="Z968" s="404"/>
      <c r="AA968" s="405"/>
      <c r="AB968" s="401"/>
      <c r="AC968" s="403"/>
      <c r="AD968" s="404"/>
      <c r="AE968" s="405"/>
      <c r="AF968" s="401"/>
      <c r="AG968" s="292"/>
      <c r="AH968" s="292"/>
      <c r="AI968" s="292"/>
      <c r="AJ968" s="292"/>
      <c r="AK968" s="395"/>
      <c r="AL968" s="317"/>
      <c r="AM968" s="394"/>
      <c r="AN968" s="396"/>
      <c r="AO968" s="200"/>
      <c r="AP968" s="200"/>
    </row>
    <row r="969">
      <c r="A969" s="395"/>
      <c r="B969" s="317"/>
      <c r="C969" s="394"/>
      <c r="D969" s="396"/>
      <c r="E969" s="395"/>
      <c r="F969" s="317"/>
      <c r="G969" s="394"/>
      <c r="H969" s="396"/>
      <c r="I969" s="395"/>
      <c r="J969" s="317"/>
      <c r="K969" s="394"/>
      <c r="L969" s="396"/>
      <c r="M969" s="395"/>
      <c r="N969" s="317"/>
      <c r="O969" s="394"/>
      <c r="P969" s="396"/>
      <c r="Q969" s="403"/>
      <c r="R969" s="404"/>
      <c r="S969" s="405"/>
      <c r="T969" s="401"/>
      <c r="U969" s="403"/>
      <c r="V969" s="404"/>
      <c r="W969" s="405"/>
      <c r="X969" s="401"/>
      <c r="Y969" s="403"/>
      <c r="Z969" s="404"/>
      <c r="AA969" s="405"/>
      <c r="AB969" s="401"/>
      <c r="AC969" s="403"/>
      <c r="AD969" s="404"/>
      <c r="AE969" s="405"/>
      <c r="AF969" s="401"/>
      <c r="AG969" s="292"/>
      <c r="AH969" s="292"/>
      <c r="AI969" s="292"/>
      <c r="AJ969" s="292"/>
      <c r="AK969" s="395"/>
      <c r="AL969" s="317"/>
      <c r="AM969" s="394"/>
      <c r="AN969" s="396"/>
      <c r="AO969" s="200"/>
      <c r="AP969" s="200"/>
    </row>
    <row r="970">
      <c r="A970" s="395"/>
      <c r="B970" s="317"/>
      <c r="C970" s="394"/>
      <c r="D970" s="396"/>
      <c r="E970" s="395"/>
      <c r="F970" s="317"/>
      <c r="G970" s="394"/>
      <c r="H970" s="396"/>
      <c r="I970" s="395"/>
      <c r="J970" s="317"/>
      <c r="K970" s="394"/>
      <c r="L970" s="396"/>
      <c r="M970" s="395"/>
      <c r="N970" s="317"/>
      <c r="O970" s="394"/>
      <c r="P970" s="396"/>
      <c r="Q970" s="403"/>
      <c r="R970" s="404"/>
      <c r="S970" s="405"/>
      <c r="T970" s="401"/>
      <c r="U970" s="403"/>
      <c r="V970" s="404"/>
      <c r="W970" s="405"/>
      <c r="X970" s="401"/>
      <c r="Y970" s="403"/>
      <c r="Z970" s="404"/>
      <c r="AA970" s="405"/>
      <c r="AB970" s="401"/>
      <c r="AC970" s="403"/>
      <c r="AD970" s="404"/>
      <c r="AE970" s="405"/>
      <c r="AF970" s="401"/>
      <c r="AG970" s="292"/>
      <c r="AH970" s="292"/>
      <c r="AI970" s="292"/>
      <c r="AJ970" s="292"/>
      <c r="AK970" s="395"/>
      <c r="AL970" s="317"/>
      <c r="AM970" s="394"/>
      <c r="AN970" s="396"/>
      <c r="AO970" s="200"/>
      <c r="AP970" s="200"/>
    </row>
    <row r="971">
      <c r="A971" s="395"/>
      <c r="B971" s="317"/>
      <c r="C971" s="394"/>
      <c r="D971" s="396"/>
      <c r="E971" s="395"/>
      <c r="F971" s="317"/>
      <c r="G971" s="394"/>
      <c r="H971" s="396"/>
      <c r="I971" s="395"/>
      <c r="J971" s="317"/>
      <c r="K971" s="394"/>
      <c r="L971" s="396"/>
      <c r="M971" s="395"/>
      <c r="N971" s="317"/>
      <c r="O971" s="394"/>
      <c r="P971" s="396"/>
      <c r="Q971" s="403"/>
      <c r="R971" s="404"/>
      <c r="S971" s="405"/>
      <c r="T971" s="401"/>
      <c r="U971" s="403"/>
      <c r="V971" s="404"/>
      <c r="W971" s="405"/>
      <c r="X971" s="401"/>
      <c r="Y971" s="403"/>
      <c r="Z971" s="404"/>
      <c r="AA971" s="405"/>
      <c r="AB971" s="401"/>
      <c r="AC971" s="403"/>
      <c r="AD971" s="404"/>
      <c r="AE971" s="405"/>
      <c r="AF971" s="401"/>
      <c r="AG971" s="292"/>
      <c r="AH971" s="292"/>
      <c r="AI971" s="292"/>
      <c r="AJ971" s="292"/>
      <c r="AK971" s="395"/>
      <c r="AL971" s="317"/>
      <c r="AM971" s="394"/>
      <c r="AN971" s="396"/>
      <c r="AO971" s="200"/>
      <c r="AP971" s="200"/>
    </row>
    <row r="972">
      <c r="A972" s="395"/>
      <c r="B972" s="317"/>
      <c r="C972" s="394"/>
      <c r="D972" s="396"/>
      <c r="E972" s="395"/>
      <c r="F972" s="317"/>
      <c r="G972" s="394"/>
      <c r="H972" s="396"/>
      <c r="I972" s="395"/>
      <c r="J972" s="317"/>
      <c r="K972" s="394"/>
      <c r="L972" s="396"/>
      <c r="M972" s="395"/>
      <c r="N972" s="317"/>
      <c r="O972" s="394"/>
      <c r="P972" s="396"/>
      <c r="Q972" s="403"/>
      <c r="R972" s="404"/>
      <c r="S972" s="405"/>
      <c r="T972" s="401"/>
      <c r="U972" s="403"/>
      <c r="V972" s="404"/>
      <c r="W972" s="405"/>
      <c r="X972" s="401"/>
      <c r="Y972" s="403"/>
      <c r="Z972" s="404"/>
      <c r="AA972" s="405"/>
      <c r="AB972" s="401"/>
      <c r="AC972" s="403"/>
      <c r="AD972" s="404"/>
      <c r="AE972" s="405"/>
      <c r="AF972" s="401"/>
      <c r="AG972" s="292"/>
      <c r="AH972" s="292"/>
      <c r="AI972" s="292"/>
      <c r="AJ972" s="292"/>
      <c r="AK972" s="395"/>
      <c r="AL972" s="317"/>
      <c r="AM972" s="394"/>
      <c r="AN972" s="396"/>
      <c r="AO972" s="200"/>
      <c r="AP972" s="200"/>
    </row>
    <row r="973">
      <c r="A973" s="395"/>
      <c r="B973" s="317"/>
      <c r="C973" s="394"/>
      <c r="D973" s="396"/>
      <c r="E973" s="395"/>
      <c r="F973" s="317"/>
      <c r="G973" s="394"/>
      <c r="H973" s="396"/>
      <c r="I973" s="395"/>
      <c r="J973" s="317"/>
      <c r="K973" s="394"/>
      <c r="L973" s="396"/>
      <c r="M973" s="395"/>
      <c r="N973" s="317"/>
      <c r="O973" s="394"/>
      <c r="P973" s="396"/>
      <c r="Q973" s="403"/>
      <c r="R973" s="404"/>
      <c r="S973" s="405"/>
      <c r="T973" s="401"/>
      <c r="U973" s="403"/>
      <c r="V973" s="404"/>
      <c r="W973" s="405"/>
      <c r="X973" s="401"/>
      <c r="Y973" s="403"/>
      <c r="Z973" s="404"/>
      <c r="AA973" s="405"/>
      <c r="AB973" s="401"/>
      <c r="AC973" s="403"/>
      <c r="AD973" s="404"/>
      <c r="AE973" s="405"/>
      <c r="AF973" s="401"/>
      <c r="AG973" s="292"/>
      <c r="AH973" s="292"/>
      <c r="AI973" s="292"/>
      <c r="AJ973" s="292"/>
      <c r="AK973" s="395"/>
      <c r="AL973" s="317"/>
      <c r="AM973" s="394"/>
      <c r="AN973" s="396"/>
      <c r="AO973" s="200"/>
      <c r="AP973" s="200"/>
    </row>
    <row r="974">
      <c r="A974" s="395"/>
      <c r="B974" s="317"/>
      <c r="C974" s="394"/>
      <c r="D974" s="396"/>
      <c r="E974" s="395"/>
      <c r="F974" s="317"/>
      <c r="G974" s="394"/>
      <c r="H974" s="396"/>
      <c r="I974" s="395"/>
      <c r="J974" s="317"/>
      <c r="K974" s="394"/>
      <c r="L974" s="396"/>
      <c r="M974" s="395"/>
      <c r="N974" s="317"/>
      <c r="O974" s="394"/>
      <c r="P974" s="396"/>
      <c r="Q974" s="403"/>
      <c r="R974" s="404"/>
      <c r="S974" s="405"/>
      <c r="T974" s="401"/>
      <c r="U974" s="403"/>
      <c r="V974" s="404"/>
      <c r="W974" s="405"/>
      <c r="X974" s="401"/>
      <c r="Y974" s="403"/>
      <c r="Z974" s="404"/>
      <c r="AA974" s="405"/>
      <c r="AB974" s="401"/>
      <c r="AC974" s="403"/>
      <c r="AD974" s="404"/>
      <c r="AE974" s="405"/>
      <c r="AF974" s="401"/>
      <c r="AG974" s="292"/>
      <c r="AH974" s="292"/>
      <c r="AI974" s="292"/>
      <c r="AJ974" s="292"/>
      <c r="AK974" s="395"/>
      <c r="AL974" s="317"/>
      <c r="AM974" s="394"/>
      <c r="AN974" s="396"/>
      <c r="AO974" s="200"/>
      <c r="AP974" s="200"/>
    </row>
    <row r="975">
      <c r="A975" s="395"/>
      <c r="B975" s="317"/>
      <c r="C975" s="394"/>
      <c r="D975" s="396"/>
      <c r="E975" s="395"/>
      <c r="F975" s="317"/>
      <c r="G975" s="394"/>
      <c r="H975" s="396"/>
      <c r="I975" s="395"/>
      <c r="J975" s="317"/>
      <c r="K975" s="394"/>
      <c r="L975" s="396"/>
      <c r="M975" s="395"/>
      <c r="N975" s="317"/>
      <c r="O975" s="394"/>
      <c r="P975" s="396"/>
      <c r="Q975" s="403"/>
      <c r="R975" s="404"/>
      <c r="S975" s="405"/>
      <c r="T975" s="401"/>
      <c r="U975" s="403"/>
      <c r="V975" s="404"/>
      <c r="W975" s="405"/>
      <c r="X975" s="401"/>
      <c r="Y975" s="403"/>
      <c r="Z975" s="404"/>
      <c r="AA975" s="405"/>
      <c r="AB975" s="401"/>
      <c r="AC975" s="403"/>
      <c r="AD975" s="404"/>
      <c r="AE975" s="405"/>
      <c r="AF975" s="401"/>
      <c r="AG975" s="292"/>
      <c r="AH975" s="292"/>
      <c r="AI975" s="292"/>
      <c r="AJ975" s="292"/>
      <c r="AK975" s="395"/>
      <c r="AL975" s="317"/>
      <c r="AM975" s="394"/>
      <c r="AN975" s="396"/>
      <c r="AO975" s="200"/>
      <c r="AP975" s="200"/>
    </row>
    <row r="976">
      <c r="A976" s="395"/>
      <c r="B976" s="317"/>
      <c r="C976" s="394"/>
      <c r="D976" s="396"/>
      <c r="E976" s="395"/>
      <c r="F976" s="317"/>
      <c r="G976" s="394"/>
      <c r="H976" s="396"/>
      <c r="I976" s="395"/>
      <c r="J976" s="317"/>
      <c r="K976" s="394"/>
      <c r="L976" s="396"/>
      <c r="M976" s="395"/>
      <c r="N976" s="317"/>
      <c r="O976" s="394"/>
      <c r="P976" s="396"/>
      <c r="Q976" s="403"/>
      <c r="R976" s="404"/>
      <c r="S976" s="405"/>
      <c r="T976" s="401"/>
      <c r="U976" s="403"/>
      <c r="V976" s="404"/>
      <c r="W976" s="405"/>
      <c r="X976" s="401"/>
      <c r="Y976" s="403"/>
      <c r="Z976" s="404"/>
      <c r="AA976" s="405"/>
      <c r="AB976" s="401"/>
      <c r="AC976" s="403"/>
      <c r="AD976" s="404"/>
      <c r="AE976" s="405"/>
      <c r="AF976" s="401"/>
      <c r="AG976" s="292"/>
      <c r="AH976" s="292"/>
      <c r="AI976" s="292"/>
      <c r="AJ976" s="292"/>
      <c r="AK976" s="395"/>
      <c r="AL976" s="317"/>
      <c r="AM976" s="394"/>
      <c r="AN976" s="396"/>
      <c r="AO976" s="200"/>
      <c r="AP976" s="200"/>
    </row>
    <row r="977">
      <c r="A977" s="395"/>
      <c r="B977" s="317"/>
      <c r="C977" s="394"/>
      <c r="D977" s="396"/>
      <c r="E977" s="395"/>
      <c r="F977" s="317"/>
      <c r="G977" s="394"/>
      <c r="H977" s="396"/>
      <c r="I977" s="395"/>
      <c r="J977" s="317"/>
      <c r="K977" s="394"/>
      <c r="L977" s="396"/>
      <c r="M977" s="395"/>
      <c r="N977" s="317"/>
      <c r="O977" s="394"/>
      <c r="P977" s="396"/>
      <c r="Q977" s="403"/>
      <c r="R977" s="404"/>
      <c r="S977" s="405"/>
      <c r="T977" s="401"/>
      <c r="U977" s="403"/>
      <c r="V977" s="404"/>
      <c r="W977" s="405"/>
      <c r="X977" s="401"/>
      <c r="Y977" s="403"/>
      <c r="Z977" s="404"/>
      <c r="AA977" s="405"/>
      <c r="AB977" s="401"/>
      <c r="AC977" s="403"/>
      <c r="AD977" s="404"/>
      <c r="AE977" s="405"/>
      <c r="AF977" s="401"/>
      <c r="AG977" s="292"/>
      <c r="AH977" s="292"/>
      <c r="AI977" s="292"/>
      <c r="AJ977" s="292"/>
      <c r="AK977" s="395"/>
      <c r="AL977" s="317"/>
      <c r="AM977" s="394"/>
      <c r="AN977" s="396"/>
      <c r="AO977" s="200"/>
      <c r="AP977" s="200"/>
    </row>
    <row r="978">
      <c r="A978" s="395"/>
      <c r="B978" s="317"/>
      <c r="C978" s="394"/>
      <c r="D978" s="396"/>
      <c r="E978" s="395"/>
      <c r="F978" s="317"/>
      <c r="G978" s="394"/>
      <c r="H978" s="396"/>
      <c r="I978" s="395"/>
      <c r="J978" s="317"/>
      <c r="K978" s="394"/>
      <c r="L978" s="396"/>
      <c r="M978" s="395"/>
      <c r="N978" s="317"/>
      <c r="O978" s="394"/>
      <c r="P978" s="396"/>
      <c r="Q978" s="403"/>
      <c r="R978" s="404"/>
      <c r="S978" s="405"/>
      <c r="T978" s="401"/>
      <c r="U978" s="403"/>
      <c r="V978" s="404"/>
      <c r="W978" s="405"/>
      <c r="X978" s="401"/>
      <c r="Y978" s="403"/>
      <c r="Z978" s="404"/>
      <c r="AA978" s="405"/>
      <c r="AB978" s="401"/>
      <c r="AC978" s="403"/>
      <c r="AD978" s="404"/>
      <c r="AE978" s="405"/>
      <c r="AF978" s="401"/>
      <c r="AG978" s="292"/>
      <c r="AH978" s="292"/>
      <c r="AI978" s="292"/>
      <c r="AJ978" s="292"/>
      <c r="AK978" s="395"/>
      <c r="AL978" s="317"/>
      <c r="AM978" s="394"/>
      <c r="AN978" s="396"/>
      <c r="AO978" s="200"/>
      <c r="AP978" s="200"/>
    </row>
    <row r="979">
      <c r="A979" s="395"/>
      <c r="B979" s="317"/>
      <c r="C979" s="394"/>
      <c r="D979" s="396"/>
      <c r="E979" s="395"/>
      <c r="F979" s="317"/>
      <c r="G979" s="394"/>
      <c r="H979" s="396"/>
      <c r="I979" s="395"/>
      <c r="J979" s="317"/>
      <c r="K979" s="394"/>
      <c r="L979" s="396"/>
      <c r="M979" s="395"/>
      <c r="N979" s="317"/>
      <c r="O979" s="394"/>
      <c r="P979" s="396"/>
      <c r="Q979" s="403"/>
      <c r="R979" s="404"/>
      <c r="S979" s="405"/>
      <c r="T979" s="401"/>
      <c r="U979" s="403"/>
      <c r="V979" s="404"/>
      <c r="W979" s="405"/>
      <c r="X979" s="401"/>
      <c r="Y979" s="403"/>
      <c r="Z979" s="404"/>
      <c r="AA979" s="405"/>
      <c r="AB979" s="401"/>
      <c r="AC979" s="403"/>
      <c r="AD979" s="404"/>
      <c r="AE979" s="405"/>
      <c r="AF979" s="401"/>
      <c r="AG979" s="292"/>
      <c r="AH979" s="292"/>
      <c r="AI979" s="292"/>
      <c r="AJ979" s="292"/>
      <c r="AK979" s="395"/>
      <c r="AL979" s="317"/>
      <c r="AM979" s="394"/>
      <c r="AN979" s="396"/>
      <c r="AO979" s="200"/>
      <c r="AP979" s="200"/>
    </row>
    <row r="980">
      <c r="A980" s="395"/>
      <c r="B980" s="317"/>
      <c r="C980" s="394"/>
      <c r="D980" s="396"/>
      <c r="E980" s="395"/>
      <c r="F980" s="317"/>
      <c r="G980" s="394"/>
      <c r="H980" s="396"/>
      <c r="I980" s="395"/>
      <c r="J980" s="317"/>
      <c r="K980" s="394"/>
      <c r="L980" s="396"/>
      <c r="M980" s="395"/>
      <c r="N980" s="317"/>
      <c r="O980" s="394"/>
      <c r="P980" s="396"/>
      <c r="Q980" s="403"/>
      <c r="R980" s="404"/>
      <c r="S980" s="405"/>
      <c r="T980" s="401"/>
      <c r="U980" s="403"/>
      <c r="V980" s="404"/>
      <c r="W980" s="405"/>
      <c r="X980" s="401"/>
      <c r="Y980" s="403"/>
      <c r="Z980" s="404"/>
      <c r="AA980" s="405"/>
      <c r="AB980" s="401"/>
      <c r="AC980" s="403"/>
      <c r="AD980" s="404"/>
      <c r="AE980" s="405"/>
      <c r="AF980" s="401"/>
      <c r="AG980" s="292"/>
      <c r="AH980" s="292"/>
      <c r="AI980" s="292"/>
      <c r="AJ980" s="292"/>
      <c r="AK980" s="395"/>
      <c r="AL980" s="317"/>
      <c r="AM980" s="394"/>
      <c r="AN980" s="396"/>
      <c r="AO980" s="200"/>
      <c r="AP980" s="200"/>
    </row>
    <row r="981">
      <c r="A981" s="395"/>
      <c r="B981" s="317"/>
      <c r="C981" s="394"/>
      <c r="D981" s="396"/>
      <c r="E981" s="395"/>
      <c r="F981" s="317"/>
      <c r="G981" s="394"/>
      <c r="H981" s="396"/>
      <c r="I981" s="395"/>
      <c r="J981" s="317"/>
      <c r="K981" s="394"/>
      <c r="L981" s="396"/>
      <c r="M981" s="395"/>
      <c r="N981" s="317"/>
      <c r="O981" s="394"/>
      <c r="P981" s="396"/>
      <c r="Q981" s="403"/>
      <c r="R981" s="404"/>
      <c r="S981" s="405"/>
      <c r="T981" s="401"/>
      <c r="U981" s="403"/>
      <c r="V981" s="404"/>
      <c r="W981" s="405"/>
      <c r="X981" s="401"/>
      <c r="Y981" s="403"/>
      <c r="Z981" s="404"/>
      <c r="AA981" s="405"/>
      <c r="AB981" s="401"/>
      <c r="AC981" s="403"/>
      <c r="AD981" s="404"/>
      <c r="AE981" s="405"/>
      <c r="AF981" s="401"/>
      <c r="AG981" s="292"/>
      <c r="AH981" s="292"/>
      <c r="AI981" s="292"/>
      <c r="AJ981" s="292"/>
      <c r="AK981" s="395"/>
      <c r="AL981" s="317"/>
      <c r="AM981" s="394"/>
      <c r="AN981" s="396"/>
      <c r="AO981" s="200"/>
      <c r="AP981" s="200"/>
    </row>
    <row r="982">
      <c r="A982" s="395"/>
      <c r="B982" s="317"/>
      <c r="C982" s="394"/>
      <c r="D982" s="396"/>
      <c r="E982" s="395"/>
      <c r="F982" s="317"/>
      <c r="G982" s="394"/>
      <c r="H982" s="396"/>
      <c r="I982" s="395"/>
      <c r="J982" s="317"/>
      <c r="K982" s="394"/>
      <c r="L982" s="396"/>
      <c r="M982" s="395"/>
      <c r="N982" s="317"/>
      <c r="O982" s="394"/>
      <c r="P982" s="396"/>
      <c r="Q982" s="403"/>
      <c r="R982" s="404"/>
      <c r="S982" s="405"/>
      <c r="T982" s="401"/>
      <c r="U982" s="403"/>
      <c r="V982" s="404"/>
      <c r="W982" s="405"/>
      <c r="X982" s="401"/>
      <c r="Y982" s="403"/>
      <c r="Z982" s="404"/>
      <c r="AA982" s="405"/>
      <c r="AB982" s="401"/>
      <c r="AC982" s="403"/>
      <c r="AD982" s="404"/>
      <c r="AE982" s="405"/>
      <c r="AF982" s="401"/>
      <c r="AG982" s="292"/>
      <c r="AH982" s="292"/>
      <c r="AI982" s="292"/>
      <c r="AJ982" s="292"/>
      <c r="AK982" s="395"/>
      <c r="AL982" s="317"/>
      <c r="AM982" s="394"/>
      <c r="AN982" s="396"/>
      <c r="AO982" s="200"/>
      <c r="AP982" s="200"/>
    </row>
    <row r="983">
      <c r="A983" s="395"/>
      <c r="B983" s="317"/>
      <c r="C983" s="394"/>
      <c r="D983" s="396"/>
      <c r="E983" s="395"/>
      <c r="F983" s="317"/>
      <c r="G983" s="394"/>
      <c r="H983" s="396"/>
      <c r="I983" s="395"/>
      <c r="J983" s="317"/>
      <c r="K983" s="394"/>
      <c r="L983" s="396"/>
      <c r="M983" s="395"/>
      <c r="N983" s="317"/>
      <c r="O983" s="394"/>
      <c r="P983" s="396"/>
      <c r="Q983" s="403"/>
      <c r="R983" s="404"/>
      <c r="S983" s="405"/>
      <c r="T983" s="401"/>
      <c r="U983" s="403"/>
      <c r="V983" s="404"/>
      <c r="W983" s="405"/>
      <c r="X983" s="401"/>
      <c r="Y983" s="403"/>
      <c r="Z983" s="404"/>
      <c r="AA983" s="405"/>
      <c r="AB983" s="401"/>
      <c r="AC983" s="403"/>
      <c r="AD983" s="404"/>
      <c r="AE983" s="405"/>
      <c r="AF983" s="401"/>
      <c r="AG983" s="292"/>
      <c r="AH983" s="292"/>
      <c r="AI983" s="292"/>
      <c r="AJ983" s="292"/>
      <c r="AK983" s="395"/>
      <c r="AL983" s="317"/>
      <c r="AM983" s="394"/>
      <c r="AN983" s="396"/>
      <c r="AO983" s="200"/>
      <c r="AP983" s="200"/>
    </row>
    <row r="984">
      <c r="A984" s="395"/>
      <c r="B984" s="317"/>
      <c r="C984" s="394"/>
      <c r="D984" s="396"/>
      <c r="E984" s="395"/>
      <c r="F984" s="317"/>
      <c r="G984" s="394"/>
      <c r="H984" s="396"/>
      <c r="I984" s="395"/>
      <c r="J984" s="317"/>
      <c r="K984" s="394"/>
      <c r="L984" s="396"/>
      <c r="M984" s="395"/>
      <c r="N984" s="317"/>
      <c r="O984" s="394"/>
      <c r="P984" s="396"/>
      <c r="Q984" s="403"/>
      <c r="R984" s="404"/>
      <c r="S984" s="405"/>
      <c r="T984" s="401"/>
      <c r="U984" s="403"/>
      <c r="V984" s="404"/>
      <c r="W984" s="405"/>
      <c r="X984" s="401"/>
      <c r="Y984" s="403"/>
      <c r="Z984" s="404"/>
      <c r="AA984" s="405"/>
      <c r="AB984" s="401"/>
      <c r="AC984" s="403"/>
      <c r="AD984" s="404"/>
      <c r="AE984" s="405"/>
      <c r="AF984" s="401"/>
      <c r="AG984" s="292"/>
      <c r="AH984" s="292"/>
      <c r="AI984" s="292"/>
      <c r="AJ984" s="292"/>
      <c r="AK984" s="395"/>
      <c r="AL984" s="317"/>
      <c r="AM984" s="394"/>
      <c r="AN984" s="396"/>
      <c r="AO984" s="200"/>
      <c r="AP984" s="200"/>
    </row>
    <row r="985">
      <c r="A985" s="395"/>
      <c r="B985" s="317"/>
      <c r="C985" s="394"/>
      <c r="D985" s="396"/>
      <c r="E985" s="395"/>
      <c r="F985" s="317"/>
      <c r="G985" s="394"/>
      <c r="H985" s="396"/>
      <c r="I985" s="395"/>
      <c r="J985" s="317"/>
      <c r="K985" s="394"/>
      <c r="L985" s="396"/>
      <c r="M985" s="395"/>
      <c r="N985" s="317"/>
      <c r="O985" s="394"/>
      <c r="P985" s="396"/>
      <c r="Q985" s="403"/>
      <c r="R985" s="404"/>
      <c r="S985" s="405"/>
      <c r="T985" s="401"/>
      <c r="U985" s="403"/>
      <c r="V985" s="404"/>
      <c r="W985" s="405"/>
      <c r="X985" s="401"/>
      <c r="Y985" s="403"/>
      <c r="Z985" s="404"/>
      <c r="AA985" s="405"/>
      <c r="AB985" s="401"/>
      <c r="AC985" s="403"/>
      <c r="AD985" s="404"/>
      <c r="AE985" s="405"/>
      <c r="AF985" s="401"/>
      <c r="AG985" s="292"/>
      <c r="AH985" s="292"/>
      <c r="AI985" s="292"/>
      <c r="AJ985" s="292"/>
      <c r="AK985" s="395"/>
      <c r="AL985" s="317"/>
      <c r="AM985" s="394"/>
      <c r="AN985" s="396"/>
      <c r="AO985" s="200"/>
      <c r="AP985" s="200"/>
    </row>
    <row r="986">
      <c r="A986" s="395"/>
      <c r="B986" s="317"/>
      <c r="C986" s="394"/>
      <c r="D986" s="396"/>
      <c r="E986" s="395"/>
      <c r="F986" s="317"/>
      <c r="G986" s="394"/>
      <c r="H986" s="396"/>
      <c r="I986" s="395"/>
      <c r="J986" s="317"/>
      <c r="K986" s="394"/>
      <c r="L986" s="396"/>
      <c r="M986" s="395"/>
      <c r="N986" s="317"/>
      <c r="O986" s="394"/>
      <c r="P986" s="396"/>
      <c r="Q986" s="403"/>
      <c r="R986" s="404"/>
      <c r="S986" s="405"/>
      <c r="T986" s="401"/>
      <c r="U986" s="403"/>
      <c r="V986" s="404"/>
      <c r="W986" s="405"/>
      <c r="X986" s="401"/>
      <c r="Y986" s="403"/>
      <c r="Z986" s="404"/>
      <c r="AA986" s="405"/>
      <c r="AB986" s="401"/>
      <c r="AC986" s="403"/>
      <c r="AD986" s="404"/>
      <c r="AE986" s="405"/>
      <c r="AF986" s="401"/>
      <c r="AG986" s="292"/>
      <c r="AH986" s="292"/>
      <c r="AI986" s="292"/>
      <c r="AJ986" s="292"/>
      <c r="AK986" s="395"/>
      <c r="AL986" s="317"/>
      <c r="AM986" s="394"/>
      <c r="AN986" s="396"/>
      <c r="AO986" s="200"/>
      <c r="AP986" s="200"/>
    </row>
    <row r="987">
      <c r="A987" s="395"/>
      <c r="B987" s="317"/>
      <c r="C987" s="394"/>
      <c r="D987" s="396"/>
      <c r="E987" s="395"/>
      <c r="F987" s="317"/>
      <c r="G987" s="394"/>
      <c r="H987" s="396"/>
      <c r="I987" s="395"/>
      <c r="J987" s="317"/>
      <c r="K987" s="394"/>
      <c r="L987" s="396"/>
      <c r="M987" s="395"/>
      <c r="N987" s="317"/>
      <c r="O987" s="394"/>
      <c r="P987" s="396"/>
      <c r="Q987" s="403"/>
      <c r="R987" s="404"/>
      <c r="S987" s="405"/>
      <c r="T987" s="401"/>
      <c r="U987" s="403"/>
      <c r="V987" s="404"/>
      <c r="W987" s="405"/>
      <c r="X987" s="401"/>
      <c r="Y987" s="403"/>
      <c r="Z987" s="404"/>
      <c r="AA987" s="405"/>
      <c r="AB987" s="401"/>
      <c r="AC987" s="403"/>
      <c r="AD987" s="404"/>
      <c r="AE987" s="405"/>
      <c r="AF987" s="401"/>
      <c r="AG987" s="292"/>
      <c r="AH987" s="292"/>
      <c r="AI987" s="292"/>
      <c r="AJ987" s="292"/>
      <c r="AK987" s="395"/>
      <c r="AL987" s="317"/>
      <c r="AM987" s="394"/>
      <c r="AN987" s="396"/>
      <c r="AO987" s="200"/>
      <c r="AP987" s="200"/>
    </row>
    <row r="988">
      <c r="A988" s="395"/>
      <c r="B988" s="317"/>
      <c r="C988" s="394"/>
      <c r="D988" s="396"/>
      <c r="E988" s="395"/>
      <c r="F988" s="317"/>
      <c r="G988" s="394"/>
      <c r="H988" s="396"/>
      <c r="I988" s="395"/>
      <c r="J988" s="317"/>
      <c r="K988" s="394"/>
      <c r="L988" s="396"/>
      <c r="M988" s="395"/>
      <c r="N988" s="317"/>
      <c r="O988" s="394"/>
      <c r="P988" s="396"/>
      <c r="Q988" s="403"/>
      <c r="R988" s="404"/>
      <c r="S988" s="405"/>
      <c r="T988" s="401"/>
      <c r="U988" s="403"/>
      <c r="V988" s="404"/>
      <c r="W988" s="405"/>
      <c r="X988" s="401"/>
      <c r="Y988" s="403"/>
      <c r="Z988" s="404"/>
      <c r="AA988" s="405"/>
      <c r="AB988" s="401"/>
      <c r="AC988" s="403"/>
      <c r="AD988" s="404"/>
      <c r="AE988" s="405"/>
      <c r="AF988" s="401"/>
      <c r="AG988" s="292"/>
      <c r="AH988" s="292"/>
      <c r="AI988" s="292"/>
      <c r="AJ988" s="292"/>
      <c r="AK988" s="395"/>
      <c r="AL988" s="317"/>
      <c r="AM988" s="394"/>
      <c r="AN988" s="396"/>
      <c r="AO988" s="200"/>
      <c r="AP988" s="200"/>
    </row>
    <row r="989">
      <c r="A989" s="395"/>
      <c r="B989" s="317"/>
      <c r="C989" s="394"/>
      <c r="D989" s="396"/>
      <c r="E989" s="395"/>
      <c r="F989" s="317"/>
      <c r="G989" s="394"/>
      <c r="H989" s="396"/>
      <c r="I989" s="395"/>
      <c r="J989" s="317"/>
      <c r="K989" s="394"/>
      <c r="L989" s="396"/>
      <c r="M989" s="395"/>
      <c r="N989" s="317"/>
      <c r="O989" s="394"/>
      <c r="P989" s="396"/>
      <c r="Q989" s="403"/>
      <c r="R989" s="404"/>
      <c r="S989" s="405"/>
      <c r="T989" s="401"/>
      <c r="U989" s="403"/>
      <c r="V989" s="404"/>
      <c r="W989" s="405"/>
      <c r="X989" s="401"/>
      <c r="Y989" s="403"/>
      <c r="Z989" s="404"/>
      <c r="AA989" s="405"/>
      <c r="AB989" s="401"/>
      <c r="AC989" s="403"/>
      <c r="AD989" s="404"/>
      <c r="AE989" s="405"/>
      <c r="AF989" s="401"/>
      <c r="AG989" s="292"/>
      <c r="AH989" s="292"/>
      <c r="AI989" s="292"/>
      <c r="AJ989" s="292"/>
      <c r="AK989" s="395"/>
      <c r="AL989" s="317"/>
      <c r="AM989" s="394"/>
      <c r="AN989" s="396"/>
      <c r="AO989" s="200"/>
      <c r="AP989" s="200"/>
    </row>
    <row r="990">
      <c r="A990" s="395"/>
      <c r="B990" s="317"/>
      <c r="C990" s="394"/>
      <c r="D990" s="396"/>
      <c r="E990" s="395"/>
      <c r="F990" s="317"/>
      <c r="G990" s="394"/>
      <c r="H990" s="396"/>
      <c r="I990" s="395"/>
      <c r="J990" s="317"/>
      <c r="K990" s="394"/>
      <c r="L990" s="396"/>
      <c r="M990" s="395"/>
      <c r="N990" s="317"/>
      <c r="O990" s="394"/>
      <c r="P990" s="396"/>
      <c r="Q990" s="403"/>
      <c r="R990" s="404"/>
      <c r="S990" s="405"/>
      <c r="T990" s="401"/>
      <c r="U990" s="403"/>
      <c r="V990" s="404"/>
      <c r="W990" s="405"/>
      <c r="X990" s="401"/>
      <c r="Y990" s="403"/>
      <c r="Z990" s="404"/>
      <c r="AA990" s="405"/>
      <c r="AB990" s="401"/>
      <c r="AC990" s="403"/>
      <c r="AD990" s="404"/>
      <c r="AE990" s="405"/>
      <c r="AF990" s="401"/>
      <c r="AG990" s="292"/>
      <c r="AH990" s="292"/>
      <c r="AI990" s="292"/>
      <c r="AJ990" s="292"/>
      <c r="AK990" s="395"/>
      <c r="AL990" s="317"/>
      <c r="AM990" s="394"/>
      <c r="AN990" s="396"/>
      <c r="AO990" s="200"/>
      <c r="AP990" s="200"/>
    </row>
    <row r="991">
      <c r="A991" s="395"/>
      <c r="B991" s="317"/>
      <c r="C991" s="394"/>
      <c r="D991" s="396"/>
      <c r="E991" s="395"/>
      <c r="F991" s="317"/>
      <c r="G991" s="394"/>
      <c r="H991" s="396"/>
      <c r="I991" s="395"/>
      <c r="J991" s="317"/>
      <c r="K991" s="394"/>
      <c r="L991" s="396"/>
      <c r="M991" s="395"/>
      <c r="N991" s="317"/>
      <c r="O991" s="394"/>
      <c r="P991" s="396"/>
      <c r="Q991" s="403"/>
      <c r="R991" s="404"/>
      <c r="S991" s="405"/>
      <c r="T991" s="401"/>
      <c r="U991" s="403"/>
      <c r="V991" s="404"/>
      <c r="W991" s="405"/>
      <c r="X991" s="401"/>
      <c r="Y991" s="403"/>
      <c r="Z991" s="404"/>
      <c r="AA991" s="405"/>
      <c r="AB991" s="401"/>
      <c r="AC991" s="403"/>
      <c r="AD991" s="404"/>
      <c r="AE991" s="405"/>
      <c r="AF991" s="401"/>
      <c r="AG991" s="292"/>
      <c r="AH991" s="292"/>
      <c r="AI991" s="292"/>
      <c r="AJ991" s="292"/>
      <c r="AK991" s="395"/>
      <c r="AL991" s="317"/>
      <c r="AM991" s="394"/>
      <c r="AN991" s="396"/>
      <c r="AO991" s="200"/>
      <c r="AP991" s="200"/>
    </row>
    <row r="992">
      <c r="A992" s="395"/>
      <c r="B992" s="317"/>
      <c r="C992" s="394"/>
      <c r="D992" s="396"/>
      <c r="E992" s="395"/>
      <c r="F992" s="317"/>
      <c r="G992" s="394"/>
      <c r="H992" s="396"/>
      <c r="I992" s="395"/>
      <c r="J992" s="317"/>
      <c r="K992" s="394"/>
      <c r="L992" s="396"/>
      <c r="M992" s="395"/>
      <c r="N992" s="317"/>
      <c r="O992" s="394"/>
      <c r="P992" s="396"/>
      <c r="Q992" s="403"/>
      <c r="R992" s="404"/>
      <c r="S992" s="405"/>
      <c r="T992" s="401"/>
      <c r="U992" s="403"/>
      <c r="V992" s="404"/>
      <c r="W992" s="405"/>
      <c r="X992" s="401"/>
      <c r="Y992" s="403"/>
      <c r="Z992" s="404"/>
      <c r="AA992" s="405"/>
      <c r="AB992" s="401"/>
      <c r="AC992" s="403"/>
      <c r="AD992" s="404"/>
      <c r="AE992" s="405"/>
      <c r="AF992" s="401"/>
      <c r="AG992" s="292"/>
      <c r="AH992" s="292"/>
      <c r="AI992" s="292"/>
      <c r="AJ992" s="292"/>
      <c r="AK992" s="395"/>
      <c r="AL992" s="317"/>
      <c r="AM992" s="394"/>
      <c r="AN992" s="396"/>
      <c r="AO992" s="200"/>
      <c r="AP992" s="200"/>
    </row>
    <row r="993">
      <c r="A993" s="395"/>
      <c r="B993" s="317"/>
      <c r="C993" s="394"/>
      <c r="D993" s="396"/>
      <c r="E993" s="395"/>
      <c r="F993" s="317"/>
      <c r="G993" s="394"/>
      <c r="H993" s="396"/>
      <c r="I993" s="395"/>
      <c r="J993" s="317"/>
      <c r="K993" s="394"/>
      <c r="L993" s="396"/>
      <c r="M993" s="395"/>
      <c r="N993" s="317"/>
      <c r="O993" s="394"/>
      <c r="P993" s="396"/>
      <c r="Q993" s="403"/>
      <c r="R993" s="404"/>
      <c r="S993" s="405"/>
      <c r="T993" s="401"/>
      <c r="U993" s="403"/>
      <c r="V993" s="404"/>
      <c r="W993" s="405"/>
      <c r="X993" s="401"/>
      <c r="Y993" s="403"/>
      <c r="Z993" s="404"/>
      <c r="AA993" s="405"/>
      <c r="AB993" s="401"/>
      <c r="AC993" s="403"/>
      <c r="AD993" s="404"/>
      <c r="AE993" s="405"/>
      <c r="AF993" s="401"/>
      <c r="AG993" s="292"/>
      <c r="AH993" s="292"/>
      <c r="AI993" s="292"/>
      <c r="AJ993" s="292"/>
      <c r="AK993" s="395"/>
      <c r="AL993" s="317"/>
      <c r="AM993" s="394"/>
      <c r="AN993" s="396"/>
      <c r="AO993" s="200"/>
      <c r="AP993" s="200"/>
    </row>
    <row r="994">
      <c r="A994" s="395"/>
      <c r="B994" s="317"/>
      <c r="C994" s="394"/>
      <c r="D994" s="396"/>
      <c r="E994" s="395"/>
      <c r="F994" s="317"/>
      <c r="G994" s="394"/>
      <c r="H994" s="396"/>
      <c r="I994" s="395"/>
      <c r="J994" s="317"/>
      <c r="K994" s="394"/>
      <c r="L994" s="396"/>
      <c r="M994" s="395"/>
      <c r="N994" s="317"/>
      <c r="O994" s="394"/>
      <c r="P994" s="396"/>
      <c r="Q994" s="403"/>
      <c r="R994" s="404"/>
      <c r="S994" s="405"/>
      <c r="T994" s="401"/>
      <c r="U994" s="403"/>
      <c r="V994" s="404"/>
      <c r="W994" s="405"/>
      <c r="X994" s="401"/>
      <c r="Y994" s="403"/>
      <c r="Z994" s="404"/>
      <c r="AA994" s="405"/>
      <c r="AB994" s="401"/>
      <c r="AC994" s="403"/>
      <c r="AD994" s="404"/>
      <c r="AE994" s="405"/>
      <c r="AF994" s="401"/>
      <c r="AG994" s="292"/>
      <c r="AH994" s="292"/>
      <c r="AI994" s="292"/>
      <c r="AJ994" s="292"/>
      <c r="AK994" s="395"/>
      <c r="AL994" s="317"/>
      <c r="AM994" s="394"/>
      <c r="AN994" s="396"/>
      <c r="AO994" s="200"/>
      <c r="AP994" s="200"/>
    </row>
    <row r="995">
      <c r="A995" s="395"/>
      <c r="B995" s="317"/>
      <c r="C995" s="394"/>
      <c r="D995" s="396"/>
      <c r="E995" s="395"/>
      <c r="F995" s="317"/>
      <c r="G995" s="394"/>
      <c r="H995" s="396"/>
      <c r="I995" s="395"/>
      <c r="J995" s="317"/>
      <c r="K995" s="394"/>
      <c r="L995" s="396"/>
      <c r="M995" s="395"/>
      <c r="N995" s="317"/>
      <c r="O995" s="394"/>
      <c r="P995" s="396"/>
      <c r="Q995" s="403"/>
      <c r="R995" s="404"/>
      <c r="S995" s="405"/>
      <c r="T995" s="401"/>
      <c r="U995" s="403"/>
      <c r="V995" s="404"/>
      <c r="W995" s="405"/>
      <c r="X995" s="401"/>
      <c r="Y995" s="403"/>
      <c r="Z995" s="404"/>
      <c r="AA995" s="405"/>
      <c r="AB995" s="401"/>
      <c r="AC995" s="403"/>
      <c r="AD995" s="404"/>
      <c r="AE995" s="405"/>
      <c r="AF995" s="401"/>
      <c r="AG995" s="292"/>
      <c r="AH995" s="292"/>
      <c r="AI995" s="292"/>
      <c r="AJ995" s="292"/>
      <c r="AK995" s="395"/>
      <c r="AL995" s="317"/>
      <c r="AM995" s="394"/>
      <c r="AN995" s="396"/>
      <c r="AO995" s="200"/>
      <c r="AP995" s="200"/>
    </row>
    <row r="996">
      <c r="A996" s="395"/>
      <c r="B996" s="317"/>
      <c r="C996" s="394"/>
      <c r="D996" s="396"/>
      <c r="E996" s="395"/>
      <c r="F996" s="317"/>
      <c r="G996" s="394"/>
      <c r="H996" s="396"/>
      <c r="I996" s="395"/>
      <c r="J996" s="317"/>
      <c r="K996" s="394"/>
      <c r="L996" s="396"/>
      <c r="M996" s="395"/>
      <c r="N996" s="317"/>
      <c r="O996" s="394"/>
      <c r="P996" s="396"/>
      <c r="Q996" s="403"/>
      <c r="R996" s="404"/>
      <c r="S996" s="405"/>
      <c r="T996" s="401"/>
      <c r="U996" s="403"/>
      <c r="V996" s="404"/>
      <c r="W996" s="405"/>
      <c r="X996" s="401"/>
      <c r="Y996" s="403"/>
      <c r="Z996" s="404"/>
      <c r="AA996" s="405"/>
      <c r="AB996" s="401"/>
      <c r="AC996" s="403"/>
      <c r="AD996" s="404"/>
      <c r="AE996" s="405"/>
      <c r="AF996" s="401"/>
      <c r="AG996" s="292"/>
      <c r="AH996" s="292"/>
      <c r="AI996" s="292"/>
      <c r="AJ996" s="292"/>
      <c r="AK996" s="395"/>
      <c r="AL996" s="317"/>
      <c r="AM996" s="394"/>
      <c r="AN996" s="396"/>
      <c r="AO996" s="200"/>
      <c r="AP996" s="200"/>
    </row>
    <row r="997">
      <c r="A997" s="395"/>
      <c r="B997" s="317"/>
      <c r="C997" s="394"/>
      <c r="D997" s="396"/>
      <c r="E997" s="395"/>
      <c r="F997" s="317"/>
      <c r="G997" s="394"/>
      <c r="H997" s="396"/>
      <c r="I997" s="395"/>
      <c r="J997" s="317"/>
      <c r="K997" s="394"/>
      <c r="L997" s="396"/>
      <c r="M997" s="395"/>
      <c r="N997" s="317"/>
      <c r="O997" s="394"/>
      <c r="P997" s="396"/>
      <c r="Q997" s="403"/>
      <c r="R997" s="404"/>
      <c r="S997" s="405"/>
      <c r="T997" s="401"/>
      <c r="U997" s="403"/>
      <c r="V997" s="404"/>
      <c r="W997" s="405"/>
      <c r="X997" s="401"/>
      <c r="Y997" s="403"/>
      <c r="Z997" s="404"/>
      <c r="AA997" s="405"/>
      <c r="AB997" s="401"/>
      <c r="AC997" s="403"/>
      <c r="AD997" s="404"/>
      <c r="AE997" s="405"/>
      <c r="AF997" s="401"/>
      <c r="AG997" s="292"/>
      <c r="AH997" s="292"/>
      <c r="AI997" s="292"/>
      <c r="AJ997" s="292"/>
      <c r="AK997" s="395"/>
      <c r="AL997" s="317"/>
      <c r="AM997" s="394"/>
      <c r="AN997" s="396"/>
      <c r="AO997" s="200"/>
      <c r="AP997" s="200"/>
    </row>
    <row r="998">
      <c r="A998" s="395"/>
      <c r="B998" s="317"/>
      <c r="C998" s="394"/>
      <c r="D998" s="396"/>
      <c r="E998" s="395"/>
      <c r="F998" s="317"/>
      <c r="G998" s="394"/>
      <c r="H998" s="396"/>
      <c r="I998" s="395"/>
      <c r="J998" s="317"/>
      <c r="K998" s="394"/>
      <c r="L998" s="396"/>
      <c r="M998" s="395"/>
      <c r="N998" s="317"/>
      <c r="O998" s="394"/>
      <c r="P998" s="396"/>
      <c r="Q998" s="403"/>
      <c r="R998" s="404"/>
      <c r="S998" s="405"/>
      <c r="T998" s="401"/>
      <c r="U998" s="403"/>
      <c r="V998" s="404"/>
      <c r="W998" s="405"/>
      <c r="X998" s="401"/>
      <c r="Y998" s="403"/>
      <c r="Z998" s="404"/>
      <c r="AA998" s="405"/>
      <c r="AB998" s="401"/>
      <c r="AC998" s="403"/>
      <c r="AD998" s="404"/>
      <c r="AE998" s="405"/>
      <c r="AF998" s="401"/>
      <c r="AG998" s="292"/>
      <c r="AH998" s="292"/>
      <c r="AI998" s="292"/>
      <c r="AJ998" s="292"/>
      <c r="AK998" s="395"/>
      <c r="AL998" s="317"/>
      <c r="AM998" s="394"/>
      <c r="AN998" s="396"/>
      <c r="AO998" s="200"/>
      <c r="AP998" s="200"/>
    </row>
    <row r="999">
      <c r="A999" s="395"/>
      <c r="B999" s="317"/>
      <c r="C999" s="394"/>
      <c r="D999" s="396"/>
      <c r="E999" s="395"/>
      <c r="F999" s="317"/>
      <c r="G999" s="394"/>
      <c r="H999" s="396"/>
      <c r="I999" s="395"/>
      <c r="J999" s="317"/>
      <c r="K999" s="394"/>
      <c r="L999" s="396"/>
      <c r="M999" s="395"/>
      <c r="N999" s="317"/>
      <c r="O999" s="394"/>
      <c r="P999" s="396"/>
      <c r="Q999" s="403"/>
      <c r="R999" s="404"/>
      <c r="S999" s="405"/>
      <c r="T999" s="401"/>
      <c r="U999" s="403"/>
      <c r="V999" s="404"/>
      <c r="W999" s="405"/>
      <c r="X999" s="401"/>
      <c r="Y999" s="403"/>
      <c r="Z999" s="404"/>
      <c r="AA999" s="405"/>
      <c r="AB999" s="401"/>
      <c r="AC999" s="403"/>
      <c r="AD999" s="404"/>
      <c r="AE999" s="405"/>
      <c r="AF999" s="401"/>
      <c r="AG999" s="292"/>
      <c r="AH999" s="292"/>
      <c r="AI999" s="292"/>
      <c r="AJ999" s="292"/>
      <c r="AK999" s="395"/>
      <c r="AL999" s="317"/>
      <c r="AM999" s="394"/>
      <c r="AN999" s="396"/>
      <c r="AO999" s="200"/>
      <c r="AP999" s="200"/>
    </row>
    <row r="1000">
      <c r="A1000" s="395"/>
      <c r="B1000" s="317"/>
      <c r="C1000" s="394"/>
      <c r="D1000" s="396"/>
      <c r="E1000" s="395"/>
      <c r="F1000" s="317"/>
      <c r="G1000" s="394"/>
      <c r="H1000" s="396"/>
      <c r="I1000" s="395"/>
      <c r="J1000" s="317"/>
      <c r="K1000" s="394"/>
      <c r="L1000" s="396"/>
      <c r="M1000" s="395"/>
      <c r="N1000" s="317"/>
      <c r="O1000" s="394"/>
      <c r="P1000" s="396"/>
      <c r="Q1000" s="403"/>
      <c r="R1000" s="404"/>
      <c r="S1000" s="405"/>
      <c r="T1000" s="401"/>
      <c r="U1000" s="403"/>
      <c r="V1000" s="404"/>
      <c r="W1000" s="405"/>
      <c r="X1000" s="401"/>
      <c r="Y1000" s="403"/>
      <c r="Z1000" s="404"/>
      <c r="AA1000" s="405"/>
      <c r="AB1000" s="401"/>
      <c r="AC1000" s="403"/>
      <c r="AD1000" s="404"/>
      <c r="AE1000" s="405"/>
      <c r="AF1000" s="401"/>
      <c r="AG1000" s="292"/>
      <c r="AH1000" s="292"/>
      <c r="AI1000" s="292"/>
      <c r="AJ1000" s="292"/>
      <c r="AK1000" s="395"/>
      <c r="AL1000" s="317"/>
      <c r="AM1000" s="394"/>
      <c r="AN1000" s="396"/>
      <c r="AO1000" s="200"/>
      <c r="AP1000" s="200"/>
    </row>
    <row r="1001">
      <c r="A1001" s="395"/>
      <c r="B1001" s="317"/>
      <c r="C1001" s="394"/>
      <c r="D1001" s="396"/>
      <c r="E1001" s="395"/>
      <c r="F1001" s="317"/>
      <c r="G1001" s="394"/>
      <c r="H1001" s="396"/>
      <c r="I1001" s="395"/>
      <c r="J1001" s="317"/>
      <c r="K1001" s="394"/>
      <c r="L1001" s="396"/>
      <c r="M1001" s="395"/>
      <c r="N1001" s="317"/>
      <c r="O1001" s="394"/>
      <c r="P1001" s="396"/>
      <c r="Q1001" s="403"/>
      <c r="R1001" s="404"/>
      <c r="S1001" s="405"/>
      <c r="T1001" s="401"/>
      <c r="U1001" s="403"/>
      <c r="V1001" s="404"/>
      <c r="W1001" s="405"/>
      <c r="X1001" s="401"/>
      <c r="Y1001" s="403"/>
      <c r="Z1001" s="404"/>
      <c r="AA1001" s="405"/>
      <c r="AB1001" s="401"/>
      <c r="AC1001" s="403"/>
      <c r="AD1001" s="404"/>
      <c r="AE1001" s="405"/>
      <c r="AF1001" s="401"/>
      <c r="AG1001" s="292"/>
      <c r="AH1001" s="292"/>
      <c r="AI1001" s="292"/>
      <c r="AJ1001" s="292"/>
      <c r="AK1001" s="395"/>
      <c r="AL1001" s="317"/>
      <c r="AM1001" s="394"/>
      <c r="AN1001" s="396"/>
      <c r="AO1001" s="200"/>
      <c r="AP1001" s="200"/>
    </row>
    <row r="1002">
      <c r="A1002" s="395"/>
      <c r="B1002" s="317"/>
      <c r="C1002" s="394"/>
      <c r="D1002" s="396"/>
      <c r="E1002" s="395"/>
      <c r="F1002" s="317"/>
      <c r="G1002" s="394"/>
      <c r="H1002" s="396"/>
      <c r="I1002" s="395"/>
      <c r="J1002" s="317"/>
      <c r="K1002" s="394"/>
      <c r="L1002" s="396"/>
      <c r="M1002" s="395"/>
      <c r="N1002" s="317"/>
      <c r="O1002" s="394"/>
      <c r="P1002" s="396"/>
      <c r="Q1002" s="403"/>
      <c r="R1002" s="404"/>
      <c r="S1002" s="405"/>
      <c r="T1002" s="401"/>
      <c r="U1002" s="403"/>
      <c r="V1002" s="404"/>
      <c r="W1002" s="405"/>
      <c r="X1002" s="401"/>
      <c r="Y1002" s="403"/>
      <c r="Z1002" s="404"/>
      <c r="AA1002" s="405"/>
      <c r="AB1002" s="401"/>
      <c r="AC1002" s="403"/>
      <c r="AD1002" s="404"/>
      <c r="AE1002" s="405"/>
      <c r="AF1002" s="401"/>
      <c r="AG1002" s="292"/>
      <c r="AH1002" s="292"/>
      <c r="AI1002" s="292"/>
      <c r="AJ1002" s="292"/>
      <c r="AK1002" s="395"/>
      <c r="AL1002" s="317"/>
      <c r="AM1002" s="394"/>
      <c r="AN1002" s="396"/>
      <c r="AO1002" s="200"/>
      <c r="AP1002" s="200"/>
    </row>
    <row r="1003">
      <c r="A1003" s="395"/>
      <c r="B1003" s="317"/>
      <c r="C1003" s="394"/>
      <c r="D1003" s="396"/>
      <c r="E1003" s="395"/>
      <c r="F1003" s="317"/>
      <c r="G1003" s="394"/>
      <c r="H1003" s="396"/>
      <c r="I1003" s="395"/>
      <c r="J1003" s="317"/>
      <c r="K1003" s="394"/>
      <c r="L1003" s="396"/>
      <c r="M1003" s="395"/>
      <c r="N1003" s="317"/>
      <c r="O1003" s="394"/>
      <c r="P1003" s="396"/>
      <c r="Q1003" s="403"/>
      <c r="R1003" s="404"/>
      <c r="S1003" s="405"/>
      <c r="T1003" s="401"/>
      <c r="U1003" s="403"/>
      <c r="V1003" s="404"/>
      <c r="W1003" s="405"/>
      <c r="X1003" s="401"/>
      <c r="Y1003" s="403"/>
      <c r="Z1003" s="404"/>
      <c r="AA1003" s="405"/>
      <c r="AB1003" s="401"/>
      <c r="AC1003" s="403"/>
      <c r="AD1003" s="404"/>
      <c r="AE1003" s="405"/>
      <c r="AF1003" s="401"/>
      <c r="AG1003" s="395"/>
      <c r="AH1003" s="317"/>
      <c r="AI1003" s="394"/>
      <c r="AJ1003" s="396"/>
      <c r="AK1003" s="395"/>
      <c r="AL1003" s="317"/>
      <c r="AM1003" s="394"/>
      <c r="AN1003" s="396"/>
      <c r="AO1003" s="200"/>
      <c r="AP1003" s="200"/>
    </row>
    <row r="1004">
      <c r="A1004" s="395"/>
      <c r="B1004" s="317"/>
      <c r="C1004" s="394"/>
      <c r="D1004" s="396"/>
      <c r="E1004" s="395"/>
      <c r="F1004" s="317"/>
      <c r="G1004" s="394"/>
      <c r="H1004" s="396"/>
      <c r="I1004" s="395"/>
      <c r="J1004" s="317"/>
      <c r="K1004" s="394"/>
      <c r="L1004" s="396"/>
      <c r="M1004" s="395"/>
      <c r="N1004" s="317"/>
      <c r="O1004" s="394"/>
      <c r="P1004" s="396"/>
      <c r="Q1004" s="403"/>
      <c r="R1004" s="404"/>
      <c r="S1004" s="405"/>
      <c r="T1004" s="401"/>
      <c r="U1004" s="403"/>
      <c r="V1004" s="404"/>
      <c r="W1004" s="405"/>
      <c r="X1004" s="401"/>
      <c r="Y1004" s="403"/>
      <c r="Z1004" s="404"/>
      <c r="AA1004" s="405"/>
      <c r="AB1004" s="401"/>
      <c r="AC1004" s="403"/>
      <c r="AD1004" s="404"/>
      <c r="AE1004" s="405"/>
      <c r="AF1004" s="401"/>
      <c r="AG1004" s="395"/>
      <c r="AH1004" s="317"/>
      <c r="AI1004" s="394"/>
      <c r="AJ1004" s="396"/>
      <c r="AK1004" s="395"/>
      <c r="AL1004" s="317"/>
      <c r="AM1004" s="394"/>
      <c r="AN1004" s="396"/>
      <c r="AO1004" s="200"/>
      <c r="AP1004" s="200"/>
    </row>
    <row r="1005">
      <c r="A1005" s="395"/>
      <c r="B1005" s="317"/>
      <c r="C1005" s="394"/>
      <c r="D1005" s="396"/>
      <c r="E1005" s="395"/>
      <c r="F1005" s="317"/>
      <c r="G1005" s="394"/>
      <c r="H1005" s="396"/>
      <c r="I1005" s="395"/>
      <c r="J1005" s="317"/>
      <c r="K1005" s="394"/>
      <c r="L1005" s="396"/>
      <c r="M1005" s="395"/>
      <c r="N1005" s="317"/>
      <c r="O1005" s="394"/>
      <c r="P1005" s="396"/>
      <c r="Q1005" s="403"/>
      <c r="R1005" s="404"/>
      <c r="S1005" s="405"/>
      <c r="T1005" s="401"/>
      <c r="U1005" s="403"/>
      <c r="V1005" s="404"/>
      <c r="W1005" s="405"/>
      <c r="X1005" s="401"/>
      <c r="Y1005" s="403"/>
      <c r="Z1005" s="404"/>
      <c r="AA1005" s="405"/>
      <c r="AB1005" s="401"/>
      <c r="AC1005" s="403"/>
      <c r="AD1005" s="404"/>
      <c r="AE1005" s="405"/>
      <c r="AF1005" s="401"/>
      <c r="AG1005" s="395"/>
      <c r="AH1005" s="317"/>
      <c r="AI1005" s="394"/>
      <c r="AJ1005" s="396"/>
      <c r="AK1005" s="395"/>
      <c r="AL1005" s="317"/>
      <c r="AM1005" s="394"/>
      <c r="AN1005" s="396"/>
      <c r="AO1005" s="200"/>
      <c r="AP1005" s="200"/>
    </row>
    <row r="1006">
      <c r="A1006" s="395"/>
      <c r="B1006" s="317"/>
      <c r="C1006" s="394"/>
      <c r="D1006" s="396"/>
      <c r="E1006" s="395"/>
      <c r="F1006" s="317"/>
      <c r="G1006" s="394"/>
      <c r="H1006" s="396"/>
      <c r="I1006" s="395"/>
      <c r="J1006" s="317"/>
      <c r="K1006" s="394"/>
      <c r="L1006" s="396"/>
      <c r="M1006" s="395"/>
      <c r="N1006" s="317"/>
      <c r="O1006" s="394"/>
      <c r="P1006" s="396"/>
      <c r="Q1006" s="403"/>
      <c r="R1006" s="404"/>
      <c r="S1006" s="405"/>
      <c r="T1006" s="401"/>
      <c r="U1006" s="403"/>
      <c r="V1006" s="404"/>
      <c r="W1006" s="405"/>
      <c r="X1006" s="401"/>
      <c r="Y1006" s="403"/>
      <c r="Z1006" s="404"/>
      <c r="AA1006" s="405"/>
      <c r="AB1006" s="401"/>
      <c r="AC1006" s="403"/>
      <c r="AD1006" s="404"/>
      <c r="AE1006" s="405"/>
      <c r="AF1006" s="401"/>
      <c r="AG1006" s="395"/>
      <c r="AH1006" s="317"/>
      <c r="AI1006" s="394"/>
      <c r="AJ1006" s="396"/>
      <c r="AK1006" s="395"/>
      <c r="AL1006" s="317"/>
      <c r="AM1006" s="394"/>
      <c r="AN1006" s="396"/>
      <c r="AO1006" s="200"/>
      <c r="AP1006" s="200"/>
    </row>
    <row r="1007">
      <c r="A1007" s="395"/>
      <c r="B1007" s="317"/>
      <c r="C1007" s="394"/>
      <c r="D1007" s="396"/>
      <c r="E1007" s="395"/>
      <c r="F1007" s="317"/>
      <c r="G1007" s="394"/>
      <c r="H1007" s="396"/>
      <c r="I1007" s="395"/>
      <c r="J1007" s="317"/>
      <c r="K1007" s="394"/>
      <c r="L1007" s="396"/>
      <c r="M1007" s="395"/>
      <c r="N1007" s="317"/>
      <c r="O1007" s="394"/>
      <c r="P1007" s="396"/>
      <c r="Q1007" s="403"/>
      <c r="R1007" s="404"/>
      <c r="S1007" s="405"/>
      <c r="T1007" s="401"/>
      <c r="U1007" s="403"/>
      <c r="V1007" s="404"/>
      <c r="W1007" s="405"/>
      <c r="X1007" s="401"/>
      <c r="Y1007" s="403"/>
      <c r="Z1007" s="404"/>
      <c r="AA1007" s="405"/>
      <c r="AB1007" s="401"/>
      <c r="AC1007" s="403"/>
      <c r="AD1007" s="404"/>
      <c r="AE1007" s="405"/>
      <c r="AF1007" s="401"/>
      <c r="AG1007" s="395"/>
      <c r="AH1007" s="317"/>
      <c r="AI1007" s="394"/>
      <c r="AJ1007" s="396"/>
      <c r="AK1007" s="395"/>
      <c r="AL1007" s="317"/>
      <c r="AM1007" s="394"/>
      <c r="AN1007" s="396"/>
      <c r="AO1007" s="200"/>
      <c r="AP1007" s="200"/>
    </row>
    <row r="1008">
      <c r="A1008" s="395"/>
      <c r="B1008" s="317"/>
      <c r="C1008" s="394"/>
      <c r="D1008" s="396"/>
      <c r="E1008" s="395"/>
      <c r="F1008" s="317"/>
      <c r="G1008" s="394"/>
      <c r="H1008" s="396"/>
      <c r="I1008" s="395"/>
      <c r="J1008" s="317"/>
      <c r="K1008" s="394"/>
      <c r="L1008" s="396"/>
      <c r="M1008" s="395"/>
      <c r="N1008" s="317"/>
      <c r="O1008" s="394"/>
      <c r="P1008" s="396"/>
      <c r="Q1008" s="403"/>
      <c r="R1008" s="404"/>
      <c r="S1008" s="405"/>
      <c r="T1008" s="401"/>
      <c r="U1008" s="403"/>
      <c r="V1008" s="404"/>
      <c r="W1008" s="405"/>
      <c r="X1008" s="401"/>
      <c r="Y1008" s="403"/>
      <c r="Z1008" s="404"/>
      <c r="AA1008" s="405"/>
      <c r="AB1008" s="401"/>
      <c r="AC1008" s="403"/>
      <c r="AD1008" s="404"/>
      <c r="AE1008" s="405"/>
      <c r="AF1008" s="401"/>
      <c r="AG1008" s="395"/>
      <c r="AH1008" s="317"/>
      <c r="AI1008" s="394"/>
      <c r="AJ1008" s="396"/>
      <c r="AK1008" s="395"/>
      <c r="AL1008" s="317"/>
      <c r="AM1008" s="394"/>
      <c r="AN1008" s="396"/>
      <c r="AO1008" s="200"/>
      <c r="AP1008" s="200"/>
    </row>
    <row r="1009">
      <c r="A1009" s="395"/>
      <c r="B1009" s="317"/>
      <c r="C1009" s="394"/>
      <c r="D1009" s="396"/>
      <c r="E1009" s="395"/>
      <c r="F1009" s="317"/>
      <c r="G1009" s="394"/>
      <c r="H1009" s="396"/>
      <c r="I1009" s="395"/>
      <c r="J1009" s="317"/>
      <c r="K1009" s="394"/>
      <c r="L1009" s="396"/>
      <c r="M1009" s="395"/>
      <c r="N1009" s="317"/>
      <c r="O1009" s="394"/>
      <c r="P1009" s="396"/>
      <c r="Q1009" s="403"/>
      <c r="R1009" s="404"/>
      <c r="S1009" s="405"/>
      <c r="T1009" s="401"/>
      <c r="U1009" s="403"/>
      <c r="V1009" s="404"/>
      <c r="W1009" s="405"/>
      <c r="X1009" s="401"/>
      <c r="Y1009" s="403"/>
      <c r="Z1009" s="404"/>
      <c r="AA1009" s="405"/>
      <c r="AB1009" s="401"/>
      <c r="AC1009" s="403"/>
      <c r="AD1009" s="404"/>
      <c r="AE1009" s="405"/>
      <c r="AF1009" s="401"/>
      <c r="AG1009" s="395"/>
      <c r="AH1009" s="317"/>
      <c r="AI1009" s="394"/>
      <c r="AJ1009" s="396"/>
      <c r="AK1009" s="395"/>
      <c r="AL1009" s="317"/>
      <c r="AM1009" s="394"/>
      <c r="AN1009" s="396"/>
      <c r="AO1009" s="200"/>
      <c r="AP1009" s="200"/>
    </row>
    <row r="1010">
      <c r="A1010" s="395"/>
      <c r="B1010" s="317"/>
      <c r="C1010" s="394"/>
      <c r="D1010" s="396"/>
      <c r="E1010" s="395"/>
      <c r="F1010" s="317"/>
      <c r="G1010" s="394"/>
      <c r="H1010" s="396"/>
      <c r="I1010" s="395"/>
      <c r="J1010" s="317"/>
      <c r="K1010" s="394"/>
      <c r="L1010" s="396"/>
      <c r="M1010" s="395"/>
      <c r="N1010" s="317"/>
      <c r="O1010" s="394"/>
      <c r="P1010" s="396"/>
      <c r="Q1010" s="403"/>
      <c r="R1010" s="404"/>
      <c r="S1010" s="405"/>
      <c r="T1010" s="401"/>
      <c r="U1010" s="403"/>
      <c r="V1010" s="404"/>
      <c r="W1010" s="405"/>
      <c r="X1010" s="401"/>
      <c r="Y1010" s="403"/>
      <c r="Z1010" s="404"/>
      <c r="AA1010" s="405"/>
      <c r="AB1010" s="401"/>
      <c r="AC1010" s="403"/>
      <c r="AD1010" s="404"/>
      <c r="AE1010" s="405"/>
      <c r="AF1010" s="401"/>
      <c r="AG1010" s="395"/>
      <c r="AH1010" s="317"/>
      <c r="AI1010" s="394"/>
      <c r="AJ1010" s="396"/>
      <c r="AK1010" s="395"/>
      <c r="AL1010" s="317"/>
      <c r="AM1010" s="394"/>
      <c r="AN1010" s="396"/>
      <c r="AO1010" s="200"/>
      <c r="AP1010" s="200"/>
    </row>
    <row r="1011">
      <c r="A1011" s="395"/>
      <c r="B1011" s="317"/>
      <c r="C1011" s="394"/>
      <c r="D1011" s="396"/>
      <c r="E1011" s="395"/>
      <c r="F1011" s="317"/>
      <c r="G1011" s="394"/>
      <c r="H1011" s="396"/>
      <c r="I1011" s="395"/>
      <c r="J1011" s="317"/>
      <c r="K1011" s="394"/>
      <c r="L1011" s="396"/>
      <c r="M1011" s="395"/>
      <c r="N1011" s="317"/>
      <c r="O1011" s="394"/>
      <c r="P1011" s="396"/>
      <c r="Q1011" s="403"/>
      <c r="R1011" s="404"/>
      <c r="S1011" s="405"/>
      <c r="T1011" s="401"/>
      <c r="U1011" s="403"/>
      <c r="V1011" s="404"/>
      <c r="W1011" s="405"/>
      <c r="X1011" s="401"/>
      <c r="Y1011" s="403"/>
      <c r="Z1011" s="404"/>
      <c r="AA1011" s="405"/>
      <c r="AB1011" s="401"/>
      <c r="AC1011" s="403"/>
      <c r="AD1011" s="404"/>
      <c r="AE1011" s="405"/>
      <c r="AF1011" s="401"/>
      <c r="AG1011" s="395"/>
      <c r="AH1011" s="317"/>
      <c r="AI1011" s="394"/>
      <c r="AJ1011" s="396"/>
      <c r="AK1011" s="395"/>
      <c r="AL1011" s="317"/>
      <c r="AM1011" s="394"/>
      <c r="AN1011" s="396"/>
      <c r="AO1011" s="200"/>
      <c r="AP1011" s="200"/>
    </row>
    <row r="1012">
      <c r="A1012" s="395"/>
      <c r="B1012" s="317"/>
      <c r="C1012" s="394"/>
      <c r="D1012" s="396"/>
      <c r="E1012" s="395"/>
      <c r="F1012" s="317"/>
      <c r="G1012" s="394"/>
      <c r="H1012" s="396"/>
      <c r="I1012" s="395"/>
      <c r="J1012" s="317"/>
      <c r="K1012" s="394"/>
      <c r="L1012" s="396"/>
      <c r="M1012" s="395"/>
      <c r="N1012" s="317"/>
      <c r="O1012" s="394"/>
      <c r="P1012" s="396"/>
      <c r="Q1012" s="403"/>
      <c r="R1012" s="404"/>
      <c r="S1012" s="405"/>
      <c r="T1012" s="401"/>
      <c r="U1012" s="403"/>
      <c r="V1012" s="404"/>
      <c r="W1012" s="405"/>
      <c r="X1012" s="401"/>
      <c r="Y1012" s="403"/>
      <c r="Z1012" s="404"/>
      <c r="AA1012" s="405"/>
      <c r="AB1012" s="401"/>
      <c r="AC1012" s="403"/>
      <c r="AD1012" s="404"/>
      <c r="AE1012" s="405"/>
      <c r="AF1012" s="401"/>
      <c r="AG1012" s="395"/>
      <c r="AH1012" s="317"/>
      <c r="AI1012" s="394"/>
      <c r="AJ1012" s="396"/>
      <c r="AK1012" s="395"/>
      <c r="AL1012" s="317"/>
      <c r="AM1012" s="394"/>
      <c r="AN1012" s="396"/>
      <c r="AO1012" s="200"/>
      <c r="AP1012" s="200"/>
    </row>
    <row r="1013">
      <c r="A1013" s="395"/>
      <c r="B1013" s="317"/>
      <c r="C1013" s="394"/>
      <c r="D1013" s="396"/>
      <c r="E1013" s="395"/>
      <c r="F1013" s="317"/>
      <c r="G1013" s="394"/>
      <c r="H1013" s="396"/>
      <c r="I1013" s="395"/>
      <c r="J1013" s="317"/>
      <c r="K1013" s="394"/>
      <c r="L1013" s="396"/>
      <c r="M1013" s="395"/>
      <c r="N1013" s="317"/>
      <c r="O1013" s="394"/>
      <c r="P1013" s="396"/>
      <c r="Q1013" s="403"/>
      <c r="R1013" s="404"/>
      <c r="S1013" s="405"/>
      <c r="T1013" s="401"/>
      <c r="U1013" s="403"/>
      <c r="V1013" s="404"/>
      <c r="W1013" s="405"/>
      <c r="X1013" s="401"/>
      <c r="Y1013" s="403"/>
      <c r="Z1013" s="404"/>
      <c r="AA1013" s="405"/>
      <c r="AB1013" s="401"/>
      <c r="AC1013" s="403"/>
      <c r="AD1013" s="404"/>
      <c r="AE1013" s="405"/>
      <c r="AF1013" s="401"/>
      <c r="AG1013" s="395"/>
      <c r="AH1013" s="317"/>
      <c r="AI1013" s="394"/>
      <c r="AJ1013" s="396"/>
      <c r="AK1013" s="395"/>
      <c r="AL1013" s="317"/>
      <c r="AM1013" s="394"/>
      <c r="AN1013" s="396"/>
      <c r="AO1013" s="200"/>
      <c r="AP1013" s="200"/>
    </row>
    <row r="1014">
      <c r="A1014" s="395"/>
      <c r="B1014" s="317"/>
      <c r="C1014" s="394"/>
      <c r="D1014" s="396"/>
      <c r="E1014" s="395"/>
      <c r="F1014" s="317"/>
      <c r="G1014" s="394"/>
      <c r="H1014" s="396"/>
      <c r="I1014" s="395"/>
      <c r="J1014" s="317"/>
      <c r="K1014" s="394"/>
      <c r="L1014" s="396"/>
      <c r="M1014" s="395"/>
      <c r="N1014" s="317"/>
      <c r="O1014" s="394"/>
      <c r="P1014" s="396"/>
      <c r="Q1014" s="403"/>
      <c r="R1014" s="404"/>
      <c r="S1014" s="405"/>
      <c r="T1014" s="401"/>
      <c r="U1014" s="403"/>
      <c r="V1014" s="404"/>
      <c r="W1014" s="405"/>
      <c r="X1014" s="401"/>
      <c r="Y1014" s="403"/>
      <c r="Z1014" s="404"/>
      <c r="AA1014" s="405"/>
      <c r="AB1014" s="401"/>
      <c r="AC1014" s="403"/>
      <c r="AD1014" s="404"/>
      <c r="AE1014" s="405"/>
      <c r="AF1014" s="401"/>
      <c r="AG1014" s="395"/>
      <c r="AH1014" s="317"/>
      <c r="AI1014" s="394"/>
      <c r="AJ1014" s="396"/>
      <c r="AK1014" s="395"/>
      <c r="AL1014" s="317"/>
      <c r="AM1014" s="394"/>
      <c r="AN1014" s="396"/>
      <c r="AO1014" s="200"/>
      <c r="AP1014" s="200"/>
    </row>
    <row r="1015">
      <c r="A1015" s="395"/>
      <c r="B1015" s="317"/>
      <c r="C1015" s="394"/>
      <c r="D1015" s="396"/>
      <c r="E1015" s="395"/>
      <c r="F1015" s="317"/>
      <c r="G1015" s="394"/>
      <c r="H1015" s="396"/>
      <c r="I1015" s="395"/>
      <c r="J1015" s="317"/>
      <c r="K1015" s="394"/>
      <c r="L1015" s="396"/>
      <c r="M1015" s="395"/>
      <c r="N1015" s="317"/>
      <c r="O1015" s="394"/>
      <c r="P1015" s="396"/>
      <c r="Q1015" s="403"/>
      <c r="R1015" s="404"/>
      <c r="S1015" s="405"/>
      <c r="T1015" s="401"/>
      <c r="U1015" s="403"/>
      <c r="V1015" s="404"/>
      <c r="W1015" s="405"/>
      <c r="X1015" s="401"/>
      <c r="Y1015" s="403"/>
      <c r="Z1015" s="404"/>
      <c r="AA1015" s="405"/>
      <c r="AB1015" s="401"/>
      <c r="AC1015" s="403"/>
      <c r="AD1015" s="404"/>
      <c r="AE1015" s="405"/>
      <c r="AF1015" s="401"/>
      <c r="AG1015" s="395"/>
      <c r="AH1015" s="317"/>
      <c r="AI1015" s="394"/>
      <c r="AJ1015" s="396"/>
      <c r="AK1015" s="395"/>
      <c r="AL1015" s="317"/>
      <c r="AM1015" s="394"/>
      <c r="AN1015" s="396"/>
      <c r="AO1015" s="200"/>
      <c r="AP1015" s="200"/>
    </row>
    <row r="1016">
      <c r="A1016" s="395"/>
      <c r="B1016" s="317"/>
      <c r="C1016" s="394"/>
      <c r="D1016" s="396"/>
      <c r="E1016" s="395"/>
      <c r="F1016" s="317"/>
      <c r="G1016" s="394"/>
      <c r="H1016" s="396"/>
      <c r="I1016" s="395"/>
      <c r="J1016" s="317"/>
      <c r="K1016" s="394"/>
      <c r="L1016" s="396"/>
      <c r="M1016" s="395"/>
      <c r="N1016" s="317"/>
      <c r="O1016" s="394"/>
      <c r="P1016" s="396"/>
      <c r="Q1016" s="403"/>
      <c r="R1016" s="404"/>
      <c r="S1016" s="405"/>
      <c r="T1016" s="401"/>
      <c r="U1016" s="403"/>
      <c r="V1016" s="404"/>
      <c r="W1016" s="405"/>
      <c r="X1016" s="401"/>
      <c r="Y1016" s="403"/>
      <c r="Z1016" s="404"/>
      <c r="AA1016" s="405"/>
      <c r="AB1016" s="401"/>
      <c r="AC1016" s="403"/>
      <c r="AD1016" s="404"/>
      <c r="AE1016" s="405"/>
      <c r="AF1016" s="401"/>
      <c r="AG1016" s="395"/>
      <c r="AH1016" s="317"/>
      <c r="AI1016" s="394"/>
      <c r="AJ1016" s="396"/>
      <c r="AK1016" s="395"/>
      <c r="AL1016" s="317"/>
      <c r="AM1016" s="394"/>
      <c r="AN1016" s="396"/>
      <c r="AO1016" s="200"/>
      <c r="AP1016" s="200"/>
    </row>
    <row r="1017">
      <c r="A1017" s="395"/>
      <c r="B1017" s="317"/>
      <c r="C1017" s="394"/>
      <c r="D1017" s="396"/>
      <c r="E1017" s="395"/>
      <c r="F1017" s="317"/>
      <c r="G1017" s="394"/>
      <c r="H1017" s="396"/>
      <c r="I1017" s="395"/>
      <c r="J1017" s="317"/>
      <c r="K1017" s="394"/>
      <c r="L1017" s="396"/>
      <c r="M1017" s="395"/>
      <c r="N1017" s="317"/>
      <c r="O1017" s="394"/>
      <c r="P1017" s="396"/>
      <c r="Q1017" s="403"/>
      <c r="R1017" s="404"/>
      <c r="S1017" s="405"/>
      <c r="T1017" s="401"/>
      <c r="U1017" s="403"/>
      <c r="V1017" s="404"/>
      <c r="W1017" s="405"/>
      <c r="X1017" s="401"/>
      <c r="Y1017" s="403"/>
      <c r="Z1017" s="404"/>
      <c r="AA1017" s="405"/>
      <c r="AB1017" s="401"/>
      <c r="AC1017" s="403"/>
      <c r="AD1017" s="404"/>
      <c r="AE1017" s="405"/>
      <c r="AF1017" s="401"/>
      <c r="AG1017" s="395"/>
      <c r="AH1017" s="317"/>
      <c r="AI1017" s="394"/>
      <c r="AJ1017" s="396"/>
      <c r="AK1017" s="395"/>
      <c r="AL1017" s="317"/>
      <c r="AM1017" s="394"/>
      <c r="AN1017" s="396"/>
      <c r="AO1017" s="200"/>
      <c r="AP1017" s="200"/>
    </row>
    <row r="1018">
      <c r="A1018" s="395"/>
      <c r="B1018" s="317"/>
      <c r="C1018" s="394"/>
      <c r="D1018" s="396"/>
      <c r="E1018" s="395"/>
      <c r="F1018" s="317"/>
      <c r="G1018" s="394"/>
      <c r="H1018" s="396"/>
      <c r="I1018" s="395"/>
      <c r="J1018" s="317"/>
      <c r="K1018" s="394"/>
      <c r="L1018" s="396"/>
      <c r="M1018" s="395"/>
      <c r="N1018" s="317"/>
      <c r="O1018" s="394"/>
      <c r="P1018" s="396"/>
      <c r="Q1018" s="403"/>
      <c r="R1018" s="404"/>
      <c r="S1018" s="405"/>
      <c r="T1018" s="401"/>
      <c r="U1018" s="403"/>
      <c r="V1018" s="404"/>
      <c r="W1018" s="405"/>
      <c r="X1018" s="401"/>
      <c r="Y1018" s="403"/>
      <c r="Z1018" s="404"/>
      <c r="AA1018" s="405"/>
      <c r="AB1018" s="401"/>
      <c r="AC1018" s="403"/>
      <c r="AD1018" s="404"/>
      <c r="AE1018" s="405"/>
      <c r="AF1018" s="401"/>
      <c r="AG1018" s="395"/>
      <c r="AH1018" s="317"/>
      <c r="AI1018" s="394"/>
      <c r="AJ1018" s="396"/>
      <c r="AK1018" s="395"/>
      <c r="AL1018" s="317"/>
      <c r="AM1018" s="394"/>
      <c r="AN1018" s="396"/>
      <c r="AO1018" s="200"/>
      <c r="AP1018" s="200"/>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76" t="s">
        <v>8893</v>
      </c>
      <c r="B1" s="410"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11"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12"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13"/>
      <c r="F1" s="121" t="s">
        <v>8894</v>
      </c>
      <c r="G1" s="414" t="s">
        <v>8895</v>
      </c>
      <c r="H1" s="415"/>
      <c r="I1" s="415"/>
      <c r="J1" s="415"/>
      <c r="K1" s="415"/>
      <c r="L1" s="415"/>
      <c r="M1" s="415"/>
      <c r="N1" s="415"/>
      <c r="O1" s="415"/>
      <c r="P1" s="415"/>
      <c r="Q1" s="415"/>
      <c r="R1" s="415"/>
    </row>
    <row r="2">
      <c r="A2" s="416" t="s">
        <v>8896</v>
      </c>
      <c r="B2" s="119" t="str">
        <f>IFERROR(__xludf.DUMMYFUNCTION("GOOGLETRANSLATE(A2,""zh-tw"",""ja"")"),"1 - Google Play で「ファイル マネージャー」を検索してインストールします。")</f>
        <v>1 - Google Play で「ファイル マネージャー」を検索してインストールします。</v>
      </c>
      <c r="C2" s="210" t="str">
        <f>IFERROR(__xludf.DUMMYFUNCTION("GOOGLETRANSLATE(A2,""zh-tw"",""en"")"),"1 - Search for ""File Manager"" on Google Play and install it.")</f>
        <v>1 - Search for "File Manager" on Google Play and install it.</v>
      </c>
      <c r="D2" s="417" t="str">
        <f>IFERROR(__xludf.DUMMYFUNCTION("GOOGLETRANSLATE(A2,""zh-tw"",""zh"")"),"1 - 在google play上搜寻 档案管理员 安装。")</f>
        <v>1 - 在google play上搜寻 档案管理员 安装。</v>
      </c>
      <c r="E2" s="418" t="s">
        <v>8897</v>
      </c>
      <c r="F2" s="189" t="s">
        <v>8898</v>
      </c>
      <c r="G2" s="419" t="s">
        <v>8899</v>
      </c>
      <c r="H2" s="152"/>
      <c r="I2" s="152"/>
      <c r="J2" s="152"/>
      <c r="K2" s="152"/>
      <c r="L2" s="152"/>
      <c r="M2" s="152"/>
      <c r="N2" s="152"/>
      <c r="O2" s="152"/>
      <c r="P2" s="152"/>
      <c r="Q2" s="152"/>
      <c r="R2" s="152"/>
    </row>
    <row r="3">
      <c r="A3" s="416" t="s">
        <v>8900</v>
      </c>
      <c r="B3" s="119"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10"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17"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18" t="s">
        <v>8901</v>
      </c>
      <c r="F3" s="189" t="s">
        <v>8902</v>
      </c>
      <c r="G3" s="420" t="s">
        <v>8903</v>
      </c>
      <c r="H3" s="152"/>
      <c r="I3" s="152"/>
      <c r="J3" s="152"/>
      <c r="K3" s="152"/>
      <c r="L3" s="152"/>
      <c r="M3" s="152"/>
      <c r="N3" s="152"/>
      <c r="O3" s="152"/>
      <c r="P3" s="152"/>
      <c r="Q3" s="152"/>
      <c r="R3" s="152"/>
    </row>
    <row r="4">
      <c r="A4" s="416" t="s">
        <v>8904</v>
      </c>
      <c r="B4" s="119"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10"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17"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18" t="s">
        <v>8905</v>
      </c>
      <c r="F4" s="189" t="s">
        <v>8906</v>
      </c>
      <c r="G4" s="419" t="s">
        <v>8907</v>
      </c>
      <c r="H4" s="152"/>
      <c r="I4" s="152"/>
      <c r="J4" s="152"/>
      <c r="K4" s="152"/>
      <c r="L4" s="152"/>
      <c r="M4" s="152"/>
      <c r="N4" s="152"/>
      <c r="O4" s="152"/>
      <c r="P4" s="152"/>
      <c r="Q4" s="152"/>
      <c r="R4" s="152"/>
    </row>
    <row r="5">
      <c r="A5" s="416" t="s">
        <v>8908</v>
      </c>
      <c r="B5" s="119"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10"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17"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18" t="s">
        <v>8909</v>
      </c>
      <c r="F5" s="189" t="s">
        <v>8910</v>
      </c>
      <c r="G5" s="420" t="s">
        <v>8911</v>
      </c>
      <c r="H5" s="152"/>
      <c r="I5" s="152"/>
      <c r="J5" s="152"/>
      <c r="K5" s="152"/>
      <c r="L5" s="152"/>
      <c r="M5" s="152"/>
      <c r="N5" s="152"/>
      <c r="O5" s="152"/>
      <c r="P5" s="152"/>
      <c r="Q5" s="152"/>
      <c r="R5" s="152"/>
    </row>
    <row r="6">
      <c r="A6" s="421" t="s">
        <v>8912</v>
      </c>
      <c r="B6" s="422" t="s">
        <v>8913</v>
      </c>
      <c r="C6" s="423" t="s">
        <v>8914</v>
      </c>
      <c r="D6" s="424" t="s">
        <v>8915</v>
      </c>
      <c r="E6" s="425" t="s">
        <v>8916</v>
      </c>
      <c r="F6" s="426" t="s">
        <v>8917</v>
      </c>
      <c r="G6" s="427" t="s">
        <v>8918</v>
      </c>
      <c r="H6" s="152"/>
      <c r="I6" s="152"/>
      <c r="J6" s="152"/>
      <c r="K6" s="152"/>
      <c r="L6" s="152"/>
      <c r="M6" s="152"/>
      <c r="N6" s="152"/>
      <c r="O6" s="152"/>
      <c r="P6" s="152"/>
      <c r="Q6" s="152"/>
      <c r="R6" s="152"/>
    </row>
    <row r="7">
      <c r="A7" s="428"/>
      <c r="B7" s="152"/>
      <c r="C7" s="428"/>
      <c r="D7" s="152"/>
      <c r="E7" s="360"/>
      <c r="F7" s="195"/>
      <c r="G7" s="152"/>
      <c r="H7" s="152"/>
      <c r="I7" s="152"/>
      <c r="J7" s="152"/>
      <c r="K7" s="152"/>
      <c r="L7" s="152"/>
      <c r="M7" s="152"/>
      <c r="N7" s="152"/>
      <c r="O7" s="152"/>
      <c r="P7" s="152"/>
      <c r="Q7" s="152"/>
      <c r="R7" s="152"/>
    </row>
    <row r="8">
      <c r="A8" s="428"/>
      <c r="B8" s="152"/>
      <c r="C8" s="152"/>
      <c r="D8" s="152"/>
      <c r="E8" s="152"/>
      <c r="F8" s="195"/>
      <c r="G8" s="152"/>
      <c r="H8" s="152"/>
      <c r="I8" s="152"/>
      <c r="J8" s="152"/>
      <c r="K8" s="152"/>
      <c r="L8" s="152"/>
      <c r="M8" s="152"/>
      <c r="N8" s="152"/>
      <c r="O8" s="152"/>
      <c r="P8" s="152"/>
      <c r="Q8" s="152"/>
      <c r="R8" s="152"/>
    </row>
    <row r="9">
      <c r="A9" s="428"/>
      <c r="B9" s="152"/>
      <c r="C9" s="152"/>
      <c r="D9" s="152"/>
      <c r="E9" s="152"/>
      <c r="F9" s="195"/>
      <c r="G9" s="152"/>
      <c r="H9" s="152"/>
      <c r="I9" s="152"/>
      <c r="J9" s="152"/>
      <c r="K9" s="152"/>
      <c r="L9" s="152"/>
      <c r="M9" s="152"/>
      <c r="N9" s="152"/>
      <c r="O9" s="152"/>
      <c r="P9" s="152"/>
      <c r="Q9" s="152"/>
      <c r="R9" s="152"/>
    </row>
    <row r="10">
      <c r="A10" s="428"/>
      <c r="B10" s="152"/>
      <c r="C10" s="152"/>
      <c r="D10" s="152"/>
      <c r="E10" s="152"/>
      <c r="F10" s="195"/>
      <c r="G10" s="152"/>
      <c r="H10" s="152"/>
      <c r="I10" s="152"/>
      <c r="J10" s="152"/>
      <c r="K10" s="152"/>
      <c r="L10" s="152"/>
      <c r="M10" s="152"/>
      <c r="N10" s="152"/>
      <c r="O10" s="152"/>
      <c r="P10" s="152"/>
      <c r="Q10" s="152"/>
      <c r="R10" s="152"/>
    </row>
    <row r="11">
      <c r="A11" s="428"/>
      <c r="B11" s="152"/>
      <c r="C11" s="152"/>
      <c r="D11" s="152"/>
      <c r="E11" s="152"/>
      <c r="F11" s="195"/>
      <c r="G11" s="152"/>
      <c r="H11" s="152"/>
      <c r="I11" s="152"/>
      <c r="J11" s="152"/>
      <c r="K11" s="152"/>
      <c r="L11" s="152"/>
      <c r="M11" s="152"/>
      <c r="N11" s="152"/>
      <c r="O11" s="152"/>
      <c r="P11" s="152"/>
      <c r="Q11" s="152"/>
      <c r="R11" s="152"/>
    </row>
    <row r="12">
      <c r="A12" s="428"/>
      <c r="B12" s="152"/>
      <c r="C12" s="152"/>
      <c r="D12" s="152"/>
      <c r="E12" s="152"/>
      <c r="F12" s="195"/>
      <c r="G12" s="152"/>
      <c r="H12" s="152"/>
      <c r="I12" s="152"/>
      <c r="J12" s="152"/>
      <c r="K12" s="152"/>
      <c r="L12" s="152"/>
      <c r="M12" s="152"/>
      <c r="N12" s="152"/>
      <c r="O12" s="152"/>
      <c r="P12" s="152"/>
      <c r="Q12" s="152"/>
      <c r="R12" s="152"/>
    </row>
    <row r="13">
      <c r="A13" s="428"/>
      <c r="B13" s="152"/>
      <c r="C13" s="152"/>
      <c r="D13" s="152"/>
      <c r="E13" s="152"/>
      <c r="F13" s="195"/>
      <c r="G13" s="152"/>
      <c r="H13" s="152"/>
      <c r="I13" s="152"/>
      <c r="J13" s="152"/>
      <c r="K13" s="152"/>
      <c r="L13" s="152"/>
      <c r="M13" s="152"/>
      <c r="N13" s="152"/>
      <c r="O13" s="152"/>
      <c r="P13" s="152"/>
      <c r="Q13" s="152"/>
      <c r="R13" s="152"/>
    </row>
    <row r="14">
      <c r="A14" s="428"/>
      <c r="B14" s="152"/>
      <c r="C14" s="152"/>
      <c r="D14" s="152"/>
      <c r="E14" s="152"/>
      <c r="F14" s="195"/>
      <c r="G14" s="152"/>
      <c r="H14" s="152"/>
      <c r="I14" s="152"/>
      <c r="J14" s="152"/>
      <c r="K14" s="152"/>
      <c r="L14" s="152"/>
      <c r="M14" s="152"/>
      <c r="N14" s="152"/>
      <c r="O14" s="152"/>
      <c r="P14" s="152"/>
      <c r="Q14" s="152"/>
      <c r="R14" s="152"/>
    </row>
    <row r="15">
      <c r="A15" s="428"/>
      <c r="B15" s="152"/>
      <c r="C15" s="152"/>
      <c r="D15" s="152"/>
      <c r="E15" s="152"/>
      <c r="F15" s="195"/>
      <c r="G15" s="152"/>
      <c r="H15" s="152"/>
      <c r="I15" s="152"/>
      <c r="J15" s="152"/>
      <c r="K15" s="152"/>
      <c r="L15" s="152"/>
      <c r="M15" s="152"/>
      <c r="N15" s="152"/>
      <c r="O15" s="152"/>
      <c r="P15" s="152"/>
      <c r="Q15" s="152"/>
      <c r="R15" s="152"/>
    </row>
    <row r="16">
      <c r="A16" s="428"/>
      <c r="B16" s="152"/>
      <c r="C16" s="152"/>
      <c r="D16" s="152"/>
      <c r="E16" s="152"/>
      <c r="F16" s="195"/>
      <c r="G16" s="152"/>
      <c r="H16" s="152"/>
      <c r="I16" s="152"/>
      <c r="J16" s="152"/>
      <c r="K16" s="152"/>
      <c r="L16" s="152"/>
      <c r="M16" s="152"/>
      <c r="N16" s="152"/>
      <c r="O16" s="152"/>
      <c r="P16" s="152"/>
      <c r="Q16" s="152"/>
      <c r="R16" s="152"/>
    </row>
    <row r="17">
      <c r="A17" s="428"/>
      <c r="B17" s="152"/>
      <c r="C17" s="152"/>
      <c r="D17" s="152"/>
      <c r="E17" s="152"/>
      <c r="F17" s="195"/>
      <c r="G17" s="152"/>
      <c r="H17" s="152"/>
      <c r="I17" s="152"/>
      <c r="J17" s="152"/>
      <c r="K17" s="152"/>
      <c r="L17" s="152"/>
      <c r="M17" s="152"/>
      <c r="N17" s="152"/>
      <c r="O17" s="152"/>
      <c r="P17" s="152"/>
      <c r="Q17" s="152"/>
      <c r="R17" s="152"/>
    </row>
    <row r="18">
      <c r="A18" s="428"/>
      <c r="B18" s="152"/>
      <c r="C18" s="152"/>
      <c r="D18" s="152"/>
      <c r="E18" s="152"/>
      <c r="F18" s="195"/>
      <c r="G18" s="152"/>
      <c r="H18" s="152"/>
      <c r="I18" s="152"/>
      <c r="J18" s="152"/>
      <c r="K18" s="152"/>
      <c r="L18" s="152"/>
      <c r="M18" s="152"/>
      <c r="N18" s="152"/>
      <c r="O18" s="152"/>
      <c r="P18" s="152"/>
      <c r="Q18" s="152"/>
      <c r="R18" s="152"/>
    </row>
    <row r="19">
      <c r="A19" s="428"/>
      <c r="B19" s="152"/>
      <c r="C19" s="152"/>
      <c r="D19" s="152"/>
      <c r="E19" s="152"/>
      <c r="F19" s="195"/>
      <c r="G19" s="152"/>
      <c r="H19" s="152"/>
      <c r="I19" s="152"/>
      <c r="J19" s="152"/>
      <c r="K19" s="152"/>
      <c r="L19" s="152"/>
      <c r="M19" s="152"/>
      <c r="N19" s="152"/>
      <c r="O19" s="152"/>
      <c r="P19" s="152"/>
      <c r="Q19" s="152"/>
      <c r="R19" s="152"/>
    </row>
    <row r="20">
      <c r="A20" s="428"/>
      <c r="B20" s="152"/>
      <c r="C20" s="152"/>
      <c r="D20" s="152"/>
      <c r="E20" s="152"/>
      <c r="F20" s="195"/>
      <c r="G20" s="152"/>
      <c r="H20" s="152"/>
      <c r="I20" s="152"/>
      <c r="J20" s="152"/>
      <c r="K20" s="152"/>
      <c r="L20" s="152"/>
      <c r="M20" s="152"/>
      <c r="N20" s="152"/>
      <c r="O20" s="152"/>
      <c r="P20" s="152"/>
      <c r="Q20" s="152"/>
      <c r="R20" s="152"/>
    </row>
    <row r="21">
      <c r="A21" s="428"/>
      <c r="B21" s="152"/>
      <c r="C21" s="152"/>
      <c r="D21" s="152"/>
      <c r="E21" s="152"/>
      <c r="F21" s="195"/>
      <c r="G21" s="152"/>
      <c r="H21" s="152"/>
      <c r="I21" s="152"/>
      <c r="J21" s="152"/>
      <c r="K21" s="152"/>
      <c r="L21" s="152"/>
      <c r="M21" s="152"/>
      <c r="N21" s="152"/>
      <c r="O21" s="152"/>
      <c r="P21" s="152"/>
      <c r="Q21" s="152"/>
      <c r="R21" s="152"/>
    </row>
    <row r="22">
      <c r="A22" s="428"/>
      <c r="B22" s="152"/>
      <c r="C22" s="152"/>
      <c r="D22" s="152"/>
      <c r="E22" s="152"/>
      <c r="F22" s="195"/>
      <c r="G22" s="152"/>
      <c r="H22" s="152"/>
      <c r="I22" s="152"/>
      <c r="J22" s="152"/>
      <c r="K22" s="152"/>
      <c r="L22" s="152"/>
      <c r="M22" s="152"/>
      <c r="N22" s="152"/>
      <c r="O22" s="152"/>
      <c r="P22" s="152"/>
      <c r="Q22" s="152"/>
      <c r="R22" s="152"/>
    </row>
    <row r="23">
      <c r="A23" s="428"/>
      <c r="B23" s="152"/>
      <c r="C23" s="152"/>
      <c r="D23" s="152"/>
      <c r="E23" s="152"/>
      <c r="F23" s="195"/>
      <c r="G23" s="152"/>
      <c r="H23" s="152"/>
      <c r="I23" s="152"/>
      <c r="J23" s="152"/>
      <c r="K23" s="152"/>
      <c r="L23" s="152"/>
      <c r="M23" s="152"/>
      <c r="N23" s="152"/>
      <c r="O23" s="152"/>
      <c r="P23" s="152"/>
      <c r="Q23" s="152"/>
      <c r="R23" s="152"/>
    </row>
    <row r="24">
      <c r="A24" s="428"/>
      <c r="B24" s="152"/>
      <c r="C24" s="152"/>
      <c r="D24" s="152"/>
      <c r="E24" s="152"/>
      <c r="F24" s="195"/>
      <c r="G24" s="152"/>
      <c r="H24" s="152"/>
      <c r="I24" s="152"/>
      <c r="J24" s="152"/>
      <c r="K24" s="152"/>
      <c r="L24" s="152"/>
      <c r="M24" s="152"/>
      <c r="N24" s="152"/>
      <c r="O24" s="152"/>
      <c r="P24" s="152"/>
      <c r="Q24" s="152"/>
      <c r="R24" s="152"/>
    </row>
    <row r="25">
      <c r="A25" s="428"/>
      <c r="B25" s="152"/>
      <c r="C25" s="152"/>
      <c r="D25" s="152"/>
      <c r="E25" s="152"/>
      <c r="F25" s="195"/>
      <c r="G25" s="152"/>
      <c r="H25" s="152"/>
      <c r="I25" s="152"/>
      <c r="J25" s="152"/>
      <c r="K25" s="152"/>
      <c r="L25" s="152"/>
      <c r="M25" s="152"/>
      <c r="N25" s="152"/>
      <c r="O25" s="152"/>
      <c r="P25" s="152"/>
      <c r="Q25" s="152"/>
      <c r="R25" s="152"/>
    </row>
    <row r="26">
      <c r="A26" s="428"/>
      <c r="B26" s="152"/>
      <c r="C26" s="152"/>
      <c r="D26" s="152"/>
      <c r="E26" s="152"/>
      <c r="F26" s="195"/>
      <c r="G26" s="152"/>
      <c r="H26" s="152"/>
      <c r="I26" s="152"/>
      <c r="J26" s="152"/>
      <c r="K26" s="152"/>
      <c r="L26" s="152"/>
      <c r="M26" s="152"/>
      <c r="N26" s="152"/>
      <c r="O26" s="152"/>
      <c r="P26" s="152"/>
      <c r="Q26" s="152"/>
      <c r="R26" s="152"/>
    </row>
    <row r="27">
      <c r="A27" s="428"/>
      <c r="B27" s="152"/>
      <c r="C27" s="152"/>
      <c r="D27" s="152"/>
      <c r="E27" s="152"/>
      <c r="F27" s="195"/>
      <c r="G27" s="152"/>
      <c r="H27" s="152"/>
      <c r="I27" s="152"/>
      <c r="J27" s="152"/>
      <c r="K27" s="152"/>
      <c r="L27" s="152"/>
      <c r="M27" s="152"/>
      <c r="N27" s="152"/>
      <c r="O27" s="152"/>
      <c r="P27" s="152"/>
      <c r="Q27" s="152"/>
      <c r="R27" s="152"/>
    </row>
    <row r="28">
      <c r="A28" s="428"/>
      <c r="B28" s="152"/>
      <c r="C28" s="152"/>
      <c r="D28" s="152"/>
      <c r="E28" s="152"/>
      <c r="F28" s="195"/>
      <c r="G28" s="152"/>
      <c r="H28" s="152"/>
      <c r="I28" s="152"/>
      <c r="J28" s="152"/>
      <c r="K28" s="152"/>
      <c r="L28" s="152"/>
      <c r="M28" s="152"/>
      <c r="N28" s="152"/>
      <c r="O28" s="152"/>
      <c r="P28" s="152"/>
      <c r="Q28" s="152"/>
      <c r="R28" s="152"/>
    </row>
    <row r="29">
      <c r="A29" s="428"/>
      <c r="B29" s="152"/>
      <c r="C29" s="152"/>
      <c r="D29" s="152"/>
      <c r="E29" s="152"/>
      <c r="F29" s="195"/>
      <c r="G29" s="152"/>
      <c r="H29" s="152"/>
      <c r="I29" s="152"/>
      <c r="J29" s="152"/>
      <c r="K29" s="152"/>
      <c r="L29" s="152"/>
      <c r="M29" s="152"/>
      <c r="N29" s="152"/>
      <c r="O29" s="152"/>
      <c r="P29" s="152"/>
      <c r="Q29" s="152"/>
      <c r="R29" s="152"/>
    </row>
    <row r="30">
      <c r="A30" s="428"/>
      <c r="B30" s="152"/>
      <c r="C30" s="152"/>
      <c r="D30" s="152"/>
      <c r="E30" s="152"/>
      <c r="F30" s="195"/>
      <c r="G30" s="152"/>
      <c r="H30" s="152"/>
      <c r="I30" s="152"/>
      <c r="J30" s="152"/>
      <c r="K30" s="152"/>
      <c r="L30" s="152"/>
      <c r="M30" s="152"/>
      <c r="N30" s="152"/>
      <c r="O30" s="152"/>
      <c r="P30" s="152"/>
      <c r="Q30" s="152"/>
      <c r="R30" s="152"/>
    </row>
    <row r="31">
      <c r="A31" s="428"/>
      <c r="B31" s="152"/>
      <c r="C31" s="152"/>
      <c r="D31" s="152"/>
      <c r="E31" s="152"/>
      <c r="F31" s="195"/>
      <c r="G31" s="152"/>
      <c r="H31" s="152"/>
      <c r="I31" s="152"/>
      <c r="J31" s="152"/>
      <c r="K31" s="152"/>
      <c r="L31" s="152"/>
      <c r="M31" s="152"/>
      <c r="N31" s="152"/>
      <c r="O31" s="152"/>
      <c r="P31" s="152"/>
      <c r="Q31" s="152"/>
      <c r="R31" s="152"/>
    </row>
    <row r="32">
      <c r="A32" s="152"/>
      <c r="B32" s="152"/>
      <c r="C32" s="152"/>
      <c r="D32" s="152"/>
      <c r="E32" s="152"/>
      <c r="F32" s="195"/>
      <c r="G32" s="152"/>
      <c r="H32" s="152"/>
      <c r="I32" s="152"/>
      <c r="J32" s="152"/>
      <c r="K32" s="152"/>
      <c r="L32" s="152"/>
      <c r="M32" s="152"/>
      <c r="N32" s="152"/>
      <c r="O32" s="152"/>
      <c r="P32" s="152"/>
      <c r="Q32" s="152"/>
      <c r="R32" s="152"/>
    </row>
    <row r="33">
      <c r="A33" s="152"/>
      <c r="B33" s="152"/>
      <c r="C33" s="152"/>
      <c r="D33" s="152"/>
      <c r="E33" s="152"/>
      <c r="F33" s="195"/>
      <c r="G33" s="152"/>
      <c r="H33" s="152"/>
      <c r="I33" s="152"/>
      <c r="J33" s="152"/>
      <c r="K33" s="152"/>
      <c r="L33" s="152"/>
      <c r="M33" s="152"/>
      <c r="N33" s="152"/>
      <c r="O33" s="152"/>
      <c r="P33" s="152"/>
      <c r="Q33" s="152"/>
      <c r="R33" s="152"/>
    </row>
    <row r="34">
      <c r="A34" s="152"/>
      <c r="B34" s="152"/>
      <c r="C34" s="152"/>
      <c r="D34" s="152"/>
      <c r="E34" s="152"/>
      <c r="F34" s="195"/>
      <c r="G34" s="152"/>
      <c r="H34" s="152"/>
      <c r="I34" s="152"/>
      <c r="J34" s="152"/>
      <c r="K34" s="152"/>
      <c r="L34" s="152"/>
      <c r="M34" s="152"/>
      <c r="N34" s="152"/>
      <c r="O34" s="152"/>
      <c r="P34" s="152"/>
      <c r="Q34" s="152"/>
      <c r="R34" s="152"/>
    </row>
    <row r="35">
      <c r="A35" s="152"/>
      <c r="B35" s="152"/>
      <c r="C35" s="152"/>
      <c r="D35" s="152"/>
      <c r="E35" s="152"/>
      <c r="F35" s="195"/>
      <c r="G35" s="152"/>
      <c r="H35" s="152"/>
      <c r="I35" s="152"/>
      <c r="J35" s="152"/>
      <c r="K35" s="152"/>
      <c r="L35" s="152"/>
      <c r="M35" s="152"/>
      <c r="N35" s="152"/>
      <c r="O35" s="152"/>
      <c r="P35" s="152"/>
      <c r="Q35" s="152"/>
      <c r="R35" s="152"/>
    </row>
    <row r="36">
      <c r="A36" s="152"/>
      <c r="B36" s="152"/>
      <c r="C36" s="152"/>
      <c r="D36" s="152"/>
      <c r="E36" s="152"/>
      <c r="F36" s="195"/>
      <c r="G36" s="152"/>
      <c r="H36" s="152"/>
      <c r="I36" s="152"/>
      <c r="J36" s="152"/>
      <c r="K36" s="152"/>
      <c r="L36" s="152"/>
      <c r="M36" s="152"/>
      <c r="N36" s="152"/>
      <c r="O36" s="152"/>
      <c r="P36" s="152"/>
      <c r="Q36" s="152"/>
      <c r="R36" s="152"/>
    </row>
    <row r="37">
      <c r="A37" s="152"/>
      <c r="B37" s="152"/>
      <c r="C37" s="152"/>
      <c r="D37" s="152"/>
      <c r="E37" s="152"/>
      <c r="F37" s="195"/>
      <c r="G37" s="152"/>
      <c r="H37" s="152"/>
      <c r="I37" s="152"/>
      <c r="J37" s="152"/>
      <c r="K37" s="152"/>
      <c r="L37" s="152"/>
      <c r="M37" s="152"/>
      <c r="N37" s="152"/>
      <c r="O37" s="152"/>
      <c r="P37" s="152"/>
      <c r="Q37" s="152"/>
      <c r="R37" s="152"/>
    </row>
    <row r="38">
      <c r="A38" s="152"/>
      <c r="B38" s="152"/>
      <c r="C38" s="152"/>
      <c r="D38" s="152"/>
      <c r="E38" s="152"/>
      <c r="F38" s="195"/>
      <c r="G38" s="152"/>
      <c r="H38" s="152"/>
      <c r="I38" s="152"/>
      <c r="J38" s="152"/>
      <c r="K38" s="152"/>
      <c r="L38" s="152"/>
      <c r="M38" s="152"/>
      <c r="N38" s="152"/>
      <c r="O38" s="152"/>
      <c r="P38" s="152"/>
      <c r="Q38" s="152"/>
      <c r="R38" s="152"/>
    </row>
    <row r="39">
      <c r="A39" s="152"/>
      <c r="B39" s="152"/>
      <c r="C39" s="152"/>
      <c r="D39" s="152"/>
      <c r="E39" s="152"/>
      <c r="F39" s="195"/>
      <c r="G39" s="152"/>
      <c r="H39" s="152"/>
      <c r="I39" s="152"/>
      <c r="J39" s="152"/>
      <c r="K39" s="152"/>
      <c r="L39" s="152"/>
      <c r="M39" s="152"/>
      <c r="N39" s="152"/>
      <c r="O39" s="152"/>
      <c r="P39" s="152"/>
      <c r="Q39" s="152"/>
      <c r="R39" s="152"/>
    </row>
    <row r="40">
      <c r="A40" s="152"/>
      <c r="B40" s="152"/>
      <c r="C40" s="152"/>
      <c r="D40" s="152"/>
      <c r="E40" s="152"/>
      <c r="F40" s="195"/>
      <c r="G40" s="152"/>
      <c r="H40" s="152"/>
      <c r="I40" s="152"/>
      <c r="J40" s="152"/>
      <c r="K40" s="152"/>
      <c r="L40" s="152"/>
      <c r="M40" s="152"/>
      <c r="N40" s="152"/>
      <c r="O40" s="152"/>
      <c r="P40" s="152"/>
      <c r="Q40" s="152"/>
      <c r="R40" s="152"/>
    </row>
    <row r="41">
      <c r="A41" s="152"/>
      <c r="B41" s="152"/>
      <c r="C41" s="152"/>
      <c r="D41" s="152"/>
      <c r="E41" s="152"/>
      <c r="F41" s="195"/>
      <c r="G41" s="152"/>
      <c r="H41" s="152"/>
      <c r="I41" s="152"/>
      <c r="J41" s="152"/>
      <c r="K41" s="152"/>
      <c r="L41" s="152"/>
      <c r="M41" s="152"/>
      <c r="N41" s="152"/>
      <c r="O41" s="152"/>
      <c r="P41" s="152"/>
      <c r="Q41" s="152"/>
      <c r="R41" s="152"/>
    </row>
    <row r="42">
      <c r="A42" s="152"/>
      <c r="B42" s="152"/>
      <c r="C42" s="152"/>
      <c r="D42" s="152"/>
      <c r="E42" s="152"/>
      <c r="F42" s="195"/>
      <c r="G42" s="152"/>
      <c r="H42" s="152"/>
      <c r="I42" s="152"/>
      <c r="J42" s="152"/>
      <c r="K42" s="152"/>
      <c r="L42" s="152"/>
      <c r="M42" s="152"/>
      <c r="N42" s="152"/>
      <c r="O42" s="152"/>
      <c r="P42" s="152"/>
      <c r="Q42" s="152"/>
      <c r="R42" s="152"/>
    </row>
    <row r="43">
      <c r="A43" s="152"/>
      <c r="B43" s="152"/>
      <c r="C43" s="152"/>
      <c r="D43" s="152"/>
      <c r="E43" s="152"/>
      <c r="F43" s="195"/>
      <c r="G43" s="152"/>
      <c r="H43" s="152"/>
      <c r="I43" s="152"/>
      <c r="J43" s="152"/>
      <c r="K43" s="152"/>
      <c r="L43" s="152"/>
      <c r="M43" s="152"/>
      <c r="N43" s="152"/>
      <c r="O43" s="152"/>
      <c r="P43" s="152"/>
      <c r="Q43" s="152"/>
      <c r="R43" s="152"/>
    </row>
    <row r="44">
      <c r="A44" s="152"/>
      <c r="B44" s="152"/>
      <c r="C44" s="152"/>
      <c r="D44" s="152"/>
      <c r="E44" s="152"/>
      <c r="F44" s="195"/>
      <c r="G44" s="152"/>
      <c r="H44" s="152"/>
      <c r="I44" s="152"/>
      <c r="J44" s="152"/>
      <c r="K44" s="152"/>
      <c r="L44" s="152"/>
      <c r="M44" s="152"/>
      <c r="N44" s="152"/>
      <c r="O44" s="152"/>
      <c r="P44" s="152"/>
      <c r="Q44" s="152"/>
      <c r="R44" s="152"/>
    </row>
    <row r="45">
      <c r="A45" s="152"/>
      <c r="B45" s="152"/>
      <c r="C45" s="152"/>
      <c r="D45" s="152"/>
      <c r="E45" s="152"/>
      <c r="F45" s="195"/>
      <c r="G45" s="152"/>
      <c r="H45" s="152"/>
      <c r="I45" s="152"/>
      <c r="J45" s="152"/>
      <c r="K45" s="152"/>
      <c r="L45" s="152"/>
      <c r="M45" s="152"/>
      <c r="N45" s="152"/>
      <c r="O45" s="152"/>
      <c r="P45" s="152"/>
      <c r="Q45" s="152"/>
      <c r="R45" s="152"/>
    </row>
    <row r="46">
      <c r="A46" s="152"/>
      <c r="B46" s="152"/>
      <c r="C46" s="152"/>
      <c r="D46" s="152"/>
      <c r="E46" s="152"/>
      <c r="F46" s="195"/>
      <c r="G46" s="152"/>
      <c r="H46" s="152"/>
      <c r="I46" s="152"/>
      <c r="J46" s="152"/>
      <c r="K46" s="152"/>
      <c r="L46" s="152"/>
      <c r="M46" s="152"/>
      <c r="N46" s="152"/>
      <c r="O46" s="152"/>
      <c r="P46" s="152"/>
      <c r="Q46" s="152"/>
      <c r="R46" s="152"/>
    </row>
    <row r="47">
      <c r="A47" s="152"/>
      <c r="B47" s="152"/>
      <c r="C47" s="152"/>
      <c r="D47" s="152"/>
      <c r="E47" s="152"/>
      <c r="F47" s="195"/>
      <c r="G47" s="152"/>
      <c r="H47" s="152"/>
      <c r="I47" s="152"/>
      <c r="J47" s="152"/>
      <c r="K47" s="152"/>
      <c r="L47" s="152"/>
      <c r="M47" s="152"/>
      <c r="N47" s="152"/>
      <c r="O47" s="152"/>
      <c r="P47" s="152"/>
      <c r="Q47" s="152"/>
      <c r="R47" s="152"/>
    </row>
    <row r="48">
      <c r="A48" s="152"/>
      <c r="B48" s="152"/>
      <c r="C48" s="152"/>
      <c r="D48" s="152"/>
      <c r="E48" s="152"/>
      <c r="F48" s="195"/>
      <c r="G48" s="152"/>
      <c r="H48" s="152"/>
      <c r="I48" s="152"/>
      <c r="J48" s="152"/>
      <c r="K48" s="152"/>
      <c r="L48" s="152"/>
      <c r="M48" s="152"/>
      <c r="N48" s="152"/>
      <c r="O48" s="152"/>
      <c r="P48" s="152"/>
      <c r="Q48" s="152"/>
      <c r="R48" s="152"/>
    </row>
    <row r="49">
      <c r="A49" s="152"/>
      <c r="B49" s="152"/>
      <c r="C49" s="152"/>
      <c r="D49" s="152"/>
      <c r="E49" s="152"/>
      <c r="F49" s="195"/>
      <c r="G49" s="152"/>
      <c r="H49" s="152"/>
      <c r="I49" s="152"/>
      <c r="J49" s="152"/>
      <c r="K49" s="152"/>
      <c r="L49" s="152"/>
      <c r="M49" s="152"/>
      <c r="N49" s="152"/>
      <c r="O49" s="152"/>
      <c r="P49" s="152"/>
      <c r="Q49" s="152"/>
      <c r="R49" s="152"/>
    </row>
    <row r="50">
      <c r="A50" s="152"/>
      <c r="B50" s="152"/>
      <c r="C50" s="152"/>
      <c r="D50" s="152"/>
      <c r="E50" s="152"/>
      <c r="F50" s="195"/>
      <c r="G50" s="152"/>
      <c r="H50" s="152"/>
      <c r="I50" s="152"/>
      <c r="J50" s="152"/>
      <c r="K50" s="152"/>
      <c r="L50" s="152"/>
      <c r="M50" s="152"/>
      <c r="N50" s="152"/>
      <c r="O50" s="152"/>
      <c r="P50" s="152"/>
      <c r="Q50" s="152"/>
      <c r="R50" s="152"/>
    </row>
    <row r="51">
      <c r="A51" s="152"/>
      <c r="B51" s="152"/>
      <c r="C51" s="152"/>
      <c r="D51" s="152"/>
      <c r="E51" s="152"/>
      <c r="F51" s="195"/>
      <c r="G51" s="152"/>
      <c r="H51" s="152"/>
      <c r="I51" s="152"/>
      <c r="J51" s="152"/>
      <c r="K51" s="152"/>
      <c r="L51" s="152"/>
      <c r="M51" s="152"/>
      <c r="N51" s="152"/>
      <c r="O51" s="152"/>
      <c r="P51" s="152"/>
      <c r="Q51" s="152"/>
      <c r="R51" s="152"/>
    </row>
    <row r="52">
      <c r="A52" s="152"/>
      <c r="B52" s="152"/>
      <c r="C52" s="152"/>
      <c r="D52" s="152"/>
      <c r="E52" s="152"/>
      <c r="F52" s="195"/>
      <c r="G52" s="152"/>
      <c r="H52" s="152"/>
      <c r="I52" s="152"/>
      <c r="J52" s="152"/>
      <c r="K52" s="152"/>
      <c r="L52" s="152"/>
      <c r="M52" s="152"/>
      <c r="N52" s="152"/>
      <c r="O52" s="152"/>
      <c r="P52" s="152"/>
      <c r="Q52" s="152"/>
      <c r="R52" s="152"/>
    </row>
    <row r="53">
      <c r="A53" s="152"/>
      <c r="B53" s="152"/>
      <c r="C53" s="152"/>
      <c r="D53" s="152"/>
      <c r="E53" s="152"/>
      <c r="F53" s="195"/>
      <c r="G53" s="152"/>
      <c r="H53" s="152"/>
      <c r="I53" s="152"/>
      <c r="J53" s="152"/>
      <c r="K53" s="152"/>
      <c r="L53" s="152"/>
      <c r="M53" s="152"/>
      <c r="N53" s="152"/>
      <c r="O53" s="152"/>
      <c r="P53" s="152"/>
      <c r="Q53" s="152"/>
      <c r="R53" s="152"/>
    </row>
    <row r="54">
      <c r="A54" s="152"/>
      <c r="B54" s="152"/>
      <c r="C54" s="152"/>
      <c r="D54" s="152"/>
      <c r="E54" s="152"/>
      <c r="F54" s="195"/>
      <c r="G54" s="152"/>
      <c r="H54" s="152"/>
      <c r="I54" s="152"/>
      <c r="J54" s="152"/>
      <c r="K54" s="152"/>
      <c r="L54" s="152"/>
      <c r="M54" s="152"/>
      <c r="N54" s="152"/>
      <c r="O54" s="152"/>
      <c r="P54" s="152"/>
      <c r="Q54" s="152"/>
      <c r="R54" s="152"/>
    </row>
    <row r="55">
      <c r="A55" s="152"/>
      <c r="B55" s="152"/>
      <c r="C55" s="152"/>
      <c r="D55" s="152"/>
      <c r="E55" s="152"/>
      <c r="F55" s="195"/>
      <c r="G55" s="152"/>
      <c r="H55" s="152"/>
      <c r="I55" s="152"/>
      <c r="J55" s="152"/>
      <c r="K55" s="152"/>
      <c r="L55" s="152"/>
      <c r="M55" s="152"/>
      <c r="N55" s="152"/>
      <c r="O55" s="152"/>
      <c r="P55" s="152"/>
      <c r="Q55" s="152"/>
      <c r="R55" s="152"/>
    </row>
    <row r="56">
      <c r="A56" s="152"/>
      <c r="B56" s="152"/>
      <c r="C56" s="152"/>
      <c r="D56" s="152"/>
      <c r="E56" s="152"/>
      <c r="F56" s="195"/>
      <c r="G56" s="152"/>
      <c r="H56" s="152"/>
      <c r="I56" s="152"/>
      <c r="J56" s="152"/>
      <c r="K56" s="152"/>
      <c r="L56" s="152"/>
      <c r="M56" s="152"/>
      <c r="N56" s="152"/>
      <c r="O56" s="152"/>
      <c r="P56" s="152"/>
      <c r="Q56" s="152"/>
      <c r="R56" s="152"/>
    </row>
    <row r="57">
      <c r="A57" s="152"/>
      <c r="B57" s="152"/>
      <c r="C57" s="152"/>
      <c r="D57" s="152"/>
      <c r="E57" s="152"/>
      <c r="F57" s="195"/>
      <c r="G57" s="152"/>
      <c r="H57" s="152"/>
      <c r="I57" s="152"/>
      <c r="J57" s="152"/>
      <c r="K57" s="152"/>
      <c r="L57" s="152"/>
      <c r="M57" s="152"/>
      <c r="N57" s="152"/>
      <c r="O57" s="152"/>
      <c r="P57" s="152"/>
      <c r="Q57" s="152"/>
      <c r="R57" s="152"/>
    </row>
    <row r="58">
      <c r="A58" s="152"/>
      <c r="B58" s="152"/>
      <c r="C58" s="152"/>
      <c r="D58" s="152"/>
      <c r="E58" s="152"/>
      <c r="F58" s="195"/>
      <c r="G58" s="152"/>
      <c r="H58" s="152"/>
      <c r="I58" s="152"/>
      <c r="J58" s="152"/>
      <c r="K58" s="152"/>
      <c r="L58" s="152"/>
      <c r="M58" s="152"/>
      <c r="N58" s="152"/>
      <c r="O58" s="152"/>
      <c r="P58" s="152"/>
      <c r="Q58" s="152"/>
      <c r="R58" s="152"/>
    </row>
    <row r="59">
      <c r="A59" s="152"/>
      <c r="B59" s="152"/>
      <c r="C59" s="152"/>
      <c r="D59" s="152"/>
      <c r="E59" s="152"/>
      <c r="F59" s="195"/>
      <c r="G59" s="152"/>
      <c r="H59" s="152"/>
      <c r="I59" s="152"/>
      <c r="J59" s="152"/>
      <c r="K59" s="152"/>
      <c r="L59" s="152"/>
      <c r="M59" s="152"/>
      <c r="N59" s="152"/>
      <c r="O59" s="152"/>
      <c r="P59" s="152"/>
      <c r="Q59" s="152"/>
      <c r="R59" s="152"/>
    </row>
    <row r="60">
      <c r="A60" s="152"/>
      <c r="B60" s="152"/>
      <c r="C60" s="152"/>
      <c r="D60" s="152"/>
      <c r="E60" s="152"/>
      <c r="F60" s="195"/>
      <c r="G60" s="152"/>
      <c r="H60" s="152"/>
      <c r="I60" s="152"/>
      <c r="J60" s="152"/>
      <c r="K60" s="152"/>
      <c r="L60" s="152"/>
      <c r="M60" s="152"/>
      <c r="N60" s="152"/>
      <c r="O60" s="152"/>
      <c r="P60" s="152"/>
      <c r="Q60" s="152"/>
      <c r="R60" s="152"/>
    </row>
    <row r="61">
      <c r="A61" s="152"/>
      <c r="B61" s="152"/>
      <c r="C61" s="152"/>
      <c r="D61" s="152"/>
      <c r="E61" s="152"/>
      <c r="F61" s="195"/>
      <c r="G61" s="152"/>
      <c r="H61" s="152"/>
      <c r="I61" s="152"/>
      <c r="J61" s="152"/>
      <c r="K61" s="152"/>
      <c r="L61" s="152"/>
      <c r="M61" s="152"/>
      <c r="N61" s="152"/>
      <c r="O61" s="152"/>
      <c r="P61" s="152"/>
      <c r="Q61" s="152"/>
      <c r="R61" s="152"/>
    </row>
    <row r="62">
      <c r="A62" s="152"/>
      <c r="B62" s="152"/>
      <c r="C62" s="152"/>
      <c r="D62" s="152"/>
      <c r="E62" s="152"/>
      <c r="F62" s="195"/>
      <c r="G62" s="152"/>
      <c r="H62" s="152"/>
      <c r="I62" s="152"/>
      <c r="J62" s="152"/>
      <c r="K62" s="152"/>
      <c r="L62" s="152"/>
      <c r="M62" s="152"/>
      <c r="N62" s="152"/>
      <c r="O62" s="152"/>
      <c r="P62" s="152"/>
      <c r="Q62" s="152"/>
      <c r="R62" s="152"/>
    </row>
    <row r="63">
      <c r="A63" s="152"/>
      <c r="B63" s="152"/>
      <c r="C63" s="152"/>
      <c r="D63" s="152"/>
      <c r="E63" s="152"/>
      <c r="F63" s="195"/>
      <c r="G63" s="152"/>
      <c r="H63" s="152"/>
      <c r="I63" s="152"/>
      <c r="J63" s="152"/>
      <c r="K63" s="152"/>
      <c r="L63" s="152"/>
      <c r="M63" s="152"/>
      <c r="N63" s="152"/>
      <c r="O63" s="152"/>
      <c r="P63" s="152"/>
      <c r="Q63" s="152"/>
      <c r="R63" s="152"/>
    </row>
    <row r="64">
      <c r="A64" s="152"/>
      <c r="B64" s="152"/>
      <c r="C64" s="152"/>
      <c r="D64" s="152"/>
      <c r="E64" s="152"/>
      <c r="F64" s="195"/>
      <c r="G64" s="152"/>
      <c r="H64" s="152"/>
      <c r="I64" s="152"/>
      <c r="J64" s="152"/>
      <c r="K64" s="152"/>
      <c r="L64" s="152"/>
      <c r="M64" s="152"/>
      <c r="N64" s="152"/>
      <c r="O64" s="152"/>
      <c r="P64" s="152"/>
      <c r="Q64" s="152"/>
      <c r="R64" s="152"/>
    </row>
    <row r="65">
      <c r="A65" s="152"/>
      <c r="B65" s="152"/>
      <c r="C65" s="152"/>
      <c r="D65" s="152"/>
      <c r="E65" s="152"/>
      <c r="F65" s="195"/>
      <c r="G65" s="152"/>
      <c r="H65" s="152"/>
      <c r="I65" s="152"/>
      <c r="J65" s="152"/>
      <c r="K65" s="152"/>
      <c r="L65" s="152"/>
      <c r="M65" s="152"/>
      <c r="N65" s="152"/>
      <c r="O65" s="152"/>
      <c r="P65" s="152"/>
      <c r="Q65" s="152"/>
      <c r="R65" s="152"/>
    </row>
    <row r="66">
      <c r="A66" s="152"/>
      <c r="B66" s="152"/>
      <c r="C66" s="152"/>
      <c r="D66" s="152"/>
      <c r="E66" s="152"/>
      <c r="F66" s="195"/>
      <c r="G66" s="152"/>
      <c r="H66" s="152"/>
      <c r="I66" s="152"/>
      <c r="J66" s="152"/>
      <c r="K66" s="152"/>
      <c r="L66" s="152"/>
      <c r="M66" s="152"/>
      <c r="N66" s="152"/>
      <c r="O66" s="152"/>
      <c r="P66" s="152"/>
      <c r="Q66" s="152"/>
      <c r="R66" s="152"/>
    </row>
    <row r="67">
      <c r="A67" s="152"/>
      <c r="B67" s="152"/>
      <c r="C67" s="152"/>
      <c r="D67" s="152"/>
      <c r="E67" s="152"/>
      <c r="F67" s="195"/>
      <c r="G67" s="152"/>
      <c r="H67" s="152"/>
      <c r="I67" s="152"/>
      <c r="J67" s="152"/>
      <c r="K67" s="152"/>
      <c r="L67" s="152"/>
      <c r="M67" s="152"/>
      <c r="N67" s="152"/>
      <c r="O67" s="152"/>
      <c r="P67" s="152"/>
      <c r="Q67" s="152"/>
      <c r="R67" s="152"/>
    </row>
    <row r="68">
      <c r="A68" s="152"/>
      <c r="B68" s="152"/>
      <c r="C68" s="152"/>
      <c r="D68" s="152"/>
      <c r="E68" s="152"/>
      <c r="F68" s="195"/>
      <c r="G68" s="152"/>
      <c r="H68" s="152"/>
      <c r="I68" s="152"/>
      <c r="J68" s="152"/>
      <c r="K68" s="152"/>
      <c r="L68" s="152"/>
      <c r="M68" s="152"/>
      <c r="N68" s="152"/>
      <c r="O68" s="152"/>
      <c r="P68" s="152"/>
      <c r="Q68" s="152"/>
      <c r="R68" s="152"/>
    </row>
    <row r="69">
      <c r="A69" s="152"/>
      <c r="B69" s="152"/>
      <c r="C69" s="152"/>
      <c r="D69" s="152"/>
      <c r="E69" s="152"/>
      <c r="F69" s="195"/>
      <c r="G69" s="152"/>
      <c r="H69" s="152"/>
      <c r="I69" s="152"/>
      <c r="J69" s="152"/>
      <c r="K69" s="152"/>
      <c r="L69" s="152"/>
      <c r="M69" s="152"/>
      <c r="N69" s="152"/>
      <c r="O69" s="152"/>
      <c r="P69" s="152"/>
      <c r="Q69" s="152"/>
      <c r="R69" s="152"/>
    </row>
    <row r="70">
      <c r="A70" s="152"/>
      <c r="B70" s="152"/>
      <c r="C70" s="152"/>
      <c r="D70" s="152"/>
      <c r="E70" s="152"/>
      <c r="F70" s="195"/>
      <c r="G70" s="152"/>
      <c r="H70" s="152"/>
      <c r="I70" s="152"/>
      <c r="J70" s="152"/>
      <c r="K70" s="152"/>
      <c r="L70" s="152"/>
      <c r="M70" s="152"/>
      <c r="N70" s="152"/>
      <c r="O70" s="152"/>
      <c r="P70" s="152"/>
      <c r="Q70" s="152"/>
      <c r="R70" s="152"/>
    </row>
    <row r="71">
      <c r="A71" s="152"/>
      <c r="B71" s="152"/>
      <c r="C71" s="152"/>
      <c r="D71" s="152"/>
      <c r="E71" s="152"/>
      <c r="F71" s="195"/>
      <c r="G71" s="152"/>
      <c r="H71" s="152"/>
      <c r="I71" s="152"/>
      <c r="J71" s="152"/>
      <c r="K71" s="152"/>
      <c r="L71" s="152"/>
      <c r="M71" s="152"/>
      <c r="N71" s="152"/>
      <c r="O71" s="152"/>
      <c r="P71" s="152"/>
      <c r="Q71" s="152"/>
      <c r="R71" s="152"/>
    </row>
    <row r="72">
      <c r="A72" s="152"/>
      <c r="B72" s="152"/>
      <c r="C72" s="152"/>
      <c r="D72" s="152"/>
      <c r="E72" s="152"/>
      <c r="F72" s="195"/>
      <c r="G72" s="152"/>
      <c r="H72" s="152"/>
      <c r="I72" s="152"/>
      <c r="J72" s="152"/>
      <c r="K72" s="152"/>
      <c r="L72" s="152"/>
      <c r="M72" s="152"/>
      <c r="N72" s="152"/>
      <c r="O72" s="152"/>
      <c r="P72" s="152"/>
      <c r="Q72" s="152"/>
      <c r="R72" s="152"/>
    </row>
    <row r="73">
      <c r="A73" s="152"/>
      <c r="B73" s="152"/>
      <c r="C73" s="152"/>
      <c r="D73" s="152"/>
      <c r="E73" s="152"/>
      <c r="F73" s="195"/>
      <c r="G73" s="152"/>
      <c r="H73" s="152"/>
      <c r="I73" s="152"/>
      <c r="J73" s="152"/>
      <c r="K73" s="152"/>
      <c r="L73" s="152"/>
      <c r="M73" s="152"/>
      <c r="N73" s="152"/>
      <c r="O73" s="152"/>
      <c r="P73" s="152"/>
      <c r="Q73" s="152"/>
      <c r="R73" s="152"/>
    </row>
    <row r="74">
      <c r="A74" s="152"/>
      <c r="B74" s="152"/>
      <c r="C74" s="152"/>
      <c r="D74" s="152"/>
      <c r="E74" s="152"/>
      <c r="F74" s="195"/>
      <c r="G74" s="152"/>
      <c r="H74" s="152"/>
      <c r="I74" s="152"/>
      <c r="J74" s="152"/>
      <c r="K74" s="152"/>
      <c r="L74" s="152"/>
      <c r="M74" s="152"/>
      <c r="N74" s="152"/>
      <c r="O74" s="152"/>
      <c r="P74" s="152"/>
      <c r="Q74" s="152"/>
      <c r="R74" s="152"/>
    </row>
    <row r="75">
      <c r="A75" s="152"/>
      <c r="B75" s="152"/>
      <c r="C75" s="152"/>
      <c r="D75" s="152"/>
      <c r="E75" s="152"/>
      <c r="F75" s="195"/>
      <c r="G75" s="152"/>
      <c r="H75" s="152"/>
      <c r="I75" s="152"/>
      <c r="J75" s="152"/>
      <c r="K75" s="152"/>
      <c r="L75" s="152"/>
      <c r="M75" s="152"/>
      <c r="N75" s="152"/>
      <c r="O75" s="152"/>
      <c r="P75" s="152"/>
      <c r="Q75" s="152"/>
      <c r="R75" s="152"/>
    </row>
    <row r="76">
      <c r="A76" s="152"/>
      <c r="B76" s="152"/>
      <c r="C76" s="152"/>
      <c r="D76" s="152"/>
      <c r="E76" s="152"/>
      <c r="F76" s="195"/>
      <c r="G76" s="152"/>
      <c r="H76" s="152"/>
      <c r="I76" s="152"/>
      <c r="J76" s="152"/>
      <c r="K76" s="152"/>
      <c r="L76" s="152"/>
      <c r="M76" s="152"/>
      <c r="N76" s="152"/>
      <c r="O76" s="152"/>
      <c r="P76" s="152"/>
      <c r="Q76" s="152"/>
      <c r="R76" s="152"/>
    </row>
    <row r="77">
      <c r="A77" s="152"/>
      <c r="B77" s="152"/>
      <c r="C77" s="152"/>
      <c r="D77" s="152"/>
      <c r="E77" s="152"/>
      <c r="F77" s="195"/>
      <c r="G77" s="152"/>
      <c r="H77" s="152"/>
      <c r="I77" s="152"/>
      <c r="J77" s="152"/>
      <c r="K77" s="152"/>
      <c r="L77" s="152"/>
      <c r="M77" s="152"/>
      <c r="N77" s="152"/>
      <c r="O77" s="152"/>
      <c r="P77" s="152"/>
      <c r="Q77" s="152"/>
      <c r="R77" s="152"/>
    </row>
    <row r="78">
      <c r="A78" s="152"/>
      <c r="B78" s="152"/>
      <c r="C78" s="152"/>
      <c r="D78" s="152"/>
      <c r="E78" s="152"/>
      <c r="F78" s="195"/>
      <c r="G78" s="152"/>
      <c r="H78" s="152"/>
      <c r="I78" s="152"/>
      <c r="J78" s="152"/>
      <c r="K78" s="152"/>
      <c r="L78" s="152"/>
      <c r="M78" s="152"/>
      <c r="N78" s="152"/>
      <c r="O78" s="152"/>
      <c r="P78" s="152"/>
      <c r="Q78" s="152"/>
      <c r="R78" s="152"/>
    </row>
    <row r="79">
      <c r="A79" s="152"/>
      <c r="B79" s="152"/>
      <c r="C79" s="152"/>
      <c r="D79" s="152"/>
      <c r="E79" s="152"/>
      <c r="F79" s="195"/>
      <c r="G79" s="152"/>
      <c r="H79" s="152"/>
      <c r="I79" s="152"/>
      <c r="J79" s="152"/>
      <c r="K79" s="152"/>
      <c r="L79" s="152"/>
      <c r="M79" s="152"/>
      <c r="N79" s="152"/>
      <c r="O79" s="152"/>
      <c r="P79" s="152"/>
      <c r="Q79" s="152"/>
      <c r="R79" s="152"/>
    </row>
    <row r="80">
      <c r="A80" s="152"/>
      <c r="B80" s="152"/>
      <c r="C80" s="152"/>
      <c r="D80" s="152"/>
      <c r="E80" s="152"/>
      <c r="F80" s="195"/>
      <c r="G80" s="152"/>
      <c r="H80" s="152"/>
      <c r="I80" s="152"/>
      <c r="J80" s="152"/>
      <c r="K80" s="152"/>
      <c r="L80" s="152"/>
      <c r="M80" s="152"/>
      <c r="N80" s="152"/>
      <c r="O80" s="152"/>
      <c r="P80" s="152"/>
      <c r="Q80" s="152"/>
      <c r="R80" s="152"/>
    </row>
    <row r="81">
      <c r="A81" s="152"/>
      <c r="B81" s="152"/>
      <c r="C81" s="152"/>
      <c r="D81" s="152"/>
      <c r="E81" s="152"/>
      <c r="F81" s="195"/>
      <c r="G81" s="152"/>
      <c r="H81" s="152"/>
      <c r="I81" s="152"/>
      <c r="J81" s="152"/>
      <c r="K81" s="152"/>
      <c r="L81" s="152"/>
      <c r="M81" s="152"/>
      <c r="N81" s="152"/>
      <c r="O81" s="152"/>
      <c r="P81" s="152"/>
      <c r="Q81" s="152"/>
      <c r="R81" s="152"/>
    </row>
    <row r="82">
      <c r="A82" s="152"/>
      <c r="B82" s="152"/>
      <c r="C82" s="152"/>
      <c r="D82" s="152"/>
      <c r="E82" s="152"/>
      <c r="F82" s="195"/>
      <c r="G82" s="152"/>
      <c r="H82" s="152"/>
      <c r="I82" s="152"/>
      <c r="J82" s="152"/>
      <c r="K82" s="152"/>
      <c r="L82" s="152"/>
      <c r="M82" s="152"/>
      <c r="N82" s="152"/>
      <c r="O82" s="152"/>
      <c r="P82" s="152"/>
      <c r="Q82" s="152"/>
      <c r="R82" s="152"/>
    </row>
    <row r="83">
      <c r="A83" s="152"/>
      <c r="B83" s="152"/>
      <c r="C83" s="152"/>
      <c r="D83" s="152"/>
      <c r="E83" s="152"/>
      <c r="F83" s="195"/>
      <c r="G83" s="152"/>
      <c r="H83" s="152"/>
      <c r="I83" s="152"/>
      <c r="J83" s="152"/>
      <c r="K83" s="152"/>
      <c r="L83" s="152"/>
      <c r="M83" s="152"/>
      <c r="N83" s="152"/>
      <c r="O83" s="152"/>
      <c r="P83" s="152"/>
      <c r="Q83" s="152"/>
      <c r="R83" s="152"/>
    </row>
    <row r="84">
      <c r="A84" s="152"/>
      <c r="B84" s="152"/>
      <c r="C84" s="152"/>
      <c r="D84" s="152"/>
      <c r="E84" s="152"/>
      <c r="F84" s="195"/>
      <c r="G84" s="152"/>
      <c r="H84" s="152"/>
      <c r="I84" s="152"/>
      <c r="J84" s="152"/>
      <c r="K84" s="152"/>
      <c r="L84" s="152"/>
      <c r="M84" s="152"/>
      <c r="N84" s="152"/>
      <c r="O84" s="152"/>
      <c r="P84" s="152"/>
      <c r="Q84" s="152"/>
      <c r="R84" s="152"/>
    </row>
    <row r="85">
      <c r="A85" s="152"/>
      <c r="B85" s="152"/>
      <c r="C85" s="152"/>
      <c r="D85" s="152"/>
      <c r="E85" s="152"/>
      <c r="F85" s="195"/>
      <c r="G85" s="152"/>
      <c r="H85" s="152"/>
      <c r="I85" s="152"/>
      <c r="J85" s="152"/>
      <c r="K85" s="152"/>
      <c r="L85" s="152"/>
      <c r="M85" s="152"/>
      <c r="N85" s="152"/>
      <c r="O85" s="152"/>
      <c r="P85" s="152"/>
      <c r="Q85" s="152"/>
      <c r="R85" s="152"/>
    </row>
    <row r="86">
      <c r="A86" s="152"/>
      <c r="B86" s="152"/>
      <c r="C86" s="152"/>
      <c r="D86" s="152"/>
      <c r="E86" s="152"/>
      <c r="F86" s="195"/>
      <c r="G86" s="152"/>
      <c r="H86" s="152"/>
      <c r="I86" s="152"/>
      <c r="J86" s="152"/>
      <c r="K86" s="152"/>
      <c r="L86" s="152"/>
      <c r="M86" s="152"/>
      <c r="N86" s="152"/>
      <c r="O86" s="152"/>
      <c r="P86" s="152"/>
      <c r="Q86" s="152"/>
      <c r="R86" s="152"/>
    </row>
    <row r="87">
      <c r="A87" s="152"/>
      <c r="B87" s="152"/>
      <c r="C87" s="152"/>
      <c r="D87" s="152"/>
      <c r="E87" s="152"/>
      <c r="F87" s="195"/>
      <c r="G87" s="152"/>
      <c r="H87" s="152"/>
      <c r="I87" s="152"/>
      <c r="J87" s="152"/>
      <c r="K87" s="152"/>
      <c r="L87" s="152"/>
      <c r="M87" s="152"/>
      <c r="N87" s="152"/>
      <c r="O87" s="152"/>
      <c r="P87" s="152"/>
      <c r="Q87" s="152"/>
      <c r="R87" s="152"/>
    </row>
    <row r="88">
      <c r="A88" s="152"/>
      <c r="B88" s="152"/>
      <c r="C88" s="152"/>
      <c r="D88" s="152"/>
      <c r="E88" s="152"/>
      <c r="F88" s="195"/>
      <c r="G88" s="152"/>
      <c r="H88" s="152"/>
      <c r="I88" s="152"/>
      <c r="J88" s="152"/>
      <c r="K88" s="152"/>
      <c r="L88" s="152"/>
      <c r="M88" s="152"/>
      <c r="N88" s="152"/>
      <c r="O88" s="152"/>
      <c r="P88" s="152"/>
      <c r="Q88" s="152"/>
      <c r="R88" s="152"/>
    </row>
    <row r="89">
      <c r="A89" s="152"/>
      <c r="B89" s="152"/>
      <c r="C89" s="152"/>
      <c r="D89" s="152"/>
      <c r="E89" s="152"/>
      <c r="F89" s="195"/>
      <c r="G89" s="152"/>
      <c r="H89" s="152"/>
      <c r="I89" s="152"/>
      <c r="J89" s="152"/>
      <c r="K89" s="152"/>
      <c r="L89" s="152"/>
      <c r="M89" s="152"/>
      <c r="N89" s="152"/>
      <c r="O89" s="152"/>
      <c r="P89" s="152"/>
      <c r="Q89" s="152"/>
      <c r="R89" s="152"/>
    </row>
    <row r="90">
      <c r="A90" s="152"/>
      <c r="B90" s="152"/>
      <c r="C90" s="152"/>
      <c r="D90" s="152"/>
      <c r="E90" s="152"/>
      <c r="F90" s="195"/>
      <c r="G90" s="152"/>
      <c r="H90" s="152"/>
      <c r="I90" s="152"/>
      <c r="J90" s="152"/>
      <c r="K90" s="152"/>
      <c r="L90" s="152"/>
      <c r="M90" s="152"/>
      <c r="N90" s="152"/>
      <c r="O90" s="152"/>
      <c r="P90" s="152"/>
      <c r="Q90" s="152"/>
      <c r="R90" s="152"/>
    </row>
    <row r="91">
      <c r="A91" s="152"/>
      <c r="B91" s="152"/>
      <c r="C91" s="152"/>
      <c r="D91" s="152"/>
      <c r="E91" s="152"/>
      <c r="F91" s="195"/>
      <c r="G91" s="152"/>
      <c r="H91" s="152"/>
      <c r="I91" s="152"/>
      <c r="J91" s="152"/>
      <c r="K91" s="152"/>
      <c r="L91" s="152"/>
      <c r="M91" s="152"/>
      <c r="N91" s="152"/>
      <c r="O91" s="152"/>
      <c r="P91" s="152"/>
      <c r="Q91" s="152"/>
      <c r="R91" s="152"/>
    </row>
    <row r="92">
      <c r="A92" s="152"/>
      <c r="B92" s="152"/>
      <c r="C92" s="152"/>
      <c r="D92" s="152"/>
      <c r="E92" s="152"/>
      <c r="F92" s="195"/>
      <c r="G92" s="152"/>
      <c r="H92" s="152"/>
      <c r="I92" s="152"/>
      <c r="J92" s="152"/>
      <c r="K92" s="152"/>
      <c r="L92" s="152"/>
      <c r="M92" s="152"/>
      <c r="N92" s="152"/>
      <c r="O92" s="152"/>
      <c r="P92" s="152"/>
      <c r="Q92" s="152"/>
      <c r="R92" s="152"/>
    </row>
    <row r="93">
      <c r="A93" s="152"/>
      <c r="B93" s="152"/>
      <c r="C93" s="152"/>
      <c r="D93" s="152"/>
      <c r="E93" s="152"/>
      <c r="F93" s="195"/>
      <c r="G93" s="152"/>
      <c r="H93" s="152"/>
      <c r="I93" s="152"/>
      <c r="J93" s="152"/>
      <c r="K93" s="152"/>
      <c r="L93" s="152"/>
      <c r="M93" s="152"/>
      <c r="N93" s="152"/>
      <c r="O93" s="152"/>
      <c r="P93" s="152"/>
      <c r="Q93" s="152"/>
      <c r="R93" s="152"/>
    </row>
    <row r="94">
      <c r="A94" s="152"/>
      <c r="B94" s="152"/>
      <c r="C94" s="152"/>
      <c r="D94" s="152"/>
      <c r="E94" s="152"/>
      <c r="F94" s="195"/>
      <c r="G94" s="152"/>
      <c r="H94" s="152"/>
      <c r="I94" s="152"/>
      <c r="J94" s="152"/>
      <c r="K94" s="152"/>
      <c r="L94" s="152"/>
      <c r="M94" s="152"/>
      <c r="N94" s="152"/>
      <c r="O94" s="152"/>
      <c r="P94" s="152"/>
      <c r="Q94" s="152"/>
      <c r="R94" s="152"/>
    </row>
    <row r="95">
      <c r="A95" s="152"/>
      <c r="B95" s="152"/>
      <c r="C95" s="152"/>
      <c r="D95" s="152"/>
      <c r="E95" s="152"/>
      <c r="F95" s="195"/>
      <c r="G95" s="152"/>
      <c r="H95" s="152"/>
      <c r="I95" s="152"/>
      <c r="J95" s="152"/>
      <c r="K95" s="152"/>
      <c r="L95" s="152"/>
      <c r="M95" s="152"/>
      <c r="N95" s="152"/>
      <c r="O95" s="152"/>
      <c r="P95" s="152"/>
      <c r="Q95" s="152"/>
      <c r="R95" s="152"/>
    </row>
    <row r="96">
      <c r="A96" s="152"/>
      <c r="B96" s="152"/>
      <c r="C96" s="152"/>
      <c r="D96" s="152"/>
      <c r="E96" s="152"/>
      <c r="F96" s="195"/>
      <c r="G96" s="152"/>
      <c r="H96" s="152"/>
      <c r="I96" s="152"/>
      <c r="J96" s="152"/>
      <c r="K96" s="152"/>
      <c r="L96" s="152"/>
      <c r="M96" s="152"/>
      <c r="N96" s="152"/>
      <c r="O96" s="152"/>
      <c r="P96" s="152"/>
      <c r="Q96" s="152"/>
      <c r="R96" s="152"/>
    </row>
    <row r="97">
      <c r="A97" s="152"/>
      <c r="B97" s="152"/>
      <c r="C97" s="152"/>
      <c r="D97" s="152"/>
      <c r="E97" s="152"/>
      <c r="F97" s="195"/>
      <c r="G97" s="152"/>
      <c r="H97" s="152"/>
      <c r="I97" s="152"/>
      <c r="J97" s="152"/>
      <c r="K97" s="152"/>
      <c r="L97" s="152"/>
      <c r="M97" s="152"/>
      <c r="N97" s="152"/>
      <c r="O97" s="152"/>
      <c r="P97" s="152"/>
      <c r="Q97" s="152"/>
      <c r="R97" s="152"/>
    </row>
    <row r="98">
      <c r="A98" s="152"/>
      <c r="B98" s="152"/>
      <c r="C98" s="152"/>
      <c r="D98" s="152"/>
      <c r="E98" s="152"/>
      <c r="F98" s="195"/>
      <c r="G98" s="152"/>
      <c r="H98" s="152"/>
      <c r="I98" s="152"/>
      <c r="J98" s="152"/>
      <c r="K98" s="152"/>
      <c r="L98" s="152"/>
      <c r="M98" s="152"/>
      <c r="N98" s="152"/>
      <c r="O98" s="152"/>
      <c r="P98" s="152"/>
      <c r="Q98" s="152"/>
      <c r="R98" s="152"/>
    </row>
    <row r="99">
      <c r="A99" s="152"/>
      <c r="B99" s="152"/>
      <c r="C99" s="152"/>
      <c r="D99" s="152"/>
      <c r="E99" s="152"/>
      <c r="F99" s="195"/>
      <c r="G99" s="152"/>
      <c r="H99" s="152"/>
      <c r="I99" s="152"/>
      <c r="J99" s="152"/>
      <c r="K99" s="152"/>
      <c r="L99" s="152"/>
      <c r="M99" s="152"/>
      <c r="N99" s="152"/>
      <c r="O99" s="152"/>
      <c r="P99" s="152"/>
      <c r="Q99" s="152"/>
      <c r="R99" s="152"/>
    </row>
    <row r="100">
      <c r="A100" s="152"/>
      <c r="B100" s="152"/>
      <c r="C100" s="152"/>
      <c r="D100" s="152"/>
      <c r="E100" s="152"/>
      <c r="F100" s="195"/>
      <c r="G100" s="152"/>
      <c r="H100" s="152"/>
      <c r="I100" s="152"/>
      <c r="J100" s="152"/>
      <c r="K100" s="152"/>
      <c r="L100" s="152"/>
      <c r="M100" s="152"/>
      <c r="N100" s="152"/>
      <c r="O100" s="152"/>
      <c r="P100" s="152"/>
      <c r="Q100" s="152"/>
      <c r="R100" s="152"/>
    </row>
    <row r="101">
      <c r="A101" s="152"/>
      <c r="B101" s="152"/>
      <c r="C101" s="152"/>
      <c r="D101" s="152"/>
      <c r="E101" s="152"/>
      <c r="F101" s="195"/>
      <c r="G101" s="152"/>
      <c r="H101" s="152"/>
      <c r="I101" s="152"/>
      <c r="J101" s="152"/>
      <c r="K101" s="152"/>
      <c r="L101" s="152"/>
      <c r="M101" s="152"/>
      <c r="N101" s="152"/>
      <c r="O101" s="152"/>
      <c r="P101" s="152"/>
      <c r="Q101" s="152"/>
      <c r="R101" s="152"/>
    </row>
    <row r="102">
      <c r="A102" s="152"/>
      <c r="B102" s="152"/>
      <c r="C102" s="152"/>
      <c r="D102" s="152"/>
      <c r="E102" s="152"/>
      <c r="F102" s="195"/>
      <c r="G102" s="152"/>
      <c r="H102" s="152"/>
      <c r="I102" s="152"/>
      <c r="J102" s="152"/>
      <c r="K102" s="152"/>
      <c r="L102" s="152"/>
      <c r="M102" s="152"/>
      <c r="N102" s="152"/>
      <c r="O102" s="152"/>
      <c r="P102" s="152"/>
      <c r="Q102" s="152"/>
      <c r="R102" s="152"/>
    </row>
    <row r="103">
      <c r="A103" s="152"/>
      <c r="B103" s="152"/>
      <c r="C103" s="152"/>
      <c r="D103" s="152"/>
      <c r="E103" s="152"/>
      <c r="F103" s="195"/>
      <c r="G103" s="152"/>
      <c r="H103" s="152"/>
      <c r="I103" s="152"/>
      <c r="J103" s="152"/>
      <c r="K103" s="152"/>
      <c r="L103" s="152"/>
      <c r="M103" s="152"/>
      <c r="N103" s="152"/>
      <c r="O103" s="152"/>
      <c r="P103" s="152"/>
      <c r="Q103" s="152"/>
      <c r="R103" s="152"/>
    </row>
    <row r="104">
      <c r="A104" s="152"/>
      <c r="B104" s="152"/>
      <c r="C104" s="152"/>
      <c r="D104" s="152"/>
      <c r="E104" s="152"/>
      <c r="F104" s="195"/>
      <c r="G104" s="152"/>
      <c r="H104" s="152"/>
      <c r="I104" s="152"/>
      <c r="J104" s="152"/>
      <c r="K104" s="152"/>
      <c r="L104" s="152"/>
      <c r="M104" s="152"/>
      <c r="N104" s="152"/>
      <c r="O104" s="152"/>
      <c r="P104" s="152"/>
      <c r="Q104" s="152"/>
      <c r="R104" s="152"/>
    </row>
    <row r="105">
      <c r="A105" s="152"/>
      <c r="B105" s="152"/>
      <c r="C105" s="152"/>
      <c r="D105" s="152"/>
      <c r="E105" s="152"/>
      <c r="F105" s="195"/>
      <c r="G105" s="152"/>
      <c r="H105" s="152"/>
      <c r="I105" s="152"/>
      <c r="J105" s="152"/>
      <c r="K105" s="152"/>
      <c r="L105" s="152"/>
      <c r="M105" s="152"/>
      <c r="N105" s="152"/>
      <c r="O105" s="152"/>
      <c r="P105" s="152"/>
      <c r="Q105" s="152"/>
      <c r="R105" s="152"/>
    </row>
    <row r="106">
      <c r="A106" s="152"/>
      <c r="B106" s="152"/>
      <c r="C106" s="152"/>
      <c r="D106" s="152"/>
      <c r="E106" s="152"/>
      <c r="F106" s="195"/>
      <c r="G106" s="152"/>
      <c r="H106" s="152"/>
      <c r="I106" s="152"/>
      <c r="J106" s="152"/>
      <c r="K106" s="152"/>
      <c r="L106" s="152"/>
      <c r="M106" s="152"/>
      <c r="N106" s="152"/>
      <c r="O106" s="152"/>
      <c r="P106" s="152"/>
      <c r="Q106" s="152"/>
      <c r="R106" s="152"/>
    </row>
    <row r="107">
      <c r="A107" s="152"/>
      <c r="B107" s="152"/>
      <c r="C107" s="152"/>
      <c r="D107" s="152"/>
      <c r="E107" s="152"/>
      <c r="F107" s="195"/>
      <c r="G107" s="152"/>
      <c r="H107" s="152"/>
      <c r="I107" s="152"/>
      <c r="J107" s="152"/>
      <c r="K107" s="152"/>
      <c r="L107" s="152"/>
      <c r="M107" s="152"/>
      <c r="N107" s="152"/>
      <c r="O107" s="152"/>
      <c r="P107" s="152"/>
      <c r="Q107" s="152"/>
      <c r="R107" s="152"/>
    </row>
    <row r="108">
      <c r="A108" s="152"/>
      <c r="B108" s="152"/>
      <c r="C108" s="152"/>
      <c r="D108" s="152"/>
      <c r="E108" s="152"/>
      <c r="F108" s="195"/>
      <c r="G108" s="152"/>
      <c r="H108" s="152"/>
      <c r="I108" s="152"/>
      <c r="J108" s="152"/>
      <c r="K108" s="152"/>
      <c r="L108" s="152"/>
      <c r="M108" s="152"/>
      <c r="N108" s="152"/>
      <c r="O108" s="152"/>
      <c r="P108" s="152"/>
      <c r="Q108" s="152"/>
      <c r="R108" s="152"/>
    </row>
    <row r="109">
      <c r="A109" s="152"/>
      <c r="B109" s="152"/>
      <c r="C109" s="152"/>
      <c r="D109" s="152"/>
      <c r="E109" s="152"/>
      <c r="F109" s="195"/>
      <c r="G109" s="152"/>
      <c r="H109" s="152"/>
      <c r="I109" s="152"/>
      <c r="J109" s="152"/>
      <c r="K109" s="152"/>
      <c r="L109" s="152"/>
      <c r="M109" s="152"/>
      <c r="N109" s="152"/>
      <c r="O109" s="152"/>
      <c r="P109" s="152"/>
      <c r="Q109" s="152"/>
      <c r="R109" s="152"/>
    </row>
    <row r="110">
      <c r="A110" s="152"/>
      <c r="B110" s="152"/>
      <c r="C110" s="152"/>
      <c r="D110" s="152"/>
      <c r="E110" s="152"/>
      <c r="F110" s="195"/>
      <c r="G110" s="152"/>
      <c r="H110" s="152"/>
      <c r="I110" s="152"/>
      <c r="J110" s="152"/>
      <c r="K110" s="152"/>
      <c r="L110" s="152"/>
      <c r="M110" s="152"/>
      <c r="N110" s="152"/>
      <c r="O110" s="152"/>
      <c r="P110" s="152"/>
      <c r="Q110" s="152"/>
      <c r="R110" s="152"/>
    </row>
    <row r="111">
      <c r="A111" s="152"/>
      <c r="B111" s="152"/>
      <c r="C111" s="152"/>
      <c r="D111" s="152"/>
      <c r="E111" s="152"/>
      <c r="F111" s="195"/>
      <c r="G111" s="152"/>
      <c r="H111" s="152"/>
      <c r="I111" s="152"/>
      <c r="J111" s="152"/>
      <c r="K111" s="152"/>
      <c r="L111" s="152"/>
      <c r="M111" s="152"/>
      <c r="N111" s="152"/>
      <c r="O111" s="152"/>
      <c r="P111" s="152"/>
      <c r="Q111" s="152"/>
      <c r="R111" s="152"/>
    </row>
    <row r="112">
      <c r="A112" s="152"/>
      <c r="B112" s="152"/>
      <c r="C112" s="152"/>
      <c r="D112" s="152"/>
      <c r="E112" s="152"/>
      <c r="F112" s="195"/>
      <c r="G112" s="152"/>
      <c r="H112" s="152"/>
      <c r="I112" s="152"/>
      <c r="J112" s="152"/>
      <c r="K112" s="152"/>
      <c r="L112" s="152"/>
      <c r="M112" s="152"/>
      <c r="N112" s="152"/>
      <c r="O112" s="152"/>
      <c r="P112" s="152"/>
      <c r="Q112" s="152"/>
      <c r="R112" s="152"/>
    </row>
    <row r="113">
      <c r="A113" s="152"/>
      <c r="B113" s="152"/>
      <c r="C113" s="152"/>
      <c r="D113" s="152"/>
      <c r="E113" s="152"/>
      <c r="F113" s="195"/>
      <c r="G113" s="152"/>
      <c r="H113" s="152"/>
      <c r="I113" s="152"/>
      <c r="J113" s="152"/>
      <c r="K113" s="152"/>
      <c r="L113" s="152"/>
      <c r="M113" s="152"/>
      <c r="N113" s="152"/>
      <c r="O113" s="152"/>
      <c r="P113" s="152"/>
      <c r="Q113" s="152"/>
      <c r="R113" s="152"/>
    </row>
    <row r="114">
      <c r="A114" s="152"/>
      <c r="B114" s="152"/>
      <c r="C114" s="152"/>
      <c r="D114" s="152"/>
      <c r="E114" s="152"/>
      <c r="F114" s="195"/>
      <c r="G114" s="152"/>
      <c r="H114" s="152"/>
      <c r="I114" s="152"/>
      <c r="J114" s="152"/>
      <c r="K114" s="152"/>
      <c r="L114" s="152"/>
      <c r="M114" s="152"/>
      <c r="N114" s="152"/>
      <c r="O114" s="152"/>
      <c r="P114" s="152"/>
      <c r="Q114" s="152"/>
      <c r="R114" s="152"/>
    </row>
    <row r="115">
      <c r="A115" s="152"/>
      <c r="B115" s="152"/>
      <c r="C115" s="152"/>
      <c r="D115" s="152"/>
      <c r="E115" s="152"/>
      <c r="F115" s="195"/>
      <c r="G115" s="152"/>
      <c r="H115" s="152"/>
      <c r="I115" s="152"/>
      <c r="J115" s="152"/>
      <c r="K115" s="152"/>
      <c r="L115" s="152"/>
      <c r="M115" s="152"/>
      <c r="N115" s="152"/>
      <c r="O115" s="152"/>
      <c r="P115" s="152"/>
      <c r="Q115" s="152"/>
      <c r="R115" s="152"/>
    </row>
    <row r="116">
      <c r="A116" s="152"/>
      <c r="B116" s="152"/>
      <c r="C116" s="152"/>
      <c r="D116" s="152"/>
      <c r="E116" s="152"/>
      <c r="F116" s="195"/>
      <c r="G116" s="152"/>
      <c r="H116" s="152"/>
      <c r="I116" s="152"/>
      <c r="J116" s="152"/>
      <c r="K116" s="152"/>
      <c r="L116" s="152"/>
      <c r="M116" s="152"/>
      <c r="N116" s="152"/>
      <c r="O116" s="152"/>
      <c r="P116" s="152"/>
      <c r="Q116" s="152"/>
      <c r="R116" s="152"/>
    </row>
    <row r="117">
      <c r="A117" s="152"/>
      <c r="B117" s="152"/>
      <c r="C117" s="152"/>
      <c r="D117" s="152"/>
      <c r="E117" s="152"/>
      <c r="F117" s="195"/>
      <c r="G117" s="152"/>
      <c r="H117" s="152"/>
      <c r="I117" s="152"/>
      <c r="J117" s="152"/>
      <c r="K117" s="152"/>
      <c r="L117" s="152"/>
      <c r="M117" s="152"/>
      <c r="N117" s="152"/>
      <c r="O117" s="152"/>
      <c r="P117" s="152"/>
      <c r="Q117" s="152"/>
      <c r="R117" s="152"/>
    </row>
    <row r="118">
      <c r="A118" s="152"/>
      <c r="B118" s="152"/>
      <c r="C118" s="152"/>
      <c r="D118" s="152"/>
      <c r="E118" s="152"/>
      <c r="F118" s="195"/>
      <c r="G118" s="152"/>
      <c r="H118" s="152"/>
      <c r="I118" s="152"/>
      <c r="J118" s="152"/>
      <c r="K118" s="152"/>
      <c r="L118" s="152"/>
      <c r="M118" s="152"/>
      <c r="N118" s="152"/>
      <c r="O118" s="152"/>
      <c r="P118" s="152"/>
      <c r="Q118" s="152"/>
      <c r="R118" s="152"/>
    </row>
    <row r="119">
      <c r="A119" s="152"/>
      <c r="B119" s="152"/>
      <c r="C119" s="152"/>
      <c r="D119" s="152"/>
      <c r="E119" s="152"/>
      <c r="F119" s="195"/>
      <c r="G119" s="152"/>
      <c r="H119" s="152"/>
      <c r="I119" s="152"/>
      <c r="J119" s="152"/>
      <c r="K119" s="152"/>
      <c r="L119" s="152"/>
      <c r="M119" s="152"/>
      <c r="N119" s="152"/>
      <c r="O119" s="152"/>
      <c r="P119" s="152"/>
      <c r="Q119" s="152"/>
      <c r="R119" s="152"/>
    </row>
    <row r="120">
      <c r="A120" s="152"/>
      <c r="B120" s="152"/>
      <c r="C120" s="152"/>
      <c r="D120" s="152"/>
      <c r="E120" s="152"/>
      <c r="F120" s="195"/>
      <c r="G120" s="152"/>
      <c r="H120" s="152"/>
      <c r="I120" s="152"/>
      <c r="J120" s="152"/>
      <c r="K120" s="152"/>
      <c r="L120" s="152"/>
      <c r="M120" s="152"/>
      <c r="N120" s="152"/>
      <c r="O120" s="152"/>
      <c r="P120" s="152"/>
      <c r="Q120" s="152"/>
      <c r="R120" s="152"/>
    </row>
    <row r="121">
      <c r="A121" s="152"/>
      <c r="B121" s="152"/>
      <c r="C121" s="152"/>
      <c r="D121" s="152"/>
      <c r="E121" s="152"/>
      <c r="F121" s="195"/>
      <c r="G121" s="152"/>
      <c r="H121" s="152"/>
      <c r="I121" s="152"/>
      <c r="J121" s="152"/>
      <c r="K121" s="152"/>
      <c r="L121" s="152"/>
      <c r="M121" s="152"/>
      <c r="N121" s="152"/>
      <c r="O121" s="152"/>
      <c r="P121" s="152"/>
      <c r="Q121" s="152"/>
      <c r="R121" s="152"/>
    </row>
    <row r="122">
      <c r="A122" s="152"/>
      <c r="B122" s="152"/>
      <c r="C122" s="152"/>
      <c r="D122" s="152"/>
      <c r="E122" s="152"/>
      <c r="F122" s="195"/>
      <c r="G122" s="152"/>
      <c r="H122" s="152"/>
      <c r="I122" s="152"/>
      <c r="J122" s="152"/>
      <c r="K122" s="152"/>
      <c r="L122" s="152"/>
      <c r="M122" s="152"/>
      <c r="N122" s="152"/>
      <c r="O122" s="152"/>
      <c r="P122" s="152"/>
      <c r="Q122" s="152"/>
      <c r="R122" s="152"/>
    </row>
    <row r="123">
      <c r="A123" s="152"/>
      <c r="B123" s="152"/>
      <c r="C123" s="152"/>
      <c r="D123" s="152"/>
      <c r="E123" s="152"/>
      <c r="F123" s="195"/>
      <c r="G123" s="152"/>
      <c r="H123" s="152"/>
      <c r="I123" s="152"/>
      <c r="J123" s="152"/>
      <c r="K123" s="152"/>
      <c r="L123" s="152"/>
      <c r="M123" s="152"/>
      <c r="N123" s="152"/>
      <c r="O123" s="152"/>
      <c r="P123" s="152"/>
      <c r="Q123" s="152"/>
      <c r="R123" s="152"/>
    </row>
    <row r="124">
      <c r="A124" s="152"/>
      <c r="B124" s="152"/>
      <c r="C124" s="152"/>
      <c r="D124" s="152"/>
      <c r="E124" s="152"/>
      <c r="F124" s="195"/>
      <c r="G124" s="152"/>
      <c r="H124" s="152"/>
      <c r="I124" s="152"/>
      <c r="J124" s="152"/>
      <c r="K124" s="152"/>
      <c r="L124" s="152"/>
      <c r="M124" s="152"/>
      <c r="N124" s="152"/>
      <c r="O124" s="152"/>
      <c r="P124" s="152"/>
      <c r="Q124" s="152"/>
      <c r="R124" s="152"/>
    </row>
    <row r="125">
      <c r="A125" s="152"/>
      <c r="B125" s="152"/>
      <c r="C125" s="152"/>
      <c r="D125" s="152"/>
      <c r="E125" s="152"/>
      <c r="F125" s="195"/>
      <c r="G125" s="152"/>
      <c r="H125" s="152"/>
      <c r="I125" s="152"/>
      <c r="J125" s="152"/>
      <c r="K125" s="152"/>
      <c r="L125" s="152"/>
      <c r="M125" s="152"/>
      <c r="N125" s="152"/>
      <c r="O125" s="152"/>
      <c r="P125" s="152"/>
      <c r="Q125" s="152"/>
      <c r="R125" s="152"/>
    </row>
    <row r="126">
      <c r="A126" s="152"/>
      <c r="B126" s="152"/>
      <c r="C126" s="152"/>
      <c r="D126" s="152"/>
      <c r="E126" s="152"/>
      <c r="F126" s="195"/>
      <c r="G126" s="152"/>
      <c r="H126" s="152"/>
      <c r="I126" s="152"/>
      <c r="J126" s="152"/>
      <c r="K126" s="152"/>
      <c r="L126" s="152"/>
      <c r="M126" s="152"/>
      <c r="N126" s="152"/>
      <c r="O126" s="152"/>
      <c r="P126" s="152"/>
      <c r="Q126" s="152"/>
      <c r="R126" s="152"/>
    </row>
    <row r="127">
      <c r="A127" s="152"/>
      <c r="B127" s="152"/>
      <c r="C127" s="152"/>
      <c r="D127" s="152"/>
      <c r="E127" s="152"/>
      <c r="F127" s="195"/>
      <c r="G127" s="152"/>
      <c r="H127" s="152"/>
      <c r="I127" s="152"/>
      <c r="J127" s="152"/>
      <c r="K127" s="152"/>
      <c r="L127" s="152"/>
      <c r="M127" s="152"/>
      <c r="N127" s="152"/>
      <c r="O127" s="152"/>
      <c r="P127" s="152"/>
      <c r="Q127" s="152"/>
      <c r="R127" s="152"/>
    </row>
    <row r="128">
      <c r="A128" s="152"/>
      <c r="B128" s="152"/>
      <c r="C128" s="152"/>
      <c r="D128" s="152"/>
      <c r="E128" s="152"/>
      <c r="F128" s="195"/>
      <c r="G128" s="152"/>
      <c r="H128" s="152"/>
      <c r="I128" s="152"/>
      <c r="J128" s="152"/>
      <c r="K128" s="152"/>
      <c r="L128" s="152"/>
      <c r="M128" s="152"/>
      <c r="N128" s="152"/>
      <c r="O128" s="152"/>
      <c r="P128" s="152"/>
      <c r="Q128" s="152"/>
      <c r="R128" s="152"/>
    </row>
    <row r="129">
      <c r="A129" s="152"/>
      <c r="B129" s="152"/>
      <c r="C129" s="152"/>
      <c r="D129" s="152"/>
      <c r="E129" s="152"/>
      <c r="F129" s="195"/>
      <c r="G129" s="152"/>
      <c r="H129" s="152"/>
      <c r="I129" s="152"/>
      <c r="J129" s="152"/>
      <c r="K129" s="152"/>
      <c r="L129" s="152"/>
      <c r="M129" s="152"/>
      <c r="N129" s="152"/>
      <c r="O129" s="152"/>
      <c r="P129" s="152"/>
      <c r="Q129" s="152"/>
      <c r="R129" s="152"/>
    </row>
    <row r="130">
      <c r="A130" s="152"/>
      <c r="B130" s="152"/>
      <c r="C130" s="152"/>
      <c r="D130" s="152"/>
      <c r="E130" s="152"/>
      <c r="F130" s="195"/>
      <c r="G130" s="152"/>
      <c r="H130" s="152"/>
      <c r="I130" s="152"/>
      <c r="J130" s="152"/>
      <c r="K130" s="152"/>
      <c r="L130" s="152"/>
      <c r="M130" s="152"/>
      <c r="N130" s="152"/>
      <c r="O130" s="152"/>
      <c r="P130" s="152"/>
      <c r="Q130" s="152"/>
      <c r="R130" s="152"/>
    </row>
    <row r="131">
      <c r="A131" s="152"/>
      <c r="B131" s="152"/>
      <c r="C131" s="152"/>
      <c r="D131" s="152"/>
      <c r="E131" s="152"/>
      <c r="F131" s="195"/>
      <c r="G131" s="152"/>
      <c r="H131" s="152"/>
      <c r="I131" s="152"/>
      <c r="J131" s="152"/>
      <c r="K131" s="152"/>
      <c r="L131" s="152"/>
      <c r="M131" s="152"/>
      <c r="N131" s="152"/>
      <c r="O131" s="152"/>
      <c r="P131" s="152"/>
      <c r="Q131" s="152"/>
      <c r="R131" s="152"/>
    </row>
    <row r="132">
      <c r="A132" s="152"/>
      <c r="B132" s="152"/>
      <c r="C132" s="152"/>
      <c r="D132" s="152"/>
      <c r="E132" s="152"/>
      <c r="F132" s="195"/>
      <c r="G132" s="152"/>
      <c r="H132" s="152"/>
      <c r="I132" s="152"/>
      <c r="J132" s="152"/>
      <c r="K132" s="152"/>
      <c r="L132" s="152"/>
      <c r="M132" s="152"/>
      <c r="N132" s="152"/>
      <c r="O132" s="152"/>
      <c r="P132" s="152"/>
      <c r="Q132" s="152"/>
      <c r="R132" s="152"/>
    </row>
    <row r="133">
      <c r="A133" s="152"/>
      <c r="B133" s="152"/>
      <c r="C133" s="152"/>
      <c r="D133" s="152"/>
      <c r="E133" s="152"/>
      <c r="F133" s="195"/>
      <c r="G133" s="152"/>
      <c r="H133" s="152"/>
      <c r="I133" s="152"/>
      <c r="J133" s="152"/>
      <c r="K133" s="152"/>
      <c r="L133" s="152"/>
      <c r="M133" s="152"/>
      <c r="N133" s="152"/>
      <c r="O133" s="152"/>
      <c r="P133" s="152"/>
      <c r="Q133" s="152"/>
      <c r="R133" s="152"/>
    </row>
    <row r="134">
      <c r="A134" s="152"/>
      <c r="B134" s="152"/>
      <c r="C134" s="152"/>
      <c r="D134" s="152"/>
      <c r="E134" s="152"/>
      <c r="F134" s="195"/>
      <c r="G134" s="152"/>
      <c r="H134" s="152"/>
      <c r="I134" s="152"/>
      <c r="J134" s="152"/>
      <c r="K134" s="152"/>
      <c r="L134" s="152"/>
      <c r="M134" s="152"/>
      <c r="N134" s="152"/>
      <c r="O134" s="152"/>
      <c r="P134" s="152"/>
      <c r="Q134" s="152"/>
      <c r="R134" s="152"/>
    </row>
    <row r="135">
      <c r="A135" s="152"/>
      <c r="B135" s="152"/>
      <c r="C135" s="152"/>
      <c r="D135" s="152"/>
      <c r="E135" s="152"/>
      <c r="F135" s="195"/>
      <c r="G135" s="152"/>
      <c r="H135" s="152"/>
      <c r="I135" s="152"/>
      <c r="J135" s="152"/>
      <c r="K135" s="152"/>
      <c r="L135" s="152"/>
      <c r="M135" s="152"/>
      <c r="N135" s="152"/>
      <c r="O135" s="152"/>
      <c r="P135" s="152"/>
      <c r="Q135" s="152"/>
      <c r="R135" s="152"/>
    </row>
    <row r="136">
      <c r="A136" s="152"/>
      <c r="B136" s="152"/>
      <c r="C136" s="152"/>
      <c r="D136" s="152"/>
      <c r="E136" s="152"/>
      <c r="F136" s="195"/>
      <c r="G136" s="152"/>
      <c r="H136" s="152"/>
      <c r="I136" s="152"/>
      <c r="J136" s="152"/>
      <c r="K136" s="152"/>
      <c r="L136" s="152"/>
      <c r="M136" s="152"/>
      <c r="N136" s="152"/>
      <c r="O136" s="152"/>
      <c r="P136" s="152"/>
      <c r="Q136" s="152"/>
      <c r="R136" s="152"/>
    </row>
    <row r="137">
      <c r="A137" s="152"/>
      <c r="B137" s="152"/>
      <c r="C137" s="152"/>
      <c r="D137" s="152"/>
      <c r="E137" s="152"/>
      <c r="F137" s="195"/>
      <c r="G137" s="152"/>
      <c r="H137" s="152"/>
      <c r="I137" s="152"/>
      <c r="J137" s="152"/>
      <c r="K137" s="152"/>
      <c r="L137" s="152"/>
      <c r="M137" s="152"/>
      <c r="N137" s="152"/>
      <c r="O137" s="152"/>
      <c r="P137" s="152"/>
      <c r="Q137" s="152"/>
      <c r="R137" s="152"/>
    </row>
    <row r="138">
      <c r="A138" s="152"/>
      <c r="B138" s="152"/>
      <c r="C138" s="152"/>
      <c r="D138" s="152"/>
      <c r="E138" s="152"/>
      <c r="F138" s="195"/>
      <c r="G138" s="152"/>
      <c r="H138" s="152"/>
      <c r="I138" s="152"/>
      <c r="J138" s="152"/>
      <c r="K138" s="152"/>
      <c r="L138" s="152"/>
      <c r="M138" s="152"/>
      <c r="N138" s="152"/>
      <c r="O138" s="152"/>
      <c r="P138" s="152"/>
      <c r="Q138" s="152"/>
      <c r="R138" s="152"/>
    </row>
    <row r="139">
      <c r="A139" s="152"/>
      <c r="B139" s="152"/>
      <c r="C139" s="152"/>
      <c r="D139" s="152"/>
      <c r="E139" s="152"/>
      <c r="F139" s="195"/>
      <c r="G139" s="152"/>
      <c r="H139" s="152"/>
      <c r="I139" s="152"/>
      <c r="J139" s="152"/>
      <c r="K139" s="152"/>
      <c r="L139" s="152"/>
      <c r="M139" s="152"/>
      <c r="N139" s="152"/>
      <c r="O139" s="152"/>
      <c r="P139" s="152"/>
      <c r="Q139" s="152"/>
      <c r="R139" s="152"/>
    </row>
    <row r="140">
      <c r="A140" s="152"/>
      <c r="B140" s="152"/>
      <c r="C140" s="152"/>
      <c r="D140" s="152"/>
      <c r="E140" s="152"/>
      <c r="F140" s="195"/>
      <c r="G140" s="152"/>
      <c r="H140" s="152"/>
      <c r="I140" s="152"/>
      <c r="J140" s="152"/>
      <c r="K140" s="152"/>
      <c r="L140" s="152"/>
      <c r="M140" s="152"/>
      <c r="N140" s="152"/>
      <c r="O140" s="152"/>
      <c r="P140" s="152"/>
      <c r="Q140" s="152"/>
      <c r="R140" s="152"/>
    </row>
    <row r="141">
      <c r="A141" s="152"/>
      <c r="B141" s="152"/>
      <c r="C141" s="152"/>
      <c r="D141" s="152"/>
      <c r="E141" s="152"/>
      <c r="F141" s="195"/>
      <c r="G141" s="152"/>
      <c r="H141" s="152"/>
      <c r="I141" s="152"/>
      <c r="J141" s="152"/>
      <c r="K141" s="152"/>
      <c r="L141" s="152"/>
      <c r="M141" s="152"/>
      <c r="N141" s="152"/>
      <c r="O141" s="152"/>
      <c r="P141" s="152"/>
      <c r="Q141" s="152"/>
      <c r="R141" s="152"/>
    </row>
    <row r="142">
      <c r="A142" s="152"/>
      <c r="B142" s="152"/>
      <c r="C142" s="152"/>
      <c r="D142" s="152"/>
      <c r="E142" s="152"/>
      <c r="F142" s="195"/>
      <c r="G142" s="152"/>
      <c r="H142" s="152"/>
      <c r="I142" s="152"/>
      <c r="J142" s="152"/>
      <c r="K142" s="152"/>
      <c r="L142" s="152"/>
      <c r="M142" s="152"/>
      <c r="N142" s="152"/>
      <c r="O142" s="152"/>
      <c r="P142" s="152"/>
      <c r="Q142" s="152"/>
      <c r="R142" s="152"/>
    </row>
    <row r="143">
      <c r="A143" s="152"/>
      <c r="B143" s="152"/>
      <c r="C143" s="152"/>
      <c r="D143" s="152"/>
      <c r="E143" s="152"/>
      <c r="F143" s="195"/>
      <c r="G143" s="152"/>
      <c r="H143" s="152"/>
      <c r="I143" s="152"/>
      <c r="J143" s="152"/>
      <c r="K143" s="152"/>
      <c r="L143" s="152"/>
      <c r="M143" s="152"/>
      <c r="N143" s="152"/>
      <c r="O143" s="152"/>
      <c r="P143" s="152"/>
      <c r="Q143" s="152"/>
      <c r="R143" s="152"/>
    </row>
    <row r="144">
      <c r="A144" s="152"/>
      <c r="B144" s="152"/>
      <c r="C144" s="152"/>
      <c r="D144" s="152"/>
      <c r="E144" s="152"/>
      <c r="F144" s="195"/>
      <c r="G144" s="152"/>
      <c r="H144" s="152"/>
      <c r="I144" s="152"/>
      <c r="J144" s="152"/>
      <c r="K144" s="152"/>
      <c r="L144" s="152"/>
      <c r="M144" s="152"/>
      <c r="N144" s="152"/>
      <c r="O144" s="152"/>
      <c r="P144" s="152"/>
      <c r="Q144" s="152"/>
      <c r="R144" s="152"/>
    </row>
    <row r="145">
      <c r="A145" s="152"/>
      <c r="B145" s="152"/>
      <c r="C145" s="152"/>
      <c r="D145" s="152"/>
      <c r="E145" s="152"/>
      <c r="F145" s="195"/>
      <c r="G145" s="152"/>
      <c r="H145" s="152"/>
      <c r="I145" s="152"/>
      <c r="J145" s="152"/>
      <c r="K145" s="152"/>
      <c r="L145" s="152"/>
      <c r="M145" s="152"/>
      <c r="N145" s="152"/>
      <c r="O145" s="152"/>
      <c r="P145" s="152"/>
      <c r="Q145" s="152"/>
      <c r="R145" s="152"/>
    </row>
    <row r="146">
      <c r="A146" s="152"/>
      <c r="B146" s="152"/>
      <c r="C146" s="152"/>
      <c r="D146" s="152"/>
      <c r="E146" s="152"/>
      <c r="F146" s="195"/>
      <c r="G146" s="152"/>
      <c r="H146" s="152"/>
      <c r="I146" s="152"/>
      <c r="J146" s="152"/>
      <c r="K146" s="152"/>
      <c r="L146" s="152"/>
      <c r="M146" s="152"/>
      <c r="N146" s="152"/>
      <c r="O146" s="152"/>
      <c r="P146" s="152"/>
      <c r="Q146" s="152"/>
      <c r="R146" s="152"/>
    </row>
    <row r="147">
      <c r="A147" s="152"/>
      <c r="B147" s="152"/>
      <c r="C147" s="152"/>
      <c r="D147" s="152"/>
      <c r="E147" s="152"/>
      <c r="F147" s="195"/>
      <c r="G147" s="152"/>
      <c r="H147" s="152"/>
      <c r="I147" s="152"/>
      <c r="J147" s="152"/>
      <c r="K147" s="152"/>
      <c r="L147" s="152"/>
      <c r="M147" s="152"/>
      <c r="N147" s="152"/>
      <c r="O147" s="152"/>
      <c r="P147" s="152"/>
      <c r="Q147" s="152"/>
      <c r="R147" s="152"/>
    </row>
    <row r="148">
      <c r="A148" s="152"/>
      <c r="B148" s="152"/>
      <c r="C148" s="152"/>
      <c r="D148" s="152"/>
      <c r="E148" s="152"/>
      <c r="F148" s="195"/>
      <c r="G148" s="152"/>
      <c r="H148" s="152"/>
      <c r="I148" s="152"/>
      <c r="J148" s="152"/>
      <c r="K148" s="152"/>
      <c r="L148" s="152"/>
      <c r="M148" s="152"/>
      <c r="N148" s="152"/>
      <c r="O148" s="152"/>
      <c r="P148" s="152"/>
      <c r="Q148" s="152"/>
      <c r="R148" s="152"/>
    </row>
    <row r="149">
      <c r="A149" s="152"/>
      <c r="B149" s="152"/>
      <c r="C149" s="152"/>
      <c r="D149" s="152"/>
      <c r="E149" s="152"/>
      <c r="F149" s="195"/>
      <c r="G149" s="152"/>
      <c r="H149" s="152"/>
      <c r="I149" s="152"/>
      <c r="J149" s="152"/>
      <c r="K149" s="152"/>
      <c r="L149" s="152"/>
      <c r="M149" s="152"/>
      <c r="N149" s="152"/>
      <c r="O149" s="152"/>
      <c r="P149" s="152"/>
      <c r="Q149" s="152"/>
      <c r="R149" s="152"/>
    </row>
    <row r="150">
      <c r="A150" s="152"/>
      <c r="B150" s="152"/>
      <c r="C150" s="152"/>
      <c r="D150" s="152"/>
      <c r="E150" s="152"/>
      <c r="F150" s="195"/>
      <c r="G150" s="152"/>
      <c r="H150" s="152"/>
      <c r="I150" s="152"/>
      <c r="J150" s="152"/>
      <c r="K150" s="152"/>
      <c r="L150" s="152"/>
      <c r="M150" s="152"/>
      <c r="N150" s="152"/>
      <c r="O150" s="152"/>
      <c r="P150" s="152"/>
      <c r="Q150" s="152"/>
      <c r="R150" s="152"/>
    </row>
    <row r="151">
      <c r="A151" s="152"/>
      <c r="B151" s="152"/>
      <c r="C151" s="152"/>
      <c r="D151" s="152"/>
      <c r="E151" s="152"/>
      <c r="F151" s="195"/>
      <c r="G151" s="152"/>
      <c r="H151" s="152"/>
      <c r="I151" s="152"/>
      <c r="J151" s="152"/>
      <c r="K151" s="152"/>
      <c r="L151" s="152"/>
      <c r="M151" s="152"/>
      <c r="N151" s="152"/>
      <c r="O151" s="152"/>
      <c r="P151" s="152"/>
      <c r="Q151" s="152"/>
      <c r="R151" s="152"/>
    </row>
    <row r="152">
      <c r="A152" s="152"/>
      <c r="B152" s="152"/>
      <c r="C152" s="152"/>
      <c r="D152" s="152"/>
      <c r="E152" s="152"/>
      <c r="F152" s="195"/>
      <c r="G152" s="152"/>
      <c r="H152" s="152"/>
      <c r="I152" s="152"/>
      <c r="J152" s="152"/>
      <c r="K152" s="152"/>
      <c r="L152" s="152"/>
      <c r="M152" s="152"/>
      <c r="N152" s="152"/>
      <c r="O152" s="152"/>
      <c r="P152" s="152"/>
      <c r="Q152" s="152"/>
      <c r="R152" s="152"/>
    </row>
    <row r="153">
      <c r="A153" s="152"/>
      <c r="B153" s="152"/>
      <c r="C153" s="152"/>
      <c r="D153" s="152"/>
      <c r="E153" s="152"/>
      <c r="F153" s="195"/>
      <c r="G153" s="152"/>
      <c r="H153" s="152"/>
      <c r="I153" s="152"/>
      <c r="J153" s="152"/>
      <c r="K153" s="152"/>
      <c r="L153" s="152"/>
      <c r="M153" s="152"/>
      <c r="N153" s="152"/>
      <c r="O153" s="152"/>
      <c r="P153" s="152"/>
      <c r="Q153" s="152"/>
      <c r="R153" s="152"/>
    </row>
    <row r="154">
      <c r="A154" s="152"/>
      <c r="B154" s="152"/>
      <c r="C154" s="152"/>
      <c r="D154" s="152"/>
      <c r="E154" s="152"/>
      <c r="F154" s="195"/>
      <c r="G154" s="152"/>
      <c r="H154" s="152"/>
      <c r="I154" s="152"/>
      <c r="J154" s="152"/>
      <c r="K154" s="152"/>
      <c r="L154" s="152"/>
      <c r="M154" s="152"/>
      <c r="N154" s="152"/>
      <c r="O154" s="152"/>
      <c r="P154" s="152"/>
      <c r="Q154" s="152"/>
      <c r="R154" s="152"/>
    </row>
    <row r="155">
      <c r="A155" s="152"/>
      <c r="B155" s="152"/>
      <c r="C155" s="152"/>
      <c r="D155" s="152"/>
      <c r="E155" s="152"/>
      <c r="F155" s="195"/>
      <c r="G155" s="152"/>
      <c r="H155" s="152"/>
      <c r="I155" s="152"/>
      <c r="J155" s="152"/>
      <c r="K155" s="152"/>
      <c r="L155" s="152"/>
      <c r="M155" s="152"/>
      <c r="N155" s="152"/>
      <c r="O155" s="152"/>
      <c r="P155" s="152"/>
      <c r="Q155" s="152"/>
      <c r="R155" s="152"/>
    </row>
    <row r="156">
      <c r="A156" s="152"/>
      <c r="B156" s="152"/>
      <c r="C156" s="152"/>
      <c r="D156" s="152"/>
      <c r="E156" s="152"/>
      <c r="F156" s="195"/>
      <c r="G156" s="152"/>
      <c r="H156" s="152"/>
      <c r="I156" s="152"/>
      <c r="J156" s="152"/>
      <c r="K156" s="152"/>
      <c r="L156" s="152"/>
      <c r="M156" s="152"/>
      <c r="N156" s="152"/>
      <c r="O156" s="152"/>
      <c r="P156" s="152"/>
      <c r="Q156" s="152"/>
      <c r="R156" s="152"/>
    </row>
    <row r="157">
      <c r="A157" s="152"/>
      <c r="B157" s="152"/>
      <c r="C157" s="152"/>
      <c r="D157" s="152"/>
      <c r="E157" s="152"/>
      <c r="F157" s="195"/>
      <c r="G157" s="152"/>
      <c r="H157" s="152"/>
      <c r="I157" s="152"/>
      <c r="J157" s="152"/>
      <c r="K157" s="152"/>
      <c r="L157" s="152"/>
      <c r="M157" s="152"/>
      <c r="N157" s="152"/>
      <c r="O157" s="152"/>
      <c r="P157" s="152"/>
      <c r="Q157" s="152"/>
      <c r="R157" s="152"/>
    </row>
    <row r="158">
      <c r="A158" s="152"/>
      <c r="B158" s="152"/>
      <c r="C158" s="152"/>
      <c r="D158" s="152"/>
      <c r="E158" s="152"/>
      <c r="F158" s="195"/>
      <c r="G158" s="152"/>
      <c r="H158" s="152"/>
      <c r="I158" s="152"/>
      <c r="J158" s="152"/>
      <c r="K158" s="152"/>
      <c r="L158" s="152"/>
      <c r="M158" s="152"/>
      <c r="N158" s="152"/>
      <c r="O158" s="152"/>
      <c r="P158" s="152"/>
      <c r="Q158" s="152"/>
      <c r="R158" s="152"/>
    </row>
    <row r="159">
      <c r="A159" s="152"/>
      <c r="B159" s="152"/>
      <c r="C159" s="152"/>
      <c r="D159" s="152"/>
      <c r="E159" s="152"/>
      <c r="F159" s="195"/>
      <c r="G159" s="152"/>
      <c r="H159" s="152"/>
      <c r="I159" s="152"/>
      <c r="J159" s="152"/>
      <c r="K159" s="152"/>
      <c r="L159" s="152"/>
      <c r="M159" s="152"/>
      <c r="N159" s="152"/>
      <c r="O159" s="152"/>
      <c r="P159" s="152"/>
      <c r="Q159" s="152"/>
      <c r="R159" s="152"/>
    </row>
    <row r="160">
      <c r="A160" s="152"/>
      <c r="B160" s="152"/>
      <c r="C160" s="152"/>
      <c r="D160" s="152"/>
      <c r="E160" s="152"/>
      <c r="F160" s="195"/>
      <c r="G160" s="152"/>
      <c r="H160" s="152"/>
      <c r="I160" s="152"/>
      <c r="J160" s="152"/>
      <c r="K160" s="152"/>
      <c r="L160" s="152"/>
      <c r="M160" s="152"/>
      <c r="N160" s="152"/>
      <c r="O160" s="152"/>
      <c r="P160" s="152"/>
      <c r="Q160" s="152"/>
      <c r="R160" s="152"/>
    </row>
    <row r="161">
      <c r="A161" s="152"/>
      <c r="B161" s="152"/>
      <c r="C161" s="152"/>
      <c r="D161" s="152"/>
      <c r="E161" s="152"/>
      <c r="F161" s="195"/>
      <c r="G161" s="152"/>
      <c r="H161" s="152"/>
      <c r="I161" s="152"/>
      <c r="J161" s="152"/>
      <c r="K161" s="152"/>
      <c r="L161" s="152"/>
      <c r="M161" s="152"/>
      <c r="N161" s="152"/>
      <c r="O161" s="152"/>
      <c r="P161" s="152"/>
      <c r="Q161" s="152"/>
      <c r="R161" s="152"/>
    </row>
    <row r="162">
      <c r="A162" s="152"/>
      <c r="B162" s="152"/>
      <c r="C162" s="152"/>
      <c r="D162" s="152"/>
      <c r="E162" s="152"/>
      <c r="F162" s="195"/>
      <c r="G162" s="152"/>
      <c r="H162" s="152"/>
      <c r="I162" s="152"/>
      <c r="J162" s="152"/>
      <c r="K162" s="152"/>
      <c r="L162" s="152"/>
      <c r="M162" s="152"/>
      <c r="N162" s="152"/>
      <c r="O162" s="152"/>
      <c r="P162" s="152"/>
      <c r="Q162" s="152"/>
      <c r="R162" s="152"/>
    </row>
    <row r="163">
      <c r="A163" s="152"/>
      <c r="B163" s="152"/>
      <c r="C163" s="152"/>
      <c r="D163" s="152"/>
      <c r="E163" s="152"/>
      <c r="F163" s="195"/>
      <c r="G163" s="152"/>
      <c r="H163" s="152"/>
      <c r="I163" s="152"/>
      <c r="J163" s="152"/>
      <c r="K163" s="152"/>
      <c r="L163" s="152"/>
      <c r="M163" s="152"/>
      <c r="N163" s="152"/>
      <c r="O163" s="152"/>
      <c r="P163" s="152"/>
      <c r="Q163" s="152"/>
      <c r="R163" s="152"/>
    </row>
    <row r="164">
      <c r="A164" s="152"/>
      <c r="B164" s="152"/>
      <c r="C164" s="152"/>
      <c r="D164" s="152"/>
      <c r="E164" s="152"/>
      <c r="F164" s="195"/>
      <c r="G164" s="152"/>
      <c r="H164" s="152"/>
      <c r="I164" s="152"/>
      <c r="J164" s="152"/>
      <c r="K164" s="152"/>
      <c r="L164" s="152"/>
      <c r="M164" s="152"/>
      <c r="N164" s="152"/>
      <c r="O164" s="152"/>
      <c r="P164" s="152"/>
      <c r="Q164" s="152"/>
      <c r="R164" s="152"/>
    </row>
    <row r="165">
      <c r="A165" s="152"/>
      <c r="B165" s="152"/>
      <c r="C165" s="152"/>
      <c r="D165" s="152"/>
      <c r="E165" s="152"/>
      <c r="F165" s="195"/>
      <c r="G165" s="152"/>
      <c r="H165" s="152"/>
      <c r="I165" s="152"/>
      <c r="J165" s="152"/>
      <c r="K165" s="152"/>
      <c r="L165" s="152"/>
      <c r="M165" s="152"/>
      <c r="N165" s="152"/>
      <c r="O165" s="152"/>
      <c r="P165" s="152"/>
      <c r="Q165" s="152"/>
      <c r="R165" s="152"/>
    </row>
    <row r="166">
      <c r="A166" s="152"/>
      <c r="B166" s="152"/>
      <c r="C166" s="152"/>
      <c r="D166" s="152"/>
      <c r="E166" s="152"/>
      <c r="F166" s="195"/>
      <c r="G166" s="152"/>
      <c r="H166" s="152"/>
      <c r="I166" s="152"/>
      <c r="J166" s="152"/>
      <c r="K166" s="152"/>
      <c r="L166" s="152"/>
      <c r="M166" s="152"/>
      <c r="N166" s="152"/>
      <c r="O166" s="152"/>
      <c r="P166" s="152"/>
      <c r="Q166" s="152"/>
      <c r="R166" s="152"/>
    </row>
    <row r="167">
      <c r="A167" s="152"/>
      <c r="B167" s="152"/>
      <c r="C167" s="152"/>
      <c r="D167" s="152"/>
      <c r="E167" s="152"/>
      <c r="F167" s="195"/>
      <c r="G167" s="152"/>
      <c r="H167" s="152"/>
      <c r="I167" s="152"/>
      <c r="J167" s="152"/>
      <c r="K167" s="152"/>
      <c r="L167" s="152"/>
      <c r="M167" s="152"/>
      <c r="N167" s="152"/>
      <c r="O167" s="152"/>
      <c r="P167" s="152"/>
      <c r="Q167" s="152"/>
      <c r="R167" s="152"/>
    </row>
    <row r="168">
      <c r="A168" s="152"/>
      <c r="B168" s="152"/>
      <c r="C168" s="152"/>
      <c r="D168" s="152"/>
      <c r="E168" s="152"/>
      <c r="F168" s="195"/>
      <c r="G168" s="152"/>
      <c r="H168" s="152"/>
      <c r="I168" s="152"/>
      <c r="J168" s="152"/>
      <c r="K168" s="152"/>
      <c r="L168" s="152"/>
      <c r="M168" s="152"/>
      <c r="N168" s="152"/>
      <c r="O168" s="152"/>
      <c r="P168" s="152"/>
      <c r="Q168" s="152"/>
      <c r="R168" s="152"/>
    </row>
    <row r="169">
      <c r="A169" s="152"/>
      <c r="B169" s="152"/>
      <c r="C169" s="152"/>
      <c r="D169" s="152"/>
      <c r="E169" s="152"/>
      <c r="F169" s="195"/>
      <c r="G169" s="152"/>
      <c r="H169" s="152"/>
      <c r="I169" s="152"/>
      <c r="J169" s="152"/>
      <c r="K169" s="152"/>
      <c r="L169" s="152"/>
      <c r="M169" s="152"/>
      <c r="N169" s="152"/>
      <c r="O169" s="152"/>
      <c r="P169" s="152"/>
      <c r="Q169" s="152"/>
      <c r="R169" s="152"/>
    </row>
    <row r="170">
      <c r="A170" s="152"/>
      <c r="B170" s="152"/>
      <c r="C170" s="152"/>
      <c r="D170" s="152"/>
      <c r="E170" s="152"/>
      <c r="F170" s="195"/>
      <c r="G170" s="152"/>
      <c r="H170" s="152"/>
      <c r="I170" s="152"/>
      <c r="J170" s="152"/>
      <c r="K170" s="152"/>
      <c r="L170" s="152"/>
      <c r="M170" s="152"/>
      <c r="N170" s="152"/>
      <c r="O170" s="152"/>
      <c r="P170" s="152"/>
      <c r="Q170" s="152"/>
      <c r="R170" s="152"/>
    </row>
    <row r="171">
      <c r="A171" s="152"/>
      <c r="B171" s="152"/>
      <c r="C171" s="152"/>
      <c r="D171" s="152"/>
      <c r="E171" s="152"/>
      <c r="F171" s="195"/>
      <c r="G171" s="152"/>
      <c r="H171" s="152"/>
      <c r="I171" s="152"/>
      <c r="J171" s="152"/>
      <c r="K171" s="152"/>
      <c r="L171" s="152"/>
      <c r="M171" s="152"/>
      <c r="N171" s="152"/>
      <c r="O171" s="152"/>
      <c r="P171" s="152"/>
      <c r="Q171" s="152"/>
      <c r="R171" s="152"/>
    </row>
    <row r="172">
      <c r="A172" s="152"/>
      <c r="B172" s="152"/>
      <c r="C172" s="152"/>
      <c r="D172" s="152"/>
      <c r="E172" s="152"/>
      <c r="F172" s="195"/>
      <c r="G172" s="152"/>
      <c r="H172" s="152"/>
      <c r="I172" s="152"/>
      <c r="J172" s="152"/>
      <c r="K172" s="152"/>
      <c r="L172" s="152"/>
      <c r="M172" s="152"/>
      <c r="N172" s="152"/>
      <c r="O172" s="152"/>
      <c r="P172" s="152"/>
      <c r="Q172" s="152"/>
      <c r="R172" s="152"/>
    </row>
    <row r="173">
      <c r="A173" s="152"/>
      <c r="B173" s="152"/>
      <c r="C173" s="152"/>
      <c r="D173" s="152"/>
      <c r="E173" s="152"/>
      <c r="F173" s="195"/>
      <c r="G173" s="152"/>
      <c r="H173" s="152"/>
      <c r="I173" s="152"/>
      <c r="J173" s="152"/>
      <c r="K173" s="152"/>
      <c r="L173" s="152"/>
      <c r="M173" s="152"/>
      <c r="N173" s="152"/>
      <c r="O173" s="152"/>
      <c r="P173" s="152"/>
      <c r="Q173" s="152"/>
      <c r="R173" s="152"/>
    </row>
    <row r="174">
      <c r="A174" s="152"/>
      <c r="B174" s="152"/>
      <c r="C174" s="152"/>
      <c r="D174" s="152"/>
      <c r="E174" s="152"/>
      <c r="F174" s="195"/>
      <c r="G174" s="152"/>
      <c r="H174" s="152"/>
      <c r="I174" s="152"/>
      <c r="J174" s="152"/>
      <c r="K174" s="152"/>
      <c r="L174" s="152"/>
      <c r="M174" s="152"/>
      <c r="N174" s="152"/>
      <c r="O174" s="152"/>
      <c r="P174" s="152"/>
      <c r="Q174" s="152"/>
      <c r="R174" s="152"/>
    </row>
    <row r="175">
      <c r="A175" s="152"/>
      <c r="B175" s="152"/>
      <c r="C175" s="152"/>
      <c r="D175" s="152"/>
      <c r="E175" s="152"/>
      <c r="F175" s="195"/>
      <c r="G175" s="152"/>
      <c r="H175" s="152"/>
      <c r="I175" s="152"/>
      <c r="J175" s="152"/>
      <c r="K175" s="152"/>
      <c r="L175" s="152"/>
      <c r="M175" s="152"/>
      <c r="N175" s="152"/>
      <c r="O175" s="152"/>
      <c r="P175" s="152"/>
      <c r="Q175" s="152"/>
      <c r="R175" s="152"/>
    </row>
    <row r="176">
      <c r="A176" s="152"/>
      <c r="B176" s="152"/>
      <c r="C176" s="152"/>
      <c r="D176" s="152"/>
      <c r="E176" s="152"/>
      <c r="F176" s="195"/>
      <c r="G176" s="152"/>
      <c r="H176" s="152"/>
      <c r="I176" s="152"/>
      <c r="J176" s="152"/>
      <c r="K176" s="152"/>
      <c r="L176" s="152"/>
      <c r="M176" s="152"/>
      <c r="N176" s="152"/>
      <c r="O176" s="152"/>
      <c r="P176" s="152"/>
      <c r="Q176" s="152"/>
      <c r="R176" s="152"/>
    </row>
    <row r="177">
      <c r="A177" s="152"/>
      <c r="B177" s="152"/>
      <c r="C177" s="152"/>
      <c r="D177" s="152"/>
      <c r="E177" s="152"/>
      <c r="F177" s="195"/>
      <c r="G177" s="152"/>
      <c r="H177" s="152"/>
      <c r="I177" s="152"/>
      <c r="J177" s="152"/>
      <c r="K177" s="152"/>
      <c r="L177" s="152"/>
      <c r="M177" s="152"/>
      <c r="N177" s="152"/>
      <c r="O177" s="152"/>
      <c r="P177" s="152"/>
      <c r="Q177" s="152"/>
      <c r="R177" s="152"/>
    </row>
    <row r="178">
      <c r="A178" s="152"/>
      <c r="B178" s="152"/>
      <c r="C178" s="152"/>
      <c r="D178" s="152"/>
      <c r="E178" s="152"/>
      <c r="F178" s="195"/>
      <c r="G178" s="152"/>
      <c r="H178" s="152"/>
      <c r="I178" s="152"/>
      <c r="J178" s="152"/>
      <c r="K178" s="152"/>
      <c r="L178" s="152"/>
      <c r="M178" s="152"/>
      <c r="N178" s="152"/>
      <c r="O178" s="152"/>
      <c r="P178" s="152"/>
      <c r="Q178" s="152"/>
      <c r="R178" s="152"/>
    </row>
    <row r="179">
      <c r="A179" s="152"/>
      <c r="B179" s="152"/>
      <c r="C179" s="152"/>
      <c r="D179" s="152"/>
      <c r="E179" s="152"/>
      <c r="F179" s="195"/>
      <c r="G179" s="152"/>
      <c r="H179" s="152"/>
      <c r="I179" s="152"/>
      <c r="J179" s="152"/>
      <c r="K179" s="152"/>
      <c r="L179" s="152"/>
      <c r="M179" s="152"/>
      <c r="N179" s="152"/>
      <c r="O179" s="152"/>
      <c r="P179" s="152"/>
      <c r="Q179" s="152"/>
      <c r="R179" s="152"/>
    </row>
    <row r="180">
      <c r="A180" s="152"/>
      <c r="B180" s="152"/>
      <c r="C180" s="152"/>
      <c r="D180" s="152"/>
      <c r="E180" s="152"/>
      <c r="F180" s="195"/>
      <c r="G180" s="152"/>
      <c r="H180" s="152"/>
      <c r="I180" s="152"/>
      <c r="J180" s="152"/>
      <c r="K180" s="152"/>
      <c r="L180" s="152"/>
      <c r="M180" s="152"/>
      <c r="N180" s="152"/>
      <c r="O180" s="152"/>
      <c r="P180" s="152"/>
      <c r="Q180" s="152"/>
      <c r="R180" s="152"/>
    </row>
    <row r="181">
      <c r="A181" s="152"/>
      <c r="B181" s="152"/>
      <c r="C181" s="152"/>
      <c r="D181" s="152"/>
      <c r="E181" s="152"/>
      <c r="F181" s="195"/>
      <c r="G181" s="152"/>
      <c r="H181" s="152"/>
      <c r="I181" s="152"/>
      <c r="J181" s="152"/>
      <c r="K181" s="152"/>
      <c r="L181" s="152"/>
      <c r="M181" s="152"/>
      <c r="N181" s="152"/>
      <c r="O181" s="152"/>
      <c r="P181" s="152"/>
      <c r="Q181" s="152"/>
      <c r="R181" s="152"/>
    </row>
    <row r="182">
      <c r="A182" s="152"/>
      <c r="B182" s="152"/>
      <c r="C182" s="152"/>
      <c r="D182" s="152"/>
      <c r="E182" s="152"/>
      <c r="F182" s="195"/>
      <c r="G182" s="152"/>
      <c r="H182" s="152"/>
      <c r="I182" s="152"/>
      <c r="J182" s="152"/>
      <c r="K182" s="152"/>
      <c r="L182" s="152"/>
      <c r="M182" s="152"/>
      <c r="N182" s="152"/>
      <c r="O182" s="152"/>
      <c r="P182" s="152"/>
      <c r="Q182" s="152"/>
      <c r="R182" s="152"/>
    </row>
    <row r="183">
      <c r="A183" s="152"/>
      <c r="B183" s="152"/>
      <c r="C183" s="152"/>
      <c r="D183" s="152"/>
      <c r="E183" s="152"/>
      <c r="F183" s="195"/>
      <c r="G183" s="152"/>
      <c r="H183" s="152"/>
      <c r="I183" s="152"/>
      <c r="J183" s="152"/>
      <c r="K183" s="152"/>
      <c r="L183" s="152"/>
      <c r="M183" s="152"/>
      <c r="N183" s="152"/>
      <c r="O183" s="152"/>
      <c r="P183" s="152"/>
      <c r="Q183" s="152"/>
      <c r="R183" s="152"/>
    </row>
    <row r="184">
      <c r="A184" s="152"/>
      <c r="B184" s="152"/>
      <c r="C184" s="152"/>
      <c r="D184" s="152"/>
      <c r="E184" s="152"/>
      <c r="F184" s="195"/>
      <c r="G184" s="152"/>
      <c r="H184" s="152"/>
      <c r="I184" s="152"/>
      <c r="J184" s="152"/>
      <c r="K184" s="152"/>
      <c r="L184" s="152"/>
      <c r="M184" s="152"/>
      <c r="N184" s="152"/>
      <c r="O184" s="152"/>
      <c r="P184" s="152"/>
      <c r="Q184" s="152"/>
      <c r="R184" s="152"/>
    </row>
    <row r="185">
      <c r="A185" s="152"/>
      <c r="B185" s="152"/>
      <c r="C185" s="152"/>
      <c r="D185" s="152"/>
      <c r="E185" s="152"/>
      <c r="F185" s="195"/>
      <c r="G185" s="152"/>
      <c r="H185" s="152"/>
      <c r="I185" s="152"/>
      <c r="J185" s="152"/>
      <c r="K185" s="152"/>
      <c r="L185" s="152"/>
      <c r="M185" s="152"/>
      <c r="N185" s="152"/>
      <c r="O185" s="152"/>
      <c r="P185" s="152"/>
      <c r="Q185" s="152"/>
      <c r="R185" s="152"/>
    </row>
    <row r="186">
      <c r="A186" s="152"/>
      <c r="B186" s="152"/>
      <c r="C186" s="152"/>
      <c r="D186" s="152"/>
      <c r="E186" s="152"/>
      <c r="F186" s="195"/>
      <c r="G186" s="152"/>
      <c r="H186" s="152"/>
      <c r="I186" s="152"/>
      <c r="J186" s="152"/>
      <c r="K186" s="152"/>
      <c r="L186" s="152"/>
      <c r="M186" s="152"/>
      <c r="N186" s="152"/>
      <c r="O186" s="152"/>
      <c r="P186" s="152"/>
      <c r="Q186" s="152"/>
      <c r="R186" s="152"/>
    </row>
    <row r="187">
      <c r="A187" s="152"/>
      <c r="B187" s="152"/>
      <c r="C187" s="152"/>
      <c r="D187" s="152"/>
      <c r="E187" s="152"/>
      <c r="F187" s="195"/>
      <c r="G187" s="152"/>
      <c r="H187" s="152"/>
      <c r="I187" s="152"/>
      <c r="J187" s="152"/>
      <c r="K187" s="152"/>
      <c r="L187" s="152"/>
      <c r="M187" s="152"/>
      <c r="N187" s="152"/>
      <c r="O187" s="152"/>
      <c r="P187" s="152"/>
      <c r="Q187" s="152"/>
      <c r="R187" s="152"/>
    </row>
    <row r="188">
      <c r="A188" s="152"/>
      <c r="B188" s="152"/>
      <c r="C188" s="152"/>
      <c r="D188" s="152"/>
      <c r="E188" s="152"/>
      <c r="F188" s="195"/>
      <c r="G188" s="152"/>
      <c r="H188" s="152"/>
      <c r="I188" s="152"/>
      <c r="J188" s="152"/>
      <c r="K188" s="152"/>
      <c r="L188" s="152"/>
      <c r="M188" s="152"/>
      <c r="N188" s="152"/>
      <c r="O188" s="152"/>
      <c r="P188" s="152"/>
      <c r="Q188" s="152"/>
      <c r="R188" s="152"/>
    </row>
    <row r="189">
      <c r="A189" s="152"/>
      <c r="B189" s="152"/>
      <c r="C189" s="152"/>
      <c r="D189" s="152"/>
      <c r="E189" s="152"/>
      <c r="F189" s="195"/>
      <c r="G189" s="152"/>
      <c r="H189" s="152"/>
      <c r="I189" s="152"/>
      <c r="J189" s="152"/>
      <c r="K189" s="152"/>
      <c r="L189" s="152"/>
      <c r="M189" s="152"/>
      <c r="N189" s="152"/>
      <c r="O189" s="152"/>
      <c r="P189" s="152"/>
      <c r="Q189" s="152"/>
      <c r="R189" s="152"/>
    </row>
    <row r="190">
      <c r="A190" s="152"/>
      <c r="B190" s="152"/>
      <c r="C190" s="152"/>
      <c r="D190" s="152"/>
      <c r="E190" s="152"/>
      <c r="F190" s="195"/>
      <c r="G190" s="152"/>
      <c r="H190" s="152"/>
      <c r="I190" s="152"/>
      <c r="J190" s="152"/>
      <c r="K190" s="152"/>
      <c r="L190" s="152"/>
      <c r="M190" s="152"/>
      <c r="N190" s="152"/>
      <c r="O190" s="152"/>
      <c r="P190" s="152"/>
      <c r="Q190" s="152"/>
      <c r="R190" s="152"/>
    </row>
    <row r="191">
      <c r="A191" s="152"/>
      <c r="B191" s="152"/>
      <c r="C191" s="152"/>
      <c r="D191" s="152"/>
      <c r="E191" s="152"/>
      <c r="F191" s="195"/>
      <c r="G191" s="152"/>
      <c r="H191" s="152"/>
      <c r="I191" s="152"/>
      <c r="J191" s="152"/>
      <c r="K191" s="152"/>
      <c r="L191" s="152"/>
      <c r="M191" s="152"/>
      <c r="N191" s="152"/>
      <c r="O191" s="152"/>
      <c r="P191" s="152"/>
      <c r="Q191" s="152"/>
      <c r="R191" s="152"/>
    </row>
    <row r="192">
      <c r="A192" s="152"/>
      <c r="B192" s="152"/>
      <c r="C192" s="152"/>
      <c r="D192" s="152"/>
      <c r="E192" s="152"/>
      <c r="F192" s="195"/>
      <c r="G192" s="152"/>
      <c r="H192" s="152"/>
      <c r="I192" s="152"/>
      <c r="J192" s="152"/>
      <c r="K192" s="152"/>
      <c r="L192" s="152"/>
      <c r="M192" s="152"/>
      <c r="N192" s="152"/>
      <c r="O192" s="152"/>
      <c r="P192" s="152"/>
      <c r="Q192" s="152"/>
      <c r="R192" s="152"/>
    </row>
    <row r="193">
      <c r="A193" s="152"/>
      <c r="B193" s="152"/>
      <c r="C193" s="152"/>
      <c r="D193" s="152"/>
      <c r="E193" s="152"/>
      <c r="F193" s="195"/>
      <c r="G193" s="152"/>
      <c r="H193" s="152"/>
      <c r="I193" s="152"/>
      <c r="J193" s="152"/>
      <c r="K193" s="152"/>
      <c r="L193" s="152"/>
      <c r="M193" s="152"/>
      <c r="N193" s="152"/>
      <c r="O193" s="152"/>
      <c r="P193" s="152"/>
      <c r="Q193" s="152"/>
      <c r="R193" s="152"/>
    </row>
    <row r="194">
      <c r="A194" s="152"/>
      <c r="B194" s="152"/>
      <c r="C194" s="152"/>
      <c r="D194" s="152"/>
      <c r="E194" s="152"/>
      <c r="F194" s="195"/>
      <c r="G194" s="152"/>
      <c r="H194" s="152"/>
      <c r="I194" s="152"/>
      <c r="J194" s="152"/>
      <c r="K194" s="152"/>
      <c r="L194" s="152"/>
      <c r="M194" s="152"/>
      <c r="N194" s="152"/>
      <c r="O194" s="152"/>
      <c r="P194" s="152"/>
      <c r="Q194" s="152"/>
      <c r="R194" s="152"/>
    </row>
    <row r="195">
      <c r="A195" s="152"/>
      <c r="B195" s="152"/>
      <c r="C195" s="152"/>
      <c r="D195" s="152"/>
      <c r="E195" s="152"/>
      <c r="F195" s="195"/>
      <c r="G195" s="152"/>
      <c r="H195" s="152"/>
      <c r="I195" s="152"/>
      <c r="J195" s="152"/>
      <c r="K195" s="152"/>
      <c r="L195" s="152"/>
      <c r="M195" s="152"/>
      <c r="N195" s="152"/>
      <c r="O195" s="152"/>
      <c r="P195" s="152"/>
      <c r="Q195" s="152"/>
      <c r="R195" s="152"/>
    </row>
    <row r="196">
      <c r="A196" s="152"/>
      <c r="B196" s="152"/>
      <c r="C196" s="152"/>
      <c r="D196" s="152"/>
      <c r="E196" s="152"/>
      <c r="F196" s="195"/>
      <c r="G196" s="152"/>
      <c r="H196" s="152"/>
      <c r="I196" s="152"/>
      <c r="J196" s="152"/>
      <c r="K196" s="152"/>
      <c r="L196" s="152"/>
      <c r="M196" s="152"/>
      <c r="N196" s="152"/>
      <c r="O196" s="152"/>
      <c r="P196" s="152"/>
      <c r="Q196" s="152"/>
      <c r="R196" s="152"/>
    </row>
    <row r="197">
      <c r="A197" s="152"/>
      <c r="B197" s="152"/>
      <c r="C197" s="152"/>
      <c r="D197" s="152"/>
      <c r="E197" s="152"/>
      <c r="F197" s="195"/>
      <c r="G197" s="152"/>
      <c r="H197" s="152"/>
      <c r="I197" s="152"/>
      <c r="J197" s="152"/>
      <c r="K197" s="152"/>
      <c r="L197" s="152"/>
      <c r="M197" s="152"/>
      <c r="N197" s="152"/>
      <c r="O197" s="152"/>
      <c r="P197" s="152"/>
      <c r="Q197" s="152"/>
      <c r="R197" s="152"/>
    </row>
    <row r="198">
      <c r="A198" s="152"/>
      <c r="B198" s="152"/>
      <c r="C198" s="152"/>
      <c r="D198" s="152"/>
      <c r="E198" s="152"/>
      <c r="F198" s="195"/>
      <c r="G198" s="152"/>
      <c r="H198" s="152"/>
      <c r="I198" s="152"/>
      <c r="J198" s="152"/>
      <c r="K198" s="152"/>
      <c r="L198" s="152"/>
      <c r="M198" s="152"/>
      <c r="N198" s="152"/>
      <c r="O198" s="152"/>
      <c r="P198" s="152"/>
      <c r="Q198" s="152"/>
      <c r="R198" s="152"/>
    </row>
    <row r="199">
      <c r="A199" s="152"/>
      <c r="B199" s="152"/>
      <c r="C199" s="152"/>
      <c r="D199" s="152"/>
      <c r="E199" s="152"/>
      <c r="F199" s="195"/>
      <c r="G199" s="152"/>
      <c r="H199" s="152"/>
      <c r="I199" s="152"/>
      <c r="J199" s="152"/>
      <c r="K199" s="152"/>
      <c r="L199" s="152"/>
      <c r="M199" s="152"/>
      <c r="N199" s="152"/>
      <c r="O199" s="152"/>
      <c r="P199" s="152"/>
      <c r="Q199" s="152"/>
      <c r="R199" s="152"/>
    </row>
    <row r="200">
      <c r="A200" s="152"/>
      <c r="B200" s="152"/>
      <c r="C200" s="152"/>
      <c r="D200" s="152"/>
      <c r="E200" s="152"/>
      <c r="F200" s="195"/>
      <c r="G200" s="152"/>
      <c r="H200" s="152"/>
      <c r="I200" s="152"/>
      <c r="J200" s="152"/>
      <c r="K200" s="152"/>
      <c r="L200" s="152"/>
      <c r="M200" s="152"/>
      <c r="N200" s="152"/>
      <c r="O200" s="152"/>
      <c r="P200" s="152"/>
      <c r="Q200" s="152"/>
      <c r="R200" s="152"/>
    </row>
    <row r="201">
      <c r="A201" s="152"/>
      <c r="B201" s="152"/>
      <c r="C201" s="152"/>
      <c r="D201" s="152"/>
      <c r="E201" s="152"/>
      <c r="F201" s="195"/>
      <c r="G201" s="152"/>
      <c r="H201" s="152"/>
      <c r="I201" s="152"/>
      <c r="J201" s="152"/>
      <c r="K201" s="152"/>
      <c r="L201" s="152"/>
      <c r="M201" s="152"/>
      <c r="N201" s="152"/>
      <c r="O201" s="152"/>
      <c r="P201" s="152"/>
      <c r="Q201" s="152"/>
      <c r="R201" s="152"/>
    </row>
    <row r="202">
      <c r="A202" s="152"/>
      <c r="B202" s="152"/>
      <c r="C202" s="152"/>
      <c r="D202" s="152"/>
      <c r="E202" s="152"/>
      <c r="F202" s="195"/>
      <c r="G202" s="152"/>
      <c r="H202" s="152"/>
      <c r="I202" s="152"/>
      <c r="J202" s="152"/>
      <c r="K202" s="152"/>
      <c r="L202" s="152"/>
      <c r="M202" s="152"/>
      <c r="N202" s="152"/>
      <c r="O202" s="152"/>
      <c r="P202" s="152"/>
      <c r="Q202" s="152"/>
      <c r="R202" s="152"/>
    </row>
    <row r="203">
      <c r="A203" s="152"/>
      <c r="B203" s="152"/>
      <c r="C203" s="152"/>
      <c r="D203" s="152"/>
      <c r="E203" s="152"/>
      <c r="F203" s="195"/>
      <c r="G203" s="152"/>
      <c r="H203" s="152"/>
      <c r="I203" s="152"/>
      <c r="J203" s="152"/>
      <c r="K203" s="152"/>
      <c r="L203" s="152"/>
      <c r="M203" s="152"/>
      <c r="N203" s="152"/>
      <c r="O203" s="152"/>
      <c r="P203" s="152"/>
      <c r="Q203" s="152"/>
      <c r="R203" s="152"/>
    </row>
    <row r="204">
      <c r="A204" s="152"/>
      <c r="B204" s="152"/>
      <c r="C204" s="152"/>
      <c r="D204" s="152"/>
      <c r="E204" s="152"/>
      <c r="F204" s="195"/>
      <c r="G204" s="152"/>
      <c r="H204" s="152"/>
      <c r="I204" s="152"/>
      <c r="J204" s="152"/>
      <c r="K204" s="152"/>
      <c r="L204" s="152"/>
      <c r="M204" s="152"/>
      <c r="N204" s="152"/>
      <c r="O204" s="152"/>
      <c r="P204" s="152"/>
      <c r="Q204" s="152"/>
      <c r="R204" s="152"/>
    </row>
    <row r="205">
      <c r="A205" s="152"/>
      <c r="B205" s="152"/>
      <c r="C205" s="152"/>
      <c r="D205" s="152"/>
      <c r="E205" s="152"/>
      <c r="F205" s="195"/>
      <c r="G205" s="152"/>
      <c r="H205" s="152"/>
      <c r="I205" s="152"/>
      <c r="J205" s="152"/>
      <c r="K205" s="152"/>
      <c r="L205" s="152"/>
      <c r="M205" s="152"/>
      <c r="N205" s="152"/>
      <c r="O205" s="152"/>
      <c r="P205" s="152"/>
      <c r="Q205" s="152"/>
      <c r="R205" s="152"/>
    </row>
    <row r="206">
      <c r="A206" s="152"/>
      <c r="B206" s="152"/>
      <c r="C206" s="152"/>
      <c r="D206" s="152"/>
      <c r="E206" s="152"/>
      <c r="F206" s="195"/>
      <c r="G206" s="152"/>
      <c r="H206" s="152"/>
      <c r="I206" s="152"/>
      <c r="J206" s="152"/>
      <c r="K206" s="152"/>
      <c r="L206" s="152"/>
      <c r="M206" s="152"/>
      <c r="N206" s="152"/>
      <c r="O206" s="152"/>
      <c r="P206" s="152"/>
      <c r="Q206" s="152"/>
      <c r="R206" s="152"/>
    </row>
    <row r="207">
      <c r="A207" s="152"/>
      <c r="B207" s="152"/>
      <c r="C207" s="152"/>
      <c r="D207" s="152"/>
      <c r="E207" s="152"/>
      <c r="F207" s="195"/>
      <c r="G207" s="152"/>
      <c r="H207" s="152"/>
      <c r="I207" s="152"/>
      <c r="J207" s="152"/>
      <c r="K207" s="152"/>
      <c r="L207" s="152"/>
      <c r="M207" s="152"/>
      <c r="N207" s="152"/>
      <c r="O207" s="152"/>
      <c r="P207" s="152"/>
      <c r="Q207" s="152"/>
      <c r="R207" s="152"/>
    </row>
    <row r="208">
      <c r="A208" s="152"/>
      <c r="B208" s="152"/>
      <c r="C208" s="152"/>
      <c r="D208" s="152"/>
      <c r="E208" s="152"/>
      <c r="F208" s="195"/>
      <c r="G208" s="152"/>
      <c r="H208" s="152"/>
      <c r="I208" s="152"/>
      <c r="J208" s="152"/>
      <c r="K208" s="152"/>
      <c r="L208" s="152"/>
      <c r="M208" s="152"/>
      <c r="N208" s="152"/>
      <c r="O208" s="152"/>
      <c r="P208" s="152"/>
      <c r="Q208" s="152"/>
      <c r="R208" s="152"/>
    </row>
    <row r="209">
      <c r="A209" s="152"/>
      <c r="B209" s="152"/>
      <c r="C209" s="152"/>
      <c r="D209" s="152"/>
      <c r="E209" s="152"/>
      <c r="F209" s="195"/>
      <c r="G209" s="152"/>
      <c r="H209" s="152"/>
      <c r="I209" s="152"/>
      <c r="J209" s="152"/>
      <c r="K209" s="152"/>
      <c r="L209" s="152"/>
      <c r="M209" s="152"/>
      <c r="N209" s="152"/>
      <c r="O209" s="152"/>
      <c r="P209" s="152"/>
      <c r="Q209" s="152"/>
      <c r="R209" s="152"/>
    </row>
    <row r="210">
      <c r="A210" s="152"/>
      <c r="B210" s="152"/>
      <c r="C210" s="152"/>
      <c r="D210" s="152"/>
      <c r="E210" s="152"/>
      <c r="F210" s="195"/>
      <c r="G210" s="152"/>
      <c r="H210" s="152"/>
      <c r="I210" s="152"/>
      <c r="J210" s="152"/>
      <c r="K210" s="152"/>
      <c r="L210" s="152"/>
      <c r="M210" s="152"/>
      <c r="N210" s="152"/>
      <c r="O210" s="152"/>
      <c r="P210" s="152"/>
      <c r="Q210" s="152"/>
      <c r="R210" s="152"/>
    </row>
    <row r="211">
      <c r="A211" s="152"/>
      <c r="B211" s="152"/>
      <c r="C211" s="152"/>
      <c r="D211" s="152"/>
      <c r="E211" s="152"/>
      <c r="F211" s="195"/>
      <c r="G211" s="152"/>
      <c r="H211" s="152"/>
      <c r="I211" s="152"/>
      <c r="J211" s="152"/>
      <c r="K211" s="152"/>
      <c r="L211" s="152"/>
      <c r="M211" s="152"/>
      <c r="N211" s="152"/>
      <c r="O211" s="152"/>
      <c r="P211" s="152"/>
      <c r="Q211" s="152"/>
      <c r="R211" s="152"/>
    </row>
    <row r="212">
      <c r="A212" s="152"/>
      <c r="B212" s="152"/>
      <c r="C212" s="152"/>
      <c r="D212" s="152"/>
      <c r="E212" s="152"/>
      <c r="F212" s="195"/>
      <c r="G212" s="152"/>
      <c r="H212" s="152"/>
      <c r="I212" s="152"/>
      <c r="J212" s="152"/>
      <c r="K212" s="152"/>
      <c r="L212" s="152"/>
      <c r="M212" s="152"/>
      <c r="N212" s="152"/>
      <c r="O212" s="152"/>
      <c r="P212" s="152"/>
      <c r="Q212" s="152"/>
      <c r="R212" s="152"/>
    </row>
    <row r="213">
      <c r="A213" s="152"/>
      <c r="B213" s="152"/>
      <c r="C213" s="152"/>
      <c r="D213" s="152"/>
      <c r="E213" s="152"/>
      <c r="F213" s="195"/>
      <c r="G213" s="152"/>
      <c r="H213" s="152"/>
      <c r="I213" s="152"/>
      <c r="J213" s="152"/>
      <c r="K213" s="152"/>
      <c r="L213" s="152"/>
      <c r="M213" s="152"/>
      <c r="N213" s="152"/>
      <c r="O213" s="152"/>
      <c r="P213" s="152"/>
      <c r="Q213" s="152"/>
      <c r="R213" s="152"/>
    </row>
    <row r="214">
      <c r="A214" s="152"/>
      <c r="B214" s="152"/>
      <c r="C214" s="152"/>
      <c r="D214" s="152"/>
      <c r="E214" s="152"/>
      <c r="F214" s="195"/>
      <c r="G214" s="152"/>
      <c r="H214" s="152"/>
      <c r="I214" s="152"/>
      <c r="J214" s="152"/>
      <c r="K214" s="152"/>
      <c r="L214" s="152"/>
      <c r="M214" s="152"/>
      <c r="N214" s="152"/>
      <c r="O214" s="152"/>
      <c r="P214" s="152"/>
      <c r="Q214" s="152"/>
      <c r="R214" s="152"/>
    </row>
    <row r="215">
      <c r="A215" s="152"/>
      <c r="B215" s="152"/>
      <c r="C215" s="152"/>
      <c r="D215" s="152"/>
      <c r="E215" s="152"/>
      <c r="F215" s="195"/>
      <c r="G215" s="152"/>
      <c r="H215" s="152"/>
      <c r="I215" s="152"/>
      <c r="J215" s="152"/>
      <c r="K215" s="152"/>
      <c r="L215" s="152"/>
      <c r="M215" s="152"/>
      <c r="N215" s="152"/>
      <c r="O215" s="152"/>
      <c r="P215" s="152"/>
      <c r="Q215" s="152"/>
      <c r="R215" s="152"/>
    </row>
    <row r="216">
      <c r="A216" s="152"/>
      <c r="B216" s="152"/>
      <c r="C216" s="152"/>
      <c r="D216" s="152"/>
      <c r="E216" s="152"/>
      <c r="F216" s="195"/>
      <c r="G216" s="152"/>
      <c r="H216" s="152"/>
      <c r="I216" s="152"/>
      <c r="J216" s="152"/>
      <c r="K216" s="152"/>
      <c r="L216" s="152"/>
      <c r="M216" s="152"/>
      <c r="N216" s="152"/>
      <c r="O216" s="152"/>
      <c r="P216" s="152"/>
      <c r="Q216" s="152"/>
      <c r="R216" s="152"/>
    </row>
    <row r="217">
      <c r="A217" s="152"/>
      <c r="B217" s="152"/>
      <c r="C217" s="152"/>
      <c r="D217" s="152"/>
      <c r="E217" s="152"/>
      <c r="F217" s="195"/>
      <c r="G217" s="152"/>
      <c r="H217" s="152"/>
      <c r="I217" s="152"/>
      <c r="J217" s="152"/>
      <c r="K217" s="152"/>
      <c r="L217" s="152"/>
      <c r="M217" s="152"/>
      <c r="N217" s="152"/>
      <c r="O217" s="152"/>
      <c r="P217" s="152"/>
      <c r="Q217" s="152"/>
      <c r="R217" s="152"/>
    </row>
    <row r="218">
      <c r="A218" s="152"/>
      <c r="B218" s="152"/>
      <c r="C218" s="152"/>
      <c r="D218" s="152"/>
      <c r="E218" s="152"/>
      <c r="F218" s="195"/>
      <c r="G218" s="152"/>
      <c r="H218" s="152"/>
      <c r="I218" s="152"/>
      <c r="J218" s="152"/>
      <c r="K218" s="152"/>
      <c r="L218" s="152"/>
      <c r="M218" s="152"/>
      <c r="N218" s="152"/>
      <c r="O218" s="152"/>
      <c r="P218" s="152"/>
      <c r="Q218" s="152"/>
      <c r="R218" s="152"/>
    </row>
    <row r="219">
      <c r="A219" s="152"/>
      <c r="B219" s="152"/>
      <c r="C219" s="152"/>
      <c r="D219" s="152"/>
      <c r="E219" s="152"/>
      <c r="F219" s="195"/>
      <c r="G219" s="152"/>
      <c r="H219" s="152"/>
      <c r="I219" s="152"/>
      <c r="J219" s="152"/>
      <c r="K219" s="152"/>
      <c r="L219" s="152"/>
      <c r="M219" s="152"/>
      <c r="N219" s="152"/>
      <c r="O219" s="152"/>
      <c r="P219" s="152"/>
      <c r="Q219" s="152"/>
      <c r="R219" s="152"/>
    </row>
    <row r="220">
      <c r="A220" s="152"/>
      <c r="B220" s="152"/>
      <c r="C220" s="152"/>
      <c r="D220" s="152"/>
      <c r="E220" s="152"/>
      <c r="F220" s="195"/>
      <c r="G220" s="152"/>
      <c r="H220" s="152"/>
      <c r="I220" s="152"/>
      <c r="J220" s="152"/>
      <c r="K220" s="152"/>
      <c r="L220" s="152"/>
      <c r="M220" s="152"/>
      <c r="N220" s="152"/>
      <c r="O220" s="152"/>
      <c r="P220" s="152"/>
      <c r="Q220" s="152"/>
      <c r="R220" s="152"/>
    </row>
    <row r="221">
      <c r="A221" s="152"/>
      <c r="B221" s="152"/>
      <c r="C221" s="152"/>
      <c r="D221" s="152"/>
      <c r="E221" s="152"/>
      <c r="F221" s="195"/>
      <c r="G221" s="152"/>
      <c r="H221" s="152"/>
      <c r="I221" s="152"/>
      <c r="J221" s="152"/>
      <c r="K221" s="152"/>
      <c r="L221" s="152"/>
      <c r="M221" s="152"/>
      <c r="N221" s="152"/>
      <c r="O221" s="152"/>
      <c r="P221" s="152"/>
      <c r="Q221" s="152"/>
      <c r="R221" s="152"/>
    </row>
    <row r="222">
      <c r="A222" s="152"/>
      <c r="B222" s="152"/>
      <c r="C222" s="152"/>
      <c r="D222" s="152"/>
      <c r="E222" s="152"/>
      <c r="F222" s="195"/>
      <c r="G222" s="152"/>
      <c r="H222" s="152"/>
      <c r="I222" s="152"/>
      <c r="J222" s="152"/>
      <c r="K222" s="152"/>
      <c r="L222" s="152"/>
      <c r="M222" s="152"/>
      <c r="N222" s="152"/>
      <c r="O222" s="152"/>
      <c r="P222" s="152"/>
      <c r="Q222" s="152"/>
      <c r="R222" s="152"/>
    </row>
    <row r="223">
      <c r="A223" s="152"/>
      <c r="B223" s="152"/>
      <c r="C223" s="152"/>
      <c r="D223" s="152"/>
      <c r="E223" s="152"/>
      <c r="F223" s="195"/>
      <c r="G223" s="152"/>
      <c r="H223" s="152"/>
      <c r="I223" s="152"/>
      <c r="J223" s="152"/>
      <c r="K223" s="152"/>
      <c r="L223" s="152"/>
      <c r="M223" s="152"/>
      <c r="N223" s="152"/>
      <c r="O223" s="152"/>
      <c r="P223" s="152"/>
      <c r="Q223" s="152"/>
      <c r="R223" s="152"/>
    </row>
    <row r="224">
      <c r="A224" s="152"/>
      <c r="B224" s="152"/>
      <c r="C224" s="152"/>
      <c r="D224" s="152"/>
      <c r="E224" s="152"/>
      <c r="F224" s="195"/>
      <c r="G224" s="152"/>
      <c r="H224" s="152"/>
      <c r="I224" s="152"/>
      <c r="J224" s="152"/>
      <c r="K224" s="152"/>
      <c r="L224" s="152"/>
      <c r="M224" s="152"/>
      <c r="N224" s="152"/>
      <c r="O224" s="152"/>
      <c r="P224" s="152"/>
      <c r="Q224" s="152"/>
      <c r="R224" s="152"/>
    </row>
    <row r="225">
      <c r="A225" s="152"/>
      <c r="B225" s="152"/>
      <c r="C225" s="152"/>
      <c r="D225" s="152"/>
      <c r="E225" s="152"/>
      <c r="F225" s="195"/>
      <c r="G225" s="152"/>
      <c r="H225" s="152"/>
      <c r="I225" s="152"/>
      <c r="J225" s="152"/>
      <c r="K225" s="152"/>
      <c r="L225" s="152"/>
      <c r="M225" s="152"/>
      <c r="N225" s="152"/>
      <c r="O225" s="152"/>
      <c r="P225" s="152"/>
      <c r="Q225" s="152"/>
      <c r="R225" s="152"/>
    </row>
    <row r="226">
      <c r="A226" s="152"/>
      <c r="B226" s="152"/>
      <c r="C226" s="152"/>
      <c r="D226" s="152"/>
      <c r="E226" s="152"/>
      <c r="F226" s="195"/>
      <c r="G226" s="152"/>
      <c r="H226" s="152"/>
      <c r="I226" s="152"/>
      <c r="J226" s="152"/>
      <c r="K226" s="152"/>
      <c r="L226" s="152"/>
      <c r="M226" s="152"/>
      <c r="N226" s="152"/>
      <c r="O226" s="152"/>
      <c r="P226" s="152"/>
      <c r="Q226" s="152"/>
      <c r="R226" s="152"/>
    </row>
    <row r="227">
      <c r="A227" s="152"/>
      <c r="B227" s="152"/>
      <c r="C227" s="152"/>
      <c r="D227" s="152"/>
      <c r="E227" s="152"/>
      <c r="F227" s="195"/>
      <c r="G227" s="152"/>
      <c r="H227" s="152"/>
      <c r="I227" s="152"/>
      <c r="J227" s="152"/>
      <c r="K227" s="152"/>
      <c r="L227" s="152"/>
      <c r="M227" s="152"/>
      <c r="N227" s="152"/>
      <c r="O227" s="152"/>
      <c r="P227" s="152"/>
      <c r="Q227" s="152"/>
      <c r="R227" s="152"/>
    </row>
    <row r="228">
      <c r="A228" s="152"/>
      <c r="B228" s="152"/>
      <c r="C228" s="152"/>
      <c r="D228" s="152"/>
      <c r="E228" s="152"/>
      <c r="F228" s="195"/>
      <c r="G228" s="152"/>
      <c r="H228" s="152"/>
      <c r="I228" s="152"/>
      <c r="J228" s="152"/>
      <c r="K228" s="152"/>
      <c r="L228" s="152"/>
      <c r="M228" s="152"/>
      <c r="N228" s="152"/>
      <c r="O228" s="152"/>
      <c r="P228" s="152"/>
      <c r="Q228" s="152"/>
      <c r="R228" s="152"/>
    </row>
    <row r="229">
      <c r="A229" s="152"/>
      <c r="B229" s="152"/>
      <c r="C229" s="152"/>
      <c r="D229" s="152"/>
      <c r="E229" s="152"/>
      <c r="F229" s="195"/>
      <c r="G229" s="152"/>
      <c r="H229" s="152"/>
      <c r="I229" s="152"/>
      <c r="J229" s="152"/>
      <c r="K229" s="152"/>
      <c r="L229" s="152"/>
      <c r="M229" s="152"/>
      <c r="N229" s="152"/>
      <c r="O229" s="152"/>
      <c r="P229" s="152"/>
      <c r="Q229" s="152"/>
      <c r="R229" s="152"/>
    </row>
    <row r="230">
      <c r="A230" s="152"/>
      <c r="B230" s="152"/>
      <c r="C230" s="152"/>
      <c r="D230" s="152"/>
      <c r="E230" s="152"/>
      <c r="F230" s="195"/>
      <c r="G230" s="152"/>
      <c r="H230" s="152"/>
      <c r="I230" s="152"/>
      <c r="J230" s="152"/>
      <c r="K230" s="152"/>
      <c r="L230" s="152"/>
      <c r="M230" s="152"/>
      <c r="N230" s="152"/>
      <c r="O230" s="152"/>
      <c r="P230" s="152"/>
      <c r="Q230" s="152"/>
      <c r="R230" s="152"/>
    </row>
    <row r="231">
      <c r="A231" s="152"/>
      <c r="B231" s="152"/>
      <c r="C231" s="152"/>
      <c r="D231" s="152"/>
      <c r="E231" s="152"/>
      <c r="F231" s="195"/>
      <c r="G231" s="152"/>
      <c r="H231" s="152"/>
      <c r="I231" s="152"/>
      <c r="J231" s="152"/>
      <c r="K231" s="152"/>
      <c r="L231" s="152"/>
      <c r="M231" s="152"/>
      <c r="N231" s="152"/>
      <c r="O231" s="152"/>
      <c r="P231" s="152"/>
      <c r="Q231" s="152"/>
      <c r="R231" s="152"/>
    </row>
    <row r="232">
      <c r="A232" s="152"/>
      <c r="B232" s="152"/>
      <c r="C232" s="152"/>
      <c r="D232" s="152"/>
      <c r="E232" s="152"/>
      <c r="F232" s="195"/>
      <c r="G232" s="152"/>
      <c r="H232" s="152"/>
      <c r="I232" s="152"/>
      <c r="J232" s="152"/>
      <c r="K232" s="152"/>
      <c r="L232" s="152"/>
      <c r="M232" s="152"/>
      <c r="N232" s="152"/>
      <c r="O232" s="152"/>
      <c r="P232" s="152"/>
      <c r="Q232" s="152"/>
      <c r="R232" s="152"/>
    </row>
    <row r="233">
      <c r="A233" s="152"/>
      <c r="B233" s="152"/>
      <c r="C233" s="152"/>
      <c r="D233" s="152"/>
      <c r="E233" s="152"/>
      <c r="F233" s="195"/>
      <c r="G233" s="152"/>
      <c r="H233" s="152"/>
      <c r="I233" s="152"/>
      <c r="J233" s="152"/>
      <c r="K233" s="152"/>
      <c r="L233" s="152"/>
      <c r="M233" s="152"/>
      <c r="N233" s="152"/>
      <c r="O233" s="152"/>
      <c r="P233" s="152"/>
      <c r="Q233" s="152"/>
      <c r="R233" s="152"/>
    </row>
    <row r="234">
      <c r="A234" s="152"/>
      <c r="B234" s="152"/>
      <c r="C234" s="152"/>
      <c r="D234" s="152"/>
      <c r="E234" s="152"/>
      <c r="F234" s="195"/>
      <c r="G234" s="152"/>
      <c r="H234" s="152"/>
      <c r="I234" s="152"/>
      <c r="J234" s="152"/>
      <c r="K234" s="152"/>
      <c r="L234" s="152"/>
      <c r="M234" s="152"/>
      <c r="N234" s="152"/>
      <c r="O234" s="152"/>
      <c r="P234" s="152"/>
      <c r="Q234" s="152"/>
      <c r="R234" s="152"/>
    </row>
    <row r="235">
      <c r="A235" s="152"/>
      <c r="B235" s="152"/>
      <c r="C235" s="152"/>
      <c r="D235" s="152"/>
      <c r="E235" s="152"/>
      <c r="F235" s="195"/>
      <c r="G235" s="152"/>
      <c r="H235" s="152"/>
      <c r="I235" s="152"/>
      <c r="J235" s="152"/>
      <c r="K235" s="152"/>
      <c r="L235" s="152"/>
      <c r="M235" s="152"/>
      <c r="N235" s="152"/>
      <c r="O235" s="152"/>
      <c r="P235" s="152"/>
      <c r="Q235" s="152"/>
      <c r="R235" s="152"/>
    </row>
    <row r="236">
      <c r="A236" s="152"/>
      <c r="B236" s="152"/>
      <c r="C236" s="152"/>
      <c r="D236" s="152"/>
      <c r="E236" s="152"/>
      <c r="F236" s="195"/>
      <c r="G236" s="152"/>
      <c r="H236" s="152"/>
      <c r="I236" s="152"/>
      <c r="J236" s="152"/>
      <c r="K236" s="152"/>
      <c r="L236" s="152"/>
      <c r="M236" s="152"/>
      <c r="N236" s="152"/>
      <c r="O236" s="152"/>
      <c r="P236" s="152"/>
      <c r="Q236" s="152"/>
      <c r="R236" s="152"/>
    </row>
    <row r="237">
      <c r="A237" s="152"/>
      <c r="B237" s="152"/>
      <c r="C237" s="152"/>
      <c r="D237" s="152"/>
      <c r="E237" s="152"/>
      <c r="F237" s="195"/>
      <c r="G237" s="152"/>
      <c r="H237" s="152"/>
      <c r="I237" s="152"/>
      <c r="J237" s="152"/>
      <c r="K237" s="152"/>
      <c r="L237" s="152"/>
      <c r="M237" s="152"/>
      <c r="N237" s="152"/>
      <c r="O237" s="152"/>
      <c r="P237" s="152"/>
      <c r="Q237" s="152"/>
      <c r="R237" s="152"/>
    </row>
    <row r="238">
      <c r="A238" s="152"/>
      <c r="B238" s="152"/>
      <c r="C238" s="152"/>
      <c r="D238" s="152"/>
      <c r="E238" s="152"/>
      <c r="F238" s="195"/>
      <c r="G238" s="152"/>
      <c r="H238" s="152"/>
      <c r="I238" s="152"/>
      <c r="J238" s="152"/>
      <c r="K238" s="152"/>
      <c r="L238" s="152"/>
      <c r="M238" s="152"/>
      <c r="N238" s="152"/>
      <c r="O238" s="152"/>
      <c r="P238" s="152"/>
      <c r="Q238" s="152"/>
      <c r="R238" s="152"/>
    </row>
    <row r="239">
      <c r="A239" s="152"/>
      <c r="B239" s="152"/>
      <c r="C239" s="152"/>
      <c r="D239" s="152"/>
      <c r="E239" s="152"/>
      <c r="F239" s="195"/>
      <c r="G239" s="152"/>
      <c r="H239" s="152"/>
      <c r="I239" s="152"/>
      <c r="J239" s="152"/>
      <c r="K239" s="152"/>
      <c r="L239" s="152"/>
      <c r="M239" s="152"/>
      <c r="N239" s="152"/>
      <c r="O239" s="152"/>
      <c r="P239" s="152"/>
      <c r="Q239" s="152"/>
      <c r="R239" s="152"/>
    </row>
    <row r="240">
      <c r="A240" s="152"/>
      <c r="B240" s="152"/>
      <c r="C240" s="152"/>
      <c r="D240" s="152"/>
      <c r="E240" s="152"/>
      <c r="F240" s="195"/>
      <c r="G240" s="152"/>
      <c r="H240" s="152"/>
      <c r="I240" s="152"/>
      <c r="J240" s="152"/>
      <c r="K240" s="152"/>
      <c r="L240" s="152"/>
      <c r="M240" s="152"/>
      <c r="N240" s="152"/>
      <c r="O240" s="152"/>
      <c r="P240" s="152"/>
      <c r="Q240" s="152"/>
      <c r="R240" s="152"/>
    </row>
    <row r="241">
      <c r="A241" s="152"/>
      <c r="B241" s="152"/>
      <c r="C241" s="152"/>
      <c r="D241" s="152"/>
      <c r="E241" s="152"/>
      <c r="F241" s="195"/>
      <c r="G241" s="152"/>
      <c r="H241" s="152"/>
      <c r="I241" s="152"/>
      <c r="J241" s="152"/>
      <c r="K241" s="152"/>
      <c r="L241" s="152"/>
      <c r="M241" s="152"/>
      <c r="N241" s="152"/>
      <c r="O241" s="152"/>
      <c r="P241" s="152"/>
      <c r="Q241" s="152"/>
      <c r="R241" s="152"/>
    </row>
    <row r="242">
      <c r="A242" s="152"/>
      <c r="B242" s="152"/>
      <c r="C242" s="152"/>
      <c r="D242" s="152"/>
      <c r="E242" s="152"/>
      <c r="F242" s="195"/>
      <c r="G242" s="152"/>
      <c r="H242" s="152"/>
      <c r="I242" s="152"/>
      <c r="J242" s="152"/>
      <c r="K242" s="152"/>
      <c r="L242" s="152"/>
      <c r="M242" s="152"/>
      <c r="N242" s="152"/>
      <c r="O242" s="152"/>
      <c r="P242" s="152"/>
      <c r="Q242" s="152"/>
      <c r="R242" s="152"/>
    </row>
    <row r="243">
      <c r="A243" s="152"/>
      <c r="B243" s="152"/>
      <c r="C243" s="152"/>
      <c r="D243" s="152"/>
      <c r="E243" s="152"/>
      <c r="F243" s="195"/>
      <c r="G243" s="152"/>
      <c r="H243" s="152"/>
      <c r="I243" s="152"/>
      <c r="J243" s="152"/>
      <c r="K243" s="152"/>
      <c r="L243" s="152"/>
      <c r="M243" s="152"/>
      <c r="N243" s="152"/>
      <c r="O243" s="152"/>
      <c r="P243" s="152"/>
      <c r="Q243" s="152"/>
      <c r="R243" s="152"/>
    </row>
    <row r="244">
      <c r="A244" s="152"/>
      <c r="B244" s="152"/>
      <c r="C244" s="152"/>
      <c r="D244" s="152"/>
      <c r="E244" s="152"/>
      <c r="F244" s="195"/>
      <c r="G244" s="152"/>
      <c r="H244" s="152"/>
      <c r="I244" s="152"/>
      <c r="J244" s="152"/>
      <c r="K244" s="152"/>
      <c r="L244" s="152"/>
      <c r="M244" s="152"/>
      <c r="N244" s="152"/>
      <c r="O244" s="152"/>
      <c r="P244" s="152"/>
      <c r="Q244" s="152"/>
      <c r="R244" s="152"/>
    </row>
    <row r="245">
      <c r="A245" s="152"/>
      <c r="B245" s="152"/>
      <c r="C245" s="152"/>
      <c r="D245" s="152"/>
      <c r="E245" s="152"/>
      <c r="F245" s="195"/>
      <c r="G245" s="152"/>
      <c r="H245" s="152"/>
      <c r="I245" s="152"/>
      <c r="J245" s="152"/>
      <c r="K245" s="152"/>
      <c r="L245" s="152"/>
      <c r="M245" s="152"/>
      <c r="N245" s="152"/>
      <c r="O245" s="152"/>
      <c r="P245" s="152"/>
      <c r="Q245" s="152"/>
      <c r="R245" s="152"/>
    </row>
    <row r="246">
      <c r="A246" s="152"/>
      <c r="B246" s="152"/>
      <c r="C246" s="152"/>
      <c r="D246" s="152"/>
      <c r="E246" s="152"/>
      <c r="F246" s="195"/>
      <c r="G246" s="152"/>
      <c r="H246" s="152"/>
      <c r="I246" s="152"/>
      <c r="J246" s="152"/>
      <c r="K246" s="152"/>
      <c r="L246" s="152"/>
      <c r="M246" s="152"/>
      <c r="N246" s="152"/>
      <c r="O246" s="152"/>
      <c r="P246" s="152"/>
      <c r="Q246" s="152"/>
      <c r="R246" s="152"/>
    </row>
    <row r="247">
      <c r="A247" s="152"/>
      <c r="B247" s="152"/>
      <c r="C247" s="152"/>
      <c r="D247" s="152"/>
      <c r="E247" s="152"/>
      <c r="F247" s="195"/>
      <c r="G247" s="152"/>
      <c r="H247" s="152"/>
      <c r="I247" s="152"/>
      <c r="J247" s="152"/>
      <c r="K247" s="152"/>
      <c r="L247" s="152"/>
      <c r="M247" s="152"/>
      <c r="N247" s="152"/>
      <c r="O247" s="152"/>
      <c r="P247" s="152"/>
      <c r="Q247" s="152"/>
      <c r="R247" s="152"/>
    </row>
    <row r="248">
      <c r="A248" s="152"/>
      <c r="B248" s="152"/>
      <c r="C248" s="152"/>
      <c r="D248" s="152"/>
      <c r="E248" s="152"/>
      <c r="F248" s="195"/>
      <c r="G248" s="152"/>
      <c r="H248" s="152"/>
      <c r="I248" s="152"/>
      <c r="J248" s="152"/>
      <c r="K248" s="152"/>
      <c r="L248" s="152"/>
      <c r="M248" s="152"/>
      <c r="N248" s="152"/>
      <c r="O248" s="152"/>
      <c r="P248" s="152"/>
      <c r="Q248" s="152"/>
      <c r="R248" s="152"/>
    </row>
    <row r="249">
      <c r="A249" s="152"/>
      <c r="B249" s="152"/>
      <c r="C249" s="152"/>
      <c r="D249" s="152"/>
      <c r="E249" s="152"/>
      <c r="F249" s="195"/>
      <c r="G249" s="152"/>
      <c r="H249" s="152"/>
      <c r="I249" s="152"/>
      <c r="J249" s="152"/>
      <c r="K249" s="152"/>
      <c r="L249" s="152"/>
      <c r="M249" s="152"/>
      <c r="N249" s="152"/>
      <c r="O249" s="152"/>
      <c r="P249" s="152"/>
      <c r="Q249" s="152"/>
      <c r="R249" s="152"/>
    </row>
    <row r="250">
      <c r="A250" s="152"/>
      <c r="B250" s="152"/>
      <c r="C250" s="152"/>
      <c r="D250" s="152"/>
      <c r="E250" s="152"/>
      <c r="F250" s="195"/>
      <c r="G250" s="152"/>
      <c r="H250" s="152"/>
      <c r="I250" s="152"/>
      <c r="J250" s="152"/>
      <c r="K250" s="152"/>
      <c r="L250" s="152"/>
      <c r="M250" s="152"/>
      <c r="N250" s="152"/>
      <c r="O250" s="152"/>
      <c r="P250" s="152"/>
      <c r="Q250" s="152"/>
      <c r="R250" s="152"/>
    </row>
    <row r="251">
      <c r="A251" s="152"/>
      <c r="B251" s="152"/>
      <c r="C251" s="152"/>
      <c r="D251" s="152"/>
      <c r="E251" s="152"/>
      <c r="F251" s="195"/>
      <c r="G251" s="152"/>
      <c r="H251" s="152"/>
      <c r="I251" s="152"/>
      <c r="J251" s="152"/>
      <c r="K251" s="152"/>
      <c r="L251" s="152"/>
      <c r="M251" s="152"/>
      <c r="N251" s="152"/>
      <c r="O251" s="152"/>
      <c r="P251" s="152"/>
      <c r="Q251" s="152"/>
      <c r="R251" s="152"/>
    </row>
    <row r="252">
      <c r="A252" s="152"/>
      <c r="B252" s="152"/>
      <c r="C252" s="152"/>
      <c r="D252" s="152"/>
      <c r="E252" s="152"/>
      <c r="F252" s="195"/>
      <c r="G252" s="152"/>
      <c r="H252" s="152"/>
      <c r="I252" s="152"/>
      <c r="J252" s="152"/>
      <c r="K252" s="152"/>
      <c r="L252" s="152"/>
      <c r="M252" s="152"/>
      <c r="N252" s="152"/>
      <c r="O252" s="152"/>
      <c r="P252" s="152"/>
      <c r="Q252" s="152"/>
      <c r="R252" s="152"/>
    </row>
    <row r="253">
      <c r="A253" s="152"/>
      <c r="B253" s="152"/>
      <c r="C253" s="152"/>
      <c r="D253" s="152"/>
      <c r="E253" s="152"/>
      <c r="F253" s="195"/>
      <c r="G253" s="152"/>
      <c r="H253" s="152"/>
      <c r="I253" s="152"/>
      <c r="J253" s="152"/>
      <c r="K253" s="152"/>
      <c r="L253" s="152"/>
      <c r="M253" s="152"/>
      <c r="N253" s="152"/>
      <c r="O253" s="152"/>
      <c r="P253" s="152"/>
      <c r="Q253" s="152"/>
      <c r="R253" s="152"/>
    </row>
    <row r="254">
      <c r="A254" s="152"/>
      <c r="B254" s="152"/>
      <c r="C254" s="152"/>
      <c r="D254" s="152"/>
      <c r="E254" s="152"/>
      <c r="F254" s="195"/>
      <c r="G254" s="152"/>
      <c r="H254" s="152"/>
      <c r="I254" s="152"/>
      <c r="J254" s="152"/>
      <c r="K254" s="152"/>
      <c r="L254" s="152"/>
      <c r="M254" s="152"/>
      <c r="N254" s="152"/>
      <c r="O254" s="152"/>
      <c r="P254" s="152"/>
      <c r="Q254" s="152"/>
      <c r="R254" s="152"/>
    </row>
    <row r="255">
      <c r="A255" s="152"/>
      <c r="B255" s="152"/>
      <c r="C255" s="152"/>
      <c r="D255" s="152"/>
      <c r="E255" s="152"/>
      <c r="F255" s="195"/>
      <c r="G255" s="152"/>
      <c r="H255" s="152"/>
      <c r="I255" s="152"/>
      <c r="J255" s="152"/>
      <c r="K255" s="152"/>
      <c r="L255" s="152"/>
      <c r="M255" s="152"/>
      <c r="N255" s="152"/>
      <c r="O255" s="152"/>
      <c r="P255" s="152"/>
      <c r="Q255" s="152"/>
      <c r="R255" s="152"/>
    </row>
    <row r="256">
      <c r="A256" s="152"/>
      <c r="B256" s="152"/>
      <c r="C256" s="152"/>
      <c r="D256" s="152"/>
      <c r="E256" s="152"/>
      <c r="F256" s="195"/>
      <c r="G256" s="152"/>
      <c r="H256" s="152"/>
      <c r="I256" s="152"/>
      <c r="J256" s="152"/>
      <c r="K256" s="152"/>
      <c r="L256" s="152"/>
      <c r="M256" s="152"/>
      <c r="N256" s="152"/>
      <c r="O256" s="152"/>
      <c r="P256" s="152"/>
      <c r="Q256" s="152"/>
      <c r="R256" s="152"/>
    </row>
    <row r="257">
      <c r="A257" s="152"/>
      <c r="B257" s="152"/>
      <c r="C257" s="152"/>
      <c r="D257" s="152"/>
      <c r="E257" s="152"/>
      <c r="F257" s="195"/>
      <c r="G257" s="152"/>
      <c r="H257" s="152"/>
      <c r="I257" s="152"/>
      <c r="J257" s="152"/>
      <c r="K257" s="152"/>
      <c r="L257" s="152"/>
      <c r="M257" s="152"/>
      <c r="N257" s="152"/>
      <c r="O257" s="152"/>
      <c r="P257" s="152"/>
      <c r="Q257" s="152"/>
      <c r="R257" s="152"/>
    </row>
    <row r="258">
      <c r="A258" s="152"/>
      <c r="B258" s="152"/>
      <c r="C258" s="152"/>
      <c r="D258" s="152"/>
      <c r="E258" s="152"/>
      <c r="F258" s="195"/>
      <c r="G258" s="152"/>
      <c r="H258" s="152"/>
      <c r="I258" s="152"/>
      <c r="J258" s="152"/>
      <c r="K258" s="152"/>
      <c r="L258" s="152"/>
      <c r="M258" s="152"/>
      <c r="N258" s="152"/>
      <c r="O258" s="152"/>
      <c r="P258" s="152"/>
      <c r="Q258" s="152"/>
      <c r="R258" s="152"/>
    </row>
    <row r="259">
      <c r="A259" s="152"/>
      <c r="B259" s="152"/>
      <c r="C259" s="152"/>
      <c r="D259" s="152"/>
      <c r="E259" s="152"/>
      <c r="F259" s="195"/>
      <c r="G259" s="152"/>
      <c r="H259" s="152"/>
      <c r="I259" s="152"/>
      <c r="J259" s="152"/>
      <c r="K259" s="152"/>
      <c r="L259" s="152"/>
      <c r="M259" s="152"/>
      <c r="N259" s="152"/>
      <c r="O259" s="152"/>
      <c r="P259" s="152"/>
      <c r="Q259" s="152"/>
      <c r="R259" s="152"/>
    </row>
    <row r="260">
      <c r="A260" s="152"/>
      <c r="B260" s="152"/>
      <c r="C260" s="152"/>
      <c r="D260" s="152"/>
      <c r="E260" s="152"/>
      <c r="F260" s="195"/>
      <c r="G260" s="152"/>
      <c r="H260" s="152"/>
      <c r="I260" s="152"/>
      <c r="J260" s="152"/>
      <c r="K260" s="152"/>
      <c r="L260" s="152"/>
      <c r="M260" s="152"/>
      <c r="N260" s="152"/>
      <c r="O260" s="152"/>
      <c r="P260" s="152"/>
      <c r="Q260" s="152"/>
      <c r="R260" s="152"/>
    </row>
    <row r="261">
      <c r="A261" s="152"/>
      <c r="B261" s="152"/>
      <c r="C261" s="152"/>
      <c r="D261" s="152"/>
      <c r="E261" s="152"/>
      <c r="F261" s="195"/>
      <c r="G261" s="152"/>
      <c r="H261" s="152"/>
      <c r="I261" s="152"/>
      <c r="J261" s="152"/>
      <c r="K261" s="152"/>
      <c r="L261" s="152"/>
      <c r="M261" s="152"/>
      <c r="N261" s="152"/>
      <c r="O261" s="152"/>
      <c r="P261" s="152"/>
      <c r="Q261" s="152"/>
      <c r="R261" s="152"/>
    </row>
    <row r="262">
      <c r="A262" s="152"/>
      <c r="B262" s="152"/>
      <c r="C262" s="152"/>
      <c r="D262" s="152"/>
      <c r="E262" s="152"/>
      <c r="F262" s="195"/>
      <c r="G262" s="152"/>
      <c r="H262" s="152"/>
      <c r="I262" s="152"/>
      <c r="J262" s="152"/>
      <c r="K262" s="152"/>
      <c r="L262" s="152"/>
      <c r="M262" s="152"/>
      <c r="N262" s="152"/>
      <c r="O262" s="152"/>
      <c r="P262" s="152"/>
      <c r="Q262" s="152"/>
      <c r="R262" s="152"/>
    </row>
    <row r="263">
      <c r="A263" s="152"/>
      <c r="B263" s="152"/>
      <c r="C263" s="152"/>
      <c r="D263" s="152"/>
      <c r="E263" s="152"/>
      <c r="F263" s="195"/>
      <c r="G263" s="152"/>
      <c r="H263" s="152"/>
      <c r="I263" s="152"/>
      <c r="J263" s="152"/>
      <c r="K263" s="152"/>
      <c r="L263" s="152"/>
      <c r="M263" s="152"/>
      <c r="N263" s="152"/>
      <c r="O263" s="152"/>
      <c r="P263" s="152"/>
      <c r="Q263" s="152"/>
      <c r="R263" s="152"/>
    </row>
    <row r="264">
      <c r="A264" s="152"/>
      <c r="B264" s="152"/>
      <c r="C264" s="152"/>
      <c r="D264" s="152"/>
      <c r="E264" s="152"/>
      <c r="F264" s="195"/>
      <c r="G264" s="152"/>
      <c r="H264" s="152"/>
      <c r="I264" s="152"/>
      <c r="J264" s="152"/>
      <c r="K264" s="152"/>
      <c r="L264" s="152"/>
      <c r="M264" s="152"/>
      <c r="N264" s="152"/>
      <c r="O264" s="152"/>
      <c r="P264" s="152"/>
      <c r="Q264" s="152"/>
      <c r="R264" s="152"/>
    </row>
    <row r="265">
      <c r="A265" s="152"/>
      <c r="B265" s="152"/>
      <c r="C265" s="152"/>
      <c r="D265" s="152"/>
      <c r="E265" s="152"/>
      <c r="F265" s="195"/>
      <c r="G265" s="152"/>
      <c r="H265" s="152"/>
      <c r="I265" s="152"/>
      <c r="J265" s="152"/>
      <c r="K265" s="152"/>
      <c r="L265" s="152"/>
      <c r="M265" s="152"/>
      <c r="N265" s="152"/>
      <c r="O265" s="152"/>
      <c r="P265" s="152"/>
      <c r="Q265" s="152"/>
      <c r="R265" s="152"/>
    </row>
    <row r="266">
      <c r="A266" s="152"/>
      <c r="B266" s="152"/>
      <c r="C266" s="152"/>
      <c r="D266" s="152"/>
      <c r="E266" s="152"/>
      <c r="F266" s="195"/>
      <c r="G266" s="152"/>
      <c r="H266" s="152"/>
      <c r="I266" s="152"/>
      <c r="J266" s="152"/>
      <c r="K266" s="152"/>
      <c r="L266" s="152"/>
      <c r="M266" s="152"/>
      <c r="N266" s="152"/>
      <c r="O266" s="152"/>
      <c r="P266" s="152"/>
      <c r="Q266" s="152"/>
      <c r="R266" s="152"/>
    </row>
    <row r="267">
      <c r="A267" s="152"/>
      <c r="B267" s="152"/>
      <c r="C267" s="152"/>
      <c r="D267" s="152"/>
      <c r="E267" s="152"/>
      <c r="F267" s="195"/>
      <c r="G267" s="152"/>
      <c r="H267" s="152"/>
      <c r="I267" s="152"/>
      <c r="J267" s="152"/>
      <c r="K267" s="152"/>
      <c r="L267" s="152"/>
      <c r="M267" s="152"/>
      <c r="N267" s="152"/>
      <c r="O267" s="152"/>
      <c r="P267" s="152"/>
      <c r="Q267" s="152"/>
      <c r="R267" s="152"/>
    </row>
    <row r="268">
      <c r="A268" s="152"/>
      <c r="B268" s="152"/>
      <c r="C268" s="152"/>
      <c r="D268" s="152"/>
      <c r="E268" s="152"/>
      <c r="F268" s="195"/>
      <c r="G268" s="152"/>
      <c r="H268" s="152"/>
      <c r="I268" s="152"/>
      <c r="J268" s="152"/>
      <c r="K268" s="152"/>
      <c r="L268" s="152"/>
      <c r="M268" s="152"/>
      <c r="N268" s="152"/>
      <c r="O268" s="152"/>
      <c r="P268" s="152"/>
      <c r="Q268" s="152"/>
      <c r="R268" s="152"/>
    </row>
    <row r="269">
      <c r="A269" s="152"/>
      <c r="B269" s="152"/>
      <c r="C269" s="152"/>
      <c r="D269" s="152"/>
      <c r="E269" s="152"/>
      <c r="F269" s="195"/>
      <c r="G269" s="152"/>
      <c r="H269" s="152"/>
      <c r="I269" s="152"/>
      <c r="J269" s="152"/>
      <c r="K269" s="152"/>
      <c r="L269" s="152"/>
      <c r="M269" s="152"/>
      <c r="N269" s="152"/>
      <c r="O269" s="152"/>
      <c r="P269" s="152"/>
      <c r="Q269" s="152"/>
      <c r="R269" s="152"/>
    </row>
    <row r="270">
      <c r="A270" s="152"/>
      <c r="B270" s="152"/>
      <c r="C270" s="152"/>
      <c r="D270" s="152"/>
      <c r="E270" s="152"/>
      <c r="F270" s="195"/>
      <c r="G270" s="152"/>
      <c r="H270" s="152"/>
      <c r="I270" s="152"/>
      <c r="J270" s="152"/>
      <c r="K270" s="152"/>
      <c r="L270" s="152"/>
      <c r="M270" s="152"/>
      <c r="N270" s="152"/>
      <c r="O270" s="152"/>
      <c r="P270" s="152"/>
      <c r="Q270" s="152"/>
      <c r="R270" s="152"/>
    </row>
    <row r="271">
      <c r="A271" s="152"/>
      <c r="B271" s="152"/>
      <c r="C271" s="152"/>
      <c r="D271" s="152"/>
      <c r="E271" s="152"/>
      <c r="F271" s="195"/>
      <c r="G271" s="152"/>
      <c r="H271" s="152"/>
      <c r="I271" s="152"/>
      <c r="J271" s="152"/>
      <c r="K271" s="152"/>
      <c r="L271" s="152"/>
      <c r="M271" s="152"/>
      <c r="N271" s="152"/>
      <c r="O271" s="152"/>
      <c r="P271" s="152"/>
      <c r="Q271" s="152"/>
      <c r="R271" s="152"/>
    </row>
    <row r="272">
      <c r="A272" s="152"/>
      <c r="B272" s="152"/>
      <c r="C272" s="152"/>
      <c r="D272" s="152"/>
      <c r="E272" s="152"/>
      <c r="F272" s="195"/>
      <c r="G272" s="152"/>
      <c r="H272" s="152"/>
      <c r="I272" s="152"/>
      <c r="J272" s="152"/>
      <c r="K272" s="152"/>
      <c r="L272" s="152"/>
      <c r="M272" s="152"/>
      <c r="N272" s="152"/>
      <c r="O272" s="152"/>
      <c r="P272" s="152"/>
      <c r="Q272" s="152"/>
      <c r="R272" s="152"/>
    </row>
    <row r="273">
      <c r="A273" s="152"/>
      <c r="B273" s="152"/>
      <c r="C273" s="152"/>
      <c r="D273" s="152"/>
      <c r="E273" s="152"/>
      <c r="F273" s="195"/>
      <c r="G273" s="152"/>
      <c r="H273" s="152"/>
      <c r="I273" s="152"/>
      <c r="J273" s="152"/>
      <c r="K273" s="152"/>
      <c r="L273" s="152"/>
      <c r="M273" s="152"/>
      <c r="N273" s="152"/>
      <c r="O273" s="152"/>
      <c r="P273" s="152"/>
      <c r="Q273" s="152"/>
      <c r="R273" s="152"/>
    </row>
    <row r="274">
      <c r="A274" s="152"/>
      <c r="B274" s="152"/>
      <c r="C274" s="152"/>
      <c r="D274" s="152"/>
      <c r="E274" s="152"/>
      <c r="F274" s="195"/>
      <c r="G274" s="152"/>
      <c r="H274" s="152"/>
      <c r="I274" s="152"/>
      <c r="J274" s="152"/>
      <c r="K274" s="152"/>
      <c r="L274" s="152"/>
      <c r="M274" s="152"/>
      <c r="N274" s="152"/>
      <c r="O274" s="152"/>
      <c r="P274" s="152"/>
      <c r="Q274" s="152"/>
      <c r="R274" s="152"/>
    </row>
    <row r="275">
      <c r="A275" s="152"/>
      <c r="B275" s="152"/>
      <c r="C275" s="152"/>
      <c r="D275" s="152"/>
      <c r="E275" s="152"/>
      <c r="F275" s="195"/>
      <c r="G275" s="152"/>
      <c r="H275" s="152"/>
      <c r="I275" s="152"/>
      <c r="J275" s="152"/>
      <c r="K275" s="152"/>
      <c r="L275" s="152"/>
      <c r="M275" s="152"/>
      <c r="N275" s="152"/>
      <c r="O275" s="152"/>
      <c r="P275" s="152"/>
      <c r="Q275" s="152"/>
      <c r="R275" s="152"/>
    </row>
    <row r="276">
      <c r="A276" s="152"/>
      <c r="B276" s="152"/>
      <c r="C276" s="152"/>
      <c r="D276" s="152"/>
      <c r="E276" s="152"/>
      <c r="F276" s="195"/>
      <c r="G276" s="152"/>
      <c r="H276" s="152"/>
      <c r="I276" s="152"/>
      <c r="J276" s="152"/>
      <c r="K276" s="152"/>
      <c r="L276" s="152"/>
      <c r="M276" s="152"/>
      <c r="N276" s="152"/>
      <c r="O276" s="152"/>
      <c r="P276" s="152"/>
      <c r="Q276" s="152"/>
      <c r="R276" s="152"/>
    </row>
    <row r="277">
      <c r="A277" s="152"/>
      <c r="B277" s="152"/>
      <c r="C277" s="152"/>
      <c r="D277" s="152"/>
      <c r="E277" s="152"/>
      <c r="F277" s="195"/>
      <c r="G277" s="152"/>
      <c r="H277" s="152"/>
      <c r="I277" s="152"/>
      <c r="J277" s="152"/>
      <c r="K277" s="152"/>
      <c r="L277" s="152"/>
      <c r="M277" s="152"/>
      <c r="N277" s="152"/>
      <c r="O277" s="152"/>
      <c r="P277" s="152"/>
      <c r="Q277" s="152"/>
      <c r="R277" s="152"/>
    </row>
    <row r="278">
      <c r="A278" s="152"/>
      <c r="B278" s="152"/>
      <c r="C278" s="152"/>
      <c r="D278" s="152"/>
      <c r="E278" s="152"/>
      <c r="F278" s="195"/>
      <c r="G278" s="152"/>
      <c r="H278" s="152"/>
      <c r="I278" s="152"/>
      <c r="J278" s="152"/>
      <c r="K278" s="152"/>
      <c r="L278" s="152"/>
      <c r="M278" s="152"/>
      <c r="N278" s="152"/>
      <c r="O278" s="152"/>
      <c r="P278" s="152"/>
      <c r="Q278" s="152"/>
      <c r="R278" s="152"/>
    </row>
    <row r="279">
      <c r="A279" s="152"/>
      <c r="B279" s="152"/>
      <c r="C279" s="152"/>
      <c r="D279" s="152"/>
      <c r="E279" s="152"/>
      <c r="F279" s="195"/>
      <c r="G279" s="152"/>
      <c r="H279" s="152"/>
      <c r="I279" s="152"/>
      <c r="J279" s="152"/>
      <c r="K279" s="152"/>
      <c r="L279" s="152"/>
      <c r="M279" s="152"/>
      <c r="N279" s="152"/>
      <c r="O279" s="152"/>
      <c r="P279" s="152"/>
      <c r="Q279" s="152"/>
      <c r="R279" s="152"/>
    </row>
    <row r="280">
      <c r="A280" s="152"/>
      <c r="B280" s="152"/>
      <c r="C280" s="152"/>
      <c r="D280" s="152"/>
      <c r="E280" s="152"/>
      <c r="F280" s="195"/>
      <c r="G280" s="152"/>
      <c r="H280" s="152"/>
      <c r="I280" s="152"/>
      <c r="J280" s="152"/>
      <c r="K280" s="152"/>
      <c r="L280" s="152"/>
      <c r="M280" s="152"/>
      <c r="N280" s="152"/>
      <c r="O280" s="152"/>
      <c r="P280" s="152"/>
      <c r="Q280" s="152"/>
      <c r="R280" s="152"/>
    </row>
    <row r="281">
      <c r="A281" s="152"/>
      <c r="B281" s="152"/>
      <c r="C281" s="152"/>
      <c r="D281" s="152"/>
      <c r="E281" s="152"/>
      <c r="F281" s="195"/>
      <c r="G281" s="152"/>
      <c r="H281" s="152"/>
      <c r="I281" s="152"/>
      <c r="J281" s="152"/>
      <c r="K281" s="152"/>
      <c r="L281" s="152"/>
      <c r="M281" s="152"/>
      <c r="N281" s="152"/>
      <c r="O281" s="152"/>
      <c r="P281" s="152"/>
      <c r="Q281" s="152"/>
      <c r="R281" s="152"/>
    </row>
    <row r="282">
      <c r="A282" s="152"/>
      <c r="B282" s="152"/>
      <c r="C282" s="152"/>
      <c r="D282" s="152"/>
      <c r="E282" s="152"/>
      <c r="F282" s="195"/>
      <c r="G282" s="152"/>
      <c r="H282" s="152"/>
      <c r="I282" s="152"/>
      <c r="J282" s="152"/>
      <c r="K282" s="152"/>
      <c r="L282" s="152"/>
      <c r="M282" s="152"/>
      <c r="N282" s="152"/>
      <c r="O282" s="152"/>
      <c r="P282" s="152"/>
      <c r="Q282" s="152"/>
      <c r="R282" s="152"/>
    </row>
    <row r="283">
      <c r="A283" s="152"/>
      <c r="B283" s="152"/>
      <c r="C283" s="152"/>
      <c r="D283" s="152"/>
      <c r="E283" s="152"/>
      <c r="F283" s="195"/>
      <c r="G283" s="152"/>
      <c r="H283" s="152"/>
      <c r="I283" s="152"/>
      <c r="J283" s="152"/>
      <c r="K283" s="152"/>
      <c r="L283" s="152"/>
      <c r="M283" s="152"/>
      <c r="N283" s="152"/>
      <c r="O283" s="152"/>
      <c r="P283" s="152"/>
      <c r="Q283" s="152"/>
      <c r="R283" s="152"/>
    </row>
    <row r="284">
      <c r="A284" s="152"/>
      <c r="B284" s="152"/>
      <c r="C284" s="152"/>
      <c r="D284" s="152"/>
      <c r="E284" s="152"/>
      <c r="F284" s="195"/>
      <c r="G284" s="152"/>
      <c r="H284" s="152"/>
      <c r="I284" s="152"/>
      <c r="J284" s="152"/>
      <c r="K284" s="152"/>
      <c r="L284" s="152"/>
      <c r="M284" s="152"/>
      <c r="N284" s="152"/>
      <c r="O284" s="152"/>
      <c r="P284" s="152"/>
      <c r="Q284" s="152"/>
      <c r="R284" s="152"/>
    </row>
    <row r="285">
      <c r="A285" s="152"/>
      <c r="B285" s="152"/>
      <c r="C285" s="152"/>
      <c r="D285" s="152"/>
      <c r="E285" s="152"/>
      <c r="F285" s="195"/>
      <c r="G285" s="152"/>
      <c r="H285" s="152"/>
      <c r="I285" s="152"/>
      <c r="J285" s="152"/>
      <c r="K285" s="152"/>
      <c r="L285" s="152"/>
      <c r="M285" s="152"/>
      <c r="N285" s="152"/>
      <c r="O285" s="152"/>
      <c r="P285" s="152"/>
      <c r="Q285" s="152"/>
      <c r="R285" s="152"/>
    </row>
    <row r="286">
      <c r="A286" s="152"/>
      <c r="B286" s="152"/>
      <c r="C286" s="152"/>
      <c r="D286" s="152"/>
      <c r="E286" s="152"/>
      <c r="F286" s="195"/>
      <c r="G286" s="152"/>
      <c r="H286" s="152"/>
      <c r="I286" s="152"/>
      <c r="J286" s="152"/>
      <c r="K286" s="152"/>
      <c r="L286" s="152"/>
      <c r="M286" s="152"/>
      <c r="N286" s="152"/>
      <c r="O286" s="152"/>
      <c r="P286" s="152"/>
      <c r="Q286" s="152"/>
      <c r="R286" s="152"/>
    </row>
    <row r="287">
      <c r="A287" s="152"/>
      <c r="B287" s="152"/>
      <c r="C287" s="152"/>
      <c r="D287" s="152"/>
      <c r="E287" s="152"/>
      <c r="F287" s="195"/>
      <c r="G287" s="152"/>
      <c r="H287" s="152"/>
      <c r="I287" s="152"/>
      <c r="J287" s="152"/>
      <c r="K287" s="152"/>
      <c r="L287" s="152"/>
      <c r="M287" s="152"/>
      <c r="N287" s="152"/>
      <c r="O287" s="152"/>
      <c r="P287" s="152"/>
      <c r="Q287" s="152"/>
      <c r="R287" s="152"/>
    </row>
    <row r="288">
      <c r="A288" s="152"/>
      <c r="B288" s="152"/>
      <c r="C288" s="152"/>
      <c r="D288" s="152"/>
      <c r="E288" s="152"/>
      <c r="F288" s="195"/>
      <c r="G288" s="152"/>
      <c r="H288" s="152"/>
      <c r="I288" s="152"/>
      <c r="J288" s="152"/>
      <c r="K288" s="152"/>
      <c r="L288" s="152"/>
      <c r="M288" s="152"/>
      <c r="N288" s="152"/>
      <c r="O288" s="152"/>
      <c r="P288" s="152"/>
      <c r="Q288" s="152"/>
      <c r="R288" s="152"/>
    </row>
    <row r="289">
      <c r="A289" s="152"/>
      <c r="B289" s="152"/>
      <c r="C289" s="152"/>
      <c r="D289" s="152"/>
      <c r="E289" s="152"/>
      <c r="F289" s="195"/>
      <c r="G289" s="152"/>
      <c r="H289" s="152"/>
      <c r="I289" s="152"/>
      <c r="J289" s="152"/>
      <c r="K289" s="152"/>
      <c r="L289" s="152"/>
      <c r="M289" s="152"/>
      <c r="N289" s="152"/>
      <c r="O289" s="152"/>
      <c r="P289" s="152"/>
      <c r="Q289" s="152"/>
      <c r="R289" s="152"/>
    </row>
    <row r="290">
      <c r="A290" s="152"/>
      <c r="B290" s="152"/>
      <c r="C290" s="152"/>
      <c r="D290" s="152"/>
      <c r="E290" s="152"/>
      <c r="F290" s="195"/>
      <c r="G290" s="152"/>
      <c r="H290" s="152"/>
      <c r="I290" s="152"/>
      <c r="J290" s="152"/>
      <c r="K290" s="152"/>
      <c r="L290" s="152"/>
      <c r="M290" s="152"/>
      <c r="N290" s="152"/>
      <c r="O290" s="152"/>
      <c r="P290" s="152"/>
      <c r="Q290" s="152"/>
      <c r="R290" s="152"/>
    </row>
    <row r="291">
      <c r="A291" s="152"/>
      <c r="B291" s="152"/>
      <c r="C291" s="152"/>
      <c r="D291" s="152"/>
      <c r="E291" s="152"/>
      <c r="F291" s="195"/>
      <c r="G291" s="152"/>
      <c r="H291" s="152"/>
      <c r="I291" s="152"/>
      <c r="J291" s="152"/>
      <c r="K291" s="152"/>
      <c r="L291" s="152"/>
      <c r="M291" s="152"/>
      <c r="N291" s="152"/>
      <c r="O291" s="152"/>
      <c r="P291" s="152"/>
      <c r="Q291" s="152"/>
      <c r="R291" s="152"/>
    </row>
    <row r="292">
      <c r="A292" s="152"/>
      <c r="B292" s="152"/>
      <c r="C292" s="152"/>
      <c r="D292" s="152"/>
      <c r="E292" s="152"/>
      <c r="F292" s="195"/>
      <c r="G292" s="152"/>
      <c r="H292" s="152"/>
      <c r="I292" s="152"/>
      <c r="J292" s="152"/>
      <c r="K292" s="152"/>
      <c r="L292" s="152"/>
      <c r="M292" s="152"/>
      <c r="N292" s="152"/>
      <c r="O292" s="152"/>
      <c r="P292" s="152"/>
      <c r="Q292" s="152"/>
      <c r="R292" s="152"/>
    </row>
    <row r="293">
      <c r="A293" s="152"/>
      <c r="B293" s="152"/>
      <c r="C293" s="152"/>
      <c r="D293" s="152"/>
      <c r="E293" s="152"/>
      <c r="F293" s="195"/>
      <c r="G293" s="152"/>
      <c r="H293" s="152"/>
      <c r="I293" s="152"/>
      <c r="J293" s="152"/>
      <c r="K293" s="152"/>
      <c r="L293" s="152"/>
      <c r="M293" s="152"/>
      <c r="N293" s="152"/>
      <c r="O293" s="152"/>
      <c r="P293" s="152"/>
      <c r="Q293" s="152"/>
      <c r="R293" s="152"/>
    </row>
    <row r="294">
      <c r="A294" s="152"/>
      <c r="B294" s="152"/>
      <c r="C294" s="152"/>
      <c r="D294" s="152"/>
      <c r="E294" s="152"/>
      <c r="F294" s="195"/>
      <c r="G294" s="152"/>
      <c r="H294" s="152"/>
      <c r="I294" s="152"/>
      <c r="J294" s="152"/>
      <c r="K294" s="152"/>
      <c r="L294" s="152"/>
      <c r="M294" s="152"/>
      <c r="N294" s="152"/>
      <c r="O294" s="152"/>
      <c r="P294" s="152"/>
      <c r="Q294" s="152"/>
      <c r="R294" s="152"/>
    </row>
    <row r="295">
      <c r="A295" s="152"/>
      <c r="B295" s="152"/>
      <c r="C295" s="152"/>
      <c r="D295" s="152"/>
      <c r="E295" s="152"/>
      <c r="F295" s="195"/>
      <c r="G295" s="152"/>
      <c r="H295" s="152"/>
      <c r="I295" s="152"/>
      <c r="J295" s="152"/>
      <c r="K295" s="152"/>
      <c r="L295" s="152"/>
      <c r="M295" s="152"/>
      <c r="N295" s="152"/>
      <c r="O295" s="152"/>
      <c r="P295" s="152"/>
      <c r="Q295" s="152"/>
      <c r="R295" s="152"/>
    </row>
    <row r="296">
      <c r="A296" s="152"/>
      <c r="B296" s="152"/>
      <c r="C296" s="152"/>
      <c r="D296" s="152"/>
      <c r="E296" s="152"/>
      <c r="F296" s="195"/>
      <c r="G296" s="152"/>
      <c r="H296" s="152"/>
      <c r="I296" s="152"/>
      <c r="J296" s="152"/>
      <c r="K296" s="152"/>
      <c r="L296" s="152"/>
      <c r="M296" s="152"/>
      <c r="N296" s="152"/>
      <c r="O296" s="152"/>
      <c r="P296" s="152"/>
      <c r="Q296" s="152"/>
      <c r="R296" s="152"/>
    </row>
    <row r="297">
      <c r="A297" s="152"/>
      <c r="B297" s="152"/>
      <c r="C297" s="152"/>
      <c r="D297" s="152"/>
      <c r="E297" s="152"/>
      <c r="F297" s="195"/>
      <c r="G297" s="152"/>
      <c r="H297" s="152"/>
      <c r="I297" s="152"/>
      <c r="J297" s="152"/>
      <c r="K297" s="152"/>
      <c r="L297" s="152"/>
      <c r="M297" s="152"/>
      <c r="N297" s="152"/>
      <c r="O297" s="152"/>
      <c r="P297" s="152"/>
      <c r="Q297" s="152"/>
      <c r="R297" s="152"/>
    </row>
    <row r="298">
      <c r="A298" s="152"/>
      <c r="B298" s="152"/>
      <c r="C298" s="152"/>
      <c r="D298" s="152"/>
      <c r="E298" s="152"/>
      <c r="F298" s="195"/>
      <c r="G298" s="152"/>
      <c r="H298" s="152"/>
      <c r="I298" s="152"/>
      <c r="J298" s="152"/>
      <c r="K298" s="152"/>
      <c r="L298" s="152"/>
      <c r="M298" s="152"/>
      <c r="N298" s="152"/>
      <c r="O298" s="152"/>
      <c r="P298" s="152"/>
      <c r="Q298" s="152"/>
      <c r="R298" s="152"/>
    </row>
    <row r="299">
      <c r="A299" s="152"/>
      <c r="B299" s="152"/>
      <c r="C299" s="152"/>
      <c r="D299" s="152"/>
      <c r="E299" s="152"/>
      <c r="F299" s="195"/>
      <c r="G299" s="152"/>
      <c r="H299" s="152"/>
      <c r="I299" s="152"/>
      <c r="J299" s="152"/>
      <c r="K299" s="152"/>
      <c r="L299" s="152"/>
      <c r="M299" s="152"/>
      <c r="N299" s="152"/>
      <c r="O299" s="152"/>
      <c r="P299" s="152"/>
      <c r="Q299" s="152"/>
      <c r="R299" s="152"/>
    </row>
    <row r="300">
      <c r="A300" s="152"/>
      <c r="B300" s="152"/>
      <c r="C300" s="152"/>
      <c r="D300" s="152"/>
      <c r="E300" s="152"/>
      <c r="F300" s="195"/>
      <c r="G300" s="152"/>
      <c r="H300" s="152"/>
      <c r="I300" s="152"/>
      <c r="J300" s="152"/>
      <c r="K300" s="152"/>
      <c r="L300" s="152"/>
      <c r="M300" s="152"/>
      <c r="N300" s="152"/>
      <c r="O300" s="152"/>
      <c r="P300" s="152"/>
      <c r="Q300" s="152"/>
      <c r="R300" s="152"/>
    </row>
    <row r="301">
      <c r="A301" s="152"/>
      <c r="B301" s="152"/>
      <c r="C301" s="152"/>
      <c r="D301" s="152"/>
      <c r="E301" s="152"/>
      <c r="F301" s="195"/>
      <c r="G301" s="152"/>
      <c r="H301" s="152"/>
      <c r="I301" s="152"/>
      <c r="J301" s="152"/>
      <c r="K301" s="152"/>
      <c r="L301" s="152"/>
      <c r="M301" s="152"/>
      <c r="N301" s="152"/>
      <c r="O301" s="152"/>
      <c r="P301" s="152"/>
      <c r="Q301" s="152"/>
      <c r="R301" s="152"/>
    </row>
    <row r="302">
      <c r="A302" s="152"/>
      <c r="B302" s="152"/>
      <c r="C302" s="152"/>
      <c r="D302" s="152"/>
      <c r="E302" s="152"/>
      <c r="F302" s="195"/>
      <c r="G302" s="152"/>
      <c r="H302" s="152"/>
      <c r="I302" s="152"/>
      <c r="J302" s="152"/>
      <c r="K302" s="152"/>
      <c r="L302" s="152"/>
      <c r="M302" s="152"/>
      <c r="N302" s="152"/>
      <c r="O302" s="152"/>
      <c r="P302" s="152"/>
      <c r="Q302" s="152"/>
      <c r="R302" s="152"/>
    </row>
    <row r="303">
      <c r="A303" s="152"/>
      <c r="B303" s="152"/>
      <c r="C303" s="152"/>
      <c r="D303" s="152"/>
      <c r="E303" s="152"/>
      <c r="F303" s="195"/>
      <c r="G303" s="152"/>
      <c r="H303" s="152"/>
      <c r="I303" s="152"/>
      <c r="J303" s="152"/>
      <c r="K303" s="152"/>
      <c r="L303" s="152"/>
      <c r="M303" s="152"/>
      <c r="N303" s="152"/>
      <c r="O303" s="152"/>
      <c r="P303" s="152"/>
      <c r="Q303" s="152"/>
      <c r="R303" s="152"/>
    </row>
    <row r="304">
      <c r="A304" s="152"/>
      <c r="B304" s="152"/>
      <c r="C304" s="152"/>
      <c r="D304" s="152"/>
      <c r="E304" s="152"/>
      <c r="F304" s="195"/>
      <c r="G304" s="152"/>
      <c r="H304" s="152"/>
      <c r="I304" s="152"/>
      <c r="J304" s="152"/>
      <c r="K304" s="152"/>
      <c r="L304" s="152"/>
      <c r="M304" s="152"/>
      <c r="N304" s="152"/>
      <c r="O304" s="152"/>
      <c r="P304" s="152"/>
      <c r="Q304" s="152"/>
      <c r="R304" s="152"/>
    </row>
    <row r="305">
      <c r="A305" s="152"/>
      <c r="B305" s="152"/>
      <c r="C305" s="152"/>
      <c r="D305" s="152"/>
      <c r="E305" s="152"/>
      <c r="F305" s="195"/>
      <c r="G305" s="152"/>
      <c r="H305" s="152"/>
      <c r="I305" s="152"/>
      <c r="J305" s="152"/>
      <c r="K305" s="152"/>
      <c r="L305" s="152"/>
      <c r="M305" s="152"/>
      <c r="N305" s="152"/>
      <c r="O305" s="152"/>
      <c r="P305" s="152"/>
      <c r="Q305" s="152"/>
      <c r="R305" s="152"/>
    </row>
    <row r="306">
      <c r="A306" s="152"/>
      <c r="B306" s="152"/>
      <c r="C306" s="152"/>
      <c r="D306" s="152"/>
      <c r="E306" s="152"/>
      <c r="F306" s="195"/>
      <c r="G306" s="152"/>
      <c r="H306" s="152"/>
      <c r="I306" s="152"/>
      <c r="J306" s="152"/>
      <c r="K306" s="152"/>
      <c r="L306" s="152"/>
      <c r="M306" s="152"/>
      <c r="N306" s="152"/>
      <c r="O306" s="152"/>
      <c r="P306" s="152"/>
      <c r="Q306" s="152"/>
      <c r="R306" s="152"/>
    </row>
    <row r="307">
      <c r="A307" s="152"/>
      <c r="B307" s="152"/>
      <c r="C307" s="152"/>
      <c r="D307" s="152"/>
      <c r="E307" s="152"/>
      <c r="F307" s="195"/>
      <c r="G307" s="152"/>
      <c r="H307" s="152"/>
      <c r="I307" s="152"/>
      <c r="J307" s="152"/>
      <c r="K307" s="152"/>
      <c r="L307" s="152"/>
      <c r="M307" s="152"/>
      <c r="N307" s="152"/>
      <c r="O307" s="152"/>
      <c r="P307" s="152"/>
      <c r="Q307" s="152"/>
      <c r="R307" s="152"/>
    </row>
    <row r="308">
      <c r="A308" s="152"/>
      <c r="B308" s="152"/>
      <c r="C308" s="152"/>
      <c r="D308" s="152"/>
      <c r="E308" s="152"/>
      <c r="F308" s="195"/>
      <c r="G308" s="152"/>
      <c r="H308" s="152"/>
      <c r="I308" s="152"/>
      <c r="J308" s="152"/>
      <c r="K308" s="152"/>
      <c r="L308" s="152"/>
      <c r="M308" s="152"/>
      <c r="N308" s="152"/>
      <c r="O308" s="152"/>
      <c r="P308" s="152"/>
      <c r="Q308" s="152"/>
      <c r="R308" s="152"/>
    </row>
    <row r="309">
      <c r="A309" s="152"/>
      <c r="B309" s="152"/>
      <c r="C309" s="152"/>
      <c r="D309" s="152"/>
      <c r="E309" s="152"/>
      <c r="F309" s="195"/>
      <c r="G309" s="152"/>
      <c r="H309" s="152"/>
      <c r="I309" s="152"/>
      <c r="J309" s="152"/>
      <c r="K309" s="152"/>
      <c r="L309" s="152"/>
      <c r="M309" s="152"/>
      <c r="N309" s="152"/>
      <c r="O309" s="152"/>
      <c r="P309" s="152"/>
      <c r="Q309" s="152"/>
      <c r="R309" s="152"/>
    </row>
    <row r="310">
      <c r="A310" s="152"/>
      <c r="B310" s="152"/>
      <c r="C310" s="152"/>
      <c r="D310" s="152"/>
      <c r="E310" s="152"/>
      <c r="F310" s="195"/>
      <c r="G310" s="152"/>
      <c r="H310" s="152"/>
      <c r="I310" s="152"/>
      <c r="J310" s="152"/>
      <c r="K310" s="152"/>
      <c r="L310" s="152"/>
      <c r="M310" s="152"/>
      <c r="N310" s="152"/>
      <c r="O310" s="152"/>
      <c r="P310" s="152"/>
      <c r="Q310" s="152"/>
      <c r="R310" s="152"/>
    </row>
    <row r="311">
      <c r="A311" s="152"/>
      <c r="B311" s="152"/>
      <c r="C311" s="152"/>
      <c r="D311" s="152"/>
      <c r="E311" s="152"/>
      <c r="F311" s="195"/>
      <c r="G311" s="152"/>
      <c r="H311" s="152"/>
      <c r="I311" s="152"/>
      <c r="J311" s="152"/>
      <c r="K311" s="152"/>
      <c r="L311" s="152"/>
      <c r="M311" s="152"/>
      <c r="N311" s="152"/>
      <c r="O311" s="152"/>
      <c r="P311" s="152"/>
      <c r="Q311" s="152"/>
      <c r="R311" s="152"/>
    </row>
    <row r="312">
      <c r="A312" s="152"/>
      <c r="B312" s="152"/>
      <c r="C312" s="152"/>
      <c r="D312" s="152"/>
      <c r="E312" s="152"/>
      <c r="F312" s="195"/>
      <c r="G312" s="152"/>
      <c r="H312" s="152"/>
      <c r="I312" s="152"/>
      <c r="J312" s="152"/>
      <c r="K312" s="152"/>
      <c r="L312" s="152"/>
      <c r="M312" s="152"/>
      <c r="N312" s="152"/>
      <c r="O312" s="152"/>
      <c r="P312" s="152"/>
      <c r="Q312" s="152"/>
      <c r="R312" s="152"/>
    </row>
    <row r="313">
      <c r="A313" s="152"/>
      <c r="B313" s="152"/>
      <c r="C313" s="152"/>
      <c r="D313" s="152"/>
      <c r="E313" s="152"/>
      <c r="F313" s="195"/>
      <c r="G313" s="152"/>
      <c r="H313" s="152"/>
      <c r="I313" s="152"/>
      <c r="J313" s="152"/>
      <c r="K313" s="152"/>
      <c r="L313" s="152"/>
      <c r="M313" s="152"/>
      <c r="N313" s="152"/>
      <c r="O313" s="152"/>
      <c r="P313" s="152"/>
      <c r="Q313" s="152"/>
      <c r="R313" s="152"/>
    </row>
    <row r="314">
      <c r="A314" s="152"/>
      <c r="B314" s="152"/>
      <c r="C314" s="152"/>
      <c r="D314" s="152"/>
      <c r="E314" s="152"/>
      <c r="F314" s="195"/>
      <c r="G314" s="152"/>
      <c r="H314" s="152"/>
      <c r="I314" s="152"/>
      <c r="J314" s="152"/>
      <c r="K314" s="152"/>
      <c r="L314" s="152"/>
      <c r="M314" s="152"/>
      <c r="N314" s="152"/>
      <c r="O314" s="152"/>
      <c r="P314" s="152"/>
      <c r="Q314" s="152"/>
      <c r="R314" s="152"/>
    </row>
    <row r="315">
      <c r="A315" s="152"/>
      <c r="B315" s="152"/>
      <c r="C315" s="152"/>
      <c r="D315" s="152"/>
      <c r="E315" s="152"/>
      <c r="F315" s="195"/>
      <c r="G315" s="152"/>
      <c r="H315" s="152"/>
      <c r="I315" s="152"/>
      <c r="J315" s="152"/>
      <c r="K315" s="152"/>
      <c r="L315" s="152"/>
      <c r="M315" s="152"/>
      <c r="N315" s="152"/>
      <c r="O315" s="152"/>
      <c r="P315" s="152"/>
      <c r="Q315" s="152"/>
      <c r="R315" s="152"/>
    </row>
    <row r="316">
      <c r="A316" s="152"/>
      <c r="B316" s="152"/>
      <c r="C316" s="152"/>
      <c r="D316" s="152"/>
      <c r="E316" s="152"/>
      <c r="F316" s="195"/>
      <c r="G316" s="152"/>
      <c r="H316" s="152"/>
      <c r="I316" s="152"/>
      <c r="J316" s="152"/>
      <c r="K316" s="152"/>
      <c r="L316" s="152"/>
      <c r="M316" s="152"/>
      <c r="N316" s="152"/>
      <c r="O316" s="152"/>
      <c r="P316" s="152"/>
      <c r="Q316" s="152"/>
      <c r="R316" s="152"/>
    </row>
    <row r="317">
      <c r="A317" s="152"/>
      <c r="B317" s="152"/>
      <c r="C317" s="152"/>
      <c r="D317" s="152"/>
      <c r="E317" s="152"/>
      <c r="F317" s="195"/>
      <c r="G317" s="152"/>
      <c r="H317" s="152"/>
      <c r="I317" s="152"/>
      <c r="J317" s="152"/>
      <c r="K317" s="152"/>
      <c r="L317" s="152"/>
      <c r="M317" s="152"/>
      <c r="N317" s="152"/>
      <c r="O317" s="152"/>
      <c r="P317" s="152"/>
      <c r="Q317" s="152"/>
      <c r="R317" s="152"/>
    </row>
    <row r="318">
      <c r="A318" s="152"/>
      <c r="B318" s="152"/>
      <c r="C318" s="152"/>
      <c r="D318" s="152"/>
      <c r="E318" s="152"/>
      <c r="F318" s="195"/>
      <c r="G318" s="152"/>
      <c r="H318" s="152"/>
      <c r="I318" s="152"/>
      <c r="J318" s="152"/>
      <c r="K318" s="152"/>
      <c r="L318" s="152"/>
      <c r="M318" s="152"/>
      <c r="N318" s="152"/>
      <c r="O318" s="152"/>
      <c r="P318" s="152"/>
      <c r="Q318" s="152"/>
      <c r="R318" s="152"/>
    </row>
    <row r="319">
      <c r="A319" s="152"/>
      <c r="B319" s="152"/>
      <c r="C319" s="152"/>
      <c r="D319" s="152"/>
      <c r="E319" s="152"/>
      <c r="F319" s="195"/>
      <c r="G319" s="152"/>
      <c r="H319" s="152"/>
      <c r="I319" s="152"/>
      <c r="J319" s="152"/>
      <c r="K319" s="152"/>
      <c r="L319" s="152"/>
      <c r="M319" s="152"/>
      <c r="N319" s="152"/>
      <c r="O319" s="152"/>
      <c r="P319" s="152"/>
      <c r="Q319" s="152"/>
      <c r="R319" s="152"/>
    </row>
    <row r="320">
      <c r="A320" s="152"/>
      <c r="B320" s="152"/>
      <c r="C320" s="152"/>
      <c r="D320" s="152"/>
      <c r="E320" s="152"/>
      <c r="F320" s="195"/>
      <c r="G320" s="152"/>
      <c r="H320" s="152"/>
      <c r="I320" s="152"/>
      <c r="J320" s="152"/>
      <c r="K320" s="152"/>
      <c r="L320" s="152"/>
      <c r="M320" s="152"/>
      <c r="N320" s="152"/>
      <c r="O320" s="152"/>
      <c r="P320" s="152"/>
      <c r="Q320" s="152"/>
      <c r="R320" s="152"/>
    </row>
    <row r="321">
      <c r="A321" s="152"/>
      <c r="B321" s="152"/>
      <c r="C321" s="152"/>
      <c r="D321" s="152"/>
      <c r="E321" s="152"/>
      <c r="F321" s="195"/>
      <c r="G321" s="152"/>
      <c r="H321" s="152"/>
      <c r="I321" s="152"/>
      <c r="J321" s="152"/>
      <c r="K321" s="152"/>
      <c r="L321" s="152"/>
      <c r="M321" s="152"/>
      <c r="N321" s="152"/>
      <c r="O321" s="152"/>
      <c r="P321" s="152"/>
      <c r="Q321" s="152"/>
      <c r="R321" s="152"/>
    </row>
    <row r="322">
      <c r="A322" s="152"/>
      <c r="B322" s="152"/>
      <c r="C322" s="152"/>
      <c r="D322" s="152"/>
      <c r="E322" s="152"/>
      <c r="F322" s="195"/>
      <c r="G322" s="152"/>
      <c r="H322" s="152"/>
      <c r="I322" s="152"/>
      <c r="J322" s="152"/>
      <c r="K322" s="152"/>
      <c r="L322" s="152"/>
      <c r="M322" s="152"/>
      <c r="N322" s="152"/>
      <c r="O322" s="152"/>
      <c r="P322" s="152"/>
      <c r="Q322" s="152"/>
      <c r="R322" s="152"/>
    </row>
    <row r="323">
      <c r="A323" s="152"/>
      <c r="B323" s="152"/>
      <c r="C323" s="152"/>
      <c r="D323" s="152"/>
      <c r="E323" s="152"/>
      <c r="F323" s="195"/>
      <c r="G323" s="152"/>
      <c r="H323" s="152"/>
      <c r="I323" s="152"/>
      <c r="J323" s="152"/>
      <c r="K323" s="152"/>
      <c r="L323" s="152"/>
      <c r="M323" s="152"/>
      <c r="N323" s="152"/>
      <c r="O323" s="152"/>
      <c r="P323" s="152"/>
      <c r="Q323" s="152"/>
      <c r="R323" s="152"/>
    </row>
    <row r="324">
      <c r="A324" s="152"/>
      <c r="B324" s="152"/>
      <c r="C324" s="152"/>
      <c r="D324" s="152"/>
      <c r="E324" s="152"/>
      <c r="F324" s="195"/>
      <c r="G324" s="152"/>
      <c r="H324" s="152"/>
      <c r="I324" s="152"/>
      <c r="J324" s="152"/>
      <c r="K324" s="152"/>
      <c r="L324" s="152"/>
      <c r="M324" s="152"/>
      <c r="N324" s="152"/>
      <c r="O324" s="152"/>
      <c r="P324" s="152"/>
      <c r="Q324" s="152"/>
      <c r="R324" s="152"/>
    </row>
    <row r="325">
      <c r="A325" s="152"/>
      <c r="B325" s="152"/>
      <c r="C325" s="152"/>
      <c r="D325" s="152"/>
      <c r="E325" s="152"/>
      <c r="F325" s="195"/>
      <c r="G325" s="152"/>
      <c r="H325" s="152"/>
      <c r="I325" s="152"/>
      <c r="J325" s="152"/>
      <c r="K325" s="152"/>
      <c r="L325" s="152"/>
      <c r="M325" s="152"/>
      <c r="N325" s="152"/>
      <c r="O325" s="152"/>
      <c r="P325" s="152"/>
      <c r="Q325" s="152"/>
      <c r="R325" s="152"/>
    </row>
    <row r="326">
      <c r="A326" s="152"/>
      <c r="B326" s="152"/>
      <c r="C326" s="152"/>
      <c r="D326" s="152"/>
      <c r="E326" s="152"/>
      <c r="F326" s="195"/>
      <c r="G326" s="152"/>
      <c r="H326" s="152"/>
      <c r="I326" s="152"/>
      <c r="J326" s="152"/>
      <c r="K326" s="152"/>
      <c r="L326" s="152"/>
      <c r="M326" s="152"/>
      <c r="N326" s="152"/>
      <c r="O326" s="152"/>
      <c r="P326" s="152"/>
      <c r="Q326" s="152"/>
      <c r="R326" s="152"/>
    </row>
    <row r="327">
      <c r="A327" s="152"/>
      <c r="B327" s="152"/>
      <c r="C327" s="152"/>
      <c r="D327" s="152"/>
      <c r="E327" s="152"/>
      <c r="F327" s="195"/>
      <c r="G327" s="152"/>
      <c r="H327" s="152"/>
      <c r="I327" s="152"/>
      <c r="J327" s="152"/>
      <c r="K327" s="152"/>
      <c r="L327" s="152"/>
      <c r="M327" s="152"/>
      <c r="N327" s="152"/>
      <c r="O327" s="152"/>
      <c r="P327" s="152"/>
      <c r="Q327" s="152"/>
      <c r="R327" s="152"/>
    </row>
    <row r="328">
      <c r="A328" s="152"/>
      <c r="B328" s="152"/>
      <c r="C328" s="152"/>
      <c r="D328" s="152"/>
      <c r="E328" s="152"/>
      <c r="F328" s="195"/>
      <c r="G328" s="152"/>
      <c r="H328" s="152"/>
      <c r="I328" s="152"/>
      <c r="J328" s="152"/>
      <c r="K328" s="152"/>
      <c r="L328" s="152"/>
      <c r="M328" s="152"/>
      <c r="N328" s="152"/>
      <c r="O328" s="152"/>
      <c r="P328" s="152"/>
      <c r="Q328" s="152"/>
      <c r="R328" s="152"/>
    </row>
    <row r="329">
      <c r="A329" s="152"/>
      <c r="B329" s="152"/>
      <c r="C329" s="152"/>
      <c r="D329" s="152"/>
      <c r="E329" s="152"/>
      <c r="F329" s="195"/>
      <c r="G329" s="152"/>
      <c r="H329" s="152"/>
      <c r="I329" s="152"/>
      <c r="J329" s="152"/>
      <c r="K329" s="152"/>
      <c r="L329" s="152"/>
      <c r="M329" s="152"/>
      <c r="N329" s="152"/>
      <c r="O329" s="152"/>
      <c r="P329" s="152"/>
      <c r="Q329" s="152"/>
      <c r="R329" s="152"/>
    </row>
    <row r="330">
      <c r="A330" s="152"/>
      <c r="B330" s="152"/>
      <c r="C330" s="152"/>
      <c r="D330" s="152"/>
      <c r="E330" s="152"/>
      <c r="F330" s="195"/>
      <c r="G330" s="152"/>
      <c r="H330" s="152"/>
      <c r="I330" s="152"/>
      <c r="J330" s="152"/>
      <c r="K330" s="152"/>
      <c r="L330" s="152"/>
      <c r="M330" s="152"/>
      <c r="N330" s="152"/>
      <c r="O330" s="152"/>
      <c r="P330" s="152"/>
      <c r="Q330" s="152"/>
      <c r="R330" s="152"/>
    </row>
    <row r="331">
      <c r="A331" s="152"/>
      <c r="B331" s="152"/>
      <c r="C331" s="152"/>
      <c r="D331" s="152"/>
      <c r="E331" s="152"/>
      <c r="F331" s="195"/>
      <c r="G331" s="152"/>
      <c r="H331" s="152"/>
      <c r="I331" s="152"/>
      <c r="J331" s="152"/>
      <c r="K331" s="152"/>
      <c r="L331" s="152"/>
      <c r="M331" s="152"/>
      <c r="N331" s="152"/>
      <c r="O331" s="152"/>
      <c r="P331" s="152"/>
      <c r="Q331" s="152"/>
      <c r="R331" s="152"/>
    </row>
    <row r="332">
      <c r="A332" s="152"/>
      <c r="B332" s="152"/>
      <c r="C332" s="152"/>
      <c r="D332" s="152"/>
      <c r="E332" s="152"/>
      <c r="F332" s="195"/>
      <c r="G332" s="152"/>
      <c r="H332" s="152"/>
      <c r="I332" s="152"/>
      <c r="J332" s="152"/>
      <c r="K332" s="152"/>
      <c r="L332" s="152"/>
      <c r="M332" s="152"/>
      <c r="N332" s="152"/>
      <c r="O332" s="152"/>
      <c r="P332" s="152"/>
      <c r="Q332" s="152"/>
      <c r="R332" s="152"/>
    </row>
    <row r="333">
      <c r="A333" s="152"/>
      <c r="B333" s="152"/>
      <c r="C333" s="152"/>
      <c r="D333" s="152"/>
      <c r="E333" s="152"/>
      <c r="F333" s="195"/>
      <c r="G333" s="152"/>
      <c r="H333" s="152"/>
      <c r="I333" s="152"/>
      <c r="J333" s="152"/>
      <c r="K333" s="152"/>
      <c r="L333" s="152"/>
      <c r="M333" s="152"/>
      <c r="N333" s="152"/>
      <c r="O333" s="152"/>
      <c r="P333" s="152"/>
      <c r="Q333" s="152"/>
      <c r="R333" s="152"/>
    </row>
    <row r="334">
      <c r="A334" s="152"/>
      <c r="B334" s="152"/>
      <c r="C334" s="152"/>
      <c r="D334" s="152"/>
      <c r="E334" s="152"/>
      <c r="F334" s="195"/>
      <c r="G334" s="152"/>
      <c r="H334" s="152"/>
      <c r="I334" s="152"/>
      <c r="J334" s="152"/>
      <c r="K334" s="152"/>
      <c r="L334" s="152"/>
      <c r="M334" s="152"/>
      <c r="N334" s="152"/>
      <c r="O334" s="152"/>
      <c r="P334" s="152"/>
      <c r="Q334" s="152"/>
      <c r="R334" s="152"/>
    </row>
    <row r="335">
      <c r="A335" s="152"/>
      <c r="B335" s="152"/>
      <c r="C335" s="152"/>
      <c r="D335" s="152"/>
      <c r="E335" s="152"/>
      <c r="F335" s="195"/>
      <c r="G335" s="152"/>
      <c r="H335" s="152"/>
      <c r="I335" s="152"/>
      <c r="J335" s="152"/>
      <c r="K335" s="152"/>
      <c r="L335" s="152"/>
      <c r="M335" s="152"/>
      <c r="N335" s="152"/>
      <c r="O335" s="152"/>
      <c r="P335" s="152"/>
      <c r="Q335" s="152"/>
      <c r="R335" s="152"/>
    </row>
    <row r="336">
      <c r="A336" s="152"/>
      <c r="B336" s="152"/>
      <c r="C336" s="152"/>
      <c r="D336" s="152"/>
      <c r="E336" s="152"/>
      <c r="F336" s="195"/>
      <c r="G336" s="152"/>
      <c r="H336" s="152"/>
      <c r="I336" s="152"/>
      <c r="J336" s="152"/>
      <c r="K336" s="152"/>
      <c r="L336" s="152"/>
      <c r="M336" s="152"/>
      <c r="N336" s="152"/>
      <c r="O336" s="152"/>
      <c r="P336" s="152"/>
      <c r="Q336" s="152"/>
      <c r="R336" s="152"/>
    </row>
    <row r="337">
      <c r="A337" s="152"/>
      <c r="B337" s="152"/>
      <c r="C337" s="152"/>
      <c r="D337" s="152"/>
      <c r="E337" s="152"/>
      <c r="F337" s="195"/>
      <c r="G337" s="152"/>
      <c r="H337" s="152"/>
      <c r="I337" s="152"/>
      <c r="J337" s="152"/>
      <c r="K337" s="152"/>
      <c r="L337" s="152"/>
      <c r="M337" s="152"/>
      <c r="N337" s="152"/>
      <c r="O337" s="152"/>
      <c r="P337" s="152"/>
      <c r="Q337" s="152"/>
      <c r="R337" s="152"/>
    </row>
    <row r="338">
      <c r="A338" s="152"/>
      <c r="B338" s="152"/>
      <c r="C338" s="152"/>
      <c r="D338" s="152"/>
      <c r="E338" s="152"/>
      <c r="F338" s="195"/>
      <c r="G338" s="152"/>
      <c r="H338" s="152"/>
      <c r="I338" s="152"/>
      <c r="J338" s="152"/>
      <c r="K338" s="152"/>
      <c r="L338" s="152"/>
      <c r="M338" s="152"/>
      <c r="N338" s="152"/>
      <c r="O338" s="152"/>
      <c r="P338" s="152"/>
      <c r="Q338" s="152"/>
      <c r="R338" s="152"/>
    </row>
    <row r="339">
      <c r="A339" s="152"/>
      <c r="B339" s="152"/>
      <c r="C339" s="152"/>
      <c r="D339" s="152"/>
      <c r="E339" s="152"/>
      <c r="F339" s="195"/>
      <c r="G339" s="152"/>
      <c r="H339" s="152"/>
      <c r="I339" s="152"/>
      <c r="J339" s="152"/>
      <c r="K339" s="152"/>
      <c r="L339" s="152"/>
      <c r="M339" s="152"/>
      <c r="N339" s="152"/>
      <c r="O339" s="152"/>
      <c r="P339" s="152"/>
      <c r="Q339" s="152"/>
      <c r="R339" s="152"/>
    </row>
    <row r="340">
      <c r="A340" s="152"/>
      <c r="B340" s="152"/>
      <c r="C340" s="152"/>
      <c r="D340" s="152"/>
      <c r="E340" s="152"/>
      <c r="F340" s="195"/>
      <c r="G340" s="152"/>
      <c r="H340" s="152"/>
      <c r="I340" s="152"/>
      <c r="J340" s="152"/>
      <c r="K340" s="152"/>
      <c r="L340" s="152"/>
      <c r="M340" s="152"/>
      <c r="N340" s="152"/>
      <c r="O340" s="152"/>
      <c r="P340" s="152"/>
      <c r="Q340" s="152"/>
      <c r="R340" s="152"/>
    </row>
    <row r="341">
      <c r="A341" s="152"/>
      <c r="B341" s="152"/>
      <c r="C341" s="152"/>
      <c r="D341" s="152"/>
      <c r="E341" s="152"/>
      <c r="F341" s="195"/>
      <c r="G341" s="152"/>
      <c r="H341" s="152"/>
      <c r="I341" s="152"/>
      <c r="J341" s="152"/>
      <c r="K341" s="152"/>
      <c r="L341" s="152"/>
      <c r="M341" s="152"/>
      <c r="N341" s="152"/>
      <c r="O341" s="152"/>
      <c r="P341" s="152"/>
      <c r="Q341" s="152"/>
      <c r="R341" s="152"/>
    </row>
    <row r="342">
      <c r="A342" s="152"/>
      <c r="B342" s="152"/>
      <c r="C342" s="152"/>
      <c r="D342" s="152"/>
      <c r="E342" s="152"/>
      <c r="F342" s="195"/>
      <c r="G342" s="152"/>
      <c r="H342" s="152"/>
      <c r="I342" s="152"/>
      <c r="J342" s="152"/>
      <c r="K342" s="152"/>
      <c r="L342" s="152"/>
      <c r="M342" s="152"/>
      <c r="N342" s="152"/>
      <c r="O342" s="152"/>
      <c r="P342" s="152"/>
      <c r="Q342" s="152"/>
      <c r="R342" s="152"/>
    </row>
    <row r="343">
      <c r="A343" s="152"/>
      <c r="B343" s="152"/>
      <c r="C343" s="152"/>
      <c r="D343" s="152"/>
      <c r="E343" s="152"/>
      <c r="F343" s="195"/>
      <c r="G343" s="152"/>
      <c r="H343" s="152"/>
      <c r="I343" s="152"/>
      <c r="J343" s="152"/>
      <c r="K343" s="152"/>
      <c r="L343" s="152"/>
      <c r="M343" s="152"/>
      <c r="N343" s="152"/>
      <c r="O343" s="152"/>
      <c r="P343" s="152"/>
      <c r="Q343" s="152"/>
      <c r="R343" s="152"/>
    </row>
    <row r="344">
      <c r="A344" s="152"/>
      <c r="B344" s="152"/>
      <c r="C344" s="152"/>
      <c r="D344" s="152"/>
      <c r="E344" s="152"/>
      <c r="F344" s="195"/>
      <c r="G344" s="152"/>
      <c r="H344" s="152"/>
      <c r="I344" s="152"/>
      <c r="J344" s="152"/>
      <c r="K344" s="152"/>
      <c r="L344" s="152"/>
      <c r="M344" s="152"/>
      <c r="N344" s="152"/>
      <c r="O344" s="152"/>
      <c r="P344" s="152"/>
      <c r="Q344" s="152"/>
      <c r="R344" s="152"/>
    </row>
    <row r="345">
      <c r="A345" s="152"/>
      <c r="B345" s="152"/>
      <c r="C345" s="152"/>
      <c r="D345" s="152"/>
      <c r="E345" s="152"/>
      <c r="F345" s="195"/>
      <c r="G345" s="152"/>
      <c r="H345" s="152"/>
      <c r="I345" s="152"/>
      <c r="J345" s="152"/>
      <c r="K345" s="152"/>
      <c r="L345" s="152"/>
      <c r="M345" s="152"/>
      <c r="N345" s="152"/>
      <c r="O345" s="152"/>
      <c r="P345" s="152"/>
      <c r="Q345" s="152"/>
      <c r="R345" s="152"/>
    </row>
    <row r="346">
      <c r="A346" s="152"/>
      <c r="B346" s="152"/>
      <c r="C346" s="152"/>
      <c r="D346" s="152"/>
      <c r="E346" s="152"/>
      <c r="F346" s="195"/>
      <c r="G346" s="152"/>
      <c r="H346" s="152"/>
      <c r="I346" s="152"/>
      <c r="J346" s="152"/>
      <c r="K346" s="152"/>
      <c r="L346" s="152"/>
      <c r="M346" s="152"/>
      <c r="N346" s="152"/>
      <c r="O346" s="152"/>
      <c r="P346" s="152"/>
      <c r="Q346" s="152"/>
      <c r="R346" s="152"/>
    </row>
    <row r="347">
      <c r="A347" s="152"/>
      <c r="B347" s="152"/>
      <c r="C347" s="152"/>
      <c r="D347" s="152"/>
      <c r="E347" s="152"/>
      <c r="F347" s="195"/>
      <c r="G347" s="152"/>
      <c r="H347" s="152"/>
      <c r="I347" s="152"/>
      <c r="J347" s="152"/>
      <c r="K347" s="152"/>
      <c r="L347" s="152"/>
      <c r="M347" s="152"/>
      <c r="N347" s="152"/>
      <c r="O347" s="152"/>
      <c r="P347" s="152"/>
      <c r="Q347" s="152"/>
      <c r="R347" s="152"/>
    </row>
    <row r="348">
      <c r="A348" s="152"/>
      <c r="B348" s="152"/>
      <c r="C348" s="152"/>
      <c r="D348" s="152"/>
      <c r="E348" s="152"/>
      <c r="F348" s="195"/>
      <c r="G348" s="152"/>
      <c r="H348" s="152"/>
      <c r="I348" s="152"/>
      <c r="J348" s="152"/>
      <c r="K348" s="152"/>
      <c r="L348" s="152"/>
      <c r="M348" s="152"/>
      <c r="N348" s="152"/>
      <c r="O348" s="152"/>
      <c r="P348" s="152"/>
      <c r="Q348" s="152"/>
      <c r="R348" s="152"/>
    </row>
    <row r="349">
      <c r="A349" s="152"/>
      <c r="B349" s="152"/>
      <c r="C349" s="152"/>
      <c r="D349" s="152"/>
      <c r="E349" s="152"/>
      <c r="F349" s="195"/>
      <c r="G349" s="152"/>
      <c r="H349" s="152"/>
      <c r="I349" s="152"/>
      <c r="J349" s="152"/>
      <c r="K349" s="152"/>
      <c r="L349" s="152"/>
      <c r="M349" s="152"/>
      <c r="N349" s="152"/>
      <c r="O349" s="152"/>
      <c r="P349" s="152"/>
      <c r="Q349" s="152"/>
      <c r="R349" s="152"/>
    </row>
    <row r="350">
      <c r="A350" s="152"/>
      <c r="B350" s="152"/>
      <c r="C350" s="152"/>
      <c r="D350" s="152"/>
      <c r="E350" s="152"/>
      <c r="F350" s="195"/>
      <c r="G350" s="152"/>
      <c r="H350" s="152"/>
      <c r="I350" s="152"/>
      <c r="J350" s="152"/>
      <c r="K350" s="152"/>
      <c r="L350" s="152"/>
      <c r="M350" s="152"/>
      <c r="N350" s="152"/>
      <c r="O350" s="152"/>
      <c r="P350" s="152"/>
      <c r="Q350" s="152"/>
      <c r="R350" s="152"/>
    </row>
    <row r="351">
      <c r="A351" s="152"/>
      <c r="B351" s="152"/>
      <c r="C351" s="152"/>
      <c r="D351" s="152"/>
      <c r="E351" s="152"/>
      <c r="F351" s="195"/>
      <c r="G351" s="152"/>
      <c r="H351" s="152"/>
      <c r="I351" s="152"/>
      <c r="J351" s="152"/>
      <c r="K351" s="152"/>
      <c r="L351" s="152"/>
      <c r="M351" s="152"/>
      <c r="N351" s="152"/>
      <c r="O351" s="152"/>
      <c r="P351" s="152"/>
      <c r="Q351" s="152"/>
      <c r="R351" s="152"/>
    </row>
    <row r="352">
      <c r="A352" s="152"/>
      <c r="B352" s="152"/>
      <c r="C352" s="152"/>
      <c r="D352" s="152"/>
      <c r="E352" s="152"/>
      <c r="F352" s="195"/>
      <c r="G352" s="152"/>
      <c r="H352" s="152"/>
      <c r="I352" s="152"/>
      <c r="J352" s="152"/>
      <c r="K352" s="152"/>
      <c r="L352" s="152"/>
      <c r="M352" s="152"/>
      <c r="N352" s="152"/>
      <c r="O352" s="152"/>
      <c r="P352" s="152"/>
      <c r="Q352" s="152"/>
      <c r="R352" s="152"/>
    </row>
    <row r="353">
      <c r="A353" s="152"/>
      <c r="B353" s="152"/>
      <c r="C353" s="152"/>
      <c r="D353" s="152"/>
      <c r="E353" s="152"/>
      <c r="F353" s="195"/>
      <c r="G353" s="152"/>
      <c r="H353" s="152"/>
      <c r="I353" s="152"/>
      <c r="J353" s="152"/>
      <c r="K353" s="152"/>
      <c r="L353" s="152"/>
      <c r="M353" s="152"/>
      <c r="N353" s="152"/>
      <c r="O353" s="152"/>
      <c r="P353" s="152"/>
      <c r="Q353" s="152"/>
      <c r="R353" s="152"/>
    </row>
    <row r="354">
      <c r="A354" s="152"/>
      <c r="B354" s="152"/>
      <c r="C354" s="152"/>
      <c r="D354" s="152"/>
      <c r="E354" s="152"/>
      <c r="F354" s="195"/>
      <c r="G354" s="152"/>
      <c r="H354" s="152"/>
      <c r="I354" s="152"/>
      <c r="J354" s="152"/>
      <c r="K354" s="152"/>
      <c r="L354" s="152"/>
      <c r="M354" s="152"/>
      <c r="N354" s="152"/>
      <c r="O354" s="152"/>
      <c r="P354" s="152"/>
      <c r="Q354" s="152"/>
      <c r="R354" s="152"/>
    </row>
    <row r="355">
      <c r="A355" s="152"/>
      <c r="B355" s="152"/>
      <c r="C355" s="152"/>
      <c r="D355" s="152"/>
      <c r="E355" s="152"/>
      <c r="F355" s="195"/>
      <c r="G355" s="152"/>
      <c r="H355" s="152"/>
      <c r="I355" s="152"/>
      <c r="J355" s="152"/>
      <c r="K355" s="152"/>
      <c r="L355" s="152"/>
      <c r="M355" s="152"/>
      <c r="N355" s="152"/>
      <c r="O355" s="152"/>
      <c r="P355" s="152"/>
      <c r="Q355" s="152"/>
      <c r="R355" s="152"/>
    </row>
    <row r="356">
      <c r="A356" s="152"/>
      <c r="B356" s="152"/>
      <c r="C356" s="152"/>
      <c r="D356" s="152"/>
      <c r="E356" s="152"/>
      <c r="F356" s="195"/>
      <c r="G356" s="152"/>
      <c r="H356" s="152"/>
      <c r="I356" s="152"/>
      <c r="J356" s="152"/>
      <c r="K356" s="152"/>
      <c r="L356" s="152"/>
      <c r="M356" s="152"/>
      <c r="N356" s="152"/>
      <c r="O356" s="152"/>
      <c r="P356" s="152"/>
      <c r="Q356" s="152"/>
      <c r="R356" s="152"/>
    </row>
    <row r="357">
      <c r="A357" s="152"/>
      <c r="B357" s="152"/>
      <c r="C357" s="152"/>
      <c r="D357" s="152"/>
      <c r="E357" s="152"/>
      <c r="F357" s="195"/>
      <c r="G357" s="152"/>
      <c r="H357" s="152"/>
      <c r="I357" s="152"/>
      <c r="J357" s="152"/>
      <c r="K357" s="152"/>
      <c r="L357" s="152"/>
      <c r="M357" s="152"/>
      <c r="N357" s="152"/>
      <c r="O357" s="152"/>
      <c r="P357" s="152"/>
      <c r="Q357" s="152"/>
      <c r="R357" s="152"/>
    </row>
    <row r="358">
      <c r="A358" s="152"/>
      <c r="B358" s="152"/>
      <c r="C358" s="152"/>
      <c r="D358" s="152"/>
      <c r="E358" s="152"/>
      <c r="F358" s="195"/>
      <c r="G358" s="152"/>
      <c r="H358" s="152"/>
      <c r="I358" s="152"/>
      <c r="J358" s="152"/>
      <c r="K358" s="152"/>
      <c r="L358" s="152"/>
      <c r="M358" s="152"/>
      <c r="N358" s="152"/>
      <c r="O358" s="152"/>
      <c r="P358" s="152"/>
      <c r="Q358" s="152"/>
      <c r="R358" s="152"/>
    </row>
    <row r="359">
      <c r="A359" s="152"/>
      <c r="B359" s="152"/>
      <c r="C359" s="152"/>
      <c r="D359" s="152"/>
      <c r="E359" s="152"/>
      <c r="F359" s="195"/>
      <c r="G359" s="152"/>
      <c r="H359" s="152"/>
      <c r="I359" s="152"/>
      <c r="J359" s="152"/>
      <c r="K359" s="152"/>
      <c r="L359" s="152"/>
      <c r="M359" s="152"/>
      <c r="N359" s="152"/>
      <c r="O359" s="152"/>
      <c r="P359" s="152"/>
      <c r="Q359" s="152"/>
      <c r="R359" s="152"/>
    </row>
    <row r="360">
      <c r="A360" s="152"/>
      <c r="B360" s="152"/>
      <c r="C360" s="152"/>
      <c r="D360" s="152"/>
      <c r="E360" s="152"/>
      <c r="F360" s="195"/>
      <c r="G360" s="152"/>
      <c r="H360" s="152"/>
      <c r="I360" s="152"/>
      <c r="J360" s="152"/>
      <c r="K360" s="152"/>
      <c r="L360" s="152"/>
      <c r="M360" s="152"/>
      <c r="N360" s="152"/>
      <c r="O360" s="152"/>
      <c r="P360" s="152"/>
      <c r="Q360" s="152"/>
      <c r="R360" s="152"/>
    </row>
    <row r="361">
      <c r="A361" s="152"/>
      <c r="B361" s="152"/>
      <c r="C361" s="152"/>
      <c r="D361" s="152"/>
      <c r="E361" s="152"/>
      <c r="F361" s="195"/>
      <c r="G361" s="152"/>
      <c r="H361" s="152"/>
      <c r="I361" s="152"/>
      <c r="J361" s="152"/>
      <c r="K361" s="152"/>
      <c r="L361" s="152"/>
      <c r="M361" s="152"/>
      <c r="N361" s="152"/>
      <c r="O361" s="152"/>
      <c r="P361" s="152"/>
      <c r="Q361" s="152"/>
      <c r="R361" s="152"/>
    </row>
    <row r="362">
      <c r="A362" s="152"/>
      <c r="B362" s="152"/>
      <c r="C362" s="152"/>
      <c r="D362" s="152"/>
      <c r="E362" s="152"/>
      <c r="F362" s="195"/>
      <c r="G362" s="152"/>
      <c r="H362" s="152"/>
      <c r="I362" s="152"/>
      <c r="J362" s="152"/>
      <c r="K362" s="152"/>
      <c r="L362" s="152"/>
      <c r="M362" s="152"/>
      <c r="N362" s="152"/>
      <c r="O362" s="152"/>
      <c r="P362" s="152"/>
      <c r="Q362" s="152"/>
      <c r="R362" s="152"/>
    </row>
    <row r="363">
      <c r="A363" s="152"/>
      <c r="B363" s="152"/>
      <c r="C363" s="152"/>
      <c r="D363" s="152"/>
      <c r="E363" s="152"/>
      <c r="F363" s="195"/>
      <c r="G363" s="152"/>
      <c r="H363" s="152"/>
      <c r="I363" s="152"/>
      <c r="J363" s="152"/>
      <c r="K363" s="152"/>
      <c r="L363" s="152"/>
      <c r="M363" s="152"/>
      <c r="N363" s="152"/>
      <c r="O363" s="152"/>
      <c r="P363" s="152"/>
      <c r="Q363" s="152"/>
      <c r="R363" s="152"/>
    </row>
    <row r="364">
      <c r="A364" s="152"/>
      <c r="B364" s="152"/>
      <c r="C364" s="152"/>
      <c r="D364" s="152"/>
      <c r="E364" s="152"/>
      <c r="F364" s="195"/>
      <c r="G364" s="152"/>
      <c r="H364" s="152"/>
      <c r="I364" s="152"/>
      <c r="J364" s="152"/>
      <c r="K364" s="152"/>
      <c r="L364" s="152"/>
      <c r="M364" s="152"/>
      <c r="N364" s="152"/>
      <c r="O364" s="152"/>
      <c r="P364" s="152"/>
      <c r="Q364" s="152"/>
      <c r="R364" s="152"/>
    </row>
    <row r="365">
      <c r="A365" s="152"/>
      <c r="B365" s="152"/>
      <c r="C365" s="152"/>
      <c r="D365" s="152"/>
      <c r="E365" s="152"/>
      <c r="F365" s="195"/>
      <c r="G365" s="152"/>
      <c r="H365" s="152"/>
      <c r="I365" s="152"/>
      <c r="J365" s="152"/>
      <c r="K365" s="152"/>
      <c r="L365" s="152"/>
      <c r="M365" s="152"/>
      <c r="N365" s="152"/>
      <c r="O365" s="152"/>
      <c r="P365" s="152"/>
      <c r="Q365" s="152"/>
      <c r="R365" s="152"/>
    </row>
    <row r="366">
      <c r="A366" s="152"/>
      <c r="B366" s="152"/>
      <c r="C366" s="152"/>
      <c r="D366" s="152"/>
      <c r="E366" s="152"/>
      <c r="F366" s="195"/>
      <c r="G366" s="152"/>
      <c r="H366" s="152"/>
      <c r="I366" s="152"/>
      <c r="J366" s="152"/>
      <c r="K366" s="152"/>
      <c r="L366" s="152"/>
      <c r="M366" s="152"/>
      <c r="N366" s="152"/>
      <c r="O366" s="152"/>
      <c r="P366" s="152"/>
      <c r="Q366" s="152"/>
      <c r="R366" s="152"/>
    </row>
    <row r="367">
      <c r="A367" s="152"/>
      <c r="B367" s="152"/>
      <c r="C367" s="152"/>
      <c r="D367" s="152"/>
      <c r="E367" s="152"/>
      <c r="F367" s="195"/>
      <c r="G367" s="152"/>
      <c r="H367" s="152"/>
      <c r="I367" s="152"/>
      <c r="J367" s="152"/>
      <c r="K367" s="152"/>
      <c r="L367" s="152"/>
      <c r="M367" s="152"/>
      <c r="N367" s="152"/>
      <c r="O367" s="152"/>
      <c r="P367" s="152"/>
      <c r="Q367" s="152"/>
      <c r="R367" s="152"/>
    </row>
    <row r="368">
      <c r="A368" s="152"/>
      <c r="B368" s="152"/>
      <c r="C368" s="152"/>
      <c r="D368" s="152"/>
      <c r="E368" s="152"/>
      <c r="F368" s="195"/>
      <c r="G368" s="152"/>
      <c r="H368" s="152"/>
      <c r="I368" s="152"/>
      <c r="J368" s="152"/>
      <c r="K368" s="152"/>
      <c r="L368" s="152"/>
      <c r="M368" s="152"/>
      <c r="N368" s="152"/>
      <c r="O368" s="152"/>
      <c r="P368" s="152"/>
      <c r="Q368" s="152"/>
      <c r="R368" s="152"/>
    </row>
    <row r="369">
      <c r="A369" s="152"/>
      <c r="B369" s="152"/>
      <c r="C369" s="152"/>
      <c r="D369" s="152"/>
      <c r="E369" s="152"/>
      <c r="F369" s="195"/>
      <c r="G369" s="152"/>
      <c r="H369" s="152"/>
      <c r="I369" s="152"/>
      <c r="J369" s="152"/>
      <c r="K369" s="152"/>
      <c r="L369" s="152"/>
      <c r="M369" s="152"/>
      <c r="N369" s="152"/>
      <c r="O369" s="152"/>
      <c r="P369" s="152"/>
      <c r="Q369" s="152"/>
      <c r="R369" s="152"/>
    </row>
    <row r="370">
      <c r="A370" s="152"/>
      <c r="B370" s="152"/>
      <c r="C370" s="152"/>
      <c r="D370" s="152"/>
      <c r="E370" s="152"/>
      <c r="F370" s="195"/>
      <c r="G370" s="152"/>
      <c r="H370" s="152"/>
      <c r="I370" s="152"/>
      <c r="J370" s="152"/>
      <c r="K370" s="152"/>
      <c r="L370" s="152"/>
      <c r="M370" s="152"/>
      <c r="N370" s="152"/>
      <c r="O370" s="152"/>
      <c r="P370" s="152"/>
      <c r="Q370" s="152"/>
      <c r="R370" s="152"/>
    </row>
    <row r="371">
      <c r="A371" s="152"/>
      <c r="B371" s="152"/>
      <c r="C371" s="152"/>
      <c r="D371" s="152"/>
      <c r="E371" s="152"/>
      <c r="F371" s="195"/>
      <c r="G371" s="152"/>
      <c r="H371" s="152"/>
      <c r="I371" s="152"/>
      <c r="J371" s="152"/>
      <c r="K371" s="152"/>
      <c r="L371" s="152"/>
      <c r="M371" s="152"/>
      <c r="N371" s="152"/>
      <c r="O371" s="152"/>
      <c r="P371" s="152"/>
      <c r="Q371" s="152"/>
      <c r="R371" s="152"/>
    </row>
    <row r="372">
      <c r="A372" s="152"/>
      <c r="B372" s="152"/>
      <c r="C372" s="152"/>
      <c r="D372" s="152"/>
      <c r="E372" s="152"/>
      <c r="F372" s="195"/>
      <c r="G372" s="152"/>
      <c r="H372" s="152"/>
      <c r="I372" s="152"/>
      <c r="J372" s="152"/>
      <c r="K372" s="152"/>
      <c r="L372" s="152"/>
      <c r="M372" s="152"/>
      <c r="N372" s="152"/>
      <c r="O372" s="152"/>
      <c r="P372" s="152"/>
      <c r="Q372" s="152"/>
      <c r="R372" s="152"/>
    </row>
    <row r="373">
      <c r="A373" s="152"/>
      <c r="B373" s="152"/>
      <c r="C373" s="152"/>
      <c r="D373" s="152"/>
      <c r="E373" s="152"/>
      <c r="F373" s="195"/>
      <c r="G373" s="152"/>
      <c r="H373" s="152"/>
      <c r="I373" s="152"/>
      <c r="J373" s="152"/>
      <c r="K373" s="152"/>
      <c r="L373" s="152"/>
      <c r="M373" s="152"/>
      <c r="N373" s="152"/>
      <c r="O373" s="152"/>
      <c r="P373" s="152"/>
      <c r="Q373" s="152"/>
      <c r="R373" s="152"/>
    </row>
    <row r="374">
      <c r="A374" s="152"/>
      <c r="B374" s="152"/>
      <c r="C374" s="152"/>
      <c r="D374" s="152"/>
      <c r="E374" s="152"/>
      <c r="F374" s="195"/>
      <c r="G374" s="152"/>
      <c r="H374" s="152"/>
      <c r="I374" s="152"/>
      <c r="J374" s="152"/>
      <c r="K374" s="152"/>
      <c r="L374" s="152"/>
      <c r="M374" s="152"/>
      <c r="N374" s="152"/>
      <c r="O374" s="152"/>
      <c r="P374" s="152"/>
      <c r="Q374" s="152"/>
      <c r="R374" s="152"/>
    </row>
    <row r="375">
      <c r="A375" s="152"/>
      <c r="B375" s="152"/>
      <c r="C375" s="152"/>
      <c r="D375" s="152"/>
      <c r="E375" s="152"/>
      <c r="F375" s="195"/>
      <c r="G375" s="152"/>
      <c r="H375" s="152"/>
      <c r="I375" s="152"/>
      <c r="J375" s="152"/>
      <c r="K375" s="152"/>
      <c r="L375" s="152"/>
      <c r="M375" s="152"/>
      <c r="N375" s="152"/>
      <c r="O375" s="152"/>
      <c r="P375" s="152"/>
      <c r="Q375" s="152"/>
      <c r="R375" s="152"/>
    </row>
    <row r="376">
      <c r="A376" s="152"/>
      <c r="B376" s="152"/>
      <c r="C376" s="152"/>
      <c r="D376" s="152"/>
      <c r="E376" s="152"/>
      <c r="F376" s="195"/>
      <c r="G376" s="152"/>
      <c r="H376" s="152"/>
      <c r="I376" s="152"/>
      <c r="J376" s="152"/>
      <c r="K376" s="152"/>
      <c r="L376" s="152"/>
      <c r="M376" s="152"/>
      <c r="N376" s="152"/>
      <c r="O376" s="152"/>
      <c r="P376" s="152"/>
      <c r="Q376" s="152"/>
      <c r="R376" s="152"/>
    </row>
    <row r="377">
      <c r="A377" s="152"/>
      <c r="B377" s="152"/>
      <c r="C377" s="152"/>
      <c r="D377" s="152"/>
      <c r="E377" s="152"/>
      <c r="F377" s="195"/>
      <c r="G377" s="152"/>
      <c r="H377" s="152"/>
      <c r="I377" s="152"/>
      <c r="J377" s="152"/>
      <c r="K377" s="152"/>
      <c r="L377" s="152"/>
      <c r="M377" s="152"/>
      <c r="N377" s="152"/>
      <c r="O377" s="152"/>
      <c r="P377" s="152"/>
      <c r="Q377" s="152"/>
      <c r="R377" s="152"/>
    </row>
    <row r="378">
      <c r="A378" s="152"/>
      <c r="B378" s="152"/>
      <c r="C378" s="152"/>
      <c r="D378" s="152"/>
      <c r="E378" s="152"/>
      <c r="F378" s="195"/>
      <c r="G378" s="152"/>
      <c r="H378" s="152"/>
      <c r="I378" s="152"/>
      <c r="J378" s="152"/>
      <c r="K378" s="152"/>
      <c r="L378" s="152"/>
      <c r="M378" s="152"/>
      <c r="N378" s="152"/>
      <c r="O378" s="152"/>
      <c r="P378" s="152"/>
      <c r="Q378" s="152"/>
      <c r="R378" s="152"/>
    </row>
    <row r="379">
      <c r="A379" s="152"/>
      <c r="B379" s="152"/>
      <c r="C379" s="152"/>
      <c r="D379" s="152"/>
      <c r="E379" s="152"/>
      <c r="F379" s="195"/>
      <c r="G379" s="152"/>
      <c r="H379" s="152"/>
      <c r="I379" s="152"/>
      <c r="J379" s="152"/>
      <c r="K379" s="152"/>
      <c r="L379" s="152"/>
      <c r="M379" s="152"/>
      <c r="N379" s="152"/>
      <c r="O379" s="152"/>
      <c r="P379" s="152"/>
      <c r="Q379" s="152"/>
      <c r="R379" s="152"/>
    </row>
    <row r="380">
      <c r="A380" s="152"/>
      <c r="B380" s="152"/>
      <c r="C380" s="152"/>
      <c r="D380" s="152"/>
      <c r="E380" s="152"/>
      <c r="F380" s="195"/>
      <c r="G380" s="152"/>
      <c r="H380" s="152"/>
      <c r="I380" s="152"/>
      <c r="J380" s="152"/>
      <c r="K380" s="152"/>
      <c r="L380" s="152"/>
      <c r="M380" s="152"/>
      <c r="N380" s="152"/>
      <c r="O380" s="152"/>
      <c r="P380" s="152"/>
      <c r="Q380" s="152"/>
      <c r="R380" s="152"/>
    </row>
    <row r="381">
      <c r="A381" s="152"/>
      <c r="B381" s="152"/>
      <c r="C381" s="152"/>
      <c r="D381" s="152"/>
      <c r="E381" s="152"/>
      <c r="F381" s="195"/>
      <c r="G381" s="152"/>
      <c r="H381" s="152"/>
      <c r="I381" s="152"/>
      <c r="J381" s="152"/>
      <c r="K381" s="152"/>
      <c r="L381" s="152"/>
      <c r="M381" s="152"/>
      <c r="N381" s="152"/>
      <c r="O381" s="152"/>
      <c r="P381" s="152"/>
      <c r="Q381" s="152"/>
      <c r="R381" s="152"/>
    </row>
    <row r="382">
      <c r="A382" s="152"/>
      <c r="B382" s="152"/>
      <c r="C382" s="152"/>
      <c r="D382" s="152"/>
      <c r="E382" s="152"/>
      <c r="F382" s="195"/>
      <c r="G382" s="152"/>
      <c r="H382" s="152"/>
      <c r="I382" s="152"/>
      <c r="J382" s="152"/>
      <c r="K382" s="152"/>
      <c r="L382" s="152"/>
      <c r="M382" s="152"/>
      <c r="N382" s="152"/>
      <c r="O382" s="152"/>
      <c r="P382" s="152"/>
      <c r="Q382" s="152"/>
      <c r="R382" s="152"/>
    </row>
    <row r="383">
      <c r="A383" s="152"/>
      <c r="B383" s="152"/>
      <c r="C383" s="152"/>
      <c r="D383" s="152"/>
      <c r="E383" s="152"/>
      <c r="F383" s="195"/>
      <c r="G383" s="152"/>
      <c r="H383" s="152"/>
      <c r="I383" s="152"/>
      <c r="J383" s="152"/>
      <c r="K383" s="152"/>
      <c r="L383" s="152"/>
      <c r="M383" s="152"/>
      <c r="N383" s="152"/>
      <c r="O383" s="152"/>
      <c r="P383" s="152"/>
      <c r="Q383" s="152"/>
      <c r="R383" s="152"/>
    </row>
    <row r="384">
      <c r="A384" s="152"/>
      <c r="B384" s="152"/>
      <c r="C384" s="152"/>
      <c r="D384" s="152"/>
      <c r="E384" s="152"/>
      <c r="F384" s="195"/>
      <c r="G384" s="152"/>
      <c r="H384" s="152"/>
      <c r="I384" s="152"/>
      <c r="J384" s="152"/>
      <c r="K384" s="152"/>
      <c r="L384" s="152"/>
      <c r="M384" s="152"/>
      <c r="N384" s="152"/>
      <c r="O384" s="152"/>
      <c r="P384" s="152"/>
      <c r="Q384" s="152"/>
      <c r="R384" s="152"/>
    </row>
    <row r="385">
      <c r="A385" s="152"/>
      <c r="B385" s="152"/>
      <c r="C385" s="152"/>
      <c r="D385" s="152"/>
      <c r="E385" s="152"/>
      <c r="F385" s="195"/>
      <c r="G385" s="152"/>
      <c r="H385" s="152"/>
      <c r="I385" s="152"/>
      <c r="J385" s="152"/>
      <c r="K385" s="152"/>
      <c r="L385" s="152"/>
      <c r="M385" s="152"/>
      <c r="N385" s="152"/>
      <c r="O385" s="152"/>
      <c r="P385" s="152"/>
      <c r="Q385" s="152"/>
      <c r="R385" s="152"/>
    </row>
    <row r="386">
      <c r="A386" s="152"/>
      <c r="B386" s="152"/>
      <c r="C386" s="152"/>
      <c r="D386" s="152"/>
      <c r="E386" s="152"/>
      <c r="F386" s="195"/>
      <c r="G386" s="152"/>
      <c r="H386" s="152"/>
      <c r="I386" s="152"/>
      <c r="J386" s="152"/>
      <c r="K386" s="152"/>
      <c r="L386" s="152"/>
      <c r="M386" s="152"/>
      <c r="N386" s="152"/>
      <c r="O386" s="152"/>
      <c r="P386" s="152"/>
      <c r="Q386" s="152"/>
      <c r="R386" s="152"/>
    </row>
    <row r="387">
      <c r="A387" s="152"/>
      <c r="B387" s="152"/>
      <c r="C387" s="152"/>
      <c r="D387" s="152"/>
      <c r="E387" s="152"/>
      <c r="F387" s="195"/>
      <c r="G387" s="152"/>
      <c r="H387" s="152"/>
      <c r="I387" s="152"/>
      <c r="J387" s="152"/>
      <c r="K387" s="152"/>
      <c r="L387" s="152"/>
      <c r="M387" s="152"/>
      <c r="N387" s="152"/>
      <c r="O387" s="152"/>
      <c r="P387" s="152"/>
      <c r="Q387" s="152"/>
      <c r="R387" s="152"/>
    </row>
    <row r="388">
      <c r="A388" s="152"/>
      <c r="B388" s="152"/>
      <c r="C388" s="152"/>
      <c r="D388" s="152"/>
      <c r="E388" s="152"/>
      <c r="F388" s="195"/>
      <c r="G388" s="152"/>
      <c r="H388" s="152"/>
      <c r="I388" s="152"/>
      <c r="J388" s="152"/>
      <c r="K388" s="152"/>
      <c r="L388" s="152"/>
      <c r="M388" s="152"/>
      <c r="N388" s="152"/>
      <c r="O388" s="152"/>
      <c r="P388" s="152"/>
      <c r="Q388" s="152"/>
      <c r="R388" s="152"/>
    </row>
    <row r="389">
      <c r="A389" s="152"/>
      <c r="B389" s="152"/>
      <c r="C389" s="152"/>
      <c r="D389" s="152"/>
      <c r="E389" s="152"/>
      <c r="F389" s="195"/>
      <c r="G389" s="152"/>
      <c r="H389" s="152"/>
      <c r="I389" s="152"/>
      <c r="J389" s="152"/>
      <c r="K389" s="152"/>
      <c r="L389" s="152"/>
      <c r="M389" s="152"/>
      <c r="N389" s="152"/>
      <c r="O389" s="152"/>
      <c r="P389" s="152"/>
      <c r="Q389" s="152"/>
      <c r="R389" s="152"/>
    </row>
    <row r="390">
      <c r="A390" s="152"/>
      <c r="B390" s="152"/>
      <c r="C390" s="152"/>
      <c r="D390" s="152"/>
      <c r="E390" s="152"/>
      <c r="F390" s="195"/>
      <c r="G390" s="152"/>
      <c r="H390" s="152"/>
      <c r="I390" s="152"/>
      <c r="J390" s="152"/>
      <c r="K390" s="152"/>
      <c r="L390" s="152"/>
      <c r="M390" s="152"/>
      <c r="N390" s="152"/>
      <c r="O390" s="152"/>
      <c r="P390" s="152"/>
      <c r="Q390" s="152"/>
      <c r="R390" s="152"/>
    </row>
    <row r="391">
      <c r="A391" s="152"/>
      <c r="B391" s="152"/>
      <c r="C391" s="152"/>
      <c r="D391" s="152"/>
      <c r="E391" s="152"/>
      <c r="F391" s="195"/>
      <c r="G391" s="152"/>
      <c r="H391" s="152"/>
      <c r="I391" s="152"/>
      <c r="J391" s="152"/>
      <c r="K391" s="152"/>
      <c r="L391" s="152"/>
      <c r="M391" s="152"/>
      <c r="N391" s="152"/>
      <c r="O391" s="152"/>
      <c r="P391" s="152"/>
      <c r="Q391" s="152"/>
      <c r="R391" s="152"/>
    </row>
    <row r="392">
      <c r="A392" s="152"/>
      <c r="B392" s="152"/>
      <c r="C392" s="152"/>
      <c r="D392" s="152"/>
      <c r="E392" s="152"/>
      <c r="F392" s="195"/>
      <c r="G392" s="152"/>
      <c r="H392" s="152"/>
      <c r="I392" s="152"/>
      <c r="J392" s="152"/>
      <c r="K392" s="152"/>
      <c r="L392" s="152"/>
      <c r="M392" s="152"/>
      <c r="N392" s="152"/>
      <c r="O392" s="152"/>
      <c r="P392" s="152"/>
      <c r="Q392" s="152"/>
      <c r="R392" s="152"/>
    </row>
    <row r="393">
      <c r="A393" s="152"/>
      <c r="B393" s="152"/>
      <c r="C393" s="152"/>
      <c r="D393" s="152"/>
      <c r="E393" s="152"/>
      <c r="F393" s="195"/>
      <c r="G393" s="152"/>
      <c r="H393" s="152"/>
      <c r="I393" s="152"/>
      <c r="J393" s="152"/>
      <c r="K393" s="152"/>
      <c r="L393" s="152"/>
      <c r="M393" s="152"/>
      <c r="N393" s="152"/>
      <c r="O393" s="152"/>
      <c r="P393" s="152"/>
      <c r="Q393" s="152"/>
      <c r="R393" s="152"/>
    </row>
    <row r="394">
      <c r="A394" s="152"/>
      <c r="B394" s="152"/>
      <c r="C394" s="152"/>
      <c r="D394" s="152"/>
      <c r="E394" s="152"/>
      <c r="F394" s="195"/>
      <c r="G394" s="152"/>
      <c r="H394" s="152"/>
      <c r="I394" s="152"/>
      <c r="J394" s="152"/>
      <c r="K394" s="152"/>
      <c r="L394" s="152"/>
      <c r="M394" s="152"/>
      <c r="N394" s="152"/>
      <c r="O394" s="152"/>
      <c r="P394" s="152"/>
      <c r="Q394" s="152"/>
      <c r="R394" s="152"/>
    </row>
    <row r="395">
      <c r="A395" s="152"/>
      <c r="B395" s="152"/>
      <c r="C395" s="152"/>
      <c r="D395" s="152"/>
      <c r="E395" s="152"/>
      <c r="F395" s="195"/>
      <c r="G395" s="152"/>
      <c r="H395" s="152"/>
      <c r="I395" s="152"/>
      <c r="J395" s="152"/>
      <c r="K395" s="152"/>
      <c r="L395" s="152"/>
      <c r="M395" s="152"/>
      <c r="N395" s="152"/>
      <c r="O395" s="152"/>
      <c r="P395" s="152"/>
      <c r="Q395" s="152"/>
      <c r="R395" s="152"/>
    </row>
    <row r="396">
      <c r="A396" s="152"/>
      <c r="B396" s="152"/>
      <c r="C396" s="152"/>
      <c r="D396" s="152"/>
      <c r="E396" s="152"/>
      <c r="F396" s="195"/>
      <c r="G396" s="152"/>
      <c r="H396" s="152"/>
      <c r="I396" s="152"/>
      <c r="J396" s="152"/>
      <c r="K396" s="152"/>
      <c r="L396" s="152"/>
      <c r="M396" s="152"/>
      <c r="N396" s="152"/>
      <c r="O396" s="152"/>
      <c r="P396" s="152"/>
      <c r="Q396" s="152"/>
      <c r="R396" s="152"/>
    </row>
    <row r="397">
      <c r="A397" s="152"/>
      <c r="B397" s="152"/>
      <c r="C397" s="152"/>
      <c r="D397" s="152"/>
      <c r="E397" s="152"/>
      <c r="F397" s="195"/>
      <c r="G397" s="152"/>
      <c r="H397" s="152"/>
      <c r="I397" s="152"/>
      <c r="J397" s="152"/>
      <c r="K397" s="152"/>
      <c r="L397" s="152"/>
      <c r="M397" s="152"/>
      <c r="N397" s="152"/>
      <c r="O397" s="152"/>
      <c r="P397" s="152"/>
      <c r="Q397" s="152"/>
      <c r="R397" s="152"/>
    </row>
    <row r="398">
      <c r="A398" s="152"/>
      <c r="B398" s="152"/>
      <c r="C398" s="152"/>
      <c r="D398" s="152"/>
      <c r="E398" s="152"/>
      <c r="F398" s="195"/>
      <c r="G398" s="152"/>
      <c r="H398" s="152"/>
      <c r="I398" s="152"/>
      <c r="J398" s="152"/>
      <c r="K398" s="152"/>
      <c r="L398" s="152"/>
      <c r="M398" s="152"/>
      <c r="N398" s="152"/>
      <c r="O398" s="152"/>
      <c r="P398" s="152"/>
      <c r="Q398" s="152"/>
      <c r="R398" s="152"/>
    </row>
    <row r="399">
      <c r="A399" s="152"/>
      <c r="B399" s="152"/>
      <c r="C399" s="152"/>
      <c r="D399" s="152"/>
      <c r="E399" s="152"/>
      <c r="F399" s="195"/>
      <c r="G399" s="152"/>
      <c r="H399" s="152"/>
      <c r="I399" s="152"/>
      <c r="J399" s="152"/>
      <c r="K399" s="152"/>
      <c r="L399" s="152"/>
      <c r="M399" s="152"/>
      <c r="N399" s="152"/>
      <c r="O399" s="152"/>
      <c r="P399" s="152"/>
      <c r="Q399" s="152"/>
      <c r="R399" s="152"/>
    </row>
    <row r="400">
      <c r="A400" s="152"/>
      <c r="B400" s="152"/>
      <c r="C400" s="152"/>
      <c r="D400" s="152"/>
      <c r="E400" s="152"/>
      <c r="F400" s="195"/>
      <c r="G400" s="152"/>
      <c r="H400" s="152"/>
      <c r="I400" s="152"/>
      <c r="J400" s="152"/>
      <c r="K400" s="152"/>
      <c r="L400" s="152"/>
      <c r="M400" s="152"/>
      <c r="N400" s="152"/>
      <c r="O400" s="152"/>
      <c r="P400" s="152"/>
      <c r="Q400" s="152"/>
      <c r="R400" s="152"/>
    </row>
    <row r="401">
      <c r="A401" s="152"/>
      <c r="B401" s="152"/>
      <c r="C401" s="152"/>
      <c r="D401" s="152"/>
      <c r="E401" s="152"/>
      <c r="F401" s="195"/>
      <c r="G401" s="152"/>
      <c r="H401" s="152"/>
      <c r="I401" s="152"/>
      <c r="J401" s="152"/>
      <c r="K401" s="152"/>
      <c r="L401" s="152"/>
      <c r="M401" s="152"/>
      <c r="N401" s="152"/>
      <c r="O401" s="152"/>
      <c r="P401" s="152"/>
      <c r="Q401" s="152"/>
      <c r="R401" s="152"/>
    </row>
    <row r="402">
      <c r="A402" s="152"/>
      <c r="B402" s="152"/>
      <c r="C402" s="152"/>
      <c r="D402" s="152"/>
      <c r="E402" s="152"/>
      <c r="F402" s="195"/>
      <c r="G402" s="152"/>
      <c r="H402" s="152"/>
      <c r="I402" s="152"/>
      <c r="J402" s="152"/>
      <c r="K402" s="152"/>
      <c r="L402" s="152"/>
      <c r="M402" s="152"/>
      <c r="N402" s="152"/>
      <c r="O402" s="152"/>
      <c r="P402" s="152"/>
      <c r="Q402" s="152"/>
      <c r="R402" s="152"/>
    </row>
    <row r="403">
      <c r="A403" s="152"/>
      <c r="B403" s="152"/>
      <c r="C403" s="152"/>
      <c r="D403" s="152"/>
      <c r="E403" s="152"/>
      <c r="F403" s="195"/>
      <c r="G403" s="152"/>
      <c r="H403" s="152"/>
      <c r="I403" s="152"/>
      <c r="J403" s="152"/>
      <c r="K403" s="152"/>
      <c r="L403" s="152"/>
      <c r="M403" s="152"/>
      <c r="N403" s="152"/>
      <c r="O403" s="152"/>
      <c r="P403" s="152"/>
      <c r="Q403" s="152"/>
      <c r="R403" s="152"/>
    </row>
    <row r="404">
      <c r="A404" s="152"/>
      <c r="B404" s="152"/>
      <c r="C404" s="152"/>
      <c r="D404" s="152"/>
      <c r="E404" s="152"/>
      <c r="F404" s="195"/>
      <c r="G404" s="152"/>
      <c r="H404" s="152"/>
      <c r="I404" s="152"/>
      <c r="J404" s="152"/>
      <c r="K404" s="152"/>
      <c r="L404" s="152"/>
      <c r="M404" s="152"/>
      <c r="N404" s="152"/>
      <c r="O404" s="152"/>
      <c r="P404" s="152"/>
      <c r="Q404" s="152"/>
      <c r="R404" s="152"/>
    </row>
    <row r="405">
      <c r="A405" s="152"/>
      <c r="B405" s="152"/>
      <c r="C405" s="152"/>
      <c r="D405" s="152"/>
      <c r="E405" s="152"/>
      <c r="F405" s="195"/>
      <c r="G405" s="152"/>
      <c r="H405" s="152"/>
      <c r="I405" s="152"/>
      <c r="J405" s="152"/>
      <c r="K405" s="152"/>
      <c r="L405" s="152"/>
      <c r="M405" s="152"/>
      <c r="N405" s="152"/>
      <c r="O405" s="152"/>
      <c r="P405" s="152"/>
      <c r="Q405" s="152"/>
      <c r="R405" s="152"/>
    </row>
    <row r="406">
      <c r="A406" s="152"/>
      <c r="B406" s="152"/>
      <c r="C406" s="152"/>
      <c r="D406" s="152"/>
      <c r="E406" s="152"/>
      <c r="F406" s="195"/>
      <c r="G406" s="152"/>
      <c r="H406" s="152"/>
      <c r="I406" s="152"/>
      <c r="J406" s="152"/>
      <c r="K406" s="152"/>
      <c r="L406" s="152"/>
      <c r="M406" s="152"/>
      <c r="N406" s="152"/>
      <c r="O406" s="152"/>
      <c r="P406" s="152"/>
      <c r="Q406" s="152"/>
      <c r="R406" s="152"/>
    </row>
    <row r="407">
      <c r="A407" s="152"/>
      <c r="B407" s="152"/>
      <c r="C407" s="152"/>
      <c r="D407" s="152"/>
      <c r="E407" s="152"/>
      <c r="F407" s="195"/>
      <c r="G407" s="152"/>
      <c r="H407" s="152"/>
      <c r="I407" s="152"/>
      <c r="J407" s="152"/>
      <c r="K407" s="152"/>
      <c r="L407" s="152"/>
      <c r="M407" s="152"/>
      <c r="N407" s="152"/>
      <c r="O407" s="152"/>
      <c r="P407" s="152"/>
      <c r="Q407" s="152"/>
      <c r="R407" s="152"/>
    </row>
    <row r="408">
      <c r="A408" s="152"/>
      <c r="B408" s="152"/>
      <c r="C408" s="152"/>
      <c r="D408" s="152"/>
      <c r="E408" s="152"/>
      <c r="F408" s="195"/>
      <c r="G408" s="152"/>
      <c r="H408" s="152"/>
      <c r="I408" s="152"/>
      <c r="J408" s="152"/>
      <c r="K408" s="152"/>
      <c r="L408" s="152"/>
      <c r="M408" s="152"/>
      <c r="N408" s="152"/>
      <c r="O408" s="152"/>
      <c r="P408" s="152"/>
      <c r="Q408" s="152"/>
      <c r="R408" s="152"/>
    </row>
    <row r="409">
      <c r="A409" s="152"/>
      <c r="B409" s="152"/>
      <c r="C409" s="152"/>
      <c r="D409" s="152"/>
      <c r="E409" s="152"/>
      <c r="F409" s="195"/>
      <c r="G409" s="152"/>
      <c r="H409" s="152"/>
      <c r="I409" s="152"/>
      <c r="J409" s="152"/>
      <c r="K409" s="152"/>
      <c r="L409" s="152"/>
      <c r="M409" s="152"/>
      <c r="N409" s="152"/>
      <c r="O409" s="152"/>
      <c r="P409" s="152"/>
      <c r="Q409" s="152"/>
      <c r="R409" s="152"/>
    </row>
    <row r="410">
      <c r="A410" s="152"/>
      <c r="B410" s="152"/>
      <c r="C410" s="152"/>
      <c r="D410" s="152"/>
      <c r="E410" s="152"/>
      <c r="F410" s="195"/>
      <c r="G410" s="152"/>
      <c r="H410" s="152"/>
      <c r="I410" s="152"/>
      <c r="J410" s="152"/>
      <c r="K410" s="152"/>
      <c r="L410" s="152"/>
      <c r="M410" s="152"/>
      <c r="N410" s="152"/>
      <c r="O410" s="152"/>
      <c r="P410" s="152"/>
      <c r="Q410" s="152"/>
      <c r="R410" s="152"/>
    </row>
    <row r="411">
      <c r="A411" s="152"/>
      <c r="B411" s="152"/>
      <c r="C411" s="152"/>
      <c r="D411" s="152"/>
      <c r="E411" s="152"/>
      <c r="F411" s="195"/>
      <c r="G411" s="152"/>
      <c r="H411" s="152"/>
      <c r="I411" s="152"/>
      <c r="J411" s="152"/>
      <c r="K411" s="152"/>
      <c r="L411" s="152"/>
      <c r="M411" s="152"/>
      <c r="N411" s="152"/>
      <c r="O411" s="152"/>
      <c r="P411" s="152"/>
      <c r="Q411" s="152"/>
      <c r="R411" s="152"/>
    </row>
    <row r="412">
      <c r="A412" s="152"/>
      <c r="B412" s="152"/>
      <c r="C412" s="152"/>
      <c r="D412" s="152"/>
      <c r="E412" s="152"/>
      <c r="F412" s="195"/>
      <c r="G412" s="152"/>
      <c r="H412" s="152"/>
      <c r="I412" s="152"/>
      <c r="J412" s="152"/>
      <c r="K412" s="152"/>
      <c r="L412" s="152"/>
      <c r="M412" s="152"/>
      <c r="N412" s="152"/>
      <c r="O412" s="152"/>
      <c r="P412" s="152"/>
      <c r="Q412" s="152"/>
      <c r="R412" s="152"/>
    </row>
    <row r="413">
      <c r="A413" s="152"/>
      <c r="B413" s="152"/>
      <c r="C413" s="152"/>
      <c r="D413" s="152"/>
      <c r="E413" s="152"/>
      <c r="F413" s="195"/>
      <c r="G413" s="152"/>
      <c r="H413" s="152"/>
      <c r="I413" s="152"/>
      <c r="J413" s="152"/>
      <c r="K413" s="152"/>
      <c r="L413" s="152"/>
      <c r="M413" s="152"/>
      <c r="N413" s="152"/>
      <c r="O413" s="152"/>
      <c r="P413" s="152"/>
      <c r="Q413" s="152"/>
      <c r="R413" s="152"/>
    </row>
    <row r="414">
      <c r="A414" s="152"/>
      <c r="B414" s="152"/>
      <c r="C414" s="152"/>
      <c r="D414" s="152"/>
      <c r="E414" s="152"/>
      <c r="F414" s="195"/>
      <c r="G414" s="152"/>
      <c r="H414" s="152"/>
      <c r="I414" s="152"/>
      <c r="J414" s="152"/>
      <c r="K414" s="152"/>
      <c r="L414" s="152"/>
      <c r="M414" s="152"/>
      <c r="N414" s="152"/>
      <c r="O414" s="152"/>
      <c r="P414" s="152"/>
      <c r="Q414" s="152"/>
      <c r="R414" s="152"/>
    </row>
    <row r="415">
      <c r="A415" s="152"/>
      <c r="B415" s="152"/>
      <c r="C415" s="152"/>
      <c r="D415" s="152"/>
      <c r="E415" s="152"/>
      <c r="F415" s="195"/>
      <c r="G415" s="152"/>
      <c r="H415" s="152"/>
      <c r="I415" s="152"/>
      <c r="J415" s="152"/>
      <c r="K415" s="152"/>
      <c r="L415" s="152"/>
      <c r="M415" s="152"/>
      <c r="N415" s="152"/>
      <c r="O415" s="152"/>
      <c r="P415" s="152"/>
      <c r="Q415" s="152"/>
      <c r="R415" s="152"/>
    </row>
    <row r="416">
      <c r="A416" s="152"/>
      <c r="B416" s="152"/>
      <c r="C416" s="152"/>
      <c r="D416" s="152"/>
      <c r="E416" s="152"/>
      <c r="F416" s="195"/>
      <c r="G416" s="152"/>
      <c r="H416" s="152"/>
      <c r="I416" s="152"/>
      <c r="J416" s="152"/>
      <c r="K416" s="152"/>
      <c r="L416" s="152"/>
      <c r="M416" s="152"/>
      <c r="N416" s="152"/>
      <c r="O416" s="152"/>
      <c r="P416" s="152"/>
      <c r="Q416" s="152"/>
      <c r="R416" s="152"/>
    </row>
    <row r="417">
      <c r="A417" s="152"/>
      <c r="B417" s="152"/>
      <c r="C417" s="152"/>
      <c r="D417" s="152"/>
      <c r="E417" s="152"/>
      <c r="F417" s="195"/>
      <c r="G417" s="152"/>
      <c r="H417" s="152"/>
      <c r="I417" s="152"/>
      <c r="J417" s="152"/>
      <c r="K417" s="152"/>
      <c r="L417" s="152"/>
      <c r="M417" s="152"/>
      <c r="N417" s="152"/>
      <c r="O417" s="152"/>
      <c r="P417" s="152"/>
      <c r="Q417" s="152"/>
      <c r="R417" s="152"/>
    </row>
    <row r="418">
      <c r="A418" s="152"/>
      <c r="B418" s="152"/>
      <c r="C418" s="152"/>
      <c r="D418" s="152"/>
      <c r="E418" s="152"/>
      <c r="F418" s="195"/>
      <c r="G418" s="152"/>
      <c r="H418" s="152"/>
      <c r="I418" s="152"/>
      <c r="J418" s="152"/>
      <c r="K418" s="152"/>
      <c r="L418" s="152"/>
      <c r="M418" s="152"/>
      <c r="N418" s="152"/>
      <c r="O418" s="152"/>
      <c r="P418" s="152"/>
      <c r="Q418" s="152"/>
      <c r="R418" s="152"/>
    </row>
    <row r="419">
      <c r="A419" s="152"/>
      <c r="B419" s="152"/>
      <c r="C419" s="152"/>
      <c r="D419" s="152"/>
      <c r="E419" s="152"/>
      <c r="F419" s="195"/>
      <c r="G419" s="152"/>
      <c r="H419" s="152"/>
      <c r="I419" s="152"/>
      <c r="J419" s="152"/>
      <c r="K419" s="152"/>
      <c r="L419" s="152"/>
      <c r="M419" s="152"/>
      <c r="N419" s="152"/>
      <c r="O419" s="152"/>
      <c r="P419" s="152"/>
      <c r="Q419" s="152"/>
      <c r="R419" s="152"/>
    </row>
    <row r="420">
      <c r="A420" s="152"/>
      <c r="B420" s="152"/>
      <c r="C420" s="152"/>
      <c r="D420" s="152"/>
      <c r="E420" s="152"/>
      <c r="F420" s="195"/>
      <c r="G420" s="152"/>
      <c r="H420" s="152"/>
      <c r="I420" s="152"/>
      <c r="J420" s="152"/>
      <c r="K420" s="152"/>
      <c r="L420" s="152"/>
      <c r="M420" s="152"/>
      <c r="N420" s="152"/>
      <c r="O420" s="152"/>
      <c r="P420" s="152"/>
      <c r="Q420" s="152"/>
      <c r="R420" s="152"/>
    </row>
    <row r="421">
      <c r="A421" s="152"/>
      <c r="B421" s="152"/>
      <c r="C421" s="152"/>
      <c r="D421" s="152"/>
      <c r="E421" s="152"/>
      <c r="F421" s="195"/>
      <c r="G421" s="152"/>
      <c r="H421" s="152"/>
      <c r="I421" s="152"/>
      <c r="J421" s="152"/>
      <c r="K421" s="152"/>
      <c r="L421" s="152"/>
      <c r="M421" s="152"/>
      <c r="N421" s="152"/>
      <c r="O421" s="152"/>
      <c r="P421" s="152"/>
      <c r="Q421" s="152"/>
      <c r="R421" s="152"/>
    </row>
    <row r="422">
      <c r="A422" s="152"/>
      <c r="B422" s="152"/>
      <c r="C422" s="152"/>
      <c r="D422" s="152"/>
      <c r="E422" s="152"/>
      <c r="F422" s="195"/>
      <c r="G422" s="152"/>
      <c r="H422" s="152"/>
      <c r="I422" s="152"/>
      <c r="J422" s="152"/>
      <c r="K422" s="152"/>
      <c r="L422" s="152"/>
      <c r="M422" s="152"/>
      <c r="N422" s="152"/>
      <c r="O422" s="152"/>
      <c r="P422" s="152"/>
      <c r="Q422" s="152"/>
      <c r="R422" s="152"/>
    </row>
    <row r="423">
      <c r="A423" s="152"/>
      <c r="B423" s="152"/>
      <c r="C423" s="152"/>
      <c r="D423" s="152"/>
      <c r="E423" s="152"/>
      <c r="F423" s="195"/>
      <c r="G423" s="152"/>
      <c r="H423" s="152"/>
      <c r="I423" s="152"/>
      <c r="J423" s="152"/>
      <c r="K423" s="152"/>
      <c r="L423" s="152"/>
      <c r="M423" s="152"/>
      <c r="N423" s="152"/>
      <c r="O423" s="152"/>
      <c r="P423" s="152"/>
      <c r="Q423" s="152"/>
      <c r="R423" s="152"/>
    </row>
    <row r="424">
      <c r="A424" s="152"/>
      <c r="B424" s="152"/>
      <c r="C424" s="152"/>
      <c r="D424" s="152"/>
      <c r="E424" s="152"/>
      <c r="F424" s="195"/>
      <c r="G424" s="152"/>
      <c r="H424" s="152"/>
      <c r="I424" s="152"/>
      <c r="J424" s="152"/>
      <c r="K424" s="152"/>
      <c r="L424" s="152"/>
      <c r="M424" s="152"/>
      <c r="N424" s="152"/>
      <c r="O424" s="152"/>
      <c r="P424" s="152"/>
      <c r="Q424" s="152"/>
      <c r="R424" s="152"/>
    </row>
    <row r="425">
      <c r="A425" s="152"/>
      <c r="B425" s="152"/>
      <c r="C425" s="152"/>
      <c r="D425" s="152"/>
      <c r="E425" s="152"/>
      <c r="F425" s="195"/>
      <c r="G425" s="152"/>
      <c r="H425" s="152"/>
      <c r="I425" s="152"/>
      <c r="J425" s="152"/>
      <c r="K425" s="152"/>
      <c r="L425" s="152"/>
      <c r="M425" s="152"/>
      <c r="N425" s="152"/>
      <c r="O425" s="152"/>
      <c r="P425" s="152"/>
      <c r="Q425" s="152"/>
      <c r="R425" s="152"/>
    </row>
    <row r="426">
      <c r="A426" s="152"/>
      <c r="B426" s="152"/>
      <c r="C426" s="152"/>
      <c r="D426" s="152"/>
      <c r="E426" s="152"/>
      <c r="F426" s="195"/>
      <c r="G426" s="152"/>
      <c r="H426" s="152"/>
      <c r="I426" s="152"/>
      <c r="J426" s="152"/>
      <c r="K426" s="152"/>
      <c r="L426" s="152"/>
      <c r="M426" s="152"/>
      <c r="N426" s="152"/>
      <c r="O426" s="152"/>
      <c r="P426" s="152"/>
      <c r="Q426" s="152"/>
      <c r="R426" s="152"/>
    </row>
    <row r="427">
      <c r="A427" s="152"/>
      <c r="B427" s="152"/>
      <c r="C427" s="152"/>
      <c r="D427" s="152"/>
      <c r="E427" s="152"/>
      <c r="F427" s="195"/>
      <c r="G427" s="152"/>
      <c r="H427" s="152"/>
      <c r="I427" s="152"/>
      <c r="J427" s="152"/>
      <c r="K427" s="152"/>
      <c r="L427" s="152"/>
      <c r="M427" s="152"/>
      <c r="N427" s="152"/>
      <c r="O427" s="152"/>
      <c r="P427" s="152"/>
      <c r="Q427" s="152"/>
      <c r="R427" s="152"/>
    </row>
    <row r="428">
      <c r="A428" s="152"/>
      <c r="B428" s="152"/>
      <c r="C428" s="152"/>
      <c r="D428" s="152"/>
      <c r="E428" s="152"/>
      <c r="F428" s="195"/>
      <c r="G428" s="152"/>
      <c r="H428" s="152"/>
      <c r="I428" s="152"/>
      <c r="J428" s="152"/>
      <c r="K428" s="152"/>
      <c r="L428" s="152"/>
      <c r="M428" s="152"/>
      <c r="N428" s="152"/>
      <c r="O428" s="152"/>
      <c r="P428" s="152"/>
      <c r="Q428" s="152"/>
      <c r="R428" s="152"/>
    </row>
    <row r="429">
      <c r="A429" s="152"/>
      <c r="B429" s="152"/>
      <c r="C429" s="152"/>
      <c r="D429" s="152"/>
      <c r="E429" s="152"/>
      <c r="F429" s="195"/>
      <c r="G429" s="152"/>
      <c r="H429" s="152"/>
      <c r="I429" s="152"/>
      <c r="J429" s="152"/>
      <c r="K429" s="152"/>
      <c r="L429" s="152"/>
      <c r="M429" s="152"/>
      <c r="N429" s="152"/>
      <c r="O429" s="152"/>
      <c r="P429" s="152"/>
      <c r="Q429" s="152"/>
      <c r="R429" s="152"/>
    </row>
    <row r="430">
      <c r="A430" s="152"/>
      <c r="B430" s="152"/>
      <c r="C430" s="152"/>
      <c r="D430" s="152"/>
      <c r="E430" s="152"/>
      <c r="F430" s="195"/>
      <c r="G430" s="152"/>
      <c r="H430" s="152"/>
      <c r="I430" s="152"/>
      <c r="J430" s="152"/>
      <c r="K430" s="152"/>
      <c r="L430" s="152"/>
      <c r="M430" s="152"/>
      <c r="N430" s="152"/>
      <c r="O430" s="152"/>
      <c r="P430" s="152"/>
      <c r="Q430" s="152"/>
      <c r="R430" s="152"/>
    </row>
    <row r="431">
      <c r="A431" s="152"/>
      <c r="B431" s="152"/>
      <c r="C431" s="152"/>
      <c r="D431" s="152"/>
      <c r="E431" s="152"/>
      <c r="F431" s="195"/>
      <c r="G431" s="152"/>
      <c r="H431" s="152"/>
      <c r="I431" s="152"/>
      <c r="J431" s="152"/>
      <c r="K431" s="152"/>
      <c r="L431" s="152"/>
      <c r="M431" s="152"/>
      <c r="N431" s="152"/>
      <c r="O431" s="152"/>
      <c r="P431" s="152"/>
      <c r="Q431" s="152"/>
      <c r="R431" s="152"/>
    </row>
    <row r="432">
      <c r="A432" s="152"/>
      <c r="B432" s="152"/>
      <c r="C432" s="152"/>
      <c r="D432" s="152"/>
      <c r="E432" s="152"/>
      <c r="F432" s="195"/>
      <c r="G432" s="152"/>
      <c r="H432" s="152"/>
      <c r="I432" s="152"/>
      <c r="J432" s="152"/>
      <c r="K432" s="152"/>
      <c r="L432" s="152"/>
      <c r="M432" s="152"/>
      <c r="N432" s="152"/>
      <c r="O432" s="152"/>
      <c r="P432" s="152"/>
      <c r="Q432" s="152"/>
      <c r="R432" s="152"/>
    </row>
    <row r="433">
      <c r="A433" s="152"/>
      <c r="B433" s="152"/>
      <c r="C433" s="152"/>
      <c r="D433" s="152"/>
      <c r="E433" s="152"/>
      <c r="F433" s="195"/>
      <c r="G433" s="152"/>
      <c r="H433" s="152"/>
      <c r="I433" s="152"/>
      <c r="J433" s="152"/>
      <c r="K433" s="152"/>
      <c r="L433" s="152"/>
      <c r="M433" s="152"/>
      <c r="N433" s="152"/>
      <c r="O433" s="152"/>
      <c r="P433" s="152"/>
      <c r="Q433" s="152"/>
      <c r="R433" s="152"/>
    </row>
    <row r="434">
      <c r="A434" s="152"/>
      <c r="B434" s="152"/>
      <c r="C434" s="152"/>
      <c r="D434" s="152"/>
      <c r="E434" s="152"/>
      <c r="F434" s="195"/>
      <c r="G434" s="152"/>
      <c r="H434" s="152"/>
      <c r="I434" s="152"/>
      <c r="J434" s="152"/>
      <c r="K434" s="152"/>
      <c r="L434" s="152"/>
      <c r="M434" s="152"/>
      <c r="N434" s="152"/>
      <c r="O434" s="152"/>
      <c r="P434" s="152"/>
      <c r="Q434" s="152"/>
      <c r="R434" s="152"/>
    </row>
    <row r="435">
      <c r="A435" s="152"/>
      <c r="B435" s="152"/>
      <c r="C435" s="152"/>
      <c r="D435" s="152"/>
      <c r="E435" s="152"/>
      <c r="F435" s="195"/>
      <c r="G435" s="152"/>
      <c r="H435" s="152"/>
      <c r="I435" s="152"/>
      <c r="J435" s="152"/>
      <c r="K435" s="152"/>
      <c r="L435" s="152"/>
      <c r="M435" s="152"/>
      <c r="N435" s="152"/>
      <c r="O435" s="152"/>
      <c r="P435" s="152"/>
      <c r="Q435" s="152"/>
      <c r="R435" s="152"/>
    </row>
    <row r="436">
      <c r="A436" s="152"/>
      <c r="B436" s="152"/>
      <c r="C436" s="152"/>
      <c r="D436" s="152"/>
      <c r="E436" s="152"/>
      <c r="F436" s="195"/>
      <c r="G436" s="152"/>
      <c r="H436" s="152"/>
      <c r="I436" s="152"/>
      <c r="J436" s="152"/>
      <c r="K436" s="152"/>
      <c r="L436" s="152"/>
      <c r="M436" s="152"/>
      <c r="N436" s="152"/>
      <c r="O436" s="152"/>
      <c r="P436" s="152"/>
      <c r="Q436" s="152"/>
      <c r="R436" s="152"/>
    </row>
    <row r="437">
      <c r="A437" s="152"/>
      <c r="B437" s="152"/>
      <c r="C437" s="152"/>
      <c r="D437" s="152"/>
      <c r="E437" s="152"/>
      <c r="F437" s="195"/>
      <c r="G437" s="152"/>
      <c r="H437" s="152"/>
      <c r="I437" s="152"/>
      <c r="J437" s="152"/>
      <c r="K437" s="152"/>
      <c r="L437" s="152"/>
      <c r="M437" s="152"/>
      <c r="N437" s="152"/>
      <c r="O437" s="152"/>
      <c r="P437" s="152"/>
      <c r="Q437" s="152"/>
      <c r="R437" s="152"/>
    </row>
    <row r="438">
      <c r="A438" s="152"/>
      <c r="B438" s="152"/>
      <c r="C438" s="152"/>
      <c r="D438" s="152"/>
      <c r="E438" s="152"/>
      <c r="F438" s="195"/>
      <c r="G438" s="152"/>
      <c r="H438" s="152"/>
      <c r="I438" s="152"/>
      <c r="J438" s="152"/>
      <c r="K438" s="152"/>
      <c r="L438" s="152"/>
      <c r="M438" s="152"/>
      <c r="N438" s="152"/>
      <c r="O438" s="152"/>
      <c r="P438" s="152"/>
      <c r="Q438" s="152"/>
      <c r="R438" s="152"/>
    </row>
    <row r="439">
      <c r="A439" s="152"/>
      <c r="B439" s="152"/>
      <c r="C439" s="152"/>
      <c r="D439" s="152"/>
      <c r="E439" s="152"/>
      <c r="F439" s="195"/>
      <c r="G439" s="152"/>
      <c r="H439" s="152"/>
      <c r="I439" s="152"/>
      <c r="J439" s="152"/>
      <c r="K439" s="152"/>
      <c r="L439" s="152"/>
      <c r="M439" s="152"/>
      <c r="N439" s="152"/>
      <c r="O439" s="152"/>
      <c r="P439" s="152"/>
      <c r="Q439" s="152"/>
      <c r="R439" s="152"/>
    </row>
    <row r="440">
      <c r="A440" s="152"/>
      <c r="B440" s="152"/>
      <c r="C440" s="152"/>
      <c r="D440" s="152"/>
      <c r="E440" s="152"/>
      <c r="F440" s="195"/>
      <c r="G440" s="152"/>
      <c r="H440" s="152"/>
      <c r="I440" s="152"/>
      <c r="J440" s="152"/>
      <c r="K440" s="152"/>
      <c r="L440" s="152"/>
      <c r="M440" s="152"/>
      <c r="N440" s="152"/>
      <c r="O440" s="152"/>
      <c r="P440" s="152"/>
      <c r="Q440" s="152"/>
      <c r="R440" s="152"/>
    </row>
    <row r="441">
      <c r="A441" s="152"/>
      <c r="B441" s="152"/>
      <c r="C441" s="152"/>
      <c r="D441" s="152"/>
      <c r="E441" s="152"/>
      <c r="F441" s="195"/>
      <c r="G441" s="152"/>
      <c r="H441" s="152"/>
      <c r="I441" s="152"/>
      <c r="J441" s="152"/>
      <c r="K441" s="152"/>
      <c r="L441" s="152"/>
      <c r="M441" s="152"/>
      <c r="N441" s="152"/>
      <c r="O441" s="152"/>
      <c r="P441" s="152"/>
      <c r="Q441" s="152"/>
      <c r="R441" s="152"/>
    </row>
    <row r="442">
      <c r="A442" s="152"/>
      <c r="B442" s="152"/>
      <c r="C442" s="152"/>
      <c r="D442" s="152"/>
      <c r="E442" s="152"/>
      <c r="F442" s="195"/>
      <c r="G442" s="152"/>
      <c r="H442" s="152"/>
      <c r="I442" s="152"/>
      <c r="J442" s="152"/>
      <c r="K442" s="152"/>
      <c r="L442" s="152"/>
      <c r="M442" s="152"/>
      <c r="N442" s="152"/>
      <c r="O442" s="152"/>
      <c r="P442" s="152"/>
      <c r="Q442" s="152"/>
      <c r="R442" s="152"/>
    </row>
    <row r="443">
      <c r="A443" s="152"/>
      <c r="B443" s="152"/>
      <c r="C443" s="152"/>
      <c r="D443" s="152"/>
      <c r="E443" s="152"/>
      <c r="F443" s="195"/>
      <c r="G443" s="152"/>
      <c r="H443" s="152"/>
      <c r="I443" s="152"/>
      <c r="J443" s="152"/>
      <c r="K443" s="152"/>
      <c r="L443" s="152"/>
      <c r="M443" s="152"/>
      <c r="N443" s="152"/>
      <c r="O443" s="152"/>
      <c r="P443" s="152"/>
      <c r="Q443" s="152"/>
      <c r="R443" s="152"/>
    </row>
    <row r="444">
      <c r="A444" s="152"/>
      <c r="B444" s="152"/>
      <c r="C444" s="152"/>
      <c r="D444" s="152"/>
      <c r="E444" s="152"/>
      <c r="F444" s="195"/>
      <c r="G444" s="152"/>
      <c r="H444" s="152"/>
      <c r="I444" s="152"/>
      <c r="J444" s="152"/>
      <c r="K444" s="152"/>
      <c r="L444" s="152"/>
      <c r="M444" s="152"/>
      <c r="N444" s="152"/>
      <c r="O444" s="152"/>
      <c r="P444" s="152"/>
      <c r="Q444" s="152"/>
      <c r="R444" s="152"/>
    </row>
    <row r="445">
      <c r="A445" s="152"/>
      <c r="B445" s="152"/>
      <c r="C445" s="152"/>
      <c r="D445" s="152"/>
      <c r="E445" s="152"/>
      <c r="F445" s="195"/>
      <c r="G445" s="152"/>
      <c r="H445" s="152"/>
      <c r="I445" s="152"/>
      <c r="J445" s="152"/>
      <c r="K445" s="152"/>
      <c r="L445" s="152"/>
      <c r="M445" s="152"/>
      <c r="N445" s="152"/>
      <c r="O445" s="152"/>
      <c r="P445" s="152"/>
      <c r="Q445" s="152"/>
      <c r="R445" s="152"/>
    </row>
    <row r="446">
      <c r="A446" s="152"/>
      <c r="B446" s="152"/>
      <c r="C446" s="152"/>
      <c r="D446" s="152"/>
      <c r="E446" s="152"/>
      <c r="F446" s="195"/>
      <c r="G446" s="152"/>
      <c r="H446" s="152"/>
      <c r="I446" s="152"/>
      <c r="J446" s="152"/>
      <c r="K446" s="152"/>
      <c r="L446" s="152"/>
      <c r="M446" s="152"/>
      <c r="N446" s="152"/>
      <c r="O446" s="152"/>
      <c r="P446" s="152"/>
      <c r="Q446" s="152"/>
      <c r="R446" s="152"/>
    </row>
    <row r="447">
      <c r="A447" s="152"/>
      <c r="B447" s="152"/>
      <c r="C447" s="152"/>
      <c r="D447" s="152"/>
      <c r="E447" s="152"/>
      <c r="F447" s="195"/>
      <c r="G447" s="152"/>
      <c r="H447" s="152"/>
      <c r="I447" s="152"/>
      <c r="J447" s="152"/>
      <c r="K447" s="152"/>
      <c r="L447" s="152"/>
      <c r="M447" s="152"/>
      <c r="N447" s="152"/>
      <c r="O447" s="152"/>
      <c r="P447" s="152"/>
      <c r="Q447" s="152"/>
      <c r="R447" s="152"/>
    </row>
    <row r="448">
      <c r="A448" s="152"/>
      <c r="B448" s="152"/>
      <c r="C448" s="152"/>
      <c r="D448" s="152"/>
      <c r="E448" s="152"/>
      <c r="F448" s="195"/>
      <c r="G448" s="152"/>
      <c r="H448" s="152"/>
      <c r="I448" s="152"/>
      <c r="J448" s="152"/>
      <c r="K448" s="152"/>
      <c r="L448" s="152"/>
      <c r="M448" s="152"/>
      <c r="N448" s="152"/>
      <c r="O448" s="152"/>
      <c r="P448" s="152"/>
      <c r="Q448" s="152"/>
      <c r="R448" s="152"/>
    </row>
    <row r="449">
      <c r="A449" s="152"/>
      <c r="B449" s="152"/>
      <c r="C449" s="152"/>
      <c r="D449" s="152"/>
      <c r="E449" s="152"/>
      <c r="F449" s="195"/>
      <c r="G449" s="152"/>
      <c r="H449" s="152"/>
      <c r="I449" s="152"/>
      <c r="J449" s="152"/>
      <c r="K449" s="152"/>
      <c r="L449" s="152"/>
      <c r="M449" s="152"/>
      <c r="N449" s="152"/>
      <c r="O449" s="152"/>
      <c r="P449" s="152"/>
      <c r="Q449" s="152"/>
      <c r="R449" s="152"/>
    </row>
    <row r="450">
      <c r="A450" s="152"/>
      <c r="B450" s="152"/>
      <c r="C450" s="152"/>
      <c r="D450" s="152"/>
      <c r="E450" s="152"/>
      <c r="F450" s="195"/>
      <c r="G450" s="152"/>
      <c r="H450" s="152"/>
      <c r="I450" s="152"/>
      <c r="J450" s="152"/>
      <c r="K450" s="152"/>
      <c r="L450" s="152"/>
      <c r="M450" s="152"/>
      <c r="N450" s="152"/>
      <c r="O450" s="152"/>
      <c r="P450" s="152"/>
      <c r="Q450" s="152"/>
      <c r="R450" s="152"/>
    </row>
    <row r="451">
      <c r="A451" s="152"/>
      <c r="B451" s="152"/>
      <c r="C451" s="152"/>
      <c r="D451" s="152"/>
      <c r="E451" s="152"/>
      <c r="F451" s="195"/>
      <c r="G451" s="152"/>
      <c r="H451" s="152"/>
      <c r="I451" s="152"/>
      <c r="J451" s="152"/>
      <c r="K451" s="152"/>
      <c r="L451" s="152"/>
      <c r="M451" s="152"/>
      <c r="N451" s="152"/>
      <c r="O451" s="152"/>
      <c r="P451" s="152"/>
      <c r="Q451" s="152"/>
      <c r="R451" s="152"/>
    </row>
    <row r="452">
      <c r="A452" s="152"/>
      <c r="B452" s="152"/>
      <c r="C452" s="152"/>
      <c r="D452" s="152"/>
      <c r="E452" s="152"/>
      <c r="F452" s="195"/>
      <c r="G452" s="152"/>
      <c r="H452" s="152"/>
      <c r="I452" s="152"/>
      <c r="J452" s="152"/>
      <c r="K452" s="152"/>
      <c r="L452" s="152"/>
      <c r="M452" s="152"/>
      <c r="N452" s="152"/>
      <c r="O452" s="152"/>
      <c r="P452" s="152"/>
      <c r="Q452" s="152"/>
      <c r="R452" s="152"/>
    </row>
    <row r="453">
      <c r="A453" s="152"/>
      <c r="B453" s="152"/>
      <c r="C453" s="152"/>
      <c r="D453" s="152"/>
      <c r="E453" s="152"/>
      <c r="F453" s="195"/>
      <c r="G453" s="152"/>
      <c r="H453" s="152"/>
      <c r="I453" s="152"/>
      <c r="J453" s="152"/>
      <c r="K453" s="152"/>
      <c r="L453" s="152"/>
      <c r="M453" s="152"/>
      <c r="N453" s="152"/>
      <c r="O453" s="152"/>
      <c r="P453" s="152"/>
      <c r="Q453" s="152"/>
      <c r="R453" s="152"/>
    </row>
    <row r="454">
      <c r="A454" s="152"/>
      <c r="B454" s="152"/>
      <c r="C454" s="152"/>
      <c r="D454" s="152"/>
      <c r="E454" s="152"/>
      <c r="F454" s="195"/>
      <c r="G454" s="152"/>
      <c r="H454" s="152"/>
      <c r="I454" s="152"/>
      <c r="J454" s="152"/>
      <c r="K454" s="152"/>
      <c r="L454" s="152"/>
      <c r="M454" s="152"/>
      <c r="N454" s="152"/>
      <c r="O454" s="152"/>
      <c r="P454" s="152"/>
      <c r="Q454" s="152"/>
      <c r="R454" s="152"/>
    </row>
    <row r="455">
      <c r="A455" s="152"/>
      <c r="B455" s="152"/>
      <c r="C455" s="152"/>
      <c r="D455" s="152"/>
      <c r="E455" s="152"/>
      <c r="F455" s="195"/>
      <c r="G455" s="152"/>
      <c r="H455" s="152"/>
      <c r="I455" s="152"/>
      <c r="J455" s="152"/>
      <c r="K455" s="152"/>
      <c r="L455" s="152"/>
      <c r="M455" s="152"/>
      <c r="N455" s="152"/>
      <c r="O455" s="152"/>
      <c r="P455" s="152"/>
      <c r="Q455" s="152"/>
      <c r="R455" s="152"/>
    </row>
    <row r="456">
      <c r="A456" s="152"/>
      <c r="B456" s="152"/>
      <c r="C456" s="152"/>
      <c r="D456" s="152"/>
      <c r="E456" s="152"/>
      <c r="F456" s="195"/>
      <c r="G456" s="152"/>
      <c r="H456" s="152"/>
      <c r="I456" s="152"/>
      <c r="J456" s="152"/>
      <c r="K456" s="152"/>
      <c r="L456" s="152"/>
      <c r="M456" s="152"/>
      <c r="N456" s="152"/>
      <c r="O456" s="152"/>
      <c r="P456" s="152"/>
      <c r="Q456" s="152"/>
      <c r="R456" s="152"/>
    </row>
    <row r="457">
      <c r="A457" s="152"/>
      <c r="B457" s="152"/>
      <c r="C457" s="152"/>
      <c r="D457" s="152"/>
      <c r="E457" s="152"/>
      <c r="F457" s="195"/>
      <c r="G457" s="152"/>
      <c r="H457" s="152"/>
      <c r="I457" s="152"/>
      <c r="J457" s="152"/>
      <c r="K457" s="152"/>
      <c r="L457" s="152"/>
      <c r="M457" s="152"/>
      <c r="N457" s="152"/>
      <c r="O457" s="152"/>
      <c r="P457" s="152"/>
      <c r="Q457" s="152"/>
      <c r="R457" s="152"/>
    </row>
    <row r="458">
      <c r="A458" s="152"/>
      <c r="B458" s="152"/>
      <c r="C458" s="152"/>
      <c r="D458" s="152"/>
      <c r="E458" s="152"/>
      <c r="F458" s="195"/>
      <c r="G458" s="152"/>
      <c r="H458" s="152"/>
      <c r="I458" s="152"/>
      <c r="J458" s="152"/>
      <c r="K458" s="152"/>
      <c r="L458" s="152"/>
      <c r="M458" s="152"/>
      <c r="N458" s="152"/>
      <c r="O458" s="152"/>
      <c r="P458" s="152"/>
      <c r="Q458" s="152"/>
      <c r="R458" s="152"/>
    </row>
    <row r="459">
      <c r="A459" s="152"/>
      <c r="B459" s="152"/>
      <c r="C459" s="152"/>
      <c r="D459" s="152"/>
      <c r="E459" s="152"/>
      <c r="F459" s="195"/>
      <c r="G459" s="152"/>
      <c r="H459" s="152"/>
      <c r="I459" s="152"/>
      <c r="J459" s="152"/>
      <c r="K459" s="152"/>
      <c r="L459" s="152"/>
      <c r="M459" s="152"/>
      <c r="N459" s="152"/>
      <c r="O459" s="152"/>
      <c r="P459" s="152"/>
      <c r="Q459" s="152"/>
      <c r="R459" s="152"/>
    </row>
    <row r="460">
      <c r="A460" s="152"/>
      <c r="B460" s="152"/>
      <c r="C460" s="152"/>
      <c r="D460" s="152"/>
      <c r="E460" s="152"/>
      <c r="F460" s="195"/>
      <c r="G460" s="152"/>
      <c r="H460" s="152"/>
      <c r="I460" s="152"/>
      <c r="J460" s="152"/>
      <c r="K460" s="152"/>
      <c r="L460" s="152"/>
      <c r="M460" s="152"/>
      <c r="N460" s="152"/>
      <c r="O460" s="152"/>
      <c r="P460" s="152"/>
      <c r="Q460" s="152"/>
      <c r="R460" s="152"/>
    </row>
    <row r="461">
      <c r="A461" s="152"/>
      <c r="B461" s="152"/>
      <c r="C461" s="152"/>
      <c r="D461" s="152"/>
      <c r="E461" s="152"/>
      <c r="F461" s="195"/>
      <c r="G461" s="152"/>
      <c r="H461" s="152"/>
      <c r="I461" s="152"/>
      <c r="J461" s="152"/>
      <c r="K461" s="152"/>
      <c r="L461" s="152"/>
      <c r="M461" s="152"/>
      <c r="N461" s="152"/>
      <c r="O461" s="152"/>
      <c r="P461" s="152"/>
      <c r="Q461" s="152"/>
      <c r="R461" s="152"/>
    </row>
    <row r="462">
      <c r="A462" s="152"/>
      <c r="B462" s="152"/>
      <c r="C462" s="152"/>
      <c r="D462" s="152"/>
      <c r="E462" s="152"/>
      <c r="F462" s="195"/>
      <c r="G462" s="152"/>
      <c r="H462" s="152"/>
      <c r="I462" s="152"/>
      <c r="J462" s="152"/>
      <c r="K462" s="152"/>
      <c r="L462" s="152"/>
      <c r="M462" s="152"/>
      <c r="N462" s="152"/>
      <c r="O462" s="152"/>
      <c r="P462" s="152"/>
      <c r="Q462" s="152"/>
      <c r="R462" s="152"/>
    </row>
    <row r="463">
      <c r="A463" s="152"/>
      <c r="B463" s="152"/>
      <c r="C463" s="152"/>
      <c r="D463" s="152"/>
      <c r="E463" s="152"/>
      <c r="F463" s="195"/>
      <c r="G463" s="152"/>
      <c r="H463" s="152"/>
      <c r="I463" s="152"/>
      <c r="J463" s="152"/>
      <c r="K463" s="152"/>
      <c r="L463" s="152"/>
      <c r="M463" s="152"/>
      <c r="N463" s="152"/>
      <c r="O463" s="152"/>
      <c r="P463" s="152"/>
      <c r="Q463" s="152"/>
      <c r="R463" s="152"/>
    </row>
    <row r="464">
      <c r="A464" s="152"/>
      <c r="B464" s="152"/>
      <c r="C464" s="152"/>
      <c r="D464" s="152"/>
      <c r="E464" s="152"/>
      <c r="F464" s="195"/>
      <c r="G464" s="152"/>
      <c r="H464" s="152"/>
      <c r="I464" s="152"/>
      <c r="J464" s="152"/>
      <c r="K464" s="152"/>
      <c r="L464" s="152"/>
      <c r="M464" s="152"/>
      <c r="N464" s="152"/>
      <c r="O464" s="152"/>
      <c r="P464" s="152"/>
      <c r="Q464" s="152"/>
      <c r="R464" s="152"/>
    </row>
    <row r="465">
      <c r="A465" s="152"/>
      <c r="B465" s="152"/>
      <c r="C465" s="152"/>
      <c r="D465" s="152"/>
      <c r="E465" s="152"/>
      <c r="F465" s="195"/>
      <c r="G465" s="152"/>
      <c r="H465" s="152"/>
      <c r="I465" s="152"/>
      <c r="J465" s="152"/>
      <c r="K465" s="152"/>
      <c r="L465" s="152"/>
      <c r="M465" s="152"/>
      <c r="N465" s="152"/>
      <c r="O465" s="152"/>
      <c r="P465" s="152"/>
      <c r="Q465" s="152"/>
      <c r="R465" s="152"/>
    </row>
    <row r="466">
      <c r="A466" s="152"/>
      <c r="B466" s="152"/>
      <c r="C466" s="152"/>
      <c r="D466" s="152"/>
      <c r="E466" s="152"/>
      <c r="F466" s="195"/>
      <c r="G466" s="152"/>
      <c r="H466" s="152"/>
      <c r="I466" s="152"/>
      <c r="J466" s="152"/>
      <c r="K466" s="152"/>
      <c r="L466" s="152"/>
      <c r="M466" s="152"/>
      <c r="N466" s="152"/>
      <c r="O466" s="152"/>
      <c r="P466" s="152"/>
      <c r="Q466" s="152"/>
      <c r="R466" s="152"/>
    </row>
    <row r="467">
      <c r="A467" s="152"/>
      <c r="B467" s="152"/>
      <c r="C467" s="152"/>
      <c r="D467" s="152"/>
      <c r="E467" s="152"/>
      <c r="F467" s="195"/>
      <c r="G467" s="152"/>
      <c r="H467" s="152"/>
      <c r="I467" s="152"/>
      <c r="J467" s="152"/>
      <c r="K467" s="152"/>
      <c r="L467" s="152"/>
      <c r="M467" s="152"/>
      <c r="N467" s="152"/>
      <c r="O467" s="152"/>
      <c r="P467" s="152"/>
      <c r="Q467" s="152"/>
      <c r="R467" s="152"/>
    </row>
    <row r="468">
      <c r="A468" s="152"/>
      <c r="B468" s="152"/>
      <c r="C468" s="152"/>
      <c r="D468" s="152"/>
      <c r="E468" s="152"/>
      <c r="F468" s="195"/>
      <c r="G468" s="152"/>
      <c r="H468" s="152"/>
      <c r="I468" s="152"/>
      <c r="J468" s="152"/>
      <c r="K468" s="152"/>
      <c r="L468" s="152"/>
      <c r="M468" s="152"/>
      <c r="N468" s="152"/>
      <c r="O468" s="152"/>
      <c r="P468" s="152"/>
      <c r="Q468" s="152"/>
      <c r="R468" s="152"/>
    </row>
    <row r="469">
      <c r="A469" s="152"/>
      <c r="B469" s="152"/>
      <c r="C469" s="152"/>
      <c r="D469" s="152"/>
      <c r="E469" s="152"/>
      <c r="F469" s="195"/>
      <c r="G469" s="152"/>
      <c r="H469" s="152"/>
      <c r="I469" s="152"/>
      <c r="J469" s="152"/>
      <c r="K469" s="152"/>
      <c r="L469" s="152"/>
      <c r="M469" s="152"/>
      <c r="N469" s="152"/>
      <c r="O469" s="152"/>
      <c r="P469" s="152"/>
      <c r="Q469" s="152"/>
      <c r="R469" s="152"/>
    </row>
    <row r="470">
      <c r="A470" s="152"/>
      <c r="B470" s="152"/>
      <c r="C470" s="152"/>
      <c r="D470" s="152"/>
      <c r="E470" s="152"/>
      <c r="F470" s="195"/>
      <c r="G470" s="152"/>
      <c r="H470" s="152"/>
      <c r="I470" s="152"/>
      <c r="J470" s="152"/>
      <c r="K470" s="152"/>
      <c r="L470" s="152"/>
      <c r="M470" s="152"/>
      <c r="N470" s="152"/>
      <c r="O470" s="152"/>
      <c r="P470" s="152"/>
      <c r="Q470" s="152"/>
      <c r="R470" s="152"/>
    </row>
    <row r="471">
      <c r="A471" s="152"/>
      <c r="B471" s="152"/>
      <c r="C471" s="152"/>
      <c r="D471" s="152"/>
      <c r="E471" s="152"/>
      <c r="F471" s="195"/>
      <c r="G471" s="152"/>
      <c r="H471" s="152"/>
      <c r="I471" s="152"/>
      <c r="J471" s="152"/>
      <c r="K471" s="152"/>
      <c r="L471" s="152"/>
      <c r="M471" s="152"/>
      <c r="N471" s="152"/>
      <c r="O471" s="152"/>
      <c r="P471" s="152"/>
      <c r="Q471" s="152"/>
      <c r="R471" s="152"/>
    </row>
    <row r="472">
      <c r="A472" s="152"/>
      <c r="B472" s="152"/>
      <c r="C472" s="152"/>
      <c r="D472" s="152"/>
      <c r="E472" s="152"/>
      <c r="F472" s="195"/>
      <c r="G472" s="152"/>
      <c r="H472" s="152"/>
      <c r="I472" s="152"/>
      <c r="J472" s="152"/>
      <c r="K472" s="152"/>
      <c r="L472" s="152"/>
      <c r="M472" s="152"/>
      <c r="N472" s="152"/>
      <c r="O472" s="152"/>
      <c r="P472" s="152"/>
      <c r="Q472" s="152"/>
      <c r="R472" s="152"/>
    </row>
    <row r="473">
      <c r="A473" s="152"/>
      <c r="B473" s="152"/>
      <c r="C473" s="152"/>
      <c r="D473" s="152"/>
      <c r="E473" s="152"/>
      <c r="F473" s="195"/>
      <c r="G473" s="152"/>
      <c r="H473" s="152"/>
      <c r="I473" s="152"/>
      <c r="J473" s="152"/>
      <c r="K473" s="152"/>
      <c r="L473" s="152"/>
      <c r="M473" s="152"/>
      <c r="N473" s="152"/>
      <c r="O473" s="152"/>
      <c r="P473" s="152"/>
      <c r="Q473" s="152"/>
      <c r="R473" s="152"/>
    </row>
    <row r="474">
      <c r="A474" s="152"/>
      <c r="B474" s="152"/>
      <c r="C474" s="152"/>
      <c r="D474" s="152"/>
      <c r="E474" s="152"/>
      <c r="F474" s="195"/>
      <c r="G474" s="152"/>
      <c r="H474" s="152"/>
      <c r="I474" s="152"/>
      <c r="J474" s="152"/>
      <c r="K474" s="152"/>
      <c r="L474" s="152"/>
      <c r="M474" s="152"/>
      <c r="N474" s="152"/>
      <c r="O474" s="152"/>
      <c r="P474" s="152"/>
      <c r="Q474" s="152"/>
      <c r="R474" s="152"/>
    </row>
    <row r="475">
      <c r="A475" s="152"/>
      <c r="B475" s="152"/>
      <c r="C475" s="152"/>
      <c r="D475" s="152"/>
      <c r="E475" s="152"/>
      <c r="F475" s="195"/>
      <c r="G475" s="152"/>
      <c r="H475" s="152"/>
      <c r="I475" s="152"/>
      <c r="J475" s="152"/>
      <c r="K475" s="152"/>
      <c r="L475" s="152"/>
      <c r="M475" s="152"/>
      <c r="N475" s="152"/>
      <c r="O475" s="152"/>
      <c r="P475" s="152"/>
      <c r="Q475" s="152"/>
      <c r="R475" s="152"/>
    </row>
    <row r="476">
      <c r="A476" s="152"/>
      <c r="B476" s="152"/>
      <c r="C476" s="152"/>
      <c r="D476" s="152"/>
      <c r="E476" s="152"/>
      <c r="F476" s="195"/>
      <c r="G476" s="152"/>
      <c r="H476" s="152"/>
      <c r="I476" s="152"/>
      <c r="J476" s="152"/>
      <c r="K476" s="152"/>
      <c r="L476" s="152"/>
      <c r="M476" s="152"/>
      <c r="N476" s="152"/>
      <c r="O476" s="152"/>
      <c r="P476" s="152"/>
      <c r="Q476" s="152"/>
      <c r="R476" s="152"/>
    </row>
    <row r="477">
      <c r="A477" s="152"/>
      <c r="B477" s="152"/>
      <c r="C477" s="152"/>
      <c r="D477" s="152"/>
      <c r="E477" s="152"/>
      <c r="F477" s="195"/>
      <c r="G477" s="152"/>
      <c r="H477" s="152"/>
      <c r="I477" s="152"/>
      <c r="J477" s="152"/>
      <c r="K477" s="152"/>
      <c r="L477" s="152"/>
      <c r="M477" s="152"/>
      <c r="N477" s="152"/>
      <c r="O477" s="152"/>
      <c r="P477" s="152"/>
      <c r="Q477" s="152"/>
      <c r="R477" s="152"/>
    </row>
    <row r="478">
      <c r="A478" s="152"/>
      <c r="B478" s="152"/>
      <c r="C478" s="152"/>
      <c r="D478" s="152"/>
      <c r="E478" s="152"/>
      <c r="F478" s="195"/>
      <c r="G478" s="152"/>
      <c r="H478" s="152"/>
      <c r="I478" s="152"/>
      <c r="J478" s="152"/>
      <c r="K478" s="152"/>
      <c r="L478" s="152"/>
      <c r="M478" s="152"/>
      <c r="N478" s="152"/>
      <c r="O478" s="152"/>
      <c r="P478" s="152"/>
      <c r="Q478" s="152"/>
      <c r="R478" s="152"/>
    </row>
    <row r="479">
      <c r="A479" s="152"/>
      <c r="B479" s="152"/>
      <c r="C479" s="152"/>
      <c r="D479" s="152"/>
      <c r="E479" s="152"/>
      <c r="F479" s="195"/>
      <c r="G479" s="152"/>
      <c r="H479" s="152"/>
      <c r="I479" s="152"/>
      <c r="J479" s="152"/>
      <c r="K479" s="152"/>
      <c r="L479" s="152"/>
      <c r="M479" s="152"/>
      <c r="N479" s="152"/>
      <c r="O479" s="152"/>
      <c r="P479" s="152"/>
      <c r="Q479" s="152"/>
      <c r="R479" s="152"/>
    </row>
    <row r="480">
      <c r="A480" s="152"/>
      <c r="B480" s="152"/>
      <c r="C480" s="152"/>
      <c r="D480" s="152"/>
      <c r="E480" s="152"/>
      <c r="F480" s="195"/>
      <c r="G480" s="152"/>
      <c r="H480" s="152"/>
      <c r="I480" s="152"/>
      <c r="J480" s="152"/>
      <c r="K480" s="152"/>
      <c r="L480" s="152"/>
      <c r="M480" s="152"/>
      <c r="N480" s="152"/>
      <c r="O480" s="152"/>
      <c r="P480" s="152"/>
      <c r="Q480" s="152"/>
      <c r="R480" s="152"/>
    </row>
    <row r="481">
      <c r="A481" s="152"/>
      <c r="B481" s="152"/>
      <c r="C481" s="152"/>
      <c r="D481" s="152"/>
      <c r="E481" s="152"/>
      <c r="F481" s="195"/>
      <c r="G481" s="152"/>
      <c r="H481" s="152"/>
      <c r="I481" s="152"/>
      <c r="J481" s="152"/>
      <c r="K481" s="152"/>
      <c r="L481" s="152"/>
      <c r="M481" s="152"/>
      <c r="N481" s="152"/>
      <c r="O481" s="152"/>
      <c r="P481" s="152"/>
      <c r="Q481" s="152"/>
      <c r="R481" s="152"/>
    </row>
    <row r="482">
      <c r="A482" s="152"/>
      <c r="B482" s="152"/>
      <c r="C482" s="152"/>
      <c r="D482" s="152"/>
      <c r="E482" s="152"/>
      <c r="F482" s="195"/>
      <c r="G482" s="152"/>
      <c r="H482" s="152"/>
      <c r="I482" s="152"/>
      <c r="J482" s="152"/>
      <c r="K482" s="152"/>
      <c r="L482" s="152"/>
      <c r="M482" s="152"/>
      <c r="N482" s="152"/>
      <c r="O482" s="152"/>
      <c r="P482" s="152"/>
      <c r="Q482" s="152"/>
      <c r="R482" s="152"/>
    </row>
    <row r="483">
      <c r="A483" s="152"/>
      <c r="B483" s="152"/>
      <c r="C483" s="152"/>
      <c r="D483" s="152"/>
      <c r="E483" s="152"/>
      <c r="F483" s="195"/>
      <c r="G483" s="152"/>
      <c r="H483" s="152"/>
      <c r="I483" s="152"/>
      <c r="J483" s="152"/>
      <c r="K483" s="152"/>
      <c r="L483" s="152"/>
      <c r="M483" s="152"/>
      <c r="N483" s="152"/>
      <c r="O483" s="152"/>
      <c r="P483" s="152"/>
      <c r="Q483" s="152"/>
      <c r="R483" s="152"/>
    </row>
    <row r="484">
      <c r="A484" s="152"/>
      <c r="B484" s="152"/>
      <c r="C484" s="152"/>
      <c r="D484" s="152"/>
      <c r="E484" s="152"/>
      <c r="F484" s="195"/>
      <c r="G484" s="152"/>
      <c r="H484" s="152"/>
      <c r="I484" s="152"/>
      <c r="J484" s="152"/>
      <c r="K484" s="152"/>
      <c r="L484" s="152"/>
      <c r="M484" s="152"/>
      <c r="N484" s="152"/>
      <c r="O484" s="152"/>
      <c r="P484" s="152"/>
      <c r="Q484" s="152"/>
      <c r="R484" s="152"/>
    </row>
    <row r="485">
      <c r="A485" s="152"/>
      <c r="B485" s="152"/>
      <c r="C485" s="152"/>
      <c r="D485" s="152"/>
      <c r="E485" s="152"/>
      <c r="F485" s="195"/>
      <c r="G485" s="152"/>
      <c r="H485" s="152"/>
      <c r="I485" s="152"/>
      <c r="J485" s="152"/>
      <c r="K485" s="152"/>
      <c r="L485" s="152"/>
      <c r="M485" s="152"/>
      <c r="N485" s="152"/>
      <c r="O485" s="152"/>
      <c r="P485" s="152"/>
      <c r="Q485" s="152"/>
      <c r="R485" s="152"/>
    </row>
    <row r="486">
      <c r="A486" s="152"/>
      <c r="B486" s="152"/>
      <c r="C486" s="152"/>
      <c r="D486" s="152"/>
      <c r="E486" s="152"/>
      <c r="F486" s="195"/>
      <c r="G486" s="152"/>
      <c r="H486" s="152"/>
      <c r="I486" s="152"/>
      <c r="J486" s="152"/>
      <c r="K486" s="152"/>
      <c r="L486" s="152"/>
      <c r="M486" s="152"/>
      <c r="N486" s="152"/>
      <c r="O486" s="152"/>
      <c r="P486" s="152"/>
      <c r="Q486" s="152"/>
      <c r="R486" s="152"/>
    </row>
    <row r="487">
      <c r="A487" s="152"/>
      <c r="B487" s="152"/>
      <c r="C487" s="152"/>
      <c r="D487" s="152"/>
      <c r="E487" s="152"/>
      <c r="F487" s="195"/>
      <c r="G487" s="152"/>
      <c r="H487" s="152"/>
      <c r="I487" s="152"/>
      <c r="J487" s="152"/>
      <c r="K487" s="152"/>
      <c r="L487" s="152"/>
      <c r="M487" s="152"/>
      <c r="N487" s="152"/>
      <c r="O487" s="152"/>
      <c r="P487" s="152"/>
      <c r="Q487" s="152"/>
      <c r="R487" s="152"/>
    </row>
    <row r="488">
      <c r="A488" s="152"/>
      <c r="B488" s="152"/>
      <c r="C488" s="152"/>
      <c r="D488" s="152"/>
      <c r="E488" s="152"/>
      <c r="F488" s="195"/>
      <c r="G488" s="152"/>
      <c r="H488" s="152"/>
      <c r="I488" s="152"/>
      <c r="J488" s="152"/>
      <c r="K488" s="152"/>
      <c r="L488" s="152"/>
      <c r="M488" s="152"/>
      <c r="N488" s="152"/>
      <c r="O488" s="152"/>
      <c r="P488" s="152"/>
      <c r="Q488" s="152"/>
      <c r="R488" s="152"/>
    </row>
    <row r="489">
      <c r="A489" s="152"/>
      <c r="B489" s="152"/>
      <c r="C489" s="152"/>
      <c r="D489" s="152"/>
      <c r="E489" s="152"/>
      <c r="F489" s="195"/>
      <c r="G489" s="152"/>
      <c r="H489" s="152"/>
      <c r="I489" s="152"/>
      <c r="J489" s="152"/>
      <c r="K489" s="152"/>
      <c r="L489" s="152"/>
      <c r="M489" s="152"/>
      <c r="N489" s="152"/>
      <c r="O489" s="152"/>
      <c r="P489" s="152"/>
      <c r="Q489" s="152"/>
      <c r="R489" s="152"/>
    </row>
    <row r="490">
      <c r="A490" s="152"/>
      <c r="B490" s="152"/>
      <c r="C490" s="152"/>
      <c r="D490" s="152"/>
      <c r="E490" s="152"/>
      <c r="F490" s="195"/>
      <c r="G490" s="152"/>
      <c r="H490" s="152"/>
      <c r="I490" s="152"/>
      <c r="J490" s="152"/>
      <c r="K490" s="152"/>
      <c r="L490" s="152"/>
      <c r="M490" s="152"/>
      <c r="N490" s="152"/>
      <c r="O490" s="152"/>
      <c r="P490" s="152"/>
      <c r="Q490" s="152"/>
      <c r="R490" s="152"/>
    </row>
    <row r="491">
      <c r="A491" s="152"/>
      <c r="B491" s="152"/>
      <c r="C491" s="152"/>
      <c r="D491" s="152"/>
      <c r="E491" s="152"/>
      <c r="F491" s="195"/>
      <c r="G491" s="152"/>
      <c r="H491" s="152"/>
      <c r="I491" s="152"/>
      <c r="J491" s="152"/>
      <c r="K491" s="152"/>
      <c r="L491" s="152"/>
      <c r="M491" s="152"/>
      <c r="N491" s="152"/>
      <c r="O491" s="152"/>
      <c r="P491" s="152"/>
      <c r="Q491" s="152"/>
      <c r="R491" s="152"/>
    </row>
    <row r="492">
      <c r="A492" s="152"/>
      <c r="B492" s="152"/>
      <c r="C492" s="152"/>
      <c r="D492" s="152"/>
      <c r="E492" s="152"/>
      <c r="F492" s="195"/>
      <c r="G492" s="152"/>
      <c r="H492" s="152"/>
      <c r="I492" s="152"/>
      <c r="J492" s="152"/>
      <c r="K492" s="152"/>
      <c r="L492" s="152"/>
      <c r="M492" s="152"/>
      <c r="N492" s="152"/>
      <c r="O492" s="152"/>
      <c r="P492" s="152"/>
      <c r="Q492" s="152"/>
      <c r="R492" s="152"/>
    </row>
    <row r="493">
      <c r="A493" s="152"/>
      <c r="B493" s="152"/>
      <c r="C493" s="152"/>
      <c r="D493" s="152"/>
      <c r="E493" s="152"/>
      <c r="F493" s="195"/>
      <c r="G493" s="152"/>
      <c r="H493" s="152"/>
      <c r="I493" s="152"/>
      <c r="J493" s="152"/>
      <c r="K493" s="152"/>
      <c r="L493" s="152"/>
      <c r="M493" s="152"/>
      <c r="N493" s="152"/>
      <c r="O493" s="152"/>
      <c r="P493" s="152"/>
      <c r="Q493" s="152"/>
      <c r="R493" s="152"/>
    </row>
    <row r="494">
      <c r="A494" s="152"/>
      <c r="B494" s="152"/>
      <c r="C494" s="152"/>
      <c r="D494" s="152"/>
      <c r="E494" s="152"/>
      <c r="F494" s="195"/>
      <c r="G494" s="152"/>
      <c r="H494" s="152"/>
      <c r="I494" s="152"/>
      <c r="J494" s="152"/>
      <c r="K494" s="152"/>
      <c r="L494" s="152"/>
      <c r="M494" s="152"/>
      <c r="N494" s="152"/>
      <c r="O494" s="152"/>
      <c r="P494" s="152"/>
      <c r="Q494" s="152"/>
      <c r="R494" s="152"/>
    </row>
    <row r="495">
      <c r="A495" s="152"/>
      <c r="B495" s="152"/>
      <c r="C495" s="152"/>
      <c r="D495" s="152"/>
      <c r="E495" s="152"/>
      <c r="F495" s="195"/>
      <c r="G495" s="152"/>
      <c r="H495" s="152"/>
      <c r="I495" s="152"/>
      <c r="J495" s="152"/>
      <c r="K495" s="152"/>
      <c r="L495" s="152"/>
      <c r="M495" s="152"/>
      <c r="N495" s="152"/>
      <c r="O495" s="152"/>
      <c r="P495" s="152"/>
      <c r="Q495" s="152"/>
      <c r="R495" s="152"/>
    </row>
    <row r="496">
      <c r="A496" s="152"/>
      <c r="B496" s="152"/>
      <c r="C496" s="152"/>
      <c r="D496" s="152"/>
      <c r="E496" s="152"/>
      <c r="F496" s="195"/>
      <c r="G496" s="152"/>
      <c r="H496" s="152"/>
      <c r="I496" s="152"/>
      <c r="J496" s="152"/>
      <c r="K496" s="152"/>
      <c r="L496" s="152"/>
      <c r="M496" s="152"/>
      <c r="N496" s="152"/>
      <c r="O496" s="152"/>
      <c r="P496" s="152"/>
      <c r="Q496" s="152"/>
      <c r="R496" s="152"/>
    </row>
    <row r="497">
      <c r="A497" s="152"/>
      <c r="B497" s="152"/>
      <c r="C497" s="152"/>
      <c r="D497" s="152"/>
      <c r="E497" s="152"/>
      <c r="F497" s="195"/>
      <c r="G497" s="152"/>
      <c r="H497" s="152"/>
      <c r="I497" s="152"/>
      <c r="J497" s="152"/>
      <c r="K497" s="152"/>
      <c r="L497" s="152"/>
      <c r="M497" s="152"/>
      <c r="N497" s="152"/>
      <c r="O497" s="152"/>
      <c r="P497" s="152"/>
      <c r="Q497" s="152"/>
      <c r="R497" s="152"/>
    </row>
    <row r="498">
      <c r="A498" s="152"/>
      <c r="B498" s="152"/>
      <c r="C498" s="152"/>
      <c r="D498" s="152"/>
      <c r="E498" s="152"/>
      <c r="F498" s="195"/>
      <c r="G498" s="152"/>
      <c r="H498" s="152"/>
      <c r="I498" s="152"/>
      <c r="J498" s="152"/>
      <c r="K498" s="152"/>
      <c r="L498" s="152"/>
      <c r="M498" s="152"/>
      <c r="N498" s="152"/>
      <c r="O498" s="152"/>
      <c r="P498" s="152"/>
      <c r="Q498" s="152"/>
      <c r="R498" s="152"/>
    </row>
    <row r="499">
      <c r="A499" s="152"/>
      <c r="B499" s="152"/>
      <c r="C499" s="152"/>
      <c r="D499" s="152"/>
      <c r="E499" s="152"/>
      <c r="F499" s="195"/>
      <c r="G499" s="152"/>
      <c r="H499" s="152"/>
      <c r="I499" s="152"/>
      <c r="J499" s="152"/>
      <c r="K499" s="152"/>
      <c r="L499" s="152"/>
      <c r="M499" s="152"/>
      <c r="N499" s="152"/>
      <c r="O499" s="152"/>
      <c r="P499" s="152"/>
      <c r="Q499" s="152"/>
      <c r="R499" s="152"/>
    </row>
    <row r="500">
      <c r="A500" s="152"/>
      <c r="B500" s="152"/>
      <c r="C500" s="152"/>
      <c r="D500" s="152"/>
      <c r="E500" s="152"/>
      <c r="F500" s="195"/>
      <c r="G500" s="152"/>
      <c r="H500" s="152"/>
      <c r="I500" s="152"/>
      <c r="J500" s="152"/>
      <c r="K500" s="152"/>
      <c r="L500" s="152"/>
      <c r="M500" s="152"/>
      <c r="N500" s="152"/>
      <c r="O500" s="152"/>
      <c r="P500" s="152"/>
      <c r="Q500" s="152"/>
      <c r="R500" s="152"/>
    </row>
    <row r="501">
      <c r="A501" s="152"/>
      <c r="B501" s="152"/>
      <c r="C501" s="152"/>
      <c r="D501" s="152"/>
      <c r="E501" s="152"/>
      <c r="F501" s="195"/>
      <c r="G501" s="152"/>
      <c r="H501" s="152"/>
      <c r="I501" s="152"/>
      <c r="J501" s="152"/>
      <c r="K501" s="152"/>
      <c r="L501" s="152"/>
      <c r="M501" s="152"/>
      <c r="N501" s="152"/>
      <c r="O501" s="152"/>
      <c r="P501" s="152"/>
      <c r="Q501" s="152"/>
      <c r="R501" s="152"/>
    </row>
    <row r="502">
      <c r="A502" s="152"/>
      <c r="B502" s="152"/>
      <c r="C502" s="152"/>
      <c r="D502" s="152"/>
      <c r="E502" s="152"/>
      <c r="F502" s="195"/>
      <c r="G502" s="152"/>
      <c r="H502" s="152"/>
      <c r="I502" s="152"/>
      <c r="J502" s="152"/>
      <c r="K502" s="152"/>
      <c r="L502" s="152"/>
      <c r="M502" s="152"/>
      <c r="N502" s="152"/>
      <c r="O502" s="152"/>
      <c r="P502" s="152"/>
      <c r="Q502" s="152"/>
      <c r="R502" s="152"/>
    </row>
    <row r="503">
      <c r="A503" s="152"/>
      <c r="B503" s="152"/>
      <c r="C503" s="152"/>
      <c r="D503" s="152"/>
      <c r="E503" s="152"/>
      <c r="F503" s="195"/>
      <c r="G503" s="152"/>
      <c r="H503" s="152"/>
      <c r="I503" s="152"/>
      <c r="J503" s="152"/>
      <c r="K503" s="152"/>
      <c r="L503" s="152"/>
      <c r="M503" s="152"/>
      <c r="N503" s="152"/>
      <c r="O503" s="152"/>
      <c r="P503" s="152"/>
      <c r="Q503" s="152"/>
      <c r="R503" s="152"/>
    </row>
    <row r="504">
      <c r="A504" s="152"/>
      <c r="B504" s="152"/>
      <c r="C504" s="152"/>
      <c r="D504" s="152"/>
      <c r="E504" s="152"/>
      <c r="F504" s="195"/>
      <c r="G504" s="152"/>
      <c r="H504" s="152"/>
      <c r="I504" s="152"/>
      <c r="J504" s="152"/>
      <c r="K504" s="152"/>
      <c r="L504" s="152"/>
      <c r="M504" s="152"/>
      <c r="N504" s="152"/>
      <c r="O504" s="152"/>
      <c r="P504" s="152"/>
      <c r="Q504" s="152"/>
      <c r="R504" s="152"/>
    </row>
    <row r="505">
      <c r="A505" s="152"/>
      <c r="B505" s="152"/>
      <c r="C505" s="152"/>
      <c r="D505" s="152"/>
      <c r="E505" s="152"/>
      <c r="F505" s="195"/>
      <c r="G505" s="152"/>
      <c r="H505" s="152"/>
      <c r="I505" s="152"/>
      <c r="J505" s="152"/>
      <c r="K505" s="152"/>
      <c r="L505" s="152"/>
      <c r="M505" s="152"/>
      <c r="N505" s="152"/>
      <c r="O505" s="152"/>
      <c r="P505" s="152"/>
      <c r="Q505" s="152"/>
      <c r="R505" s="152"/>
    </row>
    <row r="506">
      <c r="A506" s="152"/>
      <c r="B506" s="152"/>
      <c r="C506" s="152"/>
      <c r="D506" s="152"/>
      <c r="E506" s="152"/>
      <c r="F506" s="195"/>
      <c r="G506" s="152"/>
      <c r="H506" s="152"/>
      <c r="I506" s="152"/>
      <c r="J506" s="152"/>
      <c r="K506" s="152"/>
      <c r="L506" s="152"/>
      <c r="M506" s="152"/>
      <c r="N506" s="152"/>
      <c r="O506" s="152"/>
      <c r="P506" s="152"/>
      <c r="Q506" s="152"/>
      <c r="R506" s="152"/>
    </row>
    <row r="507">
      <c r="A507" s="152"/>
      <c r="B507" s="152"/>
      <c r="C507" s="152"/>
      <c r="D507" s="152"/>
      <c r="E507" s="152"/>
      <c r="F507" s="195"/>
      <c r="G507" s="152"/>
      <c r="H507" s="152"/>
      <c r="I507" s="152"/>
      <c r="J507" s="152"/>
      <c r="K507" s="152"/>
      <c r="L507" s="152"/>
      <c r="M507" s="152"/>
      <c r="N507" s="152"/>
      <c r="O507" s="152"/>
      <c r="P507" s="152"/>
      <c r="Q507" s="152"/>
      <c r="R507" s="152"/>
    </row>
    <row r="508">
      <c r="A508" s="152"/>
      <c r="B508" s="152"/>
      <c r="C508" s="152"/>
      <c r="D508" s="152"/>
      <c r="E508" s="152"/>
      <c r="F508" s="195"/>
      <c r="G508" s="152"/>
      <c r="H508" s="152"/>
      <c r="I508" s="152"/>
      <c r="J508" s="152"/>
      <c r="K508" s="152"/>
      <c r="L508" s="152"/>
      <c r="M508" s="152"/>
      <c r="N508" s="152"/>
      <c r="O508" s="152"/>
      <c r="P508" s="152"/>
      <c r="Q508" s="152"/>
      <c r="R508" s="152"/>
    </row>
    <row r="509">
      <c r="A509" s="152"/>
      <c r="B509" s="152"/>
      <c r="C509" s="152"/>
      <c r="D509" s="152"/>
      <c r="E509" s="152"/>
      <c r="F509" s="195"/>
      <c r="G509" s="152"/>
      <c r="H509" s="152"/>
      <c r="I509" s="152"/>
      <c r="J509" s="152"/>
      <c r="K509" s="152"/>
      <c r="L509" s="152"/>
      <c r="M509" s="152"/>
      <c r="N509" s="152"/>
      <c r="O509" s="152"/>
      <c r="P509" s="152"/>
      <c r="Q509" s="152"/>
      <c r="R509" s="152"/>
    </row>
    <row r="510">
      <c r="A510" s="152"/>
      <c r="B510" s="152"/>
      <c r="C510" s="152"/>
      <c r="D510" s="152"/>
      <c r="E510" s="152"/>
      <c r="F510" s="195"/>
      <c r="G510" s="152"/>
      <c r="H510" s="152"/>
      <c r="I510" s="152"/>
      <c r="J510" s="152"/>
      <c r="K510" s="152"/>
      <c r="L510" s="152"/>
      <c r="M510" s="152"/>
      <c r="N510" s="152"/>
      <c r="O510" s="152"/>
      <c r="P510" s="152"/>
      <c r="Q510" s="152"/>
      <c r="R510" s="152"/>
    </row>
    <row r="511">
      <c r="A511" s="152"/>
      <c r="B511" s="152"/>
      <c r="C511" s="152"/>
      <c r="D511" s="152"/>
      <c r="E511" s="152"/>
      <c r="F511" s="195"/>
      <c r="G511" s="152"/>
      <c r="H511" s="152"/>
      <c r="I511" s="152"/>
      <c r="J511" s="152"/>
      <c r="K511" s="152"/>
      <c r="L511" s="152"/>
      <c r="M511" s="152"/>
      <c r="N511" s="152"/>
      <c r="O511" s="152"/>
      <c r="P511" s="152"/>
      <c r="Q511" s="152"/>
      <c r="R511" s="152"/>
    </row>
    <row r="512">
      <c r="A512" s="152"/>
      <c r="B512" s="152"/>
      <c r="C512" s="152"/>
      <c r="D512" s="152"/>
      <c r="E512" s="152"/>
      <c r="F512" s="195"/>
      <c r="G512" s="152"/>
      <c r="H512" s="152"/>
      <c r="I512" s="152"/>
      <c r="J512" s="152"/>
      <c r="K512" s="152"/>
      <c r="L512" s="152"/>
      <c r="M512" s="152"/>
      <c r="N512" s="152"/>
      <c r="O512" s="152"/>
      <c r="P512" s="152"/>
      <c r="Q512" s="152"/>
      <c r="R512" s="152"/>
    </row>
    <row r="513">
      <c r="A513" s="152"/>
      <c r="B513" s="152"/>
      <c r="C513" s="152"/>
      <c r="D513" s="152"/>
      <c r="E513" s="152"/>
      <c r="F513" s="195"/>
      <c r="G513" s="152"/>
      <c r="H513" s="152"/>
      <c r="I513" s="152"/>
      <c r="J513" s="152"/>
      <c r="K513" s="152"/>
      <c r="L513" s="152"/>
      <c r="M513" s="152"/>
      <c r="N513" s="152"/>
      <c r="O513" s="152"/>
      <c r="P513" s="152"/>
      <c r="Q513" s="152"/>
      <c r="R513" s="152"/>
    </row>
    <row r="514">
      <c r="A514" s="152"/>
      <c r="B514" s="152"/>
      <c r="C514" s="152"/>
      <c r="D514" s="152"/>
      <c r="E514" s="152"/>
      <c r="F514" s="195"/>
      <c r="G514" s="152"/>
      <c r="H514" s="152"/>
      <c r="I514" s="152"/>
      <c r="J514" s="152"/>
      <c r="K514" s="152"/>
      <c r="L514" s="152"/>
      <c r="M514" s="152"/>
      <c r="N514" s="152"/>
      <c r="O514" s="152"/>
      <c r="P514" s="152"/>
      <c r="Q514" s="152"/>
      <c r="R514" s="152"/>
    </row>
    <row r="515">
      <c r="A515" s="152"/>
      <c r="B515" s="152"/>
      <c r="C515" s="152"/>
      <c r="D515" s="152"/>
      <c r="E515" s="152"/>
      <c r="F515" s="195"/>
      <c r="G515" s="152"/>
      <c r="H515" s="152"/>
      <c r="I515" s="152"/>
      <c r="J515" s="152"/>
      <c r="K515" s="152"/>
      <c r="L515" s="152"/>
      <c r="M515" s="152"/>
      <c r="N515" s="152"/>
      <c r="O515" s="152"/>
      <c r="P515" s="152"/>
      <c r="Q515" s="152"/>
      <c r="R515" s="152"/>
    </row>
    <row r="516">
      <c r="A516" s="152"/>
      <c r="B516" s="152"/>
      <c r="C516" s="152"/>
      <c r="D516" s="152"/>
      <c r="E516" s="152"/>
      <c r="F516" s="195"/>
      <c r="G516" s="152"/>
      <c r="H516" s="152"/>
      <c r="I516" s="152"/>
      <c r="J516" s="152"/>
      <c r="K516" s="152"/>
      <c r="L516" s="152"/>
      <c r="M516" s="152"/>
      <c r="N516" s="152"/>
      <c r="O516" s="152"/>
      <c r="P516" s="152"/>
      <c r="Q516" s="152"/>
      <c r="R516" s="152"/>
    </row>
    <row r="517">
      <c r="A517" s="152"/>
      <c r="B517" s="152"/>
      <c r="C517" s="152"/>
      <c r="D517" s="152"/>
      <c r="E517" s="152"/>
      <c r="F517" s="195"/>
      <c r="G517" s="152"/>
      <c r="H517" s="152"/>
      <c r="I517" s="152"/>
      <c r="J517" s="152"/>
      <c r="K517" s="152"/>
      <c r="L517" s="152"/>
      <c r="M517" s="152"/>
      <c r="N517" s="152"/>
      <c r="O517" s="152"/>
      <c r="P517" s="152"/>
      <c r="Q517" s="152"/>
      <c r="R517" s="152"/>
    </row>
    <row r="518">
      <c r="A518" s="152"/>
      <c r="B518" s="152"/>
      <c r="C518" s="152"/>
      <c r="D518" s="152"/>
      <c r="E518" s="152"/>
      <c r="F518" s="195"/>
      <c r="G518" s="152"/>
      <c r="H518" s="152"/>
      <c r="I518" s="152"/>
      <c r="J518" s="152"/>
      <c r="K518" s="152"/>
      <c r="L518" s="152"/>
      <c r="M518" s="152"/>
      <c r="N518" s="152"/>
      <c r="O518" s="152"/>
      <c r="P518" s="152"/>
      <c r="Q518" s="152"/>
      <c r="R518" s="152"/>
    </row>
    <row r="519">
      <c r="A519" s="152"/>
      <c r="B519" s="152"/>
      <c r="C519" s="152"/>
      <c r="D519" s="152"/>
      <c r="E519" s="152"/>
      <c r="F519" s="195"/>
      <c r="G519" s="152"/>
      <c r="H519" s="152"/>
      <c r="I519" s="152"/>
      <c r="J519" s="152"/>
      <c r="K519" s="152"/>
      <c r="L519" s="152"/>
      <c r="M519" s="152"/>
      <c r="N519" s="152"/>
      <c r="O519" s="152"/>
      <c r="P519" s="152"/>
      <c r="Q519" s="152"/>
      <c r="R519" s="152"/>
    </row>
    <row r="520">
      <c r="A520" s="152"/>
      <c r="B520" s="152"/>
      <c r="C520" s="152"/>
      <c r="D520" s="152"/>
      <c r="E520" s="152"/>
      <c r="F520" s="195"/>
      <c r="G520" s="152"/>
      <c r="H520" s="152"/>
      <c r="I520" s="152"/>
      <c r="J520" s="152"/>
      <c r="K520" s="152"/>
      <c r="L520" s="152"/>
      <c r="M520" s="152"/>
      <c r="N520" s="152"/>
      <c r="O520" s="152"/>
      <c r="P520" s="152"/>
      <c r="Q520" s="152"/>
      <c r="R520" s="152"/>
    </row>
    <row r="521">
      <c r="A521" s="152"/>
      <c r="B521" s="152"/>
      <c r="C521" s="152"/>
      <c r="D521" s="152"/>
      <c r="E521" s="152"/>
      <c r="F521" s="195"/>
      <c r="G521" s="152"/>
      <c r="H521" s="152"/>
      <c r="I521" s="152"/>
      <c r="J521" s="152"/>
      <c r="K521" s="152"/>
      <c r="L521" s="152"/>
      <c r="M521" s="152"/>
      <c r="N521" s="152"/>
      <c r="O521" s="152"/>
      <c r="P521" s="152"/>
      <c r="Q521" s="152"/>
      <c r="R521" s="152"/>
    </row>
    <row r="522">
      <c r="A522" s="152"/>
      <c r="B522" s="152"/>
      <c r="C522" s="152"/>
      <c r="D522" s="152"/>
      <c r="E522" s="152"/>
      <c r="F522" s="195"/>
      <c r="G522" s="152"/>
      <c r="H522" s="152"/>
      <c r="I522" s="152"/>
      <c r="J522" s="152"/>
      <c r="K522" s="152"/>
      <c r="L522" s="152"/>
      <c r="M522" s="152"/>
      <c r="N522" s="152"/>
      <c r="O522" s="152"/>
      <c r="P522" s="152"/>
      <c r="Q522" s="152"/>
      <c r="R522" s="152"/>
    </row>
    <row r="523">
      <c r="A523" s="152"/>
      <c r="B523" s="152"/>
      <c r="C523" s="152"/>
      <c r="D523" s="152"/>
      <c r="E523" s="152"/>
      <c r="F523" s="195"/>
      <c r="G523" s="152"/>
      <c r="H523" s="152"/>
      <c r="I523" s="152"/>
      <c r="J523" s="152"/>
      <c r="K523" s="152"/>
      <c r="L523" s="152"/>
      <c r="M523" s="152"/>
      <c r="N523" s="152"/>
      <c r="O523" s="152"/>
      <c r="P523" s="152"/>
      <c r="Q523" s="152"/>
      <c r="R523" s="152"/>
    </row>
    <row r="524">
      <c r="A524" s="152"/>
      <c r="B524" s="152"/>
      <c r="C524" s="152"/>
      <c r="D524" s="152"/>
      <c r="E524" s="152"/>
      <c r="F524" s="195"/>
      <c r="G524" s="152"/>
      <c r="H524" s="152"/>
      <c r="I524" s="152"/>
      <c r="J524" s="152"/>
      <c r="K524" s="152"/>
      <c r="L524" s="152"/>
      <c r="M524" s="152"/>
      <c r="N524" s="152"/>
      <c r="O524" s="152"/>
      <c r="P524" s="152"/>
      <c r="Q524" s="152"/>
      <c r="R524" s="152"/>
    </row>
    <row r="525">
      <c r="A525" s="152"/>
      <c r="B525" s="152"/>
      <c r="C525" s="152"/>
      <c r="D525" s="152"/>
      <c r="E525" s="152"/>
      <c r="F525" s="195"/>
      <c r="G525" s="152"/>
      <c r="H525" s="152"/>
      <c r="I525" s="152"/>
      <c r="J525" s="152"/>
      <c r="K525" s="152"/>
      <c r="L525" s="152"/>
      <c r="M525" s="152"/>
      <c r="N525" s="152"/>
      <c r="O525" s="152"/>
      <c r="P525" s="152"/>
      <c r="Q525" s="152"/>
      <c r="R525" s="152"/>
    </row>
    <row r="526">
      <c r="A526" s="152"/>
      <c r="B526" s="152"/>
      <c r="C526" s="152"/>
      <c r="D526" s="152"/>
      <c r="E526" s="152"/>
      <c r="F526" s="195"/>
      <c r="G526" s="152"/>
      <c r="H526" s="152"/>
      <c r="I526" s="152"/>
      <c r="J526" s="152"/>
      <c r="K526" s="152"/>
      <c r="L526" s="152"/>
      <c r="M526" s="152"/>
      <c r="N526" s="152"/>
      <c r="O526" s="152"/>
      <c r="P526" s="152"/>
      <c r="Q526" s="152"/>
      <c r="R526" s="152"/>
    </row>
    <row r="527">
      <c r="A527" s="152"/>
      <c r="B527" s="152"/>
      <c r="C527" s="152"/>
      <c r="D527" s="152"/>
      <c r="E527" s="152"/>
      <c r="F527" s="195"/>
      <c r="G527" s="152"/>
      <c r="H527" s="152"/>
      <c r="I527" s="152"/>
      <c r="J527" s="152"/>
      <c r="K527" s="152"/>
      <c r="L527" s="152"/>
      <c r="M527" s="152"/>
      <c r="N527" s="152"/>
      <c r="O527" s="152"/>
      <c r="P527" s="152"/>
      <c r="Q527" s="152"/>
      <c r="R527" s="152"/>
    </row>
    <row r="528">
      <c r="A528" s="152"/>
      <c r="B528" s="152"/>
      <c r="C528" s="152"/>
      <c r="D528" s="152"/>
      <c r="E528" s="152"/>
      <c r="F528" s="195"/>
      <c r="G528" s="152"/>
      <c r="H528" s="152"/>
      <c r="I528" s="152"/>
      <c r="J528" s="152"/>
      <c r="K528" s="152"/>
      <c r="L528" s="152"/>
      <c r="M528" s="152"/>
      <c r="N528" s="152"/>
      <c r="O528" s="152"/>
      <c r="P528" s="152"/>
      <c r="Q528" s="152"/>
      <c r="R528" s="152"/>
    </row>
    <row r="529">
      <c r="A529" s="152"/>
      <c r="B529" s="152"/>
      <c r="C529" s="152"/>
      <c r="D529" s="152"/>
      <c r="E529" s="152"/>
      <c r="F529" s="195"/>
      <c r="G529" s="152"/>
      <c r="H529" s="152"/>
      <c r="I529" s="152"/>
      <c r="J529" s="152"/>
      <c r="K529" s="152"/>
      <c r="L529" s="152"/>
      <c r="M529" s="152"/>
      <c r="N529" s="152"/>
      <c r="O529" s="152"/>
      <c r="P529" s="152"/>
      <c r="Q529" s="152"/>
      <c r="R529" s="152"/>
    </row>
    <row r="530">
      <c r="A530" s="152"/>
      <c r="B530" s="152"/>
      <c r="C530" s="152"/>
      <c r="D530" s="152"/>
      <c r="E530" s="152"/>
      <c r="F530" s="195"/>
      <c r="G530" s="152"/>
      <c r="H530" s="152"/>
      <c r="I530" s="152"/>
      <c r="J530" s="152"/>
      <c r="K530" s="152"/>
      <c r="L530" s="152"/>
      <c r="M530" s="152"/>
      <c r="N530" s="152"/>
      <c r="O530" s="152"/>
      <c r="P530" s="152"/>
      <c r="Q530" s="152"/>
      <c r="R530" s="152"/>
    </row>
    <row r="531">
      <c r="A531" s="152"/>
      <c r="B531" s="152"/>
      <c r="C531" s="152"/>
      <c r="D531" s="152"/>
      <c r="E531" s="152"/>
      <c r="F531" s="195"/>
      <c r="G531" s="152"/>
      <c r="H531" s="152"/>
      <c r="I531" s="152"/>
      <c r="J531" s="152"/>
      <c r="K531" s="152"/>
      <c r="L531" s="152"/>
      <c r="M531" s="152"/>
      <c r="N531" s="152"/>
      <c r="O531" s="152"/>
      <c r="P531" s="152"/>
      <c r="Q531" s="152"/>
      <c r="R531" s="152"/>
    </row>
    <row r="532">
      <c r="A532" s="152"/>
      <c r="B532" s="152"/>
      <c r="C532" s="152"/>
      <c r="D532" s="152"/>
      <c r="E532" s="152"/>
      <c r="F532" s="195"/>
      <c r="G532" s="152"/>
      <c r="H532" s="152"/>
      <c r="I532" s="152"/>
      <c r="J532" s="152"/>
      <c r="K532" s="152"/>
      <c r="L532" s="152"/>
      <c r="M532" s="152"/>
      <c r="N532" s="152"/>
      <c r="O532" s="152"/>
      <c r="P532" s="152"/>
      <c r="Q532" s="152"/>
      <c r="R532" s="152"/>
    </row>
    <row r="533">
      <c r="A533" s="152"/>
      <c r="B533" s="152"/>
      <c r="C533" s="152"/>
      <c r="D533" s="152"/>
      <c r="E533" s="152"/>
      <c r="F533" s="195"/>
      <c r="G533" s="152"/>
      <c r="H533" s="152"/>
      <c r="I533" s="152"/>
      <c r="J533" s="152"/>
      <c r="K533" s="152"/>
      <c r="L533" s="152"/>
      <c r="M533" s="152"/>
      <c r="N533" s="152"/>
      <c r="O533" s="152"/>
      <c r="P533" s="152"/>
      <c r="Q533" s="152"/>
      <c r="R533" s="152"/>
    </row>
    <row r="534">
      <c r="A534" s="152"/>
      <c r="B534" s="152"/>
      <c r="C534" s="152"/>
      <c r="D534" s="152"/>
      <c r="E534" s="152"/>
      <c r="F534" s="195"/>
      <c r="G534" s="152"/>
      <c r="H534" s="152"/>
      <c r="I534" s="152"/>
      <c r="J534" s="152"/>
      <c r="K534" s="152"/>
      <c r="L534" s="152"/>
      <c r="M534" s="152"/>
      <c r="N534" s="152"/>
      <c r="O534" s="152"/>
      <c r="P534" s="152"/>
      <c r="Q534" s="152"/>
      <c r="R534" s="152"/>
    </row>
    <row r="535">
      <c r="A535" s="152"/>
      <c r="B535" s="152"/>
      <c r="C535" s="152"/>
      <c r="D535" s="152"/>
      <c r="E535" s="152"/>
      <c r="F535" s="195"/>
      <c r="G535" s="152"/>
      <c r="H535" s="152"/>
      <c r="I535" s="152"/>
      <c r="J535" s="152"/>
      <c r="K535" s="152"/>
      <c r="L535" s="152"/>
      <c r="M535" s="152"/>
      <c r="N535" s="152"/>
      <c r="O535" s="152"/>
      <c r="P535" s="152"/>
      <c r="Q535" s="152"/>
      <c r="R535" s="152"/>
    </row>
    <row r="536">
      <c r="A536" s="152"/>
      <c r="B536" s="152"/>
      <c r="C536" s="152"/>
      <c r="D536" s="152"/>
      <c r="E536" s="152"/>
      <c r="F536" s="195"/>
      <c r="G536" s="152"/>
      <c r="H536" s="152"/>
      <c r="I536" s="152"/>
      <c r="J536" s="152"/>
      <c r="K536" s="152"/>
      <c r="L536" s="152"/>
      <c r="M536" s="152"/>
      <c r="N536" s="152"/>
      <c r="O536" s="152"/>
      <c r="P536" s="152"/>
      <c r="Q536" s="152"/>
      <c r="R536" s="152"/>
    </row>
    <row r="537">
      <c r="A537" s="152"/>
      <c r="B537" s="152"/>
      <c r="C537" s="152"/>
      <c r="D537" s="152"/>
      <c r="E537" s="152"/>
      <c r="F537" s="195"/>
      <c r="G537" s="152"/>
      <c r="H537" s="152"/>
      <c r="I537" s="152"/>
      <c r="J537" s="152"/>
      <c r="K537" s="152"/>
      <c r="L537" s="152"/>
      <c r="M537" s="152"/>
      <c r="N537" s="152"/>
      <c r="O537" s="152"/>
      <c r="P537" s="152"/>
      <c r="Q537" s="152"/>
      <c r="R537" s="152"/>
    </row>
    <row r="538">
      <c r="A538" s="152"/>
      <c r="B538" s="152"/>
      <c r="C538" s="152"/>
      <c r="D538" s="152"/>
      <c r="E538" s="152"/>
      <c r="F538" s="195"/>
      <c r="G538" s="152"/>
      <c r="H538" s="152"/>
      <c r="I538" s="152"/>
      <c r="J538" s="152"/>
      <c r="K538" s="152"/>
      <c r="L538" s="152"/>
      <c r="M538" s="152"/>
      <c r="N538" s="152"/>
      <c r="O538" s="152"/>
      <c r="P538" s="152"/>
      <c r="Q538" s="152"/>
      <c r="R538" s="152"/>
    </row>
    <row r="539">
      <c r="A539" s="152"/>
      <c r="B539" s="152"/>
      <c r="C539" s="152"/>
      <c r="D539" s="152"/>
      <c r="E539" s="152"/>
      <c r="F539" s="195"/>
      <c r="G539" s="152"/>
      <c r="H539" s="152"/>
      <c r="I539" s="152"/>
      <c r="J539" s="152"/>
      <c r="K539" s="152"/>
      <c r="L539" s="152"/>
      <c r="M539" s="152"/>
      <c r="N539" s="152"/>
      <c r="O539" s="152"/>
      <c r="P539" s="152"/>
      <c r="Q539" s="152"/>
      <c r="R539" s="152"/>
    </row>
    <row r="540">
      <c r="A540" s="152"/>
      <c r="B540" s="152"/>
      <c r="C540" s="152"/>
      <c r="D540" s="152"/>
      <c r="E540" s="152"/>
      <c r="F540" s="195"/>
      <c r="G540" s="152"/>
      <c r="H540" s="152"/>
      <c r="I540" s="152"/>
      <c r="J540" s="152"/>
      <c r="K540" s="152"/>
      <c r="L540" s="152"/>
      <c r="M540" s="152"/>
      <c r="N540" s="152"/>
      <c r="O540" s="152"/>
      <c r="P540" s="152"/>
      <c r="Q540" s="152"/>
      <c r="R540" s="152"/>
    </row>
    <row r="541">
      <c r="A541" s="152"/>
      <c r="B541" s="152"/>
      <c r="C541" s="152"/>
      <c r="D541" s="152"/>
      <c r="E541" s="152"/>
      <c r="F541" s="195"/>
      <c r="G541" s="152"/>
      <c r="H541" s="152"/>
      <c r="I541" s="152"/>
      <c r="J541" s="152"/>
      <c r="K541" s="152"/>
      <c r="L541" s="152"/>
      <c r="M541" s="152"/>
      <c r="N541" s="152"/>
      <c r="O541" s="152"/>
      <c r="P541" s="152"/>
      <c r="Q541" s="152"/>
      <c r="R541" s="152"/>
    </row>
    <row r="542">
      <c r="A542" s="152"/>
      <c r="B542" s="152"/>
      <c r="C542" s="152"/>
      <c r="D542" s="152"/>
      <c r="E542" s="152"/>
      <c r="F542" s="195"/>
      <c r="G542" s="152"/>
      <c r="H542" s="152"/>
      <c r="I542" s="152"/>
      <c r="J542" s="152"/>
      <c r="K542" s="152"/>
      <c r="L542" s="152"/>
      <c r="M542" s="152"/>
      <c r="N542" s="152"/>
      <c r="O542" s="152"/>
      <c r="P542" s="152"/>
      <c r="Q542" s="152"/>
      <c r="R542" s="152"/>
    </row>
    <row r="543">
      <c r="A543" s="152"/>
      <c r="B543" s="152"/>
      <c r="C543" s="152"/>
      <c r="D543" s="152"/>
      <c r="E543" s="152"/>
      <c r="F543" s="195"/>
      <c r="G543" s="152"/>
      <c r="H543" s="152"/>
      <c r="I543" s="152"/>
      <c r="J543" s="152"/>
      <c r="K543" s="152"/>
      <c r="L543" s="152"/>
      <c r="M543" s="152"/>
      <c r="N543" s="152"/>
      <c r="O543" s="152"/>
      <c r="P543" s="152"/>
      <c r="Q543" s="152"/>
      <c r="R543" s="152"/>
    </row>
    <row r="544">
      <c r="A544" s="152"/>
      <c r="B544" s="152"/>
      <c r="C544" s="152"/>
      <c r="D544" s="152"/>
      <c r="E544" s="152"/>
      <c r="F544" s="195"/>
      <c r="G544" s="152"/>
      <c r="H544" s="152"/>
      <c r="I544" s="152"/>
      <c r="J544" s="152"/>
      <c r="K544" s="152"/>
      <c r="L544" s="152"/>
      <c r="M544" s="152"/>
      <c r="N544" s="152"/>
      <c r="O544" s="152"/>
      <c r="P544" s="152"/>
      <c r="Q544" s="152"/>
      <c r="R544" s="152"/>
    </row>
    <row r="545">
      <c r="A545" s="152"/>
      <c r="B545" s="152"/>
      <c r="C545" s="152"/>
      <c r="D545" s="152"/>
      <c r="E545" s="152"/>
      <c r="F545" s="195"/>
      <c r="G545" s="152"/>
      <c r="H545" s="152"/>
      <c r="I545" s="152"/>
      <c r="J545" s="152"/>
      <c r="K545" s="152"/>
      <c r="L545" s="152"/>
      <c r="M545" s="152"/>
      <c r="N545" s="152"/>
      <c r="O545" s="152"/>
      <c r="P545" s="152"/>
      <c r="Q545" s="152"/>
      <c r="R545" s="152"/>
    </row>
    <row r="546">
      <c r="A546" s="152"/>
      <c r="B546" s="152"/>
      <c r="C546" s="152"/>
      <c r="D546" s="152"/>
      <c r="E546" s="152"/>
      <c r="F546" s="195"/>
      <c r="G546" s="152"/>
      <c r="H546" s="152"/>
      <c r="I546" s="152"/>
      <c r="J546" s="152"/>
      <c r="K546" s="152"/>
      <c r="L546" s="152"/>
      <c r="M546" s="152"/>
      <c r="N546" s="152"/>
      <c r="O546" s="152"/>
      <c r="P546" s="152"/>
      <c r="Q546" s="152"/>
      <c r="R546" s="152"/>
    </row>
    <row r="547">
      <c r="A547" s="152"/>
      <c r="B547" s="152"/>
      <c r="C547" s="152"/>
      <c r="D547" s="152"/>
      <c r="E547" s="152"/>
      <c r="F547" s="195"/>
      <c r="G547" s="152"/>
      <c r="H547" s="152"/>
      <c r="I547" s="152"/>
      <c r="J547" s="152"/>
      <c r="K547" s="152"/>
      <c r="L547" s="152"/>
      <c r="M547" s="152"/>
      <c r="N547" s="152"/>
      <c r="O547" s="152"/>
      <c r="P547" s="152"/>
      <c r="Q547" s="152"/>
      <c r="R547" s="152"/>
    </row>
    <row r="548">
      <c r="A548" s="152"/>
      <c r="B548" s="152"/>
      <c r="C548" s="152"/>
      <c r="D548" s="152"/>
      <c r="E548" s="152"/>
      <c r="F548" s="195"/>
      <c r="G548" s="152"/>
      <c r="H548" s="152"/>
      <c r="I548" s="152"/>
      <c r="J548" s="152"/>
      <c r="K548" s="152"/>
      <c r="L548" s="152"/>
      <c r="M548" s="152"/>
      <c r="N548" s="152"/>
      <c r="O548" s="152"/>
      <c r="P548" s="152"/>
      <c r="Q548" s="152"/>
      <c r="R548" s="152"/>
    </row>
    <row r="549">
      <c r="A549" s="152"/>
      <c r="B549" s="152"/>
      <c r="C549" s="152"/>
      <c r="D549" s="152"/>
      <c r="E549" s="152"/>
      <c r="F549" s="195"/>
      <c r="G549" s="152"/>
      <c r="H549" s="152"/>
      <c r="I549" s="152"/>
      <c r="J549" s="152"/>
      <c r="K549" s="152"/>
      <c r="L549" s="152"/>
      <c r="M549" s="152"/>
      <c r="N549" s="152"/>
      <c r="O549" s="152"/>
      <c r="P549" s="152"/>
      <c r="Q549" s="152"/>
      <c r="R549" s="152"/>
    </row>
    <row r="550">
      <c r="A550" s="152"/>
      <c r="B550" s="152"/>
      <c r="C550" s="152"/>
      <c r="D550" s="152"/>
      <c r="E550" s="152"/>
      <c r="F550" s="195"/>
      <c r="G550" s="152"/>
      <c r="H550" s="152"/>
      <c r="I550" s="152"/>
      <c r="J550" s="152"/>
      <c r="K550" s="152"/>
      <c r="L550" s="152"/>
      <c r="M550" s="152"/>
      <c r="N550" s="152"/>
      <c r="O550" s="152"/>
      <c r="P550" s="152"/>
      <c r="Q550" s="152"/>
      <c r="R550" s="152"/>
    </row>
    <row r="551">
      <c r="A551" s="152"/>
      <c r="B551" s="152"/>
      <c r="C551" s="152"/>
      <c r="D551" s="152"/>
      <c r="E551" s="152"/>
      <c r="F551" s="195"/>
      <c r="G551" s="152"/>
      <c r="H551" s="152"/>
      <c r="I551" s="152"/>
      <c r="J551" s="152"/>
      <c r="K551" s="152"/>
      <c r="L551" s="152"/>
      <c r="M551" s="152"/>
      <c r="N551" s="152"/>
      <c r="O551" s="152"/>
      <c r="P551" s="152"/>
      <c r="Q551" s="152"/>
      <c r="R551" s="152"/>
    </row>
    <row r="552">
      <c r="A552" s="152"/>
      <c r="B552" s="152"/>
      <c r="C552" s="152"/>
      <c r="D552" s="152"/>
      <c r="E552" s="152"/>
      <c r="F552" s="195"/>
      <c r="G552" s="152"/>
      <c r="H552" s="152"/>
      <c r="I552" s="152"/>
      <c r="J552" s="152"/>
      <c r="K552" s="152"/>
      <c r="L552" s="152"/>
      <c r="M552" s="152"/>
      <c r="N552" s="152"/>
      <c r="O552" s="152"/>
      <c r="P552" s="152"/>
      <c r="Q552" s="152"/>
      <c r="R552" s="152"/>
    </row>
    <row r="553">
      <c r="A553" s="152"/>
      <c r="B553" s="152"/>
      <c r="C553" s="152"/>
      <c r="D553" s="152"/>
      <c r="E553" s="152"/>
      <c r="F553" s="195"/>
      <c r="G553" s="152"/>
      <c r="H553" s="152"/>
      <c r="I553" s="152"/>
      <c r="J553" s="152"/>
      <c r="K553" s="152"/>
      <c r="L553" s="152"/>
      <c r="M553" s="152"/>
      <c r="N553" s="152"/>
      <c r="O553" s="152"/>
      <c r="P553" s="152"/>
      <c r="Q553" s="152"/>
      <c r="R553" s="152"/>
    </row>
    <row r="554">
      <c r="A554" s="152"/>
      <c r="B554" s="152"/>
      <c r="C554" s="152"/>
      <c r="D554" s="152"/>
      <c r="E554" s="152"/>
      <c r="F554" s="195"/>
      <c r="G554" s="152"/>
      <c r="H554" s="152"/>
      <c r="I554" s="152"/>
      <c r="J554" s="152"/>
      <c r="K554" s="152"/>
      <c r="L554" s="152"/>
      <c r="M554" s="152"/>
      <c r="N554" s="152"/>
      <c r="O554" s="152"/>
      <c r="P554" s="152"/>
      <c r="Q554" s="152"/>
      <c r="R554" s="152"/>
    </row>
    <row r="555">
      <c r="A555" s="152"/>
      <c r="B555" s="152"/>
      <c r="C555" s="152"/>
      <c r="D555" s="152"/>
      <c r="E555" s="152"/>
      <c r="F555" s="195"/>
      <c r="G555" s="152"/>
      <c r="H555" s="152"/>
      <c r="I555" s="152"/>
      <c r="J555" s="152"/>
      <c r="K555" s="152"/>
      <c r="L555" s="152"/>
      <c r="M555" s="152"/>
      <c r="N555" s="152"/>
      <c r="O555" s="152"/>
      <c r="P555" s="152"/>
      <c r="Q555" s="152"/>
      <c r="R555" s="152"/>
    </row>
    <row r="556">
      <c r="A556" s="152"/>
      <c r="B556" s="152"/>
      <c r="C556" s="152"/>
      <c r="D556" s="152"/>
      <c r="E556" s="152"/>
      <c r="F556" s="195"/>
      <c r="G556" s="152"/>
      <c r="H556" s="152"/>
      <c r="I556" s="152"/>
      <c r="J556" s="152"/>
      <c r="K556" s="152"/>
      <c r="L556" s="152"/>
      <c r="M556" s="152"/>
      <c r="N556" s="152"/>
      <c r="O556" s="152"/>
      <c r="P556" s="152"/>
      <c r="Q556" s="152"/>
      <c r="R556" s="152"/>
    </row>
    <row r="557">
      <c r="A557" s="152"/>
      <c r="B557" s="152"/>
      <c r="C557" s="152"/>
      <c r="D557" s="152"/>
      <c r="E557" s="152"/>
      <c r="F557" s="195"/>
      <c r="G557" s="152"/>
      <c r="H557" s="152"/>
      <c r="I557" s="152"/>
      <c r="J557" s="152"/>
      <c r="K557" s="152"/>
      <c r="L557" s="152"/>
      <c r="M557" s="152"/>
      <c r="N557" s="152"/>
      <c r="O557" s="152"/>
      <c r="P557" s="152"/>
      <c r="Q557" s="152"/>
      <c r="R557" s="152"/>
    </row>
    <row r="558">
      <c r="A558" s="152"/>
      <c r="B558" s="152"/>
      <c r="C558" s="152"/>
      <c r="D558" s="152"/>
      <c r="E558" s="152"/>
      <c r="F558" s="195"/>
      <c r="G558" s="152"/>
      <c r="H558" s="152"/>
      <c r="I558" s="152"/>
      <c r="J558" s="152"/>
      <c r="K558" s="152"/>
      <c r="L558" s="152"/>
      <c r="M558" s="152"/>
      <c r="N558" s="152"/>
      <c r="O558" s="152"/>
      <c r="P558" s="152"/>
      <c r="Q558" s="152"/>
      <c r="R558" s="152"/>
    </row>
    <row r="559">
      <c r="A559" s="152"/>
      <c r="B559" s="152"/>
      <c r="C559" s="152"/>
      <c r="D559" s="152"/>
      <c r="E559" s="152"/>
      <c r="F559" s="195"/>
      <c r="G559" s="152"/>
      <c r="H559" s="152"/>
      <c r="I559" s="152"/>
      <c r="J559" s="152"/>
      <c r="K559" s="152"/>
      <c r="L559" s="152"/>
      <c r="M559" s="152"/>
      <c r="N559" s="152"/>
      <c r="O559" s="152"/>
      <c r="P559" s="152"/>
      <c r="Q559" s="152"/>
      <c r="R559" s="152"/>
    </row>
    <row r="560">
      <c r="A560" s="152"/>
      <c r="B560" s="152"/>
      <c r="C560" s="152"/>
      <c r="D560" s="152"/>
      <c r="E560" s="152"/>
      <c r="F560" s="195"/>
      <c r="G560" s="152"/>
      <c r="H560" s="152"/>
      <c r="I560" s="152"/>
      <c r="J560" s="152"/>
      <c r="K560" s="152"/>
      <c r="L560" s="152"/>
      <c r="M560" s="152"/>
      <c r="N560" s="152"/>
      <c r="O560" s="152"/>
      <c r="P560" s="152"/>
      <c r="Q560" s="152"/>
      <c r="R560" s="152"/>
    </row>
    <row r="561">
      <c r="A561" s="152"/>
      <c r="B561" s="152"/>
      <c r="C561" s="152"/>
      <c r="D561" s="152"/>
      <c r="E561" s="152"/>
      <c r="F561" s="195"/>
      <c r="G561" s="152"/>
      <c r="H561" s="152"/>
      <c r="I561" s="152"/>
      <c r="J561" s="152"/>
      <c r="K561" s="152"/>
      <c r="L561" s="152"/>
      <c r="M561" s="152"/>
      <c r="N561" s="152"/>
      <c r="O561" s="152"/>
      <c r="P561" s="152"/>
      <c r="Q561" s="152"/>
      <c r="R561" s="152"/>
    </row>
    <row r="562">
      <c r="A562" s="152"/>
      <c r="B562" s="152"/>
      <c r="C562" s="152"/>
      <c r="D562" s="152"/>
      <c r="E562" s="152"/>
      <c r="F562" s="195"/>
      <c r="G562" s="152"/>
      <c r="H562" s="152"/>
      <c r="I562" s="152"/>
      <c r="J562" s="152"/>
      <c r="K562" s="152"/>
      <c r="L562" s="152"/>
      <c r="M562" s="152"/>
      <c r="N562" s="152"/>
      <c r="O562" s="152"/>
      <c r="P562" s="152"/>
      <c r="Q562" s="152"/>
      <c r="R562" s="152"/>
    </row>
    <row r="563">
      <c r="A563" s="152"/>
      <c r="B563" s="152"/>
      <c r="C563" s="152"/>
      <c r="D563" s="152"/>
      <c r="E563" s="152"/>
      <c r="F563" s="195"/>
      <c r="G563" s="152"/>
      <c r="H563" s="152"/>
      <c r="I563" s="152"/>
      <c r="J563" s="152"/>
      <c r="K563" s="152"/>
      <c r="L563" s="152"/>
      <c r="M563" s="152"/>
      <c r="N563" s="152"/>
      <c r="O563" s="152"/>
      <c r="P563" s="152"/>
      <c r="Q563" s="152"/>
      <c r="R563" s="152"/>
    </row>
    <row r="564">
      <c r="A564" s="152"/>
      <c r="B564" s="152"/>
      <c r="C564" s="152"/>
      <c r="D564" s="152"/>
      <c r="E564" s="152"/>
      <c r="F564" s="195"/>
      <c r="G564" s="152"/>
      <c r="H564" s="152"/>
      <c r="I564" s="152"/>
      <c r="J564" s="152"/>
      <c r="K564" s="152"/>
      <c r="L564" s="152"/>
      <c r="M564" s="152"/>
      <c r="N564" s="152"/>
      <c r="O564" s="152"/>
      <c r="P564" s="152"/>
      <c r="Q564" s="152"/>
      <c r="R564" s="152"/>
    </row>
    <row r="565">
      <c r="A565" s="152"/>
      <c r="B565" s="152"/>
      <c r="C565" s="152"/>
      <c r="D565" s="152"/>
      <c r="E565" s="152"/>
      <c r="F565" s="195"/>
      <c r="G565" s="152"/>
      <c r="H565" s="152"/>
      <c r="I565" s="152"/>
      <c r="J565" s="152"/>
      <c r="K565" s="152"/>
      <c r="L565" s="152"/>
      <c r="M565" s="152"/>
      <c r="N565" s="152"/>
      <c r="O565" s="152"/>
      <c r="P565" s="152"/>
      <c r="Q565" s="152"/>
      <c r="R565" s="152"/>
    </row>
    <row r="566">
      <c r="A566" s="152"/>
      <c r="B566" s="152"/>
      <c r="C566" s="152"/>
      <c r="D566" s="152"/>
      <c r="E566" s="152"/>
      <c r="F566" s="195"/>
      <c r="G566" s="152"/>
      <c r="H566" s="152"/>
      <c r="I566" s="152"/>
      <c r="J566" s="152"/>
      <c r="K566" s="152"/>
      <c r="L566" s="152"/>
      <c r="M566" s="152"/>
      <c r="N566" s="152"/>
      <c r="O566" s="152"/>
      <c r="P566" s="152"/>
      <c r="Q566" s="152"/>
      <c r="R566" s="152"/>
    </row>
    <row r="567">
      <c r="A567" s="152"/>
      <c r="B567" s="152"/>
      <c r="C567" s="152"/>
      <c r="D567" s="152"/>
      <c r="E567" s="152"/>
      <c r="F567" s="195"/>
      <c r="G567" s="152"/>
      <c r="H567" s="152"/>
      <c r="I567" s="152"/>
      <c r="J567" s="152"/>
      <c r="K567" s="152"/>
      <c r="L567" s="152"/>
      <c r="M567" s="152"/>
      <c r="N567" s="152"/>
      <c r="O567" s="152"/>
      <c r="P567" s="152"/>
      <c r="Q567" s="152"/>
      <c r="R567" s="152"/>
    </row>
    <row r="568">
      <c r="A568" s="152"/>
      <c r="B568" s="152"/>
      <c r="C568" s="152"/>
      <c r="D568" s="152"/>
      <c r="E568" s="152"/>
      <c r="F568" s="195"/>
      <c r="G568" s="152"/>
      <c r="H568" s="152"/>
      <c r="I568" s="152"/>
      <c r="J568" s="152"/>
      <c r="K568" s="152"/>
      <c r="L568" s="152"/>
      <c r="M568" s="152"/>
      <c r="N568" s="152"/>
      <c r="O568" s="152"/>
      <c r="P568" s="152"/>
      <c r="Q568" s="152"/>
      <c r="R568" s="152"/>
    </row>
    <row r="569">
      <c r="A569" s="152"/>
      <c r="B569" s="152"/>
      <c r="C569" s="152"/>
      <c r="D569" s="152"/>
      <c r="E569" s="152"/>
      <c r="F569" s="195"/>
      <c r="G569" s="152"/>
      <c r="H569" s="152"/>
      <c r="I569" s="152"/>
      <c r="J569" s="152"/>
      <c r="K569" s="152"/>
      <c r="L569" s="152"/>
      <c r="M569" s="152"/>
      <c r="N569" s="152"/>
      <c r="O569" s="152"/>
      <c r="P569" s="152"/>
      <c r="Q569" s="152"/>
      <c r="R569" s="152"/>
    </row>
    <row r="570">
      <c r="A570" s="152"/>
      <c r="B570" s="152"/>
      <c r="C570" s="152"/>
      <c r="D570" s="152"/>
      <c r="E570" s="152"/>
      <c r="F570" s="195"/>
      <c r="G570" s="152"/>
      <c r="H570" s="152"/>
      <c r="I570" s="152"/>
      <c r="J570" s="152"/>
      <c r="K570" s="152"/>
      <c r="L570" s="152"/>
      <c r="M570" s="152"/>
      <c r="N570" s="152"/>
      <c r="O570" s="152"/>
      <c r="P570" s="152"/>
      <c r="Q570" s="152"/>
      <c r="R570" s="152"/>
    </row>
    <row r="571">
      <c r="A571" s="152"/>
      <c r="B571" s="152"/>
      <c r="C571" s="152"/>
      <c r="D571" s="152"/>
      <c r="E571" s="152"/>
      <c r="F571" s="195"/>
      <c r="G571" s="152"/>
      <c r="H571" s="152"/>
      <c r="I571" s="152"/>
      <c r="J571" s="152"/>
      <c r="K571" s="152"/>
      <c r="L571" s="152"/>
      <c r="M571" s="152"/>
      <c r="N571" s="152"/>
      <c r="O571" s="152"/>
      <c r="P571" s="152"/>
      <c r="Q571" s="152"/>
      <c r="R571" s="152"/>
    </row>
    <row r="572">
      <c r="A572" s="152"/>
      <c r="B572" s="152"/>
      <c r="C572" s="152"/>
      <c r="D572" s="152"/>
      <c r="E572" s="152"/>
      <c r="F572" s="195"/>
      <c r="G572" s="152"/>
      <c r="H572" s="152"/>
      <c r="I572" s="152"/>
      <c r="J572" s="152"/>
      <c r="K572" s="152"/>
      <c r="L572" s="152"/>
      <c r="M572" s="152"/>
      <c r="N572" s="152"/>
      <c r="O572" s="152"/>
      <c r="P572" s="152"/>
      <c r="Q572" s="152"/>
      <c r="R572" s="152"/>
    </row>
    <row r="573">
      <c r="A573" s="152"/>
      <c r="B573" s="152"/>
      <c r="C573" s="152"/>
      <c r="D573" s="152"/>
      <c r="E573" s="152"/>
      <c r="F573" s="195"/>
      <c r="G573" s="152"/>
      <c r="H573" s="152"/>
      <c r="I573" s="152"/>
      <c r="J573" s="152"/>
      <c r="K573" s="152"/>
      <c r="L573" s="152"/>
      <c r="M573" s="152"/>
      <c r="N573" s="152"/>
      <c r="O573" s="152"/>
      <c r="P573" s="152"/>
      <c r="Q573" s="152"/>
      <c r="R573" s="152"/>
    </row>
    <row r="574">
      <c r="A574" s="152"/>
      <c r="B574" s="152"/>
      <c r="C574" s="152"/>
      <c r="D574" s="152"/>
      <c r="E574" s="152"/>
      <c r="F574" s="195"/>
      <c r="G574" s="152"/>
      <c r="H574" s="152"/>
      <c r="I574" s="152"/>
      <c r="J574" s="152"/>
      <c r="K574" s="152"/>
      <c r="L574" s="152"/>
      <c r="M574" s="152"/>
      <c r="N574" s="152"/>
      <c r="O574" s="152"/>
      <c r="P574" s="152"/>
      <c r="Q574" s="152"/>
      <c r="R574" s="152"/>
    </row>
    <row r="575">
      <c r="A575" s="152"/>
      <c r="B575" s="152"/>
      <c r="C575" s="152"/>
      <c r="D575" s="152"/>
      <c r="E575" s="152"/>
      <c r="F575" s="195"/>
      <c r="G575" s="152"/>
      <c r="H575" s="152"/>
      <c r="I575" s="152"/>
      <c r="J575" s="152"/>
      <c r="K575" s="152"/>
      <c r="L575" s="152"/>
      <c r="M575" s="152"/>
      <c r="N575" s="152"/>
      <c r="O575" s="152"/>
      <c r="P575" s="152"/>
      <c r="Q575" s="152"/>
      <c r="R575" s="152"/>
    </row>
    <row r="576">
      <c r="A576" s="152"/>
      <c r="B576" s="152"/>
      <c r="C576" s="152"/>
      <c r="D576" s="152"/>
      <c r="E576" s="152"/>
      <c r="F576" s="195"/>
      <c r="G576" s="152"/>
      <c r="H576" s="152"/>
      <c r="I576" s="152"/>
      <c r="J576" s="152"/>
      <c r="K576" s="152"/>
      <c r="L576" s="152"/>
      <c r="M576" s="152"/>
      <c r="N576" s="152"/>
      <c r="O576" s="152"/>
      <c r="P576" s="152"/>
      <c r="Q576" s="152"/>
      <c r="R576" s="152"/>
    </row>
    <row r="577">
      <c r="A577" s="152"/>
      <c r="B577" s="152"/>
      <c r="C577" s="152"/>
      <c r="D577" s="152"/>
      <c r="E577" s="152"/>
      <c r="F577" s="195"/>
      <c r="G577" s="152"/>
      <c r="H577" s="152"/>
      <c r="I577" s="152"/>
      <c r="J577" s="152"/>
      <c r="K577" s="152"/>
      <c r="L577" s="152"/>
      <c r="M577" s="152"/>
      <c r="N577" s="152"/>
      <c r="O577" s="152"/>
      <c r="P577" s="152"/>
      <c r="Q577" s="152"/>
      <c r="R577" s="152"/>
    </row>
    <row r="578">
      <c r="A578" s="152"/>
      <c r="B578" s="152"/>
      <c r="C578" s="152"/>
      <c r="D578" s="152"/>
      <c r="E578" s="152"/>
      <c r="F578" s="195"/>
      <c r="G578" s="152"/>
      <c r="H578" s="152"/>
      <c r="I578" s="152"/>
      <c r="J578" s="152"/>
      <c r="K578" s="152"/>
      <c r="L578" s="152"/>
      <c r="M578" s="152"/>
      <c r="N578" s="152"/>
      <c r="O578" s="152"/>
      <c r="P578" s="152"/>
      <c r="Q578" s="152"/>
      <c r="R578" s="152"/>
    </row>
    <row r="579">
      <c r="A579" s="152"/>
      <c r="B579" s="152"/>
      <c r="C579" s="152"/>
      <c r="D579" s="152"/>
      <c r="E579" s="152"/>
      <c r="F579" s="195"/>
      <c r="G579" s="152"/>
      <c r="H579" s="152"/>
      <c r="I579" s="152"/>
      <c r="J579" s="152"/>
      <c r="K579" s="152"/>
      <c r="L579" s="152"/>
      <c r="M579" s="152"/>
      <c r="N579" s="152"/>
      <c r="O579" s="152"/>
      <c r="P579" s="152"/>
      <c r="Q579" s="152"/>
      <c r="R579" s="152"/>
    </row>
    <row r="580">
      <c r="A580" s="152"/>
      <c r="B580" s="152"/>
      <c r="C580" s="152"/>
      <c r="D580" s="152"/>
      <c r="E580" s="152"/>
      <c r="F580" s="195"/>
      <c r="G580" s="152"/>
      <c r="H580" s="152"/>
      <c r="I580" s="152"/>
      <c r="J580" s="152"/>
      <c r="K580" s="152"/>
      <c r="L580" s="152"/>
      <c r="M580" s="152"/>
      <c r="N580" s="152"/>
      <c r="O580" s="152"/>
      <c r="P580" s="152"/>
      <c r="Q580" s="152"/>
      <c r="R580" s="152"/>
    </row>
    <row r="581">
      <c r="A581" s="152"/>
      <c r="B581" s="152"/>
      <c r="C581" s="152"/>
      <c r="D581" s="152"/>
      <c r="E581" s="152"/>
      <c r="F581" s="195"/>
      <c r="G581" s="152"/>
      <c r="H581" s="152"/>
      <c r="I581" s="152"/>
      <c r="J581" s="152"/>
      <c r="K581" s="152"/>
      <c r="L581" s="152"/>
      <c r="M581" s="152"/>
      <c r="N581" s="152"/>
      <c r="O581" s="152"/>
      <c r="P581" s="152"/>
      <c r="Q581" s="152"/>
      <c r="R581" s="152"/>
    </row>
    <row r="582">
      <c r="A582" s="152"/>
      <c r="B582" s="152"/>
      <c r="C582" s="152"/>
      <c r="D582" s="152"/>
      <c r="E582" s="152"/>
      <c r="F582" s="195"/>
      <c r="G582" s="152"/>
      <c r="H582" s="152"/>
      <c r="I582" s="152"/>
      <c r="J582" s="152"/>
      <c r="K582" s="152"/>
      <c r="L582" s="152"/>
      <c r="M582" s="152"/>
      <c r="N582" s="152"/>
      <c r="O582" s="152"/>
      <c r="P582" s="152"/>
      <c r="Q582" s="152"/>
      <c r="R582" s="152"/>
    </row>
    <row r="583">
      <c r="A583" s="152"/>
      <c r="B583" s="152"/>
      <c r="C583" s="152"/>
      <c r="D583" s="152"/>
      <c r="E583" s="152"/>
      <c r="F583" s="195"/>
      <c r="G583" s="152"/>
      <c r="H583" s="152"/>
      <c r="I583" s="152"/>
      <c r="J583" s="152"/>
      <c r="K583" s="152"/>
      <c r="L583" s="152"/>
      <c r="M583" s="152"/>
      <c r="N583" s="152"/>
      <c r="O583" s="152"/>
      <c r="P583" s="152"/>
      <c r="Q583" s="152"/>
      <c r="R583" s="152"/>
    </row>
    <row r="584">
      <c r="A584" s="152"/>
      <c r="B584" s="152"/>
      <c r="C584" s="152"/>
      <c r="D584" s="152"/>
      <c r="E584" s="152"/>
      <c r="F584" s="195"/>
      <c r="G584" s="152"/>
      <c r="H584" s="152"/>
      <c r="I584" s="152"/>
      <c r="J584" s="152"/>
      <c r="K584" s="152"/>
      <c r="L584" s="152"/>
      <c r="M584" s="152"/>
      <c r="N584" s="152"/>
      <c r="O584" s="152"/>
      <c r="P584" s="152"/>
      <c r="Q584" s="152"/>
      <c r="R584" s="152"/>
    </row>
    <row r="585">
      <c r="A585" s="152"/>
      <c r="B585" s="152"/>
      <c r="C585" s="152"/>
      <c r="D585" s="152"/>
      <c r="E585" s="152"/>
      <c r="F585" s="195"/>
      <c r="G585" s="152"/>
      <c r="H585" s="152"/>
      <c r="I585" s="152"/>
      <c r="J585" s="152"/>
      <c r="K585" s="152"/>
      <c r="L585" s="152"/>
      <c r="M585" s="152"/>
      <c r="N585" s="152"/>
      <c r="O585" s="152"/>
      <c r="P585" s="152"/>
      <c r="Q585" s="152"/>
      <c r="R585" s="152"/>
    </row>
    <row r="586">
      <c r="A586" s="152"/>
      <c r="B586" s="152"/>
      <c r="C586" s="152"/>
      <c r="D586" s="152"/>
      <c r="E586" s="152"/>
      <c r="F586" s="195"/>
      <c r="G586" s="152"/>
      <c r="H586" s="152"/>
      <c r="I586" s="152"/>
      <c r="J586" s="152"/>
      <c r="K586" s="152"/>
      <c r="L586" s="152"/>
      <c r="M586" s="152"/>
      <c r="N586" s="152"/>
      <c r="O586" s="152"/>
      <c r="P586" s="152"/>
      <c r="Q586" s="152"/>
      <c r="R586" s="152"/>
    </row>
    <row r="587">
      <c r="A587" s="152"/>
      <c r="B587" s="152"/>
      <c r="C587" s="152"/>
      <c r="D587" s="152"/>
      <c r="E587" s="152"/>
      <c r="F587" s="195"/>
      <c r="G587" s="152"/>
      <c r="H587" s="152"/>
      <c r="I587" s="152"/>
      <c r="J587" s="152"/>
      <c r="K587" s="152"/>
      <c r="L587" s="152"/>
      <c r="M587" s="152"/>
      <c r="N587" s="152"/>
      <c r="O587" s="152"/>
      <c r="P587" s="152"/>
      <c r="Q587" s="152"/>
      <c r="R587" s="152"/>
    </row>
    <row r="588">
      <c r="A588" s="152"/>
      <c r="B588" s="152"/>
      <c r="C588" s="152"/>
      <c r="D588" s="152"/>
      <c r="E588" s="152"/>
      <c r="F588" s="195"/>
      <c r="G588" s="152"/>
      <c r="H588" s="152"/>
      <c r="I588" s="152"/>
      <c r="J588" s="152"/>
      <c r="K588" s="152"/>
      <c r="L588" s="152"/>
      <c r="M588" s="152"/>
      <c r="N588" s="152"/>
      <c r="O588" s="152"/>
      <c r="P588" s="152"/>
      <c r="Q588" s="152"/>
      <c r="R588" s="152"/>
    </row>
    <row r="589">
      <c r="A589" s="152"/>
      <c r="B589" s="152"/>
      <c r="C589" s="152"/>
      <c r="D589" s="152"/>
      <c r="E589" s="152"/>
      <c r="F589" s="195"/>
      <c r="G589" s="152"/>
      <c r="H589" s="152"/>
      <c r="I589" s="152"/>
      <c r="J589" s="152"/>
      <c r="K589" s="152"/>
      <c r="L589" s="152"/>
      <c r="M589" s="152"/>
      <c r="N589" s="152"/>
      <c r="O589" s="152"/>
      <c r="P589" s="152"/>
      <c r="Q589" s="152"/>
      <c r="R589" s="152"/>
    </row>
    <row r="590">
      <c r="A590" s="152"/>
      <c r="B590" s="152"/>
      <c r="C590" s="152"/>
      <c r="D590" s="152"/>
      <c r="E590" s="152"/>
      <c r="F590" s="195"/>
      <c r="G590" s="152"/>
      <c r="H590" s="152"/>
      <c r="I590" s="152"/>
      <c r="J590" s="152"/>
      <c r="K590" s="152"/>
      <c r="L590" s="152"/>
      <c r="M590" s="152"/>
      <c r="N590" s="152"/>
      <c r="O590" s="152"/>
      <c r="P590" s="152"/>
      <c r="Q590" s="152"/>
      <c r="R590" s="152"/>
    </row>
    <row r="591">
      <c r="A591" s="152"/>
      <c r="B591" s="152"/>
      <c r="C591" s="152"/>
      <c r="D591" s="152"/>
      <c r="E591" s="152"/>
      <c r="F591" s="195"/>
      <c r="G591" s="152"/>
      <c r="H591" s="152"/>
      <c r="I591" s="152"/>
      <c r="J591" s="152"/>
      <c r="K591" s="152"/>
      <c r="L591" s="152"/>
      <c r="M591" s="152"/>
      <c r="N591" s="152"/>
      <c r="O591" s="152"/>
      <c r="P591" s="152"/>
      <c r="Q591" s="152"/>
      <c r="R591" s="152"/>
    </row>
    <row r="592">
      <c r="A592" s="152"/>
      <c r="B592" s="152"/>
      <c r="C592" s="152"/>
      <c r="D592" s="152"/>
      <c r="E592" s="152"/>
      <c r="F592" s="195"/>
      <c r="G592" s="152"/>
      <c r="H592" s="152"/>
      <c r="I592" s="152"/>
      <c r="J592" s="152"/>
      <c r="K592" s="152"/>
      <c r="L592" s="152"/>
      <c r="M592" s="152"/>
      <c r="N592" s="152"/>
      <c r="O592" s="152"/>
      <c r="P592" s="152"/>
      <c r="Q592" s="152"/>
      <c r="R592" s="152"/>
    </row>
    <row r="593">
      <c r="A593" s="152"/>
      <c r="B593" s="152"/>
      <c r="C593" s="152"/>
      <c r="D593" s="152"/>
      <c r="E593" s="152"/>
      <c r="F593" s="195"/>
      <c r="G593" s="152"/>
      <c r="H593" s="152"/>
      <c r="I593" s="152"/>
      <c r="J593" s="152"/>
      <c r="K593" s="152"/>
      <c r="L593" s="152"/>
      <c r="M593" s="152"/>
      <c r="N593" s="152"/>
      <c r="O593" s="152"/>
      <c r="P593" s="152"/>
      <c r="Q593" s="152"/>
      <c r="R593" s="152"/>
    </row>
    <row r="594">
      <c r="A594" s="152"/>
      <c r="B594" s="152"/>
      <c r="C594" s="152"/>
      <c r="D594" s="152"/>
      <c r="E594" s="152"/>
      <c r="F594" s="195"/>
      <c r="G594" s="152"/>
      <c r="H594" s="152"/>
      <c r="I594" s="152"/>
      <c r="J594" s="152"/>
      <c r="K594" s="152"/>
      <c r="L594" s="152"/>
      <c r="M594" s="152"/>
      <c r="N594" s="152"/>
      <c r="O594" s="152"/>
      <c r="P594" s="152"/>
      <c r="Q594" s="152"/>
      <c r="R594" s="152"/>
    </row>
    <row r="595">
      <c r="A595" s="152"/>
      <c r="B595" s="152"/>
      <c r="C595" s="152"/>
      <c r="D595" s="152"/>
      <c r="E595" s="152"/>
      <c r="F595" s="195"/>
      <c r="G595" s="152"/>
      <c r="H595" s="152"/>
      <c r="I595" s="152"/>
      <c r="J595" s="152"/>
      <c r="K595" s="152"/>
      <c r="L595" s="152"/>
      <c r="M595" s="152"/>
      <c r="N595" s="152"/>
      <c r="O595" s="152"/>
      <c r="P595" s="152"/>
      <c r="Q595" s="152"/>
      <c r="R595" s="152"/>
    </row>
    <row r="596">
      <c r="A596" s="152"/>
      <c r="B596" s="152"/>
      <c r="C596" s="152"/>
      <c r="D596" s="152"/>
      <c r="E596" s="152"/>
      <c r="F596" s="195"/>
      <c r="G596" s="152"/>
      <c r="H596" s="152"/>
      <c r="I596" s="152"/>
      <c r="J596" s="152"/>
      <c r="K596" s="152"/>
      <c r="L596" s="152"/>
      <c r="M596" s="152"/>
      <c r="N596" s="152"/>
      <c r="O596" s="152"/>
      <c r="P596" s="152"/>
      <c r="Q596" s="152"/>
      <c r="R596" s="152"/>
    </row>
    <row r="597">
      <c r="A597" s="152"/>
      <c r="B597" s="152"/>
      <c r="C597" s="152"/>
      <c r="D597" s="152"/>
      <c r="E597" s="152"/>
      <c r="F597" s="195"/>
      <c r="G597" s="152"/>
      <c r="H597" s="152"/>
      <c r="I597" s="152"/>
      <c r="J597" s="152"/>
      <c r="K597" s="152"/>
      <c r="L597" s="152"/>
      <c r="M597" s="152"/>
      <c r="N597" s="152"/>
      <c r="O597" s="152"/>
      <c r="P597" s="152"/>
      <c r="Q597" s="152"/>
      <c r="R597" s="152"/>
    </row>
    <row r="598">
      <c r="A598" s="152"/>
      <c r="B598" s="152"/>
      <c r="C598" s="152"/>
      <c r="D598" s="152"/>
      <c r="E598" s="152"/>
      <c r="F598" s="195"/>
      <c r="G598" s="152"/>
      <c r="H598" s="152"/>
      <c r="I598" s="152"/>
      <c r="J598" s="152"/>
      <c r="K598" s="152"/>
      <c r="L598" s="152"/>
      <c r="M598" s="152"/>
      <c r="N598" s="152"/>
      <c r="O598" s="152"/>
      <c r="P598" s="152"/>
      <c r="Q598" s="152"/>
      <c r="R598" s="152"/>
    </row>
    <row r="599">
      <c r="A599" s="152"/>
      <c r="B599" s="152"/>
      <c r="C599" s="152"/>
      <c r="D599" s="152"/>
      <c r="E599" s="152"/>
      <c r="F599" s="195"/>
      <c r="G599" s="152"/>
      <c r="H599" s="152"/>
      <c r="I599" s="152"/>
      <c r="J599" s="152"/>
      <c r="K599" s="152"/>
      <c r="L599" s="152"/>
      <c r="M599" s="152"/>
      <c r="N599" s="152"/>
      <c r="O599" s="152"/>
      <c r="P599" s="152"/>
      <c r="Q599" s="152"/>
      <c r="R599" s="152"/>
    </row>
    <row r="600">
      <c r="A600" s="152"/>
      <c r="B600" s="152"/>
      <c r="C600" s="152"/>
      <c r="D600" s="152"/>
      <c r="E600" s="152"/>
      <c r="F600" s="195"/>
      <c r="G600" s="152"/>
      <c r="H600" s="152"/>
      <c r="I600" s="152"/>
      <c r="J600" s="152"/>
      <c r="K600" s="152"/>
      <c r="L600" s="152"/>
      <c r="M600" s="152"/>
      <c r="N600" s="152"/>
      <c r="O600" s="152"/>
      <c r="P600" s="152"/>
      <c r="Q600" s="152"/>
      <c r="R600" s="152"/>
    </row>
    <row r="601">
      <c r="A601" s="152"/>
      <c r="B601" s="152"/>
      <c r="C601" s="152"/>
      <c r="D601" s="152"/>
      <c r="E601" s="152"/>
      <c r="F601" s="195"/>
      <c r="G601" s="152"/>
      <c r="H601" s="152"/>
      <c r="I601" s="152"/>
      <c r="J601" s="152"/>
      <c r="K601" s="152"/>
      <c r="L601" s="152"/>
      <c r="M601" s="152"/>
      <c r="N601" s="152"/>
      <c r="O601" s="152"/>
      <c r="P601" s="152"/>
      <c r="Q601" s="152"/>
      <c r="R601" s="152"/>
    </row>
    <row r="602">
      <c r="A602" s="152"/>
      <c r="B602" s="152"/>
      <c r="C602" s="152"/>
      <c r="D602" s="152"/>
      <c r="E602" s="152"/>
      <c r="F602" s="195"/>
      <c r="G602" s="152"/>
      <c r="H602" s="152"/>
      <c r="I602" s="152"/>
      <c r="J602" s="152"/>
      <c r="K602" s="152"/>
      <c r="L602" s="152"/>
      <c r="M602" s="152"/>
      <c r="N602" s="152"/>
      <c r="O602" s="152"/>
      <c r="P602" s="152"/>
      <c r="Q602" s="152"/>
      <c r="R602" s="152"/>
    </row>
    <row r="603">
      <c r="A603" s="152"/>
      <c r="B603" s="152"/>
      <c r="C603" s="152"/>
      <c r="D603" s="152"/>
      <c r="E603" s="152"/>
      <c r="F603" s="195"/>
      <c r="G603" s="152"/>
      <c r="H603" s="152"/>
      <c r="I603" s="152"/>
      <c r="J603" s="152"/>
      <c r="K603" s="152"/>
      <c r="L603" s="152"/>
      <c r="M603" s="152"/>
      <c r="N603" s="152"/>
      <c r="O603" s="152"/>
      <c r="P603" s="152"/>
      <c r="Q603" s="152"/>
      <c r="R603" s="152"/>
    </row>
    <row r="604">
      <c r="A604" s="152"/>
      <c r="B604" s="152"/>
      <c r="C604" s="152"/>
      <c r="D604" s="152"/>
      <c r="E604" s="152"/>
      <c r="F604" s="195"/>
      <c r="G604" s="152"/>
      <c r="H604" s="152"/>
      <c r="I604" s="152"/>
      <c r="J604" s="152"/>
      <c r="K604" s="152"/>
      <c r="L604" s="152"/>
      <c r="M604" s="152"/>
      <c r="N604" s="152"/>
      <c r="O604" s="152"/>
      <c r="P604" s="152"/>
      <c r="Q604" s="152"/>
      <c r="R604" s="152"/>
    </row>
    <row r="605">
      <c r="A605" s="152"/>
      <c r="B605" s="152"/>
      <c r="C605" s="152"/>
      <c r="D605" s="152"/>
      <c r="E605" s="152"/>
      <c r="F605" s="195"/>
      <c r="G605" s="152"/>
      <c r="H605" s="152"/>
      <c r="I605" s="152"/>
      <c r="J605" s="152"/>
      <c r="K605" s="152"/>
      <c r="L605" s="152"/>
      <c r="M605" s="152"/>
      <c r="N605" s="152"/>
      <c r="O605" s="152"/>
      <c r="P605" s="152"/>
      <c r="Q605" s="152"/>
      <c r="R605" s="152"/>
    </row>
    <row r="606">
      <c r="A606" s="152"/>
      <c r="B606" s="152"/>
      <c r="C606" s="152"/>
      <c r="D606" s="152"/>
      <c r="E606" s="152"/>
      <c r="F606" s="195"/>
      <c r="G606" s="152"/>
      <c r="H606" s="152"/>
      <c r="I606" s="152"/>
      <c r="J606" s="152"/>
      <c r="K606" s="152"/>
      <c r="L606" s="152"/>
      <c r="M606" s="152"/>
      <c r="N606" s="152"/>
      <c r="O606" s="152"/>
      <c r="P606" s="152"/>
      <c r="Q606" s="152"/>
      <c r="R606" s="152"/>
    </row>
    <row r="607">
      <c r="A607" s="152"/>
      <c r="B607" s="152"/>
      <c r="C607" s="152"/>
      <c r="D607" s="152"/>
      <c r="E607" s="152"/>
      <c r="F607" s="195"/>
      <c r="G607" s="152"/>
      <c r="H607" s="152"/>
      <c r="I607" s="152"/>
      <c r="J607" s="152"/>
      <c r="K607" s="152"/>
      <c r="L607" s="152"/>
      <c r="M607" s="152"/>
      <c r="N607" s="152"/>
      <c r="O607" s="152"/>
      <c r="P607" s="152"/>
      <c r="Q607" s="152"/>
      <c r="R607" s="152"/>
    </row>
    <row r="608">
      <c r="A608" s="152"/>
      <c r="B608" s="152"/>
      <c r="C608" s="152"/>
      <c r="D608" s="152"/>
      <c r="E608" s="152"/>
      <c r="F608" s="195"/>
      <c r="G608" s="152"/>
      <c r="H608" s="152"/>
      <c r="I608" s="152"/>
      <c r="J608" s="152"/>
      <c r="K608" s="152"/>
      <c r="L608" s="152"/>
      <c r="M608" s="152"/>
      <c r="N608" s="152"/>
      <c r="O608" s="152"/>
      <c r="P608" s="152"/>
      <c r="Q608" s="152"/>
      <c r="R608" s="152"/>
    </row>
    <row r="609">
      <c r="A609" s="152"/>
      <c r="B609" s="152"/>
      <c r="C609" s="152"/>
      <c r="D609" s="152"/>
      <c r="E609" s="152"/>
      <c r="F609" s="195"/>
      <c r="G609" s="152"/>
      <c r="H609" s="152"/>
      <c r="I609" s="152"/>
      <c r="J609" s="152"/>
      <c r="K609" s="152"/>
      <c r="L609" s="152"/>
      <c r="M609" s="152"/>
      <c r="N609" s="152"/>
      <c r="O609" s="152"/>
      <c r="P609" s="152"/>
      <c r="Q609" s="152"/>
      <c r="R609" s="152"/>
    </row>
    <row r="610">
      <c r="A610" s="152"/>
      <c r="B610" s="152"/>
      <c r="C610" s="152"/>
      <c r="D610" s="152"/>
      <c r="E610" s="152"/>
      <c r="F610" s="195"/>
      <c r="G610" s="152"/>
      <c r="H610" s="152"/>
      <c r="I610" s="152"/>
      <c r="J610" s="152"/>
      <c r="K610" s="152"/>
      <c r="L610" s="152"/>
      <c r="M610" s="152"/>
      <c r="N610" s="152"/>
      <c r="O610" s="152"/>
      <c r="P610" s="152"/>
      <c r="Q610" s="152"/>
      <c r="R610" s="152"/>
    </row>
    <row r="611">
      <c r="A611" s="152"/>
      <c r="B611" s="152"/>
      <c r="C611" s="152"/>
      <c r="D611" s="152"/>
      <c r="E611" s="152"/>
      <c r="F611" s="195"/>
      <c r="G611" s="152"/>
      <c r="H611" s="152"/>
      <c r="I611" s="152"/>
      <c r="J611" s="152"/>
      <c r="K611" s="152"/>
      <c r="L611" s="152"/>
      <c r="M611" s="152"/>
      <c r="N611" s="152"/>
      <c r="O611" s="152"/>
      <c r="P611" s="152"/>
      <c r="Q611" s="152"/>
      <c r="R611" s="152"/>
    </row>
    <row r="612">
      <c r="A612" s="152"/>
      <c r="B612" s="152"/>
      <c r="C612" s="152"/>
      <c r="D612" s="152"/>
      <c r="E612" s="152"/>
      <c r="F612" s="195"/>
      <c r="G612" s="152"/>
      <c r="H612" s="152"/>
      <c r="I612" s="152"/>
      <c r="J612" s="152"/>
      <c r="K612" s="152"/>
      <c r="L612" s="152"/>
      <c r="M612" s="152"/>
      <c r="N612" s="152"/>
      <c r="O612" s="152"/>
      <c r="P612" s="152"/>
      <c r="Q612" s="152"/>
      <c r="R612" s="152"/>
    </row>
    <row r="613">
      <c r="A613" s="152"/>
      <c r="B613" s="152"/>
      <c r="C613" s="152"/>
      <c r="D613" s="152"/>
      <c r="E613" s="152"/>
      <c r="F613" s="195"/>
      <c r="G613" s="152"/>
      <c r="H613" s="152"/>
      <c r="I613" s="152"/>
      <c r="J613" s="152"/>
      <c r="K613" s="152"/>
      <c r="L613" s="152"/>
      <c r="M613" s="152"/>
      <c r="N613" s="152"/>
      <c r="O613" s="152"/>
      <c r="P613" s="152"/>
      <c r="Q613" s="152"/>
      <c r="R613" s="152"/>
    </row>
    <row r="614">
      <c r="A614" s="152"/>
      <c r="B614" s="152"/>
      <c r="C614" s="152"/>
      <c r="D614" s="152"/>
      <c r="E614" s="152"/>
      <c r="F614" s="195"/>
      <c r="G614" s="152"/>
      <c r="H614" s="152"/>
      <c r="I614" s="152"/>
      <c r="J614" s="152"/>
      <c r="K614" s="152"/>
      <c r="L614" s="152"/>
      <c r="M614" s="152"/>
      <c r="N614" s="152"/>
      <c r="O614" s="152"/>
      <c r="P614" s="152"/>
      <c r="Q614" s="152"/>
      <c r="R614" s="152"/>
    </row>
    <row r="615">
      <c r="A615" s="152"/>
      <c r="B615" s="152"/>
      <c r="C615" s="152"/>
      <c r="D615" s="152"/>
      <c r="E615" s="152"/>
      <c r="F615" s="195"/>
      <c r="G615" s="152"/>
      <c r="H615" s="152"/>
      <c r="I615" s="152"/>
      <c r="J615" s="152"/>
      <c r="K615" s="152"/>
      <c r="L615" s="152"/>
      <c r="M615" s="152"/>
      <c r="N615" s="152"/>
      <c r="O615" s="152"/>
      <c r="P615" s="152"/>
      <c r="Q615" s="152"/>
      <c r="R615" s="152"/>
    </row>
    <row r="616">
      <c r="A616" s="152"/>
      <c r="B616" s="152"/>
      <c r="C616" s="152"/>
      <c r="D616" s="152"/>
      <c r="E616" s="152"/>
      <c r="F616" s="195"/>
      <c r="G616" s="152"/>
      <c r="H616" s="152"/>
      <c r="I616" s="152"/>
      <c r="J616" s="152"/>
      <c r="K616" s="152"/>
      <c r="L616" s="152"/>
      <c r="M616" s="152"/>
      <c r="N616" s="152"/>
      <c r="O616" s="152"/>
      <c r="P616" s="152"/>
      <c r="Q616" s="152"/>
      <c r="R616" s="152"/>
    </row>
    <row r="617">
      <c r="A617" s="152"/>
      <c r="B617" s="152"/>
      <c r="C617" s="152"/>
      <c r="D617" s="152"/>
      <c r="E617" s="152"/>
      <c r="F617" s="195"/>
      <c r="G617" s="152"/>
      <c r="H617" s="152"/>
      <c r="I617" s="152"/>
      <c r="J617" s="152"/>
      <c r="K617" s="152"/>
      <c r="L617" s="152"/>
      <c r="M617" s="152"/>
      <c r="N617" s="152"/>
      <c r="O617" s="152"/>
      <c r="P617" s="152"/>
      <c r="Q617" s="152"/>
      <c r="R617" s="152"/>
    </row>
    <row r="618">
      <c r="A618" s="152"/>
      <c r="B618" s="152"/>
      <c r="C618" s="152"/>
      <c r="D618" s="152"/>
      <c r="E618" s="152"/>
      <c r="F618" s="195"/>
      <c r="G618" s="152"/>
      <c r="H618" s="152"/>
      <c r="I618" s="152"/>
      <c r="J618" s="152"/>
      <c r="K618" s="152"/>
      <c r="L618" s="152"/>
      <c r="M618" s="152"/>
      <c r="N618" s="152"/>
      <c r="O618" s="152"/>
      <c r="P618" s="152"/>
      <c r="Q618" s="152"/>
      <c r="R618" s="152"/>
    </row>
    <row r="619">
      <c r="A619" s="152"/>
      <c r="B619" s="152"/>
      <c r="C619" s="152"/>
      <c r="D619" s="152"/>
      <c r="E619" s="152"/>
      <c r="F619" s="195"/>
      <c r="G619" s="152"/>
      <c r="H619" s="152"/>
      <c r="I619" s="152"/>
      <c r="J619" s="152"/>
      <c r="K619" s="152"/>
      <c r="L619" s="152"/>
      <c r="M619" s="152"/>
      <c r="N619" s="152"/>
      <c r="O619" s="152"/>
      <c r="P619" s="152"/>
      <c r="Q619" s="152"/>
      <c r="R619" s="152"/>
    </row>
    <row r="620">
      <c r="A620" s="152"/>
      <c r="B620" s="152"/>
      <c r="C620" s="152"/>
      <c r="D620" s="152"/>
      <c r="E620" s="152"/>
      <c r="F620" s="195"/>
      <c r="G620" s="152"/>
      <c r="H620" s="152"/>
      <c r="I620" s="152"/>
      <c r="J620" s="152"/>
      <c r="K620" s="152"/>
      <c r="L620" s="152"/>
      <c r="M620" s="152"/>
      <c r="N620" s="152"/>
      <c r="O620" s="152"/>
      <c r="P620" s="152"/>
      <c r="Q620" s="152"/>
      <c r="R620" s="152"/>
    </row>
    <row r="621">
      <c r="A621" s="152"/>
      <c r="B621" s="152"/>
      <c r="C621" s="152"/>
      <c r="D621" s="152"/>
      <c r="E621" s="152"/>
      <c r="F621" s="195"/>
      <c r="G621" s="152"/>
      <c r="H621" s="152"/>
      <c r="I621" s="152"/>
      <c r="J621" s="152"/>
      <c r="K621" s="152"/>
      <c r="L621" s="152"/>
      <c r="M621" s="152"/>
      <c r="N621" s="152"/>
      <c r="O621" s="152"/>
      <c r="P621" s="152"/>
      <c r="Q621" s="152"/>
      <c r="R621" s="152"/>
    </row>
    <row r="622">
      <c r="A622" s="152"/>
      <c r="B622" s="152"/>
      <c r="C622" s="152"/>
      <c r="D622" s="152"/>
      <c r="E622" s="152"/>
      <c r="F622" s="195"/>
      <c r="G622" s="152"/>
      <c r="H622" s="152"/>
      <c r="I622" s="152"/>
      <c r="J622" s="152"/>
      <c r="K622" s="152"/>
      <c r="L622" s="152"/>
      <c r="M622" s="152"/>
      <c r="N622" s="152"/>
      <c r="O622" s="152"/>
      <c r="P622" s="152"/>
      <c r="Q622" s="152"/>
      <c r="R622" s="152"/>
    </row>
    <row r="623">
      <c r="A623" s="152"/>
      <c r="B623" s="152"/>
      <c r="C623" s="152"/>
      <c r="D623" s="152"/>
      <c r="E623" s="152"/>
      <c r="F623" s="195"/>
      <c r="G623" s="152"/>
      <c r="H623" s="152"/>
      <c r="I623" s="152"/>
      <c r="J623" s="152"/>
      <c r="K623" s="152"/>
      <c r="L623" s="152"/>
      <c r="M623" s="152"/>
      <c r="N623" s="152"/>
      <c r="O623" s="152"/>
      <c r="P623" s="152"/>
      <c r="Q623" s="152"/>
      <c r="R623" s="152"/>
    </row>
    <row r="624">
      <c r="A624" s="152"/>
      <c r="B624" s="152"/>
      <c r="C624" s="152"/>
      <c r="D624" s="152"/>
      <c r="E624" s="152"/>
      <c r="F624" s="195"/>
      <c r="G624" s="152"/>
      <c r="H624" s="152"/>
      <c r="I624" s="152"/>
      <c r="J624" s="152"/>
      <c r="K624" s="152"/>
      <c r="L624" s="152"/>
      <c r="M624" s="152"/>
      <c r="N624" s="152"/>
      <c r="O624" s="152"/>
      <c r="P624" s="152"/>
      <c r="Q624" s="152"/>
      <c r="R624" s="152"/>
    </row>
    <row r="625">
      <c r="A625" s="152"/>
      <c r="B625" s="152"/>
      <c r="C625" s="152"/>
      <c r="D625" s="152"/>
      <c r="E625" s="152"/>
      <c r="F625" s="195"/>
      <c r="G625" s="152"/>
      <c r="H625" s="152"/>
      <c r="I625" s="152"/>
      <c r="J625" s="152"/>
      <c r="K625" s="152"/>
      <c r="L625" s="152"/>
      <c r="M625" s="152"/>
      <c r="N625" s="152"/>
      <c r="O625" s="152"/>
      <c r="P625" s="152"/>
      <c r="Q625" s="152"/>
      <c r="R625" s="152"/>
    </row>
    <row r="626">
      <c r="A626" s="152"/>
      <c r="B626" s="152"/>
      <c r="C626" s="152"/>
      <c r="D626" s="152"/>
      <c r="E626" s="152"/>
      <c r="F626" s="195"/>
      <c r="G626" s="152"/>
      <c r="H626" s="152"/>
      <c r="I626" s="152"/>
      <c r="J626" s="152"/>
      <c r="K626" s="152"/>
      <c r="L626" s="152"/>
      <c r="M626" s="152"/>
      <c r="N626" s="152"/>
      <c r="O626" s="152"/>
      <c r="P626" s="152"/>
      <c r="Q626" s="152"/>
      <c r="R626" s="152"/>
    </row>
    <row r="627">
      <c r="A627" s="152"/>
      <c r="B627" s="152"/>
      <c r="C627" s="152"/>
      <c r="D627" s="152"/>
      <c r="E627" s="152"/>
      <c r="F627" s="195"/>
      <c r="G627" s="152"/>
      <c r="H627" s="152"/>
      <c r="I627" s="152"/>
      <c r="J627" s="152"/>
      <c r="K627" s="152"/>
      <c r="L627" s="152"/>
      <c r="M627" s="152"/>
      <c r="N627" s="152"/>
      <c r="O627" s="152"/>
      <c r="P627" s="152"/>
      <c r="Q627" s="152"/>
      <c r="R627" s="152"/>
    </row>
    <row r="628">
      <c r="A628" s="152"/>
      <c r="B628" s="152"/>
      <c r="C628" s="152"/>
      <c r="D628" s="152"/>
      <c r="E628" s="152"/>
      <c r="F628" s="195"/>
      <c r="G628" s="152"/>
      <c r="H628" s="152"/>
      <c r="I628" s="152"/>
      <c r="J628" s="152"/>
      <c r="K628" s="152"/>
      <c r="L628" s="152"/>
      <c r="M628" s="152"/>
      <c r="N628" s="152"/>
      <c r="O628" s="152"/>
      <c r="P628" s="152"/>
      <c r="Q628" s="152"/>
      <c r="R628" s="152"/>
    </row>
    <row r="629">
      <c r="A629" s="152"/>
      <c r="B629" s="152"/>
      <c r="C629" s="152"/>
      <c r="D629" s="152"/>
      <c r="E629" s="152"/>
      <c r="F629" s="195"/>
      <c r="G629" s="152"/>
      <c r="H629" s="152"/>
      <c r="I629" s="152"/>
      <c r="J629" s="152"/>
      <c r="K629" s="152"/>
      <c r="L629" s="152"/>
      <c r="M629" s="152"/>
      <c r="N629" s="152"/>
      <c r="O629" s="152"/>
      <c r="P629" s="152"/>
      <c r="Q629" s="152"/>
      <c r="R629" s="152"/>
    </row>
    <row r="630">
      <c r="A630" s="152"/>
      <c r="B630" s="152"/>
      <c r="C630" s="152"/>
      <c r="D630" s="152"/>
      <c r="E630" s="152"/>
      <c r="F630" s="195"/>
      <c r="G630" s="152"/>
      <c r="H630" s="152"/>
      <c r="I630" s="152"/>
      <c r="J630" s="152"/>
      <c r="K630" s="152"/>
      <c r="L630" s="152"/>
      <c r="M630" s="152"/>
      <c r="N630" s="152"/>
      <c r="O630" s="152"/>
      <c r="P630" s="152"/>
      <c r="Q630" s="152"/>
      <c r="R630" s="152"/>
    </row>
    <row r="631">
      <c r="A631" s="152"/>
      <c r="B631" s="152"/>
      <c r="C631" s="152"/>
      <c r="D631" s="152"/>
      <c r="E631" s="152"/>
      <c r="F631" s="195"/>
      <c r="G631" s="152"/>
      <c r="H631" s="152"/>
      <c r="I631" s="152"/>
      <c r="J631" s="152"/>
      <c r="K631" s="152"/>
      <c r="L631" s="152"/>
      <c r="M631" s="152"/>
      <c r="N631" s="152"/>
      <c r="O631" s="152"/>
      <c r="P631" s="152"/>
      <c r="Q631" s="152"/>
      <c r="R631" s="152"/>
    </row>
    <row r="632">
      <c r="A632" s="152"/>
      <c r="B632" s="152"/>
      <c r="C632" s="152"/>
      <c r="D632" s="152"/>
      <c r="E632" s="152"/>
      <c r="F632" s="195"/>
      <c r="G632" s="152"/>
      <c r="H632" s="152"/>
      <c r="I632" s="152"/>
      <c r="J632" s="152"/>
      <c r="K632" s="152"/>
      <c r="L632" s="152"/>
      <c r="M632" s="152"/>
      <c r="N632" s="152"/>
      <c r="O632" s="152"/>
      <c r="P632" s="152"/>
      <c r="Q632" s="152"/>
      <c r="R632" s="152"/>
    </row>
    <row r="633">
      <c r="A633" s="152"/>
      <c r="B633" s="152"/>
      <c r="C633" s="152"/>
      <c r="D633" s="152"/>
      <c r="E633" s="152"/>
      <c r="F633" s="195"/>
      <c r="G633" s="152"/>
      <c r="H633" s="152"/>
      <c r="I633" s="152"/>
      <c r="J633" s="152"/>
      <c r="K633" s="152"/>
      <c r="L633" s="152"/>
      <c r="M633" s="152"/>
      <c r="N633" s="152"/>
      <c r="O633" s="152"/>
      <c r="P633" s="152"/>
      <c r="Q633" s="152"/>
      <c r="R633" s="152"/>
    </row>
    <row r="634">
      <c r="A634" s="152"/>
      <c r="B634" s="152"/>
      <c r="C634" s="152"/>
      <c r="D634" s="152"/>
      <c r="E634" s="152"/>
      <c r="F634" s="195"/>
      <c r="G634" s="152"/>
      <c r="H634" s="152"/>
      <c r="I634" s="152"/>
      <c r="J634" s="152"/>
      <c r="K634" s="152"/>
      <c r="L634" s="152"/>
      <c r="M634" s="152"/>
      <c r="N634" s="152"/>
      <c r="O634" s="152"/>
      <c r="P634" s="152"/>
      <c r="Q634" s="152"/>
      <c r="R634" s="152"/>
    </row>
    <row r="635">
      <c r="A635" s="152"/>
      <c r="B635" s="152"/>
      <c r="C635" s="152"/>
      <c r="D635" s="152"/>
      <c r="E635" s="152"/>
      <c r="F635" s="195"/>
      <c r="G635" s="152"/>
      <c r="H635" s="152"/>
      <c r="I635" s="152"/>
      <c r="J635" s="152"/>
      <c r="K635" s="152"/>
      <c r="L635" s="152"/>
      <c r="M635" s="152"/>
      <c r="N635" s="152"/>
      <c r="O635" s="152"/>
      <c r="P635" s="152"/>
      <c r="Q635" s="152"/>
      <c r="R635" s="152"/>
    </row>
    <row r="636">
      <c r="A636" s="152"/>
      <c r="B636" s="152"/>
      <c r="C636" s="152"/>
      <c r="D636" s="152"/>
      <c r="E636" s="152"/>
      <c r="F636" s="195"/>
      <c r="G636" s="152"/>
      <c r="H636" s="152"/>
      <c r="I636" s="152"/>
      <c r="J636" s="152"/>
      <c r="K636" s="152"/>
      <c r="L636" s="152"/>
      <c r="M636" s="152"/>
      <c r="N636" s="152"/>
      <c r="O636" s="152"/>
      <c r="P636" s="152"/>
      <c r="Q636" s="152"/>
      <c r="R636" s="152"/>
    </row>
    <row r="637">
      <c r="A637" s="152"/>
      <c r="B637" s="152"/>
      <c r="C637" s="152"/>
      <c r="D637" s="152"/>
      <c r="E637" s="152"/>
      <c r="F637" s="195"/>
      <c r="G637" s="152"/>
      <c r="H637" s="152"/>
      <c r="I637" s="152"/>
      <c r="J637" s="152"/>
      <c r="K637" s="152"/>
      <c r="L637" s="152"/>
      <c r="M637" s="152"/>
      <c r="N637" s="152"/>
      <c r="O637" s="152"/>
      <c r="P637" s="152"/>
      <c r="Q637" s="152"/>
      <c r="R637" s="152"/>
    </row>
    <row r="638">
      <c r="A638" s="152"/>
      <c r="B638" s="152"/>
      <c r="C638" s="152"/>
      <c r="D638" s="152"/>
      <c r="E638" s="152"/>
      <c r="F638" s="195"/>
      <c r="G638" s="152"/>
      <c r="H638" s="152"/>
      <c r="I638" s="152"/>
      <c r="J638" s="152"/>
      <c r="K638" s="152"/>
      <c r="L638" s="152"/>
      <c r="M638" s="152"/>
      <c r="N638" s="152"/>
      <c r="O638" s="152"/>
      <c r="P638" s="152"/>
      <c r="Q638" s="152"/>
      <c r="R638" s="152"/>
    </row>
    <row r="639">
      <c r="A639" s="152"/>
      <c r="B639" s="152"/>
      <c r="C639" s="152"/>
      <c r="D639" s="152"/>
      <c r="E639" s="152"/>
      <c r="F639" s="195"/>
      <c r="G639" s="152"/>
      <c r="H639" s="152"/>
      <c r="I639" s="152"/>
      <c r="J639" s="152"/>
      <c r="K639" s="152"/>
      <c r="L639" s="152"/>
      <c r="M639" s="152"/>
      <c r="N639" s="152"/>
      <c r="O639" s="152"/>
      <c r="P639" s="152"/>
      <c r="Q639" s="152"/>
      <c r="R639" s="152"/>
    </row>
    <row r="640">
      <c r="A640" s="152"/>
      <c r="B640" s="152"/>
      <c r="C640" s="152"/>
      <c r="D640" s="152"/>
      <c r="E640" s="152"/>
      <c r="F640" s="195"/>
      <c r="G640" s="152"/>
      <c r="H640" s="152"/>
      <c r="I640" s="152"/>
      <c r="J640" s="152"/>
      <c r="K640" s="152"/>
      <c r="L640" s="152"/>
      <c r="M640" s="152"/>
      <c r="N640" s="152"/>
      <c r="O640" s="152"/>
      <c r="P640" s="152"/>
      <c r="Q640" s="152"/>
      <c r="R640" s="152"/>
    </row>
    <row r="641">
      <c r="A641" s="152"/>
      <c r="B641" s="152"/>
      <c r="C641" s="152"/>
      <c r="D641" s="152"/>
      <c r="E641" s="152"/>
      <c r="F641" s="195"/>
      <c r="G641" s="152"/>
      <c r="H641" s="152"/>
      <c r="I641" s="152"/>
      <c r="J641" s="152"/>
      <c r="K641" s="152"/>
      <c r="L641" s="152"/>
      <c r="M641" s="152"/>
      <c r="N641" s="152"/>
      <c r="O641" s="152"/>
      <c r="P641" s="152"/>
      <c r="Q641" s="152"/>
      <c r="R641" s="152"/>
    </row>
    <row r="642">
      <c r="A642" s="152"/>
      <c r="B642" s="152"/>
      <c r="C642" s="152"/>
      <c r="D642" s="152"/>
      <c r="E642" s="152"/>
      <c r="F642" s="195"/>
      <c r="G642" s="152"/>
      <c r="H642" s="152"/>
      <c r="I642" s="152"/>
      <c r="J642" s="152"/>
      <c r="K642" s="152"/>
      <c r="L642" s="152"/>
      <c r="M642" s="152"/>
      <c r="N642" s="152"/>
      <c r="O642" s="152"/>
      <c r="P642" s="152"/>
      <c r="Q642" s="152"/>
      <c r="R642" s="152"/>
    </row>
    <row r="643">
      <c r="A643" s="152"/>
      <c r="B643" s="152"/>
      <c r="C643" s="152"/>
      <c r="D643" s="152"/>
      <c r="E643" s="152"/>
      <c r="F643" s="195"/>
      <c r="G643" s="152"/>
      <c r="H643" s="152"/>
      <c r="I643" s="152"/>
      <c r="J643" s="152"/>
      <c r="K643" s="152"/>
      <c r="L643" s="152"/>
      <c r="M643" s="152"/>
      <c r="N643" s="152"/>
      <c r="O643" s="152"/>
      <c r="P643" s="152"/>
      <c r="Q643" s="152"/>
      <c r="R643" s="152"/>
    </row>
    <row r="644">
      <c r="A644" s="152"/>
      <c r="B644" s="152"/>
      <c r="C644" s="152"/>
      <c r="D644" s="152"/>
      <c r="E644" s="152"/>
      <c r="F644" s="195"/>
      <c r="G644" s="152"/>
      <c r="H644" s="152"/>
      <c r="I644" s="152"/>
      <c r="J644" s="152"/>
      <c r="K644" s="152"/>
      <c r="L644" s="152"/>
      <c r="M644" s="152"/>
      <c r="N644" s="152"/>
      <c r="O644" s="152"/>
      <c r="P644" s="152"/>
      <c r="Q644" s="152"/>
      <c r="R644" s="152"/>
    </row>
    <row r="645">
      <c r="A645" s="152"/>
      <c r="B645" s="152"/>
      <c r="C645" s="152"/>
      <c r="D645" s="152"/>
      <c r="E645" s="152"/>
      <c r="F645" s="195"/>
      <c r="G645" s="152"/>
      <c r="H645" s="152"/>
      <c r="I645" s="152"/>
      <c r="J645" s="152"/>
      <c r="K645" s="152"/>
      <c r="L645" s="152"/>
      <c r="M645" s="152"/>
      <c r="N645" s="152"/>
      <c r="O645" s="152"/>
      <c r="P645" s="152"/>
      <c r="Q645" s="152"/>
      <c r="R645" s="152"/>
    </row>
    <row r="646">
      <c r="A646" s="152"/>
      <c r="B646" s="152"/>
      <c r="C646" s="152"/>
      <c r="D646" s="152"/>
      <c r="E646" s="152"/>
      <c r="F646" s="195"/>
      <c r="G646" s="152"/>
      <c r="H646" s="152"/>
      <c r="I646" s="152"/>
      <c r="J646" s="152"/>
      <c r="K646" s="152"/>
      <c r="L646" s="152"/>
      <c r="M646" s="152"/>
      <c r="N646" s="152"/>
      <c r="O646" s="152"/>
      <c r="P646" s="152"/>
      <c r="Q646" s="152"/>
      <c r="R646" s="152"/>
    </row>
    <row r="647">
      <c r="A647" s="152"/>
      <c r="B647" s="152"/>
      <c r="C647" s="152"/>
      <c r="D647" s="152"/>
      <c r="E647" s="152"/>
      <c r="F647" s="195"/>
      <c r="G647" s="152"/>
      <c r="H647" s="152"/>
      <c r="I647" s="152"/>
      <c r="J647" s="152"/>
      <c r="K647" s="152"/>
      <c r="L647" s="152"/>
      <c r="M647" s="152"/>
      <c r="N647" s="152"/>
      <c r="O647" s="152"/>
      <c r="P647" s="152"/>
      <c r="Q647" s="152"/>
      <c r="R647" s="152"/>
    </row>
    <row r="648">
      <c r="A648" s="152"/>
      <c r="B648" s="152"/>
      <c r="C648" s="152"/>
      <c r="D648" s="152"/>
      <c r="E648" s="152"/>
      <c r="F648" s="195"/>
      <c r="G648" s="152"/>
      <c r="H648" s="152"/>
      <c r="I648" s="152"/>
      <c r="J648" s="152"/>
      <c r="K648" s="152"/>
      <c r="L648" s="152"/>
      <c r="M648" s="152"/>
      <c r="N648" s="152"/>
      <c r="O648" s="152"/>
      <c r="P648" s="152"/>
      <c r="Q648" s="152"/>
      <c r="R648" s="152"/>
    </row>
    <row r="649">
      <c r="A649" s="152"/>
      <c r="B649" s="152"/>
      <c r="C649" s="152"/>
      <c r="D649" s="152"/>
      <c r="E649" s="152"/>
      <c r="F649" s="195"/>
      <c r="G649" s="152"/>
      <c r="H649" s="152"/>
      <c r="I649" s="152"/>
      <c r="J649" s="152"/>
      <c r="K649" s="152"/>
      <c r="L649" s="152"/>
      <c r="M649" s="152"/>
      <c r="N649" s="152"/>
      <c r="O649" s="152"/>
      <c r="P649" s="152"/>
      <c r="Q649" s="152"/>
      <c r="R649" s="152"/>
    </row>
    <row r="650">
      <c r="A650" s="152"/>
      <c r="B650" s="152"/>
      <c r="C650" s="152"/>
      <c r="D650" s="152"/>
      <c r="E650" s="152"/>
      <c r="F650" s="195"/>
      <c r="G650" s="152"/>
      <c r="H650" s="152"/>
      <c r="I650" s="152"/>
      <c r="J650" s="152"/>
      <c r="K650" s="152"/>
      <c r="L650" s="152"/>
      <c r="M650" s="152"/>
      <c r="N650" s="152"/>
      <c r="O650" s="152"/>
      <c r="P650" s="152"/>
      <c r="Q650" s="152"/>
      <c r="R650" s="152"/>
    </row>
    <row r="651">
      <c r="A651" s="152"/>
      <c r="B651" s="152"/>
      <c r="C651" s="152"/>
      <c r="D651" s="152"/>
      <c r="E651" s="152"/>
      <c r="F651" s="195"/>
      <c r="G651" s="152"/>
      <c r="H651" s="152"/>
      <c r="I651" s="152"/>
      <c r="J651" s="152"/>
      <c r="K651" s="152"/>
      <c r="L651" s="152"/>
      <c r="M651" s="152"/>
      <c r="N651" s="152"/>
      <c r="O651" s="152"/>
      <c r="P651" s="152"/>
      <c r="Q651" s="152"/>
      <c r="R651" s="152"/>
    </row>
    <row r="652">
      <c r="A652" s="152"/>
      <c r="B652" s="152"/>
      <c r="C652" s="152"/>
      <c r="D652" s="152"/>
      <c r="E652" s="152"/>
      <c r="F652" s="195"/>
      <c r="G652" s="152"/>
      <c r="H652" s="152"/>
      <c r="I652" s="152"/>
      <c r="J652" s="152"/>
      <c r="K652" s="152"/>
      <c r="L652" s="152"/>
      <c r="M652" s="152"/>
      <c r="N652" s="152"/>
      <c r="O652" s="152"/>
      <c r="P652" s="152"/>
      <c r="Q652" s="152"/>
      <c r="R652" s="152"/>
    </row>
    <row r="653">
      <c r="A653" s="152"/>
      <c r="B653" s="152"/>
      <c r="C653" s="152"/>
      <c r="D653" s="152"/>
      <c r="E653" s="152"/>
      <c r="F653" s="195"/>
      <c r="G653" s="152"/>
      <c r="H653" s="152"/>
      <c r="I653" s="152"/>
      <c r="J653" s="152"/>
      <c r="K653" s="152"/>
      <c r="L653" s="152"/>
      <c r="M653" s="152"/>
      <c r="N653" s="152"/>
      <c r="O653" s="152"/>
      <c r="P653" s="152"/>
      <c r="Q653" s="152"/>
      <c r="R653" s="152"/>
    </row>
    <row r="654">
      <c r="A654" s="152"/>
      <c r="B654" s="152"/>
      <c r="C654" s="152"/>
      <c r="D654" s="152"/>
      <c r="E654" s="152"/>
      <c r="F654" s="195"/>
      <c r="G654" s="152"/>
      <c r="H654" s="152"/>
      <c r="I654" s="152"/>
      <c r="J654" s="152"/>
      <c r="K654" s="152"/>
      <c r="L654" s="152"/>
      <c r="M654" s="152"/>
      <c r="N654" s="152"/>
      <c r="O654" s="152"/>
      <c r="P654" s="152"/>
      <c r="Q654" s="152"/>
      <c r="R654" s="152"/>
    </row>
    <row r="655">
      <c r="A655" s="152"/>
      <c r="B655" s="152"/>
      <c r="C655" s="152"/>
      <c r="D655" s="152"/>
      <c r="E655" s="152"/>
      <c r="F655" s="195"/>
      <c r="G655" s="152"/>
      <c r="H655" s="152"/>
      <c r="I655" s="152"/>
      <c r="J655" s="152"/>
      <c r="K655" s="152"/>
      <c r="L655" s="152"/>
      <c r="M655" s="152"/>
      <c r="N655" s="152"/>
      <c r="O655" s="152"/>
      <c r="P655" s="152"/>
      <c r="Q655" s="152"/>
      <c r="R655" s="152"/>
    </row>
    <row r="656">
      <c r="A656" s="152"/>
      <c r="B656" s="152"/>
      <c r="C656" s="152"/>
      <c r="D656" s="152"/>
      <c r="E656" s="152"/>
      <c r="F656" s="195"/>
      <c r="G656" s="152"/>
      <c r="H656" s="152"/>
      <c r="I656" s="152"/>
      <c r="J656" s="152"/>
      <c r="K656" s="152"/>
      <c r="L656" s="152"/>
      <c r="M656" s="152"/>
      <c r="N656" s="152"/>
      <c r="O656" s="152"/>
      <c r="P656" s="152"/>
      <c r="Q656" s="152"/>
      <c r="R656" s="152"/>
    </row>
    <row r="657">
      <c r="A657" s="152"/>
      <c r="B657" s="152"/>
      <c r="C657" s="152"/>
      <c r="D657" s="152"/>
      <c r="E657" s="152"/>
      <c r="F657" s="195"/>
      <c r="G657" s="152"/>
      <c r="H657" s="152"/>
      <c r="I657" s="152"/>
      <c r="J657" s="152"/>
      <c r="K657" s="152"/>
      <c r="L657" s="152"/>
      <c r="M657" s="152"/>
      <c r="N657" s="152"/>
      <c r="O657" s="152"/>
      <c r="P657" s="152"/>
      <c r="Q657" s="152"/>
      <c r="R657" s="152"/>
    </row>
    <row r="658">
      <c r="A658" s="152"/>
      <c r="B658" s="152"/>
      <c r="C658" s="152"/>
      <c r="D658" s="152"/>
      <c r="E658" s="152"/>
      <c r="F658" s="195"/>
      <c r="G658" s="152"/>
      <c r="H658" s="152"/>
      <c r="I658" s="152"/>
      <c r="J658" s="152"/>
      <c r="K658" s="152"/>
      <c r="L658" s="152"/>
      <c r="M658" s="152"/>
      <c r="N658" s="152"/>
      <c r="O658" s="152"/>
      <c r="P658" s="152"/>
      <c r="Q658" s="152"/>
      <c r="R658" s="152"/>
    </row>
    <row r="659">
      <c r="A659" s="152"/>
      <c r="B659" s="152"/>
      <c r="C659" s="152"/>
      <c r="D659" s="152"/>
      <c r="E659" s="152"/>
      <c r="F659" s="195"/>
      <c r="G659" s="152"/>
      <c r="H659" s="152"/>
      <c r="I659" s="152"/>
      <c r="J659" s="152"/>
      <c r="K659" s="152"/>
      <c r="L659" s="152"/>
      <c r="M659" s="152"/>
      <c r="N659" s="152"/>
      <c r="O659" s="152"/>
      <c r="P659" s="152"/>
      <c r="Q659" s="152"/>
      <c r="R659" s="152"/>
    </row>
    <row r="660">
      <c r="A660" s="152"/>
      <c r="B660" s="152"/>
      <c r="C660" s="152"/>
      <c r="D660" s="152"/>
      <c r="E660" s="152"/>
      <c r="F660" s="195"/>
      <c r="G660" s="152"/>
      <c r="H660" s="152"/>
      <c r="I660" s="152"/>
      <c r="J660" s="152"/>
      <c r="K660" s="152"/>
      <c r="L660" s="152"/>
      <c r="M660" s="152"/>
      <c r="N660" s="152"/>
      <c r="O660" s="152"/>
      <c r="P660" s="152"/>
      <c r="Q660" s="152"/>
      <c r="R660" s="152"/>
    </row>
    <row r="661">
      <c r="A661" s="152"/>
      <c r="B661" s="152"/>
      <c r="C661" s="152"/>
      <c r="D661" s="152"/>
      <c r="E661" s="152"/>
      <c r="F661" s="195"/>
      <c r="G661" s="152"/>
      <c r="H661" s="152"/>
      <c r="I661" s="152"/>
      <c r="J661" s="152"/>
      <c r="K661" s="152"/>
      <c r="L661" s="152"/>
      <c r="M661" s="152"/>
      <c r="N661" s="152"/>
      <c r="O661" s="152"/>
      <c r="P661" s="152"/>
      <c r="Q661" s="152"/>
      <c r="R661" s="152"/>
    </row>
    <row r="662">
      <c r="A662" s="152"/>
      <c r="B662" s="152"/>
      <c r="C662" s="152"/>
      <c r="D662" s="152"/>
      <c r="E662" s="152"/>
      <c r="F662" s="195"/>
      <c r="G662" s="152"/>
      <c r="H662" s="152"/>
      <c r="I662" s="152"/>
      <c r="J662" s="152"/>
      <c r="K662" s="152"/>
      <c r="L662" s="152"/>
      <c r="M662" s="152"/>
      <c r="N662" s="152"/>
      <c r="O662" s="152"/>
      <c r="P662" s="152"/>
      <c r="Q662" s="152"/>
      <c r="R662" s="152"/>
    </row>
    <row r="663">
      <c r="A663" s="152"/>
      <c r="B663" s="152"/>
      <c r="C663" s="152"/>
      <c r="D663" s="152"/>
      <c r="E663" s="152"/>
      <c r="F663" s="195"/>
      <c r="G663" s="152"/>
      <c r="H663" s="152"/>
      <c r="I663" s="152"/>
      <c r="J663" s="152"/>
      <c r="K663" s="152"/>
      <c r="L663" s="152"/>
      <c r="M663" s="152"/>
      <c r="N663" s="152"/>
      <c r="O663" s="152"/>
      <c r="P663" s="152"/>
      <c r="Q663" s="152"/>
      <c r="R663" s="152"/>
    </row>
    <row r="664">
      <c r="A664" s="152"/>
      <c r="B664" s="152"/>
      <c r="C664" s="152"/>
      <c r="D664" s="152"/>
      <c r="E664" s="152"/>
      <c r="F664" s="195"/>
      <c r="G664" s="152"/>
      <c r="H664" s="152"/>
      <c r="I664" s="152"/>
      <c r="J664" s="152"/>
      <c r="K664" s="152"/>
      <c r="L664" s="152"/>
      <c r="M664" s="152"/>
      <c r="N664" s="152"/>
      <c r="O664" s="152"/>
      <c r="P664" s="152"/>
      <c r="Q664" s="152"/>
      <c r="R664" s="152"/>
    </row>
    <row r="665">
      <c r="A665" s="152"/>
      <c r="B665" s="152"/>
      <c r="C665" s="152"/>
      <c r="D665" s="152"/>
      <c r="E665" s="152"/>
      <c r="F665" s="195"/>
      <c r="G665" s="152"/>
      <c r="H665" s="152"/>
      <c r="I665" s="152"/>
      <c r="J665" s="152"/>
      <c r="K665" s="152"/>
      <c r="L665" s="152"/>
      <c r="M665" s="152"/>
      <c r="N665" s="152"/>
      <c r="O665" s="152"/>
      <c r="P665" s="152"/>
      <c r="Q665" s="152"/>
      <c r="R665" s="152"/>
    </row>
    <row r="666">
      <c r="A666" s="152"/>
      <c r="B666" s="152"/>
      <c r="C666" s="152"/>
      <c r="D666" s="152"/>
      <c r="E666" s="152"/>
      <c r="F666" s="195"/>
      <c r="G666" s="152"/>
      <c r="H666" s="152"/>
      <c r="I666" s="152"/>
      <c r="J666" s="152"/>
      <c r="K666" s="152"/>
      <c r="L666" s="152"/>
      <c r="M666" s="152"/>
      <c r="N666" s="152"/>
      <c r="O666" s="152"/>
      <c r="P666" s="152"/>
      <c r="Q666" s="152"/>
      <c r="R666" s="152"/>
    </row>
    <row r="667">
      <c r="A667" s="152"/>
      <c r="B667" s="152"/>
      <c r="C667" s="152"/>
      <c r="D667" s="152"/>
      <c r="E667" s="152"/>
      <c r="F667" s="195"/>
      <c r="G667" s="152"/>
      <c r="H667" s="152"/>
      <c r="I667" s="152"/>
      <c r="J667" s="152"/>
      <c r="K667" s="152"/>
      <c r="L667" s="152"/>
      <c r="M667" s="152"/>
      <c r="N667" s="152"/>
      <c r="O667" s="152"/>
      <c r="P667" s="152"/>
      <c r="Q667" s="152"/>
      <c r="R667" s="152"/>
    </row>
    <row r="668">
      <c r="A668" s="152"/>
      <c r="B668" s="152"/>
      <c r="C668" s="152"/>
      <c r="D668" s="152"/>
      <c r="E668" s="152"/>
      <c r="F668" s="195"/>
      <c r="G668" s="152"/>
      <c r="H668" s="152"/>
      <c r="I668" s="152"/>
      <c r="J668" s="152"/>
      <c r="K668" s="152"/>
      <c r="L668" s="152"/>
      <c r="M668" s="152"/>
      <c r="N668" s="152"/>
      <c r="O668" s="152"/>
      <c r="P668" s="152"/>
      <c r="Q668" s="152"/>
      <c r="R668" s="152"/>
    </row>
    <row r="669">
      <c r="A669" s="152"/>
      <c r="B669" s="152"/>
      <c r="C669" s="152"/>
      <c r="D669" s="152"/>
      <c r="E669" s="152"/>
      <c r="F669" s="195"/>
      <c r="G669" s="152"/>
      <c r="H669" s="152"/>
      <c r="I669" s="152"/>
      <c r="J669" s="152"/>
      <c r="K669" s="152"/>
      <c r="L669" s="152"/>
      <c r="M669" s="152"/>
      <c r="N669" s="152"/>
      <c r="O669" s="152"/>
      <c r="P669" s="152"/>
      <c r="Q669" s="152"/>
      <c r="R669" s="152"/>
    </row>
    <row r="670">
      <c r="A670" s="152"/>
      <c r="B670" s="152"/>
      <c r="C670" s="152"/>
      <c r="D670" s="152"/>
      <c r="E670" s="152"/>
      <c r="F670" s="195"/>
      <c r="G670" s="152"/>
      <c r="H670" s="152"/>
      <c r="I670" s="152"/>
      <c r="J670" s="152"/>
      <c r="K670" s="152"/>
      <c r="L670" s="152"/>
      <c r="M670" s="152"/>
      <c r="N670" s="152"/>
      <c r="O670" s="152"/>
      <c r="P670" s="152"/>
      <c r="Q670" s="152"/>
      <c r="R670" s="152"/>
    </row>
    <row r="671">
      <c r="A671" s="152"/>
      <c r="B671" s="152"/>
      <c r="C671" s="152"/>
      <c r="D671" s="152"/>
      <c r="E671" s="152"/>
      <c r="F671" s="195"/>
      <c r="G671" s="152"/>
      <c r="H671" s="152"/>
      <c r="I671" s="152"/>
      <c r="J671" s="152"/>
      <c r="K671" s="152"/>
      <c r="L671" s="152"/>
      <c r="M671" s="152"/>
      <c r="N671" s="152"/>
      <c r="O671" s="152"/>
      <c r="P671" s="152"/>
      <c r="Q671" s="152"/>
      <c r="R671" s="152"/>
    </row>
    <row r="672">
      <c r="A672" s="152"/>
      <c r="B672" s="152"/>
      <c r="C672" s="152"/>
      <c r="D672" s="152"/>
      <c r="E672" s="152"/>
      <c r="F672" s="195"/>
      <c r="G672" s="152"/>
      <c r="H672" s="152"/>
      <c r="I672" s="152"/>
      <c r="J672" s="152"/>
      <c r="K672" s="152"/>
      <c r="L672" s="152"/>
      <c r="M672" s="152"/>
      <c r="N672" s="152"/>
      <c r="O672" s="152"/>
      <c r="P672" s="152"/>
      <c r="Q672" s="152"/>
      <c r="R672" s="152"/>
    </row>
    <row r="673">
      <c r="A673" s="152"/>
      <c r="B673" s="152"/>
      <c r="C673" s="152"/>
      <c r="D673" s="152"/>
      <c r="E673" s="152"/>
      <c r="F673" s="195"/>
      <c r="G673" s="152"/>
      <c r="H673" s="152"/>
      <c r="I673" s="152"/>
      <c r="J673" s="152"/>
      <c r="K673" s="152"/>
      <c r="L673" s="152"/>
      <c r="M673" s="152"/>
      <c r="N673" s="152"/>
      <c r="O673" s="152"/>
      <c r="P673" s="152"/>
      <c r="Q673" s="152"/>
      <c r="R673" s="152"/>
    </row>
    <row r="674">
      <c r="A674" s="152"/>
      <c r="B674" s="152"/>
      <c r="C674" s="152"/>
      <c r="D674" s="152"/>
      <c r="E674" s="152"/>
      <c r="F674" s="195"/>
      <c r="G674" s="152"/>
      <c r="H674" s="152"/>
      <c r="I674" s="152"/>
      <c r="J674" s="152"/>
      <c r="K674" s="152"/>
      <c r="L674" s="152"/>
      <c r="M674" s="152"/>
      <c r="N674" s="152"/>
      <c r="O674" s="152"/>
      <c r="P674" s="152"/>
      <c r="Q674" s="152"/>
      <c r="R674" s="152"/>
    </row>
    <row r="675">
      <c r="A675" s="152"/>
      <c r="B675" s="152"/>
      <c r="C675" s="152"/>
      <c r="D675" s="152"/>
      <c r="E675" s="152"/>
      <c r="F675" s="195"/>
      <c r="G675" s="152"/>
      <c r="H675" s="152"/>
      <c r="I675" s="152"/>
      <c r="J675" s="152"/>
      <c r="K675" s="152"/>
      <c r="L675" s="152"/>
      <c r="M675" s="152"/>
      <c r="N675" s="152"/>
      <c r="O675" s="152"/>
      <c r="P675" s="152"/>
      <c r="Q675" s="152"/>
      <c r="R675" s="152"/>
    </row>
    <row r="676">
      <c r="A676" s="152"/>
      <c r="B676" s="152"/>
      <c r="C676" s="152"/>
      <c r="D676" s="152"/>
      <c r="E676" s="152"/>
      <c r="F676" s="195"/>
      <c r="G676" s="152"/>
      <c r="H676" s="152"/>
      <c r="I676" s="152"/>
      <c r="J676" s="152"/>
      <c r="K676" s="152"/>
      <c r="L676" s="152"/>
      <c r="M676" s="152"/>
      <c r="N676" s="152"/>
      <c r="O676" s="152"/>
      <c r="P676" s="152"/>
      <c r="Q676" s="152"/>
      <c r="R676" s="152"/>
    </row>
    <row r="677">
      <c r="A677" s="152"/>
      <c r="B677" s="152"/>
      <c r="C677" s="152"/>
      <c r="D677" s="152"/>
      <c r="E677" s="152"/>
      <c r="F677" s="195"/>
      <c r="G677" s="152"/>
      <c r="H677" s="152"/>
      <c r="I677" s="152"/>
      <c r="J677" s="152"/>
      <c r="K677" s="152"/>
      <c r="L677" s="152"/>
      <c r="M677" s="152"/>
      <c r="N677" s="152"/>
      <c r="O677" s="152"/>
      <c r="P677" s="152"/>
      <c r="Q677" s="152"/>
      <c r="R677" s="152"/>
    </row>
    <row r="678">
      <c r="A678" s="152"/>
      <c r="B678" s="152"/>
      <c r="C678" s="152"/>
      <c r="D678" s="152"/>
      <c r="E678" s="152"/>
      <c r="F678" s="195"/>
      <c r="G678" s="152"/>
      <c r="H678" s="152"/>
      <c r="I678" s="152"/>
      <c r="J678" s="152"/>
      <c r="K678" s="152"/>
      <c r="L678" s="152"/>
      <c r="M678" s="152"/>
      <c r="N678" s="152"/>
      <c r="O678" s="152"/>
      <c r="P678" s="152"/>
      <c r="Q678" s="152"/>
      <c r="R678" s="152"/>
    </row>
    <row r="679">
      <c r="A679" s="152"/>
      <c r="B679" s="152"/>
      <c r="C679" s="152"/>
      <c r="D679" s="152"/>
      <c r="E679" s="152"/>
      <c r="F679" s="195"/>
      <c r="G679" s="152"/>
      <c r="H679" s="152"/>
      <c r="I679" s="152"/>
      <c r="J679" s="152"/>
      <c r="K679" s="152"/>
      <c r="L679" s="152"/>
      <c r="M679" s="152"/>
      <c r="N679" s="152"/>
      <c r="O679" s="152"/>
      <c r="P679" s="152"/>
      <c r="Q679" s="152"/>
      <c r="R679" s="152"/>
    </row>
    <row r="680">
      <c r="A680" s="152"/>
      <c r="B680" s="152"/>
      <c r="C680" s="152"/>
      <c r="D680" s="152"/>
      <c r="E680" s="152"/>
      <c r="F680" s="195"/>
      <c r="G680" s="152"/>
      <c r="H680" s="152"/>
      <c r="I680" s="152"/>
      <c r="J680" s="152"/>
      <c r="K680" s="152"/>
      <c r="L680" s="152"/>
      <c r="M680" s="152"/>
      <c r="N680" s="152"/>
      <c r="O680" s="152"/>
      <c r="P680" s="152"/>
      <c r="Q680" s="152"/>
      <c r="R680" s="152"/>
    </row>
    <row r="681">
      <c r="A681" s="152"/>
      <c r="B681" s="152"/>
      <c r="C681" s="152"/>
      <c r="D681" s="152"/>
      <c r="E681" s="152"/>
      <c r="F681" s="195"/>
      <c r="G681" s="152"/>
      <c r="H681" s="152"/>
      <c r="I681" s="152"/>
      <c r="J681" s="152"/>
      <c r="K681" s="152"/>
      <c r="L681" s="152"/>
      <c r="M681" s="152"/>
      <c r="N681" s="152"/>
      <c r="O681" s="152"/>
      <c r="P681" s="152"/>
      <c r="Q681" s="152"/>
      <c r="R681" s="152"/>
    </row>
    <row r="682">
      <c r="A682" s="152"/>
      <c r="B682" s="152"/>
      <c r="C682" s="152"/>
      <c r="D682" s="152"/>
      <c r="E682" s="152"/>
      <c r="F682" s="195"/>
      <c r="G682" s="152"/>
      <c r="H682" s="152"/>
      <c r="I682" s="152"/>
      <c r="J682" s="152"/>
      <c r="K682" s="152"/>
      <c r="L682" s="152"/>
      <c r="M682" s="152"/>
      <c r="N682" s="152"/>
      <c r="O682" s="152"/>
      <c r="P682" s="152"/>
      <c r="Q682" s="152"/>
      <c r="R682" s="152"/>
    </row>
    <row r="683">
      <c r="A683" s="152"/>
      <c r="B683" s="152"/>
      <c r="C683" s="152"/>
      <c r="D683" s="152"/>
      <c r="E683" s="152"/>
      <c r="F683" s="195"/>
      <c r="G683" s="152"/>
      <c r="H683" s="152"/>
      <c r="I683" s="152"/>
      <c r="J683" s="152"/>
      <c r="K683" s="152"/>
      <c r="L683" s="152"/>
      <c r="M683" s="152"/>
      <c r="N683" s="152"/>
      <c r="O683" s="152"/>
      <c r="P683" s="152"/>
      <c r="Q683" s="152"/>
      <c r="R683" s="152"/>
    </row>
    <row r="684">
      <c r="A684" s="152"/>
      <c r="B684" s="152"/>
      <c r="C684" s="152"/>
      <c r="D684" s="152"/>
      <c r="E684" s="152"/>
      <c r="F684" s="195"/>
      <c r="G684" s="152"/>
      <c r="H684" s="152"/>
      <c r="I684" s="152"/>
      <c r="J684" s="152"/>
      <c r="K684" s="152"/>
      <c r="L684" s="152"/>
      <c r="M684" s="152"/>
      <c r="N684" s="152"/>
      <c r="O684" s="152"/>
      <c r="P684" s="152"/>
      <c r="Q684" s="152"/>
      <c r="R684" s="152"/>
    </row>
    <row r="685">
      <c r="A685" s="152"/>
      <c r="B685" s="152"/>
      <c r="C685" s="152"/>
      <c r="D685" s="152"/>
      <c r="E685" s="152"/>
      <c r="F685" s="195"/>
      <c r="G685" s="152"/>
      <c r="H685" s="152"/>
      <c r="I685" s="152"/>
      <c r="J685" s="152"/>
      <c r="K685" s="152"/>
      <c r="L685" s="152"/>
      <c r="M685" s="152"/>
      <c r="N685" s="152"/>
      <c r="O685" s="152"/>
      <c r="P685" s="152"/>
      <c r="Q685" s="152"/>
      <c r="R685" s="152"/>
    </row>
    <row r="686">
      <c r="A686" s="152"/>
      <c r="B686" s="152"/>
      <c r="C686" s="152"/>
      <c r="D686" s="152"/>
      <c r="E686" s="152"/>
      <c r="F686" s="195"/>
      <c r="G686" s="152"/>
      <c r="H686" s="152"/>
      <c r="I686" s="152"/>
      <c r="J686" s="152"/>
      <c r="K686" s="152"/>
      <c r="L686" s="152"/>
      <c r="M686" s="152"/>
      <c r="N686" s="152"/>
      <c r="O686" s="152"/>
      <c r="P686" s="152"/>
      <c r="Q686" s="152"/>
      <c r="R686" s="152"/>
    </row>
    <row r="687">
      <c r="A687" s="152"/>
      <c r="B687" s="152"/>
      <c r="C687" s="152"/>
      <c r="D687" s="152"/>
      <c r="E687" s="152"/>
      <c r="F687" s="195"/>
      <c r="G687" s="152"/>
      <c r="H687" s="152"/>
      <c r="I687" s="152"/>
      <c r="J687" s="152"/>
      <c r="K687" s="152"/>
      <c r="L687" s="152"/>
      <c r="M687" s="152"/>
      <c r="N687" s="152"/>
      <c r="O687" s="152"/>
      <c r="P687" s="152"/>
      <c r="Q687" s="152"/>
      <c r="R687" s="152"/>
    </row>
    <row r="688">
      <c r="A688" s="152"/>
      <c r="B688" s="152"/>
      <c r="C688" s="152"/>
      <c r="D688" s="152"/>
      <c r="E688" s="152"/>
      <c r="F688" s="195"/>
      <c r="G688" s="152"/>
      <c r="H688" s="152"/>
      <c r="I688" s="152"/>
      <c r="J688" s="152"/>
      <c r="K688" s="152"/>
      <c r="L688" s="152"/>
      <c r="M688" s="152"/>
      <c r="N688" s="152"/>
      <c r="O688" s="152"/>
      <c r="P688" s="152"/>
      <c r="Q688" s="152"/>
      <c r="R688" s="152"/>
    </row>
    <row r="689">
      <c r="A689" s="152"/>
      <c r="B689" s="152"/>
      <c r="C689" s="152"/>
      <c r="D689" s="152"/>
      <c r="E689" s="152"/>
      <c r="F689" s="195"/>
      <c r="G689" s="152"/>
      <c r="H689" s="152"/>
      <c r="I689" s="152"/>
      <c r="J689" s="152"/>
      <c r="K689" s="152"/>
      <c r="L689" s="152"/>
      <c r="M689" s="152"/>
      <c r="N689" s="152"/>
      <c r="O689" s="152"/>
      <c r="P689" s="152"/>
      <c r="Q689" s="152"/>
      <c r="R689" s="152"/>
    </row>
    <row r="690">
      <c r="A690" s="152"/>
      <c r="B690" s="152"/>
      <c r="C690" s="152"/>
      <c r="D690" s="152"/>
      <c r="E690" s="152"/>
      <c r="F690" s="195"/>
      <c r="G690" s="152"/>
      <c r="H690" s="152"/>
      <c r="I690" s="152"/>
      <c r="J690" s="152"/>
      <c r="K690" s="152"/>
      <c r="L690" s="152"/>
      <c r="M690" s="152"/>
      <c r="N690" s="152"/>
      <c r="O690" s="152"/>
      <c r="P690" s="152"/>
      <c r="Q690" s="152"/>
      <c r="R690" s="152"/>
    </row>
    <row r="691">
      <c r="A691" s="152"/>
      <c r="B691" s="152"/>
      <c r="C691" s="152"/>
      <c r="D691" s="152"/>
      <c r="E691" s="152"/>
      <c r="F691" s="195"/>
      <c r="G691" s="152"/>
      <c r="H691" s="152"/>
      <c r="I691" s="152"/>
      <c r="J691" s="152"/>
      <c r="K691" s="152"/>
      <c r="L691" s="152"/>
      <c r="M691" s="152"/>
      <c r="N691" s="152"/>
      <c r="O691" s="152"/>
      <c r="P691" s="152"/>
      <c r="Q691" s="152"/>
      <c r="R691" s="152"/>
    </row>
    <row r="692">
      <c r="A692" s="152"/>
      <c r="B692" s="152"/>
      <c r="C692" s="152"/>
      <c r="D692" s="152"/>
      <c r="E692" s="152"/>
      <c r="F692" s="195"/>
      <c r="G692" s="152"/>
      <c r="H692" s="152"/>
      <c r="I692" s="152"/>
      <c r="J692" s="152"/>
      <c r="K692" s="152"/>
      <c r="L692" s="152"/>
      <c r="M692" s="152"/>
      <c r="N692" s="152"/>
      <c r="O692" s="152"/>
      <c r="P692" s="152"/>
      <c r="Q692" s="152"/>
      <c r="R692" s="152"/>
    </row>
    <row r="693">
      <c r="A693" s="152"/>
      <c r="B693" s="152"/>
      <c r="C693" s="152"/>
      <c r="D693" s="152"/>
      <c r="E693" s="152"/>
      <c r="F693" s="195"/>
      <c r="G693" s="152"/>
      <c r="H693" s="152"/>
      <c r="I693" s="152"/>
      <c r="J693" s="152"/>
      <c r="K693" s="152"/>
      <c r="L693" s="152"/>
      <c r="M693" s="152"/>
      <c r="N693" s="152"/>
      <c r="O693" s="152"/>
      <c r="P693" s="152"/>
      <c r="Q693" s="152"/>
      <c r="R693" s="152"/>
    </row>
    <row r="694">
      <c r="A694" s="152"/>
      <c r="B694" s="152"/>
      <c r="C694" s="152"/>
      <c r="D694" s="152"/>
      <c r="E694" s="152"/>
      <c r="F694" s="195"/>
      <c r="G694" s="152"/>
      <c r="H694" s="152"/>
      <c r="I694" s="152"/>
      <c r="J694" s="152"/>
      <c r="K694" s="152"/>
      <c r="L694" s="152"/>
      <c r="M694" s="152"/>
      <c r="N694" s="152"/>
      <c r="O694" s="152"/>
      <c r="P694" s="152"/>
      <c r="Q694" s="152"/>
      <c r="R694" s="152"/>
    </row>
    <row r="695">
      <c r="A695" s="152"/>
      <c r="B695" s="152"/>
      <c r="C695" s="152"/>
      <c r="D695" s="152"/>
      <c r="E695" s="152"/>
      <c r="F695" s="195"/>
      <c r="G695" s="152"/>
      <c r="H695" s="152"/>
      <c r="I695" s="152"/>
      <c r="J695" s="152"/>
      <c r="K695" s="152"/>
      <c r="L695" s="152"/>
      <c r="M695" s="152"/>
      <c r="N695" s="152"/>
      <c r="O695" s="152"/>
      <c r="P695" s="152"/>
      <c r="Q695" s="152"/>
      <c r="R695" s="152"/>
    </row>
    <row r="696">
      <c r="A696" s="152"/>
      <c r="B696" s="152"/>
      <c r="C696" s="152"/>
      <c r="D696" s="152"/>
      <c r="E696" s="152"/>
      <c r="F696" s="195"/>
      <c r="G696" s="152"/>
      <c r="H696" s="152"/>
      <c r="I696" s="152"/>
      <c r="J696" s="152"/>
      <c r="K696" s="152"/>
      <c r="L696" s="152"/>
      <c r="M696" s="152"/>
      <c r="N696" s="152"/>
      <c r="O696" s="152"/>
      <c r="P696" s="152"/>
      <c r="Q696" s="152"/>
      <c r="R696" s="152"/>
    </row>
    <row r="697">
      <c r="A697" s="152"/>
      <c r="B697" s="152"/>
      <c r="C697" s="152"/>
      <c r="D697" s="152"/>
      <c r="E697" s="152"/>
      <c r="F697" s="195"/>
      <c r="G697" s="152"/>
      <c r="H697" s="152"/>
      <c r="I697" s="152"/>
      <c r="J697" s="152"/>
      <c r="K697" s="152"/>
      <c r="L697" s="152"/>
      <c r="M697" s="152"/>
      <c r="N697" s="152"/>
      <c r="O697" s="152"/>
      <c r="P697" s="152"/>
      <c r="Q697" s="152"/>
      <c r="R697" s="152"/>
    </row>
    <row r="698">
      <c r="A698" s="152"/>
      <c r="B698" s="152"/>
      <c r="C698" s="152"/>
      <c r="D698" s="152"/>
      <c r="E698" s="152"/>
      <c r="F698" s="195"/>
      <c r="G698" s="152"/>
      <c r="H698" s="152"/>
      <c r="I698" s="152"/>
      <c r="J698" s="152"/>
      <c r="K698" s="152"/>
      <c r="L698" s="152"/>
      <c r="M698" s="152"/>
      <c r="N698" s="152"/>
      <c r="O698" s="152"/>
      <c r="P698" s="152"/>
      <c r="Q698" s="152"/>
      <c r="R698" s="152"/>
    </row>
    <row r="699">
      <c r="A699" s="152"/>
      <c r="B699" s="152"/>
      <c r="C699" s="152"/>
      <c r="D699" s="152"/>
      <c r="E699" s="152"/>
      <c r="F699" s="195"/>
      <c r="G699" s="152"/>
      <c r="H699" s="152"/>
      <c r="I699" s="152"/>
      <c r="J699" s="152"/>
      <c r="K699" s="152"/>
      <c r="L699" s="152"/>
      <c r="M699" s="152"/>
      <c r="N699" s="152"/>
      <c r="O699" s="152"/>
      <c r="P699" s="152"/>
      <c r="Q699" s="152"/>
      <c r="R699" s="152"/>
    </row>
    <row r="700">
      <c r="A700" s="152"/>
      <c r="B700" s="152"/>
      <c r="C700" s="152"/>
      <c r="D700" s="152"/>
      <c r="E700" s="152"/>
      <c r="F700" s="195"/>
      <c r="G700" s="152"/>
      <c r="H700" s="152"/>
      <c r="I700" s="152"/>
      <c r="J700" s="152"/>
      <c r="K700" s="152"/>
      <c r="L700" s="152"/>
      <c r="M700" s="152"/>
      <c r="N700" s="152"/>
      <c r="O700" s="152"/>
      <c r="P700" s="152"/>
      <c r="Q700" s="152"/>
      <c r="R700" s="152"/>
    </row>
    <row r="701">
      <c r="A701" s="152"/>
      <c r="B701" s="152"/>
      <c r="C701" s="152"/>
      <c r="D701" s="152"/>
      <c r="E701" s="152"/>
      <c r="F701" s="195"/>
      <c r="G701" s="152"/>
      <c r="H701" s="152"/>
      <c r="I701" s="152"/>
      <c r="J701" s="152"/>
      <c r="K701" s="152"/>
      <c r="L701" s="152"/>
      <c r="M701" s="152"/>
      <c r="N701" s="152"/>
      <c r="O701" s="152"/>
      <c r="P701" s="152"/>
      <c r="Q701" s="152"/>
      <c r="R701" s="152"/>
    </row>
    <row r="702">
      <c r="A702" s="152"/>
      <c r="B702" s="152"/>
      <c r="C702" s="152"/>
      <c r="D702" s="152"/>
      <c r="E702" s="152"/>
      <c r="F702" s="195"/>
      <c r="G702" s="152"/>
      <c r="H702" s="152"/>
      <c r="I702" s="152"/>
      <c r="J702" s="152"/>
      <c r="K702" s="152"/>
      <c r="L702" s="152"/>
      <c r="M702" s="152"/>
      <c r="N702" s="152"/>
      <c r="O702" s="152"/>
      <c r="P702" s="152"/>
      <c r="Q702" s="152"/>
      <c r="R702" s="152"/>
    </row>
    <row r="703">
      <c r="A703" s="152"/>
      <c r="B703" s="152"/>
      <c r="C703" s="152"/>
      <c r="D703" s="152"/>
      <c r="E703" s="152"/>
      <c r="F703" s="195"/>
      <c r="G703" s="152"/>
      <c r="H703" s="152"/>
      <c r="I703" s="152"/>
      <c r="J703" s="152"/>
      <c r="K703" s="152"/>
      <c r="L703" s="152"/>
      <c r="M703" s="152"/>
      <c r="N703" s="152"/>
      <c r="O703" s="152"/>
      <c r="P703" s="152"/>
      <c r="Q703" s="152"/>
      <c r="R703" s="152"/>
    </row>
    <row r="704">
      <c r="A704" s="152"/>
      <c r="B704" s="152"/>
      <c r="C704" s="152"/>
      <c r="D704" s="152"/>
      <c r="E704" s="152"/>
      <c r="F704" s="195"/>
      <c r="G704" s="152"/>
      <c r="H704" s="152"/>
      <c r="I704" s="152"/>
      <c r="J704" s="152"/>
      <c r="K704" s="152"/>
      <c r="L704" s="152"/>
      <c r="M704" s="152"/>
      <c r="N704" s="152"/>
      <c r="O704" s="152"/>
      <c r="P704" s="152"/>
      <c r="Q704" s="152"/>
      <c r="R704" s="152"/>
    </row>
    <row r="705">
      <c r="A705" s="152"/>
      <c r="B705" s="152"/>
      <c r="C705" s="152"/>
      <c r="D705" s="152"/>
      <c r="E705" s="152"/>
      <c r="F705" s="195"/>
      <c r="G705" s="152"/>
      <c r="H705" s="152"/>
      <c r="I705" s="152"/>
      <c r="J705" s="152"/>
      <c r="K705" s="152"/>
      <c r="L705" s="152"/>
      <c r="M705" s="152"/>
      <c r="N705" s="152"/>
      <c r="O705" s="152"/>
      <c r="P705" s="152"/>
      <c r="Q705" s="152"/>
      <c r="R705" s="152"/>
    </row>
    <row r="706">
      <c r="A706" s="152"/>
      <c r="B706" s="152"/>
      <c r="C706" s="152"/>
      <c r="D706" s="152"/>
      <c r="E706" s="152"/>
      <c r="F706" s="195"/>
      <c r="G706" s="152"/>
      <c r="H706" s="152"/>
      <c r="I706" s="152"/>
      <c r="J706" s="152"/>
      <c r="K706" s="152"/>
      <c r="L706" s="152"/>
      <c r="M706" s="152"/>
      <c r="N706" s="152"/>
      <c r="O706" s="152"/>
      <c r="P706" s="152"/>
      <c r="Q706" s="152"/>
      <c r="R706" s="152"/>
    </row>
    <row r="707">
      <c r="A707" s="152"/>
      <c r="B707" s="152"/>
      <c r="C707" s="152"/>
      <c r="D707" s="152"/>
      <c r="E707" s="152"/>
      <c r="F707" s="195"/>
      <c r="G707" s="152"/>
      <c r="H707" s="152"/>
      <c r="I707" s="152"/>
      <c r="J707" s="152"/>
      <c r="K707" s="152"/>
      <c r="L707" s="152"/>
      <c r="M707" s="152"/>
      <c r="N707" s="152"/>
      <c r="O707" s="152"/>
      <c r="P707" s="152"/>
      <c r="Q707" s="152"/>
      <c r="R707" s="152"/>
    </row>
    <row r="708">
      <c r="A708" s="152"/>
      <c r="B708" s="152"/>
      <c r="C708" s="152"/>
      <c r="D708" s="152"/>
      <c r="E708" s="152"/>
      <c r="F708" s="195"/>
      <c r="G708" s="152"/>
      <c r="H708" s="152"/>
      <c r="I708" s="152"/>
      <c r="J708" s="152"/>
      <c r="K708" s="152"/>
      <c r="L708" s="152"/>
      <c r="M708" s="152"/>
      <c r="N708" s="152"/>
      <c r="O708" s="152"/>
      <c r="P708" s="152"/>
      <c r="Q708" s="152"/>
      <c r="R708" s="152"/>
    </row>
    <row r="709">
      <c r="A709" s="152"/>
      <c r="B709" s="152"/>
      <c r="C709" s="152"/>
      <c r="D709" s="152"/>
      <c r="E709" s="152"/>
      <c r="F709" s="195"/>
      <c r="G709" s="152"/>
      <c r="H709" s="152"/>
      <c r="I709" s="152"/>
      <c r="J709" s="152"/>
      <c r="K709" s="152"/>
      <c r="L709" s="152"/>
      <c r="M709" s="152"/>
      <c r="N709" s="152"/>
      <c r="O709" s="152"/>
      <c r="P709" s="152"/>
      <c r="Q709" s="152"/>
      <c r="R709" s="152"/>
    </row>
    <row r="710">
      <c r="A710" s="152"/>
      <c r="B710" s="152"/>
      <c r="C710" s="152"/>
      <c r="D710" s="152"/>
      <c r="E710" s="152"/>
      <c r="F710" s="195"/>
      <c r="G710" s="152"/>
      <c r="H710" s="152"/>
      <c r="I710" s="152"/>
      <c r="J710" s="152"/>
      <c r="K710" s="152"/>
      <c r="L710" s="152"/>
      <c r="M710" s="152"/>
      <c r="N710" s="152"/>
      <c r="O710" s="152"/>
      <c r="P710" s="152"/>
      <c r="Q710" s="152"/>
      <c r="R710" s="152"/>
    </row>
    <row r="711">
      <c r="A711" s="152"/>
      <c r="B711" s="152"/>
      <c r="C711" s="152"/>
      <c r="D711" s="152"/>
      <c r="E711" s="152"/>
      <c r="F711" s="195"/>
      <c r="G711" s="152"/>
      <c r="H711" s="152"/>
      <c r="I711" s="152"/>
      <c r="J711" s="152"/>
      <c r="K711" s="152"/>
      <c r="L711" s="152"/>
      <c r="M711" s="152"/>
      <c r="N711" s="152"/>
      <c r="O711" s="152"/>
      <c r="P711" s="152"/>
      <c r="Q711" s="152"/>
      <c r="R711" s="152"/>
    </row>
    <row r="712">
      <c r="A712" s="152"/>
      <c r="B712" s="152"/>
      <c r="C712" s="152"/>
      <c r="D712" s="152"/>
      <c r="E712" s="152"/>
      <c r="F712" s="195"/>
      <c r="G712" s="152"/>
      <c r="H712" s="152"/>
      <c r="I712" s="152"/>
      <c r="J712" s="152"/>
      <c r="K712" s="152"/>
      <c r="L712" s="152"/>
      <c r="M712" s="152"/>
      <c r="N712" s="152"/>
      <c r="O712" s="152"/>
      <c r="P712" s="152"/>
      <c r="Q712" s="152"/>
      <c r="R712" s="152"/>
    </row>
    <row r="713">
      <c r="A713" s="152"/>
      <c r="B713" s="152"/>
      <c r="C713" s="152"/>
      <c r="D713" s="152"/>
      <c r="E713" s="152"/>
      <c r="F713" s="195"/>
      <c r="G713" s="152"/>
      <c r="H713" s="152"/>
      <c r="I713" s="152"/>
      <c r="J713" s="152"/>
      <c r="K713" s="152"/>
      <c r="L713" s="152"/>
      <c r="M713" s="152"/>
      <c r="N713" s="152"/>
      <c r="O713" s="152"/>
      <c r="P713" s="152"/>
      <c r="Q713" s="152"/>
      <c r="R713" s="152"/>
    </row>
    <row r="714">
      <c r="A714" s="152"/>
      <c r="B714" s="152"/>
      <c r="C714" s="152"/>
      <c r="D714" s="152"/>
      <c r="E714" s="152"/>
      <c r="F714" s="195"/>
      <c r="G714" s="152"/>
      <c r="H714" s="152"/>
      <c r="I714" s="152"/>
      <c r="J714" s="152"/>
      <c r="K714" s="152"/>
      <c r="L714" s="152"/>
      <c r="M714" s="152"/>
      <c r="N714" s="152"/>
      <c r="O714" s="152"/>
      <c r="P714" s="152"/>
      <c r="Q714" s="152"/>
      <c r="R714" s="152"/>
    </row>
    <row r="715">
      <c r="A715" s="152"/>
      <c r="B715" s="152"/>
      <c r="C715" s="152"/>
      <c r="D715" s="152"/>
      <c r="E715" s="152"/>
      <c r="F715" s="195"/>
      <c r="G715" s="152"/>
      <c r="H715" s="152"/>
      <c r="I715" s="152"/>
      <c r="J715" s="152"/>
      <c r="K715" s="152"/>
      <c r="L715" s="152"/>
      <c r="M715" s="152"/>
      <c r="N715" s="152"/>
      <c r="O715" s="152"/>
      <c r="P715" s="152"/>
      <c r="Q715" s="152"/>
      <c r="R715" s="152"/>
    </row>
    <row r="716">
      <c r="A716" s="152"/>
      <c r="B716" s="152"/>
      <c r="C716" s="152"/>
      <c r="D716" s="152"/>
      <c r="E716" s="152"/>
      <c r="F716" s="195"/>
      <c r="G716" s="152"/>
      <c r="H716" s="152"/>
      <c r="I716" s="152"/>
      <c r="J716" s="152"/>
      <c r="K716" s="152"/>
      <c r="L716" s="152"/>
      <c r="M716" s="152"/>
      <c r="N716" s="152"/>
      <c r="O716" s="152"/>
      <c r="P716" s="152"/>
      <c r="Q716" s="152"/>
      <c r="R716" s="152"/>
    </row>
    <row r="717">
      <c r="A717" s="152"/>
      <c r="B717" s="152"/>
      <c r="C717" s="152"/>
      <c r="D717" s="152"/>
      <c r="E717" s="152"/>
      <c r="F717" s="195"/>
      <c r="G717" s="152"/>
      <c r="H717" s="152"/>
      <c r="I717" s="152"/>
      <c r="J717" s="152"/>
      <c r="K717" s="152"/>
      <c r="L717" s="152"/>
      <c r="M717" s="152"/>
      <c r="N717" s="152"/>
      <c r="O717" s="152"/>
      <c r="P717" s="152"/>
      <c r="Q717" s="152"/>
      <c r="R717" s="152"/>
    </row>
    <row r="718">
      <c r="A718" s="152"/>
      <c r="B718" s="152"/>
      <c r="C718" s="152"/>
      <c r="D718" s="152"/>
      <c r="E718" s="152"/>
      <c r="F718" s="195"/>
      <c r="G718" s="152"/>
      <c r="H718" s="152"/>
      <c r="I718" s="152"/>
      <c r="J718" s="152"/>
      <c r="K718" s="152"/>
      <c r="L718" s="152"/>
      <c r="M718" s="152"/>
      <c r="N718" s="152"/>
      <c r="O718" s="152"/>
      <c r="P718" s="152"/>
      <c r="Q718" s="152"/>
      <c r="R718" s="152"/>
    </row>
    <row r="719">
      <c r="A719" s="152"/>
      <c r="B719" s="152"/>
      <c r="C719" s="152"/>
      <c r="D719" s="152"/>
      <c r="E719" s="152"/>
      <c r="F719" s="195"/>
      <c r="G719" s="152"/>
      <c r="H719" s="152"/>
      <c r="I719" s="152"/>
      <c r="J719" s="152"/>
      <c r="K719" s="152"/>
      <c r="L719" s="152"/>
      <c r="M719" s="152"/>
      <c r="N719" s="152"/>
      <c r="O719" s="152"/>
      <c r="P719" s="152"/>
      <c r="Q719" s="152"/>
      <c r="R719" s="152"/>
    </row>
    <row r="720">
      <c r="A720" s="152"/>
      <c r="B720" s="152"/>
      <c r="C720" s="152"/>
      <c r="D720" s="152"/>
      <c r="E720" s="152"/>
      <c r="F720" s="195"/>
      <c r="G720" s="152"/>
      <c r="H720" s="152"/>
      <c r="I720" s="152"/>
      <c r="J720" s="152"/>
      <c r="K720" s="152"/>
      <c r="L720" s="152"/>
      <c r="M720" s="152"/>
      <c r="N720" s="152"/>
      <c r="O720" s="152"/>
      <c r="P720" s="152"/>
      <c r="Q720" s="152"/>
      <c r="R720" s="152"/>
    </row>
    <row r="721">
      <c r="A721" s="152"/>
      <c r="B721" s="152"/>
      <c r="C721" s="152"/>
      <c r="D721" s="152"/>
      <c r="E721" s="152"/>
      <c r="F721" s="195"/>
      <c r="G721" s="152"/>
      <c r="H721" s="152"/>
      <c r="I721" s="152"/>
      <c r="J721" s="152"/>
      <c r="K721" s="152"/>
      <c r="L721" s="152"/>
      <c r="M721" s="152"/>
      <c r="N721" s="152"/>
      <c r="O721" s="152"/>
      <c r="P721" s="152"/>
      <c r="Q721" s="152"/>
      <c r="R721" s="152"/>
    </row>
    <row r="722">
      <c r="A722" s="152"/>
      <c r="B722" s="152"/>
      <c r="C722" s="152"/>
      <c r="D722" s="152"/>
      <c r="E722" s="152"/>
      <c r="F722" s="195"/>
      <c r="G722" s="152"/>
      <c r="H722" s="152"/>
      <c r="I722" s="152"/>
      <c r="J722" s="152"/>
      <c r="K722" s="152"/>
      <c r="L722" s="152"/>
      <c r="M722" s="152"/>
      <c r="N722" s="152"/>
      <c r="O722" s="152"/>
      <c r="P722" s="152"/>
      <c r="Q722" s="152"/>
      <c r="R722" s="152"/>
    </row>
    <row r="723">
      <c r="A723" s="152"/>
      <c r="B723" s="152"/>
      <c r="C723" s="152"/>
      <c r="D723" s="152"/>
      <c r="E723" s="152"/>
      <c r="F723" s="195"/>
      <c r="G723" s="152"/>
      <c r="H723" s="152"/>
      <c r="I723" s="152"/>
      <c r="J723" s="152"/>
      <c r="K723" s="152"/>
      <c r="L723" s="152"/>
      <c r="M723" s="152"/>
      <c r="N723" s="152"/>
      <c r="O723" s="152"/>
      <c r="P723" s="152"/>
      <c r="Q723" s="152"/>
      <c r="R723" s="152"/>
    </row>
    <row r="724">
      <c r="A724" s="152"/>
      <c r="B724" s="152"/>
      <c r="C724" s="152"/>
      <c r="D724" s="152"/>
      <c r="E724" s="152"/>
      <c r="F724" s="195"/>
      <c r="G724" s="152"/>
      <c r="H724" s="152"/>
      <c r="I724" s="152"/>
      <c r="J724" s="152"/>
      <c r="K724" s="152"/>
      <c r="L724" s="152"/>
      <c r="M724" s="152"/>
      <c r="N724" s="152"/>
      <c r="O724" s="152"/>
      <c r="P724" s="152"/>
      <c r="Q724" s="152"/>
      <c r="R724" s="152"/>
    </row>
    <row r="725">
      <c r="A725" s="152"/>
      <c r="B725" s="152"/>
      <c r="C725" s="152"/>
      <c r="D725" s="152"/>
      <c r="E725" s="152"/>
      <c r="F725" s="195"/>
      <c r="G725" s="152"/>
      <c r="H725" s="152"/>
      <c r="I725" s="152"/>
      <c r="J725" s="152"/>
      <c r="K725" s="152"/>
      <c r="L725" s="152"/>
      <c r="M725" s="152"/>
      <c r="N725" s="152"/>
      <c r="O725" s="152"/>
      <c r="P725" s="152"/>
      <c r="Q725" s="152"/>
      <c r="R725" s="152"/>
    </row>
    <row r="726">
      <c r="A726" s="152"/>
      <c r="B726" s="152"/>
      <c r="C726" s="152"/>
      <c r="D726" s="152"/>
      <c r="E726" s="152"/>
      <c r="F726" s="195"/>
      <c r="G726" s="152"/>
      <c r="H726" s="152"/>
      <c r="I726" s="152"/>
      <c r="J726" s="152"/>
      <c r="K726" s="152"/>
      <c r="L726" s="152"/>
      <c r="M726" s="152"/>
      <c r="N726" s="152"/>
      <c r="O726" s="152"/>
      <c r="P726" s="152"/>
      <c r="Q726" s="152"/>
      <c r="R726" s="152"/>
    </row>
    <row r="727">
      <c r="A727" s="152"/>
      <c r="B727" s="152"/>
      <c r="C727" s="152"/>
      <c r="D727" s="152"/>
      <c r="E727" s="152"/>
      <c r="F727" s="195"/>
      <c r="G727" s="152"/>
      <c r="H727" s="152"/>
      <c r="I727" s="152"/>
      <c r="J727" s="152"/>
      <c r="K727" s="152"/>
      <c r="L727" s="152"/>
      <c r="M727" s="152"/>
      <c r="N727" s="152"/>
      <c r="O727" s="152"/>
      <c r="P727" s="152"/>
      <c r="Q727" s="152"/>
      <c r="R727" s="152"/>
    </row>
    <row r="728">
      <c r="A728" s="152"/>
      <c r="B728" s="152"/>
      <c r="C728" s="152"/>
      <c r="D728" s="152"/>
      <c r="E728" s="152"/>
      <c r="F728" s="195"/>
      <c r="G728" s="152"/>
      <c r="H728" s="152"/>
      <c r="I728" s="152"/>
      <c r="J728" s="152"/>
      <c r="K728" s="152"/>
      <c r="L728" s="152"/>
      <c r="M728" s="152"/>
      <c r="N728" s="152"/>
      <c r="O728" s="152"/>
      <c r="P728" s="152"/>
      <c r="Q728" s="152"/>
      <c r="R728" s="152"/>
    </row>
    <row r="729">
      <c r="A729" s="152"/>
      <c r="B729" s="152"/>
      <c r="C729" s="152"/>
      <c r="D729" s="152"/>
      <c r="E729" s="152"/>
      <c r="F729" s="195"/>
      <c r="G729" s="152"/>
      <c r="H729" s="152"/>
      <c r="I729" s="152"/>
      <c r="J729" s="152"/>
      <c r="K729" s="152"/>
      <c r="L729" s="152"/>
      <c r="M729" s="152"/>
      <c r="N729" s="152"/>
      <c r="O729" s="152"/>
      <c r="P729" s="152"/>
      <c r="Q729" s="152"/>
      <c r="R729" s="152"/>
    </row>
    <row r="730">
      <c r="A730" s="152"/>
      <c r="B730" s="152"/>
      <c r="C730" s="152"/>
      <c r="D730" s="152"/>
      <c r="E730" s="152"/>
      <c r="F730" s="195"/>
      <c r="G730" s="152"/>
      <c r="H730" s="152"/>
      <c r="I730" s="152"/>
      <c r="J730" s="152"/>
      <c r="K730" s="152"/>
      <c r="L730" s="152"/>
      <c r="M730" s="152"/>
      <c r="N730" s="152"/>
      <c r="O730" s="152"/>
      <c r="P730" s="152"/>
      <c r="Q730" s="152"/>
      <c r="R730" s="152"/>
    </row>
    <row r="731">
      <c r="A731" s="152"/>
      <c r="B731" s="152"/>
      <c r="C731" s="152"/>
      <c r="D731" s="152"/>
      <c r="E731" s="152"/>
      <c r="F731" s="195"/>
      <c r="G731" s="152"/>
      <c r="H731" s="152"/>
      <c r="I731" s="152"/>
      <c r="J731" s="152"/>
      <c r="K731" s="152"/>
      <c r="L731" s="152"/>
      <c r="M731" s="152"/>
      <c r="N731" s="152"/>
      <c r="O731" s="152"/>
      <c r="P731" s="152"/>
      <c r="Q731" s="152"/>
      <c r="R731" s="152"/>
    </row>
    <row r="732">
      <c r="A732" s="152"/>
      <c r="B732" s="152"/>
      <c r="C732" s="152"/>
      <c r="D732" s="152"/>
      <c r="E732" s="152"/>
      <c r="F732" s="195"/>
      <c r="G732" s="152"/>
      <c r="H732" s="152"/>
      <c r="I732" s="152"/>
      <c r="J732" s="152"/>
      <c r="K732" s="152"/>
      <c r="L732" s="152"/>
      <c r="M732" s="152"/>
      <c r="N732" s="152"/>
      <c r="O732" s="152"/>
      <c r="P732" s="152"/>
      <c r="Q732" s="152"/>
      <c r="R732" s="152"/>
    </row>
    <row r="733">
      <c r="A733" s="152"/>
      <c r="B733" s="152"/>
      <c r="C733" s="152"/>
      <c r="D733" s="152"/>
      <c r="E733" s="152"/>
      <c r="F733" s="195"/>
      <c r="G733" s="152"/>
      <c r="H733" s="152"/>
      <c r="I733" s="152"/>
      <c r="J733" s="152"/>
      <c r="K733" s="152"/>
      <c r="L733" s="152"/>
      <c r="M733" s="152"/>
      <c r="N733" s="152"/>
      <c r="O733" s="152"/>
      <c r="P733" s="152"/>
      <c r="Q733" s="152"/>
      <c r="R733" s="152"/>
    </row>
    <row r="734">
      <c r="A734" s="152"/>
      <c r="B734" s="152"/>
      <c r="C734" s="152"/>
      <c r="D734" s="152"/>
      <c r="E734" s="152"/>
      <c r="F734" s="195"/>
      <c r="G734" s="152"/>
      <c r="H734" s="152"/>
      <c r="I734" s="152"/>
      <c r="J734" s="152"/>
      <c r="K734" s="152"/>
      <c r="L734" s="152"/>
      <c r="M734" s="152"/>
      <c r="N734" s="152"/>
      <c r="O734" s="152"/>
      <c r="P734" s="152"/>
      <c r="Q734" s="152"/>
      <c r="R734" s="152"/>
    </row>
    <row r="735">
      <c r="A735" s="152"/>
      <c r="B735" s="152"/>
      <c r="C735" s="152"/>
      <c r="D735" s="152"/>
      <c r="E735" s="152"/>
      <c r="F735" s="195"/>
      <c r="G735" s="152"/>
      <c r="H735" s="152"/>
      <c r="I735" s="152"/>
      <c r="J735" s="152"/>
      <c r="K735" s="152"/>
      <c r="L735" s="152"/>
      <c r="M735" s="152"/>
      <c r="N735" s="152"/>
      <c r="O735" s="152"/>
      <c r="P735" s="152"/>
      <c r="Q735" s="152"/>
      <c r="R735" s="152"/>
    </row>
    <row r="736">
      <c r="A736" s="152"/>
      <c r="B736" s="152"/>
      <c r="C736" s="152"/>
      <c r="D736" s="152"/>
      <c r="E736" s="152"/>
      <c r="F736" s="195"/>
      <c r="G736" s="152"/>
      <c r="H736" s="152"/>
      <c r="I736" s="152"/>
      <c r="J736" s="152"/>
      <c r="K736" s="152"/>
      <c r="L736" s="152"/>
      <c r="M736" s="152"/>
      <c r="N736" s="152"/>
      <c r="O736" s="152"/>
      <c r="P736" s="152"/>
      <c r="Q736" s="152"/>
      <c r="R736" s="152"/>
    </row>
    <row r="737">
      <c r="A737" s="152"/>
      <c r="B737" s="152"/>
      <c r="C737" s="152"/>
      <c r="D737" s="152"/>
      <c r="E737" s="152"/>
      <c r="F737" s="195"/>
      <c r="G737" s="152"/>
      <c r="H737" s="152"/>
      <c r="I737" s="152"/>
      <c r="J737" s="152"/>
      <c r="K737" s="152"/>
      <c r="L737" s="152"/>
      <c r="M737" s="152"/>
      <c r="N737" s="152"/>
      <c r="O737" s="152"/>
      <c r="P737" s="152"/>
      <c r="Q737" s="152"/>
      <c r="R737" s="152"/>
    </row>
    <row r="738">
      <c r="A738" s="152"/>
      <c r="B738" s="152"/>
      <c r="C738" s="152"/>
      <c r="D738" s="152"/>
      <c r="E738" s="152"/>
      <c r="F738" s="195"/>
      <c r="G738" s="152"/>
      <c r="H738" s="152"/>
      <c r="I738" s="152"/>
      <c r="J738" s="152"/>
      <c r="K738" s="152"/>
      <c r="L738" s="152"/>
      <c r="M738" s="152"/>
      <c r="N738" s="152"/>
      <c r="O738" s="152"/>
      <c r="P738" s="152"/>
      <c r="Q738" s="152"/>
      <c r="R738" s="152"/>
    </row>
    <row r="739">
      <c r="A739" s="152"/>
      <c r="B739" s="152"/>
      <c r="C739" s="152"/>
      <c r="D739" s="152"/>
      <c r="E739" s="152"/>
      <c r="F739" s="195"/>
      <c r="G739" s="152"/>
      <c r="H739" s="152"/>
      <c r="I739" s="152"/>
      <c r="J739" s="152"/>
      <c r="K739" s="152"/>
      <c r="L739" s="152"/>
      <c r="M739" s="152"/>
      <c r="N739" s="152"/>
      <c r="O739" s="152"/>
      <c r="P739" s="152"/>
      <c r="Q739" s="152"/>
      <c r="R739" s="152"/>
    </row>
    <row r="740">
      <c r="A740" s="152"/>
      <c r="B740" s="152"/>
      <c r="C740" s="152"/>
      <c r="D740" s="152"/>
      <c r="E740" s="152"/>
      <c r="F740" s="195"/>
      <c r="G740" s="152"/>
      <c r="H740" s="152"/>
      <c r="I740" s="152"/>
      <c r="J740" s="152"/>
      <c r="K740" s="152"/>
      <c r="L740" s="152"/>
      <c r="M740" s="152"/>
      <c r="N740" s="152"/>
      <c r="O740" s="152"/>
      <c r="P740" s="152"/>
      <c r="Q740" s="152"/>
      <c r="R740" s="152"/>
    </row>
    <row r="741">
      <c r="A741" s="152"/>
      <c r="B741" s="152"/>
      <c r="C741" s="152"/>
      <c r="D741" s="152"/>
      <c r="E741" s="152"/>
      <c r="F741" s="195"/>
      <c r="G741" s="152"/>
      <c r="H741" s="152"/>
      <c r="I741" s="152"/>
      <c r="J741" s="152"/>
      <c r="K741" s="152"/>
      <c r="L741" s="152"/>
      <c r="M741" s="152"/>
      <c r="N741" s="152"/>
      <c r="O741" s="152"/>
      <c r="P741" s="152"/>
      <c r="Q741" s="152"/>
      <c r="R741" s="152"/>
    </row>
    <row r="742">
      <c r="A742" s="152"/>
      <c r="B742" s="152"/>
      <c r="C742" s="152"/>
      <c r="D742" s="152"/>
      <c r="E742" s="152"/>
      <c r="F742" s="195"/>
      <c r="G742" s="152"/>
      <c r="H742" s="152"/>
      <c r="I742" s="152"/>
      <c r="J742" s="152"/>
      <c r="K742" s="152"/>
      <c r="L742" s="152"/>
      <c r="M742" s="152"/>
      <c r="N742" s="152"/>
      <c r="O742" s="152"/>
      <c r="P742" s="152"/>
      <c r="Q742" s="152"/>
      <c r="R742" s="152"/>
    </row>
    <row r="743">
      <c r="A743" s="152"/>
      <c r="B743" s="152"/>
      <c r="C743" s="152"/>
      <c r="D743" s="152"/>
      <c r="E743" s="152"/>
      <c r="F743" s="195"/>
      <c r="G743" s="152"/>
      <c r="H743" s="152"/>
      <c r="I743" s="152"/>
      <c r="J743" s="152"/>
      <c r="K743" s="152"/>
      <c r="L743" s="152"/>
      <c r="M743" s="152"/>
      <c r="N743" s="152"/>
      <c r="O743" s="152"/>
      <c r="P743" s="152"/>
      <c r="Q743" s="152"/>
      <c r="R743" s="152"/>
    </row>
    <row r="744">
      <c r="A744" s="152"/>
      <c r="B744" s="152"/>
      <c r="C744" s="152"/>
      <c r="D744" s="152"/>
      <c r="E744" s="152"/>
      <c r="F744" s="195"/>
      <c r="G744" s="152"/>
      <c r="H744" s="152"/>
      <c r="I744" s="152"/>
      <c r="J744" s="152"/>
      <c r="K744" s="152"/>
      <c r="L744" s="152"/>
      <c r="M744" s="152"/>
      <c r="N744" s="152"/>
      <c r="O744" s="152"/>
      <c r="P744" s="152"/>
      <c r="Q744" s="152"/>
      <c r="R744" s="152"/>
    </row>
    <row r="745">
      <c r="A745" s="152"/>
      <c r="B745" s="152"/>
      <c r="C745" s="152"/>
      <c r="D745" s="152"/>
      <c r="E745" s="152"/>
      <c r="F745" s="195"/>
      <c r="G745" s="152"/>
      <c r="H745" s="152"/>
      <c r="I745" s="152"/>
      <c r="J745" s="152"/>
      <c r="K745" s="152"/>
      <c r="L745" s="152"/>
      <c r="M745" s="152"/>
      <c r="N745" s="152"/>
      <c r="O745" s="152"/>
      <c r="P745" s="152"/>
      <c r="Q745" s="152"/>
      <c r="R745" s="152"/>
    </row>
    <row r="746">
      <c r="A746" s="152"/>
      <c r="B746" s="152"/>
      <c r="C746" s="152"/>
      <c r="D746" s="152"/>
      <c r="E746" s="152"/>
      <c r="F746" s="195"/>
      <c r="G746" s="152"/>
      <c r="H746" s="152"/>
      <c r="I746" s="152"/>
      <c r="J746" s="152"/>
      <c r="K746" s="152"/>
      <c r="L746" s="152"/>
      <c r="M746" s="152"/>
      <c r="N746" s="152"/>
      <c r="O746" s="152"/>
      <c r="P746" s="152"/>
      <c r="Q746" s="152"/>
      <c r="R746" s="152"/>
    </row>
    <row r="747">
      <c r="A747" s="152"/>
      <c r="B747" s="152"/>
      <c r="C747" s="152"/>
      <c r="D747" s="152"/>
      <c r="E747" s="152"/>
      <c r="F747" s="195"/>
      <c r="G747" s="152"/>
      <c r="H747" s="152"/>
      <c r="I747" s="152"/>
      <c r="J747" s="152"/>
      <c r="K747" s="152"/>
      <c r="L747" s="152"/>
      <c r="M747" s="152"/>
      <c r="N747" s="152"/>
      <c r="O747" s="152"/>
      <c r="P747" s="152"/>
      <c r="Q747" s="152"/>
      <c r="R747" s="152"/>
    </row>
    <row r="748">
      <c r="A748" s="152"/>
      <c r="B748" s="152"/>
      <c r="C748" s="152"/>
      <c r="D748" s="152"/>
      <c r="E748" s="152"/>
      <c r="F748" s="195"/>
      <c r="G748" s="152"/>
      <c r="H748" s="152"/>
      <c r="I748" s="152"/>
      <c r="J748" s="152"/>
      <c r="K748" s="152"/>
      <c r="L748" s="152"/>
      <c r="M748" s="152"/>
      <c r="N748" s="152"/>
      <c r="O748" s="152"/>
      <c r="P748" s="152"/>
      <c r="Q748" s="152"/>
      <c r="R748" s="152"/>
    </row>
    <row r="749">
      <c r="A749" s="152"/>
      <c r="B749" s="152"/>
      <c r="C749" s="152"/>
      <c r="D749" s="152"/>
      <c r="E749" s="152"/>
      <c r="F749" s="195"/>
      <c r="G749" s="152"/>
      <c r="H749" s="152"/>
      <c r="I749" s="152"/>
      <c r="J749" s="152"/>
      <c r="K749" s="152"/>
      <c r="L749" s="152"/>
      <c r="M749" s="152"/>
      <c r="N749" s="152"/>
      <c r="O749" s="152"/>
      <c r="P749" s="152"/>
      <c r="Q749" s="152"/>
      <c r="R749" s="152"/>
    </row>
    <row r="750">
      <c r="A750" s="152"/>
      <c r="B750" s="152"/>
      <c r="C750" s="152"/>
      <c r="D750" s="152"/>
      <c r="E750" s="152"/>
      <c r="F750" s="195"/>
      <c r="G750" s="152"/>
      <c r="H750" s="152"/>
      <c r="I750" s="152"/>
      <c r="J750" s="152"/>
      <c r="K750" s="152"/>
      <c r="L750" s="152"/>
      <c r="M750" s="152"/>
      <c r="N750" s="152"/>
      <c r="O750" s="152"/>
      <c r="P750" s="152"/>
      <c r="Q750" s="152"/>
      <c r="R750" s="152"/>
    </row>
    <row r="751">
      <c r="A751" s="152"/>
      <c r="B751" s="152"/>
      <c r="C751" s="152"/>
      <c r="D751" s="152"/>
      <c r="E751" s="152"/>
      <c r="F751" s="195"/>
      <c r="G751" s="152"/>
      <c r="H751" s="152"/>
      <c r="I751" s="152"/>
      <c r="J751" s="152"/>
      <c r="K751" s="152"/>
      <c r="L751" s="152"/>
      <c r="M751" s="152"/>
      <c r="N751" s="152"/>
      <c r="O751" s="152"/>
      <c r="P751" s="152"/>
      <c r="Q751" s="152"/>
      <c r="R751" s="152"/>
    </row>
    <row r="752">
      <c r="A752" s="152"/>
      <c r="B752" s="152"/>
      <c r="C752" s="152"/>
      <c r="D752" s="152"/>
      <c r="E752" s="152"/>
      <c r="F752" s="195"/>
      <c r="G752" s="152"/>
      <c r="H752" s="152"/>
      <c r="I752" s="152"/>
      <c r="J752" s="152"/>
      <c r="K752" s="152"/>
      <c r="L752" s="152"/>
      <c r="M752" s="152"/>
      <c r="N752" s="152"/>
      <c r="O752" s="152"/>
      <c r="P752" s="152"/>
      <c r="Q752" s="152"/>
      <c r="R752" s="152"/>
    </row>
    <row r="753">
      <c r="A753" s="152"/>
      <c r="B753" s="152"/>
      <c r="C753" s="152"/>
      <c r="D753" s="152"/>
      <c r="E753" s="152"/>
      <c r="F753" s="195"/>
      <c r="G753" s="152"/>
      <c r="H753" s="152"/>
      <c r="I753" s="152"/>
      <c r="J753" s="152"/>
      <c r="K753" s="152"/>
      <c r="L753" s="152"/>
      <c r="M753" s="152"/>
      <c r="N753" s="152"/>
      <c r="O753" s="152"/>
      <c r="P753" s="152"/>
      <c r="Q753" s="152"/>
      <c r="R753" s="152"/>
    </row>
    <row r="754">
      <c r="A754" s="152"/>
      <c r="B754" s="152"/>
      <c r="C754" s="152"/>
      <c r="D754" s="152"/>
      <c r="E754" s="152"/>
      <c r="F754" s="195"/>
      <c r="G754" s="152"/>
      <c r="H754" s="152"/>
      <c r="I754" s="152"/>
      <c r="J754" s="152"/>
      <c r="K754" s="152"/>
      <c r="L754" s="152"/>
      <c r="M754" s="152"/>
      <c r="N754" s="152"/>
      <c r="O754" s="152"/>
      <c r="P754" s="152"/>
      <c r="Q754" s="152"/>
      <c r="R754" s="152"/>
    </row>
    <row r="755">
      <c r="A755" s="152"/>
      <c r="B755" s="152"/>
      <c r="C755" s="152"/>
      <c r="D755" s="152"/>
      <c r="E755" s="152"/>
      <c r="F755" s="195"/>
      <c r="G755" s="152"/>
      <c r="H755" s="152"/>
      <c r="I755" s="152"/>
      <c r="J755" s="152"/>
      <c r="K755" s="152"/>
      <c r="L755" s="152"/>
      <c r="M755" s="152"/>
      <c r="N755" s="152"/>
      <c r="O755" s="152"/>
      <c r="P755" s="152"/>
      <c r="Q755" s="152"/>
      <c r="R755" s="152"/>
    </row>
    <row r="756">
      <c r="A756" s="152"/>
      <c r="B756" s="152"/>
      <c r="C756" s="152"/>
      <c r="D756" s="152"/>
      <c r="E756" s="152"/>
      <c r="F756" s="195"/>
      <c r="G756" s="152"/>
      <c r="H756" s="152"/>
      <c r="I756" s="152"/>
      <c r="J756" s="152"/>
      <c r="K756" s="152"/>
      <c r="L756" s="152"/>
      <c r="M756" s="152"/>
      <c r="N756" s="152"/>
      <c r="O756" s="152"/>
      <c r="P756" s="152"/>
      <c r="Q756" s="152"/>
      <c r="R756" s="152"/>
    </row>
    <row r="757">
      <c r="A757" s="152"/>
      <c r="B757" s="152"/>
      <c r="C757" s="152"/>
      <c r="D757" s="152"/>
      <c r="E757" s="152"/>
      <c r="F757" s="195"/>
      <c r="G757" s="152"/>
      <c r="H757" s="152"/>
      <c r="I757" s="152"/>
      <c r="J757" s="152"/>
      <c r="K757" s="152"/>
      <c r="L757" s="152"/>
      <c r="M757" s="152"/>
      <c r="N757" s="152"/>
      <c r="O757" s="152"/>
      <c r="P757" s="152"/>
      <c r="Q757" s="152"/>
      <c r="R757" s="152"/>
    </row>
    <row r="758">
      <c r="A758" s="152"/>
      <c r="B758" s="152"/>
      <c r="C758" s="152"/>
      <c r="D758" s="152"/>
      <c r="E758" s="152"/>
      <c r="F758" s="195"/>
      <c r="G758" s="152"/>
      <c r="H758" s="152"/>
      <c r="I758" s="152"/>
      <c r="J758" s="152"/>
      <c r="K758" s="152"/>
      <c r="L758" s="152"/>
      <c r="M758" s="152"/>
      <c r="N758" s="152"/>
      <c r="O758" s="152"/>
      <c r="P758" s="152"/>
      <c r="Q758" s="152"/>
      <c r="R758" s="152"/>
    </row>
    <row r="759">
      <c r="A759" s="152"/>
      <c r="B759" s="152"/>
      <c r="C759" s="152"/>
      <c r="D759" s="152"/>
      <c r="E759" s="152"/>
      <c r="F759" s="195"/>
      <c r="G759" s="152"/>
      <c r="H759" s="152"/>
      <c r="I759" s="152"/>
      <c r="J759" s="152"/>
      <c r="K759" s="152"/>
      <c r="L759" s="152"/>
      <c r="M759" s="152"/>
      <c r="N759" s="152"/>
      <c r="O759" s="152"/>
      <c r="P759" s="152"/>
      <c r="Q759" s="152"/>
      <c r="R759" s="152"/>
    </row>
    <row r="760">
      <c r="A760" s="152"/>
      <c r="B760" s="152"/>
      <c r="C760" s="152"/>
      <c r="D760" s="152"/>
      <c r="E760" s="152"/>
      <c r="F760" s="195"/>
      <c r="G760" s="152"/>
      <c r="H760" s="152"/>
      <c r="I760" s="152"/>
      <c r="J760" s="152"/>
      <c r="K760" s="152"/>
      <c r="L760" s="152"/>
      <c r="M760" s="152"/>
      <c r="N760" s="152"/>
      <c r="O760" s="152"/>
      <c r="P760" s="152"/>
      <c r="Q760" s="152"/>
      <c r="R760" s="152"/>
    </row>
    <row r="761">
      <c r="A761" s="152"/>
      <c r="B761" s="152"/>
      <c r="C761" s="152"/>
      <c r="D761" s="152"/>
      <c r="E761" s="152"/>
      <c r="F761" s="195"/>
      <c r="G761" s="152"/>
      <c r="H761" s="152"/>
      <c r="I761" s="152"/>
      <c r="J761" s="152"/>
      <c r="K761" s="152"/>
      <c r="L761" s="152"/>
      <c r="M761" s="152"/>
      <c r="N761" s="152"/>
      <c r="O761" s="152"/>
      <c r="P761" s="152"/>
      <c r="Q761" s="152"/>
      <c r="R761" s="152"/>
    </row>
    <row r="762">
      <c r="A762" s="152"/>
      <c r="B762" s="152"/>
      <c r="C762" s="152"/>
      <c r="D762" s="152"/>
      <c r="E762" s="152"/>
      <c r="F762" s="195"/>
      <c r="G762" s="152"/>
      <c r="H762" s="152"/>
      <c r="I762" s="152"/>
      <c r="J762" s="152"/>
      <c r="K762" s="152"/>
      <c r="L762" s="152"/>
      <c r="M762" s="152"/>
      <c r="N762" s="152"/>
      <c r="O762" s="152"/>
      <c r="P762" s="152"/>
      <c r="Q762" s="152"/>
      <c r="R762" s="152"/>
    </row>
    <row r="763">
      <c r="A763" s="152"/>
      <c r="B763" s="152"/>
      <c r="C763" s="152"/>
      <c r="D763" s="152"/>
      <c r="E763" s="152"/>
      <c r="F763" s="195"/>
      <c r="G763" s="152"/>
      <c r="H763" s="152"/>
      <c r="I763" s="152"/>
      <c r="J763" s="152"/>
      <c r="K763" s="152"/>
      <c r="L763" s="152"/>
      <c r="M763" s="152"/>
      <c r="N763" s="152"/>
      <c r="O763" s="152"/>
      <c r="P763" s="152"/>
      <c r="Q763" s="152"/>
      <c r="R763" s="152"/>
    </row>
    <row r="764">
      <c r="A764" s="152"/>
      <c r="B764" s="152"/>
      <c r="C764" s="152"/>
      <c r="D764" s="152"/>
      <c r="E764" s="152"/>
      <c r="F764" s="195"/>
      <c r="G764" s="152"/>
      <c r="H764" s="152"/>
      <c r="I764" s="152"/>
      <c r="J764" s="152"/>
      <c r="K764" s="152"/>
      <c r="L764" s="152"/>
      <c r="M764" s="152"/>
      <c r="N764" s="152"/>
      <c r="O764" s="152"/>
      <c r="P764" s="152"/>
      <c r="Q764" s="152"/>
      <c r="R764" s="152"/>
    </row>
    <row r="765">
      <c r="A765" s="152"/>
      <c r="B765" s="152"/>
      <c r="C765" s="152"/>
      <c r="D765" s="152"/>
      <c r="E765" s="152"/>
      <c r="F765" s="195"/>
      <c r="G765" s="152"/>
      <c r="H765" s="152"/>
      <c r="I765" s="152"/>
      <c r="J765" s="152"/>
      <c r="K765" s="152"/>
      <c r="L765" s="152"/>
      <c r="M765" s="152"/>
      <c r="N765" s="152"/>
      <c r="O765" s="152"/>
      <c r="P765" s="152"/>
      <c r="Q765" s="152"/>
      <c r="R765" s="152"/>
    </row>
    <row r="766">
      <c r="A766" s="152"/>
      <c r="B766" s="152"/>
      <c r="C766" s="152"/>
      <c r="D766" s="152"/>
      <c r="E766" s="152"/>
      <c r="F766" s="195"/>
      <c r="G766" s="152"/>
      <c r="H766" s="152"/>
      <c r="I766" s="152"/>
      <c r="J766" s="152"/>
      <c r="K766" s="152"/>
      <c r="L766" s="152"/>
      <c r="M766" s="152"/>
      <c r="N766" s="152"/>
      <c r="O766" s="152"/>
      <c r="P766" s="152"/>
      <c r="Q766" s="152"/>
      <c r="R766" s="152"/>
    </row>
    <row r="767">
      <c r="A767" s="152"/>
      <c r="B767" s="152"/>
      <c r="C767" s="152"/>
      <c r="D767" s="152"/>
      <c r="E767" s="152"/>
      <c r="F767" s="195"/>
      <c r="G767" s="152"/>
      <c r="H767" s="152"/>
      <c r="I767" s="152"/>
      <c r="J767" s="152"/>
      <c r="K767" s="152"/>
      <c r="L767" s="152"/>
      <c r="M767" s="152"/>
      <c r="N767" s="152"/>
      <c r="O767" s="152"/>
      <c r="P767" s="152"/>
      <c r="Q767" s="152"/>
      <c r="R767" s="152"/>
    </row>
    <row r="768">
      <c r="A768" s="152"/>
      <c r="B768" s="152"/>
      <c r="C768" s="152"/>
      <c r="D768" s="152"/>
      <c r="E768" s="152"/>
      <c r="F768" s="195"/>
      <c r="G768" s="152"/>
      <c r="H768" s="152"/>
      <c r="I768" s="152"/>
      <c r="J768" s="152"/>
      <c r="K768" s="152"/>
      <c r="L768" s="152"/>
      <c r="M768" s="152"/>
      <c r="N768" s="152"/>
      <c r="O768" s="152"/>
      <c r="P768" s="152"/>
      <c r="Q768" s="152"/>
      <c r="R768" s="152"/>
    </row>
    <row r="769">
      <c r="A769" s="152"/>
      <c r="B769" s="152"/>
      <c r="C769" s="152"/>
      <c r="D769" s="152"/>
      <c r="E769" s="152"/>
      <c r="F769" s="195"/>
      <c r="G769" s="152"/>
      <c r="H769" s="152"/>
      <c r="I769" s="152"/>
      <c r="J769" s="152"/>
      <c r="K769" s="152"/>
      <c r="L769" s="152"/>
      <c r="M769" s="152"/>
      <c r="N769" s="152"/>
      <c r="O769" s="152"/>
      <c r="P769" s="152"/>
      <c r="Q769" s="152"/>
      <c r="R769" s="152"/>
    </row>
    <row r="770">
      <c r="A770" s="152"/>
      <c r="B770" s="152"/>
      <c r="C770" s="152"/>
      <c r="D770" s="152"/>
      <c r="E770" s="152"/>
      <c r="F770" s="195"/>
      <c r="G770" s="152"/>
      <c r="H770" s="152"/>
      <c r="I770" s="152"/>
      <c r="J770" s="152"/>
      <c r="K770" s="152"/>
      <c r="L770" s="152"/>
      <c r="M770" s="152"/>
      <c r="N770" s="152"/>
      <c r="O770" s="152"/>
      <c r="P770" s="152"/>
      <c r="Q770" s="152"/>
      <c r="R770" s="152"/>
    </row>
    <row r="771">
      <c r="A771" s="152"/>
      <c r="B771" s="152"/>
      <c r="C771" s="152"/>
      <c r="D771" s="152"/>
      <c r="E771" s="152"/>
      <c r="F771" s="195"/>
      <c r="G771" s="152"/>
      <c r="H771" s="152"/>
      <c r="I771" s="152"/>
      <c r="J771" s="152"/>
      <c r="K771" s="152"/>
      <c r="L771" s="152"/>
      <c r="M771" s="152"/>
      <c r="N771" s="152"/>
      <c r="O771" s="152"/>
      <c r="P771" s="152"/>
      <c r="Q771" s="152"/>
      <c r="R771" s="152"/>
    </row>
    <row r="772">
      <c r="A772" s="152"/>
      <c r="B772" s="152"/>
      <c r="C772" s="152"/>
      <c r="D772" s="152"/>
      <c r="E772" s="152"/>
      <c r="F772" s="195"/>
      <c r="G772" s="152"/>
      <c r="H772" s="152"/>
      <c r="I772" s="152"/>
      <c r="J772" s="152"/>
      <c r="K772" s="152"/>
      <c r="L772" s="152"/>
      <c r="M772" s="152"/>
      <c r="N772" s="152"/>
      <c r="O772" s="152"/>
      <c r="P772" s="152"/>
      <c r="Q772" s="152"/>
      <c r="R772" s="152"/>
    </row>
    <row r="773">
      <c r="A773" s="152"/>
      <c r="B773" s="152"/>
      <c r="C773" s="152"/>
      <c r="D773" s="152"/>
      <c r="E773" s="152"/>
      <c r="F773" s="195"/>
      <c r="G773" s="152"/>
      <c r="H773" s="152"/>
      <c r="I773" s="152"/>
      <c r="J773" s="152"/>
      <c r="K773" s="152"/>
      <c r="L773" s="152"/>
      <c r="M773" s="152"/>
      <c r="N773" s="152"/>
      <c r="O773" s="152"/>
      <c r="P773" s="152"/>
      <c r="Q773" s="152"/>
      <c r="R773" s="152"/>
    </row>
    <row r="774">
      <c r="A774" s="152"/>
      <c r="B774" s="152"/>
      <c r="C774" s="152"/>
      <c r="D774" s="152"/>
      <c r="E774" s="152"/>
      <c r="F774" s="195"/>
      <c r="G774" s="152"/>
      <c r="H774" s="152"/>
      <c r="I774" s="152"/>
      <c r="J774" s="152"/>
      <c r="K774" s="152"/>
      <c r="L774" s="152"/>
      <c r="M774" s="152"/>
      <c r="N774" s="152"/>
      <c r="O774" s="152"/>
      <c r="P774" s="152"/>
      <c r="Q774" s="152"/>
      <c r="R774" s="152"/>
    </row>
    <row r="775">
      <c r="A775" s="152"/>
      <c r="B775" s="152"/>
      <c r="C775" s="152"/>
      <c r="D775" s="152"/>
      <c r="E775" s="152"/>
      <c r="F775" s="195"/>
      <c r="G775" s="152"/>
      <c r="H775" s="152"/>
      <c r="I775" s="152"/>
      <c r="J775" s="152"/>
      <c r="K775" s="152"/>
      <c r="L775" s="152"/>
      <c r="M775" s="152"/>
      <c r="N775" s="152"/>
      <c r="O775" s="152"/>
      <c r="P775" s="152"/>
      <c r="Q775" s="152"/>
      <c r="R775" s="152"/>
    </row>
    <row r="776">
      <c r="A776" s="152"/>
      <c r="B776" s="152"/>
      <c r="C776" s="152"/>
      <c r="D776" s="152"/>
      <c r="E776" s="152"/>
      <c r="F776" s="195"/>
      <c r="G776" s="152"/>
      <c r="H776" s="152"/>
      <c r="I776" s="152"/>
      <c r="J776" s="152"/>
      <c r="K776" s="152"/>
      <c r="L776" s="152"/>
      <c r="M776" s="152"/>
      <c r="N776" s="152"/>
      <c r="O776" s="152"/>
      <c r="P776" s="152"/>
      <c r="Q776" s="152"/>
      <c r="R776" s="152"/>
    </row>
    <row r="777">
      <c r="A777" s="152"/>
      <c r="B777" s="152"/>
      <c r="C777" s="152"/>
      <c r="D777" s="152"/>
      <c r="E777" s="152"/>
      <c r="F777" s="195"/>
      <c r="G777" s="152"/>
      <c r="H777" s="152"/>
      <c r="I777" s="152"/>
      <c r="J777" s="152"/>
      <c r="K777" s="152"/>
      <c r="L777" s="152"/>
      <c r="M777" s="152"/>
      <c r="N777" s="152"/>
      <c r="O777" s="152"/>
      <c r="P777" s="152"/>
      <c r="Q777" s="152"/>
      <c r="R777" s="152"/>
    </row>
    <row r="778">
      <c r="A778" s="152"/>
      <c r="B778" s="152"/>
      <c r="C778" s="152"/>
      <c r="D778" s="152"/>
      <c r="E778" s="152"/>
      <c r="F778" s="195"/>
      <c r="G778" s="152"/>
      <c r="H778" s="152"/>
      <c r="I778" s="152"/>
      <c r="J778" s="152"/>
      <c r="K778" s="152"/>
      <c r="L778" s="152"/>
      <c r="M778" s="152"/>
      <c r="N778" s="152"/>
      <c r="O778" s="152"/>
      <c r="P778" s="152"/>
      <c r="Q778" s="152"/>
      <c r="R778" s="152"/>
    </row>
    <row r="779">
      <c r="A779" s="152"/>
      <c r="B779" s="152"/>
      <c r="C779" s="152"/>
      <c r="D779" s="152"/>
      <c r="E779" s="152"/>
      <c r="F779" s="195"/>
      <c r="G779" s="152"/>
      <c r="H779" s="152"/>
      <c r="I779" s="152"/>
      <c r="J779" s="152"/>
      <c r="K779" s="152"/>
      <c r="L779" s="152"/>
      <c r="M779" s="152"/>
      <c r="N779" s="152"/>
      <c r="O779" s="152"/>
      <c r="P779" s="152"/>
      <c r="Q779" s="152"/>
      <c r="R779" s="152"/>
    </row>
    <row r="780">
      <c r="A780" s="152"/>
      <c r="B780" s="152"/>
      <c r="C780" s="152"/>
      <c r="D780" s="152"/>
      <c r="E780" s="152"/>
      <c r="F780" s="195"/>
      <c r="G780" s="152"/>
      <c r="H780" s="152"/>
      <c r="I780" s="152"/>
      <c r="J780" s="152"/>
      <c r="K780" s="152"/>
      <c r="L780" s="152"/>
      <c r="M780" s="152"/>
      <c r="N780" s="152"/>
      <c r="O780" s="152"/>
      <c r="P780" s="152"/>
      <c r="Q780" s="152"/>
      <c r="R780" s="152"/>
    </row>
    <row r="781">
      <c r="A781" s="152"/>
      <c r="B781" s="152"/>
      <c r="C781" s="152"/>
      <c r="D781" s="152"/>
      <c r="E781" s="152"/>
      <c r="F781" s="195"/>
      <c r="G781" s="152"/>
      <c r="H781" s="152"/>
      <c r="I781" s="152"/>
      <c r="J781" s="152"/>
      <c r="K781" s="152"/>
      <c r="L781" s="152"/>
      <c r="M781" s="152"/>
      <c r="N781" s="152"/>
      <c r="O781" s="152"/>
      <c r="P781" s="152"/>
      <c r="Q781" s="152"/>
      <c r="R781" s="152"/>
    </row>
    <row r="782">
      <c r="A782" s="152"/>
      <c r="B782" s="152"/>
      <c r="C782" s="152"/>
      <c r="D782" s="152"/>
      <c r="E782" s="152"/>
      <c r="F782" s="195"/>
      <c r="G782" s="152"/>
      <c r="H782" s="152"/>
      <c r="I782" s="152"/>
      <c r="J782" s="152"/>
      <c r="K782" s="152"/>
      <c r="L782" s="152"/>
      <c r="M782" s="152"/>
      <c r="N782" s="152"/>
      <c r="O782" s="152"/>
      <c r="P782" s="152"/>
      <c r="Q782" s="152"/>
      <c r="R782" s="152"/>
    </row>
    <row r="783">
      <c r="A783" s="152"/>
      <c r="B783" s="152"/>
      <c r="C783" s="152"/>
      <c r="D783" s="152"/>
      <c r="E783" s="152"/>
      <c r="F783" s="195"/>
      <c r="G783" s="152"/>
      <c r="H783" s="152"/>
      <c r="I783" s="152"/>
      <c r="J783" s="152"/>
      <c r="K783" s="152"/>
      <c r="L783" s="152"/>
      <c r="M783" s="152"/>
      <c r="N783" s="152"/>
      <c r="O783" s="152"/>
      <c r="P783" s="152"/>
      <c r="Q783" s="152"/>
      <c r="R783" s="152"/>
    </row>
    <row r="784">
      <c r="A784" s="152"/>
      <c r="B784" s="152"/>
      <c r="C784" s="152"/>
      <c r="D784" s="152"/>
      <c r="E784" s="152"/>
      <c r="F784" s="195"/>
      <c r="G784" s="152"/>
      <c r="H784" s="152"/>
      <c r="I784" s="152"/>
      <c r="J784" s="152"/>
      <c r="K784" s="152"/>
      <c r="L784" s="152"/>
      <c r="M784" s="152"/>
      <c r="N784" s="152"/>
      <c r="O784" s="152"/>
      <c r="P784" s="152"/>
      <c r="Q784" s="152"/>
      <c r="R784" s="152"/>
    </row>
    <row r="785">
      <c r="A785" s="152"/>
      <c r="B785" s="152"/>
      <c r="C785" s="152"/>
      <c r="D785" s="152"/>
      <c r="E785" s="152"/>
      <c r="F785" s="195"/>
      <c r="G785" s="152"/>
      <c r="H785" s="152"/>
      <c r="I785" s="152"/>
      <c r="J785" s="152"/>
      <c r="K785" s="152"/>
      <c r="L785" s="152"/>
      <c r="M785" s="152"/>
      <c r="N785" s="152"/>
      <c r="O785" s="152"/>
      <c r="P785" s="152"/>
      <c r="Q785" s="152"/>
      <c r="R785" s="152"/>
    </row>
    <row r="786">
      <c r="A786" s="152"/>
      <c r="B786" s="152"/>
      <c r="C786" s="152"/>
      <c r="D786" s="152"/>
      <c r="E786" s="152"/>
      <c r="F786" s="195"/>
      <c r="G786" s="152"/>
      <c r="H786" s="152"/>
      <c r="I786" s="152"/>
      <c r="J786" s="152"/>
      <c r="K786" s="152"/>
      <c r="L786" s="152"/>
      <c r="M786" s="152"/>
      <c r="N786" s="152"/>
      <c r="O786" s="152"/>
      <c r="P786" s="152"/>
      <c r="Q786" s="152"/>
      <c r="R786" s="152"/>
    </row>
    <row r="787">
      <c r="A787" s="152"/>
      <c r="B787" s="152"/>
      <c r="C787" s="152"/>
      <c r="D787" s="152"/>
      <c r="E787" s="152"/>
      <c r="F787" s="195"/>
      <c r="G787" s="152"/>
      <c r="H787" s="152"/>
      <c r="I787" s="152"/>
      <c r="J787" s="152"/>
      <c r="K787" s="152"/>
      <c r="L787" s="152"/>
      <c r="M787" s="152"/>
      <c r="N787" s="152"/>
      <c r="O787" s="152"/>
      <c r="P787" s="152"/>
      <c r="Q787" s="152"/>
      <c r="R787" s="152"/>
    </row>
    <row r="788">
      <c r="A788" s="152"/>
      <c r="B788" s="152"/>
      <c r="C788" s="152"/>
      <c r="D788" s="152"/>
      <c r="E788" s="152"/>
      <c r="F788" s="195"/>
      <c r="G788" s="152"/>
      <c r="H788" s="152"/>
      <c r="I788" s="152"/>
      <c r="J788" s="152"/>
      <c r="K788" s="152"/>
      <c r="L788" s="152"/>
      <c r="M788" s="152"/>
      <c r="N788" s="152"/>
      <c r="O788" s="152"/>
      <c r="P788" s="152"/>
      <c r="Q788" s="152"/>
      <c r="R788" s="152"/>
    </row>
    <row r="789">
      <c r="A789" s="152"/>
      <c r="B789" s="152"/>
      <c r="C789" s="152"/>
      <c r="D789" s="152"/>
      <c r="E789" s="152"/>
      <c r="F789" s="195"/>
      <c r="G789" s="152"/>
      <c r="H789" s="152"/>
      <c r="I789" s="152"/>
      <c r="J789" s="152"/>
      <c r="K789" s="152"/>
      <c r="L789" s="152"/>
      <c r="M789" s="152"/>
      <c r="N789" s="152"/>
      <c r="O789" s="152"/>
      <c r="P789" s="152"/>
      <c r="Q789" s="152"/>
      <c r="R789" s="152"/>
    </row>
    <row r="790">
      <c r="A790" s="152"/>
      <c r="B790" s="152"/>
      <c r="C790" s="152"/>
      <c r="D790" s="152"/>
      <c r="E790" s="152"/>
      <c r="F790" s="195"/>
      <c r="G790" s="152"/>
      <c r="H790" s="152"/>
      <c r="I790" s="152"/>
      <c r="J790" s="152"/>
      <c r="K790" s="152"/>
      <c r="L790" s="152"/>
      <c r="M790" s="152"/>
      <c r="N790" s="152"/>
      <c r="O790" s="152"/>
      <c r="P790" s="152"/>
      <c r="Q790" s="152"/>
      <c r="R790" s="152"/>
    </row>
    <row r="791">
      <c r="A791" s="152"/>
      <c r="B791" s="152"/>
      <c r="C791" s="152"/>
      <c r="D791" s="152"/>
      <c r="E791" s="152"/>
      <c r="F791" s="195"/>
      <c r="G791" s="152"/>
      <c r="H791" s="152"/>
      <c r="I791" s="152"/>
      <c r="J791" s="152"/>
      <c r="K791" s="152"/>
      <c r="L791" s="152"/>
      <c r="M791" s="152"/>
      <c r="N791" s="152"/>
      <c r="O791" s="152"/>
      <c r="P791" s="152"/>
      <c r="Q791" s="152"/>
      <c r="R791" s="152"/>
    </row>
    <row r="792">
      <c r="A792" s="152"/>
      <c r="B792" s="152"/>
      <c r="C792" s="152"/>
      <c r="D792" s="152"/>
      <c r="E792" s="152"/>
      <c r="F792" s="195"/>
      <c r="G792" s="152"/>
      <c r="H792" s="152"/>
      <c r="I792" s="152"/>
      <c r="J792" s="152"/>
      <c r="K792" s="152"/>
      <c r="L792" s="152"/>
      <c r="M792" s="152"/>
      <c r="N792" s="152"/>
      <c r="O792" s="152"/>
      <c r="P792" s="152"/>
      <c r="Q792" s="152"/>
      <c r="R792" s="152"/>
    </row>
    <row r="793">
      <c r="A793" s="152"/>
      <c r="B793" s="152"/>
      <c r="C793" s="152"/>
      <c r="D793" s="152"/>
      <c r="E793" s="152"/>
      <c r="F793" s="195"/>
      <c r="G793" s="152"/>
      <c r="H793" s="152"/>
      <c r="I793" s="152"/>
      <c r="J793" s="152"/>
      <c r="K793" s="152"/>
      <c r="L793" s="152"/>
      <c r="M793" s="152"/>
      <c r="N793" s="152"/>
      <c r="O793" s="152"/>
      <c r="P793" s="152"/>
      <c r="Q793" s="152"/>
      <c r="R793" s="152"/>
    </row>
    <row r="794">
      <c r="A794" s="152"/>
      <c r="B794" s="152"/>
      <c r="C794" s="152"/>
      <c r="D794" s="152"/>
      <c r="E794" s="152"/>
      <c r="F794" s="195"/>
      <c r="G794" s="152"/>
      <c r="H794" s="152"/>
      <c r="I794" s="152"/>
      <c r="J794" s="152"/>
      <c r="K794" s="152"/>
      <c r="L794" s="152"/>
      <c r="M794" s="152"/>
      <c r="N794" s="152"/>
      <c r="O794" s="152"/>
      <c r="P794" s="152"/>
      <c r="Q794" s="152"/>
      <c r="R794" s="152"/>
    </row>
    <row r="795">
      <c r="A795" s="152"/>
      <c r="B795" s="152"/>
      <c r="C795" s="152"/>
      <c r="D795" s="152"/>
      <c r="E795" s="152"/>
      <c r="F795" s="195"/>
      <c r="G795" s="152"/>
      <c r="H795" s="152"/>
      <c r="I795" s="152"/>
      <c r="J795" s="152"/>
      <c r="K795" s="152"/>
      <c r="L795" s="152"/>
      <c r="M795" s="152"/>
      <c r="N795" s="152"/>
      <c r="O795" s="152"/>
      <c r="P795" s="152"/>
      <c r="Q795" s="152"/>
      <c r="R795" s="152"/>
    </row>
    <row r="796">
      <c r="A796" s="152"/>
      <c r="B796" s="152"/>
      <c r="C796" s="152"/>
      <c r="D796" s="152"/>
      <c r="E796" s="152"/>
      <c r="F796" s="195"/>
      <c r="G796" s="152"/>
      <c r="H796" s="152"/>
      <c r="I796" s="152"/>
      <c r="J796" s="152"/>
      <c r="K796" s="152"/>
      <c r="L796" s="152"/>
      <c r="M796" s="152"/>
      <c r="N796" s="152"/>
      <c r="O796" s="152"/>
      <c r="P796" s="152"/>
      <c r="Q796" s="152"/>
      <c r="R796" s="152"/>
    </row>
    <row r="797">
      <c r="A797" s="152"/>
      <c r="B797" s="152"/>
      <c r="C797" s="152"/>
      <c r="D797" s="152"/>
      <c r="E797" s="152"/>
      <c r="F797" s="195"/>
      <c r="G797" s="152"/>
      <c r="H797" s="152"/>
      <c r="I797" s="152"/>
      <c r="J797" s="152"/>
      <c r="K797" s="152"/>
      <c r="L797" s="152"/>
      <c r="M797" s="152"/>
      <c r="N797" s="152"/>
      <c r="O797" s="152"/>
      <c r="P797" s="152"/>
      <c r="Q797" s="152"/>
      <c r="R797" s="152"/>
    </row>
    <row r="798">
      <c r="A798" s="152"/>
      <c r="B798" s="152"/>
      <c r="C798" s="152"/>
      <c r="D798" s="152"/>
      <c r="E798" s="152"/>
      <c r="F798" s="195"/>
      <c r="G798" s="152"/>
      <c r="H798" s="152"/>
      <c r="I798" s="152"/>
      <c r="J798" s="152"/>
      <c r="K798" s="152"/>
      <c r="L798" s="152"/>
      <c r="M798" s="152"/>
      <c r="N798" s="152"/>
      <c r="O798" s="152"/>
      <c r="P798" s="152"/>
      <c r="Q798" s="152"/>
      <c r="R798" s="152"/>
    </row>
    <row r="799">
      <c r="A799" s="152"/>
      <c r="B799" s="152"/>
      <c r="C799" s="152"/>
      <c r="D799" s="152"/>
      <c r="E799" s="152"/>
      <c r="F799" s="195"/>
      <c r="G799" s="152"/>
      <c r="H799" s="152"/>
      <c r="I799" s="152"/>
      <c r="J799" s="152"/>
      <c r="K799" s="152"/>
      <c r="L799" s="152"/>
      <c r="M799" s="152"/>
      <c r="N799" s="152"/>
      <c r="O799" s="152"/>
      <c r="P799" s="152"/>
      <c r="Q799" s="152"/>
      <c r="R799" s="152"/>
    </row>
    <row r="800">
      <c r="A800" s="152"/>
      <c r="B800" s="152"/>
      <c r="C800" s="152"/>
      <c r="D800" s="152"/>
      <c r="E800" s="152"/>
      <c r="F800" s="195"/>
      <c r="G800" s="152"/>
      <c r="H800" s="152"/>
      <c r="I800" s="152"/>
      <c r="J800" s="152"/>
      <c r="K800" s="152"/>
      <c r="L800" s="152"/>
      <c r="M800" s="152"/>
      <c r="N800" s="152"/>
      <c r="O800" s="152"/>
      <c r="P800" s="152"/>
      <c r="Q800" s="152"/>
      <c r="R800" s="152"/>
    </row>
    <row r="801">
      <c r="A801" s="152"/>
      <c r="B801" s="152"/>
      <c r="C801" s="152"/>
      <c r="D801" s="152"/>
      <c r="E801" s="152"/>
      <c r="F801" s="195"/>
      <c r="G801" s="152"/>
      <c r="H801" s="152"/>
      <c r="I801" s="152"/>
      <c r="J801" s="152"/>
      <c r="K801" s="152"/>
      <c r="L801" s="152"/>
      <c r="M801" s="152"/>
      <c r="N801" s="152"/>
      <c r="O801" s="152"/>
      <c r="P801" s="152"/>
      <c r="Q801" s="152"/>
      <c r="R801" s="152"/>
    </row>
    <row r="802">
      <c r="A802" s="152"/>
      <c r="B802" s="152"/>
      <c r="C802" s="152"/>
      <c r="D802" s="152"/>
      <c r="E802" s="152"/>
      <c r="F802" s="195"/>
      <c r="G802" s="152"/>
      <c r="H802" s="152"/>
      <c r="I802" s="152"/>
      <c r="J802" s="152"/>
      <c r="K802" s="152"/>
      <c r="L802" s="152"/>
      <c r="M802" s="152"/>
      <c r="N802" s="152"/>
      <c r="O802" s="152"/>
      <c r="P802" s="152"/>
      <c r="Q802" s="152"/>
      <c r="R802" s="152"/>
    </row>
    <row r="803">
      <c r="A803" s="152"/>
      <c r="B803" s="152"/>
      <c r="C803" s="152"/>
      <c r="D803" s="152"/>
      <c r="E803" s="152"/>
      <c r="F803" s="195"/>
      <c r="G803" s="152"/>
      <c r="H803" s="152"/>
      <c r="I803" s="152"/>
      <c r="J803" s="152"/>
      <c r="K803" s="152"/>
      <c r="L803" s="152"/>
      <c r="M803" s="152"/>
      <c r="N803" s="152"/>
      <c r="O803" s="152"/>
      <c r="P803" s="152"/>
      <c r="Q803" s="152"/>
      <c r="R803" s="152"/>
    </row>
    <row r="804">
      <c r="A804" s="152"/>
      <c r="B804" s="152"/>
      <c r="C804" s="152"/>
      <c r="D804" s="152"/>
      <c r="E804" s="152"/>
      <c r="F804" s="195"/>
      <c r="G804" s="152"/>
      <c r="H804" s="152"/>
      <c r="I804" s="152"/>
      <c r="J804" s="152"/>
      <c r="K804" s="152"/>
      <c r="L804" s="152"/>
      <c r="M804" s="152"/>
      <c r="N804" s="152"/>
      <c r="O804" s="152"/>
      <c r="P804" s="152"/>
      <c r="Q804" s="152"/>
      <c r="R804" s="152"/>
    </row>
    <row r="805">
      <c r="A805" s="152"/>
      <c r="B805" s="152"/>
      <c r="C805" s="152"/>
      <c r="D805" s="152"/>
      <c r="E805" s="152"/>
      <c r="F805" s="195"/>
      <c r="G805" s="152"/>
      <c r="H805" s="152"/>
      <c r="I805" s="152"/>
      <c r="J805" s="152"/>
      <c r="K805" s="152"/>
      <c r="L805" s="152"/>
      <c r="M805" s="152"/>
      <c r="N805" s="152"/>
      <c r="O805" s="152"/>
      <c r="P805" s="152"/>
      <c r="Q805" s="152"/>
      <c r="R805" s="152"/>
    </row>
    <row r="806">
      <c r="A806" s="152"/>
      <c r="B806" s="152"/>
      <c r="C806" s="152"/>
      <c r="D806" s="152"/>
      <c r="E806" s="152"/>
      <c r="F806" s="195"/>
      <c r="G806" s="152"/>
      <c r="H806" s="152"/>
      <c r="I806" s="152"/>
      <c r="J806" s="152"/>
      <c r="K806" s="152"/>
      <c r="L806" s="152"/>
      <c r="M806" s="152"/>
      <c r="N806" s="152"/>
      <c r="O806" s="152"/>
      <c r="P806" s="152"/>
      <c r="Q806" s="152"/>
      <c r="R806" s="152"/>
    </row>
    <row r="807">
      <c r="A807" s="152"/>
      <c r="B807" s="152"/>
      <c r="C807" s="152"/>
      <c r="D807" s="152"/>
      <c r="E807" s="152"/>
      <c r="F807" s="195"/>
      <c r="G807" s="152"/>
      <c r="H807" s="152"/>
      <c r="I807" s="152"/>
      <c r="J807" s="152"/>
      <c r="K807" s="152"/>
      <c r="L807" s="152"/>
      <c r="M807" s="152"/>
      <c r="N807" s="152"/>
      <c r="O807" s="152"/>
      <c r="P807" s="152"/>
      <c r="Q807" s="152"/>
      <c r="R807" s="152"/>
    </row>
    <row r="808">
      <c r="A808" s="152"/>
      <c r="B808" s="152"/>
      <c r="C808" s="152"/>
      <c r="D808" s="152"/>
      <c r="E808" s="152"/>
      <c r="F808" s="195"/>
      <c r="G808" s="152"/>
      <c r="H808" s="152"/>
      <c r="I808" s="152"/>
      <c r="J808" s="152"/>
      <c r="K808" s="152"/>
      <c r="L808" s="152"/>
      <c r="M808" s="152"/>
      <c r="N808" s="152"/>
      <c r="O808" s="152"/>
      <c r="P808" s="152"/>
      <c r="Q808" s="152"/>
      <c r="R808" s="152"/>
    </row>
    <row r="809">
      <c r="A809" s="152"/>
      <c r="B809" s="152"/>
      <c r="C809" s="152"/>
      <c r="D809" s="152"/>
      <c r="E809" s="152"/>
      <c r="F809" s="195"/>
      <c r="G809" s="152"/>
      <c r="H809" s="152"/>
      <c r="I809" s="152"/>
      <c r="J809" s="152"/>
      <c r="K809" s="152"/>
      <c r="L809" s="152"/>
      <c r="M809" s="152"/>
      <c r="N809" s="152"/>
      <c r="O809" s="152"/>
      <c r="P809" s="152"/>
      <c r="Q809" s="152"/>
      <c r="R809" s="152"/>
    </row>
    <row r="810">
      <c r="A810" s="152"/>
      <c r="B810" s="152"/>
      <c r="C810" s="152"/>
      <c r="D810" s="152"/>
      <c r="E810" s="152"/>
      <c r="F810" s="195"/>
      <c r="G810" s="152"/>
      <c r="H810" s="152"/>
      <c r="I810" s="152"/>
      <c r="J810" s="152"/>
      <c r="K810" s="152"/>
      <c r="L810" s="152"/>
      <c r="M810" s="152"/>
      <c r="N810" s="152"/>
      <c r="O810" s="152"/>
      <c r="P810" s="152"/>
      <c r="Q810" s="152"/>
      <c r="R810" s="152"/>
    </row>
    <row r="811">
      <c r="A811" s="152"/>
      <c r="B811" s="152"/>
      <c r="C811" s="152"/>
      <c r="D811" s="152"/>
      <c r="E811" s="152"/>
      <c r="F811" s="195"/>
      <c r="G811" s="152"/>
      <c r="H811" s="152"/>
      <c r="I811" s="152"/>
      <c r="J811" s="152"/>
      <c r="K811" s="152"/>
      <c r="L811" s="152"/>
      <c r="M811" s="152"/>
      <c r="N811" s="152"/>
      <c r="O811" s="152"/>
      <c r="P811" s="152"/>
      <c r="Q811" s="152"/>
      <c r="R811" s="152"/>
    </row>
    <row r="812">
      <c r="A812" s="152"/>
      <c r="B812" s="152"/>
      <c r="C812" s="152"/>
      <c r="D812" s="152"/>
      <c r="E812" s="152"/>
      <c r="F812" s="195"/>
      <c r="G812" s="152"/>
      <c r="H812" s="152"/>
      <c r="I812" s="152"/>
      <c r="J812" s="152"/>
      <c r="K812" s="152"/>
      <c r="L812" s="152"/>
      <c r="M812" s="152"/>
      <c r="N812" s="152"/>
      <c r="O812" s="152"/>
      <c r="P812" s="152"/>
      <c r="Q812" s="152"/>
      <c r="R812" s="152"/>
    </row>
    <row r="813">
      <c r="A813" s="152"/>
      <c r="B813" s="152"/>
      <c r="C813" s="152"/>
      <c r="D813" s="152"/>
      <c r="E813" s="152"/>
      <c r="F813" s="195"/>
      <c r="G813" s="152"/>
      <c r="H813" s="152"/>
      <c r="I813" s="152"/>
      <c r="J813" s="152"/>
      <c r="K813" s="152"/>
      <c r="L813" s="152"/>
      <c r="M813" s="152"/>
      <c r="N813" s="152"/>
      <c r="O813" s="152"/>
      <c r="P813" s="152"/>
      <c r="Q813" s="152"/>
      <c r="R813" s="152"/>
    </row>
    <row r="814">
      <c r="A814" s="152"/>
      <c r="B814" s="152"/>
      <c r="C814" s="152"/>
      <c r="D814" s="152"/>
      <c r="E814" s="152"/>
      <c r="F814" s="195"/>
      <c r="G814" s="152"/>
      <c r="H814" s="152"/>
      <c r="I814" s="152"/>
      <c r="J814" s="152"/>
      <c r="K814" s="152"/>
      <c r="L814" s="152"/>
      <c r="M814" s="152"/>
      <c r="N814" s="152"/>
      <c r="O814" s="152"/>
      <c r="P814" s="152"/>
      <c r="Q814" s="152"/>
      <c r="R814" s="152"/>
    </row>
    <row r="815">
      <c r="A815" s="152"/>
      <c r="B815" s="152"/>
      <c r="C815" s="152"/>
      <c r="D815" s="152"/>
      <c r="E815" s="152"/>
      <c r="F815" s="195"/>
      <c r="G815" s="152"/>
      <c r="H815" s="152"/>
      <c r="I815" s="152"/>
      <c r="J815" s="152"/>
      <c r="K815" s="152"/>
      <c r="L815" s="152"/>
      <c r="M815" s="152"/>
      <c r="N815" s="152"/>
      <c r="O815" s="152"/>
      <c r="P815" s="152"/>
      <c r="Q815" s="152"/>
      <c r="R815" s="152"/>
    </row>
    <row r="816">
      <c r="A816" s="152"/>
      <c r="B816" s="152"/>
      <c r="C816" s="152"/>
      <c r="D816" s="152"/>
      <c r="E816" s="152"/>
      <c r="F816" s="195"/>
      <c r="G816" s="152"/>
      <c r="H816" s="152"/>
      <c r="I816" s="152"/>
      <c r="J816" s="152"/>
      <c r="K816" s="152"/>
      <c r="L816" s="152"/>
      <c r="M816" s="152"/>
      <c r="N816" s="152"/>
      <c r="O816" s="152"/>
      <c r="P816" s="152"/>
      <c r="Q816" s="152"/>
      <c r="R816" s="152"/>
    </row>
    <row r="817">
      <c r="A817" s="152"/>
      <c r="B817" s="152"/>
      <c r="C817" s="152"/>
      <c r="D817" s="152"/>
      <c r="E817" s="152"/>
      <c r="F817" s="195"/>
      <c r="G817" s="152"/>
      <c r="H817" s="152"/>
      <c r="I817" s="152"/>
      <c r="J817" s="152"/>
      <c r="K817" s="152"/>
      <c r="L817" s="152"/>
      <c r="M817" s="152"/>
      <c r="N817" s="152"/>
      <c r="O817" s="152"/>
      <c r="P817" s="152"/>
      <c r="Q817" s="152"/>
      <c r="R817" s="152"/>
    </row>
    <row r="818">
      <c r="A818" s="152"/>
      <c r="B818" s="152"/>
      <c r="C818" s="152"/>
      <c r="D818" s="152"/>
      <c r="E818" s="152"/>
      <c r="F818" s="195"/>
      <c r="G818" s="152"/>
      <c r="H818" s="152"/>
      <c r="I818" s="152"/>
      <c r="J818" s="152"/>
      <c r="K818" s="152"/>
      <c r="L818" s="152"/>
      <c r="M818" s="152"/>
      <c r="N818" s="152"/>
      <c r="O818" s="152"/>
      <c r="P818" s="152"/>
      <c r="Q818" s="152"/>
      <c r="R818" s="152"/>
    </row>
    <row r="819">
      <c r="A819" s="152"/>
      <c r="B819" s="152"/>
      <c r="C819" s="152"/>
      <c r="D819" s="152"/>
      <c r="E819" s="152"/>
      <c r="F819" s="195"/>
      <c r="G819" s="152"/>
      <c r="H819" s="152"/>
      <c r="I819" s="152"/>
      <c r="J819" s="152"/>
      <c r="K819" s="152"/>
      <c r="L819" s="152"/>
      <c r="M819" s="152"/>
      <c r="N819" s="152"/>
      <c r="O819" s="152"/>
      <c r="P819" s="152"/>
      <c r="Q819" s="152"/>
      <c r="R819" s="152"/>
    </row>
    <row r="820">
      <c r="A820" s="152"/>
      <c r="B820" s="152"/>
      <c r="C820" s="152"/>
      <c r="D820" s="152"/>
      <c r="E820" s="152"/>
      <c r="F820" s="195"/>
      <c r="G820" s="152"/>
      <c r="H820" s="152"/>
      <c r="I820" s="152"/>
      <c r="J820" s="152"/>
      <c r="K820" s="152"/>
      <c r="L820" s="152"/>
      <c r="M820" s="152"/>
      <c r="N820" s="152"/>
      <c r="O820" s="152"/>
      <c r="P820" s="152"/>
      <c r="Q820" s="152"/>
      <c r="R820" s="152"/>
    </row>
    <row r="821">
      <c r="A821" s="152"/>
      <c r="B821" s="152"/>
      <c r="C821" s="152"/>
      <c r="D821" s="152"/>
      <c r="E821" s="152"/>
      <c r="F821" s="195"/>
      <c r="G821" s="152"/>
      <c r="H821" s="152"/>
      <c r="I821" s="152"/>
      <c r="J821" s="152"/>
      <c r="K821" s="152"/>
      <c r="L821" s="152"/>
      <c r="M821" s="152"/>
      <c r="N821" s="152"/>
      <c r="O821" s="152"/>
      <c r="P821" s="152"/>
      <c r="Q821" s="152"/>
      <c r="R821" s="152"/>
    </row>
    <row r="822">
      <c r="A822" s="152"/>
      <c r="B822" s="152"/>
      <c r="C822" s="152"/>
      <c r="D822" s="152"/>
      <c r="E822" s="152"/>
      <c r="F822" s="195"/>
      <c r="G822" s="152"/>
      <c r="H822" s="152"/>
      <c r="I822" s="152"/>
      <c r="J822" s="152"/>
      <c r="K822" s="152"/>
      <c r="L822" s="152"/>
      <c r="M822" s="152"/>
      <c r="N822" s="152"/>
      <c r="O822" s="152"/>
      <c r="P822" s="152"/>
      <c r="Q822" s="152"/>
      <c r="R822" s="152"/>
    </row>
    <row r="823">
      <c r="A823" s="152"/>
      <c r="B823" s="152"/>
      <c r="C823" s="152"/>
      <c r="D823" s="152"/>
      <c r="E823" s="152"/>
      <c r="F823" s="195"/>
      <c r="G823" s="152"/>
      <c r="H823" s="152"/>
      <c r="I823" s="152"/>
      <c r="J823" s="152"/>
      <c r="K823" s="152"/>
      <c r="L823" s="152"/>
      <c r="M823" s="152"/>
      <c r="N823" s="152"/>
      <c r="O823" s="152"/>
      <c r="P823" s="152"/>
      <c r="Q823" s="152"/>
      <c r="R823" s="152"/>
    </row>
    <row r="824">
      <c r="A824" s="152"/>
      <c r="B824" s="152"/>
      <c r="C824" s="152"/>
      <c r="D824" s="152"/>
      <c r="E824" s="152"/>
      <c r="F824" s="195"/>
      <c r="G824" s="152"/>
      <c r="H824" s="152"/>
      <c r="I824" s="152"/>
      <c r="J824" s="152"/>
      <c r="K824" s="152"/>
      <c r="L824" s="152"/>
      <c r="M824" s="152"/>
      <c r="N824" s="152"/>
      <c r="O824" s="152"/>
      <c r="P824" s="152"/>
      <c r="Q824" s="152"/>
      <c r="R824" s="152"/>
    </row>
    <row r="825">
      <c r="A825" s="152"/>
      <c r="B825" s="152"/>
      <c r="C825" s="152"/>
      <c r="D825" s="152"/>
      <c r="E825" s="152"/>
      <c r="F825" s="195"/>
      <c r="G825" s="152"/>
      <c r="H825" s="152"/>
      <c r="I825" s="152"/>
      <c r="J825" s="152"/>
      <c r="K825" s="152"/>
      <c r="L825" s="152"/>
      <c r="M825" s="152"/>
      <c r="N825" s="152"/>
      <c r="O825" s="152"/>
      <c r="P825" s="152"/>
      <c r="Q825" s="152"/>
      <c r="R825" s="152"/>
    </row>
    <row r="826">
      <c r="A826" s="152"/>
      <c r="B826" s="152"/>
      <c r="C826" s="152"/>
      <c r="D826" s="152"/>
      <c r="E826" s="152"/>
      <c r="F826" s="195"/>
      <c r="G826" s="152"/>
      <c r="H826" s="152"/>
      <c r="I826" s="152"/>
      <c r="J826" s="152"/>
      <c r="K826" s="152"/>
      <c r="L826" s="152"/>
      <c r="M826" s="152"/>
      <c r="N826" s="152"/>
      <c r="O826" s="152"/>
      <c r="P826" s="152"/>
      <c r="Q826" s="152"/>
      <c r="R826" s="152"/>
    </row>
    <row r="827">
      <c r="A827" s="152"/>
      <c r="B827" s="152"/>
      <c r="C827" s="152"/>
      <c r="D827" s="152"/>
      <c r="E827" s="152"/>
      <c r="F827" s="195"/>
      <c r="G827" s="152"/>
      <c r="H827" s="152"/>
      <c r="I827" s="152"/>
      <c r="J827" s="152"/>
      <c r="K827" s="152"/>
      <c r="L827" s="152"/>
      <c r="M827" s="152"/>
      <c r="N827" s="152"/>
      <c r="O827" s="152"/>
      <c r="P827" s="152"/>
      <c r="Q827" s="152"/>
      <c r="R827" s="152"/>
    </row>
    <row r="828">
      <c r="A828" s="152"/>
      <c r="B828" s="152"/>
      <c r="C828" s="152"/>
      <c r="D828" s="152"/>
      <c r="E828" s="152"/>
      <c r="F828" s="195"/>
      <c r="G828" s="152"/>
      <c r="H828" s="152"/>
      <c r="I828" s="152"/>
      <c r="J828" s="152"/>
      <c r="K828" s="152"/>
      <c r="L828" s="152"/>
      <c r="M828" s="152"/>
      <c r="N828" s="152"/>
      <c r="O828" s="152"/>
      <c r="P828" s="152"/>
      <c r="Q828" s="152"/>
      <c r="R828" s="152"/>
    </row>
    <row r="829">
      <c r="A829" s="152"/>
      <c r="B829" s="152"/>
      <c r="C829" s="152"/>
      <c r="D829" s="152"/>
      <c r="E829" s="152"/>
      <c r="F829" s="195"/>
      <c r="G829" s="152"/>
      <c r="H829" s="152"/>
      <c r="I829" s="152"/>
      <c r="J829" s="152"/>
      <c r="K829" s="152"/>
      <c r="L829" s="152"/>
      <c r="M829" s="152"/>
      <c r="N829" s="152"/>
      <c r="O829" s="152"/>
      <c r="P829" s="152"/>
      <c r="Q829" s="152"/>
      <c r="R829" s="152"/>
    </row>
    <row r="830">
      <c r="A830" s="152"/>
      <c r="B830" s="152"/>
      <c r="C830" s="152"/>
      <c r="D830" s="152"/>
      <c r="E830" s="152"/>
      <c r="F830" s="195"/>
      <c r="G830" s="152"/>
      <c r="H830" s="152"/>
      <c r="I830" s="152"/>
      <c r="J830" s="152"/>
      <c r="K830" s="152"/>
      <c r="L830" s="152"/>
      <c r="M830" s="152"/>
      <c r="N830" s="152"/>
      <c r="O830" s="152"/>
      <c r="P830" s="152"/>
      <c r="Q830" s="152"/>
      <c r="R830" s="152"/>
    </row>
    <row r="831">
      <c r="A831" s="152"/>
      <c r="B831" s="152"/>
      <c r="C831" s="152"/>
      <c r="D831" s="152"/>
      <c r="E831" s="152"/>
      <c r="F831" s="195"/>
      <c r="G831" s="152"/>
      <c r="H831" s="152"/>
      <c r="I831" s="152"/>
      <c r="J831" s="152"/>
      <c r="K831" s="152"/>
      <c r="L831" s="152"/>
      <c r="M831" s="152"/>
      <c r="N831" s="152"/>
      <c r="O831" s="152"/>
      <c r="P831" s="152"/>
      <c r="Q831" s="152"/>
      <c r="R831" s="152"/>
    </row>
    <row r="832">
      <c r="A832" s="152"/>
      <c r="B832" s="152"/>
      <c r="C832" s="152"/>
      <c r="D832" s="152"/>
      <c r="E832" s="152"/>
      <c r="F832" s="195"/>
      <c r="G832" s="152"/>
      <c r="H832" s="152"/>
      <c r="I832" s="152"/>
      <c r="J832" s="152"/>
      <c r="K832" s="152"/>
      <c r="L832" s="152"/>
      <c r="M832" s="152"/>
      <c r="N832" s="152"/>
      <c r="O832" s="152"/>
      <c r="P832" s="152"/>
      <c r="Q832" s="152"/>
      <c r="R832" s="152"/>
    </row>
    <row r="833">
      <c r="A833" s="152"/>
      <c r="B833" s="152"/>
      <c r="C833" s="152"/>
      <c r="D833" s="152"/>
      <c r="E833" s="152"/>
      <c r="F833" s="195"/>
      <c r="G833" s="152"/>
      <c r="H833" s="152"/>
      <c r="I833" s="152"/>
      <c r="J833" s="152"/>
      <c r="K833" s="152"/>
      <c r="L833" s="152"/>
      <c r="M833" s="152"/>
      <c r="N833" s="152"/>
      <c r="O833" s="152"/>
      <c r="P833" s="152"/>
      <c r="Q833" s="152"/>
      <c r="R833" s="152"/>
    </row>
    <row r="834">
      <c r="A834" s="152"/>
      <c r="B834" s="152"/>
      <c r="C834" s="152"/>
      <c r="D834" s="152"/>
      <c r="E834" s="152"/>
      <c r="F834" s="195"/>
      <c r="G834" s="152"/>
      <c r="H834" s="152"/>
      <c r="I834" s="152"/>
      <c r="J834" s="152"/>
      <c r="K834" s="152"/>
      <c r="L834" s="152"/>
      <c r="M834" s="152"/>
      <c r="N834" s="152"/>
      <c r="O834" s="152"/>
      <c r="P834" s="152"/>
      <c r="Q834" s="152"/>
      <c r="R834" s="152"/>
    </row>
    <row r="835">
      <c r="A835" s="152"/>
      <c r="B835" s="152"/>
      <c r="C835" s="152"/>
      <c r="D835" s="152"/>
      <c r="E835" s="152"/>
      <c r="F835" s="195"/>
      <c r="G835" s="152"/>
      <c r="H835" s="152"/>
      <c r="I835" s="152"/>
      <c r="J835" s="152"/>
      <c r="K835" s="152"/>
      <c r="L835" s="152"/>
      <c r="M835" s="152"/>
      <c r="N835" s="152"/>
      <c r="O835" s="152"/>
      <c r="P835" s="152"/>
      <c r="Q835" s="152"/>
      <c r="R835" s="152"/>
    </row>
    <row r="836">
      <c r="A836" s="152"/>
      <c r="B836" s="152"/>
      <c r="C836" s="152"/>
      <c r="D836" s="152"/>
      <c r="E836" s="152"/>
      <c r="F836" s="195"/>
      <c r="G836" s="152"/>
      <c r="H836" s="152"/>
      <c r="I836" s="152"/>
      <c r="J836" s="152"/>
      <c r="K836" s="152"/>
      <c r="L836" s="152"/>
      <c r="M836" s="152"/>
      <c r="N836" s="152"/>
      <c r="O836" s="152"/>
      <c r="P836" s="152"/>
      <c r="Q836" s="152"/>
      <c r="R836" s="152"/>
    </row>
    <row r="837">
      <c r="A837" s="152"/>
      <c r="B837" s="152"/>
      <c r="C837" s="152"/>
      <c r="D837" s="152"/>
      <c r="E837" s="152"/>
      <c r="F837" s="195"/>
      <c r="G837" s="152"/>
      <c r="H837" s="152"/>
      <c r="I837" s="152"/>
      <c r="J837" s="152"/>
      <c r="K837" s="152"/>
      <c r="L837" s="152"/>
      <c r="M837" s="152"/>
      <c r="N837" s="152"/>
      <c r="O837" s="152"/>
      <c r="P837" s="152"/>
      <c r="Q837" s="152"/>
      <c r="R837" s="152"/>
    </row>
    <row r="838">
      <c r="A838" s="152"/>
      <c r="B838" s="152"/>
      <c r="C838" s="152"/>
      <c r="D838" s="152"/>
      <c r="E838" s="152"/>
      <c r="F838" s="195"/>
      <c r="G838" s="152"/>
      <c r="H838" s="152"/>
      <c r="I838" s="152"/>
      <c r="J838" s="152"/>
      <c r="K838" s="152"/>
      <c r="L838" s="152"/>
      <c r="M838" s="152"/>
      <c r="N838" s="152"/>
      <c r="O838" s="152"/>
      <c r="P838" s="152"/>
      <c r="Q838" s="152"/>
      <c r="R838" s="152"/>
    </row>
    <row r="839">
      <c r="A839" s="152"/>
      <c r="B839" s="152"/>
      <c r="C839" s="152"/>
      <c r="D839" s="152"/>
      <c r="E839" s="152"/>
      <c r="F839" s="195"/>
      <c r="G839" s="152"/>
      <c r="H839" s="152"/>
      <c r="I839" s="152"/>
      <c r="J839" s="152"/>
      <c r="K839" s="152"/>
      <c r="L839" s="152"/>
      <c r="M839" s="152"/>
      <c r="N839" s="152"/>
      <c r="O839" s="152"/>
      <c r="P839" s="152"/>
      <c r="Q839" s="152"/>
      <c r="R839" s="152"/>
    </row>
    <row r="840">
      <c r="A840" s="152"/>
      <c r="B840" s="152"/>
      <c r="C840" s="152"/>
      <c r="D840" s="152"/>
      <c r="E840" s="152"/>
      <c r="F840" s="195"/>
      <c r="G840" s="152"/>
      <c r="H840" s="152"/>
      <c r="I840" s="152"/>
      <c r="J840" s="152"/>
      <c r="K840" s="152"/>
      <c r="L840" s="152"/>
      <c r="M840" s="152"/>
      <c r="N840" s="152"/>
      <c r="O840" s="152"/>
      <c r="P840" s="152"/>
      <c r="Q840" s="152"/>
      <c r="R840" s="152"/>
    </row>
    <row r="841">
      <c r="A841" s="152"/>
      <c r="B841" s="152"/>
      <c r="C841" s="152"/>
      <c r="D841" s="152"/>
      <c r="E841" s="152"/>
      <c r="F841" s="195"/>
      <c r="G841" s="152"/>
      <c r="H841" s="152"/>
      <c r="I841" s="152"/>
      <c r="J841" s="152"/>
      <c r="K841" s="152"/>
      <c r="L841" s="152"/>
      <c r="M841" s="152"/>
      <c r="N841" s="152"/>
      <c r="O841" s="152"/>
      <c r="P841" s="152"/>
      <c r="Q841" s="152"/>
      <c r="R841" s="152"/>
    </row>
    <row r="842">
      <c r="A842" s="152"/>
      <c r="B842" s="152"/>
      <c r="C842" s="152"/>
      <c r="D842" s="152"/>
      <c r="E842" s="152"/>
      <c r="F842" s="195"/>
      <c r="G842" s="152"/>
      <c r="H842" s="152"/>
      <c r="I842" s="152"/>
      <c r="J842" s="152"/>
      <c r="K842" s="152"/>
      <c r="L842" s="152"/>
      <c r="M842" s="152"/>
      <c r="N842" s="152"/>
      <c r="O842" s="152"/>
      <c r="P842" s="152"/>
      <c r="Q842" s="152"/>
      <c r="R842" s="152"/>
    </row>
    <row r="843">
      <c r="A843" s="152"/>
      <c r="B843" s="152"/>
      <c r="C843" s="152"/>
      <c r="D843" s="152"/>
      <c r="E843" s="152"/>
      <c r="F843" s="195"/>
      <c r="G843" s="152"/>
      <c r="H843" s="152"/>
      <c r="I843" s="152"/>
      <c r="J843" s="152"/>
      <c r="K843" s="152"/>
      <c r="L843" s="152"/>
      <c r="M843" s="152"/>
      <c r="N843" s="152"/>
      <c r="O843" s="152"/>
      <c r="P843" s="152"/>
      <c r="Q843" s="152"/>
      <c r="R843" s="152"/>
    </row>
    <row r="844">
      <c r="A844" s="152"/>
      <c r="B844" s="152"/>
      <c r="C844" s="152"/>
      <c r="D844" s="152"/>
      <c r="E844" s="152"/>
      <c r="F844" s="195"/>
      <c r="G844" s="152"/>
      <c r="H844" s="152"/>
      <c r="I844" s="152"/>
      <c r="J844" s="152"/>
      <c r="K844" s="152"/>
      <c r="L844" s="152"/>
      <c r="M844" s="152"/>
      <c r="N844" s="152"/>
      <c r="O844" s="152"/>
      <c r="P844" s="152"/>
      <c r="Q844" s="152"/>
      <c r="R844" s="152"/>
    </row>
    <row r="845">
      <c r="A845" s="152"/>
      <c r="B845" s="152"/>
      <c r="C845" s="152"/>
      <c r="D845" s="152"/>
      <c r="E845" s="152"/>
      <c r="F845" s="195"/>
      <c r="G845" s="152"/>
      <c r="H845" s="152"/>
      <c r="I845" s="152"/>
      <c r="J845" s="152"/>
      <c r="K845" s="152"/>
      <c r="L845" s="152"/>
      <c r="M845" s="152"/>
      <c r="N845" s="152"/>
      <c r="O845" s="152"/>
      <c r="P845" s="152"/>
      <c r="Q845" s="152"/>
      <c r="R845" s="152"/>
    </row>
    <row r="846">
      <c r="A846" s="152"/>
      <c r="B846" s="152"/>
      <c r="C846" s="152"/>
      <c r="D846" s="152"/>
      <c r="E846" s="152"/>
      <c r="F846" s="195"/>
      <c r="G846" s="152"/>
      <c r="H846" s="152"/>
      <c r="I846" s="152"/>
      <c r="J846" s="152"/>
      <c r="K846" s="152"/>
      <c r="L846" s="152"/>
      <c r="M846" s="152"/>
      <c r="N846" s="152"/>
      <c r="O846" s="152"/>
      <c r="P846" s="152"/>
      <c r="Q846" s="152"/>
      <c r="R846" s="152"/>
    </row>
    <row r="847">
      <c r="A847" s="152"/>
      <c r="B847" s="152"/>
      <c r="C847" s="152"/>
      <c r="D847" s="152"/>
      <c r="E847" s="152"/>
      <c r="F847" s="195"/>
      <c r="G847" s="152"/>
      <c r="H847" s="152"/>
      <c r="I847" s="152"/>
      <c r="J847" s="152"/>
      <c r="K847" s="152"/>
      <c r="L847" s="152"/>
      <c r="M847" s="152"/>
      <c r="N847" s="152"/>
      <c r="O847" s="152"/>
      <c r="P847" s="152"/>
      <c r="Q847" s="152"/>
      <c r="R847" s="152"/>
    </row>
    <row r="848">
      <c r="A848" s="152"/>
      <c r="B848" s="152"/>
      <c r="C848" s="152"/>
      <c r="D848" s="152"/>
      <c r="E848" s="152"/>
      <c r="F848" s="195"/>
      <c r="G848" s="152"/>
      <c r="H848" s="152"/>
      <c r="I848" s="152"/>
      <c r="J848" s="152"/>
      <c r="K848" s="152"/>
      <c r="L848" s="152"/>
      <c r="M848" s="152"/>
      <c r="N848" s="152"/>
      <c r="O848" s="152"/>
      <c r="P848" s="152"/>
      <c r="Q848" s="152"/>
      <c r="R848" s="152"/>
    </row>
    <row r="849">
      <c r="A849" s="152"/>
      <c r="B849" s="152"/>
      <c r="C849" s="152"/>
      <c r="D849" s="152"/>
      <c r="E849" s="152"/>
      <c r="F849" s="195"/>
      <c r="G849" s="152"/>
      <c r="H849" s="152"/>
      <c r="I849" s="152"/>
      <c r="J849" s="152"/>
      <c r="K849" s="152"/>
      <c r="L849" s="152"/>
      <c r="M849" s="152"/>
      <c r="N849" s="152"/>
      <c r="O849" s="152"/>
      <c r="P849" s="152"/>
      <c r="Q849" s="152"/>
      <c r="R849" s="152"/>
    </row>
    <row r="850">
      <c r="A850" s="152"/>
      <c r="B850" s="152"/>
      <c r="C850" s="152"/>
      <c r="D850" s="152"/>
      <c r="E850" s="152"/>
      <c r="F850" s="195"/>
      <c r="G850" s="152"/>
      <c r="H850" s="152"/>
      <c r="I850" s="152"/>
      <c r="J850" s="152"/>
      <c r="K850" s="152"/>
      <c r="L850" s="152"/>
      <c r="M850" s="152"/>
      <c r="N850" s="152"/>
      <c r="O850" s="152"/>
      <c r="P850" s="152"/>
      <c r="Q850" s="152"/>
      <c r="R850" s="152"/>
    </row>
    <row r="851">
      <c r="A851" s="152"/>
      <c r="B851" s="152"/>
      <c r="C851" s="152"/>
      <c r="D851" s="152"/>
      <c r="E851" s="152"/>
      <c r="F851" s="195"/>
      <c r="G851" s="152"/>
      <c r="H851" s="152"/>
      <c r="I851" s="152"/>
      <c r="J851" s="152"/>
      <c r="K851" s="152"/>
      <c r="L851" s="152"/>
      <c r="M851" s="152"/>
      <c r="N851" s="152"/>
      <c r="O851" s="152"/>
      <c r="P851" s="152"/>
      <c r="Q851" s="152"/>
      <c r="R851" s="152"/>
    </row>
    <row r="852">
      <c r="A852" s="152"/>
      <c r="B852" s="152"/>
      <c r="C852" s="152"/>
      <c r="D852" s="152"/>
      <c r="E852" s="152"/>
      <c r="F852" s="195"/>
      <c r="G852" s="152"/>
      <c r="H852" s="152"/>
      <c r="I852" s="152"/>
      <c r="J852" s="152"/>
      <c r="K852" s="152"/>
      <c r="L852" s="152"/>
      <c r="M852" s="152"/>
      <c r="N852" s="152"/>
      <c r="O852" s="152"/>
      <c r="P852" s="152"/>
      <c r="Q852" s="152"/>
      <c r="R852" s="152"/>
    </row>
    <row r="853">
      <c r="A853" s="152"/>
      <c r="B853" s="152"/>
      <c r="C853" s="152"/>
      <c r="D853" s="152"/>
      <c r="E853" s="152"/>
      <c r="F853" s="195"/>
      <c r="G853" s="152"/>
      <c r="H853" s="152"/>
      <c r="I853" s="152"/>
      <c r="J853" s="152"/>
      <c r="K853" s="152"/>
      <c r="L853" s="152"/>
      <c r="M853" s="152"/>
      <c r="N853" s="152"/>
      <c r="O853" s="152"/>
      <c r="P853" s="152"/>
      <c r="Q853" s="152"/>
      <c r="R853" s="152"/>
    </row>
    <row r="854">
      <c r="A854" s="152"/>
      <c r="B854" s="152"/>
      <c r="C854" s="152"/>
      <c r="D854" s="152"/>
      <c r="E854" s="152"/>
      <c r="F854" s="195"/>
      <c r="G854" s="152"/>
      <c r="H854" s="152"/>
      <c r="I854" s="152"/>
      <c r="J854" s="152"/>
      <c r="K854" s="152"/>
      <c r="L854" s="152"/>
      <c r="M854" s="152"/>
      <c r="N854" s="152"/>
      <c r="O854" s="152"/>
      <c r="P854" s="152"/>
      <c r="Q854" s="152"/>
      <c r="R854" s="152"/>
    </row>
    <row r="855">
      <c r="A855" s="152"/>
      <c r="B855" s="152"/>
      <c r="C855" s="152"/>
      <c r="D855" s="152"/>
      <c r="E855" s="152"/>
      <c r="F855" s="195"/>
      <c r="G855" s="152"/>
      <c r="H855" s="152"/>
      <c r="I855" s="152"/>
      <c r="J855" s="152"/>
      <c r="K855" s="152"/>
      <c r="L855" s="152"/>
      <c r="M855" s="152"/>
      <c r="N855" s="152"/>
      <c r="O855" s="152"/>
      <c r="P855" s="152"/>
      <c r="Q855" s="152"/>
      <c r="R855" s="152"/>
    </row>
    <row r="856">
      <c r="A856" s="152"/>
      <c r="B856" s="152"/>
      <c r="C856" s="152"/>
      <c r="D856" s="152"/>
      <c r="E856" s="152"/>
      <c r="F856" s="195"/>
      <c r="G856" s="152"/>
      <c r="H856" s="152"/>
      <c r="I856" s="152"/>
      <c r="J856" s="152"/>
      <c r="K856" s="152"/>
      <c r="L856" s="152"/>
      <c r="M856" s="152"/>
      <c r="N856" s="152"/>
      <c r="O856" s="152"/>
      <c r="P856" s="152"/>
      <c r="Q856" s="152"/>
      <c r="R856" s="152"/>
    </row>
    <row r="857">
      <c r="A857" s="152"/>
      <c r="B857" s="152"/>
      <c r="C857" s="152"/>
      <c r="D857" s="152"/>
      <c r="E857" s="152"/>
      <c r="F857" s="195"/>
      <c r="G857" s="152"/>
      <c r="H857" s="152"/>
      <c r="I857" s="152"/>
      <c r="J857" s="152"/>
      <c r="K857" s="152"/>
      <c r="L857" s="152"/>
      <c r="M857" s="152"/>
      <c r="N857" s="152"/>
      <c r="O857" s="152"/>
      <c r="P857" s="152"/>
      <c r="Q857" s="152"/>
      <c r="R857" s="152"/>
    </row>
    <row r="858">
      <c r="A858" s="152"/>
      <c r="B858" s="152"/>
      <c r="C858" s="152"/>
      <c r="D858" s="152"/>
      <c r="E858" s="152"/>
      <c r="F858" s="195"/>
      <c r="G858" s="152"/>
      <c r="H858" s="152"/>
      <c r="I858" s="152"/>
      <c r="J858" s="152"/>
      <c r="K858" s="152"/>
      <c r="L858" s="152"/>
      <c r="M858" s="152"/>
      <c r="N858" s="152"/>
      <c r="O858" s="152"/>
      <c r="P858" s="152"/>
      <c r="Q858" s="152"/>
      <c r="R858" s="152"/>
    </row>
    <row r="859">
      <c r="A859" s="152"/>
      <c r="B859" s="152"/>
      <c r="C859" s="152"/>
      <c r="D859" s="152"/>
      <c r="E859" s="152"/>
      <c r="F859" s="195"/>
      <c r="G859" s="152"/>
      <c r="H859" s="152"/>
      <c r="I859" s="152"/>
      <c r="J859" s="152"/>
      <c r="K859" s="152"/>
      <c r="L859" s="152"/>
      <c r="M859" s="152"/>
      <c r="N859" s="152"/>
      <c r="O859" s="152"/>
      <c r="P859" s="152"/>
      <c r="Q859" s="152"/>
      <c r="R859" s="152"/>
    </row>
    <row r="860">
      <c r="A860" s="152"/>
      <c r="B860" s="152"/>
      <c r="C860" s="152"/>
      <c r="D860" s="152"/>
      <c r="E860" s="152"/>
      <c r="F860" s="195"/>
      <c r="G860" s="152"/>
      <c r="H860" s="152"/>
      <c r="I860" s="152"/>
      <c r="J860" s="152"/>
      <c r="K860" s="152"/>
      <c r="L860" s="152"/>
      <c r="M860" s="152"/>
      <c r="N860" s="152"/>
      <c r="O860" s="152"/>
      <c r="P860" s="152"/>
      <c r="Q860" s="152"/>
      <c r="R860" s="152"/>
    </row>
    <row r="861">
      <c r="A861" s="152"/>
      <c r="B861" s="152"/>
      <c r="C861" s="152"/>
      <c r="D861" s="152"/>
      <c r="E861" s="152"/>
      <c r="F861" s="195"/>
      <c r="G861" s="152"/>
      <c r="H861" s="152"/>
      <c r="I861" s="152"/>
      <c r="J861" s="152"/>
      <c r="K861" s="152"/>
      <c r="L861" s="152"/>
      <c r="M861" s="152"/>
      <c r="N861" s="152"/>
      <c r="O861" s="152"/>
      <c r="P861" s="152"/>
      <c r="Q861" s="152"/>
      <c r="R861" s="152"/>
    </row>
    <row r="862">
      <c r="A862" s="152"/>
      <c r="B862" s="152"/>
      <c r="C862" s="152"/>
      <c r="D862" s="152"/>
      <c r="E862" s="152"/>
      <c r="F862" s="195"/>
      <c r="G862" s="152"/>
      <c r="H862" s="152"/>
      <c r="I862" s="152"/>
      <c r="J862" s="152"/>
      <c r="K862" s="152"/>
      <c r="L862" s="152"/>
      <c r="M862" s="152"/>
      <c r="N862" s="152"/>
      <c r="O862" s="152"/>
      <c r="P862" s="152"/>
      <c r="Q862" s="152"/>
      <c r="R862" s="152"/>
    </row>
    <row r="863">
      <c r="A863" s="152"/>
      <c r="B863" s="152"/>
      <c r="C863" s="152"/>
      <c r="D863" s="152"/>
      <c r="E863" s="152"/>
      <c r="F863" s="195"/>
      <c r="G863" s="152"/>
      <c r="H863" s="152"/>
      <c r="I863" s="152"/>
      <c r="J863" s="152"/>
      <c r="K863" s="152"/>
      <c r="L863" s="152"/>
      <c r="M863" s="152"/>
      <c r="N863" s="152"/>
      <c r="O863" s="152"/>
      <c r="P863" s="152"/>
      <c r="Q863" s="152"/>
      <c r="R863" s="152"/>
    </row>
    <row r="864">
      <c r="A864" s="152"/>
      <c r="B864" s="152"/>
      <c r="C864" s="152"/>
      <c r="D864" s="152"/>
      <c r="E864" s="152"/>
      <c r="F864" s="195"/>
      <c r="G864" s="152"/>
      <c r="H864" s="152"/>
      <c r="I864" s="152"/>
      <c r="J864" s="152"/>
      <c r="K864" s="152"/>
      <c r="L864" s="152"/>
      <c r="M864" s="152"/>
      <c r="N864" s="152"/>
      <c r="O864" s="152"/>
      <c r="P864" s="152"/>
      <c r="Q864" s="152"/>
      <c r="R864" s="152"/>
    </row>
    <row r="865">
      <c r="A865" s="152"/>
      <c r="B865" s="152"/>
      <c r="C865" s="152"/>
      <c r="D865" s="152"/>
      <c r="E865" s="152"/>
      <c r="F865" s="195"/>
      <c r="G865" s="152"/>
      <c r="H865" s="152"/>
      <c r="I865" s="152"/>
      <c r="J865" s="152"/>
      <c r="K865" s="152"/>
      <c r="L865" s="152"/>
      <c r="M865" s="152"/>
      <c r="N865" s="152"/>
      <c r="O865" s="152"/>
      <c r="P865" s="152"/>
      <c r="Q865" s="152"/>
      <c r="R865" s="152"/>
    </row>
    <row r="866">
      <c r="A866" s="152"/>
      <c r="B866" s="152"/>
      <c r="C866" s="152"/>
      <c r="D866" s="152"/>
      <c r="E866" s="152"/>
      <c r="F866" s="195"/>
      <c r="G866" s="152"/>
      <c r="H866" s="152"/>
      <c r="I866" s="152"/>
      <c r="J866" s="152"/>
      <c r="K866" s="152"/>
      <c r="L866" s="152"/>
      <c r="M866" s="152"/>
      <c r="N866" s="152"/>
      <c r="O866" s="152"/>
      <c r="P866" s="152"/>
      <c r="Q866" s="152"/>
      <c r="R866" s="152"/>
    </row>
    <row r="867">
      <c r="A867" s="152"/>
      <c r="B867" s="152"/>
      <c r="C867" s="152"/>
      <c r="D867" s="152"/>
      <c r="E867" s="152"/>
      <c r="F867" s="195"/>
      <c r="G867" s="152"/>
      <c r="H867" s="152"/>
      <c r="I867" s="152"/>
      <c r="J867" s="152"/>
      <c r="K867" s="152"/>
      <c r="L867" s="152"/>
      <c r="M867" s="152"/>
      <c r="N867" s="152"/>
      <c r="O867" s="152"/>
      <c r="P867" s="152"/>
      <c r="Q867" s="152"/>
      <c r="R867" s="152"/>
    </row>
    <row r="868">
      <c r="A868" s="152"/>
      <c r="B868" s="152"/>
      <c r="C868" s="152"/>
      <c r="D868" s="152"/>
      <c r="E868" s="152"/>
      <c r="F868" s="195"/>
      <c r="G868" s="152"/>
      <c r="H868" s="152"/>
      <c r="I868" s="152"/>
      <c r="J868" s="152"/>
      <c r="K868" s="152"/>
      <c r="L868" s="152"/>
      <c r="M868" s="152"/>
      <c r="N868" s="152"/>
      <c r="O868" s="152"/>
      <c r="P868" s="152"/>
      <c r="Q868" s="152"/>
      <c r="R868" s="152"/>
    </row>
    <row r="869">
      <c r="A869" s="152"/>
      <c r="B869" s="152"/>
      <c r="C869" s="152"/>
      <c r="D869" s="152"/>
      <c r="E869" s="152"/>
      <c r="F869" s="195"/>
      <c r="G869" s="152"/>
      <c r="H869" s="152"/>
      <c r="I869" s="152"/>
      <c r="J869" s="152"/>
      <c r="K869" s="152"/>
      <c r="L869" s="152"/>
      <c r="M869" s="152"/>
      <c r="N869" s="152"/>
      <c r="O869" s="152"/>
      <c r="P869" s="152"/>
      <c r="Q869" s="152"/>
      <c r="R869" s="152"/>
    </row>
    <row r="870">
      <c r="A870" s="152"/>
      <c r="B870" s="152"/>
      <c r="C870" s="152"/>
      <c r="D870" s="152"/>
      <c r="E870" s="152"/>
      <c r="F870" s="195"/>
      <c r="G870" s="152"/>
      <c r="H870" s="152"/>
      <c r="I870" s="152"/>
      <c r="J870" s="152"/>
      <c r="K870" s="152"/>
      <c r="L870" s="152"/>
      <c r="M870" s="152"/>
      <c r="N870" s="152"/>
      <c r="O870" s="152"/>
      <c r="P870" s="152"/>
      <c r="Q870" s="152"/>
      <c r="R870" s="152"/>
    </row>
    <row r="871">
      <c r="A871" s="152"/>
      <c r="B871" s="152"/>
      <c r="C871" s="152"/>
      <c r="D871" s="152"/>
      <c r="E871" s="152"/>
      <c r="F871" s="195"/>
      <c r="G871" s="152"/>
      <c r="H871" s="152"/>
      <c r="I871" s="152"/>
      <c r="J871" s="152"/>
      <c r="K871" s="152"/>
      <c r="L871" s="152"/>
      <c r="M871" s="152"/>
      <c r="N871" s="152"/>
      <c r="O871" s="152"/>
      <c r="P871" s="152"/>
      <c r="Q871" s="152"/>
      <c r="R871" s="152"/>
    </row>
    <row r="872">
      <c r="A872" s="152"/>
      <c r="B872" s="152"/>
      <c r="C872" s="152"/>
      <c r="D872" s="152"/>
      <c r="E872" s="152"/>
      <c r="F872" s="195"/>
      <c r="G872" s="152"/>
      <c r="H872" s="152"/>
      <c r="I872" s="152"/>
      <c r="J872" s="152"/>
      <c r="K872" s="152"/>
      <c r="L872" s="152"/>
      <c r="M872" s="152"/>
      <c r="N872" s="152"/>
      <c r="O872" s="152"/>
      <c r="P872" s="152"/>
      <c r="Q872" s="152"/>
      <c r="R872" s="152"/>
    </row>
    <row r="873">
      <c r="A873" s="152"/>
      <c r="B873" s="152"/>
      <c r="C873" s="152"/>
      <c r="D873" s="152"/>
      <c r="E873" s="152"/>
      <c r="F873" s="195"/>
      <c r="G873" s="152"/>
      <c r="H873" s="152"/>
      <c r="I873" s="152"/>
      <c r="J873" s="152"/>
      <c r="K873" s="152"/>
      <c r="L873" s="152"/>
      <c r="M873" s="152"/>
      <c r="N873" s="152"/>
      <c r="O873" s="152"/>
      <c r="P873" s="152"/>
      <c r="Q873" s="152"/>
      <c r="R873" s="152"/>
    </row>
    <row r="874">
      <c r="A874" s="152"/>
      <c r="B874" s="152"/>
      <c r="C874" s="152"/>
      <c r="D874" s="152"/>
      <c r="E874" s="152"/>
      <c r="F874" s="195"/>
      <c r="G874" s="152"/>
      <c r="H874" s="152"/>
      <c r="I874" s="152"/>
      <c r="J874" s="152"/>
      <c r="K874" s="152"/>
      <c r="L874" s="152"/>
      <c r="M874" s="152"/>
      <c r="N874" s="152"/>
      <c r="O874" s="152"/>
      <c r="P874" s="152"/>
      <c r="Q874" s="152"/>
      <c r="R874" s="152"/>
    </row>
    <row r="875">
      <c r="A875" s="152"/>
      <c r="B875" s="152"/>
      <c r="C875" s="152"/>
      <c r="D875" s="152"/>
      <c r="E875" s="152"/>
      <c r="F875" s="195"/>
      <c r="G875" s="152"/>
      <c r="H875" s="152"/>
      <c r="I875" s="152"/>
      <c r="J875" s="152"/>
      <c r="K875" s="152"/>
      <c r="L875" s="152"/>
      <c r="M875" s="152"/>
      <c r="N875" s="152"/>
      <c r="O875" s="152"/>
      <c r="P875" s="152"/>
      <c r="Q875" s="152"/>
      <c r="R875" s="152"/>
    </row>
    <row r="876">
      <c r="A876" s="152"/>
      <c r="B876" s="152"/>
      <c r="C876" s="152"/>
      <c r="D876" s="152"/>
      <c r="E876" s="152"/>
      <c r="F876" s="195"/>
      <c r="G876" s="152"/>
      <c r="H876" s="152"/>
      <c r="I876" s="152"/>
      <c r="J876" s="152"/>
      <c r="K876" s="152"/>
      <c r="L876" s="152"/>
      <c r="M876" s="152"/>
      <c r="N876" s="152"/>
      <c r="O876" s="152"/>
      <c r="P876" s="152"/>
      <c r="Q876" s="152"/>
      <c r="R876" s="152"/>
    </row>
    <row r="877">
      <c r="A877" s="152"/>
      <c r="B877" s="152"/>
      <c r="C877" s="152"/>
      <c r="D877" s="152"/>
      <c r="E877" s="152"/>
      <c r="F877" s="195"/>
      <c r="G877" s="152"/>
      <c r="H877" s="152"/>
      <c r="I877" s="152"/>
      <c r="J877" s="152"/>
      <c r="K877" s="152"/>
      <c r="L877" s="152"/>
      <c r="M877" s="152"/>
      <c r="N877" s="152"/>
      <c r="O877" s="152"/>
      <c r="P877" s="152"/>
      <c r="Q877" s="152"/>
      <c r="R877" s="152"/>
    </row>
    <row r="878">
      <c r="A878" s="152"/>
      <c r="B878" s="152"/>
      <c r="C878" s="152"/>
      <c r="D878" s="152"/>
      <c r="E878" s="152"/>
      <c r="F878" s="195"/>
      <c r="G878" s="152"/>
      <c r="H878" s="152"/>
      <c r="I878" s="152"/>
      <c r="J878" s="152"/>
      <c r="K878" s="152"/>
      <c r="L878" s="152"/>
      <c r="M878" s="152"/>
      <c r="N878" s="152"/>
      <c r="O878" s="152"/>
      <c r="P878" s="152"/>
      <c r="Q878" s="152"/>
      <c r="R878" s="152"/>
    </row>
    <row r="879">
      <c r="A879" s="152"/>
      <c r="B879" s="152"/>
      <c r="C879" s="152"/>
      <c r="D879" s="152"/>
      <c r="E879" s="152"/>
      <c r="F879" s="195"/>
      <c r="G879" s="152"/>
      <c r="H879" s="152"/>
      <c r="I879" s="152"/>
      <c r="J879" s="152"/>
      <c r="K879" s="152"/>
      <c r="L879" s="152"/>
      <c r="M879" s="152"/>
      <c r="N879" s="152"/>
      <c r="O879" s="152"/>
      <c r="P879" s="152"/>
      <c r="Q879" s="152"/>
      <c r="R879" s="152"/>
    </row>
    <row r="880">
      <c r="A880" s="152"/>
      <c r="B880" s="152"/>
      <c r="C880" s="152"/>
      <c r="D880" s="152"/>
      <c r="E880" s="152"/>
      <c r="F880" s="195"/>
      <c r="G880" s="152"/>
      <c r="H880" s="152"/>
      <c r="I880" s="152"/>
      <c r="J880" s="152"/>
      <c r="K880" s="152"/>
      <c r="L880" s="152"/>
      <c r="M880" s="152"/>
      <c r="N880" s="152"/>
      <c r="O880" s="152"/>
      <c r="P880" s="152"/>
      <c r="Q880" s="152"/>
      <c r="R880" s="152"/>
    </row>
    <row r="881">
      <c r="A881" s="152"/>
      <c r="B881" s="152"/>
      <c r="C881" s="152"/>
      <c r="D881" s="152"/>
      <c r="E881" s="152"/>
      <c r="F881" s="195"/>
      <c r="G881" s="152"/>
      <c r="H881" s="152"/>
      <c r="I881" s="152"/>
      <c r="J881" s="152"/>
      <c r="K881" s="152"/>
      <c r="L881" s="152"/>
      <c r="M881" s="152"/>
      <c r="N881" s="152"/>
      <c r="O881" s="152"/>
      <c r="P881" s="152"/>
      <c r="Q881" s="152"/>
      <c r="R881" s="152"/>
    </row>
    <row r="882">
      <c r="A882" s="152"/>
      <c r="B882" s="152"/>
      <c r="C882" s="152"/>
      <c r="D882" s="152"/>
      <c r="E882" s="152"/>
      <c r="F882" s="195"/>
      <c r="G882" s="152"/>
      <c r="H882" s="152"/>
      <c r="I882" s="152"/>
      <c r="J882" s="152"/>
      <c r="K882" s="152"/>
      <c r="L882" s="152"/>
      <c r="M882" s="152"/>
      <c r="N882" s="152"/>
      <c r="O882" s="152"/>
      <c r="P882" s="152"/>
      <c r="Q882" s="152"/>
      <c r="R882" s="152"/>
    </row>
    <row r="883">
      <c r="A883" s="152"/>
      <c r="B883" s="152"/>
      <c r="C883" s="152"/>
      <c r="D883" s="152"/>
      <c r="E883" s="152"/>
      <c r="F883" s="195"/>
      <c r="G883" s="152"/>
      <c r="H883" s="152"/>
      <c r="I883" s="152"/>
      <c r="J883" s="152"/>
      <c r="K883" s="152"/>
      <c r="L883" s="152"/>
      <c r="M883" s="152"/>
      <c r="N883" s="152"/>
      <c r="O883" s="152"/>
      <c r="P883" s="152"/>
      <c r="Q883" s="152"/>
      <c r="R883" s="152"/>
    </row>
    <row r="884">
      <c r="A884" s="152"/>
      <c r="B884" s="152"/>
      <c r="C884" s="152"/>
      <c r="D884" s="152"/>
      <c r="E884" s="152"/>
      <c r="F884" s="195"/>
      <c r="G884" s="152"/>
      <c r="H884" s="152"/>
      <c r="I884" s="152"/>
      <c r="J884" s="152"/>
      <c r="K884" s="152"/>
      <c r="L884" s="152"/>
      <c r="M884" s="152"/>
      <c r="N884" s="152"/>
      <c r="O884" s="152"/>
      <c r="P884" s="152"/>
      <c r="Q884" s="152"/>
      <c r="R884" s="152"/>
    </row>
    <row r="885">
      <c r="A885" s="152"/>
      <c r="B885" s="152"/>
      <c r="C885" s="152"/>
      <c r="D885" s="152"/>
      <c r="E885" s="152"/>
      <c r="F885" s="195"/>
      <c r="G885" s="152"/>
      <c r="H885" s="152"/>
      <c r="I885" s="152"/>
      <c r="J885" s="152"/>
      <c r="K885" s="152"/>
      <c r="L885" s="152"/>
      <c r="M885" s="152"/>
      <c r="N885" s="152"/>
      <c r="O885" s="152"/>
      <c r="P885" s="152"/>
      <c r="Q885" s="152"/>
      <c r="R885" s="152"/>
    </row>
    <row r="886">
      <c r="A886" s="152"/>
      <c r="B886" s="152"/>
      <c r="C886" s="152"/>
      <c r="D886" s="152"/>
      <c r="E886" s="152"/>
      <c r="F886" s="195"/>
      <c r="G886" s="152"/>
      <c r="H886" s="152"/>
      <c r="I886" s="152"/>
      <c r="J886" s="152"/>
      <c r="K886" s="152"/>
      <c r="L886" s="152"/>
      <c r="M886" s="152"/>
      <c r="N886" s="152"/>
      <c r="O886" s="152"/>
      <c r="P886" s="152"/>
      <c r="Q886" s="152"/>
      <c r="R886" s="152"/>
    </row>
    <row r="887">
      <c r="A887" s="152"/>
      <c r="B887" s="152"/>
      <c r="C887" s="152"/>
      <c r="D887" s="152"/>
      <c r="E887" s="152"/>
      <c r="F887" s="195"/>
      <c r="G887" s="152"/>
      <c r="H887" s="152"/>
      <c r="I887" s="152"/>
      <c r="J887" s="152"/>
      <c r="K887" s="152"/>
      <c r="L887" s="152"/>
      <c r="M887" s="152"/>
      <c r="N887" s="152"/>
      <c r="O887" s="152"/>
      <c r="P887" s="152"/>
      <c r="Q887" s="152"/>
      <c r="R887" s="152"/>
    </row>
    <row r="888">
      <c r="A888" s="152"/>
      <c r="B888" s="152"/>
      <c r="C888" s="152"/>
      <c r="D888" s="152"/>
      <c r="E888" s="152"/>
      <c r="F888" s="195"/>
      <c r="G888" s="152"/>
      <c r="H888" s="152"/>
      <c r="I888" s="152"/>
      <c r="J888" s="152"/>
      <c r="K888" s="152"/>
      <c r="L888" s="152"/>
      <c r="M888" s="152"/>
      <c r="N888" s="152"/>
      <c r="O888" s="152"/>
      <c r="P888" s="152"/>
      <c r="Q888" s="152"/>
      <c r="R888" s="152"/>
    </row>
    <row r="889">
      <c r="A889" s="152"/>
      <c r="B889" s="152"/>
      <c r="C889" s="152"/>
      <c r="D889" s="152"/>
      <c r="E889" s="152"/>
      <c r="F889" s="195"/>
      <c r="G889" s="152"/>
      <c r="H889" s="152"/>
      <c r="I889" s="152"/>
      <c r="J889" s="152"/>
      <c r="K889" s="152"/>
      <c r="L889" s="152"/>
      <c r="M889" s="152"/>
      <c r="N889" s="152"/>
      <c r="O889" s="152"/>
      <c r="P889" s="152"/>
      <c r="Q889" s="152"/>
      <c r="R889" s="152"/>
    </row>
    <row r="890">
      <c r="A890" s="152"/>
      <c r="B890" s="152"/>
      <c r="C890" s="152"/>
      <c r="D890" s="152"/>
      <c r="E890" s="152"/>
      <c r="F890" s="195"/>
      <c r="G890" s="152"/>
      <c r="H890" s="152"/>
      <c r="I890" s="152"/>
      <c r="J890" s="152"/>
      <c r="K890" s="152"/>
      <c r="L890" s="152"/>
      <c r="M890" s="152"/>
      <c r="N890" s="152"/>
      <c r="O890" s="152"/>
      <c r="P890" s="152"/>
      <c r="Q890" s="152"/>
      <c r="R890" s="152"/>
    </row>
    <row r="891">
      <c r="A891" s="152"/>
      <c r="B891" s="152"/>
      <c r="C891" s="152"/>
      <c r="D891" s="152"/>
      <c r="E891" s="152"/>
      <c r="F891" s="195"/>
      <c r="G891" s="152"/>
      <c r="H891" s="152"/>
      <c r="I891" s="152"/>
      <c r="J891" s="152"/>
      <c r="K891" s="152"/>
      <c r="L891" s="152"/>
      <c r="M891" s="152"/>
      <c r="N891" s="152"/>
      <c r="O891" s="152"/>
      <c r="P891" s="152"/>
      <c r="Q891" s="152"/>
      <c r="R891" s="152"/>
    </row>
    <row r="892">
      <c r="A892" s="152"/>
      <c r="B892" s="152"/>
      <c r="C892" s="152"/>
      <c r="D892" s="152"/>
      <c r="E892" s="152"/>
      <c r="F892" s="195"/>
      <c r="G892" s="152"/>
      <c r="H892" s="152"/>
      <c r="I892" s="152"/>
      <c r="J892" s="152"/>
      <c r="K892" s="152"/>
      <c r="L892" s="152"/>
      <c r="M892" s="152"/>
      <c r="N892" s="152"/>
      <c r="O892" s="152"/>
      <c r="P892" s="152"/>
      <c r="Q892" s="152"/>
      <c r="R892" s="152"/>
    </row>
    <row r="893">
      <c r="A893" s="152"/>
      <c r="B893" s="152"/>
      <c r="C893" s="152"/>
      <c r="D893" s="152"/>
      <c r="E893" s="152"/>
      <c r="F893" s="195"/>
      <c r="G893" s="152"/>
      <c r="H893" s="152"/>
      <c r="I893" s="152"/>
      <c r="J893" s="152"/>
      <c r="K893" s="152"/>
      <c r="L893" s="152"/>
      <c r="M893" s="152"/>
      <c r="N893" s="152"/>
      <c r="O893" s="152"/>
      <c r="P893" s="152"/>
      <c r="Q893" s="152"/>
      <c r="R893" s="152"/>
    </row>
    <row r="894">
      <c r="A894" s="152"/>
      <c r="B894" s="152"/>
      <c r="C894" s="152"/>
      <c r="D894" s="152"/>
      <c r="E894" s="152"/>
      <c r="F894" s="195"/>
      <c r="G894" s="152"/>
      <c r="H894" s="152"/>
      <c r="I894" s="152"/>
      <c r="J894" s="152"/>
      <c r="K894" s="152"/>
      <c r="L894" s="152"/>
      <c r="M894" s="152"/>
      <c r="N894" s="152"/>
      <c r="O894" s="152"/>
      <c r="P894" s="152"/>
      <c r="Q894" s="152"/>
      <c r="R894" s="152"/>
    </row>
    <row r="895">
      <c r="A895" s="152"/>
      <c r="B895" s="152"/>
      <c r="C895" s="152"/>
      <c r="D895" s="152"/>
      <c r="E895" s="152"/>
      <c r="F895" s="195"/>
      <c r="G895" s="152"/>
      <c r="H895" s="152"/>
      <c r="I895" s="152"/>
      <c r="J895" s="152"/>
      <c r="K895" s="152"/>
      <c r="L895" s="152"/>
      <c r="M895" s="152"/>
      <c r="N895" s="152"/>
      <c r="O895" s="152"/>
      <c r="P895" s="152"/>
      <c r="Q895" s="152"/>
      <c r="R895" s="152"/>
    </row>
    <row r="896">
      <c r="A896" s="152"/>
      <c r="B896" s="152"/>
      <c r="C896" s="152"/>
      <c r="D896" s="152"/>
      <c r="E896" s="152"/>
      <c r="F896" s="195"/>
      <c r="G896" s="152"/>
      <c r="H896" s="152"/>
      <c r="I896" s="152"/>
      <c r="J896" s="152"/>
      <c r="K896" s="152"/>
      <c r="L896" s="152"/>
      <c r="M896" s="152"/>
      <c r="N896" s="152"/>
      <c r="O896" s="152"/>
      <c r="P896" s="152"/>
      <c r="Q896" s="152"/>
      <c r="R896" s="152"/>
    </row>
    <row r="897">
      <c r="A897" s="152"/>
      <c r="B897" s="152"/>
      <c r="C897" s="152"/>
      <c r="D897" s="152"/>
      <c r="E897" s="152"/>
      <c r="F897" s="195"/>
      <c r="G897" s="152"/>
      <c r="H897" s="152"/>
      <c r="I897" s="152"/>
      <c r="J897" s="152"/>
      <c r="K897" s="152"/>
      <c r="L897" s="152"/>
      <c r="M897" s="152"/>
      <c r="N897" s="152"/>
      <c r="O897" s="152"/>
      <c r="P897" s="152"/>
      <c r="Q897" s="152"/>
      <c r="R897" s="152"/>
    </row>
    <row r="898">
      <c r="A898" s="152"/>
      <c r="B898" s="152"/>
      <c r="C898" s="152"/>
      <c r="D898" s="152"/>
      <c r="E898" s="152"/>
      <c r="F898" s="195"/>
      <c r="G898" s="152"/>
      <c r="H898" s="152"/>
      <c r="I898" s="152"/>
      <c r="J898" s="152"/>
      <c r="K898" s="152"/>
      <c r="L898" s="152"/>
      <c r="M898" s="152"/>
      <c r="N898" s="152"/>
      <c r="O898" s="152"/>
      <c r="P898" s="152"/>
      <c r="Q898" s="152"/>
      <c r="R898" s="152"/>
    </row>
    <row r="899">
      <c r="A899" s="152"/>
      <c r="B899" s="152"/>
      <c r="C899" s="152"/>
      <c r="D899" s="152"/>
      <c r="E899" s="152"/>
      <c r="F899" s="195"/>
      <c r="G899" s="152"/>
      <c r="H899" s="152"/>
      <c r="I899" s="152"/>
      <c r="J899" s="152"/>
      <c r="K899" s="152"/>
      <c r="L899" s="152"/>
      <c r="M899" s="152"/>
      <c r="N899" s="152"/>
      <c r="O899" s="152"/>
      <c r="P899" s="152"/>
      <c r="Q899" s="152"/>
      <c r="R899" s="152"/>
    </row>
    <row r="900">
      <c r="A900" s="152"/>
      <c r="B900" s="152"/>
      <c r="C900" s="152"/>
      <c r="D900" s="152"/>
      <c r="E900" s="152"/>
      <c r="F900" s="195"/>
      <c r="G900" s="152"/>
      <c r="H900" s="152"/>
      <c r="I900" s="152"/>
      <c r="J900" s="152"/>
      <c r="K900" s="152"/>
      <c r="L900" s="152"/>
      <c r="M900" s="152"/>
      <c r="N900" s="152"/>
      <c r="O900" s="152"/>
      <c r="P900" s="152"/>
      <c r="Q900" s="152"/>
      <c r="R900" s="152"/>
    </row>
    <row r="901">
      <c r="A901" s="152"/>
      <c r="B901" s="152"/>
      <c r="C901" s="152"/>
      <c r="D901" s="152"/>
      <c r="E901" s="152"/>
      <c r="F901" s="195"/>
      <c r="G901" s="152"/>
      <c r="H901" s="152"/>
      <c r="I901" s="152"/>
      <c r="J901" s="152"/>
      <c r="K901" s="152"/>
      <c r="L901" s="152"/>
      <c r="M901" s="152"/>
      <c r="N901" s="152"/>
      <c r="O901" s="152"/>
      <c r="P901" s="152"/>
      <c r="Q901" s="152"/>
      <c r="R901" s="152"/>
    </row>
    <row r="902">
      <c r="A902" s="152"/>
      <c r="B902" s="152"/>
      <c r="C902" s="152"/>
      <c r="D902" s="152"/>
      <c r="E902" s="152"/>
      <c r="F902" s="195"/>
      <c r="G902" s="152"/>
      <c r="H902" s="152"/>
      <c r="I902" s="152"/>
      <c r="J902" s="152"/>
      <c r="K902" s="152"/>
      <c r="L902" s="152"/>
      <c r="M902" s="152"/>
      <c r="N902" s="152"/>
      <c r="O902" s="152"/>
      <c r="P902" s="152"/>
      <c r="Q902" s="152"/>
      <c r="R902" s="152"/>
    </row>
    <row r="903">
      <c r="A903" s="152"/>
      <c r="B903" s="152"/>
      <c r="C903" s="152"/>
      <c r="D903" s="152"/>
      <c r="E903" s="152"/>
      <c r="F903" s="195"/>
      <c r="G903" s="152"/>
      <c r="H903" s="152"/>
      <c r="I903" s="152"/>
      <c r="J903" s="152"/>
      <c r="K903" s="152"/>
      <c r="L903" s="152"/>
      <c r="M903" s="152"/>
      <c r="N903" s="152"/>
      <c r="O903" s="152"/>
      <c r="P903" s="152"/>
      <c r="Q903" s="152"/>
      <c r="R903" s="152"/>
    </row>
    <row r="904">
      <c r="A904" s="152"/>
      <c r="B904" s="152"/>
      <c r="C904" s="152"/>
      <c r="D904" s="152"/>
      <c r="E904" s="152"/>
      <c r="F904" s="195"/>
      <c r="G904" s="152"/>
      <c r="H904" s="152"/>
      <c r="I904" s="152"/>
      <c r="J904" s="152"/>
      <c r="K904" s="152"/>
      <c r="L904" s="152"/>
      <c r="M904" s="152"/>
      <c r="N904" s="152"/>
      <c r="O904" s="152"/>
      <c r="P904" s="152"/>
      <c r="Q904" s="152"/>
      <c r="R904" s="152"/>
    </row>
    <row r="905">
      <c r="A905" s="152"/>
      <c r="B905" s="152"/>
      <c r="C905" s="152"/>
      <c r="D905" s="152"/>
      <c r="E905" s="152"/>
      <c r="F905" s="195"/>
      <c r="G905" s="152"/>
      <c r="H905" s="152"/>
      <c r="I905" s="152"/>
      <c r="J905" s="152"/>
      <c r="K905" s="152"/>
      <c r="L905" s="152"/>
      <c r="M905" s="152"/>
      <c r="N905" s="152"/>
      <c r="O905" s="152"/>
      <c r="P905" s="152"/>
      <c r="Q905" s="152"/>
      <c r="R905" s="152"/>
    </row>
    <row r="906">
      <c r="A906" s="152"/>
      <c r="B906" s="152"/>
      <c r="C906" s="152"/>
      <c r="D906" s="152"/>
      <c r="E906" s="152"/>
      <c r="F906" s="195"/>
      <c r="G906" s="152"/>
      <c r="H906" s="152"/>
      <c r="I906" s="152"/>
      <c r="J906" s="152"/>
      <c r="K906" s="152"/>
      <c r="L906" s="152"/>
      <c r="M906" s="152"/>
      <c r="N906" s="152"/>
      <c r="O906" s="152"/>
      <c r="P906" s="152"/>
      <c r="Q906" s="152"/>
      <c r="R906" s="152"/>
    </row>
    <row r="907">
      <c r="A907" s="152"/>
      <c r="B907" s="152"/>
      <c r="C907" s="152"/>
      <c r="D907" s="152"/>
      <c r="E907" s="152"/>
      <c r="F907" s="195"/>
      <c r="G907" s="152"/>
      <c r="H907" s="152"/>
      <c r="I907" s="152"/>
      <c r="J907" s="152"/>
      <c r="K907" s="152"/>
      <c r="L907" s="152"/>
      <c r="M907" s="152"/>
      <c r="N907" s="152"/>
      <c r="O907" s="152"/>
      <c r="P907" s="152"/>
      <c r="Q907" s="152"/>
      <c r="R907" s="152"/>
    </row>
    <row r="908">
      <c r="A908" s="152"/>
      <c r="B908" s="152"/>
      <c r="C908" s="152"/>
      <c r="D908" s="152"/>
      <c r="E908" s="152"/>
      <c r="F908" s="195"/>
      <c r="G908" s="152"/>
      <c r="H908" s="152"/>
      <c r="I908" s="152"/>
      <c r="J908" s="152"/>
      <c r="K908" s="152"/>
      <c r="L908" s="152"/>
      <c r="M908" s="152"/>
      <c r="N908" s="152"/>
      <c r="O908" s="152"/>
      <c r="P908" s="152"/>
      <c r="Q908" s="152"/>
      <c r="R908" s="152"/>
    </row>
    <row r="909">
      <c r="A909" s="152"/>
      <c r="B909" s="152"/>
      <c r="C909" s="152"/>
      <c r="D909" s="152"/>
      <c r="E909" s="152"/>
      <c r="F909" s="195"/>
      <c r="G909" s="152"/>
      <c r="H909" s="152"/>
      <c r="I909" s="152"/>
      <c r="J909" s="152"/>
      <c r="K909" s="152"/>
      <c r="L909" s="152"/>
      <c r="M909" s="152"/>
      <c r="N909" s="152"/>
      <c r="O909" s="152"/>
      <c r="P909" s="152"/>
      <c r="Q909" s="152"/>
      <c r="R909" s="152"/>
    </row>
    <row r="910">
      <c r="A910" s="152"/>
      <c r="B910" s="152"/>
      <c r="C910" s="152"/>
      <c r="D910" s="152"/>
      <c r="E910" s="152"/>
      <c r="F910" s="195"/>
      <c r="G910" s="152"/>
      <c r="H910" s="152"/>
      <c r="I910" s="152"/>
      <c r="J910" s="152"/>
      <c r="K910" s="152"/>
      <c r="L910" s="152"/>
      <c r="M910" s="152"/>
      <c r="N910" s="152"/>
      <c r="O910" s="152"/>
      <c r="P910" s="152"/>
      <c r="Q910" s="152"/>
      <c r="R910" s="152"/>
    </row>
    <row r="911">
      <c r="A911" s="152"/>
      <c r="B911" s="152"/>
      <c r="C911" s="152"/>
      <c r="D911" s="152"/>
      <c r="E911" s="152"/>
      <c r="F911" s="195"/>
      <c r="G911" s="152"/>
      <c r="H911" s="152"/>
      <c r="I911" s="152"/>
      <c r="J911" s="152"/>
      <c r="K911" s="152"/>
      <c r="L911" s="152"/>
      <c r="M911" s="152"/>
      <c r="N911" s="152"/>
      <c r="O911" s="152"/>
      <c r="P911" s="152"/>
      <c r="Q911" s="152"/>
      <c r="R911" s="152"/>
    </row>
    <row r="912">
      <c r="A912" s="152"/>
      <c r="B912" s="152"/>
      <c r="C912" s="152"/>
      <c r="D912" s="152"/>
      <c r="E912" s="152"/>
      <c r="F912" s="195"/>
      <c r="G912" s="152"/>
      <c r="H912" s="152"/>
      <c r="I912" s="152"/>
      <c r="J912" s="152"/>
      <c r="K912" s="152"/>
      <c r="L912" s="152"/>
      <c r="M912" s="152"/>
      <c r="N912" s="152"/>
      <c r="O912" s="152"/>
      <c r="P912" s="152"/>
      <c r="Q912" s="152"/>
      <c r="R912" s="152"/>
    </row>
    <row r="913">
      <c r="A913" s="152"/>
      <c r="B913" s="152"/>
      <c r="C913" s="152"/>
      <c r="D913" s="152"/>
      <c r="E913" s="152"/>
      <c r="F913" s="195"/>
      <c r="G913" s="152"/>
      <c r="H913" s="152"/>
      <c r="I913" s="152"/>
      <c r="J913" s="152"/>
      <c r="K913" s="152"/>
      <c r="L913" s="152"/>
      <c r="M913" s="152"/>
      <c r="N913" s="152"/>
      <c r="O913" s="152"/>
      <c r="P913" s="152"/>
      <c r="Q913" s="152"/>
      <c r="R913" s="152"/>
    </row>
    <row r="914">
      <c r="A914" s="152"/>
      <c r="B914" s="152"/>
      <c r="C914" s="152"/>
      <c r="D914" s="152"/>
      <c r="E914" s="152"/>
      <c r="F914" s="195"/>
      <c r="G914" s="152"/>
      <c r="H914" s="152"/>
      <c r="I914" s="152"/>
      <c r="J914" s="152"/>
      <c r="K914" s="152"/>
      <c r="L914" s="152"/>
      <c r="M914" s="152"/>
      <c r="N914" s="152"/>
      <c r="O914" s="152"/>
      <c r="P914" s="152"/>
      <c r="Q914" s="152"/>
      <c r="R914" s="152"/>
    </row>
    <row r="915">
      <c r="A915" s="152"/>
      <c r="B915" s="152"/>
      <c r="C915" s="152"/>
      <c r="D915" s="152"/>
      <c r="E915" s="152"/>
      <c r="F915" s="195"/>
      <c r="G915" s="152"/>
      <c r="H915" s="152"/>
      <c r="I915" s="152"/>
      <c r="J915" s="152"/>
      <c r="K915" s="152"/>
      <c r="L915" s="152"/>
      <c r="M915" s="152"/>
      <c r="N915" s="152"/>
      <c r="O915" s="152"/>
      <c r="P915" s="152"/>
      <c r="Q915" s="152"/>
      <c r="R915" s="152"/>
    </row>
    <row r="916">
      <c r="A916" s="152"/>
      <c r="B916" s="152"/>
      <c r="C916" s="152"/>
      <c r="D916" s="152"/>
      <c r="E916" s="152"/>
      <c r="F916" s="195"/>
      <c r="G916" s="152"/>
      <c r="H916" s="152"/>
      <c r="I916" s="152"/>
      <c r="J916" s="152"/>
      <c r="K916" s="152"/>
      <c r="L916" s="152"/>
      <c r="M916" s="152"/>
      <c r="N916" s="152"/>
      <c r="O916" s="152"/>
      <c r="P916" s="152"/>
      <c r="Q916" s="152"/>
      <c r="R916" s="152"/>
    </row>
    <row r="917">
      <c r="A917" s="152"/>
      <c r="B917" s="152"/>
      <c r="C917" s="152"/>
      <c r="D917" s="152"/>
      <c r="E917" s="152"/>
      <c r="F917" s="195"/>
      <c r="G917" s="152"/>
      <c r="H917" s="152"/>
      <c r="I917" s="152"/>
      <c r="J917" s="152"/>
      <c r="K917" s="152"/>
      <c r="L917" s="152"/>
      <c r="M917" s="152"/>
      <c r="N917" s="152"/>
      <c r="O917" s="152"/>
      <c r="P917" s="152"/>
      <c r="Q917" s="152"/>
      <c r="R917" s="152"/>
    </row>
    <row r="918">
      <c r="A918" s="152"/>
      <c r="B918" s="152"/>
      <c r="C918" s="152"/>
      <c r="D918" s="152"/>
      <c r="E918" s="152"/>
      <c r="F918" s="195"/>
      <c r="G918" s="152"/>
      <c r="H918" s="152"/>
      <c r="I918" s="152"/>
      <c r="J918" s="152"/>
      <c r="K918" s="152"/>
      <c r="L918" s="152"/>
      <c r="M918" s="152"/>
      <c r="N918" s="152"/>
      <c r="O918" s="152"/>
      <c r="P918" s="152"/>
      <c r="Q918" s="152"/>
      <c r="R918" s="152"/>
    </row>
    <row r="919">
      <c r="A919" s="152"/>
      <c r="B919" s="152"/>
      <c r="C919" s="152"/>
      <c r="D919" s="152"/>
      <c r="E919" s="152"/>
      <c r="F919" s="195"/>
      <c r="G919" s="152"/>
      <c r="H919" s="152"/>
      <c r="I919" s="152"/>
      <c r="J919" s="152"/>
      <c r="K919" s="152"/>
      <c r="L919" s="152"/>
      <c r="M919" s="152"/>
      <c r="N919" s="152"/>
      <c r="O919" s="152"/>
      <c r="P919" s="152"/>
      <c r="Q919" s="152"/>
      <c r="R919" s="152"/>
    </row>
    <row r="920">
      <c r="A920" s="152"/>
      <c r="B920" s="152"/>
      <c r="C920" s="152"/>
      <c r="D920" s="152"/>
      <c r="E920" s="152"/>
      <c r="F920" s="195"/>
      <c r="G920" s="152"/>
      <c r="H920" s="152"/>
      <c r="I920" s="152"/>
      <c r="J920" s="152"/>
      <c r="K920" s="152"/>
      <c r="L920" s="152"/>
      <c r="M920" s="152"/>
      <c r="N920" s="152"/>
      <c r="O920" s="152"/>
      <c r="P920" s="152"/>
      <c r="Q920" s="152"/>
      <c r="R920" s="152"/>
    </row>
    <row r="921">
      <c r="A921" s="152"/>
      <c r="B921" s="152"/>
      <c r="C921" s="152"/>
      <c r="D921" s="152"/>
      <c r="E921" s="152"/>
      <c r="F921" s="195"/>
      <c r="G921" s="152"/>
      <c r="H921" s="152"/>
      <c r="I921" s="152"/>
      <c r="J921" s="152"/>
      <c r="K921" s="152"/>
      <c r="L921" s="152"/>
      <c r="M921" s="152"/>
      <c r="N921" s="152"/>
      <c r="O921" s="152"/>
      <c r="P921" s="152"/>
      <c r="Q921" s="152"/>
      <c r="R921" s="152"/>
    </row>
    <row r="922">
      <c r="A922" s="152"/>
      <c r="B922" s="152"/>
      <c r="C922" s="152"/>
      <c r="D922" s="152"/>
      <c r="E922" s="152"/>
      <c r="F922" s="195"/>
      <c r="G922" s="152"/>
      <c r="H922" s="152"/>
      <c r="I922" s="152"/>
      <c r="J922" s="152"/>
      <c r="K922" s="152"/>
      <c r="L922" s="152"/>
      <c r="M922" s="152"/>
      <c r="N922" s="152"/>
      <c r="O922" s="152"/>
      <c r="P922" s="152"/>
      <c r="Q922" s="152"/>
      <c r="R922" s="152"/>
    </row>
    <row r="923">
      <c r="A923" s="152"/>
      <c r="B923" s="152"/>
      <c r="C923" s="152"/>
      <c r="D923" s="152"/>
      <c r="E923" s="152"/>
      <c r="F923" s="195"/>
      <c r="G923" s="152"/>
      <c r="H923" s="152"/>
      <c r="I923" s="152"/>
      <c r="J923" s="152"/>
      <c r="K923" s="152"/>
      <c r="L923" s="152"/>
      <c r="M923" s="152"/>
      <c r="N923" s="152"/>
      <c r="O923" s="152"/>
      <c r="P923" s="152"/>
      <c r="Q923" s="152"/>
      <c r="R923" s="152"/>
    </row>
    <row r="924">
      <c r="A924" s="152"/>
      <c r="B924" s="152"/>
      <c r="C924" s="152"/>
      <c r="D924" s="152"/>
      <c r="E924" s="152"/>
      <c r="F924" s="195"/>
      <c r="G924" s="152"/>
      <c r="H924" s="152"/>
      <c r="I924" s="152"/>
      <c r="J924" s="152"/>
      <c r="K924" s="152"/>
      <c r="L924" s="152"/>
      <c r="M924" s="152"/>
      <c r="N924" s="152"/>
      <c r="O924" s="152"/>
      <c r="P924" s="152"/>
      <c r="Q924" s="152"/>
      <c r="R924" s="152"/>
    </row>
    <row r="925">
      <c r="A925" s="152"/>
      <c r="B925" s="152"/>
      <c r="C925" s="152"/>
      <c r="D925" s="152"/>
      <c r="E925" s="152"/>
      <c r="F925" s="195"/>
      <c r="G925" s="152"/>
      <c r="H925" s="152"/>
      <c r="I925" s="152"/>
      <c r="J925" s="152"/>
      <c r="K925" s="152"/>
      <c r="L925" s="152"/>
      <c r="M925" s="152"/>
      <c r="N925" s="152"/>
      <c r="O925" s="152"/>
      <c r="P925" s="152"/>
      <c r="Q925" s="152"/>
      <c r="R925" s="152"/>
    </row>
    <row r="926">
      <c r="A926" s="152"/>
      <c r="B926" s="152"/>
      <c r="C926" s="152"/>
      <c r="D926" s="152"/>
      <c r="E926" s="152"/>
      <c r="F926" s="195"/>
      <c r="G926" s="152"/>
      <c r="H926" s="152"/>
      <c r="I926" s="152"/>
      <c r="J926" s="152"/>
      <c r="K926" s="152"/>
      <c r="L926" s="152"/>
      <c r="M926" s="152"/>
      <c r="N926" s="152"/>
      <c r="O926" s="152"/>
      <c r="P926" s="152"/>
      <c r="Q926" s="152"/>
      <c r="R926" s="152"/>
    </row>
    <row r="927">
      <c r="A927" s="152"/>
      <c r="B927" s="152"/>
      <c r="C927" s="152"/>
      <c r="D927" s="152"/>
      <c r="E927" s="152"/>
      <c r="F927" s="195"/>
      <c r="G927" s="152"/>
      <c r="H927" s="152"/>
      <c r="I927" s="152"/>
      <c r="J927" s="152"/>
      <c r="K927" s="152"/>
      <c r="L927" s="152"/>
      <c r="M927" s="152"/>
      <c r="N927" s="152"/>
      <c r="O927" s="152"/>
      <c r="P927" s="152"/>
      <c r="Q927" s="152"/>
      <c r="R927" s="152"/>
    </row>
    <row r="928">
      <c r="A928" s="152"/>
      <c r="B928" s="152"/>
      <c r="C928" s="152"/>
      <c r="D928" s="152"/>
      <c r="E928" s="152"/>
      <c r="F928" s="195"/>
      <c r="G928" s="152"/>
      <c r="H928" s="152"/>
      <c r="I928" s="152"/>
      <c r="J928" s="152"/>
      <c r="K928" s="152"/>
      <c r="L928" s="152"/>
      <c r="M928" s="152"/>
      <c r="N928" s="152"/>
      <c r="O928" s="152"/>
      <c r="P928" s="152"/>
      <c r="Q928" s="152"/>
      <c r="R928" s="152"/>
    </row>
    <row r="929">
      <c r="A929" s="152"/>
      <c r="B929" s="152"/>
      <c r="C929" s="152"/>
      <c r="D929" s="152"/>
      <c r="E929" s="152"/>
      <c r="F929" s="195"/>
      <c r="G929" s="152"/>
      <c r="H929" s="152"/>
      <c r="I929" s="152"/>
      <c r="J929" s="152"/>
      <c r="K929" s="152"/>
      <c r="L929" s="152"/>
      <c r="M929" s="152"/>
      <c r="N929" s="152"/>
      <c r="O929" s="152"/>
      <c r="P929" s="152"/>
      <c r="Q929" s="152"/>
      <c r="R929" s="152"/>
    </row>
    <row r="930">
      <c r="A930" s="152"/>
      <c r="B930" s="152"/>
      <c r="C930" s="152"/>
      <c r="D930" s="152"/>
      <c r="E930" s="152"/>
      <c r="F930" s="195"/>
      <c r="G930" s="152"/>
      <c r="H930" s="152"/>
      <c r="I930" s="152"/>
      <c r="J930" s="152"/>
      <c r="K930" s="152"/>
      <c r="L930" s="152"/>
      <c r="M930" s="152"/>
      <c r="N930" s="152"/>
      <c r="O930" s="152"/>
      <c r="P930" s="152"/>
      <c r="Q930" s="152"/>
      <c r="R930" s="152"/>
    </row>
    <row r="931">
      <c r="A931" s="152"/>
      <c r="B931" s="152"/>
      <c r="C931" s="152"/>
      <c r="D931" s="152"/>
      <c r="E931" s="152"/>
      <c r="F931" s="195"/>
      <c r="G931" s="152"/>
      <c r="H931" s="152"/>
      <c r="I931" s="152"/>
      <c r="J931" s="152"/>
      <c r="K931" s="152"/>
      <c r="L931" s="152"/>
      <c r="M931" s="152"/>
      <c r="N931" s="152"/>
      <c r="O931" s="152"/>
      <c r="P931" s="152"/>
      <c r="Q931" s="152"/>
      <c r="R931" s="152"/>
    </row>
    <row r="932">
      <c r="A932" s="152"/>
      <c r="B932" s="152"/>
      <c r="C932" s="152"/>
      <c r="D932" s="152"/>
      <c r="E932" s="152"/>
      <c r="F932" s="195"/>
      <c r="G932" s="152"/>
      <c r="H932" s="152"/>
      <c r="I932" s="152"/>
      <c r="J932" s="152"/>
      <c r="K932" s="152"/>
      <c r="L932" s="152"/>
      <c r="M932" s="152"/>
      <c r="N932" s="152"/>
      <c r="O932" s="152"/>
      <c r="P932" s="152"/>
      <c r="Q932" s="152"/>
      <c r="R932" s="152"/>
    </row>
    <row r="933">
      <c r="A933" s="152"/>
      <c r="B933" s="152"/>
      <c r="C933" s="152"/>
      <c r="D933" s="152"/>
      <c r="E933" s="152"/>
      <c r="F933" s="195"/>
      <c r="G933" s="152"/>
      <c r="H933" s="152"/>
      <c r="I933" s="152"/>
      <c r="J933" s="152"/>
      <c r="K933" s="152"/>
      <c r="L933" s="152"/>
      <c r="M933" s="152"/>
      <c r="N933" s="152"/>
      <c r="O933" s="152"/>
      <c r="P933" s="152"/>
      <c r="Q933" s="152"/>
      <c r="R933" s="152"/>
    </row>
    <row r="934">
      <c r="A934" s="152"/>
      <c r="B934" s="152"/>
      <c r="C934" s="152"/>
      <c r="D934" s="152"/>
      <c r="E934" s="152"/>
      <c r="F934" s="195"/>
      <c r="G934" s="152"/>
      <c r="H934" s="152"/>
      <c r="I934" s="152"/>
      <c r="J934" s="152"/>
      <c r="K934" s="152"/>
      <c r="L934" s="152"/>
      <c r="M934" s="152"/>
      <c r="N934" s="152"/>
      <c r="O934" s="152"/>
      <c r="P934" s="152"/>
      <c r="Q934" s="152"/>
      <c r="R934" s="152"/>
    </row>
    <row r="935">
      <c r="A935" s="152"/>
      <c r="B935" s="152"/>
      <c r="C935" s="152"/>
      <c r="D935" s="152"/>
      <c r="E935" s="152"/>
      <c r="F935" s="195"/>
      <c r="G935" s="152"/>
      <c r="H935" s="152"/>
      <c r="I935" s="152"/>
      <c r="J935" s="152"/>
      <c r="K935" s="152"/>
      <c r="L935" s="152"/>
      <c r="M935" s="152"/>
      <c r="N935" s="152"/>
      <c r="O935" s="152"/>
      <c r="P935" s="152"/>
      <c r="Q935" s="152"/>
      <c r="R935" s="152"/>
    </row>
    <row r="936">
      <c r="A936" s="152"/>
      <c r="B936" s="152"/>
      <c r="C936" s="152"/>
      <c r="D936" s="152"/>
      <c r="E936" s="152"/>
      <c r="F936" s="195"/>
      <c r="G936" s="152"/>
      <c r="H936" s="152"/>
      <c r="I936" s="152"/>
      <c r="J936" s="152"/>
      <c r="K936" s="152"/>
      <c r="L936" s="152"/>
      <c r="M936" s="152"/>
      <c r="N936" s="152"/>
      <c r="O936" s="152"/>
      <c r="P936" s="152"/>
      <c r="Q936" s="152"/>
      <c r="R936" s="152"/>
    </row>
    <row r="937">
      <c r="A937" s="152"/>
      <c r="B937" s="152"/>
      <c r="C937" s="152"/>
      <c r="D937" s="152"/>
      <c r="E937" s="152"/>
      <c r="F937" s="195"/>
      <c r="G937" s="152"/>
      <c r="H937" s="152"/>
      <c r="I937" s="152"/>
      <c r="J937" s="152"/>
      <c r="K937" s="152"/>
      <c r="L937" s="152"/>
      <c r="M937" s="152"/>
      <c r="N937" s="152"/>
      <c r="O937" s="152"/>
      <c r="P937" s="152"/>
      <c r="Q937" s="152"/>
      <c r="R937" s="152"/>
    </row>
    <row r="938">
      <c r="A938" s="152"/>
      <c r="B938" s="152"/>
      <c r="C938" s="152"/>
      <c r="D938" s="152"/>
      <c r="E938" s="152"/>
      <c r="F938" s="195"/>
      <c r="G938" s="152"/>
      <c r="H938" s="152"/>
      <c r="I938" s="152"/>
      <c r="J938" s="152"/>
      <c r="K938" s="152"/>
      <c r="L938" s="152"/>
      <c r="M938" s="152"/>
      <c r="N938" s="152"/>
      <c r="O938" s="152"/>
      <c r="P938" s="152"/>
      <c r="Q938" s="152"/>
      <c r="R938" s="152"/>
    </row>
    <row r="939">
      <c r="A939" s="152"/>
      <c r="B939" s="152"/>
      <c r="C939" s="152"/>
      <c r="D939" s="152"/>
      <c r="E939" s="152"/>
      <c r="F939" s="195"/>
      <c r="G939" s="152"/>
      <c r="H939" s="152"/>
      <c r="I939" s="152"/>
      <c r="J939" s="152"/>
      <c r="K939" s="152"/>
      <c r="L939" s="152"/>
      <c r="M939" s="152"/>
      <c r="N939" s="152"/>
      <c r="O939" s="152"/>
      <c r="P939" s="152"/>
      <c r="Q939" s="152"/>
      <c r="R939" s="152"/>
    </row>
    <row r="940">
      <c r="A940" s="152"/>
      <c r="B940" s="152"/>
      <c r="C940" s="152"/>
      <c r="D940" s="152"/>
      <c r="E940" s="152"/>
      <c r="F940" s="195"/>
      <c r="G940" s="152"/>
      <c r="H940" s="152"/>
      <c r="I940" s="152"/>
      <c r="J940" s="152"/>
      <c r="K940" s="152"/>
      <c r="L940" s="152"/>
      <c r="M940" s="152"/>
      <c r="N940" s="152"/>
      <c r="O940" s="152"/>
      <c r="P940" s="152"/>
      <c r="Q940" s="152"/>
      <c r="R940" s="152"/>
    </row>
    <row r="941">
      <c r="A941" s="152"/>
      <c r="B941" s="152"/>
      <c r="C941" s="152"/>
      <c r="D941" s="152"/>
      <c r="E941" s="152"/>
      <c r="F941" s="195"/>
      <c r="G941" s="152"/>
      <c r="H941" s="152"/>
      <c r="I941" s="152"/>
      <c r="J941" s="152"/>
      <c r="K941" s="152"/>
      <c r="L941" s="152"/>
      <c r="M941" s="152"/>
      <c r="N941" s="152"/>
      <c r="O941" s="152"/>
      <c r="P941" s="152"/>
      <c r="Q941" s="152"/>
      <c r="R941" s="152"/>
    </row>
    <row r="942">
      <c r="A942" s="152"/>
      <c r="B942" s="152"/>
      <c r="C942" s="152"/>
      <c r="D942" s="152"/>
      <c r="E942" s="152"/>
      <c r="F942" s="195"/>
      <c r="G942" s="152"/>
      <c r="H942" s="152"/>
      <c r="I942" s="152"/>
      <c r="J942" s="152"/>
      <c r="K942" s="152"/>
      <c r="L942" s="152"/>
      <c r="M942" s="152"/>
      <c r="N942" s="152"/>
      <c r="O942" s="152"/>
      <c r="P942" s="152"/>
      <c r="Q942" s="152"/>
      <c r="R942" s="152"/>
    </row>
    <row r="943">
      <c r="A943" s="152"/>
      <c r="B943" s="152"/>
      <c r="C943" s="152"/>
      <c r="D943" s="152"/>
      <c r="E943" s="152"/>
      <c r="F943" s="195"/>
      <c r="G943" s="152"/>
      <c r="H943" s="152"/>
      <c r="I943" s="152"/>
      <c r="J943" s="152"/>
      <c r="K943" s="152"/>
      <c r="L943" s="152"/>
      <c r="M943" s="152"/>
      <c r="N943" s="152"/>
      <c r="O943" s="152"/>
      <c r="P943" s="152"/>
      <c r="Q943" s="152"/>
      <c r="R943" s="152"/>
    </row>
    <row r="944">
      <c r="A944" s="152"/>
      <c r="B944" s="152"/>
      <c r="C944" s="152"/>
      <c r="D944" s="152"/>
      <c r="E944" s="152"/>
      <c r="F944" s="195"/>
      <c r="G944" s="152"/>
      <c r="H944" s="152"/>
      <c r="I944" s="152"/>
      <c r="J944" s="152"/>
      <c r="K944" s="152"/>
      <c r="L944" s="152"/>
      <c r="M944" s="152"/>
      <c r="N944" s="152"/>
      <c r="O944" s="152"/>
      <c r="P944" s="152"/>
      <c r="Q944" s="152"/>
      <c r="R944" s="152"/>
    </row>
    <row r="945">
      <c r="A945" s="152"/>
      <c r="B945" s="152"/>
      <c r="C945" s="152"/>
      <c r="D945" s="152"/>
      <c r="E945" s="152"/>
      <c r="F945" s="195"/>
      <c r="G945" s="152"/>
      <c r="H945" s="152"/>
      <c r="I945" s="152"/>
      <c r="J945" s="152"/>
      <c r="K945" s="152"/>
      <c r="L945" s="152"/>
      <c r="M945" s="152"/>
      <c r="N945" s="152"/>
      <c r="O945" s="152"/>
      <c r="P945" s="152"/>
      <c r="Q945" s="152"/>
      <c r="R945" s="152"/>
    </row>
    <row r="946">
      <c r="A946" s="152"/>
      <c r="B946" s="152"/>
      <c r="C946" s="152"/>
      <c r="D946" s="152"/>
      <c r="E946" s="152"/>
      <c r="F946" s="195"/>
      <c r="G946" s="152"/>
      <c r="H946" s="152"/>
      <c r="I946" s="152"/>
      <c r="J946" s="152"/>
      <c r="K946" s="152"/>
      <c r="L946" s="152"/>
      <c r="M946" s="152"/>
      <c r="N946" s="152"/>
      <c r="O946" s="152"/>
      <c r="P946" s="152"/>
      <c r="Q946" s="152"/>
      <c r="R946" s="152"/>
    </row>
    <row r="947">
      <c r="A947" s="152"/>
      <c r="B947" s="152"/>
      <c r="C947" s="152"/>
      <c r="D947" s="152"/>
      <c r="E947" s="152"/>
      <c r="F947" s="195"/>
      <c r="G947" s="152"/>
      <c r="H947" s="152"/>
      <c r="I947" s="152"/>
      <c r="J947" s="152"/>
      <c r="K947" s="152"/>
      <c r="L947" s="152"/>
      <c r="M947" s="152"/>
      <c r="N947" s="152"/>
      <c r="O947" s="152"/>
      <c r="P947" s="152"/>
      <c r="Q947" s="152"/>
      <c r="R947" s="152"/>
    </row>
    <row r="948">
      <c r="A948" s="152"/>
      <c r="B948" s="152"/>
      <c r="C948" s="152"/>
      <c r="D948" s="152"/>
      <c r="E948" s="152"/>
      <c r="F948" s="195"/>
      <c r="G948" s="152"/>
      <c r="H948" s="152"/>
      <c r="I948" s="152"/>
      <c r="J948" s="152"/>
      <c r="K948" s="152"/>
      <c r="L948" s="152"/>
      <c r="M948" s="152"/>
      <c r="N948" s="152"/>
      <c r="O948" s="152"/>
      <c r="P948" s="152"/>
      <c r="Q948" s="152"/>
      <c r="R948" s="152"/>
    </row>
    <row r="949">
      <c r="A949" s="152"/>
      <c r="B949" s="152"/>
      <c r="C949" s="152"/>
      <c r="D949" s="152"/>
      <c r="E949" s="152"/>
      <c r="F949" s="195"/>
      <c r="G949" s="152"/>
      <c r="H949" s="152"/>
      <c r="I949" s="152"/>
      <c r="J949" s="152"/>
      <c r="K949" s="152"/>
      <c r="L949" s="152"/>
      <c r="M949" s="152"/>
      <c r="N949" s="152"/>
      <c r="O949" s="152"/>
      <c r="P949" s="152"/>
      <c r="Q949" s="152"/>
      <c r="R949" s="152"/>
    </row>
    <row r="950">
      <c r="A950" s="152"/>
      <c r="B950" s="152"/>
      <c r="C950" s="152"/>
      <c r="D950" s="152"/>
      <c r="E950" s="152"/>
      <c r="F950" s="195"/>
      <c r="G950" s="152"/>
      <c r="H950" s="152"/>
      <c r="I950" s="152"/>
      <c r="J950" s="152"/>
      <c r="K950" s="152"/>
      <c r="L950" s="152"/>
      <c r="M950" s="152"/>
      <c r="N950" s="152"/>
      <c r="O950" s="152"/>
      <c r="P950" s="152"/>
      <c r="Q950" s="152"/>
      <c r="R950" s="152"/>
    </row>
    <row r="951">
      <c r="A951" s="152"/>
      <c r="B951" s="152"/>
      <c r="C951" s="152"/>
      <c r="D951" s="152"/>
      <c r="E951" s="152"/>
      <c r="F951" s="195"/>
      <c r="G951" s="152"/>
      <c r="H951" s="152"/>
      <c r="I951" s="152"/>
      <c r="J951" s="152"/>
      <c r="K951" s="152"/>
      <c r="L951" s="152"/>
      <c r="M951" s="152"/>
      <c r="N951" s="152"/>
      <c r="O951" s="152"/>
      <c r="P951" s="152"/>
      <c r="Q951" s="152"/>
      <c r="R951" s="152"/>
    </row>
    <row r="952">
      <c r="A952" s="152"/>
      <c r="B952" s="152"/>
      <c r="C952" s="152"/>
      <c r="D952" s="152"/>
      <c r="E952" s="152"/>
      <c r="F952" s="195"/>
      <c r="G952" s="152"/>
      <c r="H952" s="152"/>
      <c r="I952" s="152"/>
      <c r="J952" s="152"/>
      <c r="K952" s="152"/>
      <c r="L952" s="152"/>
      <c r="M952" s="152"/>
      <c r="N952" s="152"/>
      <c r="O952" s="152"/>
      <c r="P952" s="152"/>
      <c r="Q952" s="152"/>
      <c r="R952" s="152"/>
    </row>
    <row r="953">
      <c r="A953" s="152"/>
      <c r="B953" s="152"/>
      <c r="C953" s="152"/>
      <c r="D953" s="152"/>
      <c r="E953" s="152"/>
      <c r="F953" s="195"/>
      <c r="G953" s="152"/>
      <c r="H953" s="152"/>
      <c r="I953" s="152"/>
      <c r="J953" s="152"/>
      <c r="K953" s="152"/>
      <c r="L953" s="152"/>
      <c r="M953" s="152"/>
      <c r="N953" s="152"/>
      <c r="O953" s="152"/>
      <c r="P953" s="152"/>
      <c r="Q953" s="152"/>
      <c r="R953" s="152"/>
    </row>
    <row r="954">
      <c r="A954" s="152"/>
      <c r="B954" s="152"/>
      <c r="C954" s="152"/>
      <c r="D954" s="152"/>
      <c r="E954" s="152"/>
      <c r="F954" s="195"/>
      <c r="G954" s="152"/>
      <c r="H954" s="152"/>
      <c r="I954" s="152"/>
      <c r="J954" s="152"/>
      <c r="K954" s="152"/>
      <c r="L954" s="152"/>
      <c r="M954" s="152"/>
      <c r="N954" s="152"/>
      <c r="O954" s="152"/>
      <c r="P954" s="152"/>
      <c r="Q954" s="152"/>
      <c r="R954" s="152"/>
    </row>
    <row r="955">
      <c r="A955" s="152"/>
      <c r="B955" s="152"/>
      <c r="C955" s="152"/>
      <c r="D955" s="152"/>
      <c r="E955" s="152"/>
      <c r="F955" s="195"/>
      <c r="G955" s="152"/>
      <c r="H955" s="152"/>
      <c r="I955" s="152"/>
      <c r="J955" s="152"/>
      <c r="K955" s="152"/>
      <c r="L955" s="152"/>
      <c r="M955" s="152"/>
      <c r="N955" s="152"/>
      <c r="O955" s="152"/>
      <c r="P955" s="152"/>
      <c r="Q955" s="152"/>
      <c r="R955" s="152"/>
    </row>
    <row r="956">
      <c r="A956" s="152"/>
      <c r="B956" s="152"/>
      <c r="C956" s="152"/>
      <c r="D956" s="152"/>
      <c r="E956" s="152"/>
      <c r="F956" s="195"/>
      <c r="G956" s="152"/>
      <c r="H956" s="152"/>
      <c r="I956" s="152"/>
      <c r="J956" s="152"/>
      <c r="K956" s="152"/>
      <c r="L956" s="152"/>
      <c r="M956" s="152"/>
      <c r="N956" s="152"/>
      <c r="O956" s="152"/>
      <c r="P956" s="152"/>
      <c r="Q956" s="152"/>
      <c r="R956" s="152"/>
    </row>
    <row r="957">
      <c r="A957" s="152"/>
      <c r="B957" s="152"/>
      <c r="C957" s="152"/>
      <c r="D957" s="152"/>
      <c r="E957" s="152"/>
      <c r="F957" s="195"/>
      <c r="G957" s="152"/>
      <c r="H957" s="152"/>
      <c r="I957" s="152"/>
      <c r="J957" s="152"/>
      <c r="K957" s="152"/>
      <c r="L957" s="152"/>
      <c r="M957" s="152"/>
      <c r="N957" s="152"/>
      <c r="O957" s="152"/>
      <c r="P957" s="152"/>
      <c r="Q957" s="152"/>
      <c r="R957" s="152"/>
    </row>
    <row r="958">
      <c r="A958" s="152"/>
      <c r="B958" s="152"/>
      <c r="C958" s="152"/>
      <c r="D958" s="152"/>
      <c r="E958" s="152"/>
      <c r="F958" s="195"/>
      <c r="G958" s="152"/>
      <c r="H958" s="152"/>
      <c r="I958" s="152"/>
      <c r="J958" s="152"/>
      <c r="K958" s="152"/>
      <c r="L958" s="152"/>
      <c r="M958" s="152"/>
      <c r="N958" s="152"/>
      <c r="O958" s="152"/>
      <c r="P958" s="152"/>
      <c r="Q958" s="152"/>
      <c r="R958" s="152"/>
    </row>
    <row r="959">
      <c r="A959" s="152"/>
      <c r="B959" s="152"/>
      <c r="C959" s="152"/>
      <c r="D959" s="152"/>
      <c r="E959" s="152"/>
      <c r="F959" s="195"/>
      <c r="G959" s="152"/>
      <c r="H959" s="152"/>
      <c r="I959" s="152"/>
      <c r="J959" s="152"/>
      <c r="K959" s="152"/>
      <c r="L959" s="152"/>
      <c r="M959" s="152"/>
      <c r="N959" s="152"/>
      <c r="O959" s="152"/>
      <c r="P959" s="152"/>
      <c r="Q959" s="152"/>
      <c r="R959" s="152"/>
    </row>
    <row r="960">
      <c r="A960" s="152"/>
      <c r="B960" s="152"/>
      <c r="C960" s="152"/>
      <c r="D960" s="152"/>
      <c r="E960" s="152"/>
      <c r="F960" s="195"/>
      <c r="G960" s="152"/>
      <c r="H960" s="152"/>
      <c r="I960" s="152"/>
      <c r="J960" s="152"/>
      <c r="K960" s="152"/>
      <c r="L960" s="152"/>
      <c r="M960" s="152"/>
      <c r="N960" s="152"/>
      <c r="O960" s="152"/>
      <c r="P960" s="152"/>
      <c r="Q960" s="152"/>
      <c r="R960" s="152"/>
    </row>
    <row r="961">
      <c r="A961" s="152"/>
      <c r="B961" s="152"/>
      <c r="C961" s="152"/>
      <c r="D961" s="152"/>
      <c r="E961" s="152"/>
      <c r="F961" s="195"/>
      <c r="G961" s="152"/>
      <c r="H961" s="152"/>
      <c r="I961" s="152"/>
      <c r="J961" s="152"/>
      <c r="K961" s="152"/>
      <c r="L961" s="152"/>
      <c r="M961" s="152"/>
      <c r="N961" s="152"/>
      <c r="O961" s="152"/>
      <c r="P961" s="152"/>
      <c r="Q961" s="152"/>
      <c r="R961" s="152"/>
    </row>
    <row r="962">
      <c r="A962" s="152"/>
      <c r="B962" s="152"/>
      <c r="C962" s="152"/>
      <c r="D962" s="152"/>
      <c r="E962" s="152"/>
      <c r="F962" s="195"/>
      <c r="G962" s="152"/>
      <c r="H962" s="152"/>
      <c r="I962" s="152"/>
      <c r="J962" s="152"/>
      <c r="K962" s="152"/>
      <c r="L962" s="152"/>
      <c r="M962" s="152"/>
      <c r="N962" s="152"/>
      <c r="O962" s="152"/>
      <c r="P962" s="152"/>
      <c r="Q962" s="152"/>
      <c r="R962" s="152"/>
    </row>
    <row r="963">
      <c r="A963" s="152"/>
      <c r="B963" s="152"/>
      <c r="C963" s="152"/>
      <c r="D963" s="152"/>
      <c r="E963" s="152"/>
      <c r="F963" s="195"/>
      <c r="G963" s="152"/>
      <c r="H963" s="152"/>
      <c r="I963" s="152"/>
      <c r="J963" s="152"/>
      <c r="K963" s="152"/>
      <c r="L963" s="152"/>
      <c r="M963" s="152"/>
      <c r="N963" s="152"/>
      <c r="O963" s="152"/>
      <c r="P963" s="152"/>
      <c r="Q963" s="152"/>
      <c r="R963" s="152"/>
    </row>
    <row r="964">
      <c r="A964" s="152"/>
      <c r="B964" s="152"/>
      <c r="C964" s="152"/>
      <c r="D964" s="152"/>
      <c r="E964" s="152"/>
      <c r="F964" s="195"/>
      <c r="G964" s="152"/>
      <c r="H964" s="152"/>
      <c r="I964" s="152"/>
      <c r="J964" s="152"/>
      <c r="K964" s="152"/>
      <c r="L964" s="152"/>
      <c r="M964" s="152"/>
      <c r="N964" s="152"/>
      <c r="O964" s="152"/>
      <c r="P964" s="152"/>
      <c r="Q964" s="152"/>
      <c r="R964" s="152"/>
    </row>
    <row r="965">
      <c r="A965" s="152"/>
      <c r="B965" s="152"/>
      <c r="C965" s="152"/>
      <c r="D965" s="152"/>
      <c r="E965" s="152"/>
      <c r="F965" s="195"/>
      <c r="G965" s="152"/>
      <c r="H965" s="152"/>
      <c r="I965" s="152"/>
      <c r="J965" s="152"/>
      <c r="K965" s="152"/>
      <c r="L965" s="152"/>
      <c r="M965" s="152"/>
      <c r="N965" s="152"/>
      <c r="O965" s="152"/>
      <c r="P965" s="152"/>
      <c r="Q965" s="152"/>
      <c r="R965" s="152"/>
    </row>
    <row r="966">
      <c r="A966" s="152"/>
      <c r="B966" s="152"/>
      <c r="C966" s="152"/>
      <c r="D966" s="152"/>
      <c r="E966" s="152"/>
      <c r="F966" s="195"/>
      <c r="G966" s="152"/>
      <c r="H966" s="152"/>
      <c r="I966" s="152"/>
      <c r="J966" s="152"/>
      <c r="K966" s="152"/>
      <c r="L966" s="152"/>
      <c r="M966" s="152"/>
      <c r="N966" s="152"/>
      <c r="O966" s="152"/>
      <c r="P966" s="152"/>
      <c r="Q966" s="152"/>
      <c r="R966" s="152"/>
    </row>
    <row r="967">
      <c r="A967" s="152"/>
      <c r="B967" s="152"/>
      <c r="C967" s="152"/>
      <c r="D967" s="152"/>
      <c r="E967" s="152"/>
      <c r="F967" s="195"/>
      <c r="G967" s="152"/>
      <c r="H967" s="152"/>
      <c r="I967" s="152"/>
      <c r="J967" s="152"/>
      <c r="K967" s="152"/>
      <c r="L967" s="152"/>
      <c r="M967" s="152"/>
      <c r="N967" s="152"/>
      <c r="O967" s="152"/>
      <c r="P967" s="152"/>
      <c r="Q967" s="152"/>
      <c r="R967" s="152"/>
    </row>
    <row r="968">
      <c r="A968" s="152"/>
      <c r="B968" s="152"/>
      <c r="C968" s="152"/>
      <c r="D968" s="152"/>
      <c r="E968" s="152"/>
      <c r="F968" s="195"/>
      <c r="G968" s="152"/>
      <c r="H968" s="152"/>
      <c r="I968" s="152"/>
      <c r="J968" s="152"/>
      <c r="K968" s="152"/>
      <c r="L968" s="152"/>
      <c r="M968" s="152"/>
      <c r="N968" s="152"/>
      <c r="O968" s="152"/>
      <c r="P968" s="152"/>
      <c r="Q968" s="152"/>
      <c r="R968" s="152"/>
    </row>
    <row r="969">
      <c r="A969" s="152"/>
      <c r="B969" s="152"/>
      <c r="C969" s="152"/>
      <c r="D969" s="152"/>
      <c r="E969" s="152"/>
      <c r="F969" s="195"/>
      <c r="G969" s="152"/>
      <c r="H969" s="152"/>
      <c r="I969" s="152"/>
      <c r="J969" s="152"/>
      <c r="K969" s="152"/>
      <c r="L969" s="152"/>
      <c r="M969" s="152"/>
      <c r="N969" s="152"/>
      <c r="O969" s="152"/>
      <c r="P969" s="152"/>
      <c r="Q969" s="152"/>
      <c r="R969" s="152"/>
    </row>
    <row r="970">
      <c r="A970" s="152"/>
      <c r="B970" s="152"/>
      <c r="C970" s="152"/>
      <c r="D970" s="152"/>
      <c r="E970" s="152"/>
      <c r="F970" s="195"/>
      <c r="G970" s="152"/>
      <c r="H970" s="152"/>
      <c r="I970" s="152"/>
      <c r="J970" s="152"/>
      <c r="K970" s="152"/>
      <c r="L970" s="152"/>
      <c r="M970" s="152"/>
      <c r="N970" s="152"/>
      <c r="O970" s="152"/>
      <c r="P970" s="152"/>
      <c r="Q970" s="152"/>
      <c r="R970" s="152"/>
    </row>
    <row r="971">
      <c r="A971" s="152"/>
      <c r="B971" s="152"/>
      <c r="C971" s="152"/>
      <c r="D971" s="152"/>
      <c r="E971" s="152"/>
      <c r="F971" s="195"/>
      <c r="G971" s="152"/>
      <c r="H971" s="152"/>
      <c r="I971" s="152"/>
      <c r="J971" s="152"/>
      <c r="K971" s="152"/>
      <c r="L971" s="152"/>
      <c r="M971" s="152"/>
      <c r="N971" s="152"/>
      <c r="O971" s="152"/>
      <c r="P971" s="152"/>
      <c r="Q971" s="152"/>
      <c r="R971" s="152"/>
    </row>
    <row r="972">
      <c r="A972" s="152"/>
      <c r="B972" s="152"/>
      <c r="C972" s="152"/>
      <c r="D972" s="152"/>
      <c r="E972" s="152"/>
      <c r="F972" s="195"/>
      <c r="G972" s="152"/>
      <c r="H972" s="152"/>
      <c r="I972" s="152"/>
      <c r="J972" s="152"/>
      <c r="K972" s="152"/>
      <c r="L972" s="152"/>
      <c r="M972" s="152"/>
      <c r="N972" s="152"/>
      <c r="O972" s="152"/>
      <c r="P972" s="152"/>
      <c r="Q972" s="152"/>
      <c r="R972" s="152"/>
    </row>
    <row r="973">
      <c r="A973" s="152"/>
      <c r="B973" s="152"/>
      <c r="C973" s="152"/>
      <c r="D973" s="152"/>
      <c r="E973" s="152"/>
      <c r="F973" s="195"/>
      <c r="G973" s="152"/>
      <c r="H973" s="152"/>
      <c r="I973" s="152"/>
      <c r="J973" s="152"/>
      <c r="K973" s="152"/>
      <c r="L973" s="152"/>
      <c r="M973" s="152"/>
      <c r="N973" s="152"/>
      <c r="O973" s="152"/>
      <c r="P973" s="152"/>
      <c r="Q973" s="152"/>
      <c r="R973" s="152"/>
    </row>
    <row r="974">
      <c r="A974" s="152"/>
      <c r="B974" s="152"/>
      <c r="C974" s="152"/>
      <c r="D974" s="152"/>
      <c r="E974" s="152"/>
      <c r="F974" s="195"/>
      <c r="G974" s="152"/>
      <c r="H974" s="152"/>
      <c r="I974" s="152"/>
      <c r="J974" s="152"/>
      <c r="K974" s="152"/>
      <c r="L974" s="152"/>
      <c r="M974" s="152"/>
      <c r="N974" s="152"/>
      <c r="O974" s="152"/>
      <c r="P974" s="152"/>
      <c r="Q974" s="152"/>
      <c r="R974" s="152"/>
    </row>
    <row r="975">
      <c r="A975" s="152"/>
      <c r="B975" s="152"/>
      <c r="C975" s="152"/>
      <c r="D975" s="152"/>
      <c r="E975" s="152"/>
      <c r="F975" s="195"/>
      <c r="G975" s="152"/>
      <c r="H975" s="152"/>
      <c r="I975" s="152"/>
      <c r="J975" s="152"/>
      <c r="K975" s="152"/>
      <c r="L975" s="152"/>
      <c r="M975" s="152"/>
      <c r="N975" s="152"/>
      <c r="O975" s="152"/>
      <c r="P975" s="152"/>
      <c r="Q975" s="152"/>
      <c r="R975" s="152"/>
    </row>
    <row r="976">
      <c r="A976" s="152"/>
      <c r="B976" s="152"/>
      <c r="C976" s="152"/>
      <c r="D976" s="152"/>
      <c r="E976" s="152"/>
      <c r="F976" s="195"/>
      <c r="G976" s="152"/>
      <c r="H976" s="152"/>
      <c r="I976" s="152"/>
      <c r="J976" s="152"/>
      <c r="K976" s="152"/>
      <c r="L976" s="152"/>
      <c r="M976" s="152"/>
      <c r="N976" s="152"/>
      <c r="O976" s="152"/>
      <c r="P976" s="152"/>
      <c r="Q976" s="152"/>
      <c r="R976" s="152"/>
    </row>
    <row r="977">
      <c r="A977" s="152"/>
      <c r="B977" s="152"/>
      <c r="C977" s="152"/>
      <c r="D977" s="152"/>
      <c r="E977" s="152"/>
      <c r="F977" s="195"/>
      <c r="G977" s="152"/>
      <c r="H977" s="152"/>
      <c r="I977" s="152"/>
      <c r="J977" s="152"/>
      <c r="K977" s="152"/>
      <c r="L977" s="152"/>
      <c r="M977" s="152"/>
      <c r="N977" s="152"/>
      <c r="O977" s="152"/>
      <c r="P977" s="152"/>
      <c r="Q977" s="152"/>
      <c r="R977" s="152"/>
    </row>
    <row r="978">
      <c r="A978" s="152"/>
      <c r="B978" s="152"/>
      <c r="C978" s="152"/>
      <c r="D978" s="152"/>
      <c r="E978" s="152"/>
      <c r="F978" s="195"/>
      <c r="G978" s="152"/>
      <c r="H978" s="152"/>
      <c r="I978" s="152"/>
      <c r="J978" s="152"/>
      <c r="K978" s="152"/>
      <c r="L978" s="152"/>
      <c r="M978" s="152"/>
      <c r="N978" s="152"/>
      <c r="O978" s="152"/>
      <c r="P978" s="152"/>
      <c r="Q978" s="152"/>
      <c r="R978" s="152"/>
    </row>
    <row r="979">
      <c r="A979" s="152"/>
      <c r="B979" s="152"/>
      <c r="C979" s="152"/>
      <c r="D979" s="152"/>
      <c r="E979" s="152"/>
      <c r="F979" s="195"/>
      <c r="G979" s="152"/>
      <c r="H979" s="152"/>
      <c r="I979" s="152"/>
      <c r="J979" s="152"/>
      <c r="K979" s="152"/>
      <c r="L979" s="152"/>
      <c r="M979" s="152"/>
      <c r="N979" s="152"/>
      <c r="O979" s="152"/>
      <c r="P979" s="152"/>
      <c r="Q979" s="152"/>
      <c r="R979" s="152"/>
    </row>
    <row r="980">
      <c r="A980" s="152"/>
      <c r="B980" s="152"/>
      <c r="C980" s="152"/>
      <c r="D980" s="152"/>
      <c r="E980" s="152"/>
      <c r="F980" s="195"/>
      <c r="G980" s="152"/>
      <c r="H980" s="152"/>
      <c r="I980" s="152"/>
      <c r="J980" s="152"/>
      <c r="K980" s="152"/>
      <c r="L980" s="152"/>
      <c r="M980" s="152"/>
      <c r="N980" s="152"/>
      <c r="O980" s="152"/>
      <c r="P980" s="152"/>
      <c r="Q980" s="152"/>
      <c r="R980" s="152"/>
    </row>
    <row r="981">
      <c r="A981" s="152"/>
      <c r="B981" s="152"/>
      <c r="C981" s="152"/>
      <c r="D981" s="152"/>
      <c r="E981" s="152"/>
      <c r="F981" s="195"/>
      <c r="G981" s="152"/>
      <c r="H981" s="152"/>
      <c r="I981" s="152"/>
      <c r="J981" s="152"/>
      <c r="K981" s="152"/>
      <c r="L981" s="152"/>
      <c r="M981" s="152"/>
      <c r="N981" s="152"/>
      <c r="O981" s="152"/>
      <c r="P981" s="152"/>
      <c r="Q981" s="152"/>
      <c r="R981" s="152"/>
    </row>
    <row r="982">
      <c r="A982" s="152"/>
      <c r="B982" s="152"/>
      <c r="C982" s="152"/>
      <c r="D982" s="152"/>
      <c r="E982" s="152"/>
      <c r="F982" s="195"/>
      <c r="G982" s="152"/>
      <c r="H982" s="152"/>
      <c r="I982" s="152"/>
      <c r="J982" s="152"/>
      <c r="K982" s="152"/>
      <c r="L982" s="152"/>
      <c r="M982" s="152"/>
      <c r="N982" s="152"/>
      <c r="O982" s="152"/>
      <c r="P982" s="152"/>
      <c r="Q982" s="152"/>
      <c r="R982" s="152"/>
    </row>
    <row r="983">
      <c r="A983" s="152"/>
      <c r="B983" s="152"/>
      <c r="C983" s="152"/>
      <c r="D983" s="152"/>
      <c r="E983" s="152"/>
      <c r="F983" s="195"/>
      <c r="G983" s="152"/>
      <c r="H983" s="152"/>
      <c r="I983" s="152"/>
      <c r="J983" s="152"/>
      <c r="K983" s="152"/>
      <c r="L983" s="152"/>
      <c r="M983" s="152"/>
      <c r="N983" s="152"/>
      <c r="O983" s="152"/>
      <c r="P983" s="152"/>
      <c r="Q983" s="152"/>
      <c r="R983" s="152"/>
    </row>
    <row r="984">
      <c r="A984" s="152"/>
      <c r="B984" s="152"/>
      <c r="C984" s="152"/>
      <c r="D984" s="152"/>
      <c r="E984" s="152"/>
      <c r="F984" s="195"/>
      <c r="G984" s="152"/>
      <c r="H984" s="152"/>
      <c r="I984" s="152"/>
      <c r="J984" s="152"/>
      <c r="K984" s="152"/>
      <c r="L984" s="152"/>
      <c r="M984" s="152"/>
      <c r="N984" s="152"/>
      <c r="O984" s="152"/>
      <c r="P984" s="152"/>
      <c r="Q984" s="152"/>
      <c r="R984" s="152"/>
    </row>
    <row r="985">
      <c r="A985" s="152"/>
      <c r="B985" s="152"/>
      <c r="C985" s="152"/>
      <c r="D985" s="152"/>
      <c r="E985" s="152"/>
      <c r="F985" s="195"/>
      <c r="G985" s="152"/>
      <c r="H985" s="152"/>
      <c r="I985" s="152"/>
      <c r="J985" s="152"/>
      <c r="K985" s="152"/>
      <c r="L985" s="152"/>
      <c r="M985" s="152"/>
      <c r="N985" s="152"/>
      <c r="O985" s="152"/>
      <c r="P985" s="152"/>
      <c r="Q985" s="152"/>
      <c r="R985" s="152"/>
    </row>
    <row r="986">
      <c r="A986" s="152"/>
      <c r="B986" s="152"/>
      <c r="C986" s="152"/>
      <c r="D986" s="152"/>
      <c r="E986" s="152"/>
      <c r="F986" s="195"/>
      <c r="G986" s="152"/>
      <c r="H986" s="152"/>
      <c r="I986" s="152"/>
      <c r="J986" s="152"/>
      <c r="K986" s="152"/>
      <c r="L986" s="152"/>
      <c r="M986" s="152"/>
      <c r="N986" s="152"/>
      <c r="O986" s="152"/>
      <c r="P986" s="152"/>
      <c r="Q986" s="152"/>
      <c r="R986" s="152"/>
    </row>
    <row r="987">
      <c r="A987" s="152"/>
      <c r="B987" s="152"/>
      <c r="C987" s="152"/>
      <c r="D987" s="152"/>
      <c r="E987" s="152"/>
      <c r="F987" s="195"/>
      <c r="G987" s="152"/>
      <c r="H987" s="152"/>
      <c r="I987" s="152"/>
      <c r="J987" s="152"/>
      <c r="K987" s="152"/>
      <c r="L987" s="152"/>
      <c r="M987" s="152"/>
      <c r="N987" s="152"/>
      <c r="O987" s="152"/>
      <c r="P987" s="152"/>
      <c r="Q987" s="152"/>
      <c r="R987" s="152"/>
    </row>
    <row r="988">
      <c r="A988" s="152"/>
      <c r="B988" s="152"/>
      <c r="C988" s="152"/>
      <c r="D988" s="152"/>
      <c r="E988" s="152"/>
      <c r="F988" s="195"/>
      <c r="G988" s="152"/>
      <c r="H988" s="152"/>
      <c r="I988" s="152"/>
      <c r="J988" s="152"/>
      <c r="K988" s="152"/>
      <c r="L988" s="152"/>
      <c r="M988" s="152"/>
      <c r="N988" s="152"/>
      <c r="O988" s="152"/>
      <c r="P988" s="152"/>
      <c r="Q988" s="152"/>
      <c r="R988" s="152"/>
    </row>
    <row r="989">
      <c r="A989" s="152"/>
      <c r="B989" s="152"/>
      <c r="C989" s="152"/>
      <c r="D989" s="152"/>
      <c r="E989" s="152"/>
      <c r="F989" s="195"/>
      <c r="G989" s="152"/>
      <c r="H989" s="152"/>
      <c r="I989" s="152"/>
      <c r="J989" s="152"/>
      <c r="K989" s="152"/>
      <c r="L989" s="152"/>
      <c r="M989" s="152"/>
      <c r="N989" s="152"/>
      <c r="O989" s="152"/>
      <c r="P989" s="152"/>
      <c r="Q989" s="152"/>
      <c r="R989" s="152"/>
    </row>
    <row r="990">
      <c r="A990" s="152"/>
      <c r="B990" s="152"/>
      <c r="C990" s="152"/>
      <c r="D990" s="152"/>
      <c r="E990" s="152"/>
      <c r="F990" s="195"/>
      <c r="G990" s="152"/>
      <c r="H990" s="152"/>
      <c r="I990" s="152"/>
      <c r="J990" s="152"/>
      <c r="K990" s="152"/>
      <c r="L990" s="152"/>
      <c r="M990" s="152"/>
      <c r="N990" s="152"/>
      <c r="O990" s="152"/>
      <c r="P990" s="152"/>
      <c r="Q990" s="152"/>
      <c r="R990" s="152"/>
    </row>
    <row r="991">
      <c r="A991" s="152"/>
      <c r="B991" s="152"/>
      <c r="C991" s="152"/>
      <c r="D991" s="152"/>
      <c r="E991" s="152"/>
      <c r="F991" s="195"/>
      <c r="G991" s="152"/>
      <c r="H991" s="152"/>
      <c r="I991" s="152"/>
      <c r="J991" s="152"/>
      <c r="K991" s="152"/>
      <c r="L991" s="152"/>
      <c r="M991" s="152"/>
      <c r="N991" s="152"/>
      <c r="O991" s="152"/>
      <c r="P991" s="152"/>
      <c r="Q991" s="152"/>
      <c r="R991" s="152"/>
    </row>
    <row r="992">
      <c r="A992" s="152"/>
      <c r="B992" s="152"/>
      <c r="C992" s="152"/>
      <c r="D992" s="152"/>
      <c r="E992" s="152"/>
      <c r="F992" s="195"/>
      <c r="G992" s="152"/>
      <c r="H992" s="152"/>
      <c r="I992" s="152"/>
      <c r="J992" s="152"/>
      <c r="K992" s="152"/>
      <c r="L992" s="152"/>
      <c r="M992" s="152"/>
      <c r="N992" s="152"/>
      <c r="O992" s="152"/>
      <c r="P992" s="152"/>
      <c r="Q992" s="152"/>
      <c r="R992" s="152"/>
    </row>
    <row r="993">
      <c r="A993" s="152"/>
      <c r="B993" s="152"/>
      <c r="C993" s="152"/>
      <c r="D993" s="152"/>
      <c r="E993" s="152"/>
      <c r="F993" s="195"/>
      <c r="G993" s="152"/>
      <c r="H993" s="152"/>
      <c r="I993" s="152"/>
      <c r="J993" s="152"/>
      <c r="K993" s="152"/>
      <c r="L993" s="152"/>
      <c r="M993" s="152"/>
      <c r="N993" s="152"/>
      <c r="O993" s="152"/>
      <c r="P993" s="152"/>
      <c r="Q993" s="152"/>
      <c r="R993" s="152"/>
    </row>
    <row r="994">
      <c r="A994" s="152"/>
      <c r="B994" s="152"/>
      <c r="C994" s="152"/>
      <c r="D994" s="152"/>
      <c r="E994" s="152"/>
      <c r="F994" s="195"/>
      <c r="G994" s="152"/>
      <c r="H994" s="152"/>
      <c r="I994" s="152"/>
      <c r="J994" s="152"/>
      <c r="K994" s="152"/>
      <c r="L994" s="152"/>
      <c r="M994" s="152"/>
      <c r="N994" s="152"/>
      <c r="O994" s="152"/>
      <c r="P994" s="152"/>
      <c r="Q994" s="152"/>
      <c r="R994" s="152"/>
    </row>
    <row r="995">
      <c r="A995" s="152"/>
      <c r="B995" s="152"/>
      <c r="C995" s="152"/>
      <c r="D995" s="152"/>
      <c r="E995" s="152"/>
      <c r="F995" s="195"/>
      <c r="G995" s="152"/>
      <c r="H995" s="152"/>
      <c r="I995" s="152"/>
      <c r="J995" s="152"/>
      <c r="K995" s="152"/>
      <c r="L995" s="152"/>
      <c r="M995" s="152"/>
      <c r="N995" s="152"/>
      <c r="O995" s="152"/>
      <c r="P995" s="152"/>
      <c r="Q995" s="152"/>
      <c r="R995" s="152"/>
    </row>
    <row r="996">
      <c r="A996" s="152"/>
      <c r="B996" s="152"/>
      <c r="C996" s="152"/>
      <c r="D996" s="152"/>
      <c r="E996" s="152"/>
      <c r="F996" s="195"/>
      <c r="G996" s="152"/>
      <c r="H996" s="152"/>
      <c r="I996" s="152"/>
      <c r="J996" s="152"/>
      <c r="K996" s="152"/>
      <c r="L996" s="152"/>
      <c r="M996" s="152"/>
      <c r="N996" s="152"/>
      <c r="O996" s="152"/>
      <c r="P996" s="152"/>
      <c r="Q996" s="152"/>
      <c r="R996" s="152"/>
    </row>
    <row r="997">
      <c r="A997" s="152"/>
      <c r="B997" s="152"/>
      <c r="C997" s="152"/>
      <c r="D997" s="152"/>
      <c r="E997" s="152"/>
      <c r="F997" s="195"/>
      <c r="G997" s="152"/>
      <c r="H997" s="152"/>
      <c r="I997" s="152"/>
      <c r="J997" s="152"/>
      <c r="K997" s="152"/>
      <c r="L997" s="152"/>
      <c r="M997" s="152"/>
      <c r="N997" s="152"/>
      <c r="O997" s="152"/>
      <c r="P997" s="152"/>
      <c r="Q997" s="152"/>
      <c r="R997" s="152"/>
    </row>
    <row r="998">
      <c r="A998" s="152"/>
      <c r="B998" s="152"/>
      <c r="C998" s="152"/>
      <c r="D998" s="152"/>
      <c r="E998" s="152"/>
      <c r="F998" s="195"/>
      <c r="G998" s="152"/>
      <c r="H998" s="152"/>
      <c r="I998" s="152"/>
      <c r="J998" s="152"/>
      <c r="K998" s="152"/>
      <c r="L998" s="152"/>
      <c r="M998" s="152"/>
      <c r="N998" s="152"/>
      <c r="O998" s="152"/>
      <c r="P998" s="152"/>
      <c r="Q998" s="152"/>
      <c r="R998" s="152"/>
    </row>
    <row r="999">
      <c r="A999" s="152"/>
      <c r="B999" s="152"/>
      <c r="C999" s="152"/>
      <c r="D999" s="152"/>
      <c r="E999" s="152"/>
      <c r="F999" s="195"/>
      <c r="G999" s="152"/>
      <c r="H999" s="152"/>
      <c r="I999" s="152"/>
      <c r="J999" s="152"/>
      <c r="K999" s="152"/>
      <c r="L999" s="152"/>
      <c r="M999" s="152"/>
      <c r="N999" s="152"/>
      <c r="O999" s="152"/>
      <c r="P999" s="152"/>
      <c r="Q999" s="152"/>
      <c r="R999" s="152"/>
    </row>
    <row r="1000">
      <c r="A1000" s="152"/>
      <c r="B1000" s="152"/>
      <c r="C1000" s="152"/>
      <c r="D1000" s="152"/>
      <c r="E1000" s="152"/>
      <c r="F1000" s="195"/>
      <c r="G1000" s="152"/>
      <c r="H1000" s="152"/>
      <c r="I1000" s="152"/>
      <c r="J1000" s="152"/>
      <c r="K1000" s="152"/>
      <c r="L1000" s="152"/>
      <c r="M1000" s="152"/>
      <c r="N1000" s="152"/>
      <c r="O1000" s="152"/>
      <c r="P1000" s="152"/>
      <c r="Q1000" s="152"/>
      <c r="R1000" s="152"/>
    </row>
    <row r="1001">
      <c r="A1001" s="152"/>
      <c r="B1001" s="152"/>
      <c r="C1001" s="152"/>
      <c r="D1001" s="152"/>
      <c r="E1001" s="152"/>
      <c r="F1001" s="152"/>
      <c r="G1001" s="152"/>
      <c r="H1001" s="152"/>
      <c r="I1001" s="152"/>
      <c r="J1001" s="152"/>
      <c r="K1001" s="152"/>
      <c r="L1001" s="152"/>
      <c r="M1001" s="152"/>
      <c r="N1001" s="152"/>
      <c r="O1001" s="152"/>
      <c r="P1001" s="152"/>
      <c r="Q1001" s="152"/>
      <c r="R1001" s="152"/>
    </row>
    <row r="1002">
      <c r="A1002" s="152"/>
      <c r="B1002" s="152"/>
      <c r="C1002" s="152"/>
      <c r="D1002" s="152"/>
      <c r="E1002" s="152"/>
      <c r="F1002" s="152"/>
      <c r="G1002" s="152"/>
      <c r="H1002" s="152"/>
      <c r="I1002" s="152"/>
      <c r="J1002" s="152"/>
      <c r="K1002" s="152"/>
      <c r="L1002" s="152"/>
      <c r="M1002" s="152"/>
      <c r="N1002" s="152"/>
      <c r="O1002" s="152"/>
      <c r="P1002" s="152"/>
      <c r="Q1002" s="152"/>
      <c r="R1002" s="152"/>
    </row>
    <row r="1003">
      <c r="A1003" s="152"/>
      <c r="B1003" s="152"/>
      <c r="C1003" s="152"/>
      <c r="D1003" s="152"/>
      <c r="E1003" s="152"/>
      <c r="F1003" s="152"/>
      <c r="G1003" s="152"/>
      <c r="H1003" s="152"/>
      <c r="I1003" s="152"/>
      <c r="J1003" s="152"/>
      <c r="K1003" s="152"/>
      <c r="L1003" s="152"/>
      <c r="M1003" s="152"/>
      <c r="N1003" s="152"/>
      <c r="O1003" s="152"/>
      <c r="P1003" s="152"/>
      <c r="Q1003" s="152"/>
      <c r="R1003" s="152"/>
    </row>
    <row r="1004">
      <c r="A1004" s="152"/>
      <c r="B1004" s="152"/>
      <c r="C1004" s="152"/>
      <c r="D1004" s="152"/>
      <c r="E1004" s="152"/>
      <c r="F1004" s="152"/>
      <c r="G1004" s="152"/>
      <c r="H1004" s="152"/>
      <c r="I1004" s="152"/>
      <c r="J1004" s="152"/>
      <c r="K1004" s="152"/>
      <c r="L1004" s="152"/>
      <c r="M1004" s="152"/>
      <c r="N1004" s="152"/>
      <c r="O1004" s="152"/>
      <c r="P1004" s="152"/>
      <c r="Q1004" s="152"/>
      <c r="R1004" s="152"/>
    </row>
    <row r="1005">
      <c r="A1005" s="152"/>
      <c r="B1005" s="152"/>
      <c r="C1005" s="152"/>
      <c r="D1005" s="152"/>
      <c r="E1005" s="152"/>
      <c r="F1005" s="152"/>
      <c r="G1005" s="152"/>
      <c r="H1005" s="152"/>
      <c r="I1005" s="152"/>
      <c r="J1005" s="152"/>
      <c r="K1005" s="152"/>
      <c r="L1005" s="152"/>
      <c r="M1005" s="152"/>
      <c r="N1005" s="152"/>
      <c r="O1005" s="152"/>
      <c r="P1005" s="152"/>
      <c r="Q1005" s="152"/>
      <c r="R1005" s="152"/>
    </row>
    <row r="1006">
      <c r="A1006" s="152"/>
      <c r="B1006" s="152"/>
      <c r="C1006" s="152"/>
      <c r="D1006" s="152"/>
      <c r="E1006" s="152"/>
      <c r="F1006" s="152"/>
      <c r="G1006" s="152"/>
      <c r="H1006" s="152"/>
      <c r="I1006" s="152"/>
      <c r="J1006" s="152"/>
      <c r="K1006" s="152"/>
      <c r="L1006" s="152"/>
      <c r="M1006" s="152"/>
      <c r="N1006" s="152"/>
      <c r="O1006" s="152"/>
      <c r="P1006" s="152"/>
      <c r="Q1006" s="152"/>
      <c r="R1006" s="152"/>
    </row>
    <row r="1007">
      <c r="A1007" s="152"/>
      <c r="B1007" s="152"/>
      <c r="C1007" s="152"/>
      <c r="D1007" s="152"/>
      <c r="E1007" s="152"/>
      <c r="F1007" s="152"/>
      <c r="G1007" s="152"/>
      <c r="H1007" s="152"/>
      <c r="I1007" s="152"/>
      <c r="J1007" s="152"/>
      <c r="K1007" s="152"/>
      <c r="L1007" s="152"/>
      <c r="M1007" s="152"/>
      <c r="N1007" s="152"/>
      <c r="O1007" s="152"/>
      <c r="P1007" s="152"/>
      <c r="Q1007" s="152"/>
      <c r="R1007" s="152"/>
    </row>
    <row r="1008">
      <c r="A1008" s="152"/>
      <c r="B1008" s="152"/>
      <c r="C1008" s="152"/>
      <c r="D1008" s="152"/>
      <c r="E1008" s="152"/>
      <c r="F1008" s="152"/>
      <c r="G1008" s="152"/>
      <c r="H1008" s="152"/>
      <c r="I1008" s="152"/>
      <c r="J1008" s="152"/>
      <c r="K1008" s="152"/>
      <c r="L1008" s="152"/>
      <c r="M1008" s="152"/>
      <c r="N1008" s="152"/>
      <c r="O1008" s="152"/>
      <c r="P1008" s="152"/>
      <c r="Q1008" s="152"/>
      <c r="R1008" s="152"/>
    </row>
    <row r="1009">
      <c r="A1009" s="152"/>
      <c r="B1009" s="152"/>
      <c r="C1009" s="152"/>
      <c r="D1009" s="152"/>
      <c r="E1009" s="152"/>
      <c r="F1009" s="152"/>
      <c r="G1009" s="152"/>
      <c r="H1009" s="152"/>
      <c r="I1009" s="152"/>
      <c r="J1009" s="152"/>
      <c r="K1009" s="152"/>
      <c r="L1009" s="152"/>
      <c r="M1009" s="152"/>
      <c r="N1009" s="152"/>
      <c r="O1009" s="152"/>
      <c r="P1009" s="152"/>
      <c r="Q1009" s="152"/>
      <c r="R1009" s="152"/>
    </row>
    <row r="1010">
      <c r="A1010" s="152"/>
      <c r="B1010" s="152"/>
      <c r="C1010" s="152"/>
      <c r="D1010" s="152"/>
      <c r="E1010" s="152"/>
      <c r="F1010" s="152"/>
      <c r="G1010" s="152"/>
      <c r="H1010" s="152"/>
      <c r="I1010" s="152"/>
      <c r="J1010" s="152"/>
      <c r="K1010" s="152"/>
      <c r="L1010" s="152"/>
      <c r="M1010" s="152"/>
      <c r="N1010" s="152"/>
      <c r="O1010" s="152"/>
      <c r="P1010" s="152"/>
      <c r="Q1010" s="152"/>
      <c r="R1010" s="152"/>
    </row>
    <row r="1011">
      <c r="A1011" s="152"/>
      <c r="B1011" s="152"/>
      <c r="C1011" s="152"/>
      <c r="D1011" s="152"/>
      <c r="E1011" s="152"/>
      <c r="F1011" s="152"/>
      <c r="G1011" s="152"/>
      <c r="H1011" s="152"/>
      <c r="I1011" s="152"/>
      <c r="J1011" s="152"/>
      <c r="K1011" s="152"/>
      <c r="L1011" s="152"/>
      <c r="M1011" s="152"/>
      <c r="N1011" s="152"/>
      <c r="O1011" s="152"/>
      <c r="P1011" s="152"/>
      <c r="Q1011" s="152"/>
      <c r="R1011" s="152"/>
    </row>
    <row r="1012">
      <c r="A1012" s="152"/>
      <c r="B1012" s="152"/>
      <c r="C1012" s="152"/>
      <c r="D1012" s="152"/>
      <c r="E1012" s="152"/>
      <c r="F1012" s="152"/>
      <c r="G1012" s="152"/>
      <c r="H1012" s="152"/>
      <c r="I1012" s="152"/>
      <c r="J1012" s="152"/>
      <c r="K1012" s="152"/>
      <c r="L1012" s="152"/>
      <c r="M1012" s="152"/>
      <c r="N1012" s="152"/>
      <c r="O1012" s="152"/>
      <c r="P1012" s="152"/>
      <c r="Q1012" s="152"/>
      <c r="R1012" s="152"/>
    </row>
    <row r="1013">
      <c r="A1013" s="152"/>
      <c r="B1013" s="152"/>
      <c r="C1013" s="152"/>
      <c r="D1013" s="152"/>
      <c r="E1013" s="152"/>
      <c r="F1013" s="152"/>
      <c r="G1013" s="152"/>
      <c r="H1013" s="152"/>
      <c r="I1013" s="152"/>
      <c r="J1013" s="152"/>
      <c r="K1013" s="152"/>
      <c r="L1013" s="152"/>
      <c r="M1013" s="152"/>
      <c r="N1013" s="152"/>
      <c r="O1013" s="152"/>
      <c r="P1013" s="152"/>
      <c r="Q1013" s="152"/>
      <c r="R1013" s="152"/>
    </row>
    <row r="1014">
      <c r="A1014" s="152"/>
      <c r="B1014" s="152"/>
      <c r="C1014" s="152"/>
      <c r="D1014" s="152"/>
      <c r="E1014" s="152"/>
      <c r="F1014" s="152"/>
      <c r="G1014" s="152"/>
      <c r="H1014" s="152"/>
      <c r="I1014" s="152"/>
      <c r="J1014" s="152"/>
      <c r="K1014" s="152"/>
      <c r="L1014" s="152"/>
      <c r="M1014" s="152"/>
      <c r="N1014" s="152"/>
      <c r="O1014" s="152"/>
      <c r="P1014" s="152"/>
      <c r="Q1014" s="152"/>
      <c r="R1014" s="152"/>
    </row>
    <row r="1015">
      <c r="A1015" s="152"/>
      <c r="B1015" s="152"/>
      <c r="C1015" s="152"/>
      <c r="D1015" s="152"/>
      <c r="E1015" s="152"/>
      <c r="F1015" s="152"/>
      <c r="G1015" s="152"/>
      <c r="H1015" s="152"/>
      <c r="I1015" s="152"/>
      <c r="J1015" s="152"/>
      <c r="K1015" s="152"/>
      <c r="L1015" s="152"/>
      <c r="M1015" s="152"/>
      <c r="N1015" s="152"/>
      <c r="O1015" s="152"/>
      <c r="P1015" s="152"/>
      <c r="Q1015" s="152"/>
      <c r="R1015" s="152"/>
    </row>
    <row r="1016">
      <c r="A1016" s="152"/>
      <c r="B1016" s="152"/>
      <c r="C1016" s="152"/>
      <c r="D1016" s="152"/>
      <c r="E1016" s="152"/>
      <c r="F1016" s="152"/>
      <c r="G1016" s="152"/>
      <c r="H1016" s="152"/>
      <c r="I1016" s="152"/>
      <c r="J1016" s="152"/>
      <c r="K1016" s="152"/>
      <c r="L1016" s="152"/>
      <c r="M1016" s="152"/>
      <c r="N1016" s="152"/>
      <c r="O1016" s="152"/>
      <c r="P1016" s="152"/>
      <c r="Q1016" s="152"/>
      <c r="R1016" s="152"/>
    </row>
    <row r="1017">
      <c r="A1017" s="152"/>
      <c r="B1017" s="152"/>
      <c r="C1017" s="152"/>
      <c r="D1017" s="152"/>
      <c r="E1017" s="152"/>
      <c r="F1017" s="152"/>
      <c r="G1017" s="152"/>
      <c r="H1017" s="152"/>
      <c r="I1017" s="152"/>
      <c r="J1017" s="152"/>
      <c r="K1017" s="152"/>
      <c r="L1017" s="152"/>
      <c r="M1017" s="152"/>
      <c r="N1017" s="152"/>
      <c r="O1017" s="152"/>
      <c r="P1017" s="152"/>
      <c r="Q1017" s="152"/>
      <c r="R1017" s="152"/>
    </row>
    <row r="1018">
      <c r="A1018" s="152"/>
      <c r="B1018" s="152"/>
      <c r="C1018" s="152"/>
      <c r="D1018" s="152"/>
      <c r="E1018" s="152"/>
      <c r="F1018" s="152"/>
      <c r="G1018" s="152"/>
      <c r="H1018" s="152"/>
      <c r="I1018" s="152"/>
      <c r="J1018" s="152"/>
      <c r="K1018" s="152"/>
      <c r="L1018" s="152"/>
      <c r="M1018" s="152"/>
      <c r="N1018" s="152"/>
      <c r="O1018" s="152"/>
      <c r="P1018" s="152"/>
      <c r="Q1018" s="152"/>
      <c r="R1018" s="152"/>
    </row>
    <row r="1019">
      <c r="A1019" s="152"/>
      <c r="B1019" s="152"/>
      <c r="C1019" s="152"/>
      <c r="D1019" s="152"/>
      <c r="E1019" s="152"/>
      <c r="F1019" s="152"/>
      <c r="G1019" s="152"/>
      <c r="H1019" s="152"/>
      <c r="I1019" s="152"/>
      <c r="J1019" s="152"/>
      <c r="K1019" s="152"/>
      <c r="L1019" s="152"/>
      <c r="M1019" s="152"/>
      <c r="N1019" s="152"/>
      <c r="O1019" s="152"/>
      <c r="P1019" s="152"/>
      <c r="Q1019" s="152"/>
      <c r="R1019" s="152"/>
    </row>
    <row r="1020">
      <c r="A1020" s="152"/>
      <c r="B1020" s="152"/>
      <c r="C1020" s="152"/>
      <c r="D1020" s="152"/>
      <c r="E1020" s="152"/>
      <c r="F1020" s="152"/>
      <c r="G1020" s="152"/>
      <c r="H1020" s="152"/>
      <c r="I1020" s="152"/>
      <c r="J1020" s="152"/>
      <c r="K1020" s="152"/>
      <c r="L1020" s="152"/>
      <c r="M1020" s="152"/>
      <c r="N1020" s="152"/>
      <c r="O1020" s="152"/>
      <c r="P1020" s="152"/>
      <c r="Q1020" s="152"/>
      <c r="R1020" s="152"/>
    </row>
    <row r="1021">
      <c r="A1021" s="152"/>
      <c r="B1021" s="152"/>
      <c r="C1021" s="152"/>
      <c r="D1021" s="152"/>
      <c r="E1021" s="152"/>
      <c r="F1021" s="152"/>
      <c r="G1021" s="152"/>
      <c r="H1021" s="152"/>
      <c r="I1021" s="152"/>
      <c r="J1021" s="152"/>
      <c r="K1021" s="152"/>
      <c r="L1021" s="152"/>
      <c r="M1021" s="152"/>
      <c r="N1021" s="152"/>
      <c r="O1021" s="152"/>
      <c r="P1021" s="152"/>
      <c r="Q1021" s="152"/>
      <c r="R1021" s="152"/>
    </row>
    <row r="1022">
      <c r="A1022" s="152"/>
      <c r="B1022" s="152"/>
      <c r="C1022" s="152"/>
      <c r="D1022" s="152"/>
      <c r="E1022" s="152"/>
      <c r="F1022" s="152"/>
      <c r="G1022" s="152"/>
      <c r="H1022" s="152"/>
      <c r="I1022" s="152"/>
      <c r="J1022" s="152"/>
      <c r="K1022" s="152"/>
      <c r="L1022" s="152"/>
      <c r="M1022" s="152"/>
      <c r="N1022" s="152"/>
      <c r="O1022" s="152"/>
      <c r="P1022" s="152"/>
      <c r="Q1022" s="152"/>
      <c r="R1022" s="152"/>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29" t="s">
        <v>8919</v>
      </c>
      <c r="B1" s="430"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31"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32"/>
      <c r="E1" s="433"/>
      <c r="F1" s="433"/>
      <c r="G1" s="433"/>
      <c r="H1" s="433"/>
      <c r="I1" s="433"/>
      <c r="J1" s="433"/>
      <c r="K1" s="433"/>
      <c r="L1" s="433"/>
      <c r="M1" s="433"/>
      <c r="N1" s="433"/>
      <c r="O1" s="433"/>
      <c r="P1" s="433"/>
      <c r="Q1" s="433"/>
      <c r="R1" s="433"/>
      <c r="S1" s="433"/>
      <c r="T1" s="433"/>
      <c r="U1" s="433"/>
      <c r="V1" s="433"/>
      <c r="W1" s="433"/>
      <c r="X1" s="433"/>
      <c r="Y1" s="433"/>
      <c r="Z1" s="433"/>
    </row>
    <row r="2">
      <c r="A2" s="434" t="s">
        <v>8920</v>
      </c>
      <c r="B2" s="49" t="str">
        <f>IFERROR(__xludf.DUMMYFUNCTION("GOOGLETRANSLATE(A2,""zh-tw"",""ja"")"),"公式Discordグループ:
https://discord.gg/2Bt7RWknyH")</f>
        <v>公式Discordグループ:
https://discord.gg/2Bt7RWknyH</v>
      </c>
      <c r="C2" s="435" t="str">
        <f>IFERROR(__xludf.DUMMYFUNCTION("GOOGLETRANSLATE(A2,""zh-tw"",""en"")"),"Official Discord group:
https://discord.gg/2Bt7RWknyH")</f>
        <v>Official Discord group:
https://discord.gg/2Bt7RWknyH</v>
      </c>
      <c r="E2" s="433"/>
      <c r="F2" s="433"/>
      <c r="G2" s="433"/>
      <c r="H2" s="433"/>
      <c r="I2" s="433"/>
      <c r="J2" s="433"/>
      <c r="K2" s="433"/>
      <c r="L2" s="433"/>
      <c r="M2" s="433"/>
      <c r="N2" s="433"/>
      <c r="O2" s="433"/>
      <c r="P2" s="433"/>
      <c r="Q2" s="433"/>
      <c r="R2" s="433"/>
      <c r="S2" s="433"/>
      <c r="T2" s="433"/>
      <c r="U2" s="433"/>
      <c r="V2" s="433"/>
      <c r="W2" s="433"/>
      <c r="X2" s="433"/>
      <c r="Y2" s="433"/>
      <c r="Z2" s="433"/>
    </row>
    <row r="3">
      <c r="A3" s="436" t="s">
        <v>8921</v>
      </c>
      <c r="B3" s="49" t="s">
        <v>8921</v>
      </c>
      <c r="C3" s="435" t="s">
        <v>8921</v>
      </c>
      <c r="E3" s="433"/>
      <c r="F3" s="433"/>
      <c r="G3" s="433"/>
      <c r="H3" s="433"/>
      <c r="I3" s="433"/>
      <c r="J3" s="433"/>
      <c r="K3" s="433"/>
      <c r="L3" s="433"/>
      <c r="M3" s="433"/>
      <c r="N3" s="433"/>
      <c r="O3" s="433"/>
      <c r="P3" s="433"/>
      <c r="Q3" s="433"/>
      <c r="R3" s="433"/>
      <c r="S3" s="433"/>
      <c r="T3" s="433"/>
      <c r="U3" s="433"/>
      <c r="V3" s="433"/>
      <c r="W3" s="433"/>
      <c r="X3" s="433"/>
      <c r="Y3" s="433"/>
      <c r="Z3" s="433"/>
    </row>
    <row r="4">
      <c r="A4" s="437"/>
      <c r="E4" s="433"/>
      <c r="F4" s="433"/>
      <c r="G4" s="433"/>
      <c r="H4" s="433"/>
      <c r="I4" s="433"/>
      <c r="J4" s="433"/>
      <c r="K4" s="433"/>
      <c r="L4" s="433"/>
      <c r="M4" s="433"/>
      <c r="N4" s="433"/>
      <c r="O4" s="433"/>
      <c r="P4" s="433"/>
      <c r="Q4" s="433"/>
      <c r="R4" s="433"/>
      <c r="S4" s="433"/>
      <c r="T4" s="433"/>
      <c r="U4" s="433"/>
      <c r="V4" s="433"/>
      <c r="W4" s="433"/>
      <c r="X4" s="433"/>
      <c r="Y4" s="433"/>
      <c r="Z4" s="433"/>
    </row>
    <row r="5">
      <c r="A5" s="434" t="s">
        <v>8922</v>
      </c>
      <c r="B5" s="49" t="str">
        <f>IFERROR(__xludf.DUMMYFUNCTION("GOOGLETRANSLATE(A5,""zh-tw"",""ja"")"),"公式YouTubeチャンネル")</f>
        <v>公式YouTubeチャンネル</v>
      </c>
      <c r="C5" s="435" t="str">
        <f>IFERROR(__xludf.DUMMYFUNCTION("GOOGLETRANSLATE(A5,""zh-tw"",""en"")"),"Official YouTube channel")</f>
        <v>Official YouTube channel</v>
      </c>
      <c r="D5" s="155" t="s">
        <v>8923</v>
      </c>
      <c r="E5" s="433"/>
      <c r="F5" s="433"/>
      <c r="G5" s="433"/>
      <c r="H5" s="433"/>
      <c r="I5" s="433"/>
      <c r="J5" s="433"/>
      <c r="K5" s="433"/>
      <c r="L5" s="433"/>
      <c r="M5" s="433"/>
      <c r="N5" s="433"/>
      <c r="O5" s="433"/>
      <c r="P5" s="433"/>
      <c r="Q5" s="433"/>
      <c r="R5" s="433"/>
      <c r="S5" s="433"/>
      <c r="T5" s="433"/>
      <c r="U5" s="433"/>
      <c r="V5" s="433"/>
      <c r="W5" s="433"/>
      <c r="X5" s="433"/>
      <c r="Y5" s="433"/>
      <c r="Z5" s="433"/>
    </row>
    <row r="6">
      <c r="A6" s="434" t="s">
        <v>8924</v>
      </c>
      <c r="B6" s="49" t="str">
        <f>IFERROR(__xludf.DUMMYFUNCTION("GOOGLETRANSLATE(A6,""zh-tw"",""ja"")"),"公式法案")</f>
        <v>公式法案</v>
      </c>
      <c r="C6" s="435" t="str">
        <f>IFERROR(__xludf.DUMMYFUNCTION("GOOGLETRANSLATE(A6,""zh-tw"",""en"")"),"Official bill")</f>
        <v>Official bill</v>
      </c>
      <c r="D6" s="155" t="s">
        <v>8923</v>
      </c>
      <c r="E6" s="433"/>
      <c r="F6" s="433"/>
      <c r="G6" s="433"/>
      <c r="H6" s="433"/>
      <c r="I6" s="433"/>
      <c r="J6" s="433"/>
      <c r="K6" s="433"/>
      <c r="L6" s="433"/>
      <c r="M6" s="433"/>
      <c r="N6" s="433"/>
      <c r="O6" s="433"/>
      <c r="P6" s="433"/>
      <c r="Q6" s="433"/>
      <c r="R6" s="433"/>
      <c r="S6" s="433"/>
      <c r="T6" s="433"/>
      <c r="U6" s="433"/>
      <c r="V6" s="433"/>
      <c r="W6" s="433"/>
      <c r="X6" s="433"/>
      <c r="Y6" s="433"/>
      <c r="Z6" s="433"/>
    </row>
    <row r="7">
      <c r="A7" s="434" t="s">
        <v>8925</v>
      </c>
      <c r="B7" s="49" t="str">
        <f>IFERROR(__xludf.DUMMYFUNCTION("GOOGLETRANSLATE(A7,""zh-tw"",""ja"")"),"片桐亜希のYouTubeチャンネル
（妹の声優）")</f>
        <v>片桐亜希のYouTubeチャンネル
（妹の声優）</v>
      </c>
      <c r="C7" s="435" t="str">
        <f>IFERROR(__xludf.DUMMYFUNCTION("GOOGLETRANSLATE(A7,""zh-tw"",""en"")"),"Aki Katagiri's YouTube channel
(Voice actress for her younger sister)")</f>
        <v>Aki Katagiri's YouTube channel
(Voice actress for her younger sister)</v>
      </c>
      <c r="D7" s="155" t="s">
        <v>8926</v>
      </c>
      <c r="E7" s="433"/>
      <c r="F7" s="433"/>
      <c r="G7" s="433"/>
      <c r="H7" s="433"/>
      <c r="I7" s="433"/>
      <c r="J7" s="433"/>
      <c r="K7" s="433"/>
      <c r="L7" s="433"/>
      <c r="M7" s="433"/>
      <c r="N7" s="433"/>
      <c r="O7" s="433"/>
      <c r="P7" s="433"/>
      <c r="Q7" s="433"/>
      <c r="R7" s="433"/>
      <c r="S7" s="433"/>
      <c r="T7" s="433"/>
      <c r="U7" s="433"/>
      <c r="V7" s="433"/>
      <c r="W7" s="433"/>
      <c r="X7" s="433"/>
      <c r="Y7" s="433"/>
      <c r="Z7" s="433"/>
    </row>
    <row r="8">
      <c r="A8" s="434" t="s">
        <v>8927</v>
      </c>
      <c r="B8" s="49" t="str">
        <f>IFERROR(__xludf.DUMMYFUNCTION("GOOGLETRANSLATE(A8,""zh-tw"",""ja"")"),"片桐亜紀（ビルビルチャンネル）
（妹役の声優）")</f>
        <v>片桐亜紀（ビルビルチャンネル）
（妹役の声優）</v>
      </c>
      <c r="C8" s="435" t="str">
        <f>IFERROR(__xludf.DUMMYFUNCTION("GOOGLETRANSLATE(A8,""zh-tw"",""en"")"),"Aki Katagiri (bilbill channel)
(Voice actress for the younger sister)")</f>
        <v>Aki Katagiri (bilbill channel)
(Voice actress for the younger sister)</v>
      </c>
      <c r="D8" s="155" t="s">
        <v>8926</v>
      </c>
      <c r="E8" s="433"/>
      <c r="F8" s="433"/>
      <c r="G8" s="433"/>
      <c r="H8" s="433"/>
      <c r="I8" s="433"/>
      <c r="J8" s="433"/>
      <c r="K8" s="433"/>
      <c r="L8" s="433"/>
      <c r="M8" s="433"/>
      <c r="N8" s="433"/>
      <c r="O8" s="433"/>
      <c r="P8" s="433"/>
      <c r="Q8" s="433"/>
      <c r="R8" s="433"/>
      <c r="S8" s="433"/>
      <c r="T8" s="433"/>
      <c r="U8" s="433"/>
      <c r="V8" s="433"/>
      <c r="W8" s="433"/>
      <c r="X8" s="433"/>
      <c r="Y8" s="433"/>
      <c r="Z8" s="433"/>
    </row>
    <row r="9">
      <c r="A9" s="434" t="s">
        <v>8928</v>
      </c>
      <c r="B9" s="49" t="str">
        <f>IFERROR(__xludf.DUMMYFUNCTION("GOOGLETRANSLATE(A9,""zh-tw"",""ja"")"),"ROROのYouTubeチャンネル（攻略ガイド作成チャンネル、現在準備中、登録大歓迎）")</f>
        <v>ROROのYouTubeチャンネル（攻略ガイド作成チャンネル、現在準備中、登録大歓迎）</v>
      </c>
      <c r="C9" s="435" t="str">
        <f>IFERROR(__xludf.DUMMYFUNCTION("GOOGLETRANSLATE(A9,""zh-tw"",""en"")"),"RORO's YouTube channel (Strategy guide creator channel, currently in preparation, welcome to subscribe)")</f>
        <v>RORO's YouTube channel (Strategy guide creator channel, currently in preparation, welcome to subscribe)</v>
      </c>
      <c r="D9" s="155" t="s">
        <v>8929</v>
      </c>
      <c r="E9" s="433"/>
      <c r="F9" s="433"/>
      <c r="G9" s="433"/>
      <c r="H9" s="433"/>
      <c r="I9" s="433"/>
      <c r="J9" s="433"/>
      <c r="K9" s="433"/>
      <c r="L9" s="433"/>
      <c r="M9" s="433"/>
      <c r="N9" s="433"/>
      <c r="O9" s="433"/>
      <c r="P9" s="433"/>
      <c r="Q9" s="433"/>
      <c r="R9" s="433"/>
      <c r="S9" s="433"/>
      <c r="T9" s="433"/>
      <c r="U9" s="433"/>
      <c r="V9" s="433"/>
      <c r="W9" s="433"/>
      <c r="X9" s="433"/>
      <c r="Y9" s="433"/>
      <c r="Z9" s="433"/>
    </row>
    <row r="10">
      <c r="A10" s="437"/>
      <c r="E10" s="433"/>
      <c r="F10" s="433"/>
      <c r="G10" s="433"/>
      <c r="H10" s="433"/>
      <c r="I10" s="433"/>
      <c r="J10" s="433"/>
      <c r="K10" s="433"/>
      <c r="L10" s="433"/>
      <c r="M10" s="433"/>
      <c r="N10" s="433"/>
      <c r="O10" s="433"/>
      <c r="P10" s="433"/>
      <c r="Q10" s="433"/>
      <c r="R10" s="433"/>
      <c r="S10" s="433"/>
      <c r="T10" s="433"/>
      <c r="U10" s="433"/>
      <c r="V10" s="433"/>
      <c r="W10" s="433"/>
      <c r="X10" s="433"/>
      <c r="Y10" s="433"/>
      <c r="Z10" s="433"/>
    </row>
    <row r="11">
      <c r="A11" s="438" t="s">
        <v>8930</v>
      </c>
      <c r="B11" s="49" t="str">
        <f>IFERROR(__xludf.DUMMYFUNCTION("GOOGLETRANSLATE(A11,""zh-tw"",""ja"")"),"プレイヤーの投稿（準備中、投稿は大歓迎です）")</f>
        <v>プレイヤーの投稿（準備中、投稿は大歓迎です）</v>
      </c>
      <c r="C11" s="435" t="str">
        <f>IFERROR(__xludf.DUMMYFUNCTION("GOOGLETRANSLATE(A11,""zh-tw"",""en"")"),"Player submissions (in preparation, submissions are welcome)")</f>
        <v>Player submissions (in preparation, submissions are welcome)</v>
      </c>
      <c r="D11" s="439" t="s">
        <v>8931</v>
      </c>
      <c r="E11" s="433"/>
      <c r="F11" s="433"/>
      <c r="G11" s="433"/>
      <c r="H11" s="433"/>
      <c r="I11" s="433"/>
      <c r="J11" s="433"/>
      <c r="K11" s="433"/>
      <c r="L11" s="433"/>
      <c r="M11" s="433"/>
      <c r="N11" s="433"/>
      <c r="O11" s="433"/>
      <c r="P11" s="433"/>
      <c r="Q11" s="433"/>
      <c r="R11" s="433"/>
      <c r="S11" s="433"/>
      <c r="T11" s="433"/>
      <c r="U11" s="433"/>
      <c r="V11" s="433"/>
      <c r="W11" s="433"/>
      <c r="X11" s="433"/>
      <c r="Y11" s="433"/>
      <c r="Z11" s="433"/>
    </row>
    <row r="12">
      <c r="A12" s="440"/>
      <c r="B12" s="441"/>
      <c r="C12" s="442"/>
      <c r="D12" s="443"/>
      <c r="E12" s="433"/>
      <c r="F12" s="433"/>
      <c r="G12" s="433"/>
      <c r="H12" s="433"/>
      <c r="I12" s="433"/>
      <c r="J12" s="433"/>
      <c r="K12" s="433"/>
      <c r="L12" s="433"/>
      <c r="M12" s="433"/>
      <c r="N12" s="433"/>
      <c r="O12" s="433"/>
      <c r="P12" s="433"/>
      <c r="Q12" s="433"/>
      <c r="R12" s="433"/>
      <c r="S12" s="433"/>
      <c r="T12" s="433"/>
      <c r="U12" s="433"/>
      <c r="V12" s="433"/>
      <c r="W12" s="433"/>
      <c r="X12" s="433"/>
      <c r="Y12" s="433"/>
      <c r="Z12" s="433"/>
    </row>
    <row r="13">
      <c r="A13" s="440"/>
      <c r="B13" s="441"/>
      <c r="C13" s="442"/>
      <c r="D13" s="443"/>
      <c r="E13" s="433"/>
      <c r="F13" s="433"/>
      <c r="G13" s="433"/>
      <c r="H13" s="433"/>
      <c r="I13" s="433"/>
      <c r="J13" s="433"/>
      <c r="K13" s="433"/>
      <c r="L13" s="433"/>
      <c r="M13" s="433"/>
      <c r="N13" s="433"/>
      <c r="O13" s="433"/>
      <c r="P13" s="433"/>
      <c r="Q13" s="433"/>
      <c r="R13" s="433"/>
      <c r="S13" s="433"/>
      <c r="T13" s="433"/>
      <c r="U13" s="433"/>
      <c r="V13" s="433"/>
      <c r="W13" s="433"/>
      <c r="X13" s="433"/>
      <c r="Y13" s="433"/>
      <c r="Z13" s="433"/>
    </row>
    <row r="14">
      <c r="A14" s="440"/>
      <c r="B14" s="441"/>
      <c r="C14" s="442"/>
      <c r="D14" s="443"/>
      <c r="E14" s="433"/>
      <c r="F14" s="433"/>
      <c r="G14" s="433"/>
      <c r="H14" s="433"/>
      <c r="I14" s="433"/>
      <c r="J14" s="433"/>
      <c r="K14" s="433"/>
      <c r="L14" s="433"/>
      <c r="M14" s="433"/>
      <c r="N14" s="433"/>
      <c r="O14" s="433"/>
      <c r="P14" s="433"/>
      <c r="Q14" s="433"/>
      <c r="R14" s="433"/>
      <c r="S14" s="433"/>
      <c r="T14" s="433"/>
      <c r="U14" s="433"/>
      <c r="V14" s="433"/>
      <c r="W14" s="433"/>
      <c r="X14" s="433"/>
      <c r="Y14" s="433"/>
      <c r="Z14" s="433"/>
    </row>
    <row r="15">
      <c r="A15" s="440"/>
      <c r="B15" s="441"/>
      <c r="C15" s="442"/>
      <c r="D15" s="443"/>
      <c r="E15" s="433"/>
      <c r="F15" s="433"/>
      <c r="G15" s="433"/>
      <c r="H15" s="433"/>
      <c r="I15" s="433"/>
      <c r="J15" s="433"/>
      <c r="K15" s="433"/>
      <c r="L15" s="433"/>
      <c r="M15" s="433"/>
      <c r="N15" s="433"/>
      <c r="O15" s="433"/>
      <c r="P15" s="433"/>
      <c r="Q15" s="433"/>
      <c r="R15" s="433"/>
      <c r="S15" s="433"/>
      <c r="T15" s="433"/>
      <c r="U15" s="433"/>
      <c r="V15" s="433"/>
      <c r="W15" s="433"/>
      <c r="X15" s="433"/>
      <c r="Y15" s="433"/>
      <c r="Z15" s="433"/>
    </row>
    <row r="16">
      <c r="A16" s="440"/>
      <c r="B16" s="441"/>
      <c r="C16" s="442"/>
      <c r="D16" s="443"/>
      <c r="E16" s="433"/>
      <c r="F16" s="433"/>
      <c r="G16" s="433"/>
      <c r="H16" s="433"/>
      <c r="I16" s="433"/>
      <c r="J16" s="433"/>
      <c r="K16" s="433"/>
      <c r="L16" s="433"/>
      <c r="M16" s="433"/>
      <c r="N16" s="433"/>
      <c r="O16" s="433"/>
      <c r="P16" s="433"/>
      <c r="Q16" s="433"/>
      <c r="R16" s="433"/>
      <c r="S16" s="433"/>
      <c r="T16" s="433"/>
      <c r="U16" s="433"/>
      <c r="V16" s="433"/>
      <c r="W16" s="433"/>
      <c r="X16" s="433"/>
      <c r="Y16" s="433"/>
      <c r="Z16" s="433"/>
    </row>
    <row r="17">
      <c r="A17" s="440"/>
      <c r="B17" s="441"/>
      <c r="C17" s="442"/>
      <c r="D17" s="443"/>
      <c r="E17" s="433"/>
      <c r="F17" s="433"/>
      <c r="G17" s="433"/>
      <c r="H17" s="433"/>
      <c r="I17" s="433"/>
      <c r="J17" s="433"/>
      <c r="K17" s="433"/>
      <c r="L17" s="433"/>
      <c r="M17" s="433"/>
      <c r="N17" s="433"/>
      <c r="O17" s="433"/>
      <c r="P17" s="433"/>
      <c r="Q17" s="433"/>
      <c r="R17" s="433"/>
      <c r="S17" s="433"/>
      <c r="T17" s="433"/>
      <c r="U17" s="433"/>
      <c r="V17" s="433"/>
      <c r="W17" s="433"/>
      <c r="X17" s="433"/>
      <c r="Y17" s="433"/>
      <c r="Z17" s="433"/>
    </row>
    <row r="18">
      <c r="A18" s="440"/>
      <c r="B18" s="441"/>
      <c r="C18" s="442"/>
      <c r="D18" s="443"/>
      <c r="E18" s="433"/>
      <c r="F18" s="433"/>
      <c r="G18" s="433"/>
      <c r="H18" s="433"/>
      <c r="I18" s="433"/>
      <c r="J18" s="433"/>
      <c r="K18" s="433"/>
      <c r="L18" s="433"/>
      <c r="M18" s="433"/>
      <c r="N18" s="433"/>
      <c r="O18" s="433"/>
      <c r="P18" s="433"/>
      <c r="Q18" s="433"/>
      <c r="R18" s="433"/>
      <c r="S18" s="433"/>
      <c r="T18" s="433"/>
      <c r="U18" s="433"/>
      <c r="V18" s="433"/>
      <c r="W18" s="433"/>
      <c r="X18" s="433"/>
      <c r="Y18" s="433"/>
      <c r="Z18" s="433"/>
    </row>
    <row r="19">
      <c r="A19" s="440"/>
      <c r="B19" s="441"/>
      <c r="C19" s="442"/>
      <c r="D19" s="443"/>
      <c r="E19" s="433"/>
      <c r="F19" s="433"/>
      <c r="G19" s="433"/>
      <c r="H19" s="433"/>
      <c r="I19" s="433"/>
      <c r="J19" s="433"/>
      <c r="K19" s="433"/>
      <c r="L19" s="433"/>
      <c r="M19" s="433"/>
      <c r="N19" s="433"/>
      <c r="O19" s="433"/>
      <c r="P19" s="433"/>
      <c r="Q19" s="433"/>
      <c r="R19" s="433"/>
      <c r="S19" s="433"/>
      <c r="T19" s="433"/>
      <c r="U19" s="433"/>
      <c r="V19" s="433"/>
      <c r="W19" s="433"/>
      <c r="X19" s="433"/>
      <c r="Y19" s="433"/>
      <c r="Z19" s="433"/>
    </row>
    <row r="20">
      <c r="A20" s="440"/>
      <c r="B20" s="441"/>
      <c r="C20" s="442"/>
      <c r="D20" s="443"/>
      <c r="E20" s="433"/>
      <c r="F20" s="433"/>
      <c r="G20" s="433"/>
      <c r="H20" s="433"/>
      <c r="I20" s="433"/>
      <c r="J20" s="433"/>
      <c r="K20" s="433"/>
      <c r="L20" s="433"/>
      <c r="M20" s="433"/>
      <c r="N20" s="433"/>
      <c r="O20" s="433"/>
      <c r="P20" s="433"/>
      <c r="Q20" s="433"/>
      <c r="R20" s="433"/>
      <c r="S20" s="433"/>
      <c r="T20" s="433"/>
      <c r="U20" s="433"/>
      <c r="V20" s="433"/>
      <c r="W20" s="433"/>
      <c r="X20" s="433"/>
      <c r="Y20" s="433"/>
      <c r="Z20" s="433"/>
    </row>
    <row r="21">
      <c r="A21" s="440"/>
      <c r="B21" s="441"/>
      <c r="C21" s="442"/>
      <c r="D21" s="443"/>
      <c r="E21" s="433"/>
      <c r="F21" s="433"/>
      <c r="G21" s="433"/>
      <c r="H21" s="433"/>
      <c r="I21" s="433"/>
      <c r="J21" s="433"/>
      <c r="K21" s="433"/>
      <c r="L21" s="433"/>
      <c r="M21" s="433"/>
      <c r="N21" s="433"/>
      <c r="O21" s="433"/>
      <c r="P21" s="433"/>
      <c r="Q21" s="433"/>
      <c r="R21" s="433"/>
      <c r="S21" s="433"/>
      <c r="T21" s="433"/>
      <c r="U21" s="433"/>
      <c r="V21" s="433"/>
      <c r="W21" s="433"/>
      <c r="X21" s="433"/>
      <c r="Y21" s="433"/>
      <c r="Z21" s="433"/>
    </row>
    <row r="22">
      <c r="A22" s="440"/>
      <c r="B22" s="441"/>
      <c r="C22" s="442"/>
      <c r="D22" s="443"/>
      <c r="E22" s="433"/>
      <c r="F22" s="433"/>
      <c r="G22" s="433"/>
      <c r="H22" s="433"/>
      <c r="I22" s="433"/>
      <c r="J22" s="433"/>
      <c r="K22" s="433"/>
      <c r="L22" s="433"/>
      <c r="M22" s="433"/>
      <c r="N22" s="433"/>
      <c r="O22" s="433"/>
      <c r="P22" s="433"/>
      <c r="Q22" s="433"/>
      <c r="R22" s="433"/>
      <c r="S22" s="433"/>
      <c r="T22" s="433"/>
      <c r="U22" s="433"/>
      <c r="V22" s="433"/>
      <c r="W22" s="433"/>
      <c r="X22" s="433"/>
      <c r="Y22" s="433"/>
      <c r="Z22" s="433"/>
    </row>
    <row r="23">
      <c r="A23" s="440"/>
      <c r="B23" s="441"/>
      <c r="C23" s="442"/>
      <c r="D23" s="443"/>
      <c r="E23" s="433"/>
      <c r="F23" s="433"/>
      <c r="G23" s="433"/>
      <c r="H23" s="433"/>
      <c r="I23" s="433"/>
      <c r="J23" s="433"/>
      <c r="K23" s="433"/>
      <c r="L23" s="433"/>
      <c r="M23" s="433"/>
      <c r="N23" s="433"/>
      <c r="O23" s="433"/>
      <c r="P23" s="433"/>
      <c r="Q23" s="433"/>
      <c r="R23" s="433"/>
      <c r="S23" s="433"/>
      <c r="T23" s="433"/>
      <c r="U23" s="433"/>
      <c r="V23" s="433"/>
      <c r="W23" s="433"/>
      <c r="X23" s="433"/>
      <c r="Y23" s="433"/>
      <c r="Z23" s="433"/>
    </row>
    <row r="24">
      <c r="A24" s="440"/>
      <c r="B24" s="441"/>
      <c r="C24" s="442"/>
      <c r="D24" s="443"/>
      <c r="E24" s="433"/>
      <c r="F24" s="433"/>
      <c r="G24" s="433"/>
      <c r="H24" s="433"/>
      <c r="I24" s="433"/>
      <c r="J24" s="433"/>
      <c r="K24" s="433"/>
      <c r="L24" s="433"/>
      <c r="M24" s="433"/>
      <c r="N24" s="433"/>
      <c r="O24" s="433"/>
      <c r="P24" s="433"/>
      <c r="Q24" s="433"/>
      <c r="R24" s="433"/>
      <c r="S24" s="433"/>
      <c r="T24" s="433"/>
      <c r="U24" s="433"/>
      <c r="V24" s="433"/>
      <c r="W24" s="433"/>
      <c r="X24" s="433"/>
      <c r="Y24" s="433"/>
      <c r="Z24" s="433"/>
    </row>
    <row r="25">
      <c r="A25" s="440"/>
      <c r="B25" s="441"/>
      <c r="C25" s="442"/>
      <c r="D25" s="443"/>
      <c r="E25" s="433"/>
      <c r="F25" s="433"/>
      <c r="G25" s="433"/>
      <c r="H25" s="433"/>
      <c r="I25" s="433"/>
      <c r="J25" s="433"/>
      <c r="K25" s="433"/>
      <c r="L25" s="433"/>
      <c r="M25" s="433"/>
      <c r="N25" s="433"/>
      <c r="O25" s="433"/>
      <c r="P25" s="433"/>
      <c r="Q25" s="433"/>
      <c r="R25" s="433"/>
      <c r="S25" s="433"/>
      <c r="T25" s="433"/>
      <c r="U25" s="433"/>
      <c r="V25" s="433"/>
      <c r="W25" s="433"/>
      <c r="X25" s="433"/>
      <c r="Y25" s="433"/>
      <c r="Z25" s="433"/>
    </row>
    <row r="26">
      <c r="A26" s="440"/>
      <c r="B26" s="441"/>
      <c r="C26" s="442"/>
      <c r="D26" s="443"/>
      <c r="E26" s="433"/>
      <c r="F26" s="433"/>
      <c r="G26" s="433"/>
      <c r="H26" s="433"/>
      <c r="I26" s="433"/>
      <c r="J26" s="433"/>
      <c r="K26" s="433"/>
      <c r="L26" s="433"/>
      <c r="M26" s="433"/>
      <c r="N26" s="433"/>
      <c r="O26" s="433"/>
      <c r="P26" s="433"/>
      <c r="Q26" s="433"/>
      <c r="R26" s="433"/>
      <c r="S26" s="433"/>
      <c r="T26" s="433"/>
      <c r="U26" s="433"/>
      <c r="V26" s="433"/>
      <c r="W26" s="433"/>
      <c r="X26" s="433"/>
      <c r="Y26" s="433"/>
      <c r="Z26" s="433"/>
    </row>
    <row r="27">
      <c r="A27" s="440"/>
      <c r="B27" s="441"/>
      <c r="C27" s="442"/>
      <c r="D27" s="443"/>
      <c r="E27" s="433"/>
      <c r="F27" s="433"/>
      <c r="G27" s="433"/>
      <c r="H27" s="433"/>
      <c r="I27" s="433"/>
      <c r="J27" s="433"/>
      <c r="K27" s="433"/>
      <c r="L27" s="433"/>
      <c r="M27" s="433"/>
      <c r="N27" s="433"/>
      <c r="O27" s="433"/>
      <c r="P27" s="433"/>
      <c r="Q27" s="433"/>
      <c r="R27" s="433"/>
      <c r="S27" s="433"/>
      <c r="T27" s="433"/>
      <c r="U27" s="433"/>
      <c r="V27" s="433"/>
      <c r="W27" s="433"/>
      <c r="X27" s="433"/>
      <c r="Y27" s="433"/>
      <c r="Z27" s="433"/>
    </row>
    <row r="28">
      <c r="A28" s="440"/>
      <c r="B28" s="441"/>
      <c r="C28" s="442"/>
      <c r="D28" s="443"/>
      <c r="E28" s="433"/>
      <c r="F28" s="433"/>
      <c r="G28" s="433"/>
      <c r="H28" s="433"/>
      <c r="I28" s="433"/>
      <c r="J28" s="433"/>
      <c r="K28" s="433"/>
      <c r="L28" s="433"/>
      <c r="M28" s="433"/>
      <c r="N28" s="433"/>
      <c r="O28" s="433"/>
      <c r="P28" s="433"/>
      <c r="Q28" s="433"/>
      <c r="R28" s="433"/>
      <c r="S28" s="433"/>
      <c r="T28" s="433"/>
      <c r="U28" s="433"/>
      <c r="V28" s="433"/>
      <c r="W28" s="433"/>
      <c r="X28" s="433"/>
      <c r="Y28" s="433"/>
      <c r="Z28" s="433"/>
    </row>
    <row r="29">
      <c r="A29" s="440"/>
      <c r="B29" s="441"/>
      <c r="C29" s="442"/>
      <c r="D29" s="443"/>
      <c r="E29" s="433"/>
      <c r="F29" s="433"/>
      <c r="G29" s="433"/>
      <c r="H29" s="433"/>
      <c r="I29" s="433"/>
      <c r="J29" s="433"/>
      <c r="K29" s="433"/>
      <c r="L29" s="433"/>
      <c r="M29" s="433"/>
      <c r="N29" s="433"/>
      <c r="O29" s="433"/>
      <c r="P29" s="433"/>
      <c r="Q29" s="433"/>
      <c r="R29" s="433"/>
      <c r="S29" s="433"/>
      <c r="T29" s="433"/>
      <c r="U29" s="433"/>
      <c r="V29" s="433"/>
      <c r="W29" s="433"/>
      <c r="X29" s="433"/>
      <c r="Y29" s="433"/>
      <c r="Z29" s="433"/>
    </row>
    <row r="30">
      <c r="A30" s="440"/>
      <c r="B30" s="441"/>
      <c r="C30" s="442"/>
      <c r="D30" s="443"/>
      <c r="E30" s="433"/>
      <c r="F30" s="433"/>
      <c r="G30" s="433"/>
      <c r="H30" s="433"/>
      <c r="I30" s="433"/>
      <c r="J30" s="433"/>
      <c r="K30" s="433"/>
      <c r="L30" s="433"/>
      <c r="M30" s="433"/>
      <c r="N30" s="433"/>
      <c r="O30" s="433"/>
      <c r="P30" s="433"/>
      <c r="Q30" s="433"/>
      <c r="R30" s="433"/>
      <c r="S30" s="433"/>
      <c r="T30" s="433"/>
      <c r="U30" s="433"/>
      <c r="V30" s="433"/>
      <c r="W30" s="433"/>
      <c r="X30" s="433"/>
      <c r="Y30" s="433"/>
      <c r="Z30" s="433"/>
    </row>
    <row r="31">
      <c r="A31" s="440"/>
      <c r="B31" s="441"/>
      <c r="C31" s="442"/>
      <c r="D31" s="443"/>
      <c r="E31" s="433"/>
      <c r="F31" s="433"/>
      <c r="G31" s="433"/>
      <c r="H31" s="433"/>
      <c r="I31" s="433"/>
      <c r="J31" s="433"/>
      <c r="K31" s="433"/>
      <c r="L31" s="433"/>
      <c r="M31" s="433"/>
      <c r="N31" s="433"/>
      <c r="O31" s="433"/>
      <c r="P31" s="433"/>
      <c r="Q31" s="433"/>
      <c r="R31" s="433"/>
      <c r="S31" s="433"/>
      <c r="T31" s="433"/>
      <c r="U31" s="433"/>
      <c r="V31" s="433"/>
      <c r="W31" s="433"/>
      <c r="X31" s="433"/>
      <c r="Y31" s="433"/>
      <c r="Z31" s="433"/>
    </row>
    <row r="32">
      <c r="A32" s="440"/>
      <c r="B32" s="441"/>
      <c r="C32" s="442"/>
      <c r="D32" s="443"/>
      <c r="E32" s="433"/>
      <c r="F32" s="433"/>
      <c r="G32" s="433"/>
      <c r="H32" s="433"/>
      <c r="I32" s="433"/>
      <c r="J32" s="433"/>
      <c r="K32" s="433"/>
      <c r="L32" s="433"/>
      <c r="M32" s="433"/>
      <c r="N32" s="433"/>
      <c r="O32" s="433"/>
      <c r="P32" s="433"/>
      <c r="Q32" s="433"/>
      <c r="R32" s="433"/>
      <c r="S32" s="433"/>
      <c r="T32" s="433"/>
      <c r="U32" s="433"/>
      <c r="V32" s="433"/>
      <c r="W32" s="433"/>
      <c r="X32" s="433"/>
      <c r="Y32" s="433"/>
      <c r="Z32" s="433"/>
    </row>
    <row r="33">
      <c r="A33" s="440"/>
      <c r="B33" s="441"/>
      <c r="C33" s="442"/>
      <c r="D33" s="443"/>
      <c r="E33" s="433"/>
      <c r="F33" s="433"/>
      <c r="G33" s="433"/>
      <c r="H33" s="433"/>
      <c r="I33" s="433"/>
      <c r="J33" s="433"/>
      <c r="K33" s="433"/>
      <c r="L33" s="433"/>
      <c r="M33" s="433"/>
      <c r="N33" s="433"/>
      <c r="O33" s="433"/>
      <c r="P33" s="433"/>
      <c r="Q33" s="433"/>
      <c r="R33" s="433"/>
      <c r="S33" s="433"/>
      <c r="T33" s="433"/>
      <c r="U33" s="433"/>
      <c r="V33" s="433"/>
      <c r="W33" s="433"/>
      <c r="X33" s="433"/>
      <c r="Y33" s="433"/>
      <c r="Z33" s="433"/>
    </row>
    <row r="34">
      <c r="A34" s="440"/>
      <c r="B34" s="441"/>
      <c r="C34" s="442"/>
      <c r="D34" s="443"/>
      <c r="E34" s="433"/>
      <c r="F34" s="433"/>
      <c r="G34" s="433"/>
      <c r="H34" s="433"/>
      <c r="I34" s="433"/>
      <c r="J34" s="433"/>
      <c r="K34" s="433"/>
      <c r="L34" s="433"/>
      <c r="M34" s="433"/>
      <c r="N34" s="433"/>
      <c r="O34" s="433"/>
      <c r="P34" s="433"/>
      <c r="Q34" s="433"/>
      <c r="R34" s="433"/>
      <c r="S34" s="433"/>
      <c r="T34" s="433"/>
      <c r="U34" s="433"/>
      <c r="V34" s="433"/>
      <c r="W34" s="433"/>
      <c r="X34" s="433"/>
      <c r="Y34" s="433"/>
      <c r="Z34" s="433"/>
    </row>
    <row r="35">
      <c r="A35" s="440"/>
      <c r="B35" s="441"/>
      <c r="C35" s="442"/>
      <c r="D35" s="443"/>
      <c r="E35" s="433"/>
      <c r="F35" s="433"/>
      <c r="G35" s="433"/>
      <c r="H35" s="433"/>
      <c r="I35" s="433"/>
      <c r="J35" s="433"/>
      <c r="K35" s="433"/>
      <c r="L35" s="433"/>
      <c r="M35" s="433"/>
      <c r="N35" s="433"/>
      <c r="O35" s="433"/>
      <c r="P35" s="433"/>
      <c r="Q35" s="433"/>
      <c r="R35" s="433"/>
      <c r="S35" s="433"/>
      <c r="T35" s="433"/>
      <c r="U35" s="433"/>
      <c r="V35" s="433"/>
      <c r="W35" s="433"/>
      <c r="X35" s="433"/>
      <c r="Y35" s="433"/>
      <c r="Z35" s="433"/>
    </row>
    <row r="36">
      <c r="A36" s="440"/>
      <c r="B36" s="441"/>
      <c r="C36" s="442"/>
      <c r="D36" s="443"/>
      <c r="E36" s="433"/>
      <c r="F36" s="433"/>
      <c r="G36" s="433"/>
      <c r="H36" s="433"/>
      <c r="I36" s="433"/>
      <c r="J36" s="433"/>
      <c r="K36" s="433"/>
      <c r="L36" s="433"/>
      <c r="M36" s="433"/>
      <c r="N36" s="433"/>
      <c r="O36" s="433"/>
      <c r="P36" s="433"/>
      <c r="Q36" s="433"/>
      <c r="R36" s="433"/>
      <c r="S36" s="433"/>
      <c r="T36" s="433"/>
      <c r="U36" s="433"/>
      <c r="V36" s="433"/>
      <c r="W36" s="433"/>
      <c r="X36" s="433"/>
      <c r="Y36" s="433"/>
      <c r="Z36" s="433"/>
    </row>
    <row r="37">
      <c r="A37" s="440"/>
      <c r="B37" s="441"/>
      <c r="C37" s="442"/>
      <c r="D37" s="443"/>
      <c r="E37" s="433"/>
      <c r="F37" s="433"/>
      <c r="G37" s="433"/>
      <c r="H37" s="433"/>
      <c r="I37" s="433"/>
      <c r="J37" s="433"/>
      <c r="K37" s="433"/>
      <c r="L37" s="433"/>
      <c r="M37" s="433"/>
      <c r="N37" s="433"/>
      <c r="O37" s="433"/>
      <c r="P37" s="433"/>
      <c r="Q37" s="433"/>
      <c r="R37" s="433"/>
      <c r="S37" s="433"/>
      <c r="T37" s="433"/>
      <c r="U37" s="433"/>
      <c r="V37" s="433"/>
      <c r="W37" s="433"/>
      <c r="X37" s="433"/>
      <c r="Y37" s="433"/>
      <c r="Z37" s="433"/>
    </row>
    <row r="38">
      <c r="A38" s="440"/>
      <c r="B38" s="441"/>
      <c r="C38" s="442"/>
      <c r="D38" s="443"/>
      <c r="E38" s="433"/>
      <c r="F38" s="433"/>
      <c r="G38" s="433"/>
      <c r="H38" s="433"/>
      <c r="I38" s="433"/>
      <c r="J38" s="433"/>
      <c r="K38" s="433"/>
      <c r="L38" s="433"/>
      <c r="M38" s="433"/>
      <c r="N38" s="433"/>
      <c r="O38" s="433"/>
      <c r="P38" s="433"/>
      <c r="Q38" s="433"/>
      <c r="R38" s="433"/>
      <c r="S38" s="433"/>
      <c r="T38" s="433"/>
      <c r="U38" s="433"/>
      <c r="V38" s="433"/>
      <c r="W38" s="433"/>
      <c r="X38" s="433"/>
      <c r="Y38" s="433"/>
      <c r="Z38" s="433"/>
    </row>
    <row r="39">
      <c r="A39" s="440"/>
      <c r="B39" s="441"/>
      <c r="C39" s="442"/>
      <c r="D39" s="443"/>
      <c r="E39" s="433"/>
      <c r="F39" s="433"/>
      <c r="G39" s="433"/>
      <c r="H39" s="433"/>
      <c r="I39" s="433"/>
      <c r="J39" s="433"/>
      <c r="K39" s="433"/>
      <c r="L39" s="433"/>
      <c r="M39" s="433"/>
      <c r="N39" s="433"/>
      <c r="O39" s="433"/>
      <c r="P39" s="433"/>
      <c r="Q39" s="433"/>
      <c r="R39" s="433"/>
      <c r="S39" s="433"/>
      <c r="T39" s="433"/>
      <c r="U39" s="433"/>
      <c r="V39" s="433"/>
      <c r="W39" s="433"/>
      <c r="X39" s="433"/>
      <c r="Y39" s="433"/>
      <c r="Z39" s="433"/>
    </row>
    <row r="40">
      <c r="A40" s="440"/>
      <c r="B40" s="441"/>
      <c r="C40" s="442"/>
      <c r="D40" s="443"/>
      <c r="E40" s="433"/>
      <c r="F40" s="433"/>
      <c r="G40" s="433"/>
      <c r="H40" s="433"/>
      <c r="I40" s="433"/>
      <c r="J40" s="433"/>
      <c r="K40" s="433"/>
      <c r="L40" s="433"/>
      <c r="M40" s="433"/>
      <c r="N40" s="433"/>
      <c r="O40" s="433"/>
      <c r="P40" s="433"/>
      <c r="Q40" s="433"/>
      <c r="R40" s="433"/>
      <c r="S40" s="433"/>
      <c r="T40" s="433"/>
      <c r="U40" s="433"/>
      <c r="V40" s="433"/>
      <c r="W40" s="433"/>
      <c r="X40" s="433"/>
      <c r="Y40" s="433"/>
      <c r="Z40" s="433"/>
    </row>
    <row r="41">
      <c r="A41" s="440"/>
      <c r="B41" s="441"/>
      <c r="C41" s="442"/>
      <c r="D41" s="443"/>
      <c r="E41" s="433"/>
      <c r="F41" s="433"/>
      <c r="G41" s="433"/>
      <c r="H41" s="433"/>
      <c r="I41" s="433"/>
      <c r="J41" s="433"/>
      <c r="K41" s="433"/>
      <c r="L41" s="433"/>
      <c r="M41" s="433"/>
      <c r="N41" s="433"/>
      <c r="O41" s="433"/>
      <c r="P41" s="433"/>
      <c r="Q41" s="433"/>
      <c r="R41" s="433"/>
      <c r="S41" s="433"/>
      <c r="T41" s="433"/>
      <c r="U41" s="433"/>
      <c r="V41" s="433"/>
      <c r="W41" s="433"/>
      <c r="X41" s="433"/>
      <c r="Y41" s="433"/>
      <c r="Z41" s="433"/>
    </row>
    <row r="42">
      <c r="A42" s="440"/>
      <c r="B42" s="441"/>
      <c r="C42" s="442"/>
      <c r="D42" s="443"/>
      <c r="E42" s="433"/>
      <c r="F42" s="433"/>
      <c r="G42" s="433"/>
      <c r="H42" s="433"/>
      <c r="I42" s="433"/>
      <c r="J42" s="433"/>
      <c r="K42" s="433"/>
      <c r="L42" s="433"/>
      <c r="M42" s="433"/>
      <c r="N42" s="433"/>
      <c r="O42" s="433"/>
      <c r="P42" s="433"/>
      <c r="Q42" s="433"/>
      <c r="R42" s="433"/>
      <c r="S42" s="433"/>
      <c r="T42" s="433"/>
      <c r="U42" s="433"/>
      <c r="V42" s="433"/>
      <c r="W42" s="433"/>
      <c r="X42" s="433"/>
      <c r="Y42" s="433"/>
      <c r="Z42" s="433"/>
    </row>
    <row r="43">
      <c r="A43" s="440"/>
      <c r="B43" s="441"/>
      <c r="C43" s="442"/>
      <c r="D43" s="443"/>
      <c r="E43" s="433"/>
      <c r="F43" s="433"/>
      <c r="G43" s="433"/>
      <c r="H43" s="433"/>
      <c r="I43" s="433"/>
      <c r="J43" s="433"/>
      <c r="K43" s="433"/>
      <c r="L43" s="433"/>
      <c r="M43" s="433"/>
      <c r="N43" s="433"/>
      <c r="O43" s="433"/>
      <c r="P43" s="433"/>
      <c r="Q43" s="433"/>
      <c r="R43" s="433"/>
      <c r="S43" s="433"/>
      <c r="T43" s="433"/>
      <c r="U43" s="433"/>
      <c r="V43" s="433"/>
      <c r="W43" s="433"/>
      <c r="X43" s="433"/>
      <c r="Y43" s="433"/>
      <c r="Z43" s="433"/>
    </row>
    <row r="44">
      <c r="A44" s="440"/>
      <c r="B44" s="441"/>
      <c r="C44" s="442"/>
      <c r="D44" s="443"/>
      <c r="E44" s="433"/>
      <c r="F44" s="433"/>
      <c r="G44" s="433"/>
      <c r="H44" s="433"/>
      <c r="I44" s="433"/>
      <c r="J44" s="433"/>
      <c r="K44" s="433"/>
      <c r="L44" s="433"/>
      <c r="M44" s="433"/>
      <c r="N44" s="433"/>
      <c r="O44" s="433"/>
      <c r="P44" s="433"/>
      <c r="Q44" s="433"/>
      <c r="R44" s="433"/>
      <c r="S44" s="433"/>
      <c r="T44" s="433"/>
      <c r="U44" s="433"/>
      <c r="V44" s="433"/>
      <c r="W44" s="433"/>
      <c r="X44" s="433"/>
      <c r="Y44" s="433"/>
      <c r="Z44" s="433"/>
    </row>
    <row r="45">
      <c r="A45" s="440"/>
      <c r="B45" s="441"/>
      <c r="C45" s="442"/>
      <c r="D45" s="443"/>
      <c r="E45" s="433"/>
      <c r="F45" s="433"/>
      <c r="G45" s="433"/>
      <c r="H45" s="433"/>
      <c r="I45" s="433"/>
      <c r="J45" s="433"/>
      <c r="K45" s="433"/>
      <c r="L45" s="433"/>
      <c r="M45" s="433"/>
      <c r="N45" s="433"/>
      <c r="O45" s="433"/>
      <c r="P45" s="433"/>
      <c r="Q45" s="433"/>
      <c r="R45" s="433"/>
      <c r="S45" s="433"/>
      <c r="T45" s="433"/>
      <c r="U45" s="433"/>
      <c r="V45" s="433"/>
      <c r="W45" s="433"/>
      <c r="X45" s="433"/>
      <c r="Y45" s="433"/>
      <c r="Z45" s="433"/>
    </row>
    <row r="46">
      <c r="A46" s="440"/>
      <c r="B46" s="441"/>
      <c r="C46" s="442"/>
      <c r="D46" s="443"/>
      <c r="E46" s="433"/>
      <c r="F46" s="433"/>
      <c r="G46" s="433"/>
      <c r="H46" s="433"/>
      <c r="I46" s="433"/>
      <c r="J46" s="433"/>
      <c r="K46" s="433"/>
      <c r="L46" s="433"/>
      <c r="M46" s="433"/>
      <c r="N46" s="433"/>
      <c r="O46" s="433"/>
      <c r="P46" s="433"/>
      <c r="Q46" s="433"/>
      <c r="R46" s="433"/>
      <c r="S46" s="433"/>
      <c r="T46" s="433"/>
      <c r="U46" s="433"/>
      <c r="V46" s="433"/>
      <c r="W46" s="433"/>
      <c r="X46" s="433"/>
      <c r="Y46" s="433"/>
      <c r="Z46" s="433"/>
    </row>
    <row r="47">
      <c r="A47" s="440"/>
      <c r="B47" s="441"/>
      <c r="C47" s="442"/>
      <c r="D47" s="443"/>
      <c r="E47" s="433"/>
      <c r="F47" s="433"/>
      <c r="G47" s="433"/>
      <c r="H47" s="433"/>
      <c r="I47" s="433"/>
      <c r="J47" s="433"/>
      <c r="K47" s="433"/>
      <c r="L47" s="433"/>
      <c r="M47" s="433"/>
      <c r="N47" s="433"/>
      <c r="O47" s="433"/>
      <c r="P47" s="433"/>
      <c r="Q47" s="433"/>
      <c r="R47" s="433"/>
      <c r="S47" s="433"/>
      <c r="T47" s="433"/>
      <c r="U47" s="433"/>
      <c r="V47" s="433"/>
      <c r="W47" s="433"/>
      <c r="X47" s="433"/>
      <c r="Y47" s="433"/>
      <c r="Z47" s="433"/>
    </row>
    <row r="48">
      <c r="A48" s="440"/>
      <c r="B48" s="441"/>
      <c r="C48" s="442"/>
      <c r="D48" s="443"/>
      <c r="E48" s="433"/>
      <c r="F48" s="433"/>
      <c r="G48" s="433"/>
      <c r="H48" s="433"/>
      <c r="I48" s="433"/>
      <c r="J48" s="433"/>
      <c r="K48" s="433"/>
      <c r="L48" s="433"/>
      <c r="M48" s="433"/>
      <c r="N48" s="433"/>
      <c r="O48" s="433"/>
      <c r="P48" s="433"/>
      <c r="Q48" s="433"/>
      <c r="R48" s="433"/>
      <c r="S48" s="433"/>
      <c r="T48" s="433"/>
      <c r="U48" s="433"/>
      <c r="V48" s="433"/>
      <c r="W48" s="433"/>
      <c r="X48" s="433"/>
      <c r="Y48" s="433"/>
      <c r="Z48" s="433"/>
    </row>
    <row r="49">
      <c r="A49" s="440"/>
      <c r="B49" s="441"/>
      <c r="C49" s="442"/>
      <c r="D49" s="443"/>
      <c r="E49" s="433"/>
      <c r="F49" s="433"/>
      <c r="G49" s="433"/>
      <c r="H49" s="433"/>
      <c r="I49" s="433"/>
      <c r="J49" s="433"/>
      <c r="K49" s="433"/>
      <c r="L49" s="433"/>
      <c r="M49" s="433"/>
      <c r="N49" s="433"/>
      <c r="O49" s="433"/>
      <c r="P49" s="433"/>
      <c r="Q49" s="433"/>
      <c r="R49" s="433"/>
      <c r="S49" s="433"/>
      <c r="T49" s="433"/>
      <c r="U49" s="433"/>
      <c r="V49" s="433"/>
      <c r="W49" s="433"/>
      <c r="X49" s="433"/>
      <c r="Y49" s="433"/>
      <c r="Z49" s="433"/>
    </row>
    <row r="50">
      <c r="A50" s="440"/>
      <c r="B50" s="441"/>
      <c r="C50" s="442"/>
      <c r="D50" s="443"/>
      <c r="E50" s="433"/>
      <c r="F50" s="433"/>
      <c r="G50" s="433"/>
      <c r="H50" s="433"/>
      <c r="I50" s="433"/>
      <c r="J50" s="433"/>
      <c r="K50" s="433"/>
      <c r="L50" s="433"/>
      <c r="M50" s="433"/>
      <c r="N50" s="433"/>
      <c r="O50" s="433"/>
      <c r="P50" s="433"/>
      <c r="Q50" s="433"/>
      <c r="R50" s="433"/>
      <c r="S50" s="433"/>
      <c r="T50" s="433"/>
      <c r="U50" s="433"/>
      <c r="V50" s="433"/>
      <c r="W50" s="433"/>
      <c r="X50" s="433"/>
      <c r="Y50" s="433"/>
      <c r="Z50" s="433"/>
    </row>
    <row r="51">
      <c r="A51" s="440"/>
      <c r="B51" s="441"/>
      <c r="C51" s="442"/>
      <c r="D51" s="443"/>
      <c r="E51" s="433"/>
      <c r="F51" s="433"/>
      <c r="G51" s="433"/>
      <c r="H51" s="433"/>
      <c r="I51" s="433"/>
      <c r="J51" s="433"/>
      <c r="K51" s="433"/>
      <c r="L51" s="433"/>
      <c r="M51" s="433"/>
      <c r="N51" s="433"/>
      <c r="O51" s="433"/>
      <c r="P51" s="433"/>
      <c r="Q51" s="433"/>
      <c r="R51" s="433"/>
      <c r="S51" s="433"/>
      <c r="T51" s="433"/>
      <c r="U51" s="433"/>
      <c r="V51" s="433"/>
      <c r="W51" s="433"/>
      <c r="X51" s="433"/>
      <c r="Y51" s="433"/>
      <c r="Z51" s="433"/>
    </row>
    <row r="52">
      <c r="A52" s="440"/>
      <c r="B52" s="441"/>
      <c r="C52" s="442"/>
      <c r="D52" s="443"/>
      <c r="E52" s="433"/>
      <c r="F52" s="433"/>
      <c r="G52" s="433"/>
      <c r="H52" s="433"/>
      <c r="I52" s="433"/>
      <c r="J52" s="433"/>
      <c r="K52" s="433"/>
      <c r="L52" s="433"/>
      <c r="M52" s="433"/>
      <c r="N52" s="433"/>
      <c r="O52" s="433"/>
      <c r="P52" s="433"/>
      <c r="Q52" s="433"/>
      <c r="R52" s="433"/>
      <c r="S52" s="433"/>
      <c r="T52" s="433"/>
      <c r="U52" s="433"/>
      <c r="V52" s="433"/>
      <c r="W52" s="433"/>
      <c r="X52" s="433"/>
      <c r="Y52" s="433"/>
      <c r="Z52" s="433"/>
    </row>
    <row r="53">
      <c r="A53" s="440"/>
      <c r="B53" s="441"/>
      <c r="C53" s="442"/>
      <c r="D53" s="443"/>
      <c r="E53" s="433"/>
      <c r="F53" s="433"/>
      <c r="G53" s="433"/>
      <c r="H53" s="433"/>
      <c r="I53" s="433"/>
      <c r="J53" s="433"/>
      <c r="K53" s="433"/>
      <c r="L53" s="433"/>
      <c r="M53" s="433"/>
      <c r="N53" s="433"/>
      <c r="O53" s="433"/>
      <c r="P53" s="433"/>
      <c r="Q53" s="433"/>
      <c r="R53" s="433"/>
      <c r="S53" s="433"/>
      <c r="T53" s="433"/>
      <c r="U53" s="433"/>
      <c r="V53" s="433"/>
      <c r="W53" s="433"/>
      <c r="X53" s="433"/>
      <c r="Y53" s="433"/>
      <c r="Z53" s="433"/>
    </row>
    <row r="54">
      <c r="A54" s="440"/>
      <c r="B54" s="441"/>
      <c r="C54" s="442"/>
      <c r="D54" s="443"/>
      <c r="E54" s="433"/>
      <c r="F54" s="433"/>
      <c r="G54" s="433"/>
      <c r="H54" s="433"/>
      <c r="I54" s="433"/>
      <c r="J54" s="433"/>
      <c r="K54" s="433"/>
      <c r="L54" s="433"/>
      <c r="M54" s="433"/>
      <c r="N54" s="433"/>
      <c r="O54" s="433"/>
      <c r="P54" s="433"/>
      <c r="Q54" s="433"/>
      <c r="R54" s="433"/>
      <c r="S54" s="433"/>
      <c r="T54" s="433"/>
      <c r="U54" s="433"/>
      <c r="V54" s="433"/>
      <c r="W54" s="433"/>
      <c r="X54" s="433"/>
      <c r="Y54" s="433"/>
      <c r="Z54" s="433"/>
    </row>
    <row r="55">
      <c r="A55" s="440"/>
      <c r="B55" s="441"/>
      <c r="C55" s="442"/>
      <c r="D55" s="443"/>
      <c r="E55" s="433"/>
      <c r="F55" s="433"/>
      <c r="G55" s="433"/>
      <c r="H55" s="433"/>
      <c r="I55" s="433"/>
      <c r="J55" s="433"/>
      <c r="K55" s="433"/>
      <c r="L55" s="433"/>
      <c r="M55" s="433"/>
      <c r="N55" s="433"/>
      <c r="O55" s="433"/>
      <c r="P55" s="433"/>
      <c r="Q55" s="433"/>
      <c r="R55" s="433"/>
      <c r="S55" s="433"/>
      <c r="T55" s="433"/>
      <c r="U55" s="433"/>
      <c r="V55" s="433"/>
      <c r="W55" s="433"/>
      <c r="X55" s="433"/>
      <c r="Y55" s="433"/>
      <c r="Z55" s="433"/>
    </row>
    <row r="56">
      <c r="A56" s="440"/>
      <c r="B56" s="441"/>
      <c r="C56" s="442"/>
      <c r="D56" s="443"/>
      <c r="E56" s="433"/>
      <c r="F56" s="433"/>
      <c r="G56" s="433"/>
      <c r="H56" s="433"/>
      <c r="I56" s="433"/>
      <c r="J56" s="433"/>
      <c r="K56" s="433"/>
      <c r="L56" s="433"/>
      <c r="M56" s="433"/>
      <c r="N56" s="433"/>
      <c r="O56" s="433"/>
      <c r="P56" s="433"/>
      <c r="Q56" s="433"/>
      <c r="R56" s="433"/>
      <c r="S56" s="433"/>
      <c r="T56" s="433"/>
      <c r="U56" s="433"/>
      <c r="V56" s="433"/>
      <c r="W56" s="433"/>
      <c r="X56" s="433"/>
      <c r="Y56" s="433"/>
      <c r="Z56" s="433"/>
    </row>
    <row r="57">
      <c r="A57" s="440"/>
      <c r="B57" s="441"/>
      <c r="C57" s="442"/>
      <c r="D57" s="443"/>
      <c r="E57" s="433"/>
      <c r="F57" s="433"/>
      <c r="G57" s="433"/>
      <c r="H57" s="433"/>
      <c r="I57" s="433"/>
      <c r="J57" s="433"/>
      <c r="K57" s="433"/>
      <c r="L57" s="433"/>
      <c r="M57" s="433"/>
      <c r="N57" s="433"/>
      <c r="O57" s="433"/>
      <c r="P57" s="433"/>
      <c r="Q57" s="433"/>
      <c r="R57" s="433"/>
      <c r="S57" s="433"/>
      <c r="T57" s="433"/>
      <c r="U57" s="433"/>
      <c r="V57" s="433"/>
      <c r="W57" s="433"/>
      <c r="X57" s="433"/>
      <c r="Y57" s="433"/>
      <c r="Z57" s="433"/>
    </row>
    <row r="58">
      <c r="A58" s="440"/>
      <c r="B58" s="441"/>
      <c r="C58" s="442"/>
      <c r="D58" s="443"/>
      <c r="E58" s="433"/>
      <c r="F58" s="433"/>
      <c r="G58" s="433"/>
      <c r="H58" s="433"/>
      <c r="I58" s="433"/>
      <c r="J58" s="433"/>
      <c r="K58" s="433"/>
      <c r="L58" s="433"/>
      <c r="M58" s="433"/>
      <c r="N58" s="433"/>
      <c r="O58" s="433"/>
      <c r="P58" s="433"/>
      <c r="Q58" s="433"/>
      <c r="R58" s="433"/>
      <c r="S58" s="433"/>
      <c r="T58" s="433"/>
      <c r="U58" s="433"/>
      <c r="V58" s="433"/>
      <c r="W58" s="433"/>
      <c r="X58" s="433"/>
      <c r="Y58" s="433"/>
      <c r="Z58" s="433"/>
    </row>
    <row r="59">
      <c r="A59" s="440"/>
      <c r="B59" s="441"/>
      <c r="C59" s="442"/>
      <c r="D59" s="443"/>
      <c r="E59" s="433"/>
      <c r="F59" s="433"/>
      <c r="G59" s="433"/>
      <c r="H59" s="433"/>
      <c r="I59" s="433"/>
      <c r="J59" s="433"/>
      <c r="K59" s="433"/>
      <c r="L59" s="433"/>
      <c r="M59" s="433"/>
      <c r="N59" s="433"/>
      <c r="O59" s="433"/>
      <c r="P59" s="433"/>
      <c r="Q59" s="433"/>
      <c r="R59" s="433"/>
      <c r="S59" s="433"/>
      <c r="T59" s="433"/>
      <c r="U59" s="433"/>
      <c r="V59" s="433"/>
      <c r="W59" s="433"/>
      <c r="X59" s="433"/>
      <c r="Y59" s="433"/>
      <c r="Z59" s="433"/>
    </row>
    <row r="60">
      <c r="A60" s="440"/>
      <c r="B60" s="441"/>
      <c r="C60" s="442"/>
      <c r="D60" s="443"/>
      <c r="E60" s="433"/>
      <c r="F60" s="433"/>
      <c r="G60" s="433"/>
      <c r="H60" s="433"/>
      <c r="I60" s="433"/>
      <c r="J60" s="433"/>
      <c r="K60" s="433"/>
      <c r="L60" s="433"/>
      <c r="M60" s="433"/>
      <c r="N60" s="433"/>
      <c r="O60" s="433"/>
      <c r="P60" s="433"/>
      <c r="Q60" s="433"/>
      <c r="R60" s="433"/>
      <c r="S60" s="433"/>
      <c r="T60" s="433"/>
      <c r="U60" s="433"/>
      <c r="V60" s="433"/>
      <c r="W60" s="433"/>
      <c r="X60" s="433"/>
      <c r="Y60" s="433"/>
      <c r="Z60" s="433"/>
    </row>
    <row r="61">
      <c r="A61" s="440"/>
      <c r="B61" s="441"/>
      <c r="C61" s="442"/>
      <c r="D61" s="443"/>
      <c r="E61" s="433"/>
      <c r="F61" s="433"/>
      <c r="G61" s="433"/>
      <c r="H61" s="433"/>
      <c r="I61" s="433"/>
      <c r="J61" s="433"/>
      <c r="K61" s="433"/>
      <c r="L61" s="433"/>
      <c r="M61" s="433"/>
      <c r="N61" s="433"/>
      <c r="O61" s="433"/>
      <c r="P61" s="433"/>
      <c r="Q61" s="433"/>
      <c r="R61" s="433"/>
      <c r="S61" s="433"/>
      <c r="T61" s="433"/>
      <c r="U61" s="433"/>
      <c r="V61" s="433"/>
      <c r="W61" s="433"/>
      <c r="X61" s="433"/>
      <c r="Y61" s="433"/>
      <c r="Z61" s="433"/>
    </row>
    <row r="62">
      <c r="A62" s="440"/>
      <c r="B62" s="441"/>
      <c r="C62" s="442"/>
      <c r="D62" s="443"/>
      <c r="E62" s="433"/>
      <c r="F62" s="433"/>
      <c r="G62" s="433"/>
      <c r="H62" s="433"/>
      <c r="I62" s="433"/>
      <c r="J62" s="433"/>
      <c r="K62" s="433"/>
      <c r="L62" s="433"/>
      <c r="M62" s="433"/>
      <c r="N62" s="433"/>
      <c r="O62" s="433"/>
      <c r="P62" s="433"/>
      <c r="Q62" s="433"/>
      <c r="R62" s="433"/>
      <c r="S62" s="433"/>
      <c r="T62" s="433"/>
      <c r="U62" s="433"/>
      <c r="V62" s="433"/>
      <c r="W62" s="433"/>
      <c r="X62" s="433"/>
      <c r="Y62" s="433"/>
      <c r="Z62" s="433"/>
    </row>
    <row r="63">
      <c r="A63" s="440"/>
      <c r="B63" s="441"/>
      <c r="C63" s="442"/>
      <c r="D63" s="443"/>
      <c r="E63" s="433"/>
      <c r="F63" s="433"/>
      <c r="G63" s="433"/>
      <c r="H63" s="433"/>
      <c r="I63" s="433"/>
      <c r="J63" s="433"/>
      <c r="K63" s="433"/>
      <c r="L63" s="433"/>
      <c r="M63" s="433"/>
      <c r="N63" s="433"/>
      <c r="O63" s="433"/>
      <c r="P63" s="433"/>
      <c r="Q63" s="433"/>
      <c r="R63" s="433"/>
      <c r="S63" s="433"/>
      <c r="T63" s="433"/>
      <c r="U63" s="433"/>
      <c r="V63" s="433"/>
      <c r="W63" s="433"/>
      <c r="X63" s="433"/>
      <c r="Y63" s="433"/>
      <c r="Z63" s="433"/>
    </row>
    <row r="64">
      <c r="A64" s="440"/>
      <c r="B64" s="441"/>
      <c r="C64" s="442"/>
      <c r="D64" s="443"/>
      <c r="E64" s="433"/>
      <c r="F64" s="433"/>
      <c r="G64" s="433"/>
      <c r="H64" s="433"/>
      <c r="I64" s="433"/>
      <c r="J64" s="433"/>
      <c r="K64" s="433"/>
      <c r="L64" s="433"/>
      <c r="M64" s="433"/>
      <c r="N64" s="433"/>
      <c r="O64" s="433"/>
      <c r="P64" s="433"/>
      <c r="Q64" s="433"/>
      <c r="R64" s="433"/>
      <c r="S64" s="433"/>
      <c r="T64" s="433"/>
      <c r="U64" s="433"/>
      <c r="V64" s="433"/>
      <c r="W64" s="433"/>
      <c r="X64" s="433"/>
      <c r="Y64" s="433"/>
      <c r="Z64" s="433"/>
    </row>
    <row r="65">
      <c r="A65" s="440"/>
      <c r="B65" s="441"/>
      <c r="C65" s="442"/>
      <c r="D65" s="443"/>
      <c r="E65" s="433"/>
      <c r="F65" s="433"/>
      <c r="G65" s="433"/>
      <c r="H65" s="433"/>
      <c r="I65" s="433"/>
      <c r="J65" s="433"/>
      <c r="K65" s="433"/>
      <c r="L65" s="433"/>
      <c r="M65" s="433"/>
      <c r="N65" s="433"/>
      <c r="O65" s="433"/>
      <c r="P65" s="433"/>
      <c r="Q65" s="433"/>
      <c r="R65" s="433"/>
      <c r="S65" s="433"/>
      <c r="T65" s="433"/>
      <c r="U65" s="433"/>
      <c r="V65" s="433"/>
      <c r="W65" s="433"/>
      <c r="X65" s="433"/>
      <c r="Y65" s="433"/>
      <c r="Z65" s="433"/>
    </row>
    <row r="66">
      <c r="A66" s="440"/>
      <c r="B66" s="441"/>
      <c r="C66" s="442"/>
      <c r="D66" s="443"/>
      <c r="E66" s="433"/>
      <c r="F66" s="433"/>
      <c r="G66" s="433"/>
      <c r="H66" s="433"/>
      <c r="I66" s="433"/>
      <c r="J66" s="433"/>
      <c r="K66" s="433"/>
      <c r="L66" s="433"/>
      <c r="M66" s="433"/>
      <c r="N66" s="433"/>
      <c r="O66" s="433"/>
      <c r="P66" s="433"/>
      <c r="Q66" s="433"/>
      <c r="R66" s="433"/>
      <c r="S66" s="433"/>
      <c r="T66" s="433"/>
      <c r="U66" s="433"/>
      <c r="V66" s="433"/>
      <c r="W66" s="433"/>
      <c r="X66" s="433"/>
      <c r="Y66" s="433"/>
      <c r="Z66" s="433"/>
    </row>
    <row r="67">
      <c r="A67" s="440"/>
      <c r="B67" s="441"/>
      <c r="C67" s="442"/>
      <c r="D67" s="443"/>
      <c r="E67" s="433"/>
      <c r="F67" s="433"/>
      <c r="G67" s="433"/>
      <c r="H67" s="433"/>
      <c r="I67" s="433"/>
      <c r="J67" s="433"/>
      <c r="K67" s="433"/>
      <c r="L67" s="433"/>
      <c r="M67" s="433"/>
      <c r="N67" s="433"/>
      <c r="O67" s="433"/>
      <c r="P67" s="433"/>
      <c r="Q67" s="433"/>
      <c r="R67" s="433"/>
      <c r="S67" s="433"/>
      <c r="T67" s="433"/>
      <c r="U67" s="433"/>
      <c r="V67" s="433"/>
      <c r="W67" s="433"/>
      <c r="X67" s="433"/>
      <c r="Y67" s="433"/>
      <c r="Z67" s="433"/>
    </row>
    <row r="68">
      <c r="A68" s="440"/>
      <c r="B68" s="441"/>
      <c r="C68" s="442"/>
      <c r="D68" s="443"/>
      <c r="E68" s="433"/>
      <c r="F68" s="433"/>
      <c r="G68" s="433"/>
      <c r="H68" s="433"/>
      <c r="I68" s="433"/>
      <c r="J68" s="433"/>
      <c r="K68" s="433"/>
      <c r="L68" s="433"/>
      <c r="M68" s="433"/>
      <c r="N68" s="433"/>
      <c r="O68" s="433"/>
      <c r="P68" s="433"/>
      <c r="Q68" s="433"/>
      <c r="R68" s="433"/>
      <c r="S68" s="433"/>
      <c r="T68" s="433"/>
      <c r="U68" s="433"/>
      <c r="V68" s="433"/>
      <c r="W68" s="433"/>
      <c r="X68" s="433"/>
      <c r="Y68" s="433"/>
      <c r="Z68" s="433"/>
    </row>
    <row r="69">
      <c r="A69" s="440"/>
      <c r="B69" s="441"/>
      <c r="C69" s="442"/>
      <c r="D69" s="443"/>
      <c r="E69" s="433"/>
      <c r="F69" s="433"/>
      <c r="G69" s="433"/>
      <c r="H69" s="433"/>
      <c r="I69" s="433"/>
      <c r="J69" s="433"/>
      <c r="K69" s="433"/>
      <c r="L69" s="433"/>
      <c r="M69" s="433"/>
      <c r="N69" s="433"/>
      <c r="O69" s="433"/>
      <c r="P69" s="433"/>
      <c r="Q69" s="433"/>
      <c r="R69" s="433"/>
      <c r="S69" s="433"/>
      <c r="T69" s="433"/>
      <c r="U69" s="433"/>
      <c r="V69" s="433"/>
      <c r="W69" s="433"/>
      <c r="X69" s="433"/>
      <c r="Y69" s="433"/>
      <c r="Z69" s="433"/>
    </row>
    <row r="70">
      <c r="A70" s="440"/>
      <c r="B70" s="441"/>
      <c r="C70" s="442"/>
      <c r="D70" s="443"/>
      <c r="E70" s="433"/>
      <c r="F70" s="433"/>
      <c r="G70" s="433"/>
      <c r="H70" s="433"/>
      <c r="I70" s="433"/>
      <c r="J70" s="433"/>
      <c r="K70" s="433"/>
      <c r="L70" s="433"/>
      <c r="M70" s="433"/>
      <c r="N70" s="433"/>
      <c r="O70" s="433"/>
      <c r="P70" s="433"/>
      <c r="Q70" s="433"/>
      <c r="R70" s="433"/>
      <c r="S70" s="433"/>
      <c r="T70" s="433"/>
      <c r="U70" s="433"/>
      <c r="V70" s="433"/>
      <c r="W70" s="433"/>
      <c r="X70" s="433"/>
      <c r="Y70" s="433"/>
      <c r="Z70" s="433"/>
    </row>
    <row r="71">
      <c r="A71" s="440"/>
      <c r="B71" s="441"/>
      <c r="C71" s="442"/>
      <c r="D71" s="443"/>
      <c r="E71" s="433"/>
      <c r="F71" s="433"/>
      <c r="G71" s="433"/>
      <c r="H71" s="433"/>
      <c r="I71" s="433"/>
      <c r="J71" s="433"/>
      <c r="K71" s="433"/>
      <c r="L71" s="433"/>
      <c r="M71" s="433"/>
      <c r="N71" s="433"/>
      <c r="O71" s="433"/>
      <c r="P71" s="433"/>
      <c r="Q71" s="433"/>
      <c r="R71" s="433"/>
      <c r="S71" s="433"/>
      <c r="T71" s="433"/>
      <c r="U71" s="433"/>
      <c r="V71" s="433"/>
      <c r="W71" s="433"/>
      <c r="X71" s="433"/>
      <c r="Y71" s="433"/>
      <c r="Z71" s="433"/>
    </row>
    <row r="72">
      <c r="A72" s="440"/>
      <c r="B72" s="441"/>
      <c r="C72" s="442"/>
      <c r="D72" s="443"/>
      <c r="E72" s="433"/>
      <c r="F72" s="433"/>
      <c r="G72" s="433"/>
      <c r="H72" s="433"/>
      <c r="I72" s="433"/>
      <c r="J72" s="433"/>
      <c r="K72" s="433"/>
      <c r="L72" s="433"/>
      <c r="M72" s="433"/>
      <c r="N72" s="433"/>
      <c r="O72" s="433"/>
      <c r="P72" s="433"/>
      <c r="Q72" s="433"/>
      <c r="R72" s="433"/>
      <c r="S72" s="433"/>
      <c r="T72" s="433"/>
      <c r="U72" s="433"/>
      <c r="V72" s="433"/>
      <c r="W72" s="433"/>
      <c r="X72" s="433"/>
      <c r="Y72" s="433"/>
      <c r="Z72" s="433"/>
    </row>
    <row r="73">
      <c r="A73" s="440"/>
      <c r="B73" s="441"/>
      <c r="C73" s="442"/>
      <c r="D73" s="443"/>
      <c r="E73" s="433"/>
      <c r="F73" s="433"/>
      <c r="G73" s="433"/>
      <c r="H73" s="433"/>
      <c r="I73" s="433"/>
      <c r="J73" s="433"/>
      <c r="K73" s="433"/>
      <c r="L73" s="433"/>
      <c r="M73" s="433"/>
      <c r="N73" s="433"/>
      <c r="O73" s="433"/>
      <c r="P73" s="433"/>
      <c r="Q73" s="433"/>
      <c r="R73" s="433"/>
      <c r="S73" s="433"/>
      <c r="T73" s="433"/>
      <c r="U73" s="433"/>
      <c r="V73" s="433"/>
      <c r="W73" s="433"/>
      <c r="X73" s="433"/>
      <c r="Y73" s="433"/>
      <c r="Z73" s="433"/>
    </row>
    <row r="74">
      <c r="A74" s="440"/>
      <c r="B74" s="441"/>
      <c r="C74" s="442"/>
      <c r="D74" s="443"/>
      <c r="E74" s="433"/>
      <c r="F74" s="433"/>
      <c r="G74" s="433"/>
      <c r="H74" s="433"/>
      <c r="I74" s="433"/>
      <c r="J74" s="433"/>
      <c r="K74" s="433"/>
      <c r="L74" s="433"/>
      <c r="M74" s="433"/>
      <c r="N74" s="433"/>
      <c r="O74" s="433"/>
      <c r="P74" s="433"/>
      <c r="Q74" s="433"/>
      <c r="R74" s="433"/>
      <c r="S74" s="433"/>
      <c r="T74" s="433"/>
      <c r="U74" s="433"/>
      <c r="V74" s="433"/>
      <c r="W74" s="433"/>
      <c r="X74" s="433"/>
      <c r="Y74" s="433"/>
      <c r="Z74" s="433"/>
    </row>
    <row r="75">
      <c r="A75" s="440"/>
      <c r="B75" s="441"/>
      <c r="C75" s="442"/>
      <c r="D75" s="443"/>
      <c r="E75" s="433"/>
      <c r="F75" s="433"/>
      <c r="G75" s="433"/>
      <c r="H75" s="433"/>
      <c r="I75" s="433"/>
      <c r="J75" s="433"/>
      <c r="K75" s="433"/>
      <c r="L75" s="433"/>
      <c r="M75" s="433"/>
      <c r="N75" s="433"/>
      <c r="O75" s="433"/>
      <c r="P75" s="433"/>
      <c r="Q75" s="433"/>
      <c r="R75" s="433"/>
      <c r="S75" s="433"/>
      <c r="T75" s="433"/>
      <c r="U75" s="433"/>
      <c r="V75" s="433"/>
      <c r="W75" s="433"/>
      <c r="X75" s="433"/>
      <c r="Y75" s="433"/>
      <c r="Z75" s="433"/>
    </row>
    <row r="76">
      <c r="A76" s="440"/>
      <c r="B76" s="441"/>
      <c r="C76" s="442"/>
      <c r="D76" s="443"/>
      <c r="E76" s="433"/>
      <c r="F76" s="433"/>
      <c r="G76" s="433"/>
      <c r="H76" s="433"/>
      <c r="I76" s="433"/>
      <c r="J76" s="433"/>
      <c r="K76" s="433"/>
      <c r="L76" s="433"/>
      <c r="M76" s="433"/>
      <c r="N76" s="433"/>
      <c r="O76" s="433"/>
      <c r="P76" s="433"/>
      <c r="Q76" s="433"/>
      <c r="R76" s="433"/>
      <c r="S76" s="433"/>
      <c r="T76" s="433"/>
      <c r="U76" s="433"/>
      <c r="V76" s="433"/>
      <c r="W76" s="433"/>
      <c r="X76" s="433"/>
      <c r="Y76" s="433"/>
      <c r="Z76" s="433"/>
    </row>
    <row r="77">
      <c r="A77" s="440"/>
      <c r="B77" s="441"/>
      <c r="C77" s="442"/>
      <c r="D77" s="443"/>
      <c r="E77" s="433"/>
      <c r="F77" s="433"/>
      <c r="G77" s="433"/>
      <c r="H77" s="433"/>
      <c r="I77" s="433"/>
      <c r="J77" s="433"/>
      <c r="K77" s="433"/>
      <c r="L77" s="433"/>
      <c r="M77" s="433"/>
      <c r="N77" s="433"/>
      <c r="O77" s="433"/>
      <c r="P77" s="433"/>
      <c r="Q77" s="433"/>
      <c r="R77" s="433"/>
      <c r="S77" s="433"/>
      <c r="T77" s="433"/>
      <c r="U77" s="433"/>
      <c r="V77" s="433"/>
      <c r="W77" s="433"/>
      <c r="X77" s="433"/>
      <c r="Y77" s="433"/>
      <c r="Z77" s="433"/>
    </row>
    <row r="78">
      <c r="A78" s="440"/>
      <c r="B78" s="441"/>
      <c r="C78" s="442"/>
      <c r="D78" s="443"/>
      <c r="E78" s="433"/>
      <c r="F78" s="433"/>
      <c r="G78" s="433"/>
      <c r="H78" s="433"/>
      <c r="I78" s="433"/>
      <c r="J78" s="433"/>
      <c r="K78" s="433"/>
      <c r="L78" s="433"/>
      <c r="M78" s="433"/>
      <c r="N78" s="433"/>
      <c r="O78" s="433"/>
      <c r="P78" s="433"/>
      <c r="Q78" s="433"/>
      <c r="R78" s="433"/>
      <c r="S78" s="433"/>
      <c r="T78" s="433"/>
      <c r="U78" s="433"/>
      <c r="V78" s="433"/>
      <c r="W78" s="433"/>
      <c r="X78" s="433"/>
      <c r="Y78" s="433"/>
      <c r="Z78" s="433"/>
    </row>
    <row r="79">
      <c r="A79" s="440"/>
      <c r="B79" s="441"/>
      <c r="C79" s="442"/>
      <c r="D79" s="443"/>
      <c r="E79" s="433"/>
      <c r="F79" s="433"/>
      <c r="G79" s="433"/>
      <c r="H79" s="433"/>
      <c r="I79" s="433"/>
      <c r="J79" s="433"/>
      <c r="K79" s="433"/>
      <c r="L79" s="433"/>
      <c r="M79" s="433"/>
      <c r="N79" s="433"/>
      <c r="O79" s="433"/>
      <c r="P79" s="433"/>
      <c r="Q79" s="433"/>
      <c r="R79" s="433"/>
      <c r="S79" s="433"/>
      <c r="T79" s="433"/>
      <c r="U79" s="433"/>
      <c r="V79" s="433"/>
      <c r="W79" s="433"/>
      <c r="X79" s="433"/>
      <c r="Y79" s="433"/>
      <c r="Z79" s="433"/>
    </row>
    <row r="80">
      <c r="A80" s="440"/>
      <c r="B80" s="441"/>
      <c r="C80" s="442"/>
      <c r="D80" s="443"/>
      <c r="E80" s="433"/>
      <c r="F80" s="433"/>
      <c r="G80" s="433"/>
      <c r="H80" s="433"/>
      <c r="I80" s="433"/>
      <c r="J80" s="433"/>
      <c r="K80" s="433"/>
      <c r="L80" s="433"/>
      <c r="M80" s="433"/>
      <c r="N80" s="433"/>
      <c r="O80" s="433"/>
      <c r="P80" s="433"/>
      <c r="Q80" s="433"/>
      <c r="R80" s="433"/>
      <c r="S80" s="433"/>
      <c r="T80" s="433"/>
      <c r="U80" s="433"/>
      <c r="V80" s="433"/>
      <c r="W80" s="433"/>
      <c r="X80" s="433"/>
      <c r="Y80" s="433"/>
      <c r="Z80" s="433"/>
    </row>
    <row r="81">
      <c r="A81" s="440"/>
      <c r="B81" s="441"/>
      <c r="C81" s="442"/>
      <c r="D81" s="443"/>
      <c r="E81" s="433"/>
      <c r="F81" s="433"/>
      <c r="G81" s="433"/>
      <c r="H81" s="433"/>
      <c r="I81" s="433"/>
      <c r="J81" s="433"/>
      <c r="K81" s="433"/>
      <c r="L81" s="433"/>
      <c r="M81" s="433"/>
      <c r="N81" s="433"/>
      <c r="O81" s="433"/>
      <c r="P81" s="433"/>
      <c r="Q81" s="433"/>
      <c r="R81" s="433"/>
      <c r="S81" s="433"/>
      <c r="T81" s="433"/>
      <c r="U81" s="433"/>
      <c r="V81" s="433"/>
      <c r="W81" s="433"/>
      <c r="X81" s="433"/>
      <c r="Y81" s="433"/>
      <c r="Z81" s="433"/>
    </row>
    <row r="82">
      <c r="A82" s="440"/>
      <c r="B82" s="441"/>
      <c r="C82" s="442"/>
      <c r="D82" s="443"/>
      <c r="E82" s="433"/>
      <c r="F82" s="433"/>
      <c r="G82" s="433"/>
      <c r="H82" s="433"/>
      <c r="I82" s="433"/>
      <c r="J82" s="433"/>
      <c r="K82" s="433"/>
      <c r="L82" s="433"/>
      <c r="M82" s="433"/>
      <c r="N82" s="433"/>
      <c r="O82" s="433"/>
      <c r="P82" s="433"/>
      <c r="Q82" s="433"/>
      <c r="R82" s="433"/>
      <c r="S82" s="433"/>
      <c r="T82" s="433"/>
      <c r="U82" s="433"/>
      <c r="V82" s="433"/>
      <c r="W82" s="433"/>
      <c r="X82" s="433"/>
      <c r="Y82" s="433"/>
      <c r="Z82" s="433"/>
    </row>
    <row r="83">
      <c r="A83" s="440"/>
      <c r="B83" s="441"/>
      <c r="C83" s="442"/>
      <c r="D83" s="443"/>
      <c r="E83" s="433"/>
      <c r="F83" s="433"/>
      <c r="G83" s="433"/>
      <c r="H83" s="433"/>
      <c r="I83" s="433"/>
      <c r="J83" s="433"/>
      <c r="K83" s="433"/>
      <c r="L83" s="433"/>
      <c r="M83" s="433"/>
      <c r="N83" s="433"/>
      <c r="O83" s="433"/>
      <c r="P83" s="433"/>
      <c r="Q83" s="433"/>
      <c r="R83" s="433"/>
      <c r="S83" s="433"/>
      <c r="T83" s="433"/>
      <c r="U83" s="433"/>
      <c r="V83" s="433"/>
      <c r="W83" s="433"/>
      <c r="X83" s="433"/>
      <c r="Y83" s="433"/>
      <c r="Z83" s="433"/>
    </row>
    <row r="84">
      <c r="A84" s="440"/>
      <c r="B84" s="441"/>
      <c r="C84" s="442"/>
      <c r="D84" s="443"/>
      <c r="E84" s="433"/>
      <c r="F84" s="433"/>
      <c r="G84" s="433"/>
      <c r="H84" s="433"/>
      <c r="I84" s="433"/>
      <c r="J84" s="433"/>
      <c r="K84" s="433"/>
      <c r="L84" s="433"/>
      <c r="M84" s="433"/>
      <c r="N84" s="433"/>
      <c r="O84" s="433"/>
      <c r="P84" s="433"/>
      <c r="Q84" s="433"/>
      <c r="R84" s="433"/>
      <c r="S84" s="433"/>
      <c r="T84" s="433"/>
      <c r="U84" s="433"/>
      <c r="V84" s="433"/>
      <c r="W84" s="433"/>
      <c r="X84" s="433"/>
      <c r="Y84" s="433"/>
      <c r="Z84" s="433"/>
    </row>
    <row r="85">
      <c r="A85" s="440"/>
      <c r="B85" s="441"/>
      <c r="C85" s="442"/>
      <c r="D85" s="443"/>
      <c r="E85" s="433"/>
      <c r="F85" s="433"/>
      <c r="G85" s="433"/>
      <c r="H85" s="433"/>
      <c r="I85" s="433"/>
      <c r="J85" s="433"/>
      <c r="K85" s="433"/>
      <c r="L85" s="433"/>
      <c r="M85" s="433"/>
      <c r="N85" s="433"/>
      <c r="O85" s="433"/>
      <c r="P85" s="433"/>
      <c r="Q85" s="433"/>
      <c r="R85" s="433"/>
      <c r="S85" s="433"/>
      <c r="T85" s="433"/>
      <c r="U85" s="433"/>
      <c r="V85" s="433"/>
      <c r="W85" s="433"/>
      <c r="X85" s="433"/>
      <c r="Y85" s="433"/>
      <c r="Z85" s="433"/>
    </row>
    <row r="86">
      <c r="A86" s="440"/>
      <c r="B86" s="441"/>
      <c r="C86" s="442"/>
      <c r="D86" s="443"/>
      <c r="E86" s="433"/>
      <c r="F86" s="433"/>
      <c r="G86" s="433"/>
      <c r="H86" s="433"/>
      <c r="I86" s="433"/>
      <c r="J86" s="433"/>
      <c r="K86" s="433"/>
      <c r="L86" s="433"/>
      <c r="M86" s="433"/>
      <c r="N86" s="433"/>
      <c r="O86" s="433"/>
      <c r="P86" s="433"/>
      <c r="Q86" s="433"/>
      <c r="R86" s="433"/>
      <c r="S86" s="433"/>
      <c r="T86" s="433"/>
      <c r="U86" s="433"/>
      <c r="V86" s="433"/>
      <c r="W86" s="433"/>
      <c r="X86" s="433"/>
      <c r="Y86" s="433"/>
      <c r="Z86" s="433"/>
    </row>
    <row r="87">
      <c r="A87" s="440"/>
      <c r="B87" s="441"/>
      <c r="C87" s="442"/>
      <c r="D87" s="443"/>
      <c r="E87" s="433"/>
      <c r="F87" s="433"/>
      <c r="G87" s="433"/>
      <c r="H87" s="433"/>
      <c r="I87" s="433"/>
      <c r="J87" s="433"/>
      <c r="K87" s="433"/>
      <c r="L87" s="433"/>
      <c r="M87" s="433"/>
      <c r="N87" s="433"/>
      <c r="O87" s="433"/>
      <c r="P87" s="433"/>
      <c r="Q87" s="433"/>
      <c r="R87" s="433"/>
      <c r="S87" s="433"/>
      <c r="T87" s="433"/>
      <c r="U87" s="433"/>
      <c r="V87" s="433"/>
      <c r="W87" s="433"/>
      <c r="X87" s="433"/>
      <c r="Y87" s="433"/>
      <c r="Z87" s="433"/>
    </row>
    <row r="88">
      <c r="A88" s="440"/>
      <c r="B88" s="441"/>
      <c r="C88" s="442"/>
      <c r="D88" s="443"/>
      <c r="E88" s="433"/>
      <c r="F88" s="433"/>
      <c r="G88" s="433"/>
      <c r="H88" s="433"/>
      <c r="I88" s="433"/>
      <c r="J88" s="433"/>
      <c r="K88" s="433"/>
      <c r="L88" s="433"/>
      <c r="M88" s="433"/>
      <c r="N88" s="433"/>
      <c r="O88" s="433"/>
      <c r="P88" s="433"/>
      <c r="Q88" s="433"/>
      <c r="R88" s="433"/>
      <c r="S88" s="433"/>
      <c r="T88" s="433"/>
      <c r="U88" s="433"/>
      <c r="V88" s="433"/>
      <c r="W88" s="433"/>
      <c r="X88" s="433"/>
      <c r="Y88" s="433"/>
      <c r="Z88" s="433"/>
    </row>
    <row r="89">
      <c r="A89" s="440"/>
      <c r="B89" s="441"/>
      <c r="C89" s="442"/>
      <c r="D89" s="443"/>
      <c r="E89" s="433"/>
      <c r="F89" s="433"/>
      <c r="G89" s="433"/>
      <c r="H89" s="433"/>
      <c r="I89" s="433"/>
      <c r="J89" s="433"/>
      <c r="K89" s="433"/>
      <c r="L89" s="433"/>
      <c r="M89" s="433"/>
      <c r="N89" s="433"/>
      <c r="O89" s="433"/>
      <c r="P89" s="433"/>
      <c r="Q89" s="433"/>
      <c r="R89" s="433"/>
      <c r="S89" s="433"/>
      <c r="T89" s="433"/>
      <c r="U89" s="433"/>
      <c r="V89" s="433"/>
      <c r="W89" s="433"/>
      <c r="X89" s="433"/>
      <c r="Y89" s="433"/>
      <c r="Z89" s="433"/>
    </row>
    <row r="90">
      <c r="A90" s="440"/>
      <c r="B90" s="441"/>
      <c r="C90" s="442"/>
      <c r="D90" s="443"/>
      <c r="E90" s="433"/>
      <c r="F90" s="433"/>
      <c r="G90" s="433"/>
      <c r="H90" s="433"/>
      <c r="I90" s="433"/>
      <c r="J90" s="433"/>
      <c r="K90" s="433"/>
      <c r="L90" s="433"/>
      <c r="M90" s="433"/>
      <c r="N90" s="433"/>
      <c r="O90" s="433"/>
      <c r="P90" s="433"/>
      <c r="Q90" s="433"/>
      <c r="R90" s="433"/>
      <c r="S90" s="433"/>
      <c r="T90" s="433"/>
      <c r="U90" s="433"/>
      <c r="V90" s="433"/>
      <c r="W90" s="433"/>
      <c r="X90" s="433"/>
      <c r="Y90" s="433"/>
      <c r="Z90" s="433"/>
    </row>
    <row r="91">
      <c r="A91" s="440"/>
      <c r="B91" s="441"/>
      <c r="C91" s="442"/>
      <c r="D91" s="443"/>
      <c r="E91" s="433"/>
      <c r="F91" s="433"/>
      <c r="G91" s="433"/>
      <c r="H91" s="433"/>
      <c r="I91" s="433"/>
      <c r="J91" s="433"/>
      <c r="K91" s="433"/>
      <c r="L91" s="433"/>
      <c r="M91" s="433"/>
      <c r="N91" s="433"/>
      <c r="O91" s="433"/>
      <c r="P91" s="433"/>
      <c r="Q91" s="433"/>
      <c r="R91" s="433"/>
      <c r="S91" s="433"/>
      <c r="T91" s="433"/>
      <c r="U91" s="433"/>
      <c r="V91" s="433"/>
      <c r="W91" s="433"/>
      <c r="X91" s="433"/>
      <c r="Y91" s="433"/>
      <c r="Z91" s="433"/>
    </row>
    <row r="92">
      <c r="A92" s="440"/>
      <c r="B92" s="441"/>
      <c r="C92" s="442"/>
      <c r="D92" s="443"/>
      <c r="E92" s="433"/>
      <c r="F92" s="433"/>
      <c r="G92" s="433"/>
      <c r="H92" s="433"/>
      <c r="I92" s="433"/>
      <c r="J92" s="433"/>
      <c r="K92" s="433"/>
      <c r="L92" s="433"/>
      <c r="M92" s="433"/>
      <c r="N92" s="433"/>
      <c r="O92" s="433"/>
      <c r="P92" s="433"/>
      <c r="Q92" s="433"/>
      <c r="R92" s="433"/>
      <c r="S92" s="433"/>
      <c r="T92" s="433"/>
      <c r="U92" s="433"/>
      <c r="V92" s="433"/>
      <c r="W92" s="433"/>
      <c r="X92" s="433"/>
      <c r="Y92" s="433"/>
      <c r="Z92" s="433"/>
    </row>
    <row r="93">
      <c r="A93" s="440"/>
      <c r="B93" s="441"/>
      <c r="C93" s="442"/>
      <c r="D93" s="443"/>
      <c r="E93" s="433"/>
      <c r="F93" s="433"/>
      <c r="G93" s="433"/>
      <c r="H93" s="433"/>
      <c r="I93" s="433"/>
      <c r="J93" s="433"/>
      <c r="K93" s="433"/>
      <c r="L93" s="433"/>
      <c r="M93" s="433"/>
      <c r="N93" s="433"/>
      <c r="O93" s="433"/>
      <c r="P93" s="433"/>
      <c r="Q93" s="433"/>
      <c r="R93" s="433"/>
      <c r="S93" s="433"/>
      <c r="T93" s="433"/>
      <c r="U93" s="433"/>
      <c r="V93" s="433"/>
      <c r="W93" s="433"/>
      <c r="X93" s="433"/>
      <c r="Y93" s="433"/>
      <c r="Z93" s="433"/>
    </row>
    <row r="94">
      <c r="A94" s="440"/>
      <c r="B94" s="441"/>
      <c r="C94" s="442"/>
      <c r="D94" s="443"/>
      <c r="E94" s="433"/>
      <c r="F94" s="433"/>
      <c r="G94" s="433"/>
      <c r="H94" s="433"/>
      <c r="I94" s="433"/>
      <c r="J94" s="433"/>
      <c r="K94" s="433"/>
      <c r="L94" s="433"/>
      <c r="M94" s="433"/>
      <c r="N94" s="433"/>
      <c r="O94" s="433"/>
      <c r="P94" s="433"/>
      <c r="Q94" s="433"/>
      <c r="R94" s="433"/>
      <c r="S94" s="433"/>
      <c r="T94" s="433"/>
      <c r="U94" s="433"/>
      <c r="V94" s="433"/>
      <c r="W94" s="433"/>
      <c r="X94" s="433"/>
      <c r="Y94" s="433"/>
      <c r="Z94" s="433"/>
    </row>
    <row r="95">
      <c r="A95" s="440"/>
      <c r="B95" s="441"/>
      <c r="C95" s="442"/>
      <c r="D95" s="443"/>
      <c r="E95" s="433"/>
      <c r="F95" s="433"/>
      <c r="G95" s="433"/>
      <c r="H95" s="433"/>
      <c r="I95" s="433"/>
      <c r="J95" s="433"/>
      <c r="K95" s="433"/>
      <c r="L95" s="433"/>
      <c r="M95" s="433"/>
      <c r="N95" s="433"/>
      <c r="O95" s="433"/>
      <c r="P95" s="433"/>
      <c r="Q95" s="433"/>
      <c r="R95" s="433"/>
      <c r="S95" s="433"/>
      <c r="T95" s="433"/>
      <c r="U95" s="433"/>
      <c r="V95" s="433"/>
      <c r="W95" s="433"/>
      <c r="X95" s="433"/>
      <c r="Y95" s="433"/>
      <c r="Z95" s="433"/>
    </row>
    <row r="96">
      <c r="A96" s="440"/>
      <c r="B96" s="441"/>
      <c r="C96" s="442"/>
      <c r="D96" s="443"/>
      <c r="E96" s="433"/>
      <c r="F96" s="433"/>
      <c r="G96" s="433"/>
      <c r="H96" s="433"/>
      <c r="I96" s="433"/>
      <c r="J96" s="433"/>
      <c r="K96" s="433"/>
      <c r="L96" s="433"/>
      <c r="M96" s="433"/>
      <c r="N96" s="433"/>
      <c r="O96" s="433"/>
      <c r="P96" s="433"/>
      <c r="Q96" s="433"/>
      <c r="R96" s="433"/>
      <c r="S96" s="433"/>
      <c r="T96" s="433"/>
      <c r="U96" s="433"/>
      <c r="V96" s="433"/>
      <c r="W96" s="433"/>
      <c r="X96" s="433"/>
      <c r="Y96" s="433"/>
      <c r="Z96" s="433"/>
    </row>
    <row r="97">
      <c r="A97" s="440"/>
      <c r="B97" s="441"/>
      <c r="C97" s="442"/>
      <c r="D97" s="443"/>
      <c r="E97" s="433"/>
      <c r="F97" s="433"/>
      <c r="G97" s="433"/>
      <c r="H97" s="433"/>
      <c r="I97" s="433"/>
      <c r="J97" s="433"/>
      <c r="K97" s="433"/>
      <c r="L97" s="433"/>
      <c r="M97" s="433"/>
      <c r="N97" s="433"/>
      <c r="O97" s="433"/>
      <c r="P97" s="433"/>
      <c r="Q97" s="433"/>
      <c r="R97" s="433"/>
      <c r="S97" s="433"/>
      <c r="T97" s="433"/>
      <c r="U97" s="433"/>
      <c r="V97" s="433"/>
      <c r="W97" s="433"/>
      <c r="X97" s="433"/>
      <c r="Y97" s="433"/>
      <c r="Z97" s="433"/>
    </row>
    <row r="98">
      <c r="A98" s="440"/>
      <c r="B98" s="441"/>
      <c r="C98" s="442"/>
      <c r="D98" s="443"/>
      <c r="E98" s="433"/>
      <c r="F98" s="433"/>
      <c r="G98" s="433"/>
      <c r="H98" s="433"/>
      <c r="I98" s="433"/>
      <c r="J98" s="433"/>
      <c r="K98" s="433"/>
      <c r="L98" s="433"/>
      <c r="M98" s="433"/>
      <c r="N98" s="433"/>
      <c r="O98" s="433"/>
      <c r="P98" s="433"/>
      <c r="Q98" s="433"/>
      <c r="R98" s="433"/>
      <c r="S98" s="433"/>
      <c r="T98" s="433"/>
      <c r="U98" s="433"/>
      <c r="V98" s="433"/>
      <c r="W98" s="433"/>
      <c r="X98" s="433"/>
      <c r="Y98" s="433"/>
      <c r="Z98" s="433"/>
    </row>
    <row r="99">
      <c r="A99" s="440"/>
      <c r="B99" s="441"/>
      <c r="C99" s="442"/>
      <c r="D99" s="443"/>
      <c r="E99" s="433"/>
      <c r="F99" s="433"/>
      <c r="G99" s="433"/>
      <c r="H99" s="433"/>
      <c r="I99" s="433"/>
      <c r="J99" s="433"/>
      <c r="K99" s="433"/>
      <c r="L99" s="433"/>
      <c r="M99" s="433"/>
      <c r="N99" s="433"/>
      <c r="O99" s="433"/>
      <c r="P99" s="433"/>
      <c r="Q99" s="433"/>
      <c r="R99" s="433"/>
      <c r="S99" s="433"/>
      <c r="T99" s="433"/>
      <c r="U99" s="433"/>
      <c r="V99" s="433"/>
      <c r="W99" s="433"/>
      <c r="X99" s="433"/>
      <c r="Y99" s="433"/>
      <c r="Z99" s="433"/>
    </row>
    <row r="100">
      <c r="A100" s="440"/>
      <c r="B100" s="441"/>
      <c r="C100" s="442"/>
      <c r="D100" s="44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row>
    <row r="101">
      <c r="A101" s="440"/>
      <c r="B101" s="441"/>
      <c r="C101" s="442"/>
      <c r="D101" s="44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row>
    <row r="102">
      <c r="A102" s="440"/>
      <c r="B102" s="441"/>
      <c r="C102" s="442"/>
      <c r="D102" s="44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row>
    <row r="103">
      <c r="A103" s="440"/>
      <c r="B103" s="441"/>
      <c r="C103" s="442"/>
      <c r="D103" s="44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row>
    <row r="104">
      <c r="A104" s="440"/>
      <c r="B104" s="441"/>
      <c r="C104" s="442"/>
      <c r="D104" s="44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row>
    <row r="105">
      <c r="A105" s="440"/>
      <c r="B105" s="441"/>
      <c r="C105" s="442"/>
      <c r="D105" s="44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row>
    <row r="106">
      <c r="A106" s="440"/>
      <c r="B106" s="441"/>
      <c r="C106" s="442"/>
      <c r="D106" s="44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row>
    <row r="107">
      <c r="A107" s="440"/>
      <c r="B107" s="441"/>
      <c r="C107" s="442"/>
      <c r="D107" s="44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row>
    <row r="108">
      <c r="A108" s="440"/>
      <c r="B108" s="441"/>
      <c r="C108" s="442"/>
      <c r="D108" s="44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row>
    <row r="109">
      <c r="A109" s="440"/>
      <c r="B109" s="441"/>
      <c r="C109" s="442"/>
      <c r="D109" s="44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row>
    <row r="110">
      <c r="A110" s="440"/>
      <c r="B110" s="441"/>
      <c r="C110" s="442"/>
      <c r="D110" s="44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row>
    <row r="111">
      <c r="A111" s="440"/>
      <c r="B111" s="441"/>
      <c r="C111" s="442"/>
      <c r="D111" s="44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row>
    <row r="112">
      <c r="A112" s="440"/>
      <c r="B112" s="441"/>
      <c r="C112" s="442"/>
      <c r="D112" s="44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row>
    <row r="113">
      <c r="A113" s="440"/>
      <c r="B113" s="441"/>
      <c r="C113" s="442"/>
      <c r="D113" s="44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row>
    <row r="114">
      <c r="A114" s="440"/>
      <c r="B114" s="441"/>
      <c r="C114" s="442"/>
      <c r="D114" s="44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row>
    <row r="115">
      <c r="A115" s="440"/>
      <c r="B115" s="441"/>
      <c r="C115" s="442"/>
      <c r="D115" s="44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row>
    <row r="116">
      <c r="A116" s="440"/>
      <c r="B116" s="441"/>
      <c r="C116" s="442"/>
      <c r="D116" s="44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row>
    <row r="117">
      <c r="A117" s="440"/>
      <c r="B117" s="441"/>
      <c r="C117" s="442"/>
      <c r="D117" s="44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row>
    <row r="118">
      <c r="A118" s="440"/>
      <c r="B118" s="441"/>
      <c r="C118" s="442"/>
      <c r="D118" s="44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row>
    <row r="119">
      <c r="A119" s="440"/>
      <c r="B119" s="441"/>
      <c r="C119" s="442"/>
      <c r="D119" s="44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row>
    <row r="120">
      <c r="A120" s="440"/>
      <c r="B120" s="441"/>
      <c r="C120" s="442"/>
      <c r="D120" s="44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row>
    <row r="121">
      <c r="A121" s="440"/>
      <c r="B121" s="441"/>
      <c r="C121" s="442"/>
      <c r="D121" s="44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row>
    <row r="122">
      <c r="A122" s="440"/>
      <c r="B122" s="441"/>
      <c r="C122" s="442"/>
      <c r="D122" s="44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row>
    <row r="123">
      <c r="A123" s="440"/>
      <c r="B123" s="441"/>
      <c r="C123" s="442"/>
      <c r="D123" s="44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row>
    <row r="124">
      <c r="A124" s="440"/>
      <c r="B124" s="441"/>
      <c r="C124" s="442"/>
      <c r="D124" s="44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row>
    <row r="125">
      <c r="A125" s="440"/>
      <c r="B125" s="441"/>
      <c r="C125" s="442"/>
      <c r="D125" s="44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row>
    <row r="126">
      <c r="A126" s="440"/>
      <c r="B126" s="441"/>
      <c r="C126" s="442"/>
      <c r="D126" s="44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row>
    <row r="127">
      <c r="A127" s="440"/>
      <c r="B127" s="441"/>
      <c r="C127" s="442"/>
      <c r="D127" s="44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row>
    <row r="128">
      <c r="A128" s="440"/>
      <c r="B128" s="441"/>
      <c r="C128" s="442"/>
      <c r="D128" s="44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row>
    <row r="129">
      <c r="A129" s="440"/>
      <c r="B129" s="441"/>
      <c r="C129" s="442"/>
      <c r="D129" s="44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row>
    <row r="130">
      <c r="A130" s="440"/>
      <c r="B130" s="441"/>
      <c r="C130" s="442"/>
      <c r="D130" s="44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row>
    <row r="131">
      <c r="A131" s="440"/>
      <c r="B131" s="441"/>
      <c r="C131" s="442"/>
      <c r="D131" s="44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row>
    <row r="132">
      <c r="A132" s="440"/>
      <c r="B132" s="441"/>
      <c r="C132" s="442"/>
      <c r="D132" s="44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row>
    <row r="133">
      <c r="A133" s="440"/>
      <c r="B133" s="441"/>
      <c r="C133" s="442"/>
      <c r="D133" s="44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row>
    <row r="134">
      <c r="A134" s="440"/>
      <c r="B134" s="441"/>
      <c r="C134" s="442"/>
      <c r="D134" s="44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row>
    <row r="135">
      <c r="A135" s="440"/>
      <c r="B135" s="441"/>
      <c r="C135" s="442"/>
      <c r="D135" s="44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row>
    <row r="136">
      <c r="A136" s="440"/>
      <c r="B136" s="441"/>
      <c r="C136" s="442"/>
      <c r="D136" s="44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row>
    <row r="137">
      <c r="A137" s="440"/>
      <c r="B137" s="441"/>
      <c r="C137" s="442"/>
      <c r="D137" s="44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row>
    <row r="138">
      <c r="A138" s="440"/>
      <c r="B138" s="441"/>
      <c r="C138" s="442"/>
      <c r="D138" s="44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row>
    <row r="139">
      <c r="A139" s="440"/>
      <c r="B139" s="441"/>
      <c r="C139" s="442"/>
      <c r="D139" s="44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row>
    <row r="140">
      <c r="A140" s="440"/>
      <c r="B140" s="441"/>
      <c r="C140" s="442"/>
      <c r="D140" s="44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row>
    <row r="141">
      <c r="A141" s="440"/>
      <c r="B141" s="441"/>
      <c r="C141" s="442"/>
      <c r="D141" s="44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row>
    <row r="142">
      <c r="A142" s="440"/>
      <c r="B142" s="441"/>
      <c r="C142" s="442"/>
      <c r="D142" s="44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row>
    <row r="143">
      <c r="A143" s="440"/>
      <c r="B143" s="441"/>
      <c r="C143" s="442"/>
      <c r="D143" s="44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row>
    <row r="144">
      <c r="A144" s="440"/>
      <c r="B144" s="441"/>
      <c r="C144" s="442"/>
      <c r="D144" s="44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row>
    <row r="145">
      <c r="A145" s="440"/>
      <c r="B145" s="441"/>
      <c r="C145" s="442"/>
      <c r="D145" s="44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row>
    <row r="146">
      <c r="A146" s="440"/>
      <c r="B146" s="441"/>
      <c r="C146" s="442"/>
      <c r="D146" s="44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row>
    <row r="147">
      <c r="A147" s="440"/>
      <c r="B147" s="441"/>
      <c r="C147" s="442"/>
      <c r="D147" s="44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row>
    <row r="148">
      <c r="A148" s="440"/>
      <c r="B148" s="441"/>
      <c r="C148" s="442"/>
      <c r="D148" s="44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row>
    <row r="149">
      <c r="A149" s="440"/>
      <c r="B149" s="441"/>
      <c r="C149" s="442"/>
      <c r="D149" s="44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row>
    <row r="150">
      <c r="A150" s="440"/>
      <c r="B150" s="441"/>
      <c r="C150" s="442"/>
      <c r="D150" s="44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row>
    <row r="151">
      <c r="A151" s="440"/>
      <c r="B151" s="441"/>
      <c r="C151" s="442"/>
      <c r="D151" s="44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row>
    <row r="152">
      <c r="A152" s="440"/>
      <c r="B152" s="441"/>
      <c r="C152" s="442"/>
      <c r="D152" s="44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row>
    <row r="153">
      <c r="A153" s="440"/>
      <c r="B153" s="441"/>
      <c r="C153" s="442"/>
      <c r="D153" s="44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row>
    <row r="154">
      <c r="A154" s="440"/>
      <c r="B154" s="441"/>
      <c r="C154" s="442"/>
      <c r="D154" s="44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row>
    <row r="155">
      <c r="A155" s="440"/>
      <c r="B155" s="441"/>
      <c r="C155" s="442"/>
      <c r="D155" s="44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row>
    <row r="156">
      <c r="A156" s="440"/>
      <c r="B156" s="441"/>
      <c r="C156" s="442"/>
      <c r="D156" s="44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row>
    <row r="157">
      <c r="A157" s="440"/>
      <c r="B157" s="441"/>
      <c r="C157" s="442"/>
      <c r="D157" s="44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row>
    <row r="158">
      <c r="A158" s="440"/>
      <c r="B158" s="441"/>
      <c r="C158" s="442"/>
      <c r="D158" s="44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row>
    <row r="159">
      <c r="A159" s="440"/>
      <c r="B159" s="441"/>
      <c r="C159" s="442"/>
      <c r="D159" s="44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row>
    <row r="160">
      <c r="A160" s="440"/>
      <c r="B160" s="441"/>
      <c r="C160" s="442"/>
      <c r="D160" s="44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row>
    <row r="161">
      <c r="A161" s="440"/>
      <c r="B161" s="441"/>
      <c r="C161" s="442"/>
      <c r="D161" s="44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row>
    <row r="162">
      <c r="A162" s="440"/>
      <c r="B162" s="441"/>
      <c r="C162" s="442"/>
      <c r="D162" s="44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row>
    <row r="163">
      <c r="A163" s="440"/>
      <c r="B163" s="441"/>
      <c r="C163" s="442"/>
      <c r="D163" s="443"/>
      <c r="E163" s="433"/>
      <c r="F163" s="433"/>
      <c r="G163" s="433"/>
      <c r="H163" s="433"/>
      <c r="I163" s="433"/>
      <c r="J163" s="433"/>
      <c r="K163" s="433"/>
      <c r="L163" s="433"/>
      <c r="M163" s="433"/>
      <c r="N163" s="433"/>
      <c r="O163" s="433"/>
      <c r="P163" s="433"/>
      <c r="Q163" s="433"/>
      <c r="R163" s="433"/>
      <c r="S163" s="433"/>
      <c r="T163" s="433"/>
      <c r="U163" s="433"/>
      <c r="V163" s="433"/>
      <c r="W163" s="433"/>
      <c r="X163" s="433"/>
      <c r="Y163" s="433"/>
      <c r="Z163" s="433"/>
    </row>
    <row r="164">
      <c r="A164" s="440"/>
      <c r="B164" s="441"/>
      <c r="C164" s="442"/>
      <c r="D164" s="443"/>
      <c r="E164" s="433"/>
      <c r="F164" s="433"/>
      <c r="G164" s="433"/>
      <c r="H164" s="433"/>
      <c r="I164" s="433"/>
      <c r="J164" s="433"/>
      <c r="K164" s="433"/>
      <c r="L164" s="433"/>
      <c r="M164" s="433"/>
      <c r="N164" s="433"/>
      <c r="O164" s="433"/>
      <c r="P164" s="433"/>
      <c r="Q164" s="433"/>
      <c r="R164" s="433"/>
      <c r="S164" s="433"/>
      <c r="T164" s="433"/>
      <c r="U164" s="433"/>
      <c r="V164" s="433"/>
      <c r="W164" s="433"/>
      <c r="X164" s="433"/>
      <c r="Y164" s="433"/>
      <c r="Z164" s="433"/>
    </row>
    <row r="165">
      <c r="A165" s="440"/>
      <c r="B165" s="441"/>
      <c r="C165" s="442"/>
      <c r="D165" s="443"/>
      <c r="E165" s="433"/>
      <c r="F165" s="433"/>
      <c r="G165" s="433"/>
      <c r="H165" s="433"/>
      <c r="I165" s="433"/>
      <c r="J165" s="433"/>
      <c r="K165" s="433"/>
      <c r="L165" s="433"/>
      <c r="M165" s="433"/>
      <c r="N165" s="433"/>
      <c r="O165" s="433"/>
      <c r="P165" s="433"/>
      <c r="Q165" s="433"/>
      <c r="R165" s="433"/>
      <c r="S165" s="433"/>
      <c r="T165" s="433"/>
      <c r="U165" s="433"/>
      <c r="V165" s="433"/>
      <c r="W165" s="433"/>
      <c r="X165" s="433"/>
      <c r="Y165" s="433"/>
      <c r="Z165" s="433"/>
    </row>
    <row r="166">
      <c r="A166" s="440"/>
      <c r="B166" s="441"/>
      <c r="C166" s="442"/>
      <c r="D166" s="443"/>
      <c r="E166" s="433"/>
      <c r="F166" s="433"/>
      <c r="G166" s="433"/>
      <c r="H166" s="433"/>
      <c r="I166" s="433"/>
      <c r="J166" s="433"/>
      <c r="K166" s="433"/>
      <c r="L166" s="433"/>
      <c r="M166" s="433"/>
      <c r="N166" s="433"/>
      <c r="O166" s="433"/>
      <c r="P166" s="433"/>
      <c r="Q166" s="433"/>
      <c r="R166" s="433"/>
      <c r="S166" s="433"/>
      <c r="T166" s="433"/>
      <c r="U166" s="433"/>
      <c r="V166" s="433"/>
      <c r="W166" s="433"/>
      <c r="X166" s="433"/>
      <c r="Y166" s="433"/>
      <c r="Z166" s="433"/>
    </row>
    <row r="167">
      <c r="A167" s="440"/>
      <c r="B167" s="441"/>
      <c r="C167" s="442"/>
      <c r="D167" s="443"/>
      <c r="E167" s="433"/>
      <c r="F167" s="433"/>
      <c r="G167" s="433"/>
      <c r="H167" s="433"/>
      <c r="I167" s="433"/>
      <c r="J167" s="433"/>
      <c r="K167" s="433"/>
      <c r="L167" s="433"/>
      <c r="M167" s="433"/>
      <c r="N167" s="433"/>
      <c r="O167" s="433"/>
      <c r="P167" s="433"/>
      <c r="Q167" s="433"/>
      <c r="R167" s="433"/>
      <c r="S167" s="433"/>
      <c r="T167" s="433"/>
      <c r="U167" s="433"/>
      <c r="V167" s="433"/>
      <c r="W167" s="433"/>
      <c r="X167" s="433"/>
      <c r="Y167" s="433"/>
      <c r="Z167" s="433"/>
    </row>
    <row r="168">
      <c r="A168" s="440"/>
      <c r="B168" s="441"/>
      <c r="C168" s="442"/>
      <c r="D168" s="443"/>
      <c r="E168" s="433"/>
      <c r="F168" s="433"/>
      <c r="G168" s="433"/>
      <c r="H168" s="433"/>
      <c r="I168" s="433"/>
      <c r="J168" s="433"/>
      <c r="K168" s="433"/>
      <c r="L168" s="433"/>
      <c r="M168" s="433"/>
      <c r="N168" s="433"/>
      <c r="O168" s="433"/>
      <c r="P168" s="433"/>
      <c r="Q168" s="433"/>
      <c r="R168" s="433"/>
      <c r="S168" s="433"/>
      <c r="T168" s="433"/>
      <c r="U168" s="433"/>
      <c r="V168" s="433"/>
      <c r="W168" s="433"/>
      <c r="X168" s="433"/>
      <c r="Y168" s="433"/>
      <c r="Z168" s="433"/>
    </row>
    <row r="169">
      <c r="A169" s="440"/>
      <c r="B169" s="441"/>
      <c r="C169" s="442"/>
      <c r="D169" s="443"/>
      <c r="E169" s="433"/>
      <c r="F169" s="433"/>
      <c r="G169" s="433"/>
      <c r="H169" s="433"/>
      <c r="I169" s="433"/>
      <c r="J169" s="433"/>
      <c r="K169" s="433"/>
      <c r="L169" s="433"/>
      <c r="M169" s="433"/>
      <c r="N169" s="433"/>
      <c r="O169" s="433"/>
      <c r="P169" s="433"/>
      <c r="Q169" s="433"/>
      <c r="R169" s="433"/>
      <c r="S169" s="433"/>
      <c r="T169" s="433"/>
      <c r="U169" s="433"/>
      <c r="V169" s="433"/>
      <c r="W169" s="433"/>
      <c r="X169" s="433"/>
      <c r="Y169" s="433"/>
      <c r="Z169" s="433"/>
    </row>
    <row r="170">
      <c r="A170" s="440"/>
      <c r="B170" s="441"/>
      <c r="C170" s="442"/>
      <c r="D170" s="443"/>
      <c r="E170" s="433"/>
      <c r="F170" s="433"/>
      <c r="G170" s="433"/>
      <c r="H170" s="433"/>
      <c r="I170" s="433"/>
      <c r="J170" s="433"/>
      <c r="K170" s="433"/>
      <c r="L170" s="433"/>
      <c r="M170" s="433"/>
      <c r="N170" s="433"/>
      <c r="O170" s="433"/>
      <c r="P170" s="433"/>
      <c r="Q170" s="433"/>
      <c r="R170" s="433"/>
      <c r="S170" s="433"/>
      <c r="T170" s="433"/>
      <c r="U170" s="433"/>
      <c r="V170" s="433"/>
      <c r="W170" s="433"/>
      <c r="X170" s="433"/>
      <c r="Y170" s="433"/>
      <c r="Z170" s="433"/>
    </row>
    <row r="171">
      <c r="A171" s="440"/>
      <c r="B171" s="441"/>
      <c r="C171" s="442"/>
      <c r="D171" s="443"/>
      <c r="E171" s="433"/>
      <c r="F171" s="433"/>
      <c r="G171" s="433"/>
      <c r="H171" s="433"/>
      <c r="I171" s="433"/>
      <c r="J171" s="433"/>
      <c r="K171" s="433"/>
      <c r="L171" s="433"/>
      <c r="M171" s="433"/>
      <c r="N171" s="433"/>
      <c r="O171" s="433"/>
      <c r="P171" s="433"/>
      <c r="Q171" s="433"/>
      <c r="R171" s="433"/>
      <c r="S171" s="433"/>
      <c r="T171" s="433"/>
      <c r="U171" s="433"/>
      <c r="V171" s="433"/>
      <c r="W171" s="433"/>
      <c r="X171" s="433"/>
      <c r="Y171" s="433"/>
      <c r="Z171" s="433"/>
    </row>
    <row r="172">
      <c r="A172" s="440"/>
      <c r="B172" s="441"/>
      <c r="C172" s="442"/>
      <c r="D172" s="443"/>
      <c r="E172" s="433"/>
      <c r="F172" s="433"/>
      <c r="G172" s="433"/>
      <c r="H172" s="433"/>
      <c r="I172" s="433"/>
      <c r="J172" s="433"/>
      <c r="K172" s="433"/>
      <c r="L172" s="433"/>
      <c r="M172" s="433"/>
      <c r="N172" s="433"/>
      <c r="O172" s="433"/>
      <c r="P172" s="433"/>
      <c r="Q172" s="433"/>
      <c r="R172" s="433"/>
      <c r="S172" s="433"/>
      <c r="T172" s="433"/>
      <c r="U172" s="433"/>
      <c r="V172" s="433"/>
      <c r="W172" s="433"/>
      <c r="X172" s="433"/>
      <c r="Y172" s="433"/>
      <c r="Z172" s="433"/>
    </row>
    <row r="173">
      <c r="A173" s="440"/>
      <c r="B173" s="441"/>
      <c r="C173" s="442"/>
      <c r="D173" s="443"/>
      <c r="E173" s="433"/>
      <c r="F173" s="433"/>
      <c r="G173" s="433"/>
      <c r="H173" s="433"/>
      <c r="I173" s="433"/>
      <c r="J173" s="433"/>
      <c r="K173" s="433"/>
      <c r="L173" s="433"/>
      <c r="M173" s="433"/>
      <c r="N173" s="433"/>
      <c r="O173" s="433"/>
      <c r="P173" s="433"/>
      <c r="Q173" s="433"/>
      <c r="R173" s="433"/>
      <c r="S173" s="433"/>
      <c r="T173" s="433"/>
      <c r="U173" s="433"/>
      <c r="V173" s="433"/>
      <c r="W173" s="433"/>
      <c r="X173" s="433"/>
      <c r="Y173" s="433"/>
      <c r="Z173" s="433"/>
    </row>
    <row r="174">
      <c r="A174" s="440"/>
      <c r="B174" s="441"/>
      <c r="C174" s="442"/>
      <c r="D174" s="443"/>
      <c r="E174" s="433"/>
      <c r="F174" s="433"/>
      <c r="G174" s="433"/>
      <c r="H174" s="433"/>
      <c r="I174" s="433"/>
      <c r="J174" s="433"/>
      <c r="K174" s="433"/>
      <c r="L174" s="433"/>
      <c r="M174" s="433"/>
      <c r="N174" s="433"/>
      <c r="O174" s="433"/>
      <c r="P174" s="433"/>
      <c r="Q174" s="433"/>
      <c r="R174" s="433"/>
      <c r="S174" s="433"/>
      <c r="T174" s="433"/>
      <c r="U174" s="433"/>
      <c r="V174" s="433"/>
      <c r="W174" s="433"/>
      <c r="X174" s="433"/>
      <c r="Y174" s="433"/>
      <c r="Z174" s="433"/>
    </row>
    <row r="175">
      <c r="A175" s="440"/>
      <c r="B175" s="441"/>
      <c r="C175" s="442"/>
      <c r="D175" s="443"/>
      <c r="E175" s="433"/>
      <c r="F175" s="433"/>
      <c r="G175" s="433"/>
      <c r="H175" s="433"/>
      <c r="I175" s="433"/>
      <c r="J175" s="433"/>
      <c r="K175" s="433"/>
      <c r="L175" s="433"/>
      <c r="M175" s="433"/>
      <c r="N175" s="433"/>
      <c r="O175" s="433"/>
      <c r="P175" s="433"/>
      <c r="Q175" s="433"/>
      <c r="R175" s="433"/>
      <c r="S175" s="433"/>
      <c r="T175" s="433"/>
      <c r="U175" s="433"/>
      <c r="V175" s="433"/>
      <c r="W175" s="433"/>
      <c r="X175" s="433"/>
      <c r="Y175" s="433"/>
      <c r="Z175" s="433"/>
    </row>
    <row r="176">
      <c r="A176" s="440"/>
      <c r="B176" s="441"/>
      <c r="C176" s="442"/>
      <c r="D176" s="443"/>
      <c r="E176" s="433"/>
      <c r="F176" s="433"/>
      <c r="G176" s="433"/>
      <c r="H176" s="433"/>
      <c r="I176" s="433"/>
      <c r="J176" s="433"/>
      <c r="K176" s="433"/>
      <c r="L176" s="433"/>
      <c r="M176" s="433"/>
      <c r="N176" s="433"/>
      <c r="O176" s="433"/>
      <c r="P176" s="433"/>
      <c r="Q176" s="433"/>
      <c r="R176" s="433"/>
      <c r="S176" s="433"/>
      <c r="T176" s="433"/>
      <c r="U176" s="433"/>
      <c r="V176" s="433"/>
      <c r="W176" s="433"/>
      <c r="X176" s="433"/>
      <c r="Y176" s="433"/>
      <c r="Z176" s="433"/>
    </row>
    <row r="177">
      <c r="A177" s="440"/>
      <c r="B177" s="441"/>
      <c r="C177" s="442"/>
      <c r="D177" s="443"/>
      <c r="E177" s="433"/>
      <c r="F177" s="433"/>
      <c r="G177" s="433"/>
      <c r="H177" s="433"/>
      <c r="I177" s="433"/>
      <c r="J177" s="433"/>
      <c r="K177" s="433"/>
      <c r="L177" s="433"/>
      <c r="M177" s="433"/>
      <c r="N177" s="433"/>
      <c r="O177" s="433"/>
      <c r="P177" s="433"/>
      <c r="Q177" s="433"/>
      <c r="R177" s="433"/>
      <c r="S177" s="433"/>
      <c r="T177" s="433"/>
      <c r="U177" s="433"/>
      <c r="V177" s="433"/>
      <c r="W177" s="433"/>
      <c r="X177" s="433"/>
      <c r="Y177" s="433"/>
      <c r="Z177" s="433"/>
    </row>
    <row r="178">
      <c r="A178" s="440"/>
      <c r="B178" s="441"/>
      <c r="C178" s="442"/>
      <c r="D178" s="443"/>
      <c r="E178" s="433"/>
      <c r="F178" s="433"/>
      <c r="G178" s="433"/>
      <c r="H178" s="433"/>
      <c r="I178" s="433"/>
      <c r="J178" s="433"/>
      <c r="K178" s="433"/>
      <c r="L178" s="433"/>
      <c r="M178" s="433"/>
      <c r="N178" s="433"/>
      <c r="O178" s="433"/>
      <c r="P178" s="433"/>
      <c r="Q178" s="433"/>
      <c r="R178" s="433"/>
      <c r="S178" s="433"/>
      <c r="T178" s="433"/>
      <c r="U178" s="433"/>
      <c r="V178" s="433"/>
      <c r="W178" s="433"/>
      <c r="X178" s="433"/>
      <c r="Y178" s="433"/>
      <c r="Z178" s="433"/>
    </row>
    <row r="179">
      <c r="A179" s="440"/>
      <c r="B179" s="441"/>
      <c r="C179" s="442"/>
      <c r="D179" s="443"/>
      <c r="E179" s="433"/>
      <c r="F179" s="433"/>
      <c r="G179" s="433"/>
      <c r="H179" s="433"/>
      <c r="I179" s="433"/>
      <c r="J179" s="433"/>
      <c r="K179" s="433"/>
      <c r="L179" s="433"/>
      <c r="M179" s="433"/>
      <c r="N179" s="433"/>
      <c r="O179" s="433"/>
      <c r="P179" s="433"/>
      <c r="Q179" s="433"/>
      <c r="R179" s="433"/>
      <c r="S179" s="433"/>
      <c r="T179" s="433"/>
      <c r="U179" s="433"/>
      <c r="V179" s="433"/>
      <c r="W179" s="433"/>
      <c r="X179" s="433"/>
      <c r="Y179" s="433"/>
      <c r="Z179" s="433"/>
    </row>
    <row r="180">
      <c r="A180" s="440"/>
      <c r="B180" s="441"/>
      <c r="C180" s="442"/>
      <c r="D180" s="443"/>
      <c r="E180" s="433"/>
      <c r="F180" s="433"/>
      <c r="G180" s="433"/>
      <c r="H180" s="433"/>
      <c r="I180" s="433"/>
      <c r="J180" s="433"/>
      <c r="K180" s="433"/>
      <c r="L180" s="433"/>
      <c r="M180" s="433"/>
      <c r="N180" s="433"/>
      <c r="O180" s="433"/>
      <c r="P180" s="433"/>
      <c r="Q180" s="433"/>
      <c r="R180" s="433"/>
      <c r="S180" s="433"/>
      <c r="T180" s="433"/>
      <c r="U180" s="433"/>
      <c r="V180" s="433"/>
      <c r="W180" s="433"/>
      <c r="X180" s="433"/>
      <c r="Y180" s="433"/>
      <c r="Z180" s="433"/>
    </row>
    <row r="181">
      <c r="A181" s="440"/>
      <c r="B181" s="441"/>
      <c r="C181" s="442"/>
      <c r="D181" s="443"/>
      <c r="E181" s="433"/>
      <c r="F181" s="433"/>
      <c r="G181" s="433"/>
      <c r="H181" s="433"/>
      <c r="I181" s="433"/>
      <c r="J181" s="433"/>
      <c r="K181" s="433"/>
      <c r="L181" s="433"/>
      <c r="M181" s="433"/>
      <c r="N181" s="433"/>
      <c r="O181" s="433"/>
      <c r="P181" s="433"/>
      <c r="Q181" s="433"/>
      <c r="R181" s="433"/>
      <c r="S181" s="433"/>
      <c r="T181" s="433"/>
      <c r="U181" s="433"/>
      <c r="V181" s="433"/>
      <c r="W181" s="433"/>
      <c r="X181" s="433"/>
      <c r="Y181" s="433"/>
      <c r="Z181" s="433"/>
    </row>
    <row r="182">
      <c r="A182" s="440"/>
      <c r="B182" s="441"/>
      <c r="C182" s="442"/>
      <c r="D182" s="443"/>
      <c r="E182" s="433"/>
      <c r="F182" s="433"/>
      <c r="G182" s="433"/>
      <c r="H182" s="433"/>
      <c r="I182" s="433"/>
      <c r="J182" s="433"/>
      <c r="K182" s="433"/>
      <c r="L182" s="433"/>
      <c r="M182" s="433"/>
      <c r="N182" s="433"/>
      <c r="O182" s="433"/>
      <c r="P182" s="433"/>
      <c r="Q182" s="433"/>
      <c r="R182" s="433"/>
      <c r="S182" s="433"/>
      <c r="T182" s="433"/>
      <c r="U182" s="433"/>
      <c r="V182" s="433"/>
      <c r="W182" s="433"/>
      <c r="X182" s="433"/>
      <c r="Y182" s="433"/>
      <c r="Z182" s="433"/>
    </row>
    <row r="183">
      <c r="A183" s="440"/>
      <c r="B183" s="441"/>
      <c r="C183" s="442"/>
      <c r="D183" s="443"/>
      <c r="E183" s="433"/>
      <c r="F183" s="433"/>
      <c r="G183" s="433"/>
      <c r="H183" s="433"/>
      <c r="I183" s="433"/>
      <c r="J183" s="433"/>
      <c r="K183" s="433"/>
      <c r="L183" s="433"/>
      <c r="M183" s="433"/>
      <c r="N183" s="433"/>
      <c r="O183" s="433"/>
      <c r="P183" s="433"/>
      <c r="Q183" s="433"/>
      <c r="R183" s="433"/>
      <c r="S183" s="433"/>
      <c r="T183" s="433"/>
      <c r="U183" s="433"/>
      <c r="V183" s="433"/>
      <c r="W183" s="433"/>
      <c r="X183" s="433"/>
      <c r="Y183" s="433"/>
      <c r="Z183" s="433"/>
    </row>
    <row r="184">
      <c r="A184" s="440"/>
      <c r="B184" s="441"/>
      <c r="C184" s="442"/>
      <c r="D184" s="443"/>
      <c r="E184" s="433"/>
      <c r="F184" s="433"/>
      <c r="G184" s="433"/>
      <c r="H184" s="433"/>
      <c r="I184" s="433"/>
      <c r="J184" s="433"/>
      <c r="K184" s="433"/>
      <c r="L184" s="433"/>
      <c r="M184" s="433"/>
      <c r="N184" s="433"/>
      <c r="O184" s="433"/>
      <c r="P184" s="433"/>
      <c r="Q184" s="433"/>
      <c r="R184" s="433"/>
      <c r="S184" s="433"/>
      <c r="T184" s="433"/>
      <c r="U184" s="433"/>
      <c r="V184" s="433"/>
      <c r="W184" s="433"/>
      <c r="X184" s="433"/>
      <c r="Y184" s="433"/>
      <c r="Z184" s="433"/>
    </row>
    <row r="185">
      <c r="A185" s="440"/>
      <c r="B185" s="441"/>
      <c r="C185" s="442"/>
      <c r="D185" s="443"/>
      <c r="E185" s="433"/>
      <c r="F185" s="433"/>
      <c r="G185" s="433"/>
      <c r="H185" s="433"/>
      <c r="I185" s="433"/>
      <c r="J185" s="433"/>
      <c r="K185" s="433"/>
      <c r="L185" s="433"/>
      <c r="M185" s="433"/>
      <c r="N185" s="433"/>
      <c r="O185" s="433"/>
      <c r="P185" s="433"/>
      <c r="Q185" s="433"/>
      <c r="R185" s="433"/>
      <c r="S185" s="433"/>
      <c r="T185" s="433"/>
      <c r="U185" s="433"/>
      <c r="V185" s="433"/>
      <c r="W185" s="433"/>
      <c r="X185" s="433"/>
      <c r="Y185" s="433"/>
      <c r="Z185" s="433"/>
    </row>
    <row r="186">
      <c r="A186" s="440"/>
      <c r="B186" s="441"/>
      <c r="C186" s="442"/>
      <c r="D186" s="443"/>
      <c r="E186" s="433"/>
      <c r="F186" s="433"/>
      <c r="G186" s="433"/>
      <c r="H186" s="433"/>
      <c r="I186" s="433"/>
      <c r="J186" s="433"/>
      <c r="K186" s="433"/>
      <c r="L186" s="433"/>
      <c r="M186" s="433"/>
      <c r="N186" s="433"/>
      <c r="O186" s="433"/>
      <c r="P186" s="433"/>
      <c r="Q186" s="433"/>
      <c r="R186" s="433"/>
      <c r="S186" s="433"/>
      <c r="T186" s="433"/>
      <c r="U186" s="433"/>
      <c r="V186" s="433"/>
      <c r="W186" s="433"/>
      <c r="X186" s="433"/>
      <c r="Y186" s="433"/>
      <c r="Z186" s="433"/>
    </row>
    <row r="187">
      <c r="A187" s="440"/>
      <c r="B187" s="441"/>
      <c r="C187" s="442"/>
      <c r="D187" s="443"/>
      <c r="E187" s="433"/>
      <c r="F187" s="433"/>
      <c r="G187" s="433"/>
      <c r="H187" s="433"/>
      <c r="I187" s="433"/>
      <c r="J187" s="433"/>
      <c r="K187" s="433"/>
      <c r="L187" s="433"/>
      <c r="M187" s="433"/>
      <c r="N187" s="433"/>
      <c r="O187" s="433"/>
      <c r="P187" s="433"/>
      <c r="Q187" s="433"/>
      <c r="R187" s="433"/>
      <c r="S187" s="433"/>
      <c r="T187" s="433"/>
      <c r="U187" s="433"/>
      <c r="V187" s="433"/>
      <c r="W187" s="433"/>
      <c r="X187" s="433"/>
      <c r="Y187" s="433"/>
      <c r="Z187" s="433"/>
    </row>
    <row r="188">
      <c r="A188" s="440"/>
      <c r="B188" s="441"/>
      <c r="C188" s="442"/>
      <c r="D188" s="443"/>
      <c r="E188" s="433"/>
      <c r="F188" s="433"/>
      <c r="G188" s="433"/>
      <c r="H188" s="433"/>
      <c r="I188" s="433"/>
      <c r="J188" s="433"/>
      <c r="K188" s="433"/>
      <c r="L188" s="433"/>
      <c r="M188" s="433"/>
      <c r="N188" s="433"/>
      <c r="O188" s="433"/>
      <c r="P188" s="433"/>
      <c r="Q188" s="433"/>
      <c r="R188" s="433"/>
      <c r="S188" s="433"/>
      <c r="T188" s="433"/>
      <c r="U188" s="433"/>
      <c r="V188" s="433"/>
      <c r="W188" s="433"/>
      <c r="X188" s="433"/>
      <c r="Y188" s="433"/>
      <c r="Z188" s="433"/>
    </row>
    <row r="189">
      <c r="A189" s="440"/>
      <c r="B189" s="441"/>
      <c r="C189" s="442"/>
      <c r="D189" s="443"/>
      <c r="E189" s="433"/>
      <c r="F189" s="433"/>
      <c r="G189" s="433"/>
      <c r="H189" s="433"/>
      <c r="I189" s="433"/>
      <c r="J189" s="433"/>
      <c r="K189" s="433"/>
      <c r="L189" s="433"/>
      <c r="M189" s="433"/>
      <c r="N189" s="433"/>
      <c r="O189" s="433"/>
      <c r="P189" s="433"/>
      <c r="Q189" s="433"/>
      <c r="R189" s="433"/>
      <c r="S189" s="433"/>
      <c r="T189" s="433"/>
      <c r="U189" s="433"/>
      <c r="V189" s="433"/>
      <c r="W189" s="433"/>
      <c r="X189" s="433"/>
      <c r="Y189" s="433"/>
      <c r="Z189" s="433"/>
    </row>
    <row r="190">
      <c r="A190" s="440"/>
      <c r="B190" s="441"/>
      <c r="C190" s="442"/>
      <c r="D190" s="443"/>
      <c r="E190" s="433"/>
      <c r="F190" s="433"/>
      <c r="G190" s="433"/>
      <c r="H190" s="433"/>
      <c r="I190" s="433"/>
      <c r="J190" s="433"/>
      <c r="K190" s="433"/>
      <c r="L190" s="433"/>
      <c r="M190" s="433"/>
      <c r="N190" s="433"/>
      <c r="O190" s="433"/>
      <c r="P190" s="433"/>
      <c r="Q190" s="433"/>
      <c r="R190" s="433"/>
      <c r="S190" s="433"/>
      <c r="T190" s="433"/>
      <c r="U190" s="433"/>
      <c r="V190" s="433"/>
      <c r="W190" s="433"/>
      <c r="X190" s="433"/>
      <c r="Y190" s="433"/>
      <c r="Z190" s="433"/>
    </row>
    <row r="191">
      <c r="A191" s="440"/>
      <c r="B191" s="441"/>
      <c r="C191" s="442"/>
      <c r="D191" s="443"/>
      <c r="E191" s="433"/>
      <c r="F191" s="433"/>
      <c r="G191" s="433"/>
      <c r="H191" s="433"/>
      <c r="I191" s="433"/>
      <c r="J191" s="433"/>
      <c r="K191" s="433"/>
      <c r="L191" s="433"/>
      <c r="M191" s="433"/>
      <c r="N191" s="433"/>
      <c r="O191" s="433"/>
      <c r="P191" s="433"/>
      <c r="Q191" s="433"/>
      <c r="R191" s="433"/>
      <c r="S191" s="433"/>
      <c r="T191" s="433"/>
      <c r="U191" s="433"/>
      <c r="V191" s="433"/>
      <c r="W191" s="433"/>
      <c r="X191" s="433"/>
      <c r="Y191" s="433"/>
      <c r="Z191" s="433"/>
    </row>
    <row r="192">
      <c r="A192" s="440"/>
      <c r="B192" s="441"/>
      <c r="C192" s="442"/>
      <c r="D192" s="443"/>
      <c r="E192" s="433"/>
      <c r="F192" s="433"/>
      <c r="G192" s="433"/>
      <c r="H192" s="433"/>
      <c r="I192" s="433"/>
      <c r="J192" s="433"/>
      <c r="K192" s="433"/>
      <c r="L192" s="433"/>
      <c r="M192" s="433"/>
      <c r="N192" s="433"/>
      <c r="O192" s="433"/>
      <c r="P192" s="433"/>
      <c r="Q192" s="433"/>
      <c r="R192" s="433"/>
      <c r="S192" s="433"/>
      <c r="T192" s="433"/>
      <c r="U192" s="433"/>
      <c r="V192" s="433"/>
      <c r="W192" s="433"/>
      <c r="X192" s="433"/>
      <c r="Y192" s="433"/>
      <c r="Z192" s="433"/>
    </row>
    <row r="193">
      <c r="A193" s="440"/>
      <c r="B193" s="441"/>
      <c r="C193" s="442"/>
      <c r="D193" s="443"/>
      <c r="E193" s="433"/>
      <c r="F193" s="433"/>
      <c r="G193" s="433"/>
      <c r="H193" s="433"/>
      <c r="I193" s="433"/>
      <c r="J193" s="433"/>
      <c r="K193" s="433"/>
      <c r="L193" s="433"/>
      <c r="M193" s="433"/>
      <c r="N193" s="433"/>
      <c r="O193" s="433"/>
      <c r="P193" s="433"/>
      <c r="Q193" s="433"/>
      <c r="R193" s="433"/>
      <c r="S193" s="433"/>
      <c r="T193" s="433"/>
      <c r="U193" s="433"/>
      <c r="V193" s="433"/>
      <c r="W193" s="433"/>
      <c r="X193" s="433"/>
      <c r="Y193" s="433"/>
      <c r="Z193" s="433"/>
    </row>
    <row r="194">
      <c r="A194" s="440"/>
      <c r="B194" s="441"/>
      <c r="C194" s="442"/>
      <c r="D194" s="443"/>
      <c r="E194" s="433"/>
      <c r="F194" s="433"/>
      <c r="G194" s="433"/>
      <c r="H194" s="433"/>
      <c r="I194" s="433"/>
      <c r="J194" s="433"/>
      <c r="K194" s="433"/>
      <c r="L194" s="433"/>
      <c r="M194" s="433"/>
      <c r="N194" s="433"/>
      <c r="O194" s="433"/>
      <c r="P194" s="433"/>
      <c r="Q194" s="433"/>
      <c r="R194" s="433"/>
      <c r="S194" s="433"/>
      <c r="T194" s="433"/>
      <c r="U194" s="433"/>
      <c r="V194" s="433"/>
      <c r="W194" s="433"/>
      <c r="X194" s="433"/>
      <c r="Y194" s="433"/>
      <c r="Z194" s="433"/>
    </row>
    <row r="195">
      <c r="A195" s="440"/>
      <c r="B195" s="441"/>
      <c r="C195" s="442"/>
      <c r="D195" s="443"/>
      <c r="E195" s="433"/>
      <c r="F195" s="433"/>
      <c r="G195" s="433"/>
      <c r="H195" s="433"/>
      <c r="I195" s="433"/>
      <c r="J195" s="433"/>
      <c r="K195" s="433"/>
      <c r="L195" s="433"/>
      <c r="M195" s="433"/>
      <c r="N195" s="433"/>
      <c r="O195" s="433"/>
      <c r="P195" s="433"/>
      <c r="Q195" s="433"/>
      <c r="R195" s="433"/>
      <c r="S195" s="433"/>
      <c r="T195" s="433"/>
      <c r="U195" s="433"/>
      <c r="V195" s="433"/>
      <c r="W195" s="433"/>
      <c r="X195" s="433"/>
      <c r="Y195" s="433"/>
      <c r="Z195" s="433"/>
    </row>
    <row r="196">
      <c r="A196" s="440"/>
      <c r="B196" s="441"/>
      <c r="C196" s="442"/>
      <c r="D196" s="443"/>
      <c r="E196" s="433"/>
      <c r="F196" s="433"/>
      <c r="G196" s="433"/>
      <c r="H196" s="433"/>
      <c r="I196" s="433"/>
      <c r="J196" s="433"/>
      <c r="K196" s="433"/>
      <c r="L196" s="433"/>
      <c r="M196" s="433"/>
      <c r="N196" s="433"/>
      <c r="O196" s="433"/>
      <c r="P196" s="433"/>
      <c r="Q196" s="433"/>
      <c r="R196" s="433"/>
      <c r="S196" s="433"/>
      <c r="T196" s="433"/>
      <c r="U196" s="433"/>
      <c r="V196" s="433"/>
      <c r="W196" s="433"/>
      <c r="X196" s="433"/>
      <c r="Y196" s="433"/>
      <c r="Z196" s="433"/>
    </row>
    <row r="197">
      <c r="A197" s="440"/>
      <c r="B197" s="441"/>
      <c r="C197" s="442"/>
      <c r="D197" s="443"/>
      <c r="E197" s="433"/>
      <c r="F197" s="433"/>
      <c r="G197" s="433"/>
      <c r="H197" s="433"/>
      <c r="I197" s="433"/>
      <c r="J197" s="433"/>
      <c r="K197" s="433"/>
      <c r="L197" s="433"/>
      <c r="M197" s="433"/>
      <c r="N197" s="433"/>
      <c r="O197" s="433"/>
      <c r="P197" s="433"/>
      <c r="Q197" s="433"/>
      <c r="R197" s="433"/>
      <c r="S197" s="433"/>
      <c r="T197" s="433"/>
      <c r="U197" s="433"/>
      <c r="V197" s="433"/>
      <c r="W197" s="433"/>
      <c r="X197" s="433"/>
      <c r="Y197" s="433"/>
      <c r="Z197" s="433"/>
    </row>
    <row r="198">
      <c r="A198" s="440"/>
      <c r="B198" s="441"/>
      <c r="C198" s="442"/>
      <c r="D198" s="443"/>
      <c r="E198" s="433"/>
      <c r="F198" s="433"/>
      <c r="G198" s="433"/>
      <c r="H198" s="433"/>
      <c r="I198" s="433"/>
      <c r="J198" s="433"/>
      <c r="K198" s="433"/>
      <c r="L198" s="433"/>
      <c r="M198" s="433"/>
      <c r="N198" s="433"/>
      <c r="O198" s="433"/>
      <c r="P198" s="433"/>
      <c r="Q198" s="433"/>
      <c r="R198" s="433"/>
      <c r="S198" s="433"/>
      <c r="T198" s="433"/>
      <c r="U198" s="433"/>
      <c r="V198" s="433"/>
      <c r="W198" s="433"/>
      <c r="X198" s="433"/>
      <c r="Y198" s="433"/>
      <c r="Z198" s="433"/>
    </row>
    <row r="199">
      <c r="A199" s="440"/>
      <c r="B199" s="441"/>
      <c r="C199" s="442"/>
      <c r="D199" s="443"/>
      <c r="E199" s="433"/>
      <c r="F199" s="433"/>
      <c r="G199" s="433"/>
      <c r="H199" s="433"/>
      <c r="I199" s="433"/>
      <c r="J199" s="433"/>
      <c r="K199" s="433"/>
      <c r="L199" s="433"/>
      <c r="M199" s="433"/>
      <c r="N199" s="433"/>
      <c r="O199" s="433"/>
      <c r="P199" s="433"/>
      <c r="Q199" s="433"/>
      <c r="R199" s="433"/>
      <c r="S199" s="433"/>
      <c r="T199" s="433"/>
      <c r="U199" s="433"/>
      <c r="V199" s="433"/>
      <c r="W199" s="433"/>
      <c r="X199" s="433"/>
      <c r="Y199" s="433"/>
      <c r="Z199" s="433"/>
    </row>
    <row r="200">
      <c r="A200" s="440"/>
      <c r="B200" s="441"/>
      <c r="C200" s="442"/>
      <c r="D200" s="443"/>
      <c r="E200" s="433"/>
      <c r="F200" s="433"/>
      <c r="G200" s="433"/>
      <c r="H200" s="433"/>
      <c r="I200" s="433"/>
      <c r="J200" s="433"/>
      <c r="K200" s="433"/>
      <c r="L200" s="433"/>
      <c r="M200" s="433"/>
      <c r="N200" s="433"/>
      <c r="O200" s="433"/>
      <c r="P200" s="433"/>
      <c r="Q200" s="433"/>
      <c r="R200" s="433"/>
      <c r="S200" s="433"/>
      <c r="T200" s="433"/>
      <c r="U200" s="433"/>
      <c r="V200" s="433"/>
      <c r="W200" s="433"/>
      <c r="X200" s="433"/>
      <c r="Y200" s="433"/>
      <c r="Z200" s="433"/>
    </row>
    <row r="201">
      <c r="A201" s="440"/>
      <c r="B201" s="441"/>
      <c r="C201" s="442"/>
      <c r="D201" s="443"/>
      <c r="E201" s="433"/>
      <c r="F201" s="433"/>
      <c r="G201" s="433"/>
      <c r="H201" s="433"/>
      <c r="I201" s="433"/>
      <c r="J201" s="433"/>
      <c r="K201" s="433"/>
      <c r="L201" s="433"/>
      <c r="M201" s="433"/>
      <c r="N201" s="433"/>
      <c r="O201" s="433"/>
      <c r="P201" s="433"/>
      <c r="Q201" s="433"/>
      <c r="R201" s="433"/>
      <c r="S201" s="433"/>
      <c r="T201" s="433"/>
      <c r="U201" s="433"/>
      <c r="V201" s="433"/>
      <c r="W201" s="433"/>
      <c r="X201" s="433"/>
      <c r="Y201" s="433"/>
      <c r="Z201" s="433"/>
    </row>
    <row r="202">
      <c r="A202" s="440"/>
      <c r="B202" s="441"/>
      <c r="C202" s="442"/>
      <c r="D202" s="443"/>
      <c r="E202" s="433"/>
      <c r="F202" s="433"/>
      <c r="G202" s="433"/>
      <c r="H202" s="433"/>
      <c r="I202" s="433"/>
      <c r="J202" s="433"/>
      <c r="K202" s="433"/>
      <c r="L202" s="433"/>
      <c r="M202" s="433"/>
      <c r="N202" s="433"/>
      <c r="O202" s="433"/>
      <c r="P202" s="433"/>
      <c r="Q202" s="433"/>
      <c r="R202" s="433"/>
      <c r="S202" s="433"/>
      <c r="T202" s="433"/>
      <c r="U202" s="433"/>
      <c r="V202" s="433"/>
      <c r="W202" s="433"/>
      <c r="X202" s="433"/>
      <c r="Y202" s="433"/>
      <c r="Z202" s="433"/>
    </row>
    <row r="203">
      <c r="A203" s="440"/>
      <c r="B203" s="441"/>
      <c r="C203" s="442"/>
      <c r="D203" s="443"/>
      <c r="E203" s="433"/>
      <c r="F203" s="433"/>
      <c r="G203" s="433"/>
      <c r="H203" s="433"/>
      <c r="I203" s="433"/>
      <c r="J203" s="433"/>
      <c r="K203" s="433"/>
      <c r="L203" s="433"/>
      <c r="M203" s="433"/>
      <c r="N203" s="433"/>
      <c r="O203" s="433"/>
      <c r="P203" s="433"/>
      <c r="Q203" s="433"/>
      <c r="R203" s="433"/>
      <c r="S203" s="433"/>
      <c r="T203" s="433"/>
      <c r="U203" s="433"/>
      <c r="V203" s="433"/>
      <c r="W203" s="433"/>
      <c r="X203" s="433"/>
      <c r="Y203" s="433"/>
      <c r="Z203" s="433"/>
    </row>
    <row r="204">
      <c r="A204" s="440"/>
      <c r="B204" s="441"/>
      <c r="C204" s="442"/>
      <c r="D204" s="443"/>
      <c r="E204" s="433"/>
      <c r="F204" s="433"/>
      <c r="G204" s="433"/>
      <c r="H204" s="433"/>
      <c r="I204" s="433"/>
      <c r="J204" s="433"/>
      <c r="K204" s="433"/>
      <c r="L204" s="433"/>
      <c r="M204" s="433"/>
      <c r="N204" s="433"/>
      <c r="O204" s="433"/>
      <c r="P204" s="433"/>
      <c r="Q204" s="433"/>
      <c r="R204" s="433"/>
      <c r="S204" s="433"/>
      <c r="T204" s="433"/>
      <c r="U204" s="433"/>
      <c r="V204" s="433"/>
      <c r="W204" s="433"/>
      <c r="X204" s="433"/>
      <c r="Y204" s="433"/>
      <c r="Z204" s="433"/>
    </row>
    <row r="205">
      <c r="A205" s="440"/>
      <c r="B205" s="441"/>
      <c r="C205" s="442"/>
      <c r="D205" s="443"/>
      <c r="E205" s="433"/>
      <c r="F205" s="433"/>
      <c r="G205" s="433"/>
      <c r="H205" s="433"/>
      <c r="I205" s="433"/>
      <c r="J205" s="433"/>
      <c r="K205" s="433"/>
      <c r="L205" s="433"/>
      <c r="M205" s="433"/>
      <c r="N205" s="433"/>
      <c r="O205" s="433"/>
      <c r="P205" s="433"/>
      <c r="Q205" s="433"/>
      <c r="R205" s="433"/>
      <c r="S205" s="433"/>
      <c r="T205" s="433"/>
      <c r="U205" s="433"/>
      <c r="V205" s="433"/>
      <c r="W205" s="433"/>
      <c r="X205" s="433"/>
      <c r="Y205" s="433"/>
      <c r="Z205" s="433"/>
    </row>
    <row r="206">
      <c r="A206" s="440"/>
      <c r="B206" s="441"/>
      <c r="C206" s="442"/>
      <c r="D206" s="443"/>
      <c r="E206" s="433"/>
      <c r="F206" s="433"/>
      <c r="G206" s="433"/>
      <c r="H206" s="433"/>
      <c r="I206" s="433"/>
      <c r="J206" s="433"/>
      <c r="K206" s="433"/>
      <c r="L206" s="433"/>
      <c r="M206" s="433"/>
      <c r="N206" s="433"/>
      <c r="O206" s="433"/>
      <c r="P206" s="433"/>
      <c r="Q206" s="433"/>
      <c r="R206" s="433"/>
      <c r="S206" s="433"/>
      <c r="T206" s="433"/>
      <c r="U206" s="433"/>
      <c r="V206" s="433"/>
      <c r="W206" s="433"/>
      <c r="X206" s="433"/>
      <c r="Y206" s="433"/>
      <c r="Z206" s="433"/>
    </row>
    <row r="207">
      <c r="A207" s="440"/>
      <c r="B207" s="441"/>
      <c r="C207" s="442"/>
      <c r="D207" s="443"/>
      <c r="E207" s="433"/>
      <c r="F207" s="433"/>
      <c r="G207" s="433"/>
      <c r="H207" s="433"/>
      <c r="I207" s="433"/>
      <c r="J207" s="433"/>
      <c r="K207" s="433"/>
      <c r="L207" s="433"/>
      <c r="M207" s="433"/>
      <c r="N207" s="433"/>
      <c r="O207" s="433"/>
      <c r="P207" s="433"/>
      <c r="Q207" s="433"/>
      <c r="R207" s="433"/>
      <c r="S207" s="433"/>
      <c r="T207" s="433"/>
      <c r="U207" s="433"/>
      <c r="V207" s="433"/>
      <c r="W207" s="433"/>
      <c r="X207" s="433"/>
      <c r="Y207" s="433"/>
      <c r="Z207" s="433"/>
    </row>
    <row r="208">
      <c r="A208" s="440"/>
      <c r="B208" s="441"/>
      <c r="C208" s="442"/>
      <c r="D208" s="443"/>
      <c r="E208" s="433"/>
      <c r="F208" s="433"/>
      <c r="G208" s="433"/>
      <c r="H208" s="433"/>
      <c r="I208" s="433"/>
      <c r="J208" s="433"/>
      <c r="K208" s="433"/>
      <c r="L208" s="433"/>
      <c r="M208" s="433"/>
      <c r="N208" s="433"/>
      <c r="O208" s="433"/>
      <c r="P208" s="433"/>
      <c r="Q208" s="433"/>
      <c r="R208" s="433"/>
      <c r="S208" s="433"/>
      <c r="T208" s="433"/>
      <c r="U208" s="433"/>
      <c r="V208" s="433"/>
      <c r="W208" s="433"/>
      <c r="X208" s="433"/>
      <c r="Y208" s="433"/>
      <c r="Z208" s="433"/>
    </row>
    <row r="209">
      <c r="A209" s="440"/>
      <c r="B209" s="441"/>
      <c r="C209" s="442"/>
      <c r="D209" s="443"/>
      <c r="E209" s="433"/>
      <c r="F209" s="433"/>
      <c r="G209" s="433"/>
      <c r="H209" s="433"/>
      <c r="I209" s="433"/>
      <c r="J209" s="433"/>
      <c r="K209" s="433"/>
      <c r="L209" s="433"/>
      <c r="M209" s="433"/>
      <c r="N209" s="433"/>
      <c r="O209" s="433"/>
      <c r="P209" s="433"/>
      <c r="Q209" s="433"/>
      <c r="R209" s="433"/>
      <c r="S209" s="433"/>
      <c r="T209" s="433"/>
      <c r="U209" s="433"/>
      <c r="V209" s="433"/>
      <c r="W209" s="433"/>
      <c r="X209" s="433"/>
      <c r="Y209" s="433"/>
      <c r="Z209" s="433"/>
    </row>
    <row r="210">
      <c r="A210" s="440"/>
      <c r="B210" s="441"/>
      <c r="C210" s="442"/>
      <c r="D210" s="443"/>
      <c r="E210" s="433"/>
      <c r="F210" s="433"/>
      <c r="G210" s="433"/>
      <c r="H210" s="433"/>
      <c r="I210" s="433"/>
      <c r="J210" s="433"/>
      <c r="K210" s="433"/>
      <c r="L210" s="433"/>
      <c r="M210" s="433"/>
      <c r="N210" s="433"/>
      <c r="O210" s="433"/>
      <c r="P210" s="433"/>
      <c r="Q210" s="433"/>
      <c r="R210" s="433"/>
      <c r="S210" s="433"/>
      <c r="T210" s="433"/>
      <c r="U210" s="433"/>
      <c r="V210" s="433"/>
      <c r="W210" s="433"/>
      <c r="X210" s="433"/>
      <c r="Y210" s="433"/>
      <c r="Z210" s="433"/>
    </row>
    <row r="211">
      <c r="A211" s="440"/>
      <c r="B211" s="441"/>
      <c r="C211" s="442"/>
      <c r="D211" s="443"/>
      <c r="E211" s="433"/>
      <c r="F211" s="433"/>
      <c r="G211" s="433"/>
      <c r="H211" s="433"/>
      <c r="I211" s="433"/>
      <c r="J211" s="433"/>
      <c r="K211" s="433"/>
      <c r="L211" s="433"/>
      <c r="M211" s="433"/>
      <c r="N211" s="433"/>
      <c r="O211" s="433"/>
      <c r="P211" s="433"/>
      <c r="Q211" s="433"/>
      <c r="R211" s="433"/>
      <c r="S211" s="433"/>
      <c r="T211" s="433"/>
      <c r="U211" s="433"/>
      <c r="V211" s="433"/>
      <c r="W211" s="433"/>
      <c r="X211" s="433"/>
      <c r="Y211" s="433"/>
      <c r="Z211" s="433"/>
    </row>
    <row r="212">
      <c r="A212" s="440"/>
      <c r="B212" s="441"/>
      <c r="C212" s="442"/>
      <c r="D212" s="443"/>
      <c r="E212" s="433"/>
      <c r="F212" s="433"/>
      <c r="G212" s="433"/>
      <c r="H212" s="433"/>
      <c r="I212" s="433"/>
      <c r="J212" s="433"/>
      <c r="K212" s="433"/>
      <c r="L212" s="433"/>
      <c r="M212" s="433"/>
      <c r="N212" s="433"/>
      <c r="O212" s="433"/>
      <c r="P212" s="433"/>
      <c r="Q212" s="433"/>
      <c r="R212" s="433"/>
      <c r="S212" s="433"/>
      <c r="T212" s="433"/>
      <c r="U212" s="433"/>
      <c r="V212" s="433"/>
      <c r="W212" s="433"/>
      <c r="X212" s="433"/>
      <c r="Y212" s="433"/>
      <c r="Z212" s="433"/>
    </row>
    <row r="213">
      <c r="A213" s="440"/>
      <c r="B213" s="441"/>
      <c r="C213" s="442"/>
      <c r="D213" s="443"/>
      <c r="E213" s="433"/>
      <c r="F213" s="433"/>
      <c r="G213" s="433"/>
      <c r="H213" s="433"/>
      <c r="I213" s="433"/>
      <c r="J213" s="433"/>
      <c r="K213" s="433"/>
      <c r="L213" s="433"/>
      <c r="M213" s="433"/>
      <c r="N213" s="433"/>
      <c r="O213" s="433"/>
      <c r="P213" s="433"/>
      <c r="Q213" s="433"/>
      <c r="R213" s="433"/>
      <c r="S213" s="433"/>
      <c r="T213" s="433"/>
      <c r="U213" s="433"/>
      <c r="V213" s="433"/>
      <c r="W213" s="433"/>
      <c r="X213" s="433"/>
      <c r="Y213" s="433"/>
      <c r="Z213" s="433"/>
    </row>
    <row r="214">
      <c r="A214" s="440"/>
      <c r="B214" s="441"/>
      <c r="C214" s="442"/>
      <c r="D214" s="443"/>
      <c r="E214" s="433"/>
      <c r="F214" s="433"/>
      <c r="G214" s="433"/>
      <c r="H214" s="433"/>
      <c r="I214" s="433"/>
      <c r="J214" s="433"/>
      <c r="K214" s="433"/>
      <c r="L214" s="433"/>
      <c r="M214" s="433"/>
      <c r="N214" s="433"/>
      <c r="O214" s="433"/>
      <c r="P214" s="433"/>
      <c r="Q214" s="433"/>
      <c r="R214" s="433"/>
      <c r="S214" s="433"/>
      <c r="T214" s="433"/>
      <c r="U214" s="433"/>
      <c r="V214" s="433"/>
      <c r="W214" s="433"/>
      <c r="X214" s="433"/>
      <c r="Y214" s="433"/>
      <c r="Z214" s="433"/>
    </row>
    <row r="215">
      <c r="A215" s="440"/>
      <c r="B215" s="441"/>
      <c r="C215" s="442"/>
      <c r="D215" s="44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row>
    <row r="216">
      <c r="A216" s="440"/>
      <c r="B216" s="441"/>
      <c r="C216" s="442"/>
      <c r="D216" s="443"/>
      <c r="E216" s="433"/>
      <c r="F216" s="433"/>
      <c r="G216" s="433"/>
      <c r="H216" s="433"/>
      <c r="I216" s="433"/>
      <c r="J216" s="433"/>
      <c r="K216" s="433"/>
      <c r="L216" s="433"/>
      <c r="M216" s="433"/>
      <c r="N216" s="433"/>
      <c r="O216" s="433"/>
      <c r="P216" s="433"/>
      <c r="Q216" s="433"/>
      <c r="R216" s="433"/>
      <c r="S216" s="433"/>
      <c r="T216" s="433"/>
      <c r="U216" s="433"/>
      <c r="V216" s="433"/>
      <c r="W216" s="433"/>
      <c r="X216" s="433"/>
      <c r="Y216" s="433"/>
      <c r="Z216" s="433"/>
    </row>
    <row r="217">
      <c r="A217" s="440"/>
      <c r="B217" s="441"/>
      <c r="C217" s="442"/>
      <c r="D217" s="443"/>
      <c r="E217" s="433"/>
      <c r="F217" s="433"/>
      <c r="G217" s="433"/>
      <c r="H217" s="433"/>
      <c r="I217" s="433"/>
      <c r="J217" s="433"/>
      <c r="K217" s="433"/>
      <c r="L217" s="433"/>
      <c r="M217" s="433"/>
      <c r="N217" s="433"/>
      <c r="O217" s="433"/>
      <c r="P217" s="433"/>
      <c r="Q217" s="433"/>
      <c r="R217" s="433"/>
      <c r="S217" s="433"/>
      <c r="T217" s="433"/>
      <c r="U217" s="433"/>
      <c r="V217" s="433"/>
      <c r="W217" s="433"/>
      <c r="X217" s="433"/>
      <c r="Y217" s="433"/>
      <c r="Z217" s="433"/>
    </row>
    <row r="218">
      <c r="A218" s="440"/>
      <c r="B218" s="441"/>
      <c r="C218" s="442"/>
      <c r="D218" s="443"/>
      <c r="E218" s="433"/>
      <c r="F218" s="433"/>
      <c r="G218" s="433"/>
      <c r="H218" s="433"/>
      <c r="I218" s="433"/>
      <c r="J218" s="433"/>
      <c r="K218" s="433"/>
      <c r="L218" s="433"/>
      <c r="M218" s="433"/>
      <c r="N218" s="433"/>
      <c r="O218" s="433"/>
      <c r="P218" s="433"/>
      <c r="Q218" s="433"/>
      <c r="R218" s="433"/>
      <c r="S218" s="433"/>
      <c r="T218" s="433"/>
      <c r="U218" s="433"/>
      <c r="V218" s="433"/>
      <c r="W218" s="433"/>
      <c r="X218" s="433"/>
      <c r="Y218" s="433"/>
      <c r="Z218" s="433"/>
    </row>
    <row r="219">
      <c r="A219" s="440"/>
      <c r="B219" s="441"/>
      <c r="C219" s="442"/>
      <c r="D219" s="443"/>
      <c r="E219" s="433"/>
      <c r="F219" s="433"/>
      <c r="G219" s="433"/>
      <c r="H219" s="433"/>
      <c r="I219" s="433"/>
      <c r="J219" s="433"/>
      <c r="K219" s="433"/>
      <c r="L219" s="433"/>
      <c r="M219" s="433"/>
      <c r="N219" s="433"/>
      <c r="O219" s="433"/>
      <c r="P219" s="433"/>
      <c r="Q219" s="433"/>
      <c r="R219" s="433"/>
      <c r="S219" s="433"/>
      <c r="T219" s="433"/>
      <c r="U219" s="433"/>
      <c r="V219" s="433"/>
      <c r="W219" s="433"/>
      <c r="X219" s="433"/>
      <c r="Y219" s="433"/>
      <c r="Z219" s="433"/>
    </row>
    <row r="220">
      <c r="A220" s="440"/>
      <c r="B220" s="441"/>
      <c r="C220" s="442"/>
      <c r="D220" s="443"/>
      <c r="E220" s="433"/>
      <c r="F220" s="433"/>
      <c r="G220" s="433"/>
      <c r="H220" s="433"/>
      <c r="I220" s="433"/>
      <c r="J220" s="433"/>
      <c r="K220" s="433"/>
      <c r="L220" s="433"/>
      <c r="M220" s="433"/>
      <c r="N220" s="433"/>
      <c r="O220" s="433"/>
      <c r="P220" s="433"/>
      <c r="Q220" s="433"/>
      <c r="R220" s="433"/>
      <c r="S220" s="433"/>
      <c r="T220" s="433"/>
      <c r="U220" s="433"/>
      <c r="V220" s="433"/>
      <c r="W220" s="433"/>
      <c r="X220" s="433"/>
      <c r="Y220" s="433"/>
      <c r="Z220" s="433"/>
    </row>
    <row r="221">
      <c r="A221" s="440"/>
      <c r="B221" s="441"/>
      <c r="C221" s="442"/>
      <c r="D221" s="443"/>
      <c r="E221" s="433"/>
      <c r="F221" s="433"/>
      <c r="G221" s="433"/>
      <c r="H221" s="433"/>
      <c r="I221" s="433"/>
      <c r="J221" s="433"/>
      <c r="K221" s="433"/>
      <c r="L221" s="433"/>
      <c r="M221" s="433"/>
      <c r="N221" s="433"/>
      <c r="O221" s="433"/>
      <c r="P221" s="433"/>
      <c r="Q221" s="433"/>
      <c r="R221" s="433"/>
      <c r="S221" s="433"/>
      <c r="T221" s="433"/>
      <c r="U221" s="433"/>
      <c r="V221" s="433"/>
      <c r="W221" s="433"/>
      <c r="X221" s="433"/>
      <c r="Y221" s="433"/>
      <c r="Z221" s="433"/>
    </row>
    <row r="222">
      <c r="A222" s="440"/>
      <c r="B222" s="441"/>
      <c r="C222" s="442"/>
      <c r="D222" s="443"/>
      <c r="E222" s="433"/>
      <c r="F222" s="433"/>
      <c r="G222" s="433"/>
      <c r="H222" s="433"/>
      <c r="I222" s="433"/>
      <c r="J222" s="433"/>
      <c r="K222" s="433"/>
      <c r="L222" s="433"/>
      <c r="M222" s="433"/>
      <c r="N222" s="433"/>
      <c r="O222" s="433"/>
      <c r="P222" s="433"/>
      <c r="Q222" s="433"/>
      <c r="R222" s="433"/>
      <c r="S222" s="433"/>
      <c r="T222" s="433"/>
      <c r="U222" s="433"/>
      <c r="V222" s="433"/>
      <c r="W222" s="433"/>
      <c r="X222" s="433"/>
      <c r="Y222" s="433"/>
      <c r="Z222" s="433"/>
    </row>
    <row r="223">
      <c r="A223" s="440"/>
      <c r="B223" s="441"/>
      <c r="C223" s="442"/>
      <c r="D223" s="443"/>
      <c r="E223" s="433"/>
      <c r="F223" s="433"/>
      <c r="G223" s="433"/>
      <c r="H223" s="433"/>
      <c r="I223" s="433"/>
      <c r="J223" s="433"/>
      <c r="K223" s="433"/>
      <c r="L223" s="433"/>
      <c r="M223" s="433"/>
      <c r="N223" s="433"/>
      <c r="O223" s="433"/>
      <c r="P223" s="433"/>
      <c r="Q223" s="433"/>
      <c r="R223" s="433"/>
      <c r="S223" s="433"/>
      <c r="T223" s="433"/>
      <c r="U223" s="433"/>
      <c r="V223" s="433"/>
      <c r="W223" s="433"/>
      <c r="X223" s="433"/>
      <c r="Y223" s="433"/>
      <c r="Z223" s="433"/>
    </row>
    <row r="224">
      <c r="A224" s="440"/>
      <c r="B224" s="441"/>
      <c r="C224" s="442"/>
      <c r="D224" s="443"/>
      <c r="E224" s="433"/>
      <c r="F224" s="433"/>
      <c r="G224" s="433"/>
      <c r="H224" s="433"/>
      <c r="I224" s="433"/>
      <c r="J224" s="433"/>
      <c r="K224" s="433"/>
      <c r="L224" s="433"/>
      <c r="M224" s="433"/>
      <c r="N224" s="433"/>
      <c r="O224" s="433"/>
      <c r="P224" s="433"/>
      <c r="Q224" s="433"/>
      <c r="R224" s="433"/>
      <c r="S224" s="433"/>
      <c r="T224" s="433"/>
      <c r="U224" s="433"/>
      <c r="V224" s="433"/>
      <c r="W224" s="433"/>
      <c r="X224" s="433"/>
      <c r="Y224" s="433"/>
      <c r="Z224" s="433"/>
    </row>
    <row r="225">
      <c r="A225" s="440"/>
      <c r="B225" s="441"/>
      <c r="C225" s="442"/>
      <c r="D225" s="443"/>
      <c r="E225" s="433"/>
      <c r="F225" s="433"/>
      <c r="G225" s="433"/>
      <c r="H225" s="433"/>
      <c r="I225" s="433"/>
      <c r="J225" s="433"/>
      <c r="K225" s="433"/>
      <c r="L225" s="433"/>
      <c r="M225" s="433"/>
      <c r="N225" s="433"/>
      <c r="O225" s="433"/>
      <c r="P225" s="433"/>
      <c r="Q225" s="433"/>
      <c r="R225" s="433"/>
      <c r="S225" s="433"/>
      <c r="T225" s="433"/>
      <c r="U225" s="433"/>
      <c r="V225" s="433"/>
      <c r="W225" s="433"/>
      <c r="X225" s="433"/>
      <c r="Y225" s="433"/>
      <c r="Z225" s="433"/>
    </row>
    <row r="226">
      <c r="A226" s="440"/>
      <c r="B226" s="441"/>
      <c r="C226" s="442"/>
      <c r="D226" s="443"/>
      <c r="E226" s="433"/>
      <c r="F226" s="433"/>
      <c r="G226" s="433"/>
      <c r="H226" s="433"/>
      <c r="I226" s="433"/>
      <c r="J226" s="433"/>
      <c r="K226" s="433"/>
      <c r="L226" s="433"/>
      <c r="M226" s="433"/>
      <c r="N226" s="433"/>
      <c r="O226" s="433"/>
      <c r="P226" s="433"/>
      <c r="Q226" s="433"/>
      <c r="R226" s="433"/>
      <c r="S226" s="433"/>
      <c r="T226" s="433"/>
      <c r="U226" s="433"/>
      <c r="V226" s="433"/>
      <c r="W226" s="433"/>
      <c r="X226" s="433"/>
      <c r="Y226" s="433"/>
      <c r="Z226" s="433"/>
    </row>
    <row r="227">
      <c r="A227" s="440"/>
      <c r="B227" s="441"/>
      <c r="C227" s="442"/>
      <c r="D227" s="443"/>
      <c r="E227" s="433"/>
      <c r="F227" s="433"/>
      <c r="G227" s="433"/>
      <c r="H227" s="433"/>
      <c r="I227" s="433"/>
      <c r="J227" s="433"/>
      <c r="K227" s="433"/>
      <c r="L227" s="433"/>
      <c r="M227" s="433"/>
      <c r="N227" s="433"/>
      <c r="O227" s="433"/>
      <c r="P227" s="433"/>
      <c r="Q227" s="433"/>
      <c r="R227" s="433"/>
      <c r="S227" s="433"/>
      <c r="T227" s="433"/>
      <c r="U227" s="433"/>
      <c r="V227" s="433"/>
      <c r="W227" s="433"/>
      <c r="X227" s="433"/>
      <c r="Y227" s="433"/>
      <c r="Z227" s="433"/>
    </row>
    <row r="228">
      <c r="A228" s="440"/>
      <c r="B228" s="441"/>
      <c r="C228" s="442"/>
      <c r="D228" s="443"/>
      <c r="E228" s="433"/>
      <c r="F228" s="433"/>
      <c r="G228" s="433"/>
      <c r="H228" s="433"/>
      <c r="I228" s="433"/>
      <c r="J228" s="433"/>
      <c r="K228" s="433"/>
      <c r="L228" s="433"/>
      <c r="M228" s="433"/>
      <c r="N228" s="433"/>
      <c r="O228" s="433"/>
      <c r="P228" s="433"/>
      <c r="Q228" s="433"/>
      <c r="R228" s="433"/>
      <c r="S228" s="433"/>
      <c r="T228" s="433"/>
      <c r="U228" s="433"/>
      <c r="V228" s="433"/>
      <c r="W228" s="433"/>
      <c r="X228" s="433"/>
      <c r="Y228" s="433"/>
      <c r="Z228" s="433"/>
    </row>
    <row r="229">
      <c r="A229" s="440"/>
      <c r="B229" s="441"/>
      <c r="C229" s="442"/>
      <c r="D229" s="443"/>
      <c r="E229" s="433"/>
      <c r="F229" s="433"/>
      <c r="G229" s="433"/>
      <c r="H229" s="433"/>
      <c r="I229" s="433"/>
      <c r="J229" s="433"/>
      <c r="K229" s="433"/>
      <c r="L229" s="433"/>
      <c r="M229" s="433"/>
      <c r="N229" s="433"/>
      <c r="O229" s="433"/>
      <c r="P229" s="433"/>
      <c r="Q229" s="433"/>
      <c r="R229" s="433"/>
      <c r="S229" s="433"/>
      <c r="T229" s="433"/>
      <c r="U229" s="433"/>
      <c r="V229" s="433"/>
      <c r="W229" s="433"/>
      <c r="X229" s="433"/>
      <c r="Y229" s="433"/>
      <c r="Z229" s="433"/>
    </row>
    <row r="230">
      <c r="A230" s="440"/>
      <c r="B230" s="441"/>
      <c r="C230" s="442"/>
      <c r="D230" s="443"/>
      <c r="E230" s="433"/>
      <c r="F230" s="433"/>
      <c r="G230" s="433"/>
      <c r="H230" s="433"/>
      <c r="I230" s="433"/>
      <c r="J230" s="433"/>
      <c r="K230" s="433"/>
      <c r="L230" s="433"/>
      <c r="M230" s="433"/>
      <c r="N230" s="433"/>
      <c r="O230" s="433"/>
      <c r="P230" s="433"/>
      <c r="Q230" s="433"/>
      <c r="R230" s="433"/>
      <c r="S230" s="433"/>
      <c r="T230" s="433"/>
      <c r="U230" s="433"/>
      <c r="V230" s="433"/>
      <c r="W230" s="433"/>
      <c r="X230" s="433"/>
      <c r="Y230" s="433"/>
      <c r="Z230" s="433"/>
    </row>
    <row r="231">
      <c r="A231" s="440"/>
      <c r="B231" s="441"/>
      <c r="C231" s="442"/>
      <c r="D231" s="443"/>
      <c r="E231" s="433"/>
      <c r="F231" s="433"/>
      <c r="G231" s="433"/>
      <c r="H231" s="433"/>
      <c r="I231" s="433"/>
      <c r="J231" s="433"/>
      <c r="K231" s="433"/>
      <c r="L231" s="433"/>
      <c r="M231" s="433"/>
      <c r="N231" s="433"/>
      <c r="O231" s="433"/>
      <c r="P231" s="433"/>
      <c r="Q231" s="433"/>
      <c r="R231" s="433"/>
      <c r="S231" s="433"/>
      <c r="T231" s="433"/>
      <c r="U231" s="433"/>
      <c r="V231" s="433"/>
      <c r="W231" s="433"/>
      <c r="X231" s="433"/>
      <c r="Y231" s="433"/>
      <c r="Z231" s="433"/>
    </row>
    <row r="232">
      <c r="A232" s="440"/>
      <c r="B232" s="441"/>
      <c r="C232" s="442"/>
      <c r="D232" s="443"/>
      <c r="E232" s="433"/>
      <c r="F232" s="433"/>
      <c r="G232" s="433"/>
      <c r="H232" s="433"/>
      <c r="I232" s="433"/>
      <c r="J232" s="433"/>
      <c r="K232" s="433"/>
      <c r="L232" s="433"/>
      <c r="M232" s="433"/>
      <c r="N232" s="433"/>
      <c r="O232" s="433"/>
      <c r="P232" s="433"/>
      <c r="Q232" s="433"/>
      <c r="R232" s="433"/>
      <c r="S232" s="433"/>
      <c r="T232" s="433"/>
      <c r="U232" s="433"/>
      <c r="V232" s="433"/>
      <c r="W232" s="433"/>
      <c r="X232" s="433"/>
      <c r="Y232" s="433"/>
      <c r="Z232" s="433"/>
    </row>
    <row r="233">
      <c r="A233" s="440"/>
      <c r="B233" s="441"/>
      <c r="C233" s="442"/>
      <c r="D233" s="443"/>
      <c r="E233" s="433"/>
      <c r="F233" s="433"/>
      <c r="G233" s="433"/>
      <c r="H233" s="433"/>
      <c r="I233" s="433"/>
      <c r="J233" s="433"/>
      <c r="K233" s="433"/>
      <c r="L233" s="433"/>
      <c r="M233" s="433"/>
      <c r="N233" s="433"/>
      <c r="O233" s="433"/>
      <c r="P233" s="433"/>
      <c r="Q233" s="433"/>
      <c r="R233" s="433"/>
      <c r="S233" s="433"/>
      <c r="T233" s="433"/>
      <c r="U233" s="433"/>
      <c r="V233" s="433"/>
      <c r="W233" s="433"/>
      <c r="X233" s="433"/>
      <c r="Y233" s="433"/>
      <c r="Z233" s="433"/>
    </row>
    <row r="234">
      <c r="A234" s="440"/>
      <c r="B234" s="441"/>
      <c r="C234" s="442"/>
      <c r="D234" s="443"/>
      <c r="E234" s="433"/>
      <c r="F234" s="433"/>
      <c r="G234" s="433"/>
      <c r="H234" s="433"/>
      <c r="I234" s="433"/>
      <c r="J234" s="433"/>
      <c r="K234" s="433"/>
      <c r="L234" s="433"/>
      <c r="M234" s="433"/>
      <c r="N234" s="433"/>
      <c r="O234" s="433"/>
      <c r="P234" s="433"/>
      <c r="Q234" s="433"/>
      <c r="R234" s="433"/>
      <c r="S234" s="433"/>
      <c r="T234" s="433"/>
      <c r="U234" s="433"/>
      <c r="V234" s="433"/>
      <c r="W234" s="433"/>
      <c r="X234" s="433"/>
      <c r="Y234" s="433"/>
      <c r="Z234" s="433"/>
    </row>
    <row r="235">
      <c r="A235" s="440"/>
      <c r="B235" s="441"/>
      <c r="C235" s="442"/>
      <c r="D235" s="443"/>
      <c r="E235" s="433"/>
      <c r="F235" s="433"/>
      <c r="G235" s="433"/>
      <c r="H235" s="433"/>
      <c r="I235" s="433"/>
      <c r="J235" s="433"/>
      <c r="K235" s="433"/>
      <c r="L235" s="433"/>
      <c r="M235" s="433"/>
      <c r="N235" s="433"/>
      <c r="O235" s="433"/>
      <c r="P235" s="433"/>
      <c r="Q235" s="433"/>
      <c r="R235" s="433"/>
      <c r="S235" s="433"/>
      <c r="T235" s="433"/>
      <c r="U235" s="433"/>
      <c r="V235" s="433"/>
      <c r="W235" s="433"/>
      <c r="X235" s="433"/>
      <c r="Y235" s="433"/>
      <c r="Z235" s="433"/>
    </row>
    <row r="236">
      <c r="A236" s="440"/>
      <c r="B236" s="441"/>
      <c r="C236" s="442"/>
      <c r="D236" s="443"/>
      <c r="E236" s="433"/>
      <c r="F236" s="433"/>
      <c r="G236" s="433"/>
      <c r="H236" s="433"/>
      <c r="I236" s="433"/>
      <c r="J236" s="433"/>
      <c r="K236" s="433"/>
      <c r="L236" s="433"/>
      <c r="M236" s="433"/>
      <c r="N236" s="433"/>
      <c r="O236" s="433"/>
      <c r="P236" s="433"/>
      <c r="Q236" s="433"/>
      <c r="R236" s="433"/>
      <c r="S236" s="433"/>
      <c r="T236" s="433"/>
      <c r="U236" s="433"/>
      <c r="V236" s="433"/>
      <c r="W236" s="433"/>
      <c r="X236" s="433"/>
      <c r="Y236" s="433"/>
      <c r="Z236" s="433"/>
    </row>
    <row r="237">
      <c r="A237" s="440"/>
      <c r="B237" s="441"/>
      <c r="C237" s="442"/>
      <c r="D237" s="443"/>
      <c r="E237" s="433"/>
      <c r="F237" s="433"/>
      <c r="G237" s="433"/>
      <c r="H237" s="433"/>
      <c r="I237" s="433"/>
      <c r="J237" s="433"/>
      <c r="K237" s="433"/>
      <c r="L237" s="433"/>
      <c r="M237" s="433"/>
      <c r="N237" s="433"/>
      <c r="O237" s="433"/>
      <c r="P237" s="433"/>
      <c r="Q237" s="433"/>
      <c r="R237" s="433"/>
      <c r="S237" s="433"/>
      <c r="T237" s="433"/>
      <c r="U237" s="433"/>
      <c r="V237" s="433"/>
      <c r="W237" s="433"/>
      <c r="X237" s="433"/>
      <c r="Y237" s="433"/>
      <c r="Z237" s="433"/>
    </row>
    <row r="238">
      <c r="A238" s="440"/>
      <c r="B238" s="441"/>
      <c r="C238" s="442"/>
      <c r="D238" s="443"/>
      <c r="E238" s="433"/>
      <c r="F238" s="433"/>
      <c r="G238" s="433"/>
      <c r="H238" s="433"/>
      <c r="I238" s="433"/>
      <c r="J238" s="433"/>
      <c r="K238" s="433"/>
      <c r="L238" s="433"/>
      <c r="M238" s="433"/>
      <c r="N238" s="433"/>
      <c r="O238" s="433"/>
      <c r="P238" s="433"/>
      <c r="Q238" s="433"/>
      <c r="R238" s="433"/>
      <c r="S238" s="433"/>
      <c r="T238" s="433"/>
      <c r="U238" s="433"/>
      <c r="V238" s="433"/>
      <c r="W238" s="433"/>
      <c r="X238" s="433"/>
      <c r="Y238" s="433"/>
      <c r="Z238" s="433"/>
    </row>
    <row r="239">
      <c r="A239" s="440"/>
      <c r="B239" s="441"/>
      <c r="C239" s="442"/>
      <c r="D239" s="443"/>
      <c r="E239" s="433"/>
      <c r="F239" s="433"/>
      <c r="G239" s="433"/>
      <c r="H239" s="433"/>
      <c r="I239" s="433"/>
      <c r="J239" s="433"/>
      <c r="K239" s="433"/>
      <c r="L239" s="433"/>
      <c r="M239" s="433"/>
      <c r="N239" s="433"/>
      <c r="O239" s="433"/>
      <c r="P239" s="433"/>
      <c r="Q239" s="433"/>
      <c r="R239" s="433"/>
      <c r="S239" s="433"/>
      <c r="T239" s="433"/>
      <c r="U239" s="433"/>
      <c r="V239" s="433"/>
      <c r="W239" s="433"/>
      <c r="X239" s="433"/>
      <c r="Y239" s="433"/>
      <c r="Z239" s="433"/>
    </row>
    <row r="240">
      <c r="A240" s="440"/>
      <c r="B240" s="441"/>
      <c r="C240" s="442"/>
      <c r="D240" s="443"/>
      <c r="E240" s="433"/>
      <c r="F240" s="433"/>
      <c r="G240" s="433"/>
      <c r="H240" s="433"/>
      <c r="I240" s="433"/>
      <c r="J240" s="433"/>
      <c r="K240" s="433"/>
      <c r="L240" s="433"/>
      <c r="M240" s="433"/>
      <c r="N240" s="433"/>
      <c r="O240" s="433"/>
      <c r="P240" s="433"/>
      <c r="Q240" s="433"/>
      <c r="R240" s="433"/>
      <c r="S240" s="433"/>
      <c r="T240" s="433"/>
      <c r="U240" s="433"/>
      <c r="V240" s="433"/>
      <c r="W240" s="433"/>
      <c r="X240" s="433"/>
      <c r="Y240" s="433"/>
      <c r="Z240" s="433"/>
    </row>
    <row r="241">
      <c r="A241" s="440"/>
      <c r="B241" s="441"/>
      <c r="C241" s="442"/>
      <c r="D241" s="443"/>
      <c r="E241" s="433"/>
      <c r="F241" s="433"/>
      <c r="G241" s="433"/>
      <c r="H241" s="433"/>
      <c r="I241" s="433"/>
      <c r="J241" s="433"/>
      <c r="K241" s="433"/>
      <c r="L241" s="433"/>
      <c r="M241" s="433"/>
      <c r="N241" s="433"/>
      <c r="O241" s="433"/>
      <c r="P241" s="433"/>
      <c r="Q241" s="433"/>
      <c r="R241" s="433"/>
      <c r="S241" s="433"/>
      <c r="T241" s="433"/>
      <c r="U241" s="433"/>
      <c r="V241" s="433"/>
      <c r="W241" s="433"/>
      <c r="X241" s="433"/>
      <c r="Y241" s="433"/>
      <c r="Z241" s="433"/>
    </row>
    <row r="242">
      <c r="A242" s="440"/>
      <c r="B242" s="441"/>
      <c r="C242" s="442"/>
      <c r="D242" s="443"/>
      <c r="E242" s="433"/>
      <c r="F242" s="433"/>
      <c r="G242" s="433"/>
      <c r="H242" s="433"/>
      <c r="I242" s="433"/>
      <c r="J242" s="433"/>
      <c r="K242" s="433"/>
      <c r="L242" s="433"/>
      <c r="M242" s="433"/>
      <c r="N242" s="433"/>
      <c r="O242" s="433"/>
      <c r="P242" s="433"/>
      <c r="Q242" s="433"/>
      <c r="R242" s="433"/>
      <c r="S242" s="433"/>
      <c r="T242" s="433"/>
      <c r="U242" s="433"/>
      <c r="V242" s="433"/>
      <c r="W242" s="433"/>
      <c r="X242" s="433"/>
      <c r="Y242" s="433"/>
      <c r="Z242" s="433"/>
    </row>
    <row r="243">
      <c r="A243" s="440"/>
      <c r="B243" s="441"/>
      <c r="C243" s="442"/>
      <c r="D243" s="443"/>
      <c r="E243" s="433"/>
      <c r="F243" s="433"/>
      <c r="G243" s="433"/>
      <c r="H243" s="433"/>
      <c r="I243" s="433"/>
      <c r="J243" s="433"/>
      <c r="K243" s="433"/>
      <c r="L243" s="433"/>
      <c r="M243" s="433"/>
      <c r="N243" s="433"/>
      <c r="O243" s="433"/>
      <c r="P243" s="433"/>
      <c r="Q243" s="433"/>
      <c r="R243" s="433"/>
      <c r="S243" s="433"/>
      <c r="T243" s="433"/>
      <c r="U243" s="433"/>
      <c r="V243" s="433"/>
      <c r="W243" s="433"/>
      <c r="X243" s="433"/>
      <c r="Y243" s="433"/>
      <c r="Z243" s="433"/>
    </row>
    <row r="244">
      <c r="A244" s="440"/>
      <c r="B244" s="441"/>
      <c r="C244" s="442"/>
      <c r="D244" s="443"/>
      <c r="E244" s="433"/>
      <c r="F244" s="433"/>
      <c r="G244" s="433"/>
      <c r="H244" s="433"/>
      <c r="I244" s="433"/>
      <c r="J244" s="433"/>
      <c r="K244" s="433"/>
      <c r="L244" s="433"/>
      <c r="M244" s="433"/>
      <c r="N244" s="433"/>
      <c r="O244" s="433"/>
      <c r="P244" s="433"/>
      <c r="Q244" s="433"/>
      <c r="R244" s="433"/>
      <c r="S244" s="433"/>
      <c r="T244" s="433"/>
      <c r="U244" s="433"/>
      <c r="V244" s="433"/>
      <c r="W244" s="433"/>
      <c r="X244" s="433"/>
      <c r="Y244" s="433"/>
      <c r="Z244" s="433"/>
    </row>
    <row r="245">
      <c r="A245" s="440"/>
      <c r="B245" s="441"/>
      <c r="C245" s="442"/>
      <c r="D245" s="443"/>
      <c r="E245" s="433"/>
      <c r="F245" s="433"/>
      <c r="G245" s="433"/>
      <c r="H245" s="433"/>
      <c r="I245" s="433"/>
      <c r="J245" s="433"/>
      <c r="K245" s="433"/>
      <c r="L245" s="433"/>
      <c r="M245" s="433"/>
      <c r="N245" s="433"/>
      <c r="O245" s="433"/>
      <c r="P245" s="433"/>
      <c r="Q245" s="433"/>
      <c r="R245" s="433"/>
      <c r="S245" s="433"/>
      <c r="T245" s="433"/>
      <c r="U245" s="433"/>
      <c r="V245" s="433"/>
      <c r="W245" s="433"/>
      <c r="X245" s="433"/>
      <c r="Y245" s="433"/>
      <c r="Z245" s="433"/>
    </row>
    <row r="246">
      <c r="A246" s="440"/>
      <c r="B246" s="441"/>
      <c r="C246" s="442"/>
      <c r="D246" s="443"/>
      <c r="E246" s="433"/>
      <c r="F246" s="433"/>
      <c r="G246" s="433"/>
      <c r="H246" s="433"/>
      <c r="I246" s="433"/>
      <c r="J246" s="433"/>
      <c r="K246" s="433"/>
      <c r="L246" s="433"/>
      <c r="M246" s="433"/>
      <c r="N246" s="433"/>
      <c r="O246" s="433"/>
      <c r="P246" s="433"/>
      <c r="Q246" s="433"/>
      <c r="R246" s="433"/>
      <c r="S246" s="433"/>
      <c r="T246" s="433"/>
      <c r="U246" s="433"/>
      <c r="V246" s="433"/>
      <c r="W246" s="433"/>
      <c r="X246" s="433"/>
      <c r="Y246" s="433"/>
      <c r="Z246" s="433"/>
    </row>
    <row r="247">
      <c r="A247" s="440"/>
      <c r="B247" s="441"/>
      <c r="C247" s="442"/>
      <c r="D247" s="443"/>
      <c r="E247" s="433"/>
      <c r="F247" s="433"/>
      <c r="G247" s="433"/>
      <c r="H247" s="433"/>
      <c r="I247" s="433"/>
      <c r="J247" s="433"/>
      <c r="K247" s="433"/>
      <c r="L247" s="433"/>
      <c r="M247" s="433"/>
      <c r="N247" s="433"/>
      <c r="O247" s="433"/>
      <c r="P247" s="433"/>
      <c r="Q247" s="433"/>
      <c r="R247" s="433"/>
      <c r="S247" s="433"/>
      <c r="T247" s="433"/>
      <c r="U247" s="433"/>
      <c r="V247" s="433"/>
      <c r="W247" s="433"/>
      <c r="X247" s="433"/>
      <c r="Y247" s="433"/>
      <c r="Z247" s="433"/>
    </row>
    <row r="248">
      <c r="A248" s="440"/>
      <c r="B248" s="441"/>
      <c r="C248" s="442"/>
      <c r="D248" s="443"/>
      <c r="E248" s="433"/>
      <c r="F248" s="433"/>
      <c r="G248" s="433"/>
      <c r="H248" s="433"/>
      <c r="I248" s="433"/>
      <c r="J248" s="433"/>
      <c r="K248" s="433"/>
      <c r="L248" s="433"/>
      <c r="M248" s="433"/>
      <c r="N248" s="433"/>
      <c r="O248" s="433"/>
      <c r="P248" s="433"/>
      <c r="Q248" s="433"/>
      <c r="R248" s="433"/>
      <c r="S248" s="433"/>
      <c r="T248" s="433"/>
      <c r="U248" s="433"/>
      <c r="V248" s="433"/>
      <c r="W248" s="433"/>
      <c r="X248" s="433"/>
      <c r="Y248" s="433"/>
      <c r="Z248" s="433"/>
    </row>
    <row r="249">
      <c r="A249" s="440"/>
      <c r="B249" s="441"/>
      <c r="C249" s="442"/>
      <c r="D249" s="443"/>
      <c r="E249" s="433"/>
      <c r="F249" s="433"/>
      <c r="G249" s="433"/>
      <c r="H249" s="433"/>
      <c r="I249" s="433"/>
      <c r="J249" s="433"/>
      <c r="K249" s="433"/>
      <c r="L249" s="433"/>
      <c r="M249" s="433"/>
      <c r="N249" s="433"/>
      <c r="O249" s="433"/>
      <c r="P249" s="433"/>
      <c r="Q249" s="433"/>
      <c r="R249" s="433"/>
      <c r="S249" s="433"/>
      <c r="T249" s="433"/>
      <c r="U249" s="433"/>
      <c r="V249" s="433"/>
      <c r="W249" s="433"/>
      <c r="X249" s="433"/>
      <c r="Y249" s="433"/>
      <c r="Z249" s="433"/>
    </row>
    <row r="250">
      <c r="A250" s="440"/>
      <c r="B250" s="441"/>
      <c r="C250" s="442"/>
      <c r="D250" s="443"/>
      <c r="E250" s="433"/>
      <c r="F250" s="433"/>
      <c r="G250" s="433"/>
      <c r="H250" s="433"/>
      <c r="I250" s="433"/>
      <c r="J250" s="433"/>
      <c r="K250" s="433"/>
      <c r="L250" s="433"/>
      <c r="M250" s="433"/>
      <c r="N250" s="433"/>
      <c r="O250" s="433"/>
      <c r="P250" s="433"/>
      <c r="Q250" s="433"/>
      <c r="R250" s="433"/>
      <c r="S250" s="433"/>
      <c r="T250" s="433"/>
      <c r="U250" s="433"/>
      <c r="V250" s="433"/>
      <c r="W250" s="433"/>
      <c r="X250" s="433"/>
      <c r="Y250" s="433"/>
      <c r="Z250" s="433"/>
    </row>
    <row r="251">
      <c r="A251" s="440"/>
      <c r="B251" s="441"/>
      <c r="C251" s="442"/>
      <c r="D251" s="443"/>
      <c r="E251" s="433"/>
      <c r="F251" s="433"/>
      <c r="G251" s="433"/>
      <c r="H251" s="433"/>
      <c r="I251" s="433"/>
      <c r="J251" s="433"/>
      <c r="K251" s="433"/>
      <c r="L251" s="433"/>
      <c r="M251" s="433"/>
      <c r="N251" s="433"/>
      <c r="O251" s="433"/>
      <c r="P251" s="433"/>
      <c r="Q251" s="433"/>
      <c r="R251" s="433"/>
      <c r="S251" s="433"/>
      <c r="T251" s="433"/>
      <c r="U251" s="433"/>
      <c r="V251" s="433"/>
      <c r="W251" s="433"/>
      <c r="X251" s="433"/>
      <c r="Y251" s="433"/>
      <c r="Z251" s="433"/>
    </row>
    <row r="252">
      <c r="A252" s="440"/>
      <c r="B252" s="441"/>
      <c r="C252" s="442"/>
      <c r="D252" s="443"/>
      <c r="E252" s="433"/>
      <c r="F252" s="433"/>
      <c r="G252" s="433"/>
      <c r="H252" s="433"/>
      <c r="I252" s="433"/>
      <c r="J252" s="433"/>
      <c r="K252" s="433"/>
      <c r="L252" s="433"/>
      <c r="M252" s="433"/>
      <c r="N252" s="433"/>
      <c r="O252" s="433"/>
      <c r="P252" s="433"/>
      <c r="Q252" s="433"/>
      <c r="R252" s="433"/>
      <c r="S252" s="433"/>
      <c r="T252" s="433"/>
      <c r="U252" s="433"/>
      <c r="V252" s="433"/>
      <c r="W252" s="433"/>
      <c r="X252" s="433"/>
      <c r="Y252" s="433"/>
      <c r="Z252" s="433"/>
    </row>
    <row r="253">
      <c r="A253" s="440"/>
      <c r="B253" s="441"/>
      <c r="C253" s="442"/>
      <c r="D253" s="443"/>
      <c r="E253" s="433"/>
      <c r="F253" s="433"/>
      <c r="G253" s="433"/>
      <c r="H253" s="433"/>
      <c r="I253" s="433"/>
      <c r="J253" s="433"/>
      <c r="K253" s="433"/>
      <c r="L253" s="433"/>
      <c r="M253" s="433"/>
      <c r="N253" s="433"/>
      <c r="O253" s="433"/>
      <c r="P253" s="433"/>
      <c r="Q253" s="433"/>
      <c r="R253" s="433"/>
      <c r="S253" s="433"/>
      <c r="T253" s="433"/>
      <c r="U253" s="433"/>
      <c r="V253" s="433"/>
      <c r="W253" s="433"/>
      <c r="X253" s="433"/>
      <c r="Y253" s="433"/>
      <c r="Z253" s="433"/>
    </row>
    <row r="254">
      <c r="A254" s="440"/>
      <c r="B254" s="441"/>
      <c r="C254" s="442"/>
      <c r="D254" s="443"/>
      <c r="E254" s="433"/>
      <c r="F254" s="433"/>
      <c r="G254" s="433"/>
      <c r="H254" s="433"/>
      <c r="I254" s="433"/>
      <c r="J254" s="433"/>
      <c r="K254" s="433"/>
      <c r="L254" s="433"/>
      <c r="M254" s="433"/>
      <c r="N254" s="433"/>
      <c r="O254" s="433"/>
      <c r="P254" s="433"/>
      <c r="Q254" s="433"/>
      <c r="R254" s="433"/>
      <c r="S254" s="433"/>
      <c r="T254" s="433"/>
      <c r="U254" s="433"/>
      <c r="V254" s="433"/>
      <c r="W254" s="433"/>
      <c r="X254" s="433"/>
      <c r="Y254" s="433"/>
      <c r="Z254" s="433"/>
    </row>
    <row r="255">
      <c r="A255" s="440"/>
      <c r="B255" s="441"/>
      <c r="C255" s="442"/>
      <c r="D255" s="443"/>
      <c r="E255" s="433"/>
      <c r="F255" s="433"/>
      <c r="G255" s="433"/>
      <c r="H255" s="433"/>
      <c r="I255" s="433"/>
      <c r="J255" s="433"/>
      <c r="K255" s="433"/>
      <c r="L255" s="433"/>
      <c r="M255" s="433"/>
      <c r="N255" s="433"/>
      <c r="O255" s="433"/>
      <c r="P255" s="433"/>
      <c r="Q255" s="433"/>
      <c r="R255" s="433"/>
      <c r="S255" s="433"/>
      <c r="T255" s="433"/>
      <c r="U255" s="433"/>
      <c r="V255" s="433"/>
      <c r="W255" s="433"/>
      <c r="X255" s="433"/>
      <c r="Y255" s="433"/>
      <c r="Z255" s="433"/>
    </row>
    <row r="256">
      <c r="A256" s="440"/>
      <c r="B256" s="441"/>
      <c r="C256" s="442"/>
      <c r="D256" s="443"/>
      <c r="E256" s="433"/>
      <c r="F256" s="433"/>
      <c r="G256" s="433"/>
      <c r="H256" s="433"/>
      <c r="I256" s="433"/>
      <c r="J256" s="433"/>
      <c r="K256" s="433"/>
      <c r="L256" s="433"/>
      <c r="M256" s="433"/>
      <c r="N256" s="433"/>
      <c r="O256" s="433"/>
      <c r="P256" s="433"/>
      <c r="Q256" s="433"/>
      <c r="R256" s="433"/>
      <c r="S256" s="433"/>
      <c r="T256" s="433"/>
      <c r="U256" s="433"/>
      <c r="V256" s="433"/>
      <c r="W256" s="433"/>
      <c r="X256" s="433"/>
      <c r="Y256" s="433"/>
      <c r="Z256" s="433"/>
    </row>
    <row r="257">
      <c r="A257" s="440"/>
      <c r="B257" s="441"/>
      <c r="C257" s="442"/>
      <c r="D257" s="443"/>
      <c r="E257" s="433"/>
      <c r="F257" s="433"/>
      <c r="G257" s="433"/>
      <c r="H257" s="433"/>
      <c r="I257" s="433"/>
      <c r="J257" s="433"/>
      <c r="K257" s="433"/>
      <c r="L257" s="433"/>
      <c r="M257" s="433"/>
      <c r="N257" s="433"/>
      <c r="O257" s="433"/>
      <c r="P257" s="433"/>
      <c r="Q257" s="433"/>
      <c r="R257" s="433"/>
      <c r="S257" s="433"/>
      <c r="T257" s="433"/>
      <c r="U257" s="433"/>
      <c r="V257" s="433"/>
      <c r="W257" s="433"/>
      <c r="X257" s="433"/>
      <c r="Y257" s="433"/>
      <c r="Z257" s="433"/>
    </row>
    <row r="258">
      <c r="A258" s="440"/>
      <c r="B258" s="441"/>
      <c r="C258" s="442"/>
      <c r="D258" s="443"/>
      <c r="E258" s="433"/>
      <c r="F258" s="433"/>
      <c r="G258" s="433"/>
      <c r="H258" s="433"/>
      <c r="I258" s="433"/>
      <c r="J258" s="433"/>
      <c r="K258" s="433"/>
      <c r="L258" s="433"/>
      <c r="M258" s="433"/>
      <c r="N258" s="433"/>
      <c r="O258" s="433"/>
      <c r="P258" s="433"/>
      <c r="Q258" s="433"/>
      <c r="R258" s="433"/>
      <c r="S258" s="433"/>
      <c r="T258" s="433"/>
      <c r="U258" s="433"/>
      <c r="V258" s="433"/>
      <c r="W258" s="433"/>
      <c r="X258" s="433"/>
      <c r="Y258" s="433"/>
      <c r="Z258" s="433"/>
    </row>
    <row r="259">
      <c r="A259" s="440"/>
      <c r="B259" s="441"/>
      <c r="C259" s="442"/>
      <c r="D259" s="443"/>
      <c r="E259" s="433"/>
      <c r="F259" s="433"/>
      <c r="G259" s="433"/>
      <c r="H259" s="433"/>
      <c r="I259" s="433"/>
      <c r="J259" s="433"/>
      <c r="K259" s="433"/>
      <c r="L259" s="433"/>
      <c r="M259" s="433"/>
      <c r="N259" s="433"/>
      <c r="O259" s="433"/>
      <c r="P259" s="433"/>
      <c r="Q259" s="433"/>
      <c r="R259" s="433"/>
      <c r="S259" s="433"/>
      <c r="T259" s="433"/>
      <c r="U259" s="433"/>
      <c r="V259" s="433"/>
      <c r="W259" s="433"/>
      <c r="X259" s="433"/>
      <c r="Y259" s="433"/>
      <c r="Z259" s="433"/>
    </row>
    <row r="260">
      <c r="A260" s="440"/>
      <c r="B260" s="441"/>
      <c r="C260" s="442"/>
      <c r="D260" s="443"/>
      <c r="E260" s="433"/>
      <c r="F260" s="433"/>
      <c r="G260" s="433"/>
      <c r="H260" s="433"/>
      <c r="I260" s="433"/>
      <c r="J260" s="433"/>
      <c r="K260" s="433"/>
      <c r="L260" s="433"/>
      <c r="M260" s="433"/>
      <c r="N260" s="433"/>
      <c r="O260" s="433"/>
      <c r="P260" s="433"/>
      <c r="Q260" s="433"/>
      <c r="R260" s="433"/>
      <c r="S260" s="433"/>
      <c r="T260" s="433"/>
      <c r="U260" s="433"/>
      <c r="V260" s="433"/>
      <c r="W260" s="433"/>
      <c r="X260" s="433"/>
      <c r="Y260" s="433"/>
      <c r="Z260" s="433"/>
    </row>
    <row r="261">
      <c r="A261" s="440"/>
      <c r="B261" s="441"/>
      <c r="C261" s="442"/>
      <c r="D261" s="443"/>
      <c r="E261" s="433"/>
      <c r="F261" s="433"/>
      <c r="G261" s="433"/>
      <c r="H261" s="433"/>
      <c r="I261" s="433"/>
      <c r="J261" s="433"/>
      <c r="K261" s="433"/>
      <c r="L261" s="433"/>
      <c r="M261" s="433"/>
      <c r="N261" s="433"/>
      <c r="O261" s="433"/>
      <c r="P261" s="433"/>
      <c r="Q261" s="433"/>
      <c r="R261" s="433"/>
      <c r="S261" s="433"/>
      <c r="T261" s="433"/>
      <c r="U261" s="433"/>
      <c r="V261" s="433"/>
      <c r="W261" s="433"/>
      <c r="X261" s="433"/>
      <c r="Y261" s="433"/>
      <c r="Z261" s="433"/>
    </row>
    <row r="262">
      <c r="A262" s="440"/>
      <c r="B262" s="441"/>
      <c r="C262" s="442"/>
      <c r="D262" s="443"/>
      <c r="E262" s="433"/>
      <c r="F262" s="433"/>
      <c r="G262" s="433"/>
      <c r="H262" s="433"/>
      <c r="I262" s="433"/>
      <c r="J262" s="433"/>
      <c r="K262" s="433"/>
      <c r="L262" s="433"/>
      <c r="M262" s="433"/>
      <c r="N262" s="433"/>
      <c r="O262" s="433"/>
      <c r="P262" s="433"/>
      <c r="Q262" s="433"/>
      <c r="R262" s="433"/>
      <c r="S262" s="433"/>
      <c r="T262" s="433"/>
      <c r="U262" s="433"/>
      <c r="V262" s="433"/>
      <c r="W262" s="433"/>
      <c r="X262" s="433"/>
      <c r="Y262" s="433"/>
      <c r="Z262" s="433"/>
    </row>
    <row r="263">
      <c r="A263" s="440"/>
      <c r="B263" s="441"/>
      <c r="C263" s="442"/>
      <c r="D263" s="44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row>
    <row r="264">
      <c r="A264" s="440"/>
      <c r="B264" s="441"/>
      <c r="C264" s="442"/>
      <c r="D264" s="443"/>
      <c r="E264" s="433"/>
      <c r="F264" s="433"/>
      <c r="G264" s="433"/>
      <c r="H264" s="433"/>
      <c r="I264" s="433"/>
      <c r="J264" s="433"/>
      <c r="K264" s="433"/>
      <c r="L264" s="433"/>
      <c r="M264" s="433"/>
      <c r="N264" s="433"/>
      <c r="O264" s="433"/>
      <c r="P264" s="433"/>
      <c r="Q264" s="433"/>
      <c r="R264" s="433"/>
      <c r="S264" s="433"/>
      <c r="T264" s="433"/>
      <c r="U264" s="433"/>
      <c r="V264" s="433"/>
      <c r="W264" s="433"/>
      <c r="X264" s="433"/>
      <c r="Y264" s="433"/>
      <c r="Z264" s="433"/>
    </row>
    <row r="265">
      <c r="A265" s="440"/>
      <c r="B265" s="441"/>
      <c r="C265" s="442"/>
      <c r="D265" s="443"/>
      <c r="E265" s="433"/>
      <c r="F265" s="433"/>
      <c r="G265" s="433"/>
      <c r="H265" s="433"/>
      <c r="I265" s="433"/>
      <c r="J265" s="433"/>
      <c r="K265" s="433"/>
      <c r="L265" s="433"/>
      <c r="M265" s="433"/>
      <c r="N265" s="433"/>
      <c r="O265" s="433"/>
      <c r="P265" s="433"/>
      <c r="Q265" s="433"/>
      <c r="R265" s="433"/>
      <c r="S265" s="433"/>
      <c r="T265" s="433"/>
      <c r="U265" s="433"/>
      <c r="V265" s="433"/>
      <c r="W265" s="433"/>
      <c r="X265" s="433"/>
      <c r="Y265" s="433"/>
      <c r="Z265" s="433"/>
    </row>
    <row r="266">
      <c r="A266" s="440"/>
      <c r="B266" s="441"/>
      <c r="C266" s="442"/>
      <c r="D266" s="443"/>
      <c r="E266" s="433"/>
      <c r="F266" s="433"/>
      <c r="G266" s="433"/>
      <c r="H266" s="433"/>
      <c r="I266" s="433"/>
      <c r="J266" s="433"/>
      <c r="K266" s="433"/>
      <c r="L266" s="433"/>
      <c r="M266" s="433"/>
      <c r="N266" s="433"/>
      <c r="O266" s="433"/>
      <c r="P266" s="433"/>
      <c r="Q266" s="433"/>
      <c r="R266" s="433"/>
      <c r="S266" s="433"/>
      <c r="T266" s="433"/>
      <c r="U266" s="433"/>
      <c r="V266" s="433"/>
      <c r="W266" s="433"/>
      <c r="X266" s="433"/>
      <c r="Y266" s="433"/>
      <c r="Z266" s="433"/>
    </row>
    <row r="267">
      <c r="A267" s="440"/>
      <c r="B267" s="441"/>
      <c r="C267" s="442"/>
      <c r="D267" s="443"/>
      <c r="E267" s="433"/>
      <c r="F267" s="433"/>
      <c r="G267" s="433"/>
      <c r="H267" s="433"/>
      <c r="I267" s="433"/>
      <c r="J267" s="433"/>
      <c r="K267" s="433"/>
      <c r="L267" s="433"/>
      <c r="M267" s="433"/>
      <c r="N267" s="433"/>
      <c r="O267" s="433"/>
      <c r="P267" s="433"/>
      <c r="Q267" s="433"/>
      <c r="R267" s="433"/>
      <c r="S267" s="433"/>
      <c r="T267" s="433"/>
      <c r="U267" s="433"/>
      <c r="V267" s="433"/>
      <c r="W267" s="433"/>
      <c r="X267" s="433"/>
      <c r="Y267" s="433"/>
      <c r="Z267" s="433"/>
    </row>
    <row r="268">
      <c r="A268" s="440"/>
      <c r="B268" s="441"/>
      <c r="C268" s="442"/>
      <c r="D268" s="443"/>
      <c r="E268" s="433"/>
      <c r="F268" s="433"/>
      <c r="G268" s="433"/>
      <c r="H268" s="433"/>
      <c r="I268" s="433"/>
      <c r="J268" s="433"/>
      <c r="K268" s="433"/>
      <c r="L268" s="433"/>
      <c r="M268" s="433"/>
      <c r="N268" s="433"/>
      <c r="O268" s="433"/>
      <c r="P268" s="433"/>
      <c r="Q268" s="433"/>
      <c r="R268" s="433"/>
      <c r="S268" s="433"/>
      <c r="T268" s="433"/>
      <c r="U268" s="433"/>
      <c r="V268" s="433"/>
      <c r="W268" s="433"/>
      <c r="X268" s="433"/>
      <c r="Y268" s="433"/>
      <c r="Z268" s="433"/>
    </row>
    <row r="269">
      <c r="A269" s="440"/>
      <c r="B269" s="441"/>
      <c r="C269" s="442"/>
      <c r="D269" s="443"/>
      <c r="E269" s="433"/>
      <c r="F269" s="433"/>
      <c r="G269" s="433"/>
      <c r="H269" s="433"/>
      <c r="I269" s="433"/>
      <c r="J269" s="433"/>
      <c r="K269" s="433"/>
      <c r="L269" s="433"/>
      <c r="M269" s="433"/>
      <c r="N269" s="433"/>
      <c r="O269" s="433"/>
      <c r="P269" s="433"/>
      <c r="Q269" s="433"/>
      <c r="R269" s="433"/>
      <c r="S269" s="433"/>
      <c r="T269" s="433"/>
      <c r="U269" s="433"/>
      <c r="V269" s="433"/>
      <c r="W269" s="433"/>
      <c r="X269" s="433"/>
      <c r="Y269" s="433"/>
      <c r="Z269" s="433"/>
    </row>
    <row r="270">
      <c r="A270" s="440"/>
      <c r="B270" s="441"/>
      <c r="C270" s="442"/>
      <c r="D270" s="443"/>
      <c r="E270" s="433"/>
      <c r="F270" s="433"/>
      <c r="G270" s="433"/>
      <c r="H270" s="433"/>
      <c r="I270" s="433"/>
      <c r="J270" s="433"/>
      <c r="K270" s="433"/>
      <c r="L270" s="433"/>
      <c r="M270" s="433"/>
      <c r="N270" s="433"/>
      <c r="O270" s="433"/>
      <c r="P270" s="433"/>
      <c r="Q270" s="433"/>
      <c r="R270" s="433"/>
      <c r="S270" s="433"/>
      <c r="T270" s="433"/>
      <c r="U270" s="433"/>
      <c r="V270" s="433"/>
      <c r="W270" s="433"/>
      <c r="X270" s="433"/>
      <c r="Y270" s="433"/>
      <c r="Z270" s="433"/>
    </row>
    <row r="271">
      <c r="A271" s="440"/>
      <c r="B271" s="441"/>
      <c r="C271" s="442"/>
      <c r="D271" s="443"/>
      <c r="E271" s="433"/>
      <c r="F271" s="433"/>
      <c r="G271" s="433"/>
      <c r="H271" s="433"/>
      <c r="I271" s="433"/>
      <c r="J271" s="433"/>
      <c r="K271" s="433"/>
      <c r="L271" s="433"/>
      <c r="M271" s="433"/>
      <c r="N271" s="433"/>
      <c r="O271" s="433"/>
      <c r="P271" s="433"/>
      <c r="Q271" s="433"/>
      <c r="R271" s="433"/>
      <c r="S271" s="433"/>
      <c r="T271" s="433"/>
      <c r="U271" s="433"/>
      <c r="V271" s="433"/>
      <c r="W271" s="433"/>
      <c r="X271" s="433"/>
      <c r="Y271" s="433"/>
      <c r="Z271" s="433"/>
    </row>
    <row r="272">
      <c r="A272" s="440"/>
      <c r="B272" s="441"/>
      <c r="C272" s="442"/>
      <c r="D272" s="443"/>
      <c r="E272" s="433"/>
      <c r="F272" s="433"/>
      <c r="G272" s="433"/>
      <c r="H272" s="433"/>
      <c r="I272" s="433"/>
      <c r="J272" s="433"/>
      <c r="K272" s="433"/>
      <c r="L272" s="433"/>
      <c r="M272" s="433"/>
      <c r="N272" s="433"/>
      <c r="O272" s="433"/>
      <c r="P272" s="433"/>
      <c r="Q272" s="433"/>
      <c r="R272" s="433"/>
      <c r="S272" s="433"/>
      <c r="T272" s="433"/>
      <c r="U272" s="433"/>
      <c r="V272" s="433"/>
      <c r="W272" s="433"/>
      <c r="X272" s="433"/>
      <c r="Y272" s="433"/>
      <c r="Z272" s="433"/>
    </row>
    <row r="273">
      <c r="A273" s="440"/>
      <c r="B273" s="441"/>
      <c r="C273" s="442"/>
      <c r="D273" s="443"/>
      <c r="E273" s="433"/>
      <c r="F273" s="433"/>
      <c r="G273" s="433"/>
      <c r="H273" s="433"/>
      <c r="I273" s="433"/>
      <c r="J273" s="433"/>
      <c r="K273" s="433"/>
      <c r="L273" s="433"/>
      <c r="M273" s="433"/>
      <c r="N273" s="433"/>
      <c r="O273" s="433"/>
      <c r="P273" s="433"/>
      <c r="Q273" s="433"/>
      <c r="R273" s="433"/>
      <c r="S273" s="433"/>
      <c r="T273" s="433"/>
      <c r="U273" s="433"/>
      <c r="V273" s="433"/>
      <c r="W273" s="433"/>
      <c r="X273" s="433"/>
      <c r="Y273" s="433"/>
      <c r="Z273" s="433"/>
    </row>
    <row r="274">
      <c r="A274" s="440"/>
      <c r="B274" s="441"/>
      <c r="C274" s="442"/>
      <c r="D274" s="443"/>
      <c r="E274" s="433"/>
      <c r="F274" s="433"/>
      <c r="G274" s="433"/>
      <c r="H274" s="433"/>
      <c r="I274" s="433"/>
      <c r="J274" s="433"/>
      <c r="K274" s="433"/>
      <c r="L274" s="433"/>
      <c r="M274" s="433"/>
      <c r="N274" s="433"/>
      <c r="O274" s="433"/>
      <c r="P274" s="433"/>
      <c r="Q274" s="433"/>
      <c r="R274" s="433"/>
      <c r="S274" s="433"/>
      <c r="T274" s="433"/>
      <c r="U274" s="433"/>
      <c r="V274" s="433"/>
      <c r="W274" s="433"/>
      <c r="X274" s="433"/>
      <c r="Y274" s="433"/>
      <c r="Z274" s="433"/>
    </row>
    <row r="275">
      <c r="A275" s="440"/>
      <c r="B275" s="441"/>
      <c r="C275" s="442"/>
      <c r="D275" s="443"/>
      <c r="E275" s="433"/>
      <c r="F275" s="433"/>
      <c r="G275" s="433"/>
      <c r="H275" s="433"/>
      <c r="I275" s="433"/>
      <c r="J275" s="433"/>
      <c r="K275" s="433"/>
      <c r="L275" s="433"/>
      <c r="M275" s="433"/>
      <c r="N275" s="433"/>
      <c r="O275" s="433"/>
      <c r="P275" s="433"/>
      <c r="Q275" s="433"/>
      <c r="R275" s="433"/>
      <c r="S275" s="433"/>
      <c r="T275" s="433"/>
      <c r="U275" s="433"/>
      <c r="V275" s="433"/>
      <c r="W275" s="433"/>
      <c r="X275" s="433"/>
      <c r="Y275" s="433"/>
      <c r="Z275" s="433"/>
    </row>
    <row r="276">
      <c r="A276" s="440"/>
      <c r="B276" s="441"/>
      <c r="C276" s="442"/>
      <c r="D276" s="443"/>
      <c r="E276" s="433"/>
      <c r="F276" s="433"/>
      <c r="G276" s="433"/>
      <c r="H276" s="433"/>
      <c r="I276" s="433"/>
      <c r="J276" s="433"/>
      <c r="K276" s="433"/>
      <c r="L276" s="433"/>
      <c r="M276" s="433"/>
      <c r="N276" s="433"/>
      <c r="O276" s="433"/>
      <c r="P276" s="433"/>
      <c r="Q276" s="433"/>
      <c r="R276" s="433"/>
      <c r="S276" s="433"/>
      <c r="T276" s="433"/>
      <c r="U276" s="433"/>
      <c r="V276" s="433"/>
      <c r="W276" s="433"/>
      <c r="X276" s="433"/>
      <c r="Y276" s="433"/>
      <c r="Z276" s="433"/>
    </row>
    <row r="277">
      <c r="A277" s="440"/>
      <c r="B277" s="441"/>
      <c r="C277" s="442"/>
      <c r="D277" s="443"/>
      <c r="E277" s="433"/>
      <c r="F277" s="433"/>
      <c r="G277" s="433"/>
      <c r="H277" s="433"/>
      <c r="I277" s="433"/>
      <c r="J277" s="433"/>
      <c r="K277" s="433"/>
      <c r="L277" s="433"/>
      <c r="M277" s="433"/>
      <c r="N277" s="433"/>
      <c r="O277" s="433"/>
      <c r="P277" s="433"/>
      <c r="Q277" s="433"/>
      <c r="R277" s="433"/>
      <c r="S277" s="433"/>
      <c r="T277" s="433"/>
      <c r="U277" s="433"/>
      <c r="V277" s="433"/>
      <c r="W277" s="433"/>
      <c r="X277" s="433"/>
      <c r="Y277" s="433"/>
      <c r="Z277" s="433"/>
    </row>
    <row r="278">
      <c r="A278" s="440"/>
      <c r="B278" s="441"/>
      <c r="C278" s="442"/>
      <c r="D278" s="443"/>
      <c r="E278" s="433"/>
      <c r="F278" s="433"/>
      <c r="G278" s="433"/>
      <c r="H278" s="433"/>
      <c r="I278" s="433"/>
      <c r="J278" s="433"/>
      <c r="K278" s="433"/>
      <c r="L278" s="433"/>
      <c r="M278" s="433"/>
      <c r="N278" s="433"/>
      <c r="O278" s="433"/>
      <c r="P278" s="433"/>
      <c r="Q278" s="433"/>
      <c r="R278" s="433"/>
      <c r="S278" s="433"/>
      <c r="T278" s="433"/>
      <c r="U278" s="433"/>
      <c r="V278" s="433"/>
      <c r="W278" s="433"/>
      <c r="X278" s="433"/>
      <c r="Y278" s="433"/>
      <c r="Z278" s="433"/>
    </row>
    <row r="279">
      <c r="A279" s="440"/>
      <c r="B279" s="441"/>
      <c r="C279" s="442"/>
      <c r="D279" s="443"/>
      <c r="E279" s="433"/>
      <c r="F279" s="433"/>
      <c r="G279" s="433"/>
      <c r="H279" s="433"/>
      <c r="I279" s="433"/>
      <c r="J279" s="433"/>
      <c r="K279" s="433"/>
      <c r="L279" s="433"/>
      <c r="M279" s="433"/>
      <c r="N279" s="433"/>
      <c r="O279" s="433"/>
      <c r="P279" s="433"/>
      <c r="Q279" s="433"/>
      <c r="R279" s="433"/>
      <c r="S279" s="433"/>
      <c r="T279" s="433"/>
      <c r="U279" s="433"/>
      <c r="V279" s="433"/>
      <c r="W279" s="433"/>
      <c r="X279" s="433"/>
      <c r="Y279" s="433"/>
      <c r="Z279" s="433"/>
    </row>
    <row r="280">
      <c r="A280" s="440"/>
      <c r="B280" s="441"/>
      <c r="C280" s="442"/>
      <c r="D280" s="443"/>
      <c r="E280" s="433"/>
      <c r="F280" s="433"/>
      <c r="G280" s="433"/>
      <c r="H280" s="433"/>
      <c r="I280" s="433"/>
      <c r="J280" s="433"/>
      <c r="K280" s="433"/>
      <c r="L280" s="433"/>
      <c r="M280" s="433"/>
      <c r="N280" s="433"/>
      <c r="O280" s="433"/>
      <c r="P280" s="433"/>
      <c r="Q280" s="433"/>
      <c r="R280" s="433"/>
      <c r="S280" s="433"/>
      <c r="T280" s="433"/>
      <c r="U280" s="433"/>
      <c r="V280" s="433"/>
      <c r="W280" s="433"/>
      <c r="X280" s="433"/>
      <c r="Y280" s="433"/>
      <c r="Z280" s="433"/>
    </row>
    <row r="281">
      <c r="A281" s="440"/>
      <c r="B281" s="441"/>
      <c r="C281" s="442"/>
      <c r="D281" s="443"/>
      <c r="E281" s="433"/>
      <c r="F281" s="433"/>
      <c r="G281" s="433"/>
      <c r="H281" s="433"/>
      <c r="I281" s="433"/>
      <c r="J281" s="433"/>
      <c r="K281" s="433"/>
      <c r="L281" s="433"/>
      <c r="M281" s="433"/>
      <c r="N281" s="433"/>
      <c r="O281" s="433"/>
      <c r="P281" s="433"/>
      <c r="Q281" s="433"/>
      <c r="R281" s="433"/>
      <c r="S281" s="433"/>
      <c r="T281" s="433"/>
      <c r="U281" s="433"/>
      <c r="V281" s="433"/>
      <c r="W281" s="433"/>
      <c r="X281" s="433"/>
      <c r="Y281" s="433"/>
      <c r="Z281" s="433"/>
    </row>
    <row r="282">
      <c r="A282" s="440"/>
      <c r="B282" s="441"/>
      <c r="C282" s="442"/>
      <c r="D282" s="443"/>
      <c r="E282" s="433"/>
      <c r="F282" s="433"/>
      <c r="G282" s="433"/>
      <c r="H282" s="433"/>
      <c r="I282" s="433"/>
      <c r="J282" s="433"/>
      <c r="K282" s="433"/>
      <c r="L282" s="433"/>
      <c r="M282" s="433"/>
      <c r="N282" s="433"/>
      <c r="O282" s="433"/>
      <c r="P282" s="433"/>
      <c r="Q282" s="433"/>
      <c r="R282" s="433"/>
      <c r="S282" s="433"/>
      <c r="T282" s="433"/>
      <c r="U282" s="433"/>
      <c r="V282" s="433"/>
      <c r="W282" s="433"/>
      <c r="X282" s="433"/>
      <c r="Y282" s="433"/>
      <c r="Z282" s="433"/>
    </row>
    <row r="283">
      <c r="A283" s="440"/>
      <c r="B283" s="441"/>
      <c r="C283" s="442"/>
      <c r="D283" s="443"/>
      <c r="E283" s="433"/>
      <c r="F283" s="433"/>
      <c r="G283" s="433"/>
      <c r="H283" s="433"/>
      <c r="I283" s="433"/>
      <c r="J283" s="433"/>
      <c r="K283" s="433"/>
      <c r="L283" s="433"/>
      <c r="M283" s="433"/>
      <c r="N283" s="433"/>
      <c r="O283" s="433"/>
      <c r="P283" s="433"/>
      <c r="Q283" s="433"/>
      <c r="R283" s="433"/>
      <c r="S283" s="433"/>
      <c r="T283" s="433"/>
      <c r="U283" s="433"/>
      <c r="V283" s="433"/>
      <c r="W283" s="433"/>
      <c r="X283" s="433"/>
      <c r="Y283" s="433"/>
      <c r="Z283" s="433"/>
    </row>
    <row r="284">
      <c r="A284" s="440"/>
      <c r="B284" s="441"/>
      <c r="C284" s="442"/>
      <c r="D284" s="443"/>
      <c r="E284" s="433"/>
      <c r="F284" s="433"/>
      <c r="G284" s="433"/>
      <c r="H284" s="433"/>
      <c r="I284" s="433"/>
      <c r="J284" s="433"/>
      <c r="K284" s="433"/>
      <c r="L284" s="433"/>
      <c r="M284" s="433"/>
      <c r="N284" s="433"/>
      <c r="O284" s="433"/>
      <c r="P284" s="433"/>
      <c r="Q284" s="433"/>
      <c r="R284" s="433"/>
      <c r="S284" s="433"/>
      <c r="T284" s="433"/>
      <c r="U284" s="433"/>
      <c r="V284" s="433"/>
      <c r="W284" s="433"/>
      <c r="X284" s="433"/>
      <c r="Y284" s="433"/>
      <c r="Z284" s="433"/>
    </row>
    <row r="285">
      <c r="A285" s="440"/>
      <c r="B285" s="441"/>
      <c r="C285" s="442"/>
      <c r="D285" s="443"/>
      <c r="E285" s="433"/>
      <c r="F285" s="433"/>
      <c r="G285" s="433"/>
      <c r="H285" s="433"/>
      <c r="I285" s="433"/>
      <c r="J285" s="433"/>
      <c r="K285" s="433"/>
      <c r="L285" s="433"/>
      <c r="M285" s="433"/>
      <c r="N285" s="433"/>
      <c r="O285" s="433"/>
      <c r="P285" s="433"/>
      <c r="Q285" s="433"/>
      <c r="R285" s="433"/>
      <c r="S285" s="433"/>
      <c r="T285" s="433"/>
      <c r="U285" s="433"/>
      <c r="V285" s="433"/>
      <c r="W285" s="433"/>
      <c r="X285" s="433"/>
      <c r="Y285" s="433"/>
      <c r="Z285" s="433"/>
    </row>
    <row r="286">
      <c r="A286" s="440"/>
      <c r="B286" s="441"/>
      <c r="C286" s="442"/>
      <c r="D286" s="443"/>
      <c r="E286" s="433"/>
      <c r="F286" s="433"/>
      <c r="G286" s="433"/>
      <c r="H286" s="433"/>
      <c r="I286" s="433"/>
      <c r="J286" s="433"/>
      <c r="K286" s="433"/>
      <c r="L286" s="433"/>
      <c r="M286" s="433"/>
      <c r="N286" s="433"/>
      <c r="O286" s="433"/>
      <c r="P286" s="433"/>
      <c r="Q286" s="433"/>
      <c r="R286" s="433"/>
      <c r="S286" s="433"/>
      <c r="T286" s="433"/>
      <c r="U286" s="433"/>
      <c r="V286" s="433"/>
      <c r="W286" s="433"/>
      <c r="X286" s="433"/>
      <c r="Y286" s="433"/>
      <c r="Z286" s="433"/>
    </row>
    <row r="287">
      <c r="A287" s="440"/>
      <c r="B287" s="441"/>
      <c r="C287" s="442"/>
      <c r="D287" s="443"/>
      <c r="E287" s="433"/>
      <c r="F287" s="433"/>
      <c r="G287" s="433"/>
      <c r="H287" s="433"/>
      <c r="I287" s="433"/>
      <c r="J287" s="433"/>
      <c r="K287" s="433"/>
      <c r="L287" s="433"/>
      <c r="M287" s="433"/>
      <c r="N287" s="433"/>
      <c r="O287" s="433"/>
      <c r="P287" s="433"/>
      <c r="Q287" s="433"/>
      <c r="R287" s="433"/>
      <c r="S287" s="433"/>
      <c r="T287" s="433"/>
      <c r="U287" s="433"/>
      <c r="V287" s="433"/>
      <c r="W287" s="433"/>
      <c r="X287" s="433"/>
      <c r="Y287" s="433"/>
      <c r="Z287" s="433"/>
    </row>
    <row r="288">
      <c r="A288" s="440"/>
      <c r="B288" s="441"/>
      <c r="C288" s="442"/>
      <c r="D288" s="443"/>
      <c r="E288" s="433"/>
      <c r="F288" s="433"/>
      <c r="G288" s="433"/>
      <c r="H288" s="433"/>
      <c r="I288" s="433"/>
      <c r="J288" s="433"/>
      <c r="K288" s="433"/>
      <c r="L288" s="433"/>
      <c r="M288" s="433"/>
      <c r="N288" s="433"/>
      <c r="O288" s="433"/>
      <c r="P288" s="433"/>
      <c r="Q288" s="433"/>
      <c r="R288" s="433"/>
      <c r="S288" s="433"/>
      <c r="T288" s="433"/>
      <c r="U288" s="433"/>
      <c r="V288" s="433"/>
      <c r="W288" s="433"/>
      <c r="X288" s="433"/>
      <c r="Y288" s="433"/>
      <c r="Z288" s="433"/>
    </row>
    <row r="289">
      <c r="A289" s="440"/>
      <c r="B289" s="441"/>
      <c r="C289" s="442"/>
      <c r="D289" s="443"/>
      <c r="E289" s="433"/>
      <c r="F289" s="433"/>
      <c r="G289" s="433"/>
      <c r="H289" s="433"/>
      <c r="I289" s="433"/>
      <c r="J289" s="433"/>
      <c r="K289" s="433"/>
      <c r="L289" s="433"/>
      <c r="M289" s="433"/>
      <c r="N289" s="433"/>
      <c r="O289" s="433"/>
      <c r="P289" s="433"/>
      <c r="Q289" s="433"/>
      <c r="R289" s="433"/>
      <c r="S289" s="433"/>
      <c r="T289" s="433"/>
      <c r="U289" s="433"/>
      <c r="V289" s="433"/>
      <c r="W289" s="433"/>
      <c r="X289" s="433"/>
      <c r="Y289" s="433"/>
      <c r="Z289" s="433"/>
    </row>
    <row r="290">
      <c r="A290" s="440"/>
      <c r="B290" s="441"/>
      <c r="C290" s="442"/>
      <c r="D290" s="443"/>
      <c r="E290" s="433"/>
      <c r="F290" s="433"/>
      <c r="G290" s="433"/>
      <c r="H290" s="433"/>
      <c r="I290" s="433"/>
      <c r="J290" s="433"/>
      <c r="K290" s="433"/>
      <c r="L290" s="433"/>
      <c r="M290" s="433"/>
      <c r="N290" s="433"/>
      <c r="O290" s="433"/>
      <c r="P290" s="433"/>
      <c r="Q290" s="433"/>
      <c r="R290" s="433"/>
      <c r="S290" s="433"/>
      <c r="T290" s="433"/>
      <c r="U290" s="433"/>
      <c r="V290" s="433"/>
      <c r="W290" s="433"/>
      <c r="X290" s="433"/>
      <c r="Y290" s="433"/>
      <c r="Z290" s="433"/>
    </row>
    <row r="291">
      <c r="A291" s="440"/>
      <c r="B291" s="441"/>
      <c r="C291" s="442"/>
      <c r="D291" s="443"/>
      <c r="E291" s="433"/>
      <c r="F291" s="433"/>
      <c r="G291" s="433"/>
      <c r="H291" s="433"/>
      <c r="I291" s="433"/>
      <c r="J291" s="433"/>
      <c r="K291" s="433"/>
      <c r="L291" s="433"/>
      <c r="M291" s="433"/>
      <c r="N291" s="433"/>
      <c r="O291" s="433"/>
      <c r="P291" s="433"/>
      <c r="Q291" s="433"/>
      <c r="R291" s="433"/>
      <c r="S291" s="433"/>
      <c r="T291" s="433"/>
      <c r="U291" s="433"/>
      <c r="V291" s="433"/>
      <c r="W291" s="433"/>
      <c r="X291" s="433"/>
      <c r="Y291" s="433"/>
      <c r="Z291" s="433"/>
    </row>
    <row r="292">
      <c r="A292" s="440"/>
      <c r="B292" s="441"/>
      <c r="C292" s="442"/>
      <c r="D292" s="443"/>
      <c r="E292" s="433"/>
      <c r="F292" s="433"/>
      <c r="G292" s="433"/>
      <c r="H292" s="433"/>
      <c r="I292" s="433"/>
      <c r="J292" s="433"/>
      <c r="K292" s="433"/>
      <c r="L292" s="433"/>
      <c r="M292" s="433"/>
      <c r="N292" s="433"/>
      <c r="O292" s="433"/>
      <c r="P292" s="433"/>
      <c r="Q292" s="433"/>
      <c r="R292" s="433"/>
      <c r="S292" s="433"/>
      <c r="T292" s="433"/>
      <c r="U292" s="433"/>
      <c r="V292" s="433"/>
      <c r="W292" s="433"/>
      <c r="X292" s="433"/>
      <c r="Y292" s="433"/>
      <c r="Z292" s="433"/>
    </row>
    <row r="293">
      <c r="A293" s="440"/>
      <c r="B293" s="441"/>
      <c r="C293" s="442"/>
      <c r="D293" s="443"/>
      <c r="E293" s="433"/>
      <c r="F293" s="433"/>
      <c r="G293" s="433"/>
      <c r="H293" s="433"/>
      <c r="I293" s="433"/>
      <c r="J293" s="433"/>
      <c r="K293" s="433"/>
      <c r="L293" s="433"/>
      <c r="M293" s="433"/>
      <c r="N293" s="433"/>
      <c r="O293" s="433"/>
      <c r="P293" s="433"/>
      <c r="Q293" s="433"/>
      <c r="R293" s="433"/>
      <c r="S293" s="433"/>
      <c r="T293" s="433"/>
      <c r="U293" s="433"/>
      <c r="V293" s="433"/>
      <c r="W293" s="433"/>
      <c r="X293" s="433"/>
      <c r="Y293" s="433"/>
      <c r="Z293" s="433"/>
    </row>
    <row r="294">
      <c r="A294" s="440"/>
      <c r="B294" s="441"/>
      <c r="C294" s="442"/>
      <c r="D294" s="443"/>
      <c r="E294" s="433"/>
      <c r="F294" s="433"/>
      <c r="G294" s="433"/>
      <c r="H294" s="433"/>
      <c r="I294" s="433"/>
      <c r="J294" s="433"/>
      <c r="K294" s="433"/>
      <c r="L294" s="433"/>
      <c r="M294" s="433"/>
      <c r="N294" s="433"/>
      <c r="O294" s="433"/>
      <c r="P294" s="433"/>
      <c r="Q294" s="433"/>
      <c r="R294" s="433"/>
      <c r="S294" s="433"/>
      <c r="T294" s="433"/>
      <c r="U294" s="433"/>
      <c r="V294" s="433"/>
      <c r="W294" s="433"/>
      <c r="X294" s="433"/>
      <c r="Y294" s="433"/>
      <c r="Z294" s="433"/>
    </row>
    <row r="295">
      <c r="A295" s="440"/>
      <c r="B295" s="441"/>
      <c r="C295" s="442"/>
      <c r="D295" s="443"/>
      <c r="E295" s="433"/>
      <c r="F295" s="433"/>
      <c r="G295" s="433"/>
      <c r="H295" s="433"/>
      <c r="I295" s="433"/>
      <c r="J295" s="433"/>
      <c r="K295" s="433"/>
      <c r="L295" s="433"/>
      <c r="M295" s="433"/>
      <c r="N295" s="433"/>
      <c r="O295" s="433"/>
      <c r="P295" s="433"/>
      <c r="Q295" s="433"/>
      <c r="R295" s="433"/>
      <c r="S295" s="433"/>
      <c r="T295" s="433"/>
      <c r="U295" s="433"/>
      <c r="V295" s="433"/>
      <c r="W295" s="433"/>
      <c r="X295" s="433"/>
      <c r="Y295" s="433"/>
      <c r="Z295" s="433"/>
    </row>
    <row r="296">
      <c r="A296" s="440"/>
      <c r="B296" s="441"/>
      <c r="C296" s="442"/>
      <c r="D296" s="443"/>
      <c r="E296" s="433"/>
      <c r="F296" s="433"/>
      <c r="G296" s="433"/>
      <c r="H296" s="433"/>
      <c r="I296" s="433"/>
      <c r="J296" s="433"/>
      <c r="K296" s="433"/>
      <c r="L296" s="433"/>
      <c r="M296" s="433"/>
      <c r="N296" s="433"/>
      <c r="O296" s="433"/>
      <c r="P296" s="433"/>
      <c r="Q296" s="433"/>
      <c r="R296" s="433"/>
      <c r="S296" s="433"/>
      <c r="T296" s="433"/>
      <c r="U296" s="433"/>
      <c r="V296" s="433"/>
      <c r="W296" s="433"/>
      <c r="X296" s="433"/>
      <c r="Y296" s="433"/>
      <c r="Z296" s="433"/>
    </row>
    <row r="297">
      <c r="A297" s="440"/>
      <c r="B297" s="441"/>
      <c r="C297" s="442"/>
      <c r="D297" s="443"/>
      <c r="E297" s="433"/>
      <c r="F297" s="433"/>
      <c r="G297" s="433"/>
      <c r="H297" s="433"/>
      <c r="I297" s="433"/>
      <c r="J297" s="433"/>
      <c r="K297" s="433"/>
      <c r="L297" s="433"/>
      <c r="M297" s="433"/>
      <c r="N297" s="433"/>
      <c r="O297" s="433"/>
      <c r="P297" s="433"/>
      <c r="Q297" s="433"/>
      <c r="R297" s="433"/>
      <c r="S297" s="433"/>
      <c r="T297" s="433"/>
      <c r="U297" s="433"/>
      <c r="V297" s="433"/>
      <c r="W297" s="433"/>
      <c r="X297" s="433"/>
      <c r="Y297" s="433"/>
      <c r="Z297" s="433"/>
    </row>
    <row r="298">
      <c r="A298" s="440"/>
      <c r="B298" s="441"/>
      <c r="C298" s="442"/>
      <c r="D298" s="443"/>
      <c r="E298" s="433"/>
      <c r="F298" s="433"/>
      <c r="G298" s="433"/>
      <c r="H298" s="433"/>
      <c r="I298" s="433"/>
      <c r="J298" s="433"/>
      <c r="K298" s="433"/>
      <c r="L298" s="433"/>
      <c r="M298" s="433"/>
      <c r="N298" s="433"/>
      <c r="O298" s="433"/>
      <c r="P298" s="433"/>
      <c r="Q298" s="433"/>
      <c r="R298" s="433"/>
      <c r="S298" s="433"/>
      <c r="T298" s="433"/>
      <c r="U298" s="433"/>
      <c r="V298" s="433"/>
      <c r="W298" s="433"/>
      <c r="X298" s="433"/>
      <c r="Y298" s="433"/>
      <c r="Z298" s="433"/>
    </row>
    <row r="299">
      <c r="A299" s="440"/>
      <c r="B299" s="441"/>
      <c r="C299" s="442"/>
      <c r="D299" s="443"/>
      <c r="E299" s="433"/>
      <c r="F299" s="433"/>
      <c r="G299" s="433"/>
      <c r="H299" s="433"/>
      <c r="I299" s="433"/>
      <c r="J299" s="433"/>
      <c r="K299" s="433"/>
      <c r="L299" s="433"/>
      <c r="M299" s="433"/>
      <c r="N299" s="433"/>
      <c r="O299" s="433"/>
      <c r="P299" s="433"/>
      <c r="Q299" s="433"/>
      <c r="R299" s="433"/>
      <c r="S299" s="433"/>
      <c r="T299" s="433"/>
      <c r="U299" s="433"/>
      <c r="V299" s="433"/>
      <c r="W299" s="433"/>
      <c r="X299" s="433"/>
      <c r="Y299" s="433"/>
      <c r="Z299" s="433"/>
    </row>
    <row r="300">
      <c r="A300" s="440"/>
      <c r="B300" s="441"/>
      <c r="C300" s="442"/>
      <c r="D300" s="443"/>
      <c r="E300" s="433"/>
      <c r="F300" s="433"/>
      <c r="G300" s="433"/>
      <c r="H300" s="433"/>
      <c r="I300" s="433"/>
      <c r="J300" s="433"/>
      <c r="K300" s="433"/>
      <c r="L300" s="433"/>
      <c r="M300" s="433"/>
      <c r="N300" s="433"/>
      <c r="O300" s="433"/>
      <c r="P300" s="433"/>
      <c r="Q300" s="433"/>
      <c r="R300" s="433"/>
      <c r="S300" s="433"/>
      <c r="T300" s="433"/>
      <c r="U300" s="433"/>
      <c r="V300" s="433"/>
      <c r="W300" s="433"/>
      <c r="X300" s="433"/>
      <c r="Y300" s="433"/>
      <c r="Z300" s="433"/>
    </row>
    <row r="301">
      <c r="A301" s="440"/>
      <c r="B301" s="441"/>
      <c r="C301" s="442"/>
      <c r="D301" s="443"/>
      <c r="E301" s="433"/>
      <c r="F301" s="433"/>
      <c r="G301" s="433"/>
      <c r="H301" s="433"/>
      <c r="I301" s="433"/>
      <c r="J301" s="433"/>
      <c r="K301" s="433"/>
      <c r="L301" s="433"/>
      <c r="M301" s="433"/>
      <c r="N301" s="433"/>
      <c r="O301" s="433"/>
      <c r="P301" s="433"/>
      <c r="Q301" s="433"/>
      <c r="R301" s="433"/>
      <c r="S301" s="433"/>
      <c r="T301" s="433"/>
      <c r="U301" s="433"/>
      <c r="V301" s="433"/>
      <c r="W301" s="433"/>
      <c r="X301" s="433"/>
      <c r="Y301" s="433"/>
      <c r="Z301" s="433"/>
    </row>
    <row r="302">
      <c r="A302" s="440"/>
      <c r="B302" s="441"/>
      <c r="C302" s="442"/>
      <c r="D302" s="443"/>
      <c r="E302" s="433"/>
      <c r="F302" s="433"/>
      <c r="G302" s="433"/>
      <c r="H302" s="433"/>
      <c r="I302" s="433"/>
      <c r="J302" s="433"/>
      <c r="K302" s="433"/>
      <c r="L302" s="433"/>
      <c r="M302" s="433"/>
      <c r="N302" s="433"/>
      <c r="O302" s="433"/>
      <c r="P302" s="433"/>
      <c r="Q302" s="433"/>
      <c r="R302" s="433"/>
      <c r="S302" s="433"/>
      <c r="T302" s="433"/>
      <c r="U302" s="433"/>
      <c r="V302" s="433"/>
      <c r="W302" s="433"/>
      <c r="X302" s="433"/>
      <c r="Y302" s="433"/>
      <c r="Z302" s="433"/>
    </row>
    <row r="303">
      <c r="A303" s="440"/>
      <c r="B303" s="441"/>
      <c r="C303" s="442"/>
      <c r="D303" s="443"/>
      <c r="E303" s="433"/>
      <c r="F303" s="433"/>
      <c r="G303" s="433"/>
      <c r="H303" s="433"/>
      <c r="I303" s="433"/>
      <c r="J303" s="433"/>
      <c r="K303" s="433"/>
      <c r="L303" s="433"/>
      <c r="M303" s="433"/>
      <c r="N303" s="433"/>
      <c r="O303" s="433"/>
      <c r="P303" s="433"/>
      <c r="Q303" s="433"/>
      <c r="R303" s="433"/>
      <c r="S303" s="433"/>
      <c r="T303" s="433"/>
      <c r="U303" s="433"/>
      <c r="V303" s="433"/>
      <c r="W303" s="433"/>
      <c r="X303" s="433"/>
      <c r="Y303" s="433"/>
      <c r="Z303" s="433"/>
    </row>
    <row r="304">
      <c r="A304" s="440"/>
      <c r="B304" s="441"/>
      <c r="C304" s="442"/>
      <c r="D304" s="443"/>
      <c r="E304" s="433"/>
      <c r="F304" s="433"/>
      <c r="G304" s="433"/>
      <c r="H304" s="433"/>
      <c r="I304" s="433"/>
      <c r="J304" s="433"/>
      <c r="K304" s="433"/>
      <c r="L304" s="433"/>
      <c r="M304" s="433"/>
      <c r="N304" s="433"/>
      <c r="O304" s="433"/>
      <c r="P304" s="433"/>
      <c r="Q304" s="433"/>
      <c r="R304" s="433"/>
      <c r="S304" s="433"/>
      <c r="T304" s="433"/>
      <c r="U304" s="433"/>
      <c r="V304" s="433"/>
      <c r="W304" s="433"/>
      <c r="X304" s="433"/>
      <c r="Y304" s="433"/>
      <c r="Z304" s="433"/>
    </row>
    <row r="305">
      <c r="A305" s="440"/>
      <c r="B305" s="441"/>
      <c r="C305" s="442"/>
      <c r="D305" s="443"/>
      <c r="E305" s="433"/>
      <c r="F305" s="433"/>
      <c r="G305" s="433"/>
      <c r="H305" s="433"/>
      <c r="I305" s="433"/>
      <c r="J305" s="433"/>
      <c r="K305" s="433"/>
      <c r="L305" s="433"/>
      <c r="M305" s="433"/>
      <c r="N305" s="433"/>
      <c r="O305" s="433"/>
      <c r="P305" s="433"/>
      <c r="Q305" s="433"/>
      <c r="R305" s="433"/>
      <c r="S305" s="433"/>
      <c r="T305" s="433"/>
      <c r="U305" s="433"/>
      <c r="V305" s="433"/>
      <c r="W305" s="433"/>
      <c r="X305" s="433"/>
      <c r="Y305" s="433"/>
      <c r="Z305" s="433"/>
    </row>
    <row r="306">
      <c r="A306" s="440"/>
      <c r="B306" s="441"/>
      <c r="C306" s="442"/>
      <c r="D306" s="443"/>
      <c r="E306" s="433"/>
      <c r="F306" s="433"/>
      <c r="G306" s="433"/>
      <c r="H306" s="433"/>
      <c r="I306" s="433"/>
      <c r="J306" s="433"/>
      <c r="K306" s="433"/>
      <c r="L306" s="433"/>
      <c r="M306" s="433"/>
      <c r="N306" s="433"/>
      <c r="O306" s="433"/>
      <c r="P306" s="433"/>
      <c r="Q306" s="433"/>
      <c r="R306" s="433"/>
      <c r="S306" s="433"/>
      <c r="T306" s="433"/>
      <c r="U306" s="433"/>
      <c r="V306" s="433"/>
      <c r="W306" s="433"/>
      <c r="X306" s="433"/>
      <c r="Y306" s="433"/>
      <c r="Z306" s="433"/>
    </row>
    <row r="307">
      <c r="A307" s="440"/>
      <c r="B307" s="441"/>
      <c r="C307" s="442"/>
      <c r="D307" s="443"/>
      <c r="E307" s="433"/>
      <c r="F307" s="433"/>
      <c r="G307" s="433"/>
      <c r="H307" s="433"/>
      <c r="I307" s="433"/>
      <c r="J307" s="433"/>
      <c r="K307" s="433"/>
      <c r="L307" s="433"/>
      <c r="M307" s="433"/>
      <c r="N307" s="433"/>
      <c r="O307" s="433"/>
      <c r="P307" s="433"/>
      <c r="Q307" s="433"/>
      <c r="R307" s="433"/>
      <c r="S307" s="433"/>
      <c r="T307" s="433"/>
      <c r="U307" s="433"/>
      <c r="V307" s="433"/>
      <c r="W307" s="433"/>
      <c r="X307" s="433"/>
      <c r="Y307" s="433"/>
      <c r="Z307" s="433"/>
    </row>
    <row r="308">
      <c r="A308" s="440"/>
      <c r="B308" s="441"/>
      <c r="C308" s="442"/>
      <c r="D308" s="443"/>
      <c r="E308" s="433"/>
      <c r="F308" s="433"/>
      <c r="G308" s="433"/>
      <c r="H308" s="433"/>
      <c r="I308" s="433"/>
      <c r="J308" s="433"/>
      <c r="K308" s="433"/>
      <c r="L308" s="433"/>
      <c r="M308" s="433"/>
      <c r="N308" s="433"/>
      <c r="O308" s="433"/>
      <c r="P308" s="433"/>
      <c r="Q308" s="433"/>
      <c r="R308" s="433"/>
      <c r="S308" s="433"/>
      <c r="T308" s="433"/>
      <c r="U308" s="433"/>
      <c r="V308" s="433"/>
      <c r="W308" s="433"/>
      <c r="X308" s="433"/>
      <c r="Y308" s="433"/>
      <c r="Z308" s="433"/>
    </row>
    <row r="309">
      <c r="A309" s="440"/>
      <c r="B309" s="441"/>
      <c r="C309" s="442"/>
      <c r="D309" s="443"/>
      <c r="E309" s="433"/>
      <c r="F309" s="433"/>
      <c r="G309" s="433"/>
      <c r="H309" s="433"/>
      <c r="I309" s="433"/>
      <c r="J309" s="433"/>
      <c r="K309" s="433"/>
      <c r="L309" s="433"/>
      <c r="M309" s="433"/>
      <c r="N309" s="433"/>
      <c r="O309" s="433"/>
      <c r="P309" s="433"/>
      <c r="Q309" s="433"/>
      <c r="R309" s="433"/>
      <c r="S309" s="433"/>
      <c r="T309" s="433"/>
      <c r="U309" s="433"/>
      <c r="V309" s="433"/>
      <c r="W309" s="433"/>
      <c r="X309" s="433"/>
      <c r="Y309" s="433"/>
      <c r="Z309" s="433"/>
    </row>
    <row r="310">
      <c r="A310" s="440"/>
      <c r="B310" s="441"/>
      <c r="C310" s="442"/>
      <c r="D310" s="443"/>
      <c r="E310" s="433"/>
      <c r="F310" s="433"/>
      <c r="G310" s="433"/>
      <c r="H310" s="433"/>
      <c r="I310" s="433"/>
      <c r="J310" s="433"/>
      <c r="K310" s="433"/>
      <c r="L310" s="433"/>
      <c r="M310" s="433"/>
      <c r="N310" s="433"/>
      <c r="O310" s="433"/>
      <c r="P310" s="433"/>
      <c r="Q310" s="433"/>
      <c r="R310" s="433"/>
      <c r="S310" s="433"/>
      <c r="T310" s="433"/>
      <c r="U310" s="433"/>
      <c r="V310" s="433"/>
      <c r="W310" s="433"/>
      <c r="X310" s="433"/>
      <c r="Y310" s="433"/>
      <c r="Z310" s="433"/>
    </row>
    <row r="311">
      <c r="A311" s="440"/>
      <c r="B311" s="441"/>
      <c r="C311" s="442"/>
      <c r="D311" s="443"/>
      <c r="E311" s="433"/>
      <c r="F311" s="433"/>
      <c r="G311" s="433"/>
      <c r="H311" s="433"/>
      <c r="I311" s="433"/>
      <c r="J311" s="433"/>
      <c r="K311" s="433"/>
      <c r="L311" s="433"/>
      <c r="M311" s="433"/>
      <c r="N311" s="433"/>
      <c r="O311" s="433"/>
      <c r="P311" s="433"/>
      <c r="Q311" s="433"/>
      <c r="R311" s="433"/>
      <c r="S311" s="433"/>
      <c r="T311" s="433"/>
      <c r="U311" s="433"/>
      <c r="V311" s="433"/>
      <c r="W311" s="433"/>
      <c r="X311" s="433"/>
      <c r="Y311" s="433"/>
      <c r="Z311" s="433"/>
    </row>
    <row r="312">
      <c r="A312" s="440"/>
      <c r="B312" s="441"/>
      <c r="C312" s="442"/>
      <c r="D312" s="443"/>
      <c r="E312" s="433"/>
      <c r="F312" s="433"/>
      <c r="G312" s="433"/>
      <c r="H312" s="433"/>
      <c r="I312" s="433"/>
      <c r="J312" s="433"/>
      <c r="K312" s="433"/>
      <c r="L312" s="433"/>
      <c r="M312" s="433"/>
      <c r="N312" s="433"/>
      <c r="O312" s="433"/>
      <c r="P312" s="433"/>
      <c r="Q312" s="433"/>
      <c r="R312" s="433"/>
      <c r="S312" s="433"/>
      <c r="T312" s="433"/>
      <c r="U312" s="433"/>
      <c r="V312" s="433"/>
      <c r="W312" s="433"/>
      <c r="X312" s="433"/>
      <c r="Y312" s="433"/>
      <c r="Z312" s="433"/>
    </row>
    <row r="313">
      <c r="A313" s="440"/>
      <c r="B313" s="441"/>
      <c r="C313" s="442"/>
      <c r="D313" s="443"/>
      <c r="E313" s="433"/>
      <c r="F313" s="433"/>
      <c r="G313" s="433"/>
      <c r="H313" s="433"/>
      <c r="I313" s="433"/>
      <c r="J313" s="433"/>
      <c r="K313" s="433"/>
      <c r="L313" s="433"/>
      <c r="M313" s="433"/>
      <c r="N313" s="433"/>
      <c r="O313" s="433"/>
      <c r="P313" s="433"/>
      <c r="Q313" s="433"/>
      <c r="R313" s="433"/>
      <c r="S313" s="433"/>
      <c r="T313" s="433"/>
      <c r="U313" s="433"/>
      <c r="V313" s="433"/>
      <c r="W313" s="433"/>
      <c r="X313" s="433"/>
      <c r="Y313" s="433"/>
      <c r="Z313" s="433"/>
    </row>
    <row r="314">
      <c r="A314" s="440"/>
      <c r="B314" s="441"/>
      <c r="C314" s="442"/>
      <c r="D314" s="443"/>
      <c r="E314" s="433"/>
      <c r="F314" s="433"/>
      <c r="G314" s="433"/>
      <c r="H314" s="433"/>
      <c r="I314" s="433"/>
      <c r="J314" s="433"/>
      <c r="K314" s="433"/>
      <c r="L314" s="433"/>
      <c r="M314" s="433"/>
      <c r="N314" s="433"/>
      <c r="O314" s="433"/>
      <c r="P314" s="433"/>
      <c r="Q314" s="433"/>
      <c r="R314" s="433"/>
      <c r="S314" s="433"/>
      <c r="T314" s="433"/>
      <c r="U314" s="433"/>
      <c r="V314" s="433"/>
      <c r="W314" s="433"/>
      <c r="X314" s="433"/>
      <c r="Y314" s="433"/>
      <c r="Z314" s="433"/>
    </row>
    <row r="315">
      <c r="A315" s="440"/>
      <c r="B315" s="441"/>
      <c r="C315" s="442"/>
      <c r="D315" s="443"/>
      <c r="E315" s="433"/>
      <c r="F315" s="433"/>
      <c r="G315" s="433"/>
      <c r="H315" s="433"/>
      <c r="I315" s="433"/>
      <c r="J315" s="433"/>
      <c r="K315" s="433"/>
      <c r="L315" s="433"/>
      <c r="M315" s="433"/>
      <c r="N315" s="433"/>
      <c r="O315" s="433"/>
      <c r="P315" s="433"/>
      <c r="Q315" s="433"/>
      <c r="R315" s="433"/>
      <c r="S315" s="433"/>
      <c r="T315" s="433"/>
      <c r="U315" s="433"/>
      <c r="V315" s="433"/>
      <c r="W315" s="433"/>
      <c r="X315" s="433"/>
      <c r="Y315" s="433"/>
      <c r="Z315" s="433"/>
    </row>
    <row r="316">
      <c r="A316" s="440"/>
      <c r="B316" s="441"/>
      <c r="C316" s="442"/>
      <c r="D316" s="443"/>
      <c r="E316" s="433"/>
      <c r="F316" s="433"/>
      <c r="G316" s="433"/>
      <c r="H316" s="433"/>
      <c r="I316" s="433"/>
      <c r="J316" s="433"/>
      <c r="K316" s="433"/>
      <c r="L316" s="433"/>
      <c r="M316" s="433"/>
      <c r="N316" s="433"/>
      <c r="O316" s="433"/>
      <c r="P316" s="433"/>
      <c r="Q316" s="433"/>
      <c r="R316" s="433"/>
      <c r="S316" s="433"/>
      <c r="T316" s="433"/>
      <c r="U316" s="433"/>
      <c r="V316" s="433"/>
      <c r="W316" s="433"/>
      <c r="X316" s="433"/>
      <c r="Y316" s="433"/>
      <c r="Z316" s="433"/>
    </row>
    <row r="317">
      <c r="A317" s="440"/>
      <c r="B317" s="441"/>
      <c r="C317" s="442"/>
      <c r="D317" s="443"/>
      <c r="E317" s="433"/>
      <c r="F317" s="433"/>
      <c r="G317" s="433"/>
      <c r="H317" s="433"/>
      <c r="I317" s="433"/>
      <c r="J317" s="433"/>
      <c r="K317" s="433"/>
      <c r="L317" s="433"/>
      <c r="M317" s="433"/>
      <c r="N317" s="433"/>
      <c r="O317" s="433"/>
      <c r="P317" s="433"/>
      <c r="Q317" s="433"/>
      <c r="R317" s="433"/>
      <c r="S317" s="433"/>
      <c r="T317" s="433"/>
      <c r="U317" s="433"/>
      <c r="V317" s="433"/>
      <c r="W317" s="433"/>
      <c r="X317" s="433"/>
      <c r="Y317" s="433"/>
      <c r="Z317" s="433"/>
    </row>
    <row r="318">
      <c r="A318" s="440"/>
      <c r="B318" s="441"/>
      <c r="C318" s="442"/>
      <c r="D318" s="443"/>
      <c r="E318" s="433"/>
      <c r="F318" s="433"/>
      <c r="G318" s="433"/>
      <c r="H318" s="433"/>
      <c r="I318" s="433"/>
      <c r="J318" s="433"/>
      <c r="K318" s="433"/>
      <c r="L318" s="433"/>
      <c r="M318" s="433"/>
      <c r="N318" s="433"/>
      <c r="O318" s="433"/>
      <c r="P318" s="433"/>
      <c r="Q318" s="433"/>
      <c r="R318" s="433"/>
      <c r="S318" s="433"/>
      <c r="T318" s="433"/>
      <c r="U318" s="433"/>
      <c r="V318" s="433"/>
      <c r="W318" s="433"/>
      <c r="X318" s="433"/>
      <c r="Y318" s="433"/>
      <c r="Z318" s="433"/>
    </row>
    <row r="319">
      <c r="A319" s="440"/>
      <c r="B319" s="441"/>
      <c r="C319" s="442"/>
      <c r="D319" s="443"/>
      <c r="E319" s="433"/>
      <c r="F319" s="433"/>
      <c r="G319" s="433"/>
      <c r="H319" s="433"/>
      <c r="I319" s="433"/>
      <c r="J319" s="433"/>
      <c r="K319" s="433"/>
      <c r="L319" s="433"/>
      <c r="M319" s="433"/>
      <c r="N319" s="433"/>
      <c r="O319" s="433"/>
      <c r="P319" s="433"/>
      <c r="Q319" s="433"/>
      <c r="R319" s="433"/>
      <c r="S319" s="433"/>
      <c r="T319" s="433"/>
      <c r="U319" s="433"/>
      <c r="V319" s="433"/>
      <c r="W319" s="433"/>
      <c r="X319" s="433"/>
      <c r="Y319" s="433"/>
      <c r="Z319" s="433"/>
    </row>
    <row r="320">
      <c r="A320" s="440"/>
      <c r="B320" s="441"/>
      <c r="C320" s="442"/>
      <c r="D320" s="443"/>
      <c r="E320" s="433"/>
      <c r="F320" s="433"/>
      <c r="G320" s="433"/>
      <c r="H320" s="433"/>
      <c r="I320" s="433"/>
      <c r="J320" s="433"/>
      <c r="K320" s="433"/>
      <c r="L320" s="433"/>
      <c r="M320" s="433"/>
      <c r="N320" s="433"/>
      <c r="O320" s="433"/>
      <c r="P320" s="433"/>
      <c r="Q320" s="433"/>
      <c r="R320" s="433"/>
      <c r="S320" s="433"/>
      <c r="T320" s="433"/>
      <c r="U320" s="433"/>
      <c r="V320" s="433"/>
      <c r="W320" s="433"/>
      <c r="X320" s="433"/>
      <c r="Y320" s="433"/>
      <c r="Z320" s="433"/>
    </row>
    <row r="321">
      <c r="A321" s="440"/>
      <c r="B321" s="441"/>
      <c r="C321" s="442"/>
      <c r="D321" s="443"/>
      <c r="E321" s="433"/>
      <c r="F321" s="433"/>
      <c r="G321" s="433"/>
      <c r="H321" s="433"/>
      <c r="I321" s="433"/>
      <c r="J321" s="433"/>
      <c r="K321" s="433"/>
      <c r="L321" s="433"/>
      <c r="M321" s="433"/>
      <c r="N321" s="433"/>
      <c r="O321" s="433"/>
      <c r="P321" s="433"/>
      <c r="Q321" s="433"/>
      <c r="R321" s="433"/>
      <c r="S321" s="433"/>
      <c r="T321" s="433"/>
      <c r="U321" s="433"/>
      <c r="V321" s="433"/>
      <c r="W321" s="433"/>
      <c r="X321" s="433"/>
      <c r="Y321" s="433"/>
      <c r="Z321" s="433"/>
    </row>
    <row r="322">
      <c r="A322" s="440"/>
      <c r="B322" s="441"/>
      <c r="C322" s="442"/>
      <c r="D322" s="443"/>
      <c r="E322" s="433"/>
      <c r="F322" s="433"/>
      <c r="G322" s="433"/>
      <c r="H322" s="433"/>
      <c r="I322" s="433"/>
      <c r="J322" s="433"/>
      <c r="K322" s="433"/>
      <c r="L322" s="433"/>
      <c r="M322" s="433"/>
      <c r="N322" s="433"/>
      <c r="O322" s="433"/>
      <c r="P322" s="433"/>
      <c r="Q322" s="433"/>
      <c r="R322" s="433"/>
      <c r="S322" s="433"/>
      <c r="T322" s="433"/>
      <c r="U322" s="433"/>
      <c r="V322" s="433"/>
      <c r="W322" s="433"/>
      <c r="X322" s="433"/>
      <c r="Y322" s="433"/>
      <c r="Z322" s="433"/>
    </row>
    <row r="323">
      <c r="A323" s="440"/>
      <c r="B323" s="441"/>
      <c r="C323" s="442"/>
      <c r="D323" s="443"/>
      <c r="E323" s="433"/>
      <c r="F323" s="433"/>
      <c r="G323" s="433"/>
      <c r="H323" s="433"/>
      <c r="I323" s="433"/>
      <c r="J323" s="433"/>
      <c r="K323" s="433"/>
      <c r="L323" s="433"/>
      <c r="M323" s="433"/>
      <c r="N323" s="433"/>
      <c r="O323" s="433"/>
      <c r="P323" s="433"/>
      <c r="Q323" s="433"/>
      <c r="R323" s="433"/>
      <c r="S323" s="433"/>
      <c r="T323" s="433"/>
      <c r="U323" s="433"/>
      <c r="V323" s="433"/>
      <c r="W323" s="433"/>
      <c r="X323" s="433"/>
      <c r="Y323" s="433"/>
      <c r="Z323" s="433"/>
    </row>
    <row r="324">
      <c r="A324" s="440"/>
      <c r="B324" s="441"/>
      <c r="C324" s="442"/>
      <c r="D324" s="443"/>
      <c r="E324" s="433"/>
      <c r="F324" s="433"/>
      <c r="G324" s="433"/>
      <c r="H324" s="433"/>
      <c r="I324" s="433"/>
      <c r="J324" s="433"/>
      <c r="K324" s="433"/>
      <c r="L324" s="433"/>
      <c r="M324" s="433"/>
      <c r="N324" s="433"/>
      <c r="O324" s="433"/>
      <c r="P324" s="433"/>
      <c r="Q324" s="433"/>
      <c r="R324" s="433"/>
      <c r="S324" s="433"/>
      <c r="T324" s="433"/>
      <c r="U324" s="433"/>
      <c r="V324" s="433"/>
      <c r="W324" s="433"/>
      <c r="X324" s="433"/>
      <c r="Y324" s="433"/>
      <c r="Z324" s="433"/>
    </row>
    <row r="325">
      <c r="A325" s="440"/>
      <c r="B325" s="441"/>
      <c r="C325" s="442"/>
      <c r="D325" s="443"/>
      <c r="E325" s="433"/>
      <c r="F325" s="433"/>
      <c r="G325" s="433"/>
      <c r="H325" s="433"/>
      <c r="I325" s="433"/>
      <c r="J325" s="433"/>
      <c r="K325" s="433"/>
      <c r="L325" s="433"/>
      <c r="M325" s="433"/>
      <c r="N325" s="433"/>
      <c r="O325" s="433"/>
      <c r="P325" s="433"/>
      <c r="Q325" s="433"/>
      <c r="R325" s="433"/>
      <c r="S325" s="433"/>
      <c r="T325" s="433"/>
      <c r="U325" s="433"/>
      <c r="V325" s="433"/>
      <c r="W325" s="433"/>
      <c r="X325" s="433"/>
      <c r="Y325" s="433"/>
      <c r="Z325" s="433"/>
    </row>
    <row r="326">
      <c r="A326" s="440"/>
      <c r="B326" s="441"/>
      <c r="C326" s="442"/>
      <c r="D326" s="443"/>
      <c r="E326" s="433"/>
      <c r="F326" s="433"/>
      <c r="G326" s="433"/>
      <c r="H326" s="433"/>
      <c r="I326" s="433"/>
      <c r="J326" s="433"/>
      <c r="K326" s="433"/>
      <c r="L326" s="433"/>
      <c r="M326" s="433"/>
      <c r="N326" s="433"/>
      <c r="O326" s="433"/>
      <c r="P326" s="433"/>
      <c r="Q326" s="433"/>
      <c r="R326" s="433"/>
      <c r="S326" s="433"/>
      <c r="T326" s="433"/>
      <c r="U326" s="433"/>
      <c r="V326" s="433"/>
      <c r="W326" s="433"/>
      <c r="X326" s="433"/>
      <c r="Y326" s="433"/>
      <c r="Z326" s="433"/>
    </row>
    <row r="327">
      <c r="A327" s="440"/>
      <c r="B327" s="441"/>
      <c r="C327" s="442"/>
      <c r="D327" s="443"/>
      <c r="E327" s="433"/>
      <c r="F327" s="433"/>
      <c r="G327" s="433"/>
      <c r="H327" s="433"/>
      <c r="I327" s="433"/>
      <c r="J327" s="433"/>
      <c r="K327" s="433"/>
      <c r="L327" s="433"/>
      <c r="M327" s="433"/>
      <c r="N327" s="433"/>
      <c r="O327" s="433"/>
      <c r="P327" s="433"/>
      <c r="Q327" s="433"/>
      <c r="R327" s="433"/>
      <c r="S327" s="433"/>
      <c r="T327" s="433"/>
      <c r="U327" s="433"/>
      <c r="V327" s="433"/>
      <c r="W327" s="433"/>
      <c r="X327" s="433"/>
      <c r="Y327" s="433"/>
      <c r="Z327" s="433"/>
    </row>
    <row r="328">
      <c r="A328" s="440"/>
      <c r="B328" s="441"/>
      <c r="C328" s="442"/>
      <c r="D328" s="443"/>
      <c r="E328" s="433"/>
      <c r="F328" s="433"/>
      <c r="G328" s="433"/>
      <c r="H328" s="433"/>
      <c r="I328" s="433"/>
      <c r="J328" s="433"/>
      <c r="K328" s="433"/>
      <c r="L328" s="433"/>
      <c r="M328" s="433"/>
      <c r="N328" s="433"/>
      <c r="O328" s="433"/>
      <c r="P328" s="433"/>
      <c r="Q328" s="433"/>
      <c r="R328" s="433"/>
      <c r="S328" s="433"/>
      <c r="T328" s="433"/>
      <c r="U328" s="433"/>
      <c r="V328" s="433"/>
      <c r="W328" s="433"/>
      <c r="X328" s="433"/>
      <c r="Y328" s="433"/>
      <c r="Z328" s="433"/>
    </row>
    <row r="329">
      <c r="A329" s="440"/>
      <c r="B329" s="441"/>
      <c r="C329" s="442"/>
      <c r="D329" s="443"/>
      <c r="E329" s="433"/>
      <c r="F329" s="433"/>
      <c r="G329" s="433"/>
      <c r="H329" s="433"/>
      <c r="I329" s="433"/>
      <c r="J329" s="433"/>
      <c r="K329" s="433"/>
      <c r="L329" s="433"/>
      <c r="M329" s="433"/>
      <c r="N329" s="433"/>
      <c r="O329" s="433"/>
      <c r="P329" s="433"/>
      <c r="Q329" s="433"/>
      <c r="R329" s="433"/>
      <c r="S329" s="433"/>
      <c r="T329" s="433"/>
      <c r="U329" s="433"/>
      <c r="V329" s="433"/>
      <c r="W329" s="433"/>
      <c r="X329" s="433"/>
      <c r="Y329" s="433"/>
      <c r="Z329" s="433"/>
    </row>
    <row r="330">
      <c r="A330" s="440"/>
      <c r="B330" s="441"/>
      <c r="C330" s="442"/>
      <c r="D330" s="443"/>
      <c r="E330" s="433"/>
      <c r="F330" s="433"/>
      <c r="G330" s="433"/>
      <c r="H330" s="433"/>
      <c r="I330" s="433"/>
      <c r="J330" s="433"/>
      <c r="K330" s="433"/>
      <c r="L330" s="433"/>
      <c r="M330" s="433"/>
      <c r="N330" s="433"/>
      <c r="O330" s="433"/>
      <c r="P330" s="433"/>
      <c r="Q330" s="433"/>
      <c r="R330" s="433"/>
      <c r="S330" s="433"/>
      <c r="T330" s="433"/>
      <c r="U330" s="433"/>
      <c r="V330" s="433"/>
      <c r="W330" s="433"/>
      <c r="X330" s="433"/>
      <c r="Y330" s="433"/>
      <c r="Z330" s="433"/>
    </row>
    <row r="331">
      <c r="A331" s="440"/>
      <c r="B331" s="441"/>
      <c r="C331" s="442"/>
      <c r="D331" s="443"/>
      <c r="E331" s="433"/>
      <c r="F331" s="433"/>
      <c r="G331" s="433"/>
      <c r="H331" s="433"/>
      <c r="I331" s="433"/>
      <c r="J331" s="433"/>
      <c r="K331" s="433"/>
      <c r="L331" s="433"/>
      <c r="M331" s="433"/>
      <c r="N331" s="433"/>
      <c r="O331" s="433"/>
      <c r="P331" s="433"/>
      <c r="Q331" s="433"/>
      <c r="R331" s="433"/>
      <c r="S331" s="433"/>
      <c r="T331" s="433"/>
      <c r="U331" s="433"/>
      <c r="V331" s="433"/>
      <c r="W331" s="433"/>
      <c r="X331" s="433"/>
      <c r="Y331" s="433"/>
      <c r="Z331" s="433"/>
    </row>
    <row r="332">
      <c r="A332" s="440"/>
      <c r="B332" s="441"/>
      <c r="C332" s="442"/>
      <c r="D332" s="443"/>
      <c r="E332" s="433"/>
      <c r="F332" s="433"/>
      <c r="G332" s="433"/>
      <c r="H332" s="433"/>
      <c r="I332" s="433"/>
      <c r="J332" s="433"/>
      <c r="K332" s="433"/>
      <c r="L332" s="433"/>
      <c r="M332" s="433"/>
      <c r="N332" s="433"/>
      <c r="O332" s="433"/>
      <c r="P332" s="433"/>
      <c r="Q332" s="433"/>
      <c r="R332" s="433"/>
      <c r="S332" s="433"/>
      <c r="T332" s="433"/>
      <c r="U332" s="433"/>
      <c r="V332" s="433"/>
      <c r="W332" s="433"/>
      <c r="X332" s="433"/>
      <c r="Y332" s="433"/>
      <c r="Z332" s="433"/>
    </row>
    <row r="333">
      <c r="A333" s="440"/>
      <c r="B333" s="441"/>
      <c r="C333" s="442"/>
      <c r="D333" s="443"/>
      <c r="E333" s="433"/>
      <c r="F333" s="433"/>
      <c r="G333" s="433"/>
      <c r="H333" s="433"/>
      <c r="I333" s="433"/>
      <c r="J333" s="433"/>
      <c r="K333" s="433"/>
      <c r="L333" s="433"/>
      <c r="M333" s="433"/>
      <c r="N333" s="433"/>
      <c r="O333" s="433"/>
      <c r="P333" s="433"/>
      <c r="Q333" s="433"/>
      <c r="R333" s="433"/>
      <c r="S333" s="433"/>
      <c r="T333" s="433"/>
      <c r="U333" s="433"/>
      <c r="V333" s="433"/>
      <c r="W333" s="433"/>
      <c r="X333" s="433"/>
      <c r="Y333" s="433"/>
      <c r="Z333" s="433"/>
    </row>
    <row r="334">
      <c r="A334" s="440"/>
      <c r="B334" s="441"/>
      <c r="C334" s="442"/>
      <c r="D334" s="443"/>
      <c r="E334" s="433"/>
      <c r="F334" s="433"/>
      <c r="G334" s="433"/>
      <c r="H334" s="433"/>
      <c r="I334" s="433"/>
      <c r="J334" s="433"/>
      <c r="K334" s="433"/>
      <c r="L334" s="433"/>
      <c r="M334" s="433"/>
      <c r="N334" s="433"/>
      <c r="O334" s="433"/>
      <c r="P334" s="433"/>
      <c r="Q334" s="433"/>
      <c r="R334" s="433"/>
      <c r="S334" s="433"/>
      <c r="T334" s="433"/>
      <c r="U334" s="433"/>
      <c r="V334" s="433"/>
      <c r="W334" s="433"/>
      <c r="X334" s="433"/>
      <c r="Y334" s="433"/>
      <c r="Z334" s="433"/>
    </row>
    <row r="335">
      <c r="A335" s="440"/>
      <c r="B335" s="441"/>
      <c r="C335" s="442"/>
      <c r="D335" s="443"/>
      <c r="E335" s="433"/>
      <c r="F335" s="433"/>
      <c r="G335" s="433"/>
      <c r="H335" s="433"/>
      <c r="I335" s="433"/>
      <c r="J335" s="433"/>
      <c r="K335" s="433"/>
      <c r="L335" s="433"/>
      <c r="M335" s="433"/>
      <c r="N335" s="433"/>
      <c r="O335" s="433"/>
      <c r="P335" s="433"/>
      <c r="Q335" s="433"/>
      <c r="R335" s="433"/>
      <c r="S335" s="433"/>
      <c r="T335" s="433"/>
      <c r="U335" s="433"/>
      <c r="V335" s="433"/>
      <c r="W335" s="433"/>
      <c r="X335" s="433"/>
      <c r="Y335" s="433"/>
      <c r="Z335" s="433"/>
    </row>
    <row r="336">
      <c r="A336" s="440"/>
      <c r="B336" s="441"/>
      <c r="C336" s="442"/>
      <c r="D336" s="443"/>
      <c r="E336" s="433"/>
      <c r="F336" s="433"/>
      <c r="G336" s="433"/>
      <c r="H336" s="433"/>
      <c r="I336" s="433"/>
      <c r="J336" s="433"/>
      <c r="K336" s="433"/>
      <c r="L336" s="433"/>
      <c r="M336" s="433"/>
      <c r="N336" s="433"/>
      <c r="O336" s="433"/>
      <c r="P336" s="433"/>
      <c r="Q336" s="433"/>
      <c r="R336" s="433"/>
      <c r="S336" s="433"/>
      <c r="T336" s="433"/>
      <c r="U336" s="433"/>
      <c r="V336" s="433"/>
      <c r="W336" s="433"/>
      <c r="X336" s="433"/>
      <c r="Y336" s="433"/>
      <c r="Z336" s="433"/>
    </row>
    <row r="337">
      <c r="A337" s="440"/>
      <c r="B337" s="441"/>
      <c r="C337" s="442"/>
      <c r="D337" s="443"/>
      <c r="E337" s="433"/>
      <c r="F337" s="433"/>
      <c r="G337" s="433"/>
      <c r="H337" s="433"/>
      <c r="I337" s="433"/>
      <c r="J337" s="433"/>
      <c r="K337" s="433"/>
      <c r="L337" s="433"/>
      <c r="M337" s="433"/>
      <c r="N337" s="433"/>
      <c r="O337" s="433"/>
      <c r="P337" s="433"/>
      <c r="Q337" s="433"/>
      <c r="R337" s="433"/>
      <c r="S337" s="433"/>
      <c r="T337" s="433"/>
      <c r="U337" s="433"/>
      <c r="V337" s="433"/>
      <c r="W337" s="433"/>
      <c r="X337" s="433"/>
      <c r="Y337" s="433"/>
      <c r="Z337" s="433"/>
    </row>
    <row r="338">
      <c r="A338" s="440"/>
      <c r="B338" s="441"/>
      <c r="C338" s="442"/>
      <c r="D338" s="443"/>
      <c r="E338" s="433"/>
      <c r="F338" s="433"/>
      <c r="G338" s="433"/>
      <c r="H338" s="433"/>
      <c r="I338" s="433"/>
      <c r="J338" s="433"/>
      <c r="K338" s="433"/>
      <c r="L338" s="433"/>
      <c r="M338" s="433"/>
      <c r="N338" s="433"/>
      <c r="O338" s="433"/>
      <c r="P338" s="433"/>
      <c r="Q338" s="433"/>
      <c r="R338" s="433"/>
      <c r="S338" s="433"/>
      <c r="T338" s="433"/>
      <c r="U338" s="433"/>
      <c r="V338" s="433"/>
      <c r="W338" s="433"/>
      <c r="X338" s="433"/>
      <c r="Y338" s="433"/>
      <c r="Z338" s="433"/>
    </row>
    <row r="339">
      <c r="A339" s="440"/>
      <c r="B339" s="441"/>
      <c r="C339" s="442"/>
      <c r="D339" s="443"/>
      <c r="E339" s="433"/>
      <c r="F339" s="433"/>
      <c r="G339" s="433"/>
      <c r="H339" s="433"/>
      <c r="I339" s="433"/>
      <c r="J339" s="433"/>
      <c r="K339" s="433"/>
      <c r="L339" s="433"/>
      <c r="M339" s="433"/>
      <c r="N339" s="433"/>
      <c r="O339" s="433"/>
      <c r="P339" s="433"/>
      <c r="Q339" s="433"/>
      <c r="R339" s="433"/>
      <c r="S339" s="433"/>
      <c r="T339" s="433"/>
      <c r="U339" s="433"/>
      <c r="V339" s="433"/>
      <c r="W339" s="433"/>
      <c r="X339" s="433"/>
      <c r="Y339" s="433"/>
      <c r="Z339" s="433"/>
    </row>
    <row r="340">
      <c r="A340" s="440"/>
      <c r="B340" s="441"/>
      <c r="C340" s="442"/>
      <c r="D340" s="443"/>
      <c r="E340" s="433"/>
      <c r="F340" s="433"/>
      <c r="G340" s="433"/>
      <c r="H340" s="433"/>
      <c r="I340" s="433"/>
      <c r="J340" s="433"/>
      <c r="K340" s="433"/>
      <c r="L340" s="433"/>
      <c r="M340" s="433"/>
      <c r="N340" s="433"/>
      <c r="O340" s="433"/>
      <c r="P340" s="433"/>
      <c r="Q340" s="433"/>
      <c r="R340" s="433"/>
      <c r="S340" s="433"/>
      <c r="T340" s="433"/>
      <c r="U340" s="433"/>
      <c r="V340" s="433"/>
      <c r="W340" s="433"/>
      <c r="X340" s="433"/>
      <c r="Y340" s="433"/>
      <c r="Z340" s="433"/>
    </row>
    <row r="341">
      <c r="A341" s="440"/>
      <c r="B341" s="441"/>
      <c r="C341" s="442"/>
      <c r="D341" s="443"/>
      <c r="E341" s="433"/>
      <c r="F341" s="433"/>
      <c r="G341" s="433"/>
      <c r="H341" s="433"/>
      <c r="I341" s="433"/>
      <c r="J341" s="433"/>
      <c r="K341" s="433"/>
      <c r="L341" s="433"/>
      <c r="M341" s="433"/>
      <c r="N341" s="433"/>
      <c r="O341" s="433"/>
      <c r="P341" s="433"/>
      <c r="Q341" s="433"/>
      <c r="R341" s="433"/>
      <c r="S341" s="433"/>
      <c r="T341" s="433"/>
      <c r="U341" s="433"/>
      <c r="V341" s="433"/>
      <c r="W341" s="433"/>
      <c r="X341" s="433"/>
      <c r="Y341" s="433"/>
      <c r="Z341" s="433"/>
    </row>
    <row r="342">
      <c r="A342" s="440"/>
      <c r="B342" s="441"/>
      <c r="C342" s="442"/>
      <c r="D342" s="443"/>
      <c r="E342" s="433"/>
      <c r="F342" s="433"/>
      <c r="G342" s="433"/>
      <c r="H342" s="433"/>
      <c r="I342" s="433"/>
      <c r="J342" s="433"/>
      <c r="K342" s="433"/>
      <c r="L342" s="433"/>
      <c r="M342" s="433"/>
      <c r="N342" s="433"/>
      <c r="O342" s="433"/>
      <c r="P342" s="433"/>
      <c r="Q342" s="433"/>
      <c r="R342" s="433"/>
      <c r="S342" s="433"/>
      <c r="T342" s="433"/>
      <c r="U342" s="433"/>
      <c r="V342" s="433"/>
      <c r="W342" s="433"/>
      <c r="X342" s="433"/>
      <c r="Y342" s="433"/>
      <c r="Z342" s="433"/>
    </row>
    <row r="343">
      <c r="A343" s="440"/>
      <c r="B343" s="441"/>
      <c r="C343" s="442"/>
      <c r="D343" s="443"/>
      <c r="E343" s="433"/>
      <c r="F343" s="433"/>
      <c r="G343" s="433"/>
      <c r="H343" s="433"/>
      <c r="I343" s="433"/>
      <c r="J343" s="433"/>
      <c r="K343" s="433"/>
      <c r="L343" s="433"/>
      <c r="M343" s="433"/>
      <c r="N343" s="433"/>
      <c r="O343" s="433"/>
      <c r="P343" s="433"/>
      <c r="Q343" s="433"/>
      <c r="R343" s="433"/>
      <c r="S343" s="433"/>
      <c r="T343" s="433"/>
      <c r="U343" s="433"/>
      <c r="V343" s="433"/>
      <c r="W343" s="433"/>
      <c r="X343" s="433"/>
      <c r="Y343" s="433"/>
      <c r="Z343" s="433"/>
    </row>
    <row r="344">
      <c r="A344" s="440"/>
      <c r="B344" s="441"/>
      <c r="C344" s="442"/>
      <c r="D344" s="443"/>
      <c r="E344" s="433"/>
      <c r="F344" s="433"/>
      <c r="G344" s="433"/>
      <c r="H344" s="433"/>
      <c r="I344" s="433"/>
      <c r="J344" s="433"/>
      <c r="K344" s="433"/>
      <c r="L344" s="433"/>
      <c r="M344" s="433"/>
      <c r="N344" s="433"/>
      <c r="O344" s="433"/>
      <c r="P344" s="433"/>
      <c r="Q344" s="433"/>
      <c r="R344" s="433"/>
      <c r="S344" s="433"/>
      <c r="T344" s="433"/>
      <c r="U344" s="433"/>
      <c r="V344" s="433"/>
      <c r="W344" s="433"/>
      <c r="X344" s="433"/>
      <c r="Y344" s="433"/>
      <c r="Z344" s="433"/>
    </row>
    <row r="345">
      <c r="A345" s="440"/>
      <c r="B345" s="441"/>
      <c r="C345" s="442"/>
      <c r="D345" s="443"/>
      <c r="E345" s="433"/>
      <c r="F345" s="433"/>
      <c r="G345" s="433"/>
      <c r="H345" s="433"/>
      <c r="I345" s="433"/>
      <c r="J345" s="433"/>
      <c r="K345" s="433"/>
      <c r="L345" s="433"/>
      <c r="M345" s="433"/>
      <c r="N345" s="433"/>
      <c r="O345" s="433"/>
      <c r="P345" s="433"/>
      <c r="Q345" s="433"/>
      <c r="R345" s="433"/>
      <c r="S345" s="433"/>
      <c r="T345" s="433"/>
      <c r="U345" s="433"/>
      <c r="V345" s="433"/>
      <c r="W345" s="433"/>
      <c r="X345" s="433"/>
      <c r="Y345" s="433"/>
      <c r="Z345" s="433"/>
    </row>
    <row r="346">
      <c r="A346" s="440"/>
      <c r="B346" s="441"/>
      <c r="C346" s="442"/>
      <c r="D346" s="443"/>
      <c r="E346" s="433"/>
      <c r="F346" s="433"/>
      <c r="G346" s="433"/>
      <c r="H346" s="433"/>
      <c r="I346" s="433"/>
      <c r="J346" s="433"/>
      <c r="K346" s="433"/>
      <c r="L346" s="433"/>
      <c r="M346" s="433"/>
      <c r="N346" s="433"/>
      <c r="O346" s="433"/>
      <c r="P346" s="433"/>
      <c r="Q346" s="433"/>
      <c r="R346" s="433"/>
      <c r="S346" s="433"/>
      <c r="T346" s="433"/>
      <c r="U346" s="433"/>
      <c r="V346" s="433"/>
      <c r="W346" s="433"/>
      <c r="X346" s="433"/>
      <c r="Y346" s="433"/>
      <c r="Z346" s="433"/>
    </row>
    <row r="347">
      <c r="A347" s="440"/>
      <c r="B347" s="441"/>
      <c r="C347" s="442"/>
      <c r="D347" s="44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row>
    <row r="348">
      <c r="A348" s="440"/>
      <c r="B348" s="441"/>
      <c r="C348" s="442"/>
      <c r="D348" s="443"/>
      <c r="E348" s="433"/>
      <c r="F348" s="433"/>
      <c r="G348" s="433"/>
      <c r="H348" s="433"/>
      <c r="I348" s="433"/>
      <c r="J348" s="433"/>
      <c r="K348" s="433"/>
      <c r="L348" s="433"/>
      <c r="M348" s="433"/>
      <c r="N348" s="433"/>
      <c r="O348" s="433"/>
      <c r="P348" s="433"/>
      <c r="Q348" s="433"/>
      <c r="R348" s="433"/>
      <c r="S348" s="433"/>
      <c r="T348" s="433"/>
      <c r="U348" s="433"/>
      <c r="V348" s="433"/>
      <c r="W348" s="433"/>
      <c r="X348" s="433"/>
      <c r="Y348" s="433"/>
      <c r="Z348" s="433"/>
    </row>
    <row r="349">
      <c r="A349" s="440"/>
      <c r="B349" s="441"/>
      <c r="C349" s="442"/>
      <c r="D349" s="443"/>
      <c r="E349" s="433"/>
      <c r="F349" s="433"/>
      <c r="G349" s="433"/>
      <c r="H349" s="433"/>
      <c r="I349" s="433"/>
      <c r="J349" s="433"/>
      <c r="K349" s="433"/>
      <c r="L349" s="433"/>
      <c r="M349" s="433"/>
      <c r="N349" s="433"/>
      <c r="O349" s="433"/>
      <c r="P349" s="433"/>
      <c r="Q349" s="433"/>
      <c r="R349" s="433"/>
      <c r="S349" s="433"/>
      <c r="T349" s="433"/>
      <c r="U349" s="433"/>
      <c r="V349" s="433"/>
      <c r="W349" s="433"/>
      <c r="X349" s="433"/>
      <c r="Y349" s="433"/>
      <c r="Z349" s="433"/>
    </row>
    <row r="350">
      <c r="A350" s="440"/>
      <c r="B350" s="441"/>
      <c r="C350" s="442"/>
      <c r="D350" s="443"/>
      <c r="E350" s="433"/>
      <c r="F350" s="433"/>
      <c r="G350" s="433"/>
      <c r="H350" s="433"/>
      <c r="I350" s="433"/>
      <c r="J350" s="433"/>
      <c r="K350" s="433"/>
      <c r="L350" s="433"/>
      <c r="M350" s="433"/>
      <c r="N350" s="433"/>
      <c r="O350" s="433"/>
      <c r="P350" s="433"/>
      <c r="Q350" s="433"/>
      <c r="R350" s="433"/>
      <c r="S350" s="433"/>
      <c r="T350" s="433"/>
      <c r="U350" s="433"/>
      <c r="V350" s="433"/>
      <c r="W350" s="433"/>
      <c r="X350" s="433"/>
      <c r="Y350" s="433"/>
      <c r="Z350" s="433"/>
    </row>
    <row r="351">
      <c r="A351" s="440"/>
      <c r="B351" s="441"/>
      <c r="C351" s="442"/>
      <c r="D351" s="443"/>
      <c r="E351" s="433"/>
      <c r="F351" s="433"/>
      <c r="G351" s="433"/>
      <c r="H351" s="433"/>
      <c r="I351" s="433"/>
      <c r="J351" s="433"/>
      <c r="K351" s="433"/>
      <c r="L351" s="433"/>
      <c r="M351" s="433"/>
      <c r="N351" s="433"/>
      <c r="O351" s="433"/>
      <c r="P351" s="433"/>
      <c r="Q351" s="433"/>
      <c r="R351" s="433"/>
      <c r="S351" s="433"/>
      <c r="T351" s="433"/>
      <c r="U351" s="433"/>
      <c r="V351" s="433"/>
      <c r="W351" s="433"/>
      <c r="X351" s="433"/>
      <c r="Y351" s="433"/>
      <c r="Z351" s="433"/>
    </row>
    <row r="352">
      <c r="A352" s="440"/>
      <c r="B352" s="441"/>
      <c r="C352" s="442"/>
      <c r="D352" s="443"/>
      <c r="E352" s="433"/>
      <c r="F352" s="433"/>
      <c r="G352" s="433"/>
      <c r="H352" s="433"/>
      <c r="I352" s="433"/>
      <c r="J352" s="433"/>
      <c r="K352" s="433"/>
      <c r="L352" s="433"/>
      <c r="M352" s="433"/>
      <c r="N352" s="433"/>
      <c r="O352" s="433"/>
      <c r="P352" s="433"/>
      <c r="Q352" s="433"/>
      <c r="R352" s="433"/>
      <c r="S352" s="433"/>
      <c r="T352" s="433"/>
      <c r="U352" s="433"/>
      <c r="V352" s="433"/>
      <c r="W352" s="433"/>
      <c r="X352" s="433"/>
      <c r="Y352" s="433"/>
      <c r="Z352" s="433"/>
    </row>
    <row r="353">
      <c r="A353" s="440"/>
      <c r="B353" s="441"/>
      <c r="C353" s="442"/>
      <c r="D353" s="443"/>
      <c r="E353" s="433"/>
      <c r="F353" s="433"/>
      <c r="G353" s="433"/>
      <c r="H353" s="433"/>
      <c r="I353" s="433"/>
      <c r="J353" s="433"/>
      <c r="K353" s="433"/>
      <c r="L353" s="433"/>
      <c r="M353" s="433"/>
      <c r="N353" s="433"/>
      <c r="O353" s="433"/>
      <c r="P353" s="433"/>
      <c r="Q353" s="433"/>
      <c r="R353" s="433"/>
      <c r="S353" s="433"/>
      <c r="T353" s="433"/>
      <c r="U353" s="433"/>
      <c r="V353" s="433"/>
      <c r="W353" s="433"/>
      <c r="X353" s="433"/>
      <c r="Y353" s="433"/>
      <c r="Z353" s="433"/>
    </row>
    <row r="354">
      <c r="A354" s="440"/>
      <c r="B354" s="441"/>
      <c r="C354" s="442"/>
      <c r="D354" s="443"/>
      <c r="E354" s="433"/>
      <c r="F354" s="433"/>
      <c r="G354" s="433"/>
      <c r="H354" s="433"/>
      <c r="I354" s="433"/>
      <c r="J354" s="433"/>
      <c r="K354" s="433"/>
      <c r="L354" s="433"/>
      <c r="M354" s="433"/>
      <c r="N354" s="433"/>
      <c r="O354" s="433"/>
      <c r="P354" s="433"/>
      <c r="Q354" s="433"/>
      <c r="R354" s="433"/>
      <c r="S354" s="433"/>
      <c r="T354" s="433"/>
      <c r="U354" s="433"/>
      <c r="V354" s="433"/>
      <c r="W354" s="433"/>
      <c r="X354" s="433"/>
      <c r="Y354" s="433"/>
      <c r="Z354" s="433"/>
    </row>
    <row r="355">
      <c r="A355" s="440"/>
      <c r="B355" s="441"/>
      <c r="C355" s="442"/>
      <c r="D355" s="443"/>
      <c r="E355" s="433"/>
      <c r="F355" s="433"/>
      <c r="G355" s="433"/>
      <c r="H355" s="433"/>
      <c r="I355" s="433"/>
      <c r="J355" s="433"/>
      <c r="K355" s="433"/>
      <c r="L355" s="433"/>
      <c r="M355" s="433"/>
      <c r="N355" s="433"/>
      <c r="O355" s="433"/>
      <c r="P355" s="433"/>
      <c r="Q355" s="433"/>
      <c r="R355" s="433"/>
      <c r="S355" s="433"/>
      <c r="T355" s="433"/>
      <c r="U355" s="433"/>
      <c r="V355" s="433"/>
      <c r="W355" s="433"/>
      <c r="X355" s="433"/>
      <c r="Y355" s="433"/>
      <c r="Z355" s="433"/>
    </row>
    <row r="356">
      <c r="A356" s="440"/>
      <c r="B356" s="441"/>
      <c r="C356" s="442"/>
      <c r="D356" s="443"/>
      <c r="E356" s="433"/>
      <c r="F356" s="433"/>
      <c r="G356" s="433"/>
      <c r="H356" s="433"/>
      <c r="I356" s="433"/>
      <c r="J356" s="433"/>
      <c r="K356" s="433"/>
      <c r="L356" s="433"/>
      <c r="M356" s="433"/>
      <c r="N356" s="433"/>
      <c r="O356" s="433"/>
      <c r="P356" s="433"/>
      <c r="Q356" s="433"/>
      <c r="R356" s="433"/>
      <c r="S356" s="433"/>
      <c r="T356" s="433"/>
      <c r="U356" s="433"/>
      <c r="V356" s="433"/>
      <c r="W356" s="433"/>
      <c r="X356" s="433"/>
      <c r="Y356" s="433"/>
      <c r="Z356" s="433"/>
    </row>
    <row r="357">
      <c r="A357" s="440"/>
      <c r="B357" s="441"/>
      <c r="C357" s="442"/>
      <c r="D357" s="443"/>
      <c r="E357" s="433"/>
      <c r="F357" s="433"/>
      <c r="G357" s="433"/>
      <c r="H357" s="433"/>
      <c r="I357" s="433"/>
      <c r="J357" s="433"/>
      <c r="K357" s="433"/>
      <c r="L357" s="433"/>
      <c r="M357" s="433"/>
      <c r="N357" s="433"/>
      <c r="O357" s="433"/>
      <c r="P357" s="433"/>
      <c r="Q357" s="433"/>
      <c r="R357" s="433"/>
      <c r="S357" s="433"/>
      <c r="T357" s="433"/>
      <c r="U357" s="433"/>
      <c r="V357" s="433"/>
      <c r="W357" s="433"/>
      <c r="X357" s="433"/>
      <c r="Y357" s="433"/>
      <c r="Z357" s="433"/>
    </row>
    <row r="358">
      <c r="A358" s="440"/>
      <c r="B358" s="441"/>
      <c r="C358" s="442"/>
      <c r="D358" s="443"/>
      <c r="E358" s="433"/>
      <c r="F358" s="433"/>
      <c r="G358" s="433"/>
      <c r="H358" s="433"/>
      <c r="I358" s="433"/>
      <c r="J358" s="433"/>
      <c r="K358" s="433"/>
      <c r="L358" s="433"/>
      <c r="M358" s="433"/>
      <c r="N358" s="433"/>
      <c r="O358" s="433"/>
      <c r="P358" s="433"/>
      <c r="Q358" s="433"/>
      <c r="R358" s="433"/>
      <c r="S358" s="433"/>
      <c r="T358" s="433"/>
      <c r="U358" s="433"/>
      <c r="V358" s="433"/>
      <c r="W358" s="433"/>
      <c r="X358" s="433"/>
      <c r="Y358" s="433"/>
      <c r="Z358" s="433"/>
    </row>
    <row r="359">
      <c r="A359" s="440"/>
      <c r="B359" s="441"/>
      <c r="C359" s="442"/>
      <c r="D359" s="443"/>
      <c r="E359" s="433"/>
      <c r="F359" s="433"/>
      <c r="G359" s="433"/>
      <c r="H359" s="433"/>
      <c r="I359" s="433"/>
      <c r="J359" s="433"/>
      <c r="K359" s="433"/>
      <c r="L359" s="433"/>
      <c r="M359" s="433"/>
      <c r="N359" s="433"/>
      <c r="O359" s="433"/>
      <c r="P359" s="433"/>
      <c r="Q359" s="433"/>
      <c r="R359" s="433"/>
      <c r="S359" s="433"/>
      <c r="T359" s="433"/>
      <c r="U359" s="433"/>
      <c r="V359" s="433"/>
      <c r="W359" s="433"/>
      <c r="X359" s="433"/>
      <c r="Y359" s="433"/>
      <c r="Z359" s="433"/>
    </row>
    <row r="360">
      <c r="A360" s="440"/>
      <c r="B360" s="441"/>
      <c r="C360" s="442"/>
      <c r="D360" s="443"/>
      <c r="E360" s="433"/>
      <c r="F360" s="433"/>
      <c r="G360" s="433"/>
      <c r="H360" s="433"/>
      <c r="I360" s="433"/>
      <c r="J360" s="433"/>
      <c r="K360" s="433"/>
      <c r="L360" s="433"/>
      <c r="M360" s="433"/>
      <c r="N360" s="433"/>
      <c r="O360" s="433"/>
      <c r="P360" s="433"/>
      <c r="Q360" s="433"/>
      <c r="R360" s="433"/>
      <c r="S360" s="433"/>
      <c r="T360" s="433"/>
      <c r="U360" s="433"/>
      <c r="V360" s="433"/>
      <c r="W360" s="433"/>
      <c r="X360" s="433"/>
      <c r="Y360" s="433"/>
      <c r="Z360" s="433"/>
    </row>
    <row r="361">
      <c r="A361" s="440"/>
      <c r="B361" s="441"/>
      <c r="C361" s="442"/>
      <c r="D361" s="443"/>
      <c r="E361" s="433"/>
      <c r="F361" s="433"/>
      <c r="G361" s="433"/>
      <c r="H361" s="433"/>
      <c r="I361" s="433"/>
      <c r="J361" s="433"/>
      <c r="K361" s="433"/>
      <c r="L361" s="433"/>
      <c r="M361" s="433"/>
      <c r="N361" s="433"/>
      <c r="O361" s="433"/>
      <c r="P361" s="433"/>
      <c r="Q361" s="433"/>
      <c r="R361" s="433"/>
      <c r="S361" s="433"/>
      <c r="T361" s="433"/>
      <c r="U361" s="433"/>
      <c r="V361" s="433"/>
      <c r="W361" s="433"/>
      <c r="X361" s="433"/>
      <c r="Y361" s="433"/>
      <c r="Z361" s="433"/>
    </row>
    <row r="362">
      <c r="A362" s="440"/>
      <c r="B362" s="441"/>
      <c r="C362" s="442"/>
      <c r="D362" s="443"/>
      <c r="E362" s="433"/>
      <c r="F362" s="433"/>
      <c r="G362" s="433"/>
      <c r="H362" s="433"/>
      <c r="I362" s="433"/>
      <c r="J362" s="433"/>
      <c r="K362" s="433"/>
      <c r="L362" s="433"/>
      <c r="M362" s="433"/>
      <c r="N362" s="433"/>
      <c r="O362" s="433"/>
      <c r="P362" s="433"/>
      <c r="Q362" s="433"/>
      <c r="R362" s="433"/>
      <c r="S362" s="433"/>
      <c r="T362" s="433"/>
      <c r="U362" s="433"/>
      <c r="V362" s="433"/>
      <c r="W362" s="433"/>
      <c r="X362" s="433"/>
      <c r="Y362" s="433"/>
      <c r="Z362" s="433"/>
    </row>
    <row r="363">
      <c r="A363" s="440"/>
      <c r="B363" s="441"/>
      <c r="C363" s="442"/>
      <c r="D363" s="443"/>
      <c r="E363" s="433"/>
      <c r="F363" s="433"/>
      <c r="G363" s="433"/>
      <c r="H363" s="433"/>
      <c r="I363" s="433"/>
      <c r="J363" s="433"/>
      <c r="K363" s="433"/>
      <c r="L363" s="433"/>
      <c r="M363" s="433"/>
      <c r="N363" s="433"/>
      <c r="O363" s="433"/>
      <c r="P363" s="433"/>
      <c r="Q363" s="433"/>
      <c r="R363" s="433"/>
      <c r="S363" s="433"/>
      <c r="T363" s="433"/>
      <c r="U363" s="433"/>
      <c r="V363" s="433"/>
      <c r="W363" s="433"/>
      <c r="X363" s="433"/>
      <c r="Y363" s="433"/>
      <c r="Z363" s="433"/>
    </row>
    <row r="364">
      <c r="A364" s="440"/>
      <c r="B364" s="441"/>
      <c r="C364" s="442"/>
      <c r="D364" s="443"/>
      <c r="E364" s="433"/>
      <c r="F364" s="433"/>
      <c r="G364" s="433"/>
      <c r="H364" s="433"/>
      <c r="I364" s="433"/>
      <c r="J364" s="433"/>
      <c r="K364" s="433"/>
      <c r="L364" s="433"/>
      <c r="M364" s="433"/>
      <c r="N364" s="433"/>
      <c r="O364" s="433"/>
      <c r="P364" s="433"/>
      <c r="Q364" s="433"/>
      <c r="R364" s="433"/>
      <c r="S364" s="433"/>
      <c r="T364" s="433"/>
      <c r="U364" s="433"/>
      <c r="V364" s="433"/>
      <c r="W364" s="433"/>
      <c r="X364" s="433"/>
      <c r="Y364" s="433"/>
      <c r="Z364" s="433"/>
    </row>
    <row r="365">
      <c r="A365" s="440"/>
      <c r="B365" s="441"/>
      <c r="C365" s="442"/>
      <c r="D365" s="443"/>
      <c r="E365" s="433"/>
      <c r="F365" s="433"/>
      <c r="G365" s="433"/>
      <c r="H365" s="433"/>
      <c r="I365" s="433"/>
      <c r="J365" s="433"/>
      <c r="K365" s="433"/>
      <c r="L365" s="433"/>
      <c r="M365" s="433"/>
      <c r="N365" s="433"/>
      <c r="O365" s="433"/>
      <c r="P365" s="433"/>
      <c r="Q365" s="433"/>
      <c r="R365" s="433"/>
      <c r="S365" s="433"/>
      <c r="T365" s="433"/>
      <c r="U365" s="433"/>
      <c r="V365" s="433"/>
      <c r="W365" s="433"/>
      <c r="X365" s="433"/>
      <c r="Y365" s="433"/>
      <c r="Z365" s="433"/>
    </row>
    <row r="366">
      <c r="A366" s="440"/>
      <c r="B366" s="441"/>
      <c r="C366" s="442"/>
      <c r="D366" s="443"/>
      <c r="E366" s="433"/>
      <c r="F366" s="433"/>
      <c r="G366" s="433"/>
      <c r="H366" s="433"/>
      <c r="I366" s="433"/>
      <c r="J366" s="433"/>
      <c r="K366" s="433"/>
      <c r="L366" s="433"/>
      <c r="M366" s="433"/>
      <c r="N366" s="433"/>
      <c r="O366" s="433"/>
      <c r="P366" s="433"/>
      <c r="Q366" s="433"/>
      <c r="R366" s="433"/>
      <c r="S366" s="433"/>
      <c r="T366" s="433"/>
      <c r="U366" s="433"/>
      <c r="V366" s="433"/>
      <c r="W366" s="433"/>
      <c r="X366" s="433"/>
      <c r="Y366" s="433"/>
      <c r="Z366" s="433"/>
    </row>
    <row r="367">
      <c r="A367" s="440"/>
      <c r="B367" s="441"/>
      <c r="C367" s="442"/>
      <c r="D367" s="443"/>
      <c r="E367" s="433"/>
      <c r="F367" s="433"/>
      <c r="G367" s="433"/>
      <c r="H367" s="433"/>
      <c r="I367" s="433"/>
      <c r="J367" s="433"/>
      <c r="K367" s="433"/>
      <c r="L367" s="433"/>
      <c r="M367" s="433"/>
      <c r="N367" s="433"/>
      <c r="O367" s="433"/>
      <c r="P367" s="433"/>
      <c r="Q367" s="433"/>
      <c r="R367" s="433"/>
      <c r="S367" s="433"/>
      <c r="T367" s="433"/>
      <c r="U367" s="433"/>
      <c r="V367" s="433"/>
      <c r="W367" s="433"/>
      <c r="X367" s="433"/>
      <c r="Y367" s="433"/>
      <c r="Z367" s="433"/>
    </row>
    <row r="368">
      <c r="A368" s="440"/>
      <c r="B368" s="441"/>
      <c r="C368" s="442"/>
      <c r="D368" s="443"/>
      <c r="E368" s="433"/>
      <c r="F368" s="433"/>
      <c r="G368" s="433"/>
      <c r="H368" s="433"/>
      <c r="I368" s="433"/>
      <c r="J368" s="433"/>
      <c r="K368" s="433"/>
      <c r="L368" s="433"/>
      <c r="M368" s="433"/>
      <c r="N368" s="433"/>
      <c r="O368" s="433"/>
      <c r="P368" s="433"/>
      <c r="Q368" s="433"/>
      <c r="R368" s="433"/>
      <c r="S368" s="433"/>
      <c r="T368" s="433"/>
      <c r="U368" s="433"/>
      <c r="V368" s="433"/>
      <c r="W368" s="433"/>
      <c r="X368" s="433"/>
      <c r="Y368" s="433"/>
      <c r="Z368" s="433"/>
    </row>
    <row r="369">
      <c r="A369" s="440"/>
      <c r="B369" s="441"/>
      <c r="C369" s="442"/>
      <c r="D369" s="443"/>
      <c r="E369" s="433"/>
      <c r="F369" s="433"/>
      <c r="G369" s="433"/>
      <c r="H369" s="433"/>
      <c r="I369" s="433"/>
      <c r="J369" s="433"/>
      <c r="K369" s="433"/>
      <c r="L369" s="433"/>
      <c r="M369" s="433"/>
      <c r="N369" s="433"/>
      <c r="O369" s="433"/>
      <c r="P369" s="433"/>
      <c r="Q369" s="433"/>
      <c r="R369" s="433"/>
      <c r="S369" s="433"/>
      <c r="T369" s="433"/>
      <c r="U369" s="433"/>
      <c r="V369" s="433"/>
      <c r="W369" s="433"/>
      <c r="X369" s="433"/>
      <c r="Y369" s="433"/>
      <c r="Z369" s="433"/>
    </row>
    <row r="370">
      <c r="A370" s="440"/>
      <c r="B370" s="441"/>
      <c r="C370" s="442"/>
      <c r="D370" s="443"/>
      <c r="E370" s="433"/>
      <c r="F370" s="433"/>
      <c r="G370" s="433"/>
      <c r="H370" s="433"/>
      <c r="I370" s="433"/>
      <c r="J370" s="433"/>
      <c r="K370" s="433"/>
      <c r="L370" s="433"/>
      <c r="M370" s="433"/>
      <c r="N370" s="433"/>
      <c r="O370" s="433"/>
      <c r="P370" s="433"/>
      <c r="Q370" s="433"/>
      <c r="R370" s="433"/>
      <c r="S370" s="433"/>
      <c r="T370" s="433"/>
      <c r="U370" s="433"/>
      <c r="V370" s="433"/>
      <c r="W370" s="433"/>
      <c r="X370" s="433"/>
      <c r="Y370" s="433"/>
      <c r="Z370" s="433"/>
    </row>
    <row r="371">
      <c r="A371" s="440"/>
      <c r="B371" s="441"/>
      <c r="C371" s="442"/>
      <c r="D371" s="443"/>
      <c r="E371" s="433"/>
      <c r="F371" s="433"/>
      <c r="G371" s="433"/>
      <c r="H371" s="433"/>
      <c r="I371" s="433"/>
      <c r="J371" s="433"/>
      <c r="K371" s="433"/>
      <c r="L371" s="433"/>
      <c r="M371" s="433"/>
      <c r="N371" s="433"/>
      <c r="O371" s="433"/>
      <c r="P371" s="433"/>
      <c r="Q371" s="433"/>
      <c r="R371" s="433"/>
      <c r="S371" s="433"/>
      <c r="T371" s="433"/>
      <c r="U371" s="433"/>
      <c r="V371" s="433"/>
      <c r="W371" s="433"/>
      <c r="X371" s="433"/>
      <c r="Y371" s="433"/>
      <c r="Z371" s="433"/>
    </row>
    <row r="372">
      <c r="A372" s="440"/>
      <c r="B372" s="441"/>
      <c r="C372" s="442"/>
      <c r="D372" s="443"/>
      <c r="E372" s="433"/>
      <c r="F372" s="433"/>
      <c r="G372" s="433"/>
      <c r="H372" s="433"/>
      <c r="I372" s="433"/>
      <c r="J372" s="433"/>
      <c r="K372" s="433"/>
      <c r="L372" s="433"/>
      <c r="M372" s="433"/>
      <c r="N372" s="433"/>
      <c r="O372" s="433"/>
      <c r="P372" s="433"/>
      <c r="Q372" s="433"/>
      <c r="R372" s="433"/>
      <c r="S372" s="433"/>
      <c r="T372" s="433"/>
      <c r="U372" s="433"/>
      <c r="V372" s="433"/>
      <c r="W372" s="433"/>
      <c r="X372" s="433"/>
      <c r="Y372" s="433"/>
      <c r="Z372" s="433"/>
    </row>
    <row r="373">
      <c r="A373" s="440"/>
      <c r="B373" s="441"/>
      <c r="C373" s="442"/>
      <c r="D373" s="443"/>
      <c r="E373" s="433"/>
      <c r="F373" s="433"/>
      <c r="G373" s="433"/>
      <c r="H373" s="433"/>
      <c r="I373" s="433"/>
      <c r="J373" s="433"/>
      <c r="K373" s="433"/>
      <c r="L373" s="433"/>
      <c r="M373" s="433"/>
      <c r="N373" s="433"/>
      <c r="O373" s="433"/>
      <c r="P373" s="433"/>
      <c r="Q373" s="433"/>
      <c r="R373" s="433"/>
      <c r="S373" s="433"/>
      <c r="T373" s="433"/>
      <c r="U373" s="433"/>
      <c r="V373" s="433"/>
      <c r="W373" s="433"/>
      <c r="X373" s="433"/>
      <c r="Y373" s="433"/>
      <c r="Z373" s="433"/>
    </row>
    <row r="374">
      <c r="A374" s="440"/>
      <c r="B374" s="441"/>
      <c r="C374" s="442"/>
      <c r="D374" s="443"/>
      <c r="E374" s="433"/>
      <c r="F374" s="433"/>
      <c r="G374" s="433"/>
      <c r="H374" s="433"/>
      <c r="I374" s="433"/>
      <c r="J374" s="433"/>
      <c r="K374" s="433"/>
      <c r="L374" s="433"/>
      <c r="M374" s="433"/>
      <c r="N374" s="433"/>
      <c r="O374" s="433"/>
      <c r="P374" s="433"/>
      <c r="Q374" s="433"/>
      <c r="R374" s="433"/>
      <c r="S374" s="433"/>
      <c r="T374" s="433"/>
      <c r="U374" s="433"/>
      <c r="V374" s="433"/>
      <c r="W374" s="433"/>
      <c r="X374" s="433"/>
      <c r="Y374" s="433"/>
      <c r="Z374" s="433"/>
    </row>
    <row r="375">
      <c r="A375" s="440"/>
      <c r="B375" s="441"/>
      <c r="C375" s="442"/>
      <c r="D375" s="44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row>
    <row r="376">
      <c r="A376" s="440"/>
      <c r="B376" s="441"/>
      <c r="C376" s="442"/>
      <c r="D376" s="443"/>
      <c r="E376" s="433"/>
      <c r="F376" s="433"/>
      <c r="G376" s="433"/>
      <c r="H376" s="433"/>
      <c r="I376" s="433"/>
      <c r="J376" s="433"/>
      <c r="K376" s="433"/>
      <c r="L376" s="433"/>
      <c r="M376" s="433"/>
      <c r="N376" s="433"/>
      <c r="O376" s="433"/>
      <c r="P376" s="433"/>
      <c r="Q376" s="433"/>
      <c r="R376" s="433"/>
      <c r="S376" s="433"/>
      <c r="T376" s="433"/>
      <c r="U376" s="433"/>
      <c r="V376" s="433"/>
      <c r="W376" s="433"/>
      <c r="X376" s="433"/>
      <c r="Y376" s="433"/>
      <c r="Z376" s="433"/>
    </row>
    <row r="377">
      <c r="A377" s="440"/>
      <c r="B377" s="441"/>
      <c r="C377" s="442"/>
      <c r="D377" s="443"/>
      <c r="E377" s="433"/>
      <c r="F377" s="433"/>
      <c r="G377" s="433"/>
      <c r="H377" s="433"/>
      <c r="I377" s="433"/>
      <c r="J377" s="433"/>
      <c r="K377" s="433"/>
      <c r="L377" s="433"/>
      <c r="M377" s="433"/>
      <c r="N377" s="433"/>
      <c r="O377" s="433"/>
      <c r="P377" s="433"/>
      <c r="Q377" s="433"/>
      <c r="R377" s="433"/>
      <c r="S377" s="433"/>
      <c r="T377" s="433"/>
      <c r="U377" s="433"/>
      <c r="V377" s="433"/>
      <c r="W377" s="433"/>
      <c r="X377" s="433"/>
      <c r="Y377" s="433"/>
      <c r="Z377" s="433"/>
    </row>
    <row r="378">
      <c r="A378" s="440"/>
      <c r="B378" s="441"/>
      <c r="C378" s="442"/>
      <c r="D378" s="443"/>
      <c r="E378" s="433"/>
      <c r="F378" s="433"/>
      <c r="G378" s="433"/>
      <c r="H378" s="433"/>
      <c r="I378" s="433"/>
      <c r="J378" s="433"/>
      <c r="K378" s="433"/>
      <c r="L378" s="433"/>
      <c r="M378" s="433"/>
      <c r="N378" s="433"/>
      <c r="O378" s="433"/>
      <c r="P378" s="433"/>
      <c r="Q378" s="433"/>
      <c r="R378" s="433"/>
      <c r="S378" s="433"/>
      <c r="T378" s="433"/>
      <c r="U378" s="433"/>
      <c r="V378" s="433"/>
      <c r="W378" s="433"/>
      <c r="X378" s="433"/>
      <c r="Y378" s="433"/>
      <c r="Z378" s="433"/>
    </row>
    <row r="379">
      <c r="A379" s="440"/>
      <c r="B379" s="441"/>
      <c r="C379" s="442"/>
      <c r="D379" s="443"/>
      <c r="E379" s="433"/>
      <c r="F379" s="433"/>
      <c r="G379" s="433"/>
      <c r="H379" s="433"/>
      <c r="I379" s="433"/>
      <c r="J379" s="433"/>
      <c r="K379" s="433"/>
      <c r="L379" s="433"/>
      <c r="M379" s="433"/>
      <c r="N379" s="433"/>
      <c r="O379" s="433"/>
      <c r="P379" s="433"/>
      <c r="Q379" s="433"/>
      <c r="R379" s="433"/>
      <c r="S379" s="433"/>
      <c r="T379" s="433"/>
      <c r="U379" s="433"/>
      <c r="V379" s="433"/>
      <c r="W379" s="433"/>
      <c r="X379" s="433"/>
      <c r="Y379" s="433"/>
      <c r="Z379" s="433"/>
    </row>
    <row r="380">
      <c r="A380" s="440"/>
      <c r="B380" s="441"/>
      <c r="C380" s="442"/>
      <c r="D380" s="443"/>
      <c r="E380" s="433"/>
      <c r="F380" s="433"/>
      <c r="G380" s="433"/>
      <c r="H380" s="433"/>
      <c r="I380" s="433"/>
      <c r="J380" s="433"/>
      <c r="K380" s="433"/>
      <c r="L380" s="433"/>
      <c r="M380" s="433"/>
      <c r="N380" s="433"/>
      <c r="O380" s="433"/>
      <c r="P380" s="433"/>
      <c r="Q380" s="433"/>
      <c r="R380" s="433"/>
      <c r="S380" s="433"/>
      <c r="T380" s="433"/>
      <c r="U380" s="433"/>
      <c r="V380" s="433"/>
      <c r="W380" s="433"/>
      <c r="X380" s="433"/>
      <c r="Y380" s="433"/>
      <c r="Z380" s="433"/>
    </row>
    <row r="381">
      <c r="A381" s="440"/>
      <c r="B381" s="441"/>
      <c r="C381" s="442"/>
      <c r="D381" s="443"/>
      <c r="E381" s="433"/>
      <c r="F381" s="433"/>
      <c r="G381" s="433"/>
      <c r="H381" s="433"/>
      <c r="I381" s="433"/>
      <c r="J381" s="433"/>
      <c r="K381" s="433"/>
      <c r="L381" s="433"/>
      <c r="M381" s="433"/>
      <c r="N381" s="433"/>
      <c r="O381" s="433"/>
      <c r="P381" s="433"/>
      <c r="Q381" s="433"/>
      <c r="R381" s="433"/>
      <c r="S381" s="433"/>
      <c r="T381" s="433"/>
      <c r="U381" s="433"/>
      <c r="V381" s="433"/>
      <c r="W381" s="433"/>
      <c r="X381" s="433"/>
      <c r="Y381" s="433"/>
      <c r="Z381" s="433"/>
    </row>
    <row r="382">
      <c r="A382" s="440"/>
      <c r="B382" s="441"/>
      <c r="C382" s="442"/>
      <c r="D382" s="443"/>
      <c r="E382" s="433"/>
      <c r="F382" s="433"/>
      <c r="G382" s="433"/>
      <c r="H382" s="433"/>
      <c r="I382" s="433"/>
      <c r="J382" s="433"/>
      <c r="K382" s="433"/>
      <c r="L382" s="433"/>
      <c r="M382" s="433"/>
      <c r="N382" s="433"/>
      <c r="O382" s="433"/>
      <c r="P382" s="433"/>
      <c r="Q382" s="433"/>
      <c r="R382" s="433"/>
      <c r="S382" s="433"/>
      <c r="T382" s="433"/>
      <c r="U382" s="433"/>
      <c r="V382" s="433"/>
      <c r="W382" s="433"/>
      <c r="X382" s="433"/>
      <c r="Y382" s="433"/>
      <c r="Z382" s="433"/>
    </row>
    <row r="383">
      <c r="A383" s="440"/>
      <c r="B383" s="441"/>
      <c r="C383" s="442"/>
      <c r="D383" s="443"/>
      <c r="E383" s="433"/>
      <c r="F383" s="433"/>
      <c r="G383" s="433"/>
      <c r="H383" s="433"/>
      <c r="I383" s="433"/>
      <c r="J383" s="433"/>
      <c r="K383" s="433"/>
      <c r="L383" s="433"/>
      <c r="M383" s="433"/>
      <c r="N383" s="433"/>
      <c r="O383" s="433"/>
      <c r="P383" s="433"/>
      <c r="Q383" s="433"/>
      <c r="R383" s="433"/>
      <c r="S383" s="433"/>
      <c r="T383" s="433"/>
      <c r="U383" s="433"/>
      <c r="V383" s="433"/>
      <c r="W383" s="433"/>
      <c r="X383" s="433"/>
      <c r="Y383" s="433"/>
      <c r="Z383" s="433"/>
    </row>
    <row r="384">
      <c r="A384" s="440"/>
      <c r="B384" s="441"/>
      <c r="C384" s="442"/>
      <c r="D384" s="443"/>
      <c r="E384" s="433"/>
      <c r="F384" s="433"/>
      <c r="G384" s="433"/>
      <c r="H384" s="433"/>
      <c r="I384" s="433"/>
      <c r="J384" s="433"/>
      <c r="K384" s="433"/>
      <c r="L384" s="433"/>
      <c r="M384" s="433"/>
      <c r="N384" s="433"/>
      <c r="O384" s="433"/>
      <c r="P384" s="433"/>
      <c r="Q384" s="433"/>
      <c r="R384" s="433"/>
      <c r="S384" s="433"/>
      <c r="T384" s="433"/>
      <c r="U384" s="433"/>
      <c r="V384" s="433"/>
      <c r="W384" s="433"/>
      <c r="X384" s="433"/>
      <c r="Y384" s="433"/>
      <c r="Z384" s="433"/>
    </row>
    <row r="385">
      <c r="A385" s="440"/>
      <c r="B385" s="441"/>
      <c r="C385" s="442"/>
      <c r="D385" s="443"/>
      <c r="E385" s="433"/>
      <c r="F385" s="433"/>
      <c r="G385" s="433"/>
      <c r="H385" s="433"/>
      <c r="I385" s="433"/>
      <c r="J385" s="433"/>
      <c r="K385" s="433"/>
      <c r="L385" s="433"/>
      <c r="M385" s="433"/>
      <c r="N385" s="433"/>
      <c r="O385" s="433"/>
      <c r="P385" s="433"/>
      <c r="Q385" s="433"/>
      <c r="R385" s="433"/>
      <c r="S385" s="433"/>
      <c r="T385" s="433"/>
      <c r="U385" s="433"/>
      <c r="V385" s="433"/>
      <c r="W385" s="433"/>
      <c r="X385" s="433"/>
      <c r="Y385" s="433"/>
      <c r="Z385" s="433"/>
    </row>
    <row r="386">
      <c r="A386" s="440"/>
      <c r="B386" s="441"/>
      <c r="C386" s="442"/>
      <c r="D386" s="443"/>
      <c r="E386" s="433"/>
      <c r="F386" s="433"/>
      <c r="G386" s="433"/>
      <c r="H386" s="433"/>
      <c r="I386" s="433"/>
      <c r="J386" s="433"/>
      <c r="K386" s="433"/>
      <c r="L386" s="433"/>
      <c r="M386" s="433"/>
      <c r="N386" s="433"/>
      <c r="O386" s="433"/>
      <c r="P386" s="433"/>
      <c r="Q386" s="433"/>
      <c r="R386" s="433"/>
      <c r="S386" s="433"/>
      <c r="T386" s="433"/>
      <c r="U386" s="433"/>
      <c r="V386" s="433"/>
      <c r="W386" s="433"/>
      <c r="X386" s="433"/>
      <c r="Y386" s="433"/>
      <c r="Z386" s="433"/>
    </row>
    <row r="387">
      <c r="A387" s="440"/>
      <c r="B387" s="441"/>
      <c r="C387" s="442"/>
      <c r="D387" s="443"/>
      <c r="E387" s="433"/>
      <c r="F387" s="433"/>
      <c r="G387" s="433"/>
      <c r="H387" s="433"/>
      <c r="I387" s="433"/>
      <c r="J387" s="433"/>
      <c r="K387" s="433"/>
      <c r="L387" s="433"/>
      <c r="M387" s="433"/>
      <c r="N387" s="433"/>
      <c r="O387" s="433"/>
      <c r="P387" s="433"/>
      <c r="Q387" s="433"/>
      <c r="R387" s="433"/>
      <c r="S387" s="433"/>
      <c r="T387" s="433"/>
      <c r="U387" s="433"/>
      <c r="V387" s="433"/>
      <c r="W387" s="433"/>
      <c r="X387" s="433"/>
      <c r="Y387" s="433"/>
      <c r="Z387" s="433"/>
    </row>
    <row r="388">
      <c r="A388" s="440"/>
      <c r="B388" s="441"/>
      <c r="C388" s="442"/>
      <c r="D388" s="443"/>
      <c r="E388" s="433"/>
      <c r="F388" s="433"/>
      <c r="G388" s="433"/>
      <c r="H388" s="433"/>
      <c r="I388" s="433"/>
      <c r="J388" s="433"/>
      <c r="K388" s="433"/>
      <c r="L388" s="433"/>
      <c r="M388" s="433"/>
      <c r="N388" s="433"/>
      <c r="O388" s="433"/>
      <c r="P388" s="433"/>
      <c r="Q388" s="433"/>
      <c r="R388" s="433"/>
      <c r="S388" s="433"/>
      <c r="T388" s="433"/>
      <c r="U388" s="433"/>
      <c r="V388" s="433"/>
      <c r="W388" s="433"/>
      <c r="X388" s="433"/>
      <c r="Y388" s="433"/>
      <c r="Z388" s="433"/>
    </row>
    <row r="389">
      <c r="A389" s="440"/>
      <c r="B389" s="441"/>
      <c r="C389" s="442"/>
      <c r="D389" s="443"/>
      <c r="E389" s="433"/>
      <c r="F389" s="433"/>
      <c r="G389" s="433"/>
      <c r="H389" s="433"/>
      <c r="I389" s="433"/>
      <c r="J389" s="433"/>
      <c r="K389" s="433"/>
      <c r="L389" s="433"/>
      <c r="M389" s="433"/>
      <c r="N389" s="433"/>
      <c r="O389" s="433"/>
      <c r="P389" s="433"/>
      <c r="Q389" s="433"/>
      <c r="R389" s="433"/>
      <c r="S389" s="433"/>
      <c r="T389" s="433"/>
      <c r="U389" s="433"/>
      <c r="V389" s="433"/>
      <c r="W389" s="433"/>
      <c r="X389" s="433"/>
      <c r="Y389" s="433"/>
      <c r="Z389" s="433"/>
    </row>
    <row r="390">
      <c r="A390" s="440"/>
      <c r="B390" s="441"/>
      <c r="C390" s="442"/>
      <c r="D390" s="443"/>
      <c r="E390" s="433"/>
      <c r="F390" s="433"/>
      <c r="G390" s="433"/>
      <c r="H390" s="433"/>
      <c r="I390" s="433"/>
      <c r="J390" s="433"/>
      <c r="K390" s="433"/>
      <c r="L390" s="433"/>
      <c r="M390" s="433"/>
      <c r="N390" s="433"/>
      <c r="O390" s="433"/>
      <c r="P390" s="433"/>
      <c r="Q390" s="433"/>
      <c r="R390" s="433"/>
      <c r="S390" s="433"/>
      <c r="T390" s="433"/>
      <c r="U390" s="433"/>
      <c r="V390" s="433"/>
      <c r="W390" s="433"/>
      <c r="X390" s="433"/>
      <c r="Y390" s="433"/>
      <c r="Z390" s="433"/>
    </row>
    <row r="391">
      <c r="A391" s="440"/>
      <c r="B391" s="441"/>
      <c r="C391" s="442"/>
      <c r="D391" s="443"/>
      <c r="E391" s="433"/>
      <c r="F391" s="433"/>
      <c r="G391" s="433"/>
      <c r="H391" s="433"/>
      <c r="I391" s="433"/>
      <c r="J391" s="433"/>
      <c r="K391" s="433"/>
      <c r="L391" s="433"/>
      <c r="M391" s="433"/>
      <c r="N391" s="433"/>
      <c r="O391" s="433"/>
      <c r="P391" s="433"/>
      <c r="Q391" s="433"/>
      <c r="R391" s="433"/>
      <c r="S391" s="433"/>
      <c r="T391" s="433"/>
      <c r="U391" s="433"/>
      <c r="V391" s="433"/>
      <c r="W391" s="433"/>
      <c r="X391" s="433"/>
      <c r="Y391" s="433"/>
      <c r="Z391" s="433"/>
    </row>
    <row r="392">
      <c r="A392" s="440"/>
      <c r="B392" s="441"/>
      <c r="C392" s="442"/>
      <c r="D392" s="443"/>
      <c r="E392" s="433"/>
      <c r="F392" s="433"/>
      <c r="G392" s="433"/>
      <c r="H392" s="433"/>
      <c r="I392" s="433"/>
      <c r="J392" s="433"/>
      <c r="K392" s="433"/>
      <c r="L392" s="433"/>
      <c r="M392" s="433"/>
      <c r="N392" s="433"/>
      <c r="O392" s="433"/>
      <c r="P392" s="433"/>
      <c r="Q392" s="433"/>
      <c r="R392" s="433"/>
      <c r="S392" s="433"/>
      <c r="T392" s="433"/>
      <c r="U392" s="433"/>
      <c r="V392" s="433"/>
      <c r="W392" s="433"/>
      <c r="X392" s="433"/>
      <c r="Y392" s="433"/>
      <c r="Z392" s="433"/>
    </row>
    <row r="393">
      <c r="A393" s="440"/>
      <c r="B393" s="441"/>
      <c r="C393" s="442"/>
      <c r="D393" s="443"/>
      <c r="E393" s="433"/>
      <c r="F393" s="433"/>
      <c r="G393" s="433"/>
      <c r="H393" s="433"/>
      <c r="I393" s="433"/>
      <c r="J393" s="433"/>
      <c r="K393" s="433"/>
      <c r="L393" s="433"/>
      <c r="M393" s="433"/>
      <c r="N393" s="433"/>
      <c r="O393" s="433"/>
      <c r="P393" s="433"/>
      <c r="Q393" s="433"/>
      <c r="R393" s="433"/>
      <c r="S393" s="433"/>
      <c r="T393" s="433"/>
      <c r="U393" s="433"/>
      <c r="V393" s="433"/>
      <c r="W393" s="433"/>
      <c r="X393" s="433"/>
      <c r="Y393" s="433"/>
      <c r="Z393" s="433"/>
    </row>
    <row r="394">
      <c r="A394" s="440"/>
      <c r="B394" s="441"/>
      <c r="C394" s="442"/>
      <c r="D394" s="443"/>
      <c r="E394" s="433"/>
      <c r="F394" s="433"/>
      <c r="G394" s="433"/>
      <c r="H394" s="433"/>
      <c r="I394" s="433"/>
      <c r="J394" s="433"/>
      <c r="K394" s="433"/>
      <c r="L394" s="433"/>
      <c r="M394" s="433"/>
      <c r="N394" s="433"/>
      <c r="O394" s="433"/>
      <c r="P394" s="433"/>
      <c r="Q394" s="433"/>
      <c r="R394" s="433"/>
      <c r="S394" s="433"/>
      <c r="T394" s="433"/>
      <c r="U394" s="433"/>
      <c r="V394" s="433"/>
      <c r="W394" s="433"/>
      <c r="X394" s="433"/>
      <c r="Y394" s="433"/>
      <c r="Z394" s="433"/>
    </row>
    <row r="395">
      <c r="A395" s="440"/>
      <c r="B395" s="441"/>
      <c r="C395" s="442"/>
      <c r="D395" s="443"/>
      <c r="E395" s="433"/>
      <c r="F395" s="433"/>
      <c r="G395" s="433"/>
      <c r="H395" s="433"/>
      <c r="I395" s="433"/>
      <c r="J395" s="433"/>
      <c r="K395" s="433"/>
      <c r="L395" s="433"/>
      <c r="M395" s="433"/>
      <c r="N395" s="433"/>
      <c r="O395" s="433"/>
      <c r="P395" s="433"/>
      <c r="Q395" s="433"/>
      <c r="R395" s="433"/>
      <c r="S395" s="433"/>
      <c r="T395" s="433"/>
      <c r="U395" s="433"/>
      <c r="V395" s="433"/>
      <c r="W395" s="433"/>
      <c r="X395" s="433"/>
      <c r="Y395" s="433"/>
      <c r="Z395" s="433"/>
    </row>
    <row r="396">
      <c r="A396" s="440"/>
      <c r="B396" s="441"/>
      <c r="C396" s="442"/>
      <c r="D396" s="443"/>
      <c r="E396" s="433"/>
      <c r="F396" s="433"/>
      <c r="G396" s="433"/>
      <c r="H396" s="433"/>
      <c r="I396" s="433"/>
      <c r="J396" s="433"/>
      <c r="K396" s="433"/>
      <c r="L396" s="433"/>
      <c r="M396" s="433"/>
      <c r="N396" s="433"/>
      <c r="O396" s="433"/>
      <c r="P396" s="433"/>
      <c r="Q396" s="433"/>
      <c r="R396" s="433"/>
      <c r="S396" s="433"/>
      <c r="T396" s="433"/>
      <c r="U396" s="433"/>
      <c r="V396" s="433"/>
      <c r="W396" s="433"/>
      <c r="X396" s="433"/>
      <c r="Y396" s="433"/>
      <c r="Z396" s="433"/>
    </row>
    <row r="397">
      <c r="A397" s="440"/>
      <c r="B397" s="441"/>
      <c r="C397" s="442"/>
      <c r="D397" s="443"/>
      <c r="E397" s="433"/>
      <c r="F397" s="433"/>
      <c r="G397" s="433"/>
      <c r="H397" s="433"/>
      <c r="I397" s="433"/>
      <c r="J397" s="433"/>
      <c r="K397" s="433"/>
      <c r="L397" s="433"/>
      <c r="M397" s="433"/>
      <c r="N397" s="433"/>
      <c r="O397" s="433"/>
      <c r="P397" s="433"/>
      <c r="Q397" s="433"/>
      <c r="R397" s="433"/>
      <c r="S397" s="433"/>
      <c r="T397" s="433"/>
      <c r="U397" s="433"/>
      <c r="V397" s="433"/>
      <c r="W397" s="433"/>
      <c r="X397" s="433"/>
      <c r="Y397" s="433"/>
      <c r="Z397" s="433"/>
    </row>
    <row r="398">
      <c r="A398" s="440"/>
      <c r="B398" s="441"/>
      <c r="C398" s="442"/>
      <c r="D398" s="443"/>
      <c r="E398" s="433"/>
      <c r="F398" s="433"/>
      <c r="G398" s="433"/>
      <c r="H398" s="433"/>
      <c r="I398" s="433"/>
      <c r="J398" s="433"/>
      <c r="K398" s="433"/>
      <c r="L398" s="433"/>
      <c r="M398" s="433"/>
      <c r="N398" s="433"/>
      <c r="O398" s="433"/>
      <c r="P398" s="433"/>
      <c r="Q398" s="433"/>
      <c r="R398" s="433"/>
      <c r="S398" s="433"/>
      <c r="T398" s="433"/>
      <c r="U398" s="433"/>
      <c r="V398" s="433"/>
      <c r="W398" s="433"/>
      <c r="X398" s="433"/>
      <c r="Y398" s="433"/>
      <c r="Z398" s="433"/>
    </row>
    <row r="399">
      <c r="A399" s="440"/>
      <c r="B399" s="441"/>
      <c r="C399" s="442"/>
      <c r="D399" s="443"/>
      <c r="E399" s="433"/>
      <c r="F399" s="433"/>
      <c r="G399" s="433"/>
      <c r="H399" s="433"/>
      <c r="I399" s="433"/>
      <c r="J399" s="433"/>
      <c r="K399" s="433"/>
      <c r="L399" s="433"/>
      <c r="M399" s="433"/>
      <c r="N399" s="433"/>
      <c r="O399" s="433"/>
      <c r="P399" s="433"/>
      <c r="Q399" s="433"/>
      <c r="R399" s="433"/>
      <c r="S399" s="433"/>
      <c r="T399" s="433"/>
      <c r="U399" s="433"/>
      <c r="V399" s="433"/>
      <c r="W399" s="433"/>
      <c r="X399" s="433"/>
      <c r="Y399" s="433"/>
      <c r="Z399" s="433"/>
    </row>
    <row r="400">
      <c r="A400" s="440"/>
      <c r="B400" s="441"/>
      <c r="C400" s="442"/>
      <c r="D400" s="443"/>
      <c r="E400" s="433"/>
      <c r="F400" s="433"/>
      <c r="G400" s="433"/>
      <c r="H400" s="433"/>
      <c r="I400" s="433"/>
      <c r="J400" s="433"/>
      <c r="K400" s="433"/>
      <c r="L400" s="433"/>
      <c r="M400" s="433"/>
      <c r="N400" s="433"/>
      <c r="O400" s="433"/>
      <c r="P400" s="433"/>
      <c r="Q400" s="433"/>
      <c r="R400" s="433"/>
      <c r="S400" s="433"/>
      <c r="T400" s="433"/>
      <c r="U400" s="433"/>
      <c r="V400" s="433"/>
      <c r="W400" s="433"/>
      <c r="X400" s="433"/>
      <c r="Y400" s="433"/>
      <c r="Z400" s="433"/>
    </row>
    <row r="401">
      <c r="A401" s="440"/>
      <c r="B401" s="441"/>
      <c r="C401" s="442"/>
      <c r="D401" s="443"/>
      <c r="E401" s="433"/>
      <c r="F401" s="433"/>
      <c r="G401" s="433"/>
      <c r="H401" s="433"/>
      <c r="I401" s="433"/>
      <c r="J401" s="433"/>
      <c r="K401" s="433"/>
      <c r="L401" s="433"/>
      <c r="M401" s="433"/>
      <c r="N401" s="433"/>
      <c r="O401" s="433"/>
      <c r="P401" s="433"/>
      <c r="Q401" s="433"/>
      <c r="R401" s="433"/>
      <c r="S401" s="433"/>
      <c r="T401" s="433"/>
      <c r="U401" s="433"/>
      <c r="V401" s="433"/>
      <c r="W401" s="433"/>
      <c r="X401" s="433"/>
      <c r="Y401" s="433"/>
      <c r="Z401" s="433"/>
    </row>
    <row r="402">
      <c r="A402" s="440"/>
      <c r="B402" s="441"/>
      <c r="C402" s="442"/>
      <c r="D402" s="443"/>
      <c r="E402" s="433"/>
      <c r="F402" s="433"/>
      <c r="G402" s="433"/>
      <c r="H402" s="433"/>
      <c r="I402" s="433"/>
      <c r="J402" s="433"/>
      <c r="K402" s="433"/>
      <c r="L402" s="433"/>
      <c r="M402" s="433"/>
      <c r="N402" s="433"/>
      <c r="O402" s="433"/>
      <c r="P402" s="433"/>
      <c r="Q402" s="433"/>
      <c r="R402" s="433"/>
      <c r="S402" s="433"/>
      <c r="T402" s="433"/>
      <c r="U402" s="433"/>
      <c r="V402" s="433"/>
      <c r="W402" s="433"/>
      <c r="X402" s="433"/>
      <c r="Y402" s="433"/>
      <c r="Z402" s="433"/>
    </row>
    <row r="403">
      <c r="A403" s="440"/>
      <c r="B403" s="441"/>
      <c r="C403" s="442"/>
      <c r="D403" s="443"/>
      <c r="E403" s="433"/>
      <c r="F403" s="433"/>
      <c r="G403" s="433"/>
      <c r="H403" s="433"/>
      <c r="I403" s="433"/>
      <c r="J403" s="433"/>
      <c r="K403" s="433"/>
      <c r="L403" s="433"/>
      <c r="M403" s="433"/>
      <c r="N403" s="433"/>
      <c r="O403" s="433"/>
      <c r="P403" s="433"/>
      <c r="Q403" s="433"/>
      <c r="R403" s="433"/>
      <c r="S403" s="433"/>
      <c r="T403" s="433"/>
      <c r="U403" s="433"/>
      <c r="V403" s="433"/>
      <c r="W403" s="433"/>
      <c r="X403" s="433"/>
      <c r="Y403" s="433"/>
      <c r="Z403" s="433"/>
    </row>
    <row r="404">
      <c r="A404" s="440"/>
      <c r="B404" s="441"/>
      <c r="C404" s="442"/>
      <c r="D404" s="443"/>
      <c r="E404" s="433"/>
      <c r="F404" s="433"/>
      <c r="G404" s="433"/>
      <c r="H404" s="433"/>
      <c r="I404" s="433"/>
      <c r="J404" s="433"/>
      <c r="K404" s="433"/>
      <c r="L404" s="433"/>
      <c r="M404" s="433"/>
      <c r="N404" s="433"/>
      <c r="O404" s="433"/>
      <c r="P404" s="433"/>
      <c r="Q404" s="433"/>
      <c r="R404" s="433"/>
      <c r="S404" s="433"/>
      <c r="T404" s="433"/>
      <c r="U404" s="433"/>
      <c r="V404" s="433"/>
      <c r="W404" s="433"/>
      <c r="X404" s="433"/>
      <c r="Y404" s="433"/>
      <c r="Z404" s="433"/>
    </row>
    <row r="405">
      <c r="A405" s="440"/>
      <c r="B405" s="441"/>
      <c r="C405" s="442"/>
      <c r="D405" s="443"/>
      <c r="E405" s="433"/>
      <c r="F405" s="433"/>
      <c r="G405" s="433"/>
      <c r="H405" s="433"/>
      <c r="I405" s="433"/>
      <c r="J405" s="433"/>
      <c r="K405" s="433"/>
      <c r="L405" s="433"/>
      <c r="M405" s="433"/>
      <c r="N405" s="433"/>
      <c r="O405" s="433"/>
      <c r="P405" s="433"/>
      <c r="Q405" s="433"/>
      <c r="R405" s="433"/>
      <c r="S405" s="433"/>
      <c r="T405" s="433"/>
      <c r="U405" s="433"/>
      <c r="V405" s="433"/>
      <c r="W405" s="433"/>
      <c r="X405" s="433"/>
      <c r="Y405" s="433"/>
      <c r="Z405" s="433"/>
    </row>
    <row r="406">
      <c r="A406" s="440"/>
      <c r="B406" s="441"/>
      <c r="C406" s="442"/>
      <c r="D406" s="443"/>
      <c r="E406" s="433"/>
      <c r="F406" s="433"/>
      <c r="G406" s="433"/>
      <c r="H406" s="433"/>
      <c r="I406" s="433"/>
      <c r="J406" s="433"/>
      <c r="K406" s="433"/>
      <c r="L406" s="433"/>
      <c r="M406" s="433"/>
      <c r="N406" s="433"/>
      <c r="O406" s="433"/>
      <c r="P406" s="433"/>
      <c r="Q406" s="433"/>
      <c r="R406" s="433"/>
      <c r="S406" s="433"/>
      <c r="T406" s="433"/>
      <c r="U406" s="433"/>
      <c r="V406" s="433"/>
      <c r="W406" s="433"/>
      <c r="X406" s="433"/>
      <c r="Y406" s="433"/>
      <c r="Z406" s="433"/>
    </row>
    <row r="407">
      <c r="A407" s="440"/>
      <c r="B407" s="441"/>
      <c r="C407" s="442"/>
      <c r="D407" s="443"/>
      <c r="E407" s="433"/>
      <c r="F407" s="433"/>
      <c r="G407" s="433"/>
      <c r="H407" s="433"/>
      <c r="I407" s="433"/>
      <c r="J407" s="433"/>
      <c r="K407" s="433"/>
      <c r="L407" s="433"/>
      <c r="M407" s="433"/>
      <c r="N407" s="433"/>
      <c r="O407" s="433"/>
      <c r="P407" s="433"/>
      <c r="Q407" s="433"/>
      <c r="R407" s="433"/>
      <c r="S407" s="433"/>
      <c r="T407" s="433"/>
      <c r="U407" s="433"/>
      <c r="V407" s="433"/>
      <c r="W407" s="433"/>
      <c r="X407" s="433"/>
      <c r="Y407" s="433"/>
      <c r="Z407" s="433"/>
    </row>
    <row r="408">
      <c r="A408" s="440"/>
      <c r="B408" s="441"/>
      <c r="C408" s="442"/>
      <c r="D408" s="443"/>
      <c r="E408" s="433"/>
      <c r="F408" s="433"/>
      <c r="G408" s="433"/>
      <c r="H408" s="433"/>
      <c r="I408" s="433"/>
      <c r="J408" s="433"/>
      <c r="K408" s="433"/>
      <c r="L408" s="433"/>
      <c r="M408" s="433"/>
      <c r="N408" s="433"/>
      <c r="O408" s="433"/>
      <c r="P408" s="433"/>
      <c r="Q408" s="433"/>
      <c r="R408" s="433"/>
      <c r="S408" s="433"/>
      <c r="T408" s="433"/>
      <c r="U408" s="433"/>
      <c r="V408" s="433"/>
      <c r="W408" s="433"/>
      <c r="X408" s="433"/>
      <c r="Y408" s="433"/>
      <c r="Z408" s="433"/>
    </row>
    <row r="409">
      <c r="A409" s="440"/>
      <c r="B409" s="441"/>
      <c r="C409" s="442"/>
      <c r="D409" s="443"/>
      <c r="E409" s="433"/>
      <c r="F409" s="433"/>
      <c r="G409" s="433"/>
      <c r="H409" s="433"/>
      <c r="I409" s="433"/>
      <c r="J409" s="433"/>
      <c r="K409" s="433"/>
      <c r="L409" s="433"/>
      <c r="M409" s="433"/>
      <c r="N409" s="433"/>
      <c r="O409" s="433"/>
      <c r="P409" s="433"/>
      <c r="Q409" s="433"/>
      <c r="R409" s="433"/>
      <c r="S409" s="433"/>
      <c r="T409" s="433"/>
      <c r="U409" s="433"/>
      <c r="V409" s="433"/>
      <c r="W409" s="433"/>
      <c r="X409" s="433"/>
      <c r="Y409" s="433"/>
      <c r="Z409" s="433"/>
    </row>
    <row r="410">
      <c r="A410" s="440"/>
      <c r="B410" s="441"/>
      <c r="C410" s="442"/>
      <c r="D410" s="443"/>
      <c r="E410" s="433"/>
      <c r="F410" s="433"/>
      <c r="G410" s="433"/>
      <c r="H410" s="433"/>
      <c r="I410" s="433"/>
      <c r="J410" s="433"/>
      <c r="K410" s="433"/>
      <c r="L410" s="433"/>
      <c r="M410" s="433"/>
      <c r="N410" s="433"/>
      <c r="O410" s="433"/>
      <c r="P410" s="433"/>
      <c r="Q410" s="433"/>
      <c r="R410" s="433"/>
      <c r="S410" s="433"/>
      <c r="T410" s="433"/>
      <c r="U410" s="433"/>
      <c r="V410" s="433"/>
      <c r="W410" s="433"/>
      <c r="X410" s="433"/>
      <c r="Y410" s="433"/>
      <c r="Z410" s="433"/>
    </row>
    <row r="411">
      <c r="A411" s="440"/>
      <c r="B411" s="441"/>
      <c r="C411" s="442"/>
      <c r="D411" s="443"/>
      <c r="E411" s="433"/>
      <c r="F411" s="433"/>
      <c r="G411" s="433"/>
      <c r="H411" s="433"/>
      <c r="I411" s="433"/>
      <c r="J411" s="433"/>
      <c r="K411" s="433"/>
      <c r="L411" s="433"/>
      <c r="M411" s="433"/>
      <c r="N411" s="433"/>
      <c r="O411" s="433"/>
      <c r="P411" s="433"/>
      <c r="Q411" s="433"/>
      <c r="R411" s="433"/>
      <c r="S411" s="433"/>
      <c r="T411" s="433"/>
      <c r="U411" s="433"/>
      <c r="V411" s="433"/>
      <c r="W411" s="433"/>
      <c r="X411" s="433"/>
      <c r="Y411" s="433"/>
      <c r="Z411" s="433"/>
    </row>
    <row r="412">
      <c r="A412" s="440"/>
      <c r="B412" s="441"/>
      <c r="C412" s="442"/>
      <c r="D412" s="443"/>
      <c r="E412" s="433"/>
      <c r="F412" s="433"/>
      <c r="G412" s="433"/>
      <c r="H412" s="433"/>
      <c r="I412" s="433"/>
      <c r="J412" s="433"/>
      <c r="K412" s="433"/>
      <c r="L412" s="433"/>
      <c r="M412" s="433"/>
      <c r="N412" s="433"/>
      <c r="O412" s="433"/>
      <c r="P412" s="433"/>
      <c r="Q412" s="433"/>
      <c r="R412" s="433"/>
      <c r="S412" s="433"/>
      <c r="T412" s="433"/>
      <c r="U412" s="433"/>
      <c r="V412" s="433"/>
      <c r="W412" s="433"/>
      <c r="X412" s="433"/>
      <c r="Y412" s="433"/>
      <c r="Z412" s="433"/>
    </row>
    <row r="413">
      <c r="A413" s="440"/>
      <c r="B413" s="441"/>
      <c r="C413" s="442"/>
      <c r="D413" s="443"/>
      <c r="E413" s="433"/>
      <c r="F413" s="433"/>
      <c r="G413" s="433"/>
      <c r="H413" s="433"/>
      <c r="I413" s="433"/>
      <c r="J413" s="433"/>
      <c r="K413" s="433"/>
      <c r="L413" s="433"/>
      <c r="M413" s="433"/>
      <c r="N413" s="433"/>
      <c r="O413" s="433"/>
      <c r="P413" s="433"/>
      <c r="Q413" s="433"/>
      <c r="R413" s="433"/>
      <c r="S413" s="433"/>
      <c r="T413" s="433"/>
      <c r="U413" s="433"/>
      <c r="V413" s="433"/>
      <c r="W413" s="433"/>
      <c r="X413" s="433"/>
      <c r="Y413" s="433"/>
      <c r="Z413" s="433"/>
    </row>
    <row r="414">
      <c r="A414" s="440"/>
      <c r="B414" s="441"/>
      <c r="C414" s="442"/>
      <c r="D414" s="443"/>
      <c r="E414" s="433"/>
      <c r="F414" s="433"/>
      <c r="G414" s="433"/>
      <c r="H414" s="433"/>
      <c r="I414" s="433"/>
      <c r="J414" s="433"/>
      <c r="K414" s="433"/>
      <c r="L414" s="433"/>
      <c r="M414" s="433"/>
      <c r="N414" s="433"/>
      <c r="O414" s="433"/>
      <c r="P414" s="433"/>
      <c r="Q414" s="433"/>
      <c r="R414" s="433"/>
      <c r="S414" s="433"/>
      <c r="T414" s="433"/>
      <c r="U414" s="433"/>
      <c r="V414" s="433"/>
      <c r="W414" s="433"/>
      <c r="X414" s="433"/>
      <c r="Y414" s="433"/>
      <c r="Z414" s="433"/>
    </row>
    <row r="415">
      <c r="A415" s="440"/>
      <c r="B415" s="441"/>
      <c r="C415" s="442"/>
      <c r="D415" s="443"/>
      <c r="E415" s="433"/>
      <c r="F415" s="433"/>
      <c r="G415" s="433"/>
      <c r="H415" s="433"/>
      <c r="I415" s="433"/>
      <c r="J415" s="433"/>
      <c r="K415" s="433"/>
      <c r="L415" s="433"/>
      <c r="M415" s="433"/>
      <c r="N415" s="433"/>
      <c r="O415" s="433"/>
      <c r="P415" s="433"/>
      <c r="Q415" s="433"/>
      <c r="R415" s="433"/>
      <c r="S415" s="433"/>
      <c r="T415" s="433"/>
      <c r="U415" s="433"/>
      <c r="V415" s="433"/>
      <c r="W415" s="433"/>
      <c r="X415" s="433"/>
      <c r="Y415" s="433"/>
      <c r="Z415" s="433"/>
    </row>
    <row r="416">
      <c r="A416" s="440"/>
      <c r="B416" s="441"/>
      <c r="C416" s="442"/>
      <c r="D416" s="443"/>
      <c r="E416" s="433"/>
      <c r="F416" s="433"/>
      <c r="G416" s="433"/>
      <c r="H416" s="433"/>
      <c r="I416" s="433"/>
      <c r="J416" s="433"/>
      <c r="K416" s="433"/>
      <c r="L416" s="433"/>
      <c r="M416" s="433"/>
      <c r="N416" s="433"/>
      <c r="O416" s="433"/>
      <c r="P416" s="433"/>
      <c r="Q416" s="433"/>
      <c r="R416" s="433"/>
      <c r="S416" s="433"/>
      <c r="T416" s="433"/>
      <c r="U416" s="433"/>
      <c r="V416" s="433"/>
      <c r="W416" s="433"/>
      <c r="X416" s="433"/>
      <c r="Y416" s="433"/>
      <c r="Z416" s="433"/>
    </row>
    <row r="417">
      <c r="A417" s="440"/>
      <c r="B417" s="441"/>
      <c r="C417" s="442"/>
      <c r="D417" s="443"/>
      <c r="E417" s="433"/>
      <c r="F417" s="433"/>
      <c r="G417" s="433"/>
      <c r="H417" s="433"/>
      <c r="I417" s="433"/>
      <c r="J417" s="433"/>
      <c r="K417" s="433"/>
      <c r="L417" s="433"/>
      <c r="M417" s="433"/>
      <c r="N417" s="433"/>
      <c r="O417" s="433"/>
      <c r="P417" s="433"/>
      <c r="Q417" s="433"/>
      <c r="R417" s="433"/>
      <c r="S417" s="433"/>
      <c r="T417" s="433"/>
      <c r="U417" s="433"/>
      <c r="V417" s="433"/>
      <c r="W417" s="433"/>
      <c r="X417" s="433"/>
      <c r="Y417" s="433"/>
      <c r="Z417" s="433"/>
    </row>
    <row r="418">
      <c r="A418" s="440"/>
      <c r="B418" s="441"/>
      <c r="C418" s="442"/>
      <c r="D418" s="443"/>
      <c r="E418" s="433"/>
      <c r="F418" s="433"/>
      <c r="G418" s="433"/>
      <c r="H418" s="433"/>
      <c r="I418" s="433"/>
      <c r="J418" s="433"/>
      <c r="K418" s="433"/>
      <c r="L418" s="433"/>
      <c r="M418" s="433"/>
      <c r="N418" s="433"/>
      <c r="O418" s="433"/>
      <c r="P418" s="433"/>
      <c r="Q418" s="433"/>
      <c r="R418" s="433"/>
      <c r="S418" s="433"/>
      <c r="T418" s="433"/>
      <c r="U418" s="433"/>
      <c r="V418" s="433"/>
      <c r="W418" s="433"/>
      <c r="X418" s="433"/>
      <c r="Y418" s="433"/>
      <c r="Z418" s="433"/>
    </row>
    <row r="419">
      <c r="A419" s="440"/>
      <c r="B419" s="441"/>
      <c r="C419" s="442"/>
      <c r="D419" s="443"/>
      <c r="E419" s="433"/>
      <c r="F419" s="433"/>
      <c r="G419" s="433"/>
      <c r="H419" s="433"/>
      <c r="I419" s="433"/>
      <c r="J419" s="433"/>
      <c r="K419" s="433"/>
      <c r="L419" s="433"/>
      <c r="M419" s="433"/>
      <c r="N419" s="433"/>
      <c r="O419" s="433"/>
      <c r="P419" s="433"/>
      <c r="Q419" s="433"/>
      <c r="R419" s="433"/>
      <c r="S419" s="433"/>
      <c r="T419" s="433"/>
      <c r="U419" s="433"/>
      <c r="V419" s="433"/>
      <c r="W419" s="433"/>
      <c r="X419" s="433"/>
      <c r="Y419" s="433"/>
      <c r="Z419" s="433"/>
    </row>
    <row r="420">
      <c r="A420" s="440"/>
      <c r="B420" s="441"/>
      <c r="C420" s="442"/>
      <c r="D420" s="443"/>
      <c r="E420" s="433"/>
      <c r="F420" s="433"/>
      <c r="G420" s="433"/>
      <c r="H420" s="433"/>
      <c r="I420" s="433"/>
      <c r="J420" s="433"/>
      <c r="K420" s="433"/>
      <c r="L420" s="433"/>
      <c r="M420" s="433"/>
      <c r="N420" s="433"/>
      <c r="O420" s="433"/>
      <c r="P420" s="433"/>
      <c r="Q420" s="433"/>
      <c r="R420" s="433"/>
      <c r="S420" s="433"/>
      <c r="T420" s="433"/>
      <c r="U420" s="433"/>
      <c r="V420" s="433"/>
      <c r="W420" s="433"/>
      <c r="X420" s="433"/>
      <c r="Y420" s="433"/>
      <c r="Z420" s="433"/>
    </row>
    <row r="421">
      <c r="A421" s="440"/>
      <c r="B421" s="441"/>
      <c r="C421" s="442"/>
      <c r="D421" s="443"/>
      <c r="E421" s="433"/>
      <c r="F421" s="433"/>
      <c r="G421" s="433"/>
      <c r="H421" s="433"/>
      <c r="I421" s="433"/>
      <c r="J421" s="433"/>
      <c r="K421" s="433"/>
      <c r="L421" s="433"/>
      <c r="M421" s="433"/>
      <c r="N421" s="433"/>
      <c r="O421" s="433"/>
      <c r="P421" s="433"/>
      <c r="Q421" s="433"/>
      <c r="R421" s="433"/>
      <c r="S421" s="433"/>
      <c r="T421" s="433"/>
      <c r="U421" s="433"/>
      <c r="V421" s="433"/>
      <c r="W421" s="433"/>
      <c r="X421" s="433"/>
      <c r="Y421" s="433"/>
      <c r="Z421" s="433"/>
    </row>
    <row r="422">
      <c r="A422" s="440"/>
      <c r="B422" s="441"/>
      <c r="C422" s="442"/>
      <c r="D422" s="443"/>
      <c r="E422" s="433"/>
      <c r="F422" s="433"/>
      <c r="G422" s="433"/>
      <c r="H422" s="433"/>
      <c r="I422" s="433"/>
      <c r="J422" s="433"/>
      <c r="K422" s="433"/>
      <c r="L422" s="433"/>
      <c r="M422" s="433"/>
      <c r="N422" s="433"/>
      <c r="O422" s="433"/>
      <c r="P422" s="433"/>
      <c r="Q422" s="433"/>
      <c r="R422" s="433"/>
      <c r="S422" s="433"/>
      <c r="T422" s="433"/>
      <c r="U422" s="433"/>
      <c r="V422" s="433"/>
      <c r="W422" s="433"/>
      <c r="X422" s="433"/>
      <c r="Y422" s="433"/>
      <c r="Z422" s="433"/>
    </row>
    <row r="423">
      <c r="A423" s="440"/>
      <c r="B423" s="441"/>
      <c r="C423" s="442"/>
      <c r="D423" s="443"/>
      <c r="E423" s="433"/>
      <c r="F423" s="433"/>
      <c r="G423" s="433"/>
      <c r="H423" s="433"/>
      <c r="I423" s="433"/>
      <c r="J423" s="433"/>
      <c r="K423" s="433"/>
      <c r="L423" s="433"/>
      <c r="M423" s="433"/>
      <c r="N423" s="433"/>
      <c r="O423" s="433"/>
      <c r="P423" s="433"/>
      <c r="Q423" s="433"/>
      <c r="R423" s="433"/>
      <c r="S423" s="433"/>
      <c r="T423" s="433"/>
      <c r="U423" s="433"/>
      <c r="V423" s="433"/>
      <c r="W423" s="433"/>
      <c r="X423" s="433"/>
      <c r="Y423" s="433"/>
      <c r="Z423" s="433"/>
    </row>
    <row r="424">
      <c r="A424" s="440"/>
      <c r="B424" s="441"/>
      <c r="C424" s="442"/>
      <c r="D424" s="443"/>
      <c r="E424" s="433"/>
      <c r="F424" s="433"/>
      <c r="G424" s="433"/>
      <c r="H424" s="433"/>
      <c r="I424" s="433"/>
      <c r="J424" s="433"/>
      <c r="K424" s="433"/>
      <c r="L424" s="433"/>
      <c r="M424" s="433"/>
      <c r="N424" s="433"/>
      <c r="O424" s="433"/>
      <c r="P424" s="433"/>
      <c r="Q424" s="433"/>
      <c r="R424" s="433"/>
      <c r="S424" s="433"/>
      <c r="T424" s="433"/>
      <c r="U424" s="433"/>
      <c r="V424" s="433"/>
      <c r="W424" s="433"/>
      <c r="X424" s="433"/>
      <c r="Y424" s="433"/>
      <c r="Z424" s="433"/>
    </row>
    <row r="425">
      <c r="A425" s="440"/>
      <c r="B425" s="441"/>
      <c r="C425" s="442"/>
      <c r="D425" s="443"/>
      <c r="E425" s="433"/>
      <c r="F425" s="433"/>
      <c r="G425" s="433"/>
      <c r="H425" s="433"/>
      <c r="I425" s="433"/>
      <c r="J425" s="433"/>
      <c r="K425" s="433"/>
      <c r="L425" s="433"/>
      <c r="M425" s="433"/>
      <c r="N425" s="433"/>
      <c r="O425" s="433"/>
      <c r="P425" s="433"/>
      <c r="Q425" s="433"/>
      <c r="R425" s="433"/>
      <c r="S425" s="433"/>
      <c r="T425" s="433"/>
      <c r="U425" s="433"/>
      <c r="V425" s="433"/>
      <c r="W425" s="433"/>
      <c r="X425" s="433"/>
      <c r="Y425" s="433"/>
      <c r="Z425" s="433"/>
    </row>
    <row r="426">
      <c r="A426" s="440"/>
      <c r="B426" s="441"/>
      <c r="C426" s="442"/>
      <c r="D426" s="443"/>
      <c r="E426" s="433"/>
      <c r="F426" s="433"/>
      <c r="G426" s="433"/>
      <c r="H426" s="433"/>
      <c r="I426" s="433"/>
      <c r="J426" s="433"/>
      <c r="K426" s="433"/>
      <c r="L426" s="433"/>
      <c r="M426" s="433"/>
      <c r="N426" s="433"/>
      <c r="O426" s="433"/>
      <c r="P426" s="433"/>
      <c r="Q426" s="433"/>
      <c r="R426" s="433"/>
      <c r="S426" s="433"/>
      <c r="T426" s="433"/>
      <c r="U426" s="433"/>
      <c r="V426" s="433"/>
      <c r="W426" s="433"/>
      <c r="X426" s="433"/>
      <c r="Y426" s="433"/>
      <c r="Z426" s="433"/>
    </row>
    <row r="427">
      <c r="A427" s="440"/>
      <c r="B427" s="441"/>
      <c r="C427" s="442"/>
      <c r="D427" s="443"/>
      <c r="E427" s="433"/>
      <c r="F427" s="433"/>
      <c r="G427" s="433"/>
      <c r="H427" s="433"/>
      <c r="I427" s="433"/>
      <c r="J427" s="433"/>
      <c r="K427" s="433"/>
      <c r="L427" s="433"/>
      <c r="M427" s="433"/>
      <c r="N427" s="433"/>
      <c r="O427" s="433"/>
      <c r="P427" s="433"/>
      <c r="Q427" s="433"/>
      <c r="R427" s="433"/>
      <c r="S427" s="433"/>
      <c r="T427" s="433"/>
      <c r="U427" s="433"/>
      <c r="V427" s="433"/>
      <c r="W427" s="433"/>
      <c r="X427" s="433"/>
      <c r="Y427" s="433"/>
      <c r="Z427" s="433"/>
    </row>
    <row r="428">
      <c r="A428" s="440"/>
      <c r="B428" s="441"/>
      <c r="C428" s="442"/>
      <c r="D428" s="443"/>
      <c r="E428" s="433"/>
      <c r="F428" s="433"/>
      <c r="G428" s="433"/>
      <c r="H428" s="433"/>
      <c r="I428" s="433"/>
      <c r="J428" s="433"/>
      <c r="K428" s="433"/>
      <c r="L428" s="433"/>
      <c r="M428" s="433"/>
      <c r="N428" s="433"/>
      <c r="O428" s="433"/>
      <c r="P428" s="433"/>
      <c r="Q428" s="433"/>
      <c r="R428" s="433"/>
      <c r="S428" s="433"/>
      <c r="T428" s="433"/>
      <c r="U428" s="433"/>
      <c r="V428" s="433"/>
      <c r="W428" s="433"/>
      <c r="X428" s="433"/>
      <c r="Y428" s="433"/>
      <c r="Z428" s="433"/>
    </row>
    <row r="429">
      <c r="A429" s="440"/>
      <c r="B429" s="441"/>
      <c r="C429" s="442"/>
      <c r="D429" s="443"/>
      <c r="E429" s="433"/>
      <c r="F429" s="433"/>
      <c r="G429" s="433"/>
      <c r="H429" s="433"/>
      <c r="I429" s="433"/>
      <c r="J429" s="433"/>
      <c r="K429" s="433"/>
      <c r="L429" s="433"/>
      <c r="M429" s="433"/>
      <c r="N429" s="433"/>
      <c r="O429" s="433"/>
      <c r="P429" s="433"/>
      <c r="Q429" s="433"/>
      <c r="R429" s="433"/>
      <c r="S429" s="433"/>
      <c r="T429" s="433"/>
      <c r="U429" s="433"/>
      <c r="V429" s="433"/>
      <c r="W429" s="433"/>
      <c r="X429" s="433"/>
      <c r="Y429" s="433"/>
      <c r="Z429" s="433"/>
    </row>
    <row r="430">
      <c r="A430" s="440"/>
      <c r="B430" s="441"/>
      <c r="C430" s="442"/>
      <c r="D430" s="443"/>
      <c r="E430" s="433"/>
      <c r="F430" s="433"/>
      <c r="G430" s="433"/>
      <c r="H430" s="433"/>
      <c r="I430" s="433"/>
      <c r="J430" s="433"/>
      <c r="K430" s="433"/>
      <c r="L430" s="433"/>
      <c r="M430" s="433"/>
      <c r="N430" s="433"/>
      <c r="O430" s="433"/>
      <c r="P430" s="433"/>
      <c r="Q430" s="433"/>
      <c r="R430" s="433"/>
      <c r="S430" s="433"/>
      <c r="T430" s="433"/>
      <c r="U430" s="433"/>
      <c r="V430" s="433"/>
      <c r="W430" s="433"/>
      <c r="X430" s="433"/>
      <c r="Y430" s="433"/>
      <c r="Z430" s="433"/>
    </row>
    <row r="431">
      <c r="A431" s="440"/>
      <c r="B431" s="441"/>
      <c r="C431" s="442"/>
      <c r="D431" s="443"/>
      <c r="E431" s="433"/>
      <c r="F431" s="433"/>
      <c r="G431" s="433"/>
      <c r="H431" s="433"/>
      <c r="I431" s="433"/>
      <c r="J431" s="433"/>
      <c r="K431" s="433"/>
      <c r="L431" s="433"/>
      <c r="M431" s="433"/>
      <c r="N431" s="433"/>
      <c r="O431" s="433"/>
      <c r="P431" s="433"/>
      <c r="Q431" s="433"/>
      <c r="R431" s="433"/>
      <c r="S431" s="433"/>
      <c r="T431" s="433"/>
      <c r="U431" s="433"/>
      <c r="V431" s="433"/>
      <c r="W431" s="433"/>
      <c r="X431" s="433"/>
      <c r="Y431" s="433"/>
      <c r="Z431" s="433"/>
    </row>
    <row r="432">
      <c r="A432" s="440"/>
      <c r="B432" s="441"/>
      <c r="C432" s="442"/>
      <c r="D432" s="443"/>
      <c r="E432" s="433"/>
      <c r="F432" s="433"/>
      <c r="G432" s="433"/>
      <c r="H432" s="433"/>
      <c r="I432" s="433"/>
      <c r="J432" s="433"/>
      <c r="K432" s="433"/>
      <c r="L432" s="433"/>
      <c r="M432" s="433"/>
      <c r="N432" s="433"/>
      <c r="O432" s="433"/>
      <c r="P432" s="433"/>
      <c r="Q432" s="433"/>
      <c r="R432" s="433"/>
      <c r="S432" s="433"/>
      <c r="T432" s="433"/>
      <c r="U432" s="433"/>
      <c r="V432" s="433"/>
      <c r="W432" s="433"/>
      <c r="X432" s="433"/>
      <c r="Y432" s="433"/>
      <c r="Z432" s="433"/>
    </row>
    <row r="433">
      <c r="A433" s="440"/>
      <c r="B433" s="441"/>
      <c r="C433" s="442"/>
      <c r="D433" s="443"/>
      <c r="E433" s="433"/>
      <c r="F433" s="433"/>
      <c r="G433" s="433"/>
      <c r="H433" s="433"/>
      <c r="I433" s="433"/>
      <c r="J433" s="433"/>
      <c r="K433" s="433"/>
      <c r="L433" s="433"/>
      <c r="M433" s="433"/>
      <c r="N433" s="433"/>
      <c r="O433" s="433"/>
      <c r="P433" s="433"/>
      <c r="Q433" s="433"/>
      <c r="R433" s="433"/>
      <c r="S433" s="433"/>
      <c r="T433" s="433"/>
      <c r="U433" s="433"/>
      <c r="V433" s="433"/>
      <c r="W433" s="433"/>
      <c r="X433" s="433"/>
      <c r="Y433" s="433"/>
      <c r="Z433" s="433"/>
    </row>
    <row r="434">
      <c r="A434" s="440"/>
      <c r="B434" s="441"/>
      <c r="C434" s="442"/>
      <c r="D434" s="443"/>
      <c r="E434" s="433"/>
      <c r="F434" s="433"/>
      <c r="G434" s="433"/>
      <c r="H434" s="433"/>
      <c r="I434" s="433"/>
      <c r="J434" s="433"/>
      <c r="K434" s="433"/>
      <c r="L434" s="433"/>
      <c r="M434" s="433"/>
      <c r="N434" s="433"/>
      <c r="O434" s="433"/>
      <c r="P434" s="433"/>
      <c r="Q434" s="433"/>
      <c r="R434" s="433"/>
      <c r="S434" s="433"/>
      <c r="T434" s="433"/>
      <c r="U434" s="433"/>
      <c r="V434" s="433"/>
      <c r="W434" s="433"/>
      <c r="X434" s="433"/>
      <c r="Y434" s="433"/>
      <c r="Z434" s="433"/>
    </row>
    <row r="435">
      <c r="A435" s="440"/>
      <c r="B435" s="441"/>
      <c r="C435" s="442"/>
      <c r="D435" s="443"/>
      <c r="E435" s="433"/>
      <c r="F435" s="433"/>
      <c r="G435" s="433"/>
      <c r="H435" s="433"/>
      <c r="I435" s="433"/>
      <c r="J435" s="433"/>
      <c r="K435" s="433"/>
      <c r="L435" s="433"/>
      <c r="M435" s="433"/>
      <c r="N435" s="433"/>
      <c r="O435" s="433"/>
      <c r="P435" s="433"/>
      <c r="Q435" s="433"/>
      <c r="R435" s="433"/>
      <c r="S435" s="433"/>
      <c r="T435" s="433"/>
      <c r="U435" s="433"/>
      <c r="V435" s="433"/>
      <c r="W435" s="433"/>
      <c r="X435" s="433"/>
      <c r="Y435" s="433"/>
      <c r="Z435" s="433"/>
    </row>
    <row r="436">
      <c r="A436" s="440"/>
      <c r="B436" s="441"/>
      <c r="C436" s="442"/>
      <c r="D436" s="443"/>
      <c r="E436" s="433"/>
      <c r="F436" s="433"/>
      <c r="G436" s="433"/>
      <c r="H436" s="433"/>
      <c r="I436" s="433"/>
      <c r="J436" s="433"/>
      <c r="K436" s="433"/>
      <c r="L436" s="433"/>
      <c r="M436" s="433"/>
      <c r="N436" s="433"/>
      <c r="O436" s="433"/>
      <c r="P436" s="433"/>
      <c r="Q436" s="433"/>
      <c r="R436" s="433"/>
      <c r="S436" s="433"/>
      <c r="T436" s="433"/>
      <c r="U436" s="433"/>
      <c r="V436" s="433"/>
      <c r="W436" s="433"/>
      <c r="X436" s="433"/>
      <c r="Y436" s="433"/>
      <c r="Z436" s="433"/>
    </row>
    <row r="437">
      <c r="A437" s="440"/>
      <c r="B437" s="441"/>
      <c r="C437" s="442"/>
      <c r="D437" s="443"/>
      <c r="E437" s="433"/>
      <c r="F437" s="433"/>
      <c r="G437" s="433"/>
      <c r="H437" s="433"/>
      <c r="I437" s="433"/>
      <c r="J437" s="433"/>
      <c r="K437" s="433"/>
      <c r="L437" s="433"/>
      <c r="M437" s="433"/>
      <c r="N437" s="433"/>
      <c r="O437" s="433"/>
      <c r="P437" s="433"/>
      <c r="Q437" s="433"/>
      <c r="R437" s="433"/>
      <c r="S437" s="433"/>
      <c r="T437" s="433"/>
      <c r="U437" s="433"/>
      <c r="V437" s="433"/>
      <c r="W437" s="433"/>
      <c r="X437" s="433"/>
      <c r="Y437" s="433"/>
      <c r="Z437" s="433"/>
    </row>
    <row r="438">
      <c r="A438" s="440"/>
      <c r="B438" s="441"/>
      <c r="C438" s="442"/>
      <c r="D438" s="443"/>
      <c r="E438" s="433"/>
      <c r="F438" s="433"/>
      <c r="G438" s="433"/>
      <c r="H438" s="433"/>
      <c r="I438" s="433"/>
      <c r="J438" s="433"/>
      <c r="K438" s="433"/>
      <c r="L438" s="433"/>
      <c r="M438" s="433"/>
      <c r="N438" s="433"/>
      <c r="O438" s="433"/>
      <c r="P438" s="433"/>
      <c r="Q438" s="433"/>
      <c r="R438" s="433"/>
      <c r="S438" s="433"/>
      <c r="T438" s="433"/>
      <c r="U438" s="433"/>
      <c r="V438" s="433"/>
      <c r="W438" s="433"/>
      <c r="X438" s="433"/>
      <c r="Y438" s="433"/>
      <c r="Z438" s="433"/>
    </row>
    <row r="439">
      <c r="A439" s="440"/>
      <c r="B439" s="441"/>
      <c r="C439" s="442"/>
      <c r="D439" s="443"/>
      <c r="E439" s="433"/>
      <c r="F439" s="433"/>
      <c r="G439" s="433"/>
      <c r="H439" s="433"/>
      <c r="I439" s="433"/>
      <c r="J439" s="433"/>
      <c r="K439" s="433"/>
      <c r="L439" s="433"/>
      <c r="M439" s="433"/>
      <c r="N439" s="433"/>
      <c r="O439" s="433"/>
      <c r="P439" s="433"/>
      <c r="Q439" s="433"/>
      <c r="R439" s="433"/>
      <c r="S439" s="433"/>
      <c r="T439" s="433"/>
      <c r="U439" s="433"/>
      <c r="V439" s="433"/>
      <c r="W439" s="433"/>
      <c r="X439" s="433"/>
      <c r="Y439" s="433"/>
      <c r="Z439" s="433"/>
    </row>
    <row r="440">
      <c r="A440" s="440"/>
      <c r="B440" s="441"/>
      <c r="C440" s="442"/>
      <c r="D440" s="443"/>
      <c r="E440" s="433"/>
      <c r="F440" s="433"/>
      <c r="G440" s="433"/>
      <c r="H440" s="433"/>
      <c r="I440" s="433"/>
      <c r="J440" s="433"/>
      <c r="K440" s="433"/>
      <c r="L440" s="433"/>
      <c r="M440" s="433"/>
      <c r="N440" s="433"/>
      <c r="O440" s="433"/>
      <c r="P440" s="433"/>
      <c r="Q440" s="433"/>
      <c r="R440" s="433"/>
      <c r="S440" s="433"/>
      <c r="T440" s="433"/>
      <c r="U440" s="433"/>
      <c r="V440" s="433"/>
      <c r="W440" s="433"/>
      <c r="X440" s="433"/>
      <c r="Y440" s="433"/>
      <c r="Z440" s="433"/>
    </row>
    <row r="441">
      <c r="A441" s="440"/>
      <c r="B441" s="441"/>
      <c r="C441" s="442"/>
      <c r="D441" s="443"/>
      <c r="E441" s="433"/>
      <c r="F441" s="433"/>
      <c r="G441" s="433"/>
      <c r="H441" s="433"/>
      <c r="I441" s="433"/>
      <c r="J441" s="433"/>
      <c r="K441" s="433"/>
      <c r="L441" s="433"/>
      <c r="M441" s="433"/>
      <c r="N441" s="433"/>
      <c r="O441" s="433"/>
      <c r="P441" s="433"/>
      <c r="Q441" s="433"/>
      <c r="R441" s="433"/>
      <c r="S441" s="433"/>
      <c r="T441" s="433"/>
      <c r="U441" s="433"/>
      <c r="V441" s="433"/>
      <c r="W441" s="433"/>
      <c r="X441" s="433"/>
      <c r="Y441" s="433"/>
      <c r="Z441" s="433"/>
    </row>
    <row r="442">
      <c r="A442" s="440"/>
      <c r="B442" s="441"/>
      <c r="C442" s="442"/>
      <c r="D442" s="443"/>
      <c r="E442" s="433"/>
      <c r="F442" s="433"/>
      <c r="G442" s="433"/>
      <c r="H442" s="433"/>
      <c r="I442" s="433"/>
      <c r="J442" s="433"/>
      <c r="K442" s="433"/>
      <c r="L442" s="433"/>
      <c r="M442" s="433"/>
      <c r="N442" s="433"/>
      <c r="O442" s="433"/>
      <c r="P442" s="433"/>
      <c r="Q442" s="433"/>
      <c r="R442" s="433"/>
      <c r="S442" s="433"/>
      <c r="T442" s="433"/>
      <c r="U442" s="433"/>
      <c r="V442" s="433"/>
      <c r="W442" s="433"/>
      <c r="X442" s="433"/>
      <c r="Y442" s="433"/>
      <c r="Z442" s="433"/>
    </row>
    <row r="443">
      <c r="A443" s="440"/>
      <c r="B443" s="441"/>
      <c r="C443" s="442"/>
      <c r="D443" s="443"/>
      <c r="E443" s="433"/>
      <c r="F443" s="433"/>
      <c r="G443" s="433"/>
      <c r="H443" s="433"/>
      <c r="I443" s="433"/>
      <c r="J443" s="433"/>
      <c r="K443" s="433"/>
      <c r="L443" s="433"/>
      <c r="M443" s="433"/>
      <c r="N443" s="433"/>
      <c r="O443" s="433"/>
      <c r="P443" s="433"/>
      <c r="Q443" s="433"/>
      <c r="R443" s="433"/>
      <c r="S443" s="433"/>
      <c r="T443" s="433"/>
      <c r="U443" s="433"/>
      <c r="V443" s="433"/>
      <c r="W443" s="433"/>
      <c r="X443" s="433"/>
      <c r="Y443" s="433"/>
      <c r="Z443" s="433"/>
    </row>
    <row r="444">
      <c r="A444" s="440"/>
      <c r="B444" s="441"/>
      <c r="C444" s="442"/>
      <c r="D444" s="443"/>
      <c r="E444" s="433"/>
      <c r="F444" s="433"/>
      <c r="G444" s="433"/>
      <c r="H444" s="433"/>
      <c r="I444" s="433"/>
      <c r="J444" s="433"/>
      <c r="K444" s="433"/>
      <c r="L444" s="433"/>
      <c r="M444" s="433"/>
      <c r="N444" s="433"/>
      <c r="O444" s="433"/>
      <c r="P444" s="433"/>
      <c r="Q444" s="433"/>
      <c r="R444" s="433"/>
      <c r="S444" s="433"/>
      <c r="T444" s="433"/>
      <c r="U444" s="433"/>
      <c r="V444" s="433"/>
      <c r="W444" s="433"/>
      <c r="X444" s="433"/>
      <c r="Y444" s="433"/>
      <c r="Z444" s="433"/>
    </row>
    <row r="445">
      <c r="A445" s="440"/>
      <c r="B445" s="441"/>
      <c r="C445" s="442"/>
      <c r="D445" s="443"/>
      <c r="E445" s="433"/>
      <c r="F445" s="433"/>
      <c r="G445" s="433"/>
      <c r="H445" s="433"/>
      <c r="I445" s="433"/>
      <c r="J445" s="433"/>
      <c r="K445" s="433"/>
      <c r="L445" s="433"/>
      <c r="M445" s="433"/>
      <c r="N445" s="433"/>
      <c r="O445" s="433"/>
      <c r="P445" s="433"/>
      <c r="Q445" s="433"/>
      <c r="R445" s="433"/>
      <c r="S445" s="433"/>
      <c r="T445" s="433"/>
      <c r="U445" s="433"/>
      <c r="V445" s="433"/>
      <c r="W445" s="433"/>
      <c r="X445" s="433"/>
      <c r="Y445" s="433"/>
      <c r="Z445" s="433"/>
    </row>
    <row r="446">
      <c r="A446" s="440"/>
      <c r="B446" s="441"/>
      <c r="C446" s="442"/>
      <c r="D446" s="443"/>
      <c r="E446" s="433"/>
      <c r="F446" s="433"/>
      <c r="G446" s="433"/>
      <c r="H446" s="433"/>
      <c r="I446" s="433"/>
      <c r="J446" s="433"/>
      <c r="K446" s="433"/>
      <c r="L446" s="433"/>
      <c r="M446" s="433"/>
      <c r="N446" s="433"/>
      <c r="O446" s="433"/>
      <c r="P446" s="433"/>
      <c r="Q446" s="433"/>
      <c r="R446" s="433"/>
      <c r="S446" s="433"/>
      <c r="T446" s="433"/>
      <c r="U446" s="433"/>
      <c r="V446" s="433"/>
      <c r="W446" s="433"/>
      <c r="X446" s="433"/>
      <c r="Y446" s="433"/>
      <c r="Z446" s="433"/>
    </row>
    <row r="447">
      <c r="A447" s="440"/>
      <c r="B447" s="441"/>
      <c r="C447" s="442"/>
      <c r="D447" s="443"/>
      <c r="E447" s="433"/>
      <c r="F447" s="433"/>
      <c r="G447" s="433"/>
      <c r="H447" s="433"/>
      <c r="I447" s="433"/>
      <c r="J447" s="433"/>
      <c r="K447" s="433"/>
      <c r="L447" s="433"/>
      <c r="M447" s="433"/>
      <c r="N447" s="433"/>
      <c r="O447" s="433"/>
      <c r="P447" s="433"/>
      <c r="Q447" s="433"/>
      <c r="R447" s="433"/>
      <c r="S447" s="433"/>
      <c r="T447" s="433"/>
      <c r="U447" s="433"/>
      <c r="V447" s="433"/>
      <c r="W447" s="433"/>
      <c r="X447" s="433"/>
      <c r="Y447" s="433"/>
      <c r="Z447" s="433"/>
    </row>
    <row r="448">
      <c r="A448" s="440"/>
      <c r="B448" s="441"/>
      <c r="C448" s="442"/>
      <c r="D448" s="443"/>
      <c r="E448" s="433"/>
      <c r="F448" s="433"/>
      <c r="G448" s="433"/>
      <c r="H448" s="433"/>
      <c r="I448" s="433"/>
      <c r="J448" s="433"/>
      <c r="K448" s="433"/>
      <c r="L448" s="433"/>
      <c r="M448" s="433"/>
      <c r="N448" s="433"/>
      <c r="O448" s="433"/>
      <c r="P448" s="433"/>
      <c r="Q448" s="433"/>
      <c r="R448" s="433"/>
      <c r="S448" s="433"/>
      <c r="T448" s="433"/>
      <c r="U448" s="433"/>
      <c r="V448" s="433"/>
      <c r="W448" s="433"/>
      <c r="X448" s="433"/>
      <c r="Y448" s="433"/>
      <c r="Z448" s="433"/>
    </row>
    <row r="449">
      <c r="A449" s="440"/>
      <c r="B449" s="441"/>
      <c r="C449" s="442"/>
      <c r="D449" s="443"/>
      <c r="E449" s="433"/>
      <c r="F449" s="433"/>
      <c r="G449" s="433"/>
      <c r="H449" s="433"/>
      <c r="I449" s="433"/>
      <c r="J449" s="433"/>
      <c r="K449" s="433"/>
      <c r="L449" s="433"/>
      <c r="M449" s="433"/>
      <c r="N449" s="433"/>
      <c r="O449" s="433"/>
      <c r="P449" s="433"/>
      <c r="Q449" s="433"/>
      <c r="R449" s="433"/>
      <c r="S449" s="433"/>
      <c r="T449" s="433"/>
      <c r="U449" s="433"/>
      <c r="V449" s="433"/>
      <c r="W449" s="433"/>
      <c r="X449" s="433"/>
      <c r="Y449" s="433"/>
      <c r="Z449" s="433"/>
    </row>
    <row r="450">
      <c r="A450" s="440"/>
      <c r="B450" s="441"/>
      <c r="C450" s="442"/>
      <c r="D450" s="443"/>
      <c r="E450" s="433"/>
      <c r="F450" s="433"/>
      <c r="G450" s="433"/>
      <c r="H450" s="433"/>
      <c r="I450" s="433"/>
      <c r="J450" s="433"/>
      <c r="K450" s="433"/>
      <c r="L450" s="433"/>
      <c r="M450" s="433"/>
      <c r="N450" s="433"/>
      <c r="O450" s="433"/>
      <c r="P450" s="433"/>
      <c r="Q450" s="433"/>
      <c r="R450" s="433"/>
      <c r="S450" s="433"/>
      <c r="T450" s="433"/>
      <c r="U450" s="433"/>
      <c r="V450" s="433"/>
      <c r="W450" s="433"/>
      <c r="X450" s="433"/>
      <c r="Y450" s="433"/>
      <c r="Z450" s="433"/>
    </row>
    <row r="451">
      <c r="A451" s="440"/>
      <c r="B451" s="441"/>
      <c r="C451" s="442"/>
      <c r="D451" s="443"/>
      <c r="E451" s="433"/>
      <c r="F451" s="433"/>
      <c r="G451" s="433"/>
      <c r="H451" s="433"/>
      <c r="I451" s="433"/>
      <c r="J451" s="433"/>
      <c r="K451" s="433"/>
      <c r="L451" s="433"/>
      <c r="M451" s="433"/>
      <c r="N451" s="433"/>
      <c r="O451" s="433"/>
      <c r="P451" s="433"/>
      <c r="Q451" s="433"/>
      <c r="R451" s="433"/>
      <c r="S451" s="433"/>
      <c r="T451" s="433"/>
      <c r="U451" s="433"/>
      <c r="V451" s="433"/>
      <c r="W451" s="433"/>
      <c r="X451" s="433"/>
      <c r="Y451" s="433"/>
      <c r="Z451" s="433"/>
    </row>
    <row r="452">
      <c r="A452" s="440"/>
      <c r="B452" s="441"/>
      <c r="C452" s="442"/>
      <c r="D452" s="443"/>
      <c r="E452" s="433"/>
      <c r="F452" s="433"/>
      <c r="G452" s="433"/>
      <c r="H452" s="433"/>
      <c r="I452" s="433"/>
      <c r="J452" s="433"/>
      <c r="K452" s="433"/>
      <c r="L452" s="433"/>
      <c r="M452" s="433"/>
      <c r="N452" s="433"/>
      <c r="O452" s="433"/>
      <c r="P452" s="433"/>
      <c r="Q452" s="433"/>
      <c r="R452" s="433"/>
      <c r="S452" s="433"/>
      <c r="T452" s="433"/>
      <c r="U452" s="433"/>
      <c r="V452" s="433"/>
      <c r="W452" s="433"/>
      <c r="X452" s="433"/>
      <c r="Y452" s="433"/>
      <c r="Z452" s="433"/>
    </row>
    <row r="453">
      <c r="A453" s="440"/>
      <c r="B453" s="441"/>
      <c r="C453" s="442"/>
      <c r="D453" s="443"/>
      <c r="E453" s="433"/>
      <c r="F453" s="433"/>
      <c r="G453" s="433"/>
      <c r="H453" s="433"/>
      <c r="I453" s="433"/>
      <c r="J453" s="433"/>
      <c r="K453" s="433"/>
      <c r="L453" s="433"/>
      <c r="M453" s="433"/>
      <c r="N453" s="433"/>
      <c r="O453" s="433"/>
      <c r="P453" s="433"/>
      <c r="Q453" s="433"/>
      <c r="R453" s="433"/>
      <c r="S453" s="433"/>
      <c r="T453" s="433"/>
      <c r="U453" s="433"/>
      <c r="V453" s="433"/>
      <c r="W453" s="433"/>
      <c r="X453" s="433"/>
      <c r="Y453" s="433"/>
      <c r="Z453" s="433"/>
    </row>
    <row r="454">
      <c r="A454" s="440"/>
      <c r="B454" s="441"/>
      <c r="C454" s="442"/>
      <c r="D454" s="443"/>
      <c r="E454" s="433"/>
      <c r="F454" s="433"/>
      <c r="G454" s="433"/>
      <c r="H454" s="433"/>
      <c r="I454" s="433"/>
      <c r="J454" s="433"/>
      <c r="K454" s="433"/>
      <c r="L454" s="433"/>
      <c r="M454" s="433"/>
      <c r="N454" s="433"/>
      <c r="O454" s="433"/>
      <c r="P454" s="433"/>
      <c r="Q454" s="433"/>
      <c r="R454" s="433"/>
      <c r="S454" s="433"/>
      <c r="T454" s="433"/>
      <c r="U454" s="433"/>
      <c r="V454" s="433"/>
      <c r="W454" s="433"/>
      <c r="X454" s="433"/>
      <c r="Y454" s="433"/>
      <c r="Z454" s="433"/>
    </row>
    <row r="455">
      <c r="A455" s="440"/>
      <c r="B455" s="441"/>
      <c r="C455" s="442"/>
      <c r="D455" s="443"/>
      <c r="E455" s="433"/>
      <c r="F455" s="433"/>
      <c r="G455" s="433"/>
      <c r="H455" s="433"/>
      <c r="I455" s="433"/>
      <c r="J455" s="433"/>
      <c r="K455" s="433"/>
      <c r="L455" s="433"/>
      <c r="M455" s="433"/>
      <c r="N455" s="433"/>
      <c r="O455" s="433"/>
      <c r="P455" s="433"/>
      <c r="Q455" s="433"/>
      <c r="R455" s="433"/>
      <c r="S455" s="433"/>
      <c r="T455" s="433"/>
      <c r="U455" s="433"/>
      <c r="V455" s="433"/>
      <c r="W455" s="433"/>
      <c r="X455" s="433"/>
      <c r="Y455" s="433"/>
      <c r="Z455" s="433"/>
    </row>
    <row r="456">
      <c r="A456" s="440"/>
      <c r="B456" s="441"/>
      <c r="C456" s="442"/>
      <c r="D456" s="443"/>
      <c r="E456" s="433"/>
      <c r="F456" s="433"/>
      <c r="G456" s="433"/>
      <c r="H456" s="433"/>
      <c r="I456" s="433"/>
      <c r="J456" s="433"/>
      <c r="K456" s="433"/>
      <c r="L456" s="433"/>
      <c r="M456" s="433"/>
      <c r="N456" s="433"/>
      <c r="O456" s="433"/>
      <c r="P456" s="433"/>
      <c r="Q456" s="433"/>
      <c r="R456" s="433"/>
      <c r="S456" s="433"/>
      <c r="T456" s="433"/>
      <c r="U456" s="433"/>
      <c r="V456" s="433"/>
      <c r="W456" s="433"/>
      <c r="X456" s="433"/>
      <c r="Y456" s="433"/>
      <c r="Z456" s="433"/>
    </row>
    <row r="457">
      <c r="A457" s="440"/>
      <c r="B457" s="441"/>
      <c r="C457" s="442"/>
      <c r="D457" s="443"/>
      <c r="E457" s="433"/>
      <c r="F457" s="433"/>
      <c r="G457" s="433"/>
      <c r="H457" s="433"/>
      <c r="I457" s="433"/>
      <c r="J457" s="433"/>
      <c r="K457" s="433"/>
      <c r="L457" s="433"/>
      <c r="M457" s="433"/>
      <c r="N457" s="433"/>
      <c r="O457" s="433"/>
      <c r="P457" s="433"/>
      <c r="Q457" s="433"/>
      <c r="R457" s="433"/>
      <c r="S457" s="433"/>
      <c r="T457" s="433"/>
      <c r="U457" s="433"/>
      <c r="V457" s="433"/>
      <c r="W457" s="433"/>
      <c r="X457" s="433"/>
      <c r="Y457" s="433"/>
      <c r="Z457" s="433"/>
    </row>
    <row r="458">
      <c r="A458" s="440"/>
      <c r="B458" s="441"/>
      <c r="C458" s="442"/>
      <c r="D458" s="443"/>
      <c r="E458" s="433"/>
      <c r="F458" s="433"/>
      <c r="G458" s="433"/>
      <c r="H458" s="433"/>
      <c r="I458" s="433"/>
      <c r="J458" s="433"/>
      <c r="K458" s="433"/>
      <c r="L458" s="433"/>
      <c r="M458" s="433"/>
      <c r="N458" s="433"/>
      <c r="O458" s="433"/>
      <c r="P458" s="433"/>
      <c r="Q458" s="433"/>
      <c r="R458" s="433"/>
      <c r="S458" s="433"/>
      <c r="T458" s="433"/>
      <c r="U458" s="433"/>
      <c r="V458" s="433"/>
      <c r="W458" s="433"/>
      <c r="X458" s="433"/>
      <c r="Y458" s="433"/>
      <c r="Z458" s="433"/>
    </row>
    <row r="459">
      <c r="A459" s="440"/>
      <c r="B459" s="441"/>
      <c r="C459" s="442"/>
      <c r="D459" s="443"/>
      <c r="E459" s="433"/>
      <c r="F459" s="433"/>
      <c r="G459" s="433"/>
      <c r="H459" s="433"/>
      <c r="I459" s="433"/>
      <c r="J459" s="433"/>
      <c r="K459" s="433"/>
      <c r="L459" s="433"/>
      <c r="M459" s="433"/>
      <c r="N459" s="433"/>
      <c r="O459" s="433"/>
      <c r="P459" s="433"/>
      <c r="Q459" s="433"/>
      <c r="R459" s="433"/>
      <c r="S459" s="433"/>
      <c r="T459" s="433"/>
      <c r="U459" s="433"/>
      <c r="V459" s="433"/>
      <c r="W459" s="433"/>
      <c r="X459" s="433"/>
      <c r="Y459" s="433"/>
      <c r="Z459" s="433"/>
    </row>
    <row r="460">
      <c r="A460" s="440"/>
      <c r="B460" s="441"/>
      <c r="C460" s="442"/>
      <c r="D460" s="443"/>
      <c r="E460" s="433"/>
      <c r="F460" s="433"/>
      <c r="G460" s="433"/>
      <c r="H460" s="433"/>
      <c r="I460" s="433"/>
      <c r="J460" s="433"/>
      <c r="K460" s="433"/>
      <c r="L460" s="433"/>
      <c r="M460" s="433"/>
      <c r="N460" s="433"/>
      <c r="O460" s="433"/>
      <c r="P460" s="433"/>
      <c r="Q460" s="433"/>
      <c r="R460" s="433"/>
      <c r="S460" s="433"/>
      <c r="T460" s="433"/>
      <c r="U460" s="433"/>
      <c r="V460" s="433"/>
      <c r="W460" s="433"/>
      <c r="X460" s="433"/>
      <c r="Y460" s="433"/>
      <c r="Z460" s="433"/>
    </row>
    <row r="461">
      <c r="A461" s="440"/>
      <c r="B461" s="441"/>
      <c r="C461" s="442"/>
      <c r="D461" s="443"/>
      <c r="E461" s="433"/>
      <c r="F461" s="433"/>
      <c r="G461" s="433"/>
      <c r="H461" s="433"/>
      <c r="I461" s="433"/>
      <c r="J461" s="433"/>
      <c r="K461" s="433"/>
      <c r="L461" s="433"/>
      <c r="M461" s="433"/>
      <c r="N461" s="433"/>
      <c r="O461" s="433"/>
      <c r="P461" s="433"/>
      <c r="Q461" s="433"/>
      <c r="R461" s="433"/>
      <c r="S461" s="433"/>
      <c r="T461" s="433"/>
      <c r="U461" s="433"/>
      <c r="V461" s="433"/>
      <c r="W461" s="433"/>
      <c r="X461" s="433"/>
      <c r="Y461" s="433"/>
      <c r="Z461" s="433"/>
    </row>
    <row r="462">
      <c r="A462" s="440"/>
      <c r="B462" s="441"/>
      <c r="C462" s="442"/>
      <c r="D462" s="443"/>
      <c r="E462" s="433"/>
      <c r="F462" s="433"/>
      <c r="G462" s="433"/>
      <c r="H462" s="433"/>
      <c r="I462" s="433"/>
      <c r="J462" s="433"/>
      <c r="K462" s="433"/>
      <c r="L462" s="433"/>
      <c r="M462" s="433"/>
      <c r="N462" s="433"/>
      <c r="O462" s="433"/>
      <c r="P462" s="433"/>
      <c r="Q462" s="433"/>
      <c r="R462" s="433"/>
      <c r="S462" s="433"/>
      <c r="T462" s="433"/>
      <c r="U462" s="433"/>
      <c r="V462" s="433"/>
      <c r="W462" s="433"/>
      <c r="X462" s="433"/>
      <c r="Y462" s="433"/>
      <c r="Z462" s="433"/>
    </row>
    <row r="463">
      <c r="A463" s="440"/>
      <c r="B463" s="441"/>
      <c r="C463" s="442"/>
      <c r="D463" s="443"/>
      <c r="E463" s="433"/>
      <c r="F463" s="433"/>
      <c r="G463" s="433"/>
      <c r="H463" s="433"/>
      <c r="I463" s="433"/>
      <c r="J463" s="433"/>
      <c r="K463" s="433"/>
      <c r="L463" s="433"/>
      <c r="M463" s="433"/>
      <c r="N463" s="433"/>
      <c r="O463" s="433"/>
      <c r="P463" s="433"/>
      <c r="Q463" s="433"/>
      <c r="R463" s="433"/>
      <c r="S463" s="433"/>
      <c r="T463" s="433"/>
      <c r="U463" s="433"/>
      <c r="V463" s="433"/>
      <c r="W463" s="433"/>
      <c r="X463" s="433"/>
      <c r="Y463" s="433"/>
      <c r="Z463" s="433"/>
    </row>
    <row r="464">
      <c r="A464" s="440"/>
      <c r="B464" s="441"/>
      <c r="C464" s="442"/>
      <c r="D464" s="443"/>
      <c r="E464" s="433"/>
      <c r="F464" s="433"/>
      <c r="G464" s="433"/>
      <c r="H464" s="433"/>
      <c r="I464" s="433"/>
      <c r="J464" s="433"/>
      <c r="K464" s="433"/>
      <c r="L464" s="433"/>
      <c r="M464" s="433"/>
      <c r="N464" s="433"/>
      <c r="O464" s="433"/>
      <c r="P464" s="433"/>
      <c r="Q464" s="433"/>
      <c r="R464" s="433"/>
      <c r="S464" s="433"/>
      <c r="T464" s="433"/>
      <c r="U464" s="433"/>
      <c r="V464" s="433"/>
      <c r="W464" s="433"/>
      <c r="X464" s="433"/>
      <c r="Y464" s="433"/>
      <c r="Z464" s="433"/>
    </row>
    <row r="465">
      <c r="A465" s="440"/>
      <c r="B465" s="441"/>
      <c r="C465" s="442"/>
      <c r="D465" s="443"/>
      <c r="E465" s="433"/>
      <c r="F465" s="433"/>
      <c r="G465" s="433"/>
      <c r="H465" s="433"/>
      <c r="I465" s="433"/>
      <c r="J465" s="433"/>
      <c r="K465" s="433"/>
      <c r="L465" s="433"/>
      <c r="M465" s="433"/>
      <c r="N465" s="433"/>
      <c r="O465" s="433"/>
      <c r="P465" s="433"/>
      <c r="Q465" s="433"/>
      <c r="R465" s="433"/>
      <c r="S465" s="433"/>
      <c r="T465" s="433"/>
      <c r="U465" s="433"/>
      <c r="V465" s="433"/>
      <c r="W465" s="433"/>
      <c r="X465" s="433"/>
      <c r="Y465" s="433"/>
      <c r="Z465" s="433"/>
    </row>
    <row r="466">
      <c r="A466" s="440"/>
      <c r="B466" s="441"/>
      <c r="C466" s="442"/>
      <c r="D466" s="443"/>
      <c r="E466" s="433"/>
      <c r="F466" s="433"/>
      <c r="G466" s="433"/>
      <c r="H466" s="433"/>
      <c r="I466" s="433"/>
      <c r="J466" s="433"/>
      <c r="K466" s="433"/>
      <c r="L466" s="433"/>
      <c r="M466" s="433"/>
      <c r="N466" s="433"/>
      <c r="O466" s="433"/>
      <c r="P466" s="433"/>
      <c r="Q466" s="433"/>
      <c r="R466" s="433"/>
      <c r="S466" s="433"/>
      <c r="T466" s="433"/>
      <c r="U466" s="433"/>
      <c r="V466" s="433"/>
      <c r="W466" s="433"/>
      <c r="X466" s="433"/>
      <c r="Y466" s="433"/>
      <c r="Z466" s="433"/>
    </row>
    <row r="467">
      <c r="A467" s="440"/>
      <c r="B467" s="441"/>
      <c r="C467" s="442"/>
      <c r="D467" s="443"/>
      <c r="E467" s="433"/>
      <c r="F467" s="433"/>
      <c r="G467" s="433"/>
      <c r="H467" s="433"/>
      <c r="I467" s="433"/>
      <c r="J467" s="433"/>
      <c r="K467" s="433"/>
      <c r="L467" s="433"/>
      <c r="M467" s="433"/>
      <c r="N467" s="433"/>
      <c r="O467" s="433"/>
      <c r="P467" s="433"/>
      <c r="Q467" s="433"/>
      <c r="R467" s="433"/>
      <c r="S467" s="433"/>
      <c r="T467" s="433"/>
      <c r="U467" s="433"/>
      <c r="V467" s="433"/>
      <c r="W467" s="433"/>
      <c r="X467" s="433"/>
      <c r="Y467" s="433"/>
      <c r="Z467" s="433"/>
    </row>
    <row r="468">
      <c r="A468" s="440"/>
      <c r="B468" s="441"/>
      <c r="C468" s="442"/>
      <c r="D468" s="443"/>
      <c r="E468" s="433"/>
      <c r="F468" s="433"/>
      <c r="G468" s="433"/>
      <c r="H468" s="433"/>
      <c r="I468" s="433"/>
      <c r="J468" s="433"/>
      <c r="K468" s="433"/>
      <c r="L468" s="433"/>
      <c r="M468" s="433"/>
      <c r="N468" s="433"/>
      <c r="O468" s="433"/>
      <c r="P468" s="433"/>
      <c r="Q468" s="433"/>
      <c r="R468" s="433"/>
      <c r="S468" s="433"/>
      <c r="T468" s="433"/>
      <c r="U468" s="433"/>
      <c r="V468" s="433"/>
      <c r="W468" s="433"/>
      <c r="X468" s="433"/>
      <c r="Y468" s="433"/>
      <c r="Z468" s="433"/>
    </row>
    <row r="469">
      <c r="A469" s="440"/>
      <c r="B469" s="441"/>
      <c r="C469" s="442"/>
      <c r="D469" s="443"/>
      <c r="E469" s="433"/>
      <c r="F469" s="433"/>
      <c r="G469" s="433"/>
      <c r="H469" s="433"/>
      <c r="I469" s="433"/>
      <c r="J469" s="433"/>
      <c r="K469" s="433"/>
      <c r="L469" s="433"/>
      <c r="M469" s="433"/>
      <c r="N469" s="433"/>
      <c r="O469" s="433"/>
      <c r="P469" s="433"/>
      <c r="Q469" s="433"/>
      <c r="R469" s="433"/>
      <c r="S469" s="433"/>
      <c r="T469" s="433"/>
      <c r="U469" s="433"/>
      <c r="V469" s="433"/>
      <c r="W469" s="433"/>
      <c r="X469" s="433"/>
      <c r="Y469" s="433"/>
      <c r="Z469" s="433"/>
    </row>
    <row r="470">
      <c r="A470" s="440"/>
      <c r="B470" s="441"/>
      <c r="C470" s="442"/>
      <c r="D470" s="443"/>
      <c r="E470" s="433"/>
      <c r="F470" s="433"/>
      <c r="G470" s="433"/>
      <c r="H470" s="433"/>
      <c r="I470" s="433"/>
      <c r="J470" s="433"/>
      <c r="K470" s="433"/>
      <c r="L470" s="433"/>
      <c r="M470" s="433"/>
      <c r="N470" s="433"/>
      <c r="O470" s="433"/>
      <c r="P470" s="433"/>
      <c r="Q470" s="433"/>
      <c r="R470" s="433"/>
      <c r="S470" s="433"/>
      <c r="T470" s="433"/>
      <c r="U470" s="433"/>
      <c r="V470" s="433"/>
      <c r="W470" s="433"/>
      <c r="X470" s="433"/>
      <c r="Y470" s="433"/>
      <c r="Z470" s="433"/>
    </row>
    <row r="471">
      <c r="A471" s="440"/>
      <c r="B471" s="441"/>
      <c r="C471" s="442"/>
      <c r="D471" s="443"/>
      <c r="E471" s="433"/>
      <c r="F471" s="433"/>
      <c r="G471" s="433"/>
      <c r="H471" s="433"/>
      <c r="I471" s="433"/>
      <c r="J471" s="433"/>
      <c r="K471" s="433"/>
      <c r="L471" s="433"/>
      <c r="M471" s="433"/>
      <c r="N471" s="433"/>
      <c r="O471" s="433"/>
      <c r="P471" s="433"/>
      <c r="Q471" s="433"/>
      <c r="R471" s="433"/>
      <c r="S471" s="433"/>
      <c r="T471" s="433"/>
      <c r="U471" s="433"/>
      <c r="V471" s="433"/>
      <c r="W471" s="433"/>
      <c r="X471" s="433"/>
      <c r="Y471" s="433"/>
      <c r="Z471" s="433"/>
    </row>
    <row r="472">
      <c r="A472" s="440"/>
      <c r="B472" s="441"/>
      <c r="C472" s="442"/>
      <c r="D472" s="443"/>
      <c r="E472" s="433"/>
      <c r="F472" s="433"/>
      <c r="G472" s="433"/>
      <c r="H472" s="433"/>
      <c r="I472" s="433"/>
      <c r="J472" s="433"/>
      <c r="K472" s="433"/>
      <c r="L472" s="433"/>
      <c r="M472" s="433"/>
      <c r="N472" s="433"/>
      <c r="O472" s="433"/>
      <c r="P472" s="433"/>
      <c r="Q472" s="433"/>
      <c r="R472" s="433"/>
      <c r="S472" s="433"/>
      <c r="T472" s="433"/>
      <c r="U472" s="433"/>
      <c r="V472" s="433"/>
      <c r="W472" s="433"/>
      <c r="X472" s="433"/>
      <c r="Y472" s="433"/>
      <c r="Z472" s="433"/>
    </row>
    <row r="473">
      <c r="A473" s="440"/>
      <c r="B473" s="441"/>
      <c r="C473" s="442"/>
      <c r="D473" s="443"/>
      <c r="E473" s="433"/>
      <c r="F473" s="433"/>
      <c r="G473" s="433"/>
      <c r="H473" s="433"/>
      <c r="I473" s="433"/>
      <c r="J473" s="433"/>
      <c r="K473" s="433"/>
      <c r="L473" s="433"/>
      <c r="M473" s="433"/>
      <c r="N473" s="433"/>
      <c r="O473" s="433"/>
      <c r="P473" s="433"/>
      <c r="Q473" s="433"/>
      <c r="R473" s="433"/>
      <c r="S473" s="433"/>
      <c r="T473" s="433"/>
      <c r="U473" s="433"/>
      <c r="V473" s="433"/>
      <c r="W473" s="433"/>
      <c r="X473" s="433"/>
      <c r="Y473" s="433"/>
      <c r="Z473" s="433"/>
    </row>
    <row r="474">
      <c r="A474" s="440"/>
      <c r="B474" s="441"/>
      <c r="C474" s="442"/>
      <c r="D474" s="443"/>
      <c r="E474" s="433"/>
      <c r="F474" s="433"/>
      <c r="G474" s="433"/>
      <c r="H474" s="433"/>
      <c r="I474" s="433"/>
      <c r="J474" s="433"/>
      <c r="K474" s="433"/>
      <c r="L474" s="433"/>
      <c r="M474" s="433"/>
      <c r="N474" s="433"/>
      <c r="O474" s="433"/>
      <c r="P474" s="433"/>
      <c r="Q474" s="433"/>
      <c r="R474" s="433"/>
      <c r="S474" s="433"/>
      <c r="T474" s="433"/>
      <c r="U474" s="433"/>
      <c r="V474" s="433"/>
      <c r="W474" s="433"/>
      <c r="X474" s="433"/>
      <c r="Y474" s="433"/>
      <c r="Z474" s="433"/>
    </row>
    <row r="475">
      <c r="A475" s="440"/>
      <c r="B475" s="441"/>
      <c r="C475" s="442"/>
      <c r="D475" s="443"/>
      <c r="E475" s="433"/>
      <c r="F475" s="433"/>
      <c r="G475" s="433"/>
      <c r="H475" s="433"/>
      <c r="I475" s="433"/>
      <c r="J475" s="433"/>
      <c r="K475" s="433"/>
      <c r="L475" s="433"/>
      <c r="M475" s="433"/>
      <c r="N475" s="433"/>
      <c r="O475" s="433"/>
      <c r="P475" s="433"/>
      <c r="Q475" s="433"/>
      <c r="R475" s="433"/>
      <c r="S475" s="433"/>
      <c r="T475" s="433"/>
      <c r="U475" s="433"/>
      <c r="V475" s="433"/>
      <c r="W475" s="433"/>
      <c r="X475" s="433"/>
      <c r="Y475" s="433"/>
      <c r="Z475" s="433"/>
    </row>
    <row r="476">
      <c r="A476" s="440"/>
      <c r="B476" s="441"/>
      <c r="C476" s="442"/>
      <c r="D476" s="443"/>
      <c r="E476" s="433"/>
      <c r="F476" s="433"/>
      <c r="G476" s="433"/>
      <c r="H476" s="433"/>
      <c r="I476" s="433"/>
      <c r="J476" s="433"/>
      <c r="K476" s="433"/>
      <c r="L476" s="433"/>
      <c r="M476" s="433"/>
      <c r="N476" s="433"/>
      <c r="O476" s="433"/>
      <c r="P476" s="433"/>
      <c r="Q476" s="433"/>
      <c r="R476" s="433"/>
      <c r="S476" s="433"/>
      <c r="T476" s="433"/>
      <c r="U476" s="433"/>
      <c r="V476" s="433"/>
      <c r="W476" s="433"/>
      <c r="X476" s="433"/>
      <c r="Y476" s="433"/>
      <c r="Z476" s="433"/>
    </row>
    <row r="477">
      <c r="A477" s="440"/>
      <c r="B477" s="441"/>
      <c r="C477" s="442"/>
      <c r="D477" s="443"/>
      <c r="E477" s="433"/>
      <c r="F477" s="433"/>
      <c r="G477" s="433"/>
      <c r="H477" s="433"/>
      <c r="I477" s="433"/>
      <c r="J477" s="433"/>
      <c r="K477" s="433"/>
      <c r="L477" s="433"/>
      <c r="M477" s="433"/>
      <c r="N477" s="433"/>
      <c r="O477" s="433"/>
      <c r="P477" s="433"/>
      <c r="Q477" s="433"/>
      <c r="R477" s="433"/>
      <c r="S477" s="433"/>
      <c r="T477" s="433"/>
      <c r="U477" s="433"/>
      <c r="V477" s="433"/>
      <c r="W477" s="433"/>
      <c r="X477" s="433"/>
      <c r="Y477" s="433"/>
      <c r="Z477" s="433"/>
    </row>
    <row r="478">
      <c r="A478" s="440"/>
      <c r="B478" s="441"/>
      <c r="C478" s="442"/>
      <c r="D478" s="443"/>
      <c r="E478" s="433"/>
      <c r="F478" s="433"/>
      <c r="G478" s="433"/>
      <c r="H478" s="433"/>
      <c r="I478" s="433"/>
      <c r="J478" s="433"/>
      <c r="K478" s="433"/>
      <c r="L478" s="433"/>
      <c r="M478" s="433"/>
      <c r="N478" s="433"/>
      <c r="O478" s="433"/>
      <c r="P478" s="433"/>
      <c r="Q478" s="433"/>
      <c r="R478" s="433"/>
      <c r="S478" s="433"/>
      <c r="T478" s="433"/>
      <c r="U478" s="433"/>
      <c r="V478" s="433"/>
      <c r="W478" s="433"/>
      <c r="X478" s="433"/>
      <c r="Y478" s="433"/>
      <c r="Z478" s="433"/>
    </row>
    <row r="479">
      <c r="A479" s="440"/>
      <c r="B479" s="441"/>
      <c r="C479" s="442"/>
      <c r="D479" s="443"/>
      <c r="E479" s="433"/>
      <c r="F479" s="433"/>
      <c r="G479" s="433"/>
      <c r="H479" s="433"/>
      <c r="I479" s="433"/>
      <c r="J479" s="433"/>
      <c r="K479" s="433"/>
      <c r="L479" s="433"/>
      <c r="M479" s="433"/>
      <c r="N479" s="433"/>
      <c r="O479" s="433"/>
      <c r="P479" s="433"/>
      <c r="Q479" s="433"/>
      <c r="R479" s="433"/>
      <c r="S479" s="433"/>
      <c r="T479" s="433"/>
      <c r="U479" s="433"/>
      <c r="V479" s="433"/>
      <c r="W479" s="433"/>
      <c r="X479" s="433"/>
      <c r="Y479" s="433"/>
      <c r="Z479" s="433"/>
    </row>
    <row r="480">
      <c r="A480" s="440"/>
      <c r="B480" s="441"/>
      <c r="C480" s="442"/>
      <c r="D480" s="443"/>
      <c r="E480" s="433"/>
      <c r="F480" s="433"/>
      <c r="G480" s="433"/>
      <c r="H480" s="433"/>
      <c r="I480" s="433"/>
      <c r="J480" s="433"/>
      <c r="K480" s="433"/>
      <c r="L480" s="433"/>
      <c r="M480" s="433"/>
      <c r="N480" s="433"/>
      <c r="O480" s="433"/>
      <c r="P480" s="433"/>
      <c r="Q480" s="433"/>
      <c r="R480" s="433"/>
      <c r="S480" s="433"/>
      <c r="T480" s="433"/>
      <c r="U480" s="433"/>
      <c r="V480" s="433"/>
      <c r="W480" s="433"/>
      <c r="X480" s="433"/>
      <c r="Y480" s="433"/>
      <c r="Z480" s="433"/>
    </row>
    <row r="481">
      <c r="A481" s="440"/>
      <c r="B481" s="441"/>
      <c r="C481" s="442"/>
      <c r="D481" s="443"/>
      <c r="E481" s="433"/>
      <c r="F481" s="433"/>
      <c r="G481" s="433"/>
      <c r="H481" s="433"/>
      <c r="I481" s="433"/>
      <c r="J481" s="433"/>
      <c r="K481" s="433"/>
      <c r="L481" s="433"/>
      <c r="M481" s="433"/>
      <c r="N481" s="433"/>
      <c r="O481" s="433"/>
      <c r="P481" s="433"/>
      <c r="Q481" s="433"/>
      <c r="R481" s="433"/>
      <c r="S481" s="433"/>
      <c r="T481" s="433"/>
      <c r="U481" s="433"/>
      <c r="V481" s="433"/>
      <c r="W481" s="433"/>
      <c r="X481" s="433"/>
      <c r="Y481" s="433"/>
      <c r="Z481" s="433"/>
    </row>
    <row r="482">
      <c r="A482" s="440"/>
      <c r="B482" s="441"/>
      <c r="C482" s="442"/>
      <c r="D482" s="443"/>
      <c r="E482" s="433"/>
      <c r="F482" s="433"/>
      <c r="G482" s="433"/>
      <c r="H482" s="433"/>
      <c r="I482" s="433"/>
      <c r="J482" s="433"/>
      <c r="K482" s="433"/>
      <c r="L482" s="433"/>
      <c r="M482" s="433"/>
      <c r="N482" s="433"/>
      <c r="O482" s="433"/>
      <c r="P482" s="433"/>
      <c r="Q482" s="433"/>
      <c r="R482" s="433"/>
      <c r="S482" s="433"/>
      <c r="T482" s="433"/>
      <c r="U482" s="433"/>
      <c r="V482" s="433"/>
      <c r="W482" s="433"/>
      <c r="X482" s="433"/>
      <c r="Y482" s="433"/>
      <c r="Z482" s="433"/>
    </row>
    <row r="483">
      <c r="A483" s="440"/>
      <c r="B483" s="441"/>
      <c r="C483" s="442"/>
      <c r="D483" s="443"/>
      <c r="E483" s="433"/>
      <c r="F483" s="433"/>
      <c r="G483" s="433"/>
      <c r="H483" s="433"/>
      <c r="I483" s="433"/>
      <c r="J483" s="433"/>
      <c r="K483" s="433"/>
      <c r="L483" s="433"/>
      <c r="M483" s="433"/>
      <c r="N483" s="433"/>
      <c r="O483" s="433"/>
      <c r="P483" s="433"/>
      <c r="Q483" s="433"/>
      <c r="R483" s="433"/>
      <c r="S483" s="433"/>
      <c r="T483" s="433"/>
      <c r="U483" s="433"/>
      <c r="V483" s="433"/>
      <c r="W483" s="433"/>
      <c r="X483" s="433"/>
      <c r="Y483" s="433"/>
      <c r="Z483" s="433"/>
    </row>
    <row r="484">
      <c r="A484" s="440"/>
      <c r="B484" s="441"/>
      <c r="C484" s="442"/>
      <c r="D484" s="443"/>
      <c r="E484" s="433"/>
      <c r="F484" s="433"/>
      <c r="G484" s="433"/>
      <c r="H484" s="433"/>
      <c r="I484" s="433"/>
      <c r="J484" s="433"/>
      <c r="K484" s="433"/>
      <c r="L484" s="433"/>
      <c r="M484" s="433"/>
      <c r="N484" s="433"/>
      <c r="O484" s="433"/>
      <c r="P484" s="433"/>
      <c r="Q484" s="433"/>
      <c r="R484" s="433"/>
      <c r="S484" s="433"/>
      <c r="T484" s="433"/>
      <c r="U484" s="433"/>
      <c r="V484" s="433"/>
      <c r="W484" s="433"/>
      <c r="X484" s="433"/>
      <c r="Y484" s="433"/>
      <c r="Z484" s="433"/>
    </row>
    <row r="485">
      <c r="A485" s="440"/>
      <c r="B485" s="441"/>
      <c r="C485" s="442"/>
      <c r="D485" s="443"/>
      <c r="E485" s="433"/>
      <c r="F485" s="433"/>
      <c r="G485" s="433"/>
      <c r="H485" s="433"/>
      <c r="I485" s="433"/>
      <c r="J485" s="433"/>
      <c r="K485" s="433"/>
      <c r="L485" s="433"/>
      <c r="M485" s="433"/>
      <c r="N485" s="433"/>
      <c r="O485" s="433"/>
      <c r="P485" s="433"/>
      <c r="Q485" s="433"/>
      <c r="R485" s="433"/>
      <c r="S485" s="433"/>
      <c r="T485" s="433"/>
      <c r="U485" s="433"/>
      <c r="V485" s="433"/>
      <c r="W485" s="433"/>
      <c r="X485" s="433"/>
      <c r="Y485" s="433"/>
      <c r="Z485" s="433"/>
    </row>
    <row r="486">
      <c r="A486" s="440"/>
      <c r="B486" s="441"/>
      <c r="C486" s="442"/>
      <c r="D486" s="443"/>
      <c r="E486" s="433"/>
      <c r="F486" s="433"/>
      <c r="G486" s="433"/>
      <c r="H486" s="433"/>
      <c r="I486" s="433"/>
      <c r="J486" s="433"/>
      <c r="K486" s="433"/>
      <c r="L486" s="433"/>
      <c r="M486" s="433"/>
      <c r="N486" s="433"/>
      <c r="O486" s="433"/>
      <c r="P486" s="433"/>
      <c r="Q486" s="433"/>
      <c r="R486" s="433"/>
      <c r="S486" s="433"/>
      <c r="T486" s="433"/>
      <c r="U486" s="433"/>
      <c r="V486" s="433"/>
      <c r="W486" s="433"/>
      <c r="X486" s="433"/>
      <c r="Y486" s="433"/>
      <c r="Z486" s="433"/>
    </row>
    <row r="487">
      <c r="A487" s="440"/>
      <c r="B487" s="441"/>
      <c r="C487" s="442"/>
      <c r="D487" s="443"/>
      <c r="E487" s="433"/>
      <c r="F487" s="433"/>
      <c r="G487" s="433"/>
      <c r="H487" s="433"/>
      <c r="I487" s="433"/>
      <c r="J487" s="433"/>
      <c r="K487" s="433"/>
      <c r="L487" s="433"/>
      <c r="M487" s="433"/>
      <c r="N487" s="433"/>
      <c r="O487" s="433"/>
      <c r="P487" s="433"/>
      <c r="Q487" s="433"/>
      <c r="R487" s="433"/>
      <c r="S487" s="433"/>
      <c r="T487" s="433"/>
      <c r="U487" s="433"/>
      <c r="V487" s="433"/>
      <c r="W487" s="433"/>
      <c r="X487" s="433"/>
      <c r="Y487" s="433"/>
      <c r="Z487" s="433"/>
    </row>
    <row r="488">
      <c r="A488" s="440"/>
      <c r="B488" s="441"/>
      <c r="C488" s="442"/>
      <c r="D488" s="443"/>
      <c r="E488" s="433"/>
      <c r="F488" s="433"/>
      <c r="G488" s="433"/>
      <c r="H488" s="433"/>
      <c r="I488" s="433"/>
      <c r="J488" s="433"/>
      <c r="K488" s="433"/>
      <c r="L488" s="433"/>
      <c r="M488" s="433"/>
      <c r="N488" s="433"/>
      <c r="O488" s="433"/>
      <c r="P488" s="433"/>
      <c r="Q488" s="433"/>
      <c r="R488" s="433"/>
      <c r="S488" s="433"/>
      <c r="T488" s="433"/>
      <c r="U488" s="433"/>
      <c r="V488" s="433"/>
      <c r="W488" s="433"/>
      <c r="X488" s="433"/>
      <c r="Y488" s="433"/>
      <c r="Z488" s="433"/>
    </row>
    <row r="489">
      <c r="A489" s="440"/>
      <c r="B489" s="441"/>
      <c r="C489" s="442"/>
      <c r="D489" s="443"/>
      <c r="E489" s="433"/>
      <c r="F489" s="433"/>
      <c r="G489" s="433"/>
      <c r="H489" s="433"/>
      <c r="I489" s="433"/>
      <c r="J489" s="433"/>
      <c r="K489" s="433"/>
      <c r="L489" s="433"/>
      <c r="M489" s="433"/>
      <c r="N489" s="433"/>
      <c r="O489" s="433"/>
      <c r="P489" s="433"/>
      <c r="Q489" s="433"/>
      <c r="R489" s="433"/>
      <c r="S489" s="433"/>
      <c r="T489" s="433"/>
      <c r="U489" s="433"/>
      <c r="V489" s="433"/>
      <c r="W489" s="433"/>
      <c r="X489" s="433"/>
      <c r="Y489" s="433"/>
      <c r="Z489" s="433"/>
    </row>
    <row r="490">
      <c r="A490" s="440"/>
      <c r="B490" s="441"/>
      <c r="C490" s="442"/>
      <c r="D490" s="443"/>
      <c r="E490" s="433"/>
      <c r="F490" s="433"/>
      <c r="G490" s="433"/>
      <c r="H490" s="433"/>
      <c r="I490" s="433"/>
      <c r="J490" s="433"/>
      <c r="K490" s="433"/>
      <c r="L490" s="433"/>
      <c r="M490" s="433"/>
      <c r="N490" s="433"/>
      <c r="O490" s="433"/>
      <c r="P490" s="433"/>
      <c r="Q490" s="433"/>
      <c r="R490" s="433"/>
      <c r="S490" s="433"/>
      <c r="T490" s="433"/>
      <c r="U490" s="433"/>
      <c r="V490" s="433"/>
      <c r="W490" s="433"/>
      <c r="X490" s="433"/>
      <c r="Y490" s="433"/>
      <c r="Z490" s="433"/>
    </row>
    <row r="491">
      <c r="A491" s="440"/>
      <c r="B491" s="441"/>
      <c r="C491" s="442"/>
      <c r="D491" s="443"/>
      <c r="E491" s="433"/>
      <c r="F491" s="433"/>
      <c r="G491" s="433"/>
      <c r="H491" s="433"/>
      <c r="I491" s="433"/>
      <c r="J491" s="433"/>
      <c r="K491" s="433"/>
      <c r="L491" s="433"/>
      <c r="M491" s="433"/>
      <c r="N491" s="433"/>
      <c r="O491" s="433"/>
      <c r="P491" s="433"/>
      <c r="Q491" s="433"/>
      <c r="R491" s="433"/>
      <c r="S491" s="433"/>
      <c r="T491" s="433"/>
      <c r="U491" s="433"/>
      <c r="V491" s="433"/>
      <c r="W491" s="433"/>
      <c r="X491" s="433"/>
      <c r="Y491" s="433"/>
      <c r="Z491" s="433"/>
    </row>
    <row r="492">
      <c r="A492" s="440"/>
      <c r="B492" s="441"/>
      <c r="C492" s="442"/>
      <c r="D492" s="443"/>
      <c r="E492" s="433"/>
      <c r="F492" s="433"/>
      <c r="G492" s="433"/>
      <c r="H492" s="433"/>
      <c r="I492" s="433"/>
      <c r="J492" s="433"/>
      <c r="K492" s="433"/>
      <c r="L492" s="433"/>
      <c r="M492" s="433"/>
      <c r="N492" s="433"/>
      <c r="O492" s="433"/>
      <c r="P492" s="433"/>
      <c r="Q492" s="433"/>
      <c r="R492" s="433"/>
      <c r="S492" s="433"/>
      <c r="T492" s="433"/>
      <c r="U492" s="433"/>
      <c r="V492" s="433"/>
      <c r="W492" s="433"/>
      <c r="X492" s="433"/>
      <c r="Y492" s="433"/>
      <c r="Z492" s="433"/>
    </row>
    <row r="493">
      <c r="A493" s="440"/>
      <c r="B493" s="441"/>
      <c r="C493" s="442"/>
      <c r="D493" s="443"/>
      <c r="E493" s="433"/>
      <c r="F493" s="433"/>
      <c r="G493" s="433"/>
      <c r="H493" s="433"/>
      <c r="I493" s="433"/>
      <c r="J493" s="433"/>
      <c r="K493" s="433"/>
      <c r="L493" s="433"/>
      <c r="M493" s="433"/>
      <c r="N493" s="433"/>
      <c r="O493" s="433"/>
      <c r="P493" s="433"/>
      <c r="Q493" s="433"/>
      <c r="R493" s="433"/>
      <c r="S493" s="433"/>
      <c r="T493" s="433"/>
      <c r="U493" s="433"/>
      <c r="V493" s="433"/>
      <c r="W493" s="433"/>
      <c r="X493" s="433"/>
      <c r="Y493" s="433"/>
      <c r="Z493" s="433"/>
    </row>
    <row r="494">
      <c r="A494" s="440"/>
      <c r="B494" s="441"/>
      <c r="C494" s="442"/>
      <c r="D494" s="443"/>
      <c r="E494" s="433"/>
      <c r="F494" s="433"/>
      <c r="G494" s="433"/>
      <c r="H494" s="433"/>
      <c r="I494" s="433"/>
      <c r="J494" s="433"/>
      <c r="K494" s="433"/>
      <c r="L494" s="433"/>
      <c r="M494" s="433"/>
      <c r="N494" s="433"/>
      <c r="O494" s="433"/>
      <c r="P494" s="433"/>
      <c r="Q494" s="433"/>
      <c r="R494" s="433"/>
      <c r="S494" s="433"/>
      <c r="T494" s="433"/>
      <c r="U494" s="433"/>
      <c r="V494" s="433"/>
      <c r="W494" s="433"/>
      <c r="X494" s="433"/>
      <c r="Y494" s="433"/>
      <c r="Z494" s="433"/>
    </row>
    <row r="495">
      <c r="A495" s="440"/>
      <c r="B495" s="441"/>
      <c r="C495" s="442"/>
      <c r="D495" s="443"/>
      <c r="E495" s="433"/>
      <c r="F495" s="433"/>
      <c r="G495" s="433"/>
      <c r="H495" s="433"/>
      <c r="I495" s="433"/>
      <c r="J495" s="433"/>
      <c r="K495" s="433"/>
      <c r="L495" s="433"/>
      <c r="M495" s="433"/>
      <c r="N495" s="433"/>
      <c r="O495" s="433"/>
      <c r="P495" s="433"/>
      <c r="Q495" s="433"/>
      <c r="R495" s="433"/>
      <c r="S495" s="433"/>
      <c r="T495" s="433"/>
      <c r="U495" s="433"/>
      <c r="V495" s="433"/>
      <c r="W495" s="433"/>
      <c r="X495" s="433"/>
      <c r="Y495" s="433"/>
      <c r="Z495" s="433"/>
    </row>
    <row r="496">
      <c r="A496" s="440"/>
      <c r="B496" s="441"/>
      <c r="C496" s="442"/>
      <c r="D496" s="443"/>
      <c r="E496" s="433"/>
      <c r="F496" s="433"/>
      <c r="G496" s="433"/>
      <c r="H496" s="433"/>
      <c r="I496" s="433"/>
      <c r="J496" s="433"/>
      <c r="K496" s="433"/>
      <c r="L496" s="433"/>
      <c r="M496" s="433"/>
      <c r="N496" s="433"/>
      <c r="O496" s="433"/>
      <c r="P496" s="433"/>
      <c r="Q496" s="433"/>
      <c r="R496" s="433"/>
      <c r="S496" s="433"/>
      <c r="T496" s="433"/>
      <c r="U496" s="433"/>
      <c r="V496" s="433"/>
      <c r="W496" s="433"/>
      <c r="X496" s="433"/>
      <c r="Y496" s="433"/>
      <c r="Z496" s="433"/>
    </row>
    <row r="497">
      <c r="A497" s="440"/>
      <c r="B497" s="441"/>
      <c r="C497" s="442"/>
      <c r="D497" s="443"/>
      <c r="E497" s="433"/>
      <c r="F497" s="433"/>
      <c r="G497" s="433"/>
      <c r="H497" s="433"/>
      <c r="I497" s="433"/>
      <c r="J497" s="433"/>
      <c r="K497" s="433"/>
      <c r="L497" s="433"/>
      <c r="M497" s="433"/>
      <c r="N497" s="433"/>
      <c r="O497" s="433"/>
      <c r="P497" s="433"/>
      <c r="Q497" s="433"/>
      <c r="R497" s="433"/>
      <c r="S497" s="433"/>
      <c r="T497" s="433"/>
      <c r="U497" s="433"/>
      <c r="V497" s="433"/>
      <c r="W497" s="433"/>
      <c r="X497" s="433"/>
      <c r="Y497" s="433"/>
      <c r="Z497" s="433"/>
    </row>
    <row r="498">
      <c r="A498" s="440"/>
      <c r="B498" s="441"/>
      <c r="C498" s="442"/>
      <c r="D498" s="443"/>
      <c r="E498" s="433"/>
      <c r="F498" s="433"/>
      <c r="G498" s="433"/>
      <c r="H498" s="433"/>
      <c r="I498" s="433"/>
      <c r="J498" s="433"/>
      <c r="K498" s="433"/>
      <c r="L498" s="433"/>
      <c r="M498" s="433"/>
      <c r="N498" s="433"/>
      <c r="O498" s="433"/>
      <c r="P498" s="433"/>
      <c r="Q498" s="433"/>
      <c r="R498" s="433"/>
      <c r="S498" s="433"/>
      <c r="T498" s="433"/>
      <c r="U498" s="433"/>
      <c r="V498" s="433"/>
      <c r="W498" s="433"/>
      <c r="X498" s="433"/>
      <c r="Y498" s="433"/>
      <c r="Z498" s="433"/>
    </row>
    <row r="499">
      <c r="A499" s="440"/>
      <c r="B499" s="441"/>
      <c r="C499" s="442"/>
      <c r="D499" s="443"/>
      <c r="E499" s="433"/>
      <c r="F499" s="433"/>
      <c r="G499" s="433"/>
      <c r="H499" s="433"/>
      <c r="I499" s="433"/>
      <c r="J499" s="433"/>
      <c r="K499" s="433"/>
      <c r="L499" s="433"/>
      <c r="M499" s="433"/>
      <c r="N499" s="433"/>
      <c r="O499" s="433"/>
      <c r="P499" s="433"/>
      <c r="Q499" s="433"/>
      <c r="R499" s="433"/>
      <c r="S499" s="433"/>
      <c r="T499" s="433"/>
      <c r="U499" s="433"/>
      <c r="V499" s="433"/>
      <c r="W499" s="433"/>
      <c r="X499" s="433"/>
      <c r="Y499" s="433"/>
      <c r="Z499" s="433"/>
    </row>
    <row r="500">
      <c r="A500" s="440"/>
      <c r="B500" s="441"/>
      <c r="C500" s="442"/>
      <c r="D500" s="443"/>
      <c r="E500" s="433"/>
      <c r="F500" s="433"/>
      <c r="G500" s="433"/>
      <c r="H500" s="433"/>
      <c r="I500" s="433"/>
      <c r="J500" s="433"/>
      <c r="K500" s="433"/>
      <c r="L500" s="433"/>
      <c r="M500" s="433"/>
      <c r="N500" s="433"/>
      <c r="O500" s="433"/>
      <c r="P500" s="433"/>
      <c r="Q500" s="433"/>
      <c r="R500" s="433"/>
      <c r="S500" s="433"/>
      <c r="T500" s="433"/>
      <c r="U500" s="433"/>
      <c r="V500" s="433"/>
      <c r="W500" s="433"/>
      <c r="X500" s="433"/>
      <c r="Y500" s="433"/>
      <c r="Z500" s="433"/>
    </row>
    <row r="501">
      <c r="A501" s="440"/>
      <c r="B501" s="441"/>
      <c r="C501" s="442"/>
      <c r="D501" s="443"/>
      <c r="E501" s="433"/>
      <c r="F501" s="433"/>
      <c r="G501" s="433"/>
      <c r="H501" s="433"/>
      <c r="I501" s="433"/>
      <c r="J501" s="433"/>
      <c r="K501" s="433"/>
      <c r="L501" s="433"/>
      <c r="M501" s="433"/>
      <c r="N501" s="433"/>
      <c r="O501" s="433"/>
      <c r="P501" s="433"/>
      <c r="Q501" s="433"/>
      <c r="R501" s="433"/>
      <c r="S501" s="433"/>
      <c r="T501" s="433"/>
      <c r="U501" s="433"/>
      <c r="V501" s="433"/>
      <c r="W501" s="433"/>
      <c r="X501" s="433"/>
      <c r="Y501" s="433"/>
      <c r="Z501" s="433"/>
    </row>
    <row r="502">
      <c r="A502" s="440"/>
      <c r="B502" s="441"/>
      <c r="C502" s="442"/>
      <c r="D502" s="443"/>
      <c r="E502" s="433"/>
      <c r="F502" s="433"/>
      <c r="G502" s="433"/>
      <c r="H502" s="433"/>
      <c r="I502" s="433"/>
      <c r="J502" s="433"/>
      <c r="K502" s="433"/>
      <c r="L502" s="433"/>
      <c r="M502" s="433"/>
      <c r="N502" s="433"/>
      <c r="O502" s="433"/>
      <c r="P502" s="433"/>
      <c r="Q502" s="433"/>
      <c r="R502" s="433"/>
      <c r="S502" s="433"/>
      <c r="T502" s="433"/>
      <c r="U502" s="433"/>
      <c r="V502" s="433"/>
      <c r="W502" s="433"/>
      <c r="X502" s="433"/>
      <c r="Y502" s="433"/>
      <c r="Z502" s="433"/>
    </row>
    <row r="503">
      <c r="A503" s="440"/>
      <c r="B503" s="441"/>
      <c r="C503" s="442"/>
      <c r="D503" s="443"/>
      <c r="E503" s="433"/>
      <c r="F503" s="433"/>
      <c r="G503" s="433"/>
      <c r="H503" s="433"/>
      <c r="I503" s="433"/>
      <c r="J503" s="433"/>
      <c r="K503" s="433"/>
      <c r="L503" s="433"/>
      <c r="M503" s="433"/>
      <c r="N503" s="433"/>
      <c r="O503" s="433"/>
      <c r="P503" s="433"/>
      <c r="Q503" s="433"/>
      <c r="R503" s="433"/>
      <c r="S503" s="433"/>
      <c r="T503" s="433"/>
      <c r="U503" s="433"/>
      <c r="V503" s="433"/>
      <c r="W503" s="433"/>
      <c r="X503" s="433"/>
      <c r="Y503" s="433"/>
      <c r="Z503" s="433"/>
    </row>
    <row r="504">
      <c r="A504" s="440"/>
      <c r="B504" s="441"/>
      <c r="C504" s="442"/>
      <c r="D504" s="443"/>
      <c r="E504" s="433"/>
      <c r="F504" s="433"/>
      <c r="G504" s="433"/>
      <c r="H504" s="433"/>
      <c r="I504" s="433"/>
      <c r="J504" s="433"/>
      <c r="K504" s="433"/>
      <c r="L504" s="433"/>
      <c r="M504" s="433"/>
      <c r="N504" s="433"/>
      <c r="O504" s="433"/>
      <c r="P504" s="433"/>
      <c r="Q504" s="433"/>
      <c r="R504" s="433"/>
      <c r="S504" s="433"/>
      <c r="T504" s="433"/>
      <c r="U504" s="433"/>
      <c r="V504" s="433"/>
      <c r="W504" s="433"/>
      <c r="X504" s="433"/>
      <c r="Y504" s="433"/>
      <c r="Z504" s="433"/>
    </row>
    <row r="505">
      <c r="A505" s="440"/>
      <c r="B505" s="441"/>
      <c r="C505" s="442"/>
      <c r="D505" s="443"/>
      <c r="E505" s="433"/>
      <c r="F505" s="433"/>
      <c r="G505" s="433"/>
      <c r="H505" s="433"/>
      <c r="I505" s="433"/>
      <c r="J505" s="433"/>
      <c r="K505" s="433"/>
      <c r="L505" s="433"/>
      <c r="M505" s="433"/>
      <c r="N505" s="433"/>
      <c r="O505" s="433"/>
      <c r="P505" s="433"/>
      <c r="Q505" s="433"/>
      <c r="R505" s="433"/>
      <c r="S505" s="433"/>
      <c r="T505" s="433"/>
      <c r="U505" s="433"/>
      <c r="V505" s="433"/>
      <c r="W505" s="433"/>
      <c r="X505" s="433"/>
      <c r="Y505" s="433"/>
      <c r="Z505" s="433"/>
    </row>
    <row r="506">
      <c r="A506" s="440"/>
      <c r="B506" s="441"/>
      <c r="C506" s="442"/>
      <c r="D506" s="443"/>
      <c r="E506" s="433"/>
      <c r="F506" s="433"/>
      <c r="G506" s="433"/>
      <c r="H506" s="433"/>
      <c r="I506" s="433"/>
      <c r="J506" s="433"/>
      <c r="K506" s="433"/>
      <c r="L506" s="433"/>
      <c r="M506" s="433"/>
      <c r="N506" s="433"/>
      <c r="O506" s="433"/>
      <c r="P506" s="433"/>
      <c r="Q506" s="433"/>
      <c r="R506" s="433"/>
      <c r="S506" s="433"/>
      <c r="T506" s="433"/>
      <c r="U506" s="433"/>
      <c r="V506" s="433"/>
      <c r="W506" s="433"/>
      <c r="X506" s="433"/>
      <c r="Y506" s="433"/>
      <c r="Z506" s="433"/>
    </row>
    <row r="507">
      <c r="A507" s="440"/>
      <c r="B507" s="441"/>
      <c r="C507" s="442"/>
      <c r="D507" s="443"/>
      <c r="E507" s="433"/>
      <c r="F507" s="433"/>
      <c r="G507" s="433"/>
      <c r="H507" s="433"/>
      <c r="I507" s="433"/>
      <c r="J507" s="433"/>
      <c r="K507" s="433"/>
      <c r="L507" s="433"/>
      <c r="M507" s="433"/>
      <c r="N507" s="433"/>
      <c r="O507" s="433"/>
      <c r="P507" s="433"/>
      <c r="Q507" s="433"/>
      <c r="R507" s="433"/>
      <c r="S507" s="433"/>
      <c r="T507" s="433"/>
      <c r="U507" s="433"/>
      <c r="V507" s="433"/>
      <c r="W507" s="433"/>
      <c r="X507" s="433"/>
      <c r="Y507" s="433"/>
      <c r="Z507" s="433"/>
    </row>
    <row r="508">
      <c r="A508" s="440"/>
      <c r="B508" s="441"/>
      <c r="C508" s="442"/>
      <c r="D508" s="443"/>
      <c r="E508" s="433"/>
      <c r="F508" s="433"/>
      <c r="G508" s="433"/>
      <c r="H508" s="433"/>
      <c r="I508" s="433"/>
      <c r="J508" s="433"/>
      <c r="K508" s="433"/>
      <c r="L508" s="433"/>
      <c r="M508" s="433"/>
      <c r="N508" s="433"/>
      <c r="O508" s="433"/>
      <c r="P508" s="433"/>
      <c r="Q508" s="433"/>
      <c r="R508" s="433"/>
      <c r="S508" s="433"/>
      <c r="T508" s="433"/>
      <c r="U508" s="433"/>
      <c r="V508" s="433"/>
      <c r="W508" s="433"/>
      <c r="X508" s="433"/>
      <c r="Y508" s="433"/>
      <c r="Z508" s="433"/>
    </row>
    <row r="509">
      <c r="A509" s="440"/>
      <c r="B509" s="441"/>
      <c r="C509" s="442"/>
      <c r="D509" s="443"/>
      <c r="E509" s="433"/>
      <c r="F509" s="433"/>
      <c r="G509" s="433"/>
      <c r="H509" s="433"/>
      <c r="I509" s="433"/>
      <c r="J509" s="433"/>
      <c r="K509" s="433"/>
      <c r="L509" s="433"/>
      <c r="M509" s="433"/>
      <c r="N509" s="433"/>
      <c r="O509" s="433"/>
      <c r="P509" s="433"/>
      <c r="Q509" s="433"/>
      <c r="R509" s="433"/>
      <c r="S509" s="433"/>
      <c r="T509" s="433"/>
      <c r="U509" s="433"/>
      <c r="V509" s="433"/>
      <c r="W509" s="433"/>
      <c r="X509" s="433"/>
      <c r="Y509" s="433"/>
      <c r="Z509" s="433"/>
    </row>
    <row r="510">
      <c r="A510" s="440"/>
      <c r="B510" s="441"/>
      <c r="C510" s="442"/>
      <c r="D510" s="443"/>
      <c r="E510" s="433"/>
      <c r="F510" s="433"/>
      <c r="G510" s="433"/>
      <c r="H510" s="433"/>
      <c r="I510" s="433"/>
      <c r="J510" s="433"/>
      <c r="K510" s="433"/>
      <c r="L510" s="433"/>
      <c r="M510" s="433"/>
      <c r="N510" s="433"/>
      <c r="O510" s="433"/>
      <c r="P510" s="433"/>
      <c r="Q510" s="433"/>
      <c r="R510" s="433"/>
      <c r="S510" s="433"/>
      <c r="T510" s="433"/>
      <c r="U510" s="433"/>
      <c r="V510" s="433"/>
      <c r="W510" s="433"/>
      <c r="X510" s="433"/>
      <c r="Y510" s="433"/>
      <c r="Z510" s="433"/>
    </row>
    <row r="511">
      <c r="A511" s="440"/>
      <c r="B511" s="441"/>
      <c r="C511" s="442"/>
      <c r="D511" s="443"/>
      <c r="E511" s="433"/>
      <c r="F511" s="433"/>
      <c r="G511" s="433"/>
      <c r="H511" s="433"/>
      <c r="I511" s="433"/>
      <c r="J511" s="433"/>
      <c r="K511" s="433"/>
      <c r="L511" s="433"/>
      <c r="M511" s="433"/>
      <c r="N511" s="433"/>
      <c r="O511" s="433"/>
      <c r="P511" s="433"/>
      <c r="Q511" s="433"/>
      <c r="R511" s="433"/>
      <c r="S511" s="433"/>
      <c r="T511" s="433"/>
      <c r="U511" s="433"/>
      <c r="V511" s="433"/>
      <c r="W511" s="433"/>
      <c r="X511" s="433"/>
      <c r="Y511" s="433"/>
      <c r="Z511" s="433"/>
    </row>
    <row r="512">
      <c r="A512" s="440"/>
      <c r="B512" s="441"/>
      <c r="C512" s="442"/>
      <c r="D512" s="443"/>
      <c r="E512" s="433"/>
      <c r="F512" s="433"/>
      <c r="G512" s="433"/>
      <c r="H512" s="433"/>
      <c r="I512" s="433"/>
      <c r="J512" s="433"/>
      <c r="K512" s="433"/>
      <c r="L512" s="433"/>
      <c r="M512" s="433"/>
      <c r="N512" s="433"/>
      <c r="O512" s="433"/>
      <c r="P512" s="433"/>
      <c r="Q512" s="433"/>
      <c r="R512" s="433"/>
      <c r="S512" s="433"/>
      <c r="T512" s="433"/>
      <c r="U512" s="433"/>
      <c r="V512" s="433"/>
      <c r="W512" s="433"/>
      <c r="X512" s="433"/>
      <c r="Y512" s="433"/>
      <c r="Z512" s="433"/>
    </row>
    <row r="513">
      <c r="A513" s="440"/>
      <c r="B513" s="441"/>
      <c r="C513" s="442"/>
      <c r="D513" s="443"/>
      <c r="E513" s="433"/>
      <c r="F513" s="433"/>
      <c r="G513" s="433"/>
      <c r="H513" s="433"/>
      <c r="I513" s="433"/>
      <c r="J513" s="433"/>
      <c r="K513" s="433"/>
      <c r="L513" s="433"/>
      <c r="M513" s="433"/>
      <c r="N513" s="433"/>
      <c r="O513" s="433"/>
      <c r="P513" s="433"/>
      <c r="Q513" s="433"/>
      <c r="R513" s="433"/>
      <c r="S513" s="433"/>
      <c r="T513" s="433"/>
      <c r="U513" s="433"/>
      <c r="V513" s="433"/>
      <c r="W513" s="433"/>
      <c r="X513" s="433"/>
      <c r="Y513" s="433"/>
      <c r="Z513" s="433"/>
    </row>
    <row r="514">
      <c r="A514" s="440"/>
      <c r="B514" s="441"/>
      <c r="C514" s="442"/>
      <c r="D514" s="443"/>
      <c r="E514" s="433"/>
      <c r="F514" s="433"/>
      <c r="G514" s="433"/>
      <c r="H514" s="433"/>
      <c r="I514" s="433"/>
      <c r="J514" s="433"/>
      <c r="K514" s="433"/>
      <c r="L514" s="433"/>
      <c r="M514" s="433"/>
      <c r="N514" s="433"/>
      <c r="O514" s="433"/>
      <c r="P514" s="433"/>
      <c r="Q514" s="433"/>
      <c r="R514" s="433"/>
      <c r="S514" s="433"/>
      <c r="T514" s="433"/>
      <c r="U514" s="433"/>
      <c r="V514" s="433"/>
      <c r="W514" s="433"/>
      <c r="X514" s="433"/>
      <c r="Y514" s="433"/>
      <c r="Z514" s="433"/>
    </row>
    <row r="515">
      <c r="A515" s="440"/>
      <c r="B515" s="441"/>
      <c r="C515" s="442"/>
      <c r="D515" s="443"/>
      <c r="E515" s="433"/>
      <c r="F515" s="433"/>
      <c r="G515" s="433"/>
      <c r="H515" s="433"/>
      <c r="I515" s="433"/>
      <c r="J515" s="433"/>
      <c r="K515" s="433"/>
      <c r="L515" s="433"/>
      <c r="M515" s="433"/>
      <c r="N515" s="433"/>
      <c r="O515" s="433"/>
      <c r="P515" s="433"/>
      <c r="Q515" s="433"/>
      <c r="R515" s="433"/>
      <c r="S515" s="433"/>
      <c r="T515" s="433"/>
      <c r="U515" s="433"/>
      <c r="V515" s="433"/>
      <c r="W515" s="433"/>
      <c r="X515" s="433"/>
      <c r="Y515" s="433"/>
      <c r="Z515" s="433"/>
    </row>
    <row r="516">
      <c r="A516" s="440"/>
      <c r="B516" s="441"/>
      <c r="C516" s="442"/>
      <c r="D516" s="443"/>
      <c r="E516" s="433"/>
      <c r="F516" s="433"/>
      <c r="G516" s="433"/>
      <c r="H516" s="433"/>
      <c r="I516" s="433"/>
      <c r="J516" s="433"/>
      <c r="K516" s="433"/>
      <c r="L516" s="433"/>
      <c r="M516" s="433"/>
      <c r="N516" s="433"/>
      <c r="O516" s="433"/>
      <c r="P516" s="433"/>
      <c r="Q516" s="433"/>
      <c r="R516" s="433"/>
      <c r="S516" s="433"/>
      <c r="T516" s="433"/>
      <c r="U516" s="433"/>
      <c r="V516" s="433"/>
      <c r="W516" s="433"/>
      <c r="X516" s="433"/>
      <c r="Y516" s="433"/>
      <c r="Z516" s="433"/>
    </row>
    <row r="517">
      <c r="A517" s="440"/>
      <c r="B517" s="441"/>
      <c r="C517" s="442"/>
      <c r="D517" s="443"/>
      <c r="E517" s="433"/>
      <c r="F517" s="433"/>
      <c r="G517" s="433"/>
      <c r="H517" s="433"/>
      <c r="I517" s="433"/>
      <c r="J517" s="433"/>
      <c r="K517" s="433"/>
      <c r="L517" s="433"/>
      <c r="M517" s="433"/>
      <c r="N517" s="433"/>
      <c r="O517" s="433"/>
      <c r="P517" s="433"/>
      <c r="Q517" s="433"/>
      <c r="R517" s="433"/>
      <c r="S517" s="433"/>
      <c r="T517" s="433"/>
      <c r="U517" s="433"/>
      <c r="V517" s="433"/>
      <c r="W517" s="433"/>
      <c r="X517" s="433"/>
      <c r="Y517" s="433"/>
      <c r="Z517" s="433"/>
    </row>
    <row r="518">
      <c r="A518" s="440"/>
      <c r="B518" s="441"/>
      <c r="C518" s="442"/>
      <c r="D518" s="443"/>
      <c r="E518" s="433"/>
      <c r="F518" s="433"/>
      <c r="G518" s="433"/>
      <c r="H518" s="433"/>
      <c r="I518" s="433"/>
      <c r="J518" s="433"/>
      <c r="K518" s="433"/>
      <c r="L518" s="433"/>
      <c r="M518" s="433"/>
      <c r="N518" s="433"/>
      <c r="O518" s="433"/>
      <c r="P518" s="433"/>
      <c r="Q518" s="433"/>
      <c r="R518" s="433"/>
      <c r="S518" s="433"/>
      <c r="T518" s="433"/>
      <c r="U518" s="433"/>
      <c r="V518" s="433"/>
      <c r="W518" s="433"/>
      <c r="X518" s="433"/>
      <c r="Y518" s="433"/>
      <c r="Z518" s="433"/>
    </row>
    <row r="519">
      <c r="A519" s="440"/>
      <c r="B519" s="441"/>
      <c r="C519" s="442"/>
      <c r="D519" s="443"/>
      <c r="E519" s="433"/>
      <c r="F519" s="433"/>
      <c r="G519" s="433"/>
      <c r="H519" s="433"/>
      <c r="I519" s="433"/>
      <c r="J519" s="433"/>
      <c r="K519" s="433"/>
      <c r="L519" s="433"/>
      <c r="M519" s="433"/>
      <c r="N519" s="433"/>
      <c r="O519" s="433"/>
      <c r="P519" s="433"/>
      <c r="Q519" s="433"/>
      <c r="R519" s="433"/>
      <c r="S519" s="433"/>
      <c r="T519" s="433"/>
      <c r="U519" s="433"/>
      <c r="V519" s="433"/>
      <c r="W519" s="433"/>
      <c r="X519" s="433"/>
      <c r="Y519" s="433"/>
      <c r="Z519" s="433"/>
    </row>
    <row r="520">
      <c r="A520" s="440"/>
      <c r="B520" s="441"/>
      <c r="C520" s="442"/>
      <c r="D520" s="443"/>
      <c r="E520" s="433"/>
      <c r="F520" s="433"/>
      <c r="G520" s="433"/>
      <c r="H520" s="433"/>
      <c r="I520" s="433"/>
      <c r="J520" s="433"/>
      <c r="K520" s="433"/>
      <c r="L520" s="433"/>
      <c r="M520" s="433"/>
      <c r="N520" s="433"/>
      <c r="O520" s="433"/>
      <c r="P520" s="433"/>
      <c r="Q520" s="433"/>
      <c r="R520" s="433"/>
      <c r="S520" s="433"/>
      <c r="T520" s="433"/>
      <c r="U520" s="433"/>
      <c r="V520" s="433"/>
      <c r="W520" s="433"/>
      <c r="X520" s="433"/>
      <c r="Y520" s="433"/>
      <c r="Z520" s="433"/>
    </row>
    <row r="521">
      <c r="A521" s="440"/>
      <c r="B521" s="441"/>
      <c r="C521" s="442"/>
      <c r="D521" s="443"/>
      <c r="E521" s="433"/>
      <c r="F521" s="433"/>
      <c r="G521" s="433"/>
      <c r="H521" s="433"/>
      <c r="I521" s="433"/>
      <c r="J521" s="433"/>
      <c r="K521" s="433"/>
      <c r="L521" s="433"/>
      <c r="M521" s="433"/>
      <c r="N521" s="433"/>
      <c r="O521" s="433"/>
      <c r="P521" s="433"/>
      <c r="Q521" s="433"/>
      <c r="R521" s="433"/>
      <c r="S521" s="433"/>
      <c r="T521" s="433"/>
      <c r="U521" s="433"/>
      <c r="V521" s="433"/>
      <c r="W521" s="433"/>
      <c r="X521" s="433"/>
      <c r="Y521" s="433"/>
      <c r="Z521" s="433"/>
    </row>
    <row r="522">
      <c r="A522" s="440"/>
      <c r="B522" s="441"/>
      <c r="C522" s="442"/>
      <c r="D522" s="443"/>
      <c r="E522" s="433"/>
      <c r="F522" s="433"/>
      <c r="G522" s="433"/>
      <c r="H522" s="433"/>
      <c r="I522" s="433"/>
      <c r="J522" s="433"/>
      <c r="K522" s="433"/>
      <c r="L522" s="433"/>
      <c r="M522" s="433"/>
      <c r="N522" s="433"/>
      <c r="O522" s="433"/>
      <c r="P522" s="433"/>
      <c r="Q522" s="433"/>
      <c r="R522" s="433"/>
      <c r="S522" s="433"/>
      <c r="T522" s="433"/>
      <c r="U522" s="433"/>
      <c r="V522" s="433"/>
      <c r="W522" s="433"/>
      <c r="X522" s="433"/>
      <c r="Y522" s="433"/>
      <c r="Z522" s="433"/>
    </row>
    <row r="523">
      <c r="A523" s="440"/>
      <c r="B523" s="441"/>
      <c r="C523" s="442"/>
      <c r="D523" s="443"/>
      <c r="E523" s="433"/>
      <c r="F523" s="433"/>
      <c r="G523" s="433"/>
      <c r="H523" s="433"/>
      <c r="I523" s="433"/>
      <c r="J523" s="433"/>
      <c r="K523" s="433"/>
      <c r="L523" s="433"/>
      <c r="M523" s="433"/>
      <c r="N523" s="433"/>
      <c r="O523" s="433"/>
      <c r="P523" s="433"/>
      <c r="Q523" s="433"/>
      <c r="R523" s="433"/>
      <c r="S523" s="433"/>
      <c r="T523" s="433"/>
      <c r="U523" s="433"/>
      <c r="V523" s="433"/>
      <c r="W523" s="433"/>
      <c r="X523" s="433"/>
      <c r="Y523" s="433"/>
      <c r="Z523" s="433"/>
    </row>
    <row r="524">
      <c r="A524" s="440"/>
      <c r="B524" s="441"/>
      <c r="C524" s="442"/>
      <c r="D524" s="443"/>
      <c r="E524" s="433"/>
      <c r="F524" s="433"/>
      <c r="G524" s="433"/>
      <c r="H524" s="433"/>
      <c r="I524" s="433"/>
      <c r="J524" s="433"/>
      <c r="K524" s="433"/>
      <c r="L524" s="433"/>
      <c r="M524" s="433"/>
      <c r="N524" s="433"/>
      <c r="O524" s="433"/>
      <c r="P524" s="433"/>
      <c r="Q524" s="433"/>
      <c r="R524" s="433"/>
      <c r="S524" s="433"/>
      <c r="T524" s="433"/>
      <c r="U524" s="433"/>
      <c r="V524" s="433"/>
      <c r="W524" s="433"/>
      <c r="X524" s="433"/>
      <c r="Y524" s="433"/>
      <c r="Z524" s="433"/>
    </row>
    <row r="525">
      <c r="A525" s="440"/>
      <c r="B525" s="441"/>
      <c r="C525" s="442"/>
      <c r="D525" s="443"/>
      <c r="E525" s="433"/>
      <c r="F525" s="433"/>
      <c r="G525" s="433"/>
      <c r="H525" s="433"/>
      <c r="I525" s="433"/>
      <c r="J525" s="433"/>
      <c r="K525" s="433"/>
      <c r="L525" s="433"/>
      <c r="M525" s="433"/>
      <c r="N525" s="433"/>
      <c r="O525" s="433"/>
      <c r="P525" s="433"/>
      <c r="Q525" s="433"/>
      <c r="R525" s="433"/>
      <c r="S525" s="433"/>
      <c r="T525" s="433"/>
      <c r="U525" s="433"/>
      <c r="V525" s="433"/>
      <c r="W525" s="433"/>
      <c r="X525" s="433"/>
      <c r="Y525" s="433"/>
      <c r="Z525" s="433"/>
    </row>
    <row r="526">
      <c r="A526" s="440"/>
      <c r="B526" s="441"/>
      <c r="C526" s="442"/>
      <c r="D526" s="443"/>
      <c r="E526" s="433"/>
      <c r="F526" s="433"/>
      <c r="G526" s="433"/>
      <c r="H526" s="433"/>
      <c r="I526" s="433"/>
      <c r="J526" s="433"/>
      <c r="K526" s="433"/>
      <c r="L526" s="433"/>
      <c r="M526" s="433"/>
      <c r="N526" s="433"/>
      <c r="O526" s="433"/>
      <c r="P526" s="433"/>
      <c r="Q526" s="433"/>
      <c r="R526" s="433"/>
      <c r="S526" s="433"/>
      <c r="T526" s="433"/>
      <c r="U526" s="433"/>
      <c r="V526" s="433"/>
      <c r="W526" s="433"/>
      <c r="X526" s="433"/>
      <c r="Y526" s="433"/>
      <c r="Z526" s="433"/>
    </row>
    <row r="527">
      <c r="A527" s="440"/>
      <c r="B527" s="441"/>
      <c r="C527" s="442"/>
      <c r="D527" s="443"/>
      <c r="E527" s="433"/>
      <c r="F527" s="433"/>
      <c r="G527" s="433"/>
      <c r="H527" s="433"/>
      <c r="I527" s="433"/>
      <c r="J527" s="433"/>
      <c r="K527" s="433"/>
      <c r="L527" s="433"/>
      <c r="M527" s="433"/>
      <c r="N527" s="433"/>
      <c r="O527" s="433"/>
      <c r="P527" s="433"/>
      <c r="Q527" s="433"/>
      <c r="R527" s="433"/>
      <c r="S527" s="433"/>
      <c r="T527" s="433"/>
      <c r="U527" s="433"/>
      <c r="V527" s="433"/>
      <c r="W527" s="433"/>
      <c r="X527" s="433"/>
      <c r="Y527" s="433"/>
      <c r="Z527" s="433"/>
    </row>
    <row r="528">
      <c r="A528" s="440"/>
      <c r="B528" s="441"/>
      <c r="C528" s="442"/>
      <c r="D528" s="443"/>
      <c r="E528" s="433"/>
      <c r="F528" s="433"/>
      <c r="G528" s="433"/>
      <c r="H528" s="433"/>
      <c r="I528" s="433"/>
      <c r="J528" s="433"/>
      <c r="K528" s="433"/>
      <c r="L528" s="433"/>
      <c r="M528" s="433"/>
      <c r="N528" s="433"/>
      <c r="O528" s="433"/>
      <c r="P528" s="433"/>
      <c r="Q528" s="433"/>
      <c r="R528" s="433"/>
      <c r="S528" s="433"/>
      <c r="T528" s="433"/>
      <c r="U528" s="433"/>
      <c r="V528" s="433"/>
      <c r="W528" s="433"/>
      <c r="X528" s="433"/>
      <c r="Y528" s="433"/>
      <c r="Z528" s="433"/>
    </row>
    <row r="529">
      <c r="A529" s="440"/>
      <c r="B529" s="441"/>
      <c r="C529" s="442"/>
      <c r="D529" s="443"/>
      <c r="E529" s="433"/>
      <c r="F529" s="433"/>
      <c r="G529" s="433"/>
      <c r="H529" s="433"/>
      <c r="I529" s="433"/>
      <c r="J529" s="433"/>
      <c r="K529" s="433"/>
      <c r="L529" s="433"/>
      <c r="M529" s="433"/>
      <c r="N529" s="433"/>
      <c r="O529" s="433"/>
      <c r="P529" s="433"/>
      <c r="Q529" s="433"/>
      <c r="R529" s="433"/>
      <c r="S529" s="433"/>
      <c r="T529" s="433"/>
      <c r="U529" s="433"/>
      <c r="V529" s="433"/>
      <c r="W529" s="433"/>
      <c r="X529" s="433"/>
      <c r="Y529" s="433"/>
      <c r="Z529" s="433"/>
    </row>
    <row r="530">
      <c r="A530" s="440"/>
      <c r="B530" s="441"/>
      <c r="C530" s="442"/>
      <c r="D530" s="443"/>
      <c r="E530" s="433"/>
      <c r="F530" s="433"/>
      <c r="G530" s="433"/>
      <c r="H530" s="433"/>
      <c r="I530" s="433"/>
      <c r="J530" s="433"/>
      <c r="K530" s="433"/>
      <c r="L530" s="433"/>
      <c r="M530" s="433"/>
      <c r="N530" s="433"/>
      <c r="O530" s="433"/>
      <c r="P530" s="433"/>
      <c r="Q530" s="433"/>
      <c r="R530" s="433"/>
      <c r="S530" s="433"/>
      <c r="T530" s="433"/>
      <c r="U530" s="433"/>
      <c r="V530" s="433"/>
      <c r="W530" s="433"/>
      <c r="X530" s="433"/>
      <c r="Y530" s="433"/>
      <c r="Z530" s="433"/>
    </row>
    <row r="531">
      <c r="A531" s="440"/>
      <c r="B531" s="441"/>
      <c r="C531" s="442"/>
      <c r="D531" s="443"/>
      <c r="E531" s="433"/>
      <c r="F531" s="433"/>
      <c r="G531" s="433"/>
      <c r="H531" s="433"/>
      <c r="I531" s="433"/>
      <c r="J531" s="433"/>
      <c r="K531" s="433"/>
      <c r="L531" s="433"/>
      <c r="M531" s="433"/>
      <c r="N531" s="433"/>
      <c r="O531" s="433"/>
      <c r="P531" s="433"/>
      <c r="Q531" s="433"/>
      <c r="R531" s="433"/>
      <c r="S531" s="433"/>
      <c r="T531" s="433"/>
      <c r="U531" s="433"/>
      <c r="V531" s="433"/>
      <c r="W531" s="433"/>
      <c r="X531" s="433"/>
      <c r="Y531" s="433"/>
      <c r="Z531" s="433"/>
    </row>
    <row r="532">
      <c r="A532" s="440"/>
      <c r="B532" s="441"/>
      <c r="C532" s="442"/>
      <c r="D532" s="443"/>
      <c r="E532" s="433"/>
      <c r="F532" s="433"/>
      <c r="G532" s="433"/>
      <c r="H532" s="433"/>
      <c r="I532" s="433"/>
      <c r="J532" s="433"/>
      <c r="K532" s="433"/>
      <c r="L532" s="433"/>
      <c r="M532" s="433"/>
      <c r="N532" s="433"/>
      <c r="O532" s="433"/>
      <c r="P532" s="433"/>
      <c r="Q532" s="433"/>
      <c r="R532" s="433"/>
      <c r="S532" s="433"/>
      <c r="T532" s="433"/>
      <c r="U532" s="433"/>
      <c r="V532" s="433"/>
      <c r="W532" s="433"/>
      <c r="X532" s="433"/>
      <c r="Y532" s="433"/>
      <c r="Z532" s="433"/>
    </row>
    <row r="533">
      <c r="A533" s="440"/>
      <c r="B533" s="441"/>
      <c r="C533" s="442"/>
      <c r="D533" s="443"/>
      <c r="E533" s="433"/>
      <c r="F533" s="433"/>
      <c r="G533" s="433"/>
      <c r="H533" s="433"/>
      <c r="I533" s="433"/>
      <c r="J533" s="433"/>
      <c r="K533" s="433"/>
      <c r="L533" s="433"/>
      <c r="M533" s="433"/>
      <c r="N533" s="433"/>
      <c r="O533" s="433"/>
      <c r="P533" s="433"/>
      <c r="Q533" s="433"/>
      <c r="R533" s="433"/>
      <c r="S533" s="433"/>
      <c r="T533" s="433"/>
      <c r="U533" s="433"/>
      <c r="V533" s="433"/>
      <c r="W533" s="433"/>
      <c r="X533" s="433"/>
      <c r="Y533" s="433"/>
      <c r="Z533" s="433"/>
    </row>
    <row r="534">
      <c r="A534" s="440"/>
      <c r="B534" s="441"/>
      <c r="C534" s="442"/>
      <c r="D534" s="443"/>
      <c r="E534" s="433"/>
      <c r="F534" s="433"/>
      <c r="G534" s="433"/>
      <c r="H534" s="433"/>
      <c r="I534" s="433"/>
      <c r="J534" s="433"/>
      <c r="K534" s="433"/>
      <c r="L534" s="433"/>
      <c r="M534" s="433"/>
      <c r="N534" s="433"/>
      <c r="O534" s="433"/>
      <c r="P534" s="433"/>
      <c r="Q534" s="433"/>
      <c r="R534" s="433"/>
      <c r="S534" s="433"/>
      <c r="T534" s="433"/>
      <c r="U534" s="433"/>
      <c r="V534" s="433"/>
      <c r="W534" s="433"/>
      <c r="X534" s="433"/>
      <c r="Y534" s="433"/>
      <c r="Z534" s="433"/>
    </row>
    <row r="535">
      <c r="A535" s="440"/>
      <c r="B535" s="441"/>
      <c r="C535" s="442"/>
      <c r="D535" s="443"/>
      <c r="E535" s="433"/>
      <c r="F535" s="433"/>
      <c r="G535" s="433"/>
      <c r="H535" s="433"/>
      <c r="I535" s="433"/>
      <c r="J535" s="433"/>
      <c r="K535" s="433"/>
      <c r="L535" s="433"/>
      <c r="M535" s="433"/>
      <c r="N535" s="433"/>
      <c r="O535" s="433"/>
      <c r="P535" s="433"/>
      <c r="Q535" s="433"/>
      <c r="R535" s="433"/>
      <c r="S535" s="433"/>
      <c r="T535" s="433"/>
      <c r="U535" s="433"/>
      <c r="V535" s="433"/>
      <c r="W535" s="433"/>
      <c r="X535" s="433"/>
      <c r="Y535" s="433"/>
      <c r="Z535" s="433"/>
    </row>
    <row r="536">
      <c r="A536" s="440"/>
      <c r="B536" s="441"/>
      <c r="C536" s="442"/>
      <c r="D536" s="443"/>
      <c r="E536" s="433"/>
      <c r="F536" s="433"/>
      <c r="G536" s="433"/>
      <c r="H536" s="433"/>
      <c r="I536" s="433"/>
      <c r="J536" s="433"/>
      <c r="K536" s="433"/>
      <c r="L536" s="433"/>
      <c r="M536" s="433"/>
      <c r="N536" s="433"/>
      <c r="O536" s="433"/>
      <c r="P536" s="433"/>
      <c r="Q536" s="433"/>
      <c r="R536" s="433"/>
      <c r="S536" s="433"/>
      <c r="T536" s="433"/>
      <c r="U536" s="433"/>
      <c r="V536" s="433"/>
      <c r="W536" s="433"/>
      <c r="X536" s="433"/>
      <c r="Y536" s="433"/>
      <c r="Z536" s="433"/>
    </row>
    <row r="537">
      <c r="A537" s="440"/>
      <c r="B537" s="441"/>
      <c r="C537" s="442"/>
      <c r="D537" s="443"/>
      <c r="E537" s="433"/>
      <c r="F537" s="433"/>
      <c r="G537" s="433"/>
      <c r="H537" s="433"/>
      <c r="I537" s="433"/>
      <c r="J537" s="433"/>
      <c r="K537" s="433"/>
      <c r="L537" s="433"/>
      <c r="M537" s="433"/>
      <c r="N537" s="433"/>
      <c r="O537" s="433"/>
      <c r="P537" s="433"/>
      <c r="Q537" s="433"/>
      <c r="R537" s="433"/>
      <c r="S537" s="433"/>
      <c r="T537" s="433"/>
      <c r="U537" s="433"/>
      <c r="V537" s="433"/>
      <c r="W537" s="433"/>
      <c r="X537" s="433"/>
      <c r="Y537" s="433"/>
      <c r="Z537" s="433"/>
    </row>
    <row r="538">
      <c r="A538" s="440"/>
      <c r="B538" s="441"/>
      <c r="C538" s="442"/>
      <c r="D538" s="443"/>
      <c r="E538" s="433"/>
      <c r="F538" s="433"/>
      <c r="G538" s="433"/>
      <c r="H538" s="433"/>
      <c r="I538" s="433"/>
      <c r="J538" s="433"/>
      <c r="K538" s="433"/>
      <c r="L538" s="433"/>
      <c r="M538" s="433"/>
      <c r="N538" s="433"/>
      <c r="O538" s="433"/>
      <c r="P538" s="433"/>
      <c r="Q538" s="433"/>
      <c r="R538" s="433"/>
      <c r="S538" s="433"/>
      <c r="T538" s="433"/>
      <c r="U538" s="433"/>
      <c r="V538" s="433"/>
      <c r="W538" s="433"/>
      <c r="X538" s="433"/>
      <c r="Y538" s="433"/>
      <c r="Z538" s="433"/>
    </row>
    <row r="539">
      <c r="A539" s="440"/>
      <c r="B539" s="441"/>
      <c r="C539" s="442"/>
      <c r="D539" s="443"/>
      <c r="E539" s="433"/>
      <c r="F539" s="433"/>
      <c r="G539" s="433"/>
      <c r="H539" s="433"/>
      <c r="I539" s="433"/>
      <c r="J539" s="433"/>
      <c r="K539" s="433"/>
      <c r="L539" s="433"/>
      <c r="M539" s="433"/>
      <c r="N539" s="433"/>
      <c r="O539" s="433"/>
      <c r="P539" s="433"/>
      <c r="Q539" s="433"/>
      <c r="R539" s="433"/>
      <c r="S539" s="433"/>
      <c r="T539" s="433"/>
      <c r="U539" s="433"/>
      <c r="V539" s="433"/>
      <c r="W539" s="433"/>
      <c r="X539" s="433"/>
      <c r="Y539" s="433"/>
      <c r="Z539" s="433"/>
    </row>
    <row r="540">
      <c r="A540" s="440"/>
      <c r="B540" s="441"/>
      <c r="C540" s="442"/>
      <c r="D540" s="443"/>
      <c r="E540" s="433"/>
      <c r="F540" s="433"/>
      <c r="G540" s="433"/>
      <c r="H540" s="433"/>
      <c r="I540" s="433"/>
      <c r="J540" s="433"/>
      <c r="K540" s="433"/>
      <c r="L540" s="433"/>
      <c r="M540" s="433"/>
      <c r="N540" s="433"/>
      <c r="O540" s="433"/>
      <c r="P540" s="433"/>
      <c r="Q540" s="433"/>
      <c r="R540" s="433"/>
      <c r="S540" s="433"/>
      <c r="T540" s="433"/>
      <c r="U540" s="433"/>
      <c r="V540" s="433"/>
      <c r="W540" s="433"/>
      <c r="X540" s="433"/>
      <c r="Y540" s="433"/>
      <c r="Z540" s="433"/>
    </row>
    <row r="541">
      <c r="A541" s="440"/>
      <c r="B541" s="441"/>
      <c r="C541" s="442"/>
      <c r="D541" s="443"/>
      <c r="E541" s="433"/>
      <c r="F541" s="433"/>
      <c r="G541" s="433"/>
      <c r="H541" s="433"/>
      <c r="I541" s="433"/>
      <c r="J541" s="433"/>
      <c r="K541" s="433"/>
      <c r="L541" s="433"/>
      <c r="M541" s="433"/>
      <c r="N541" s="433"/>
      <c r="O541" s="433"/>
      <c r="P541" s="433"/>
      <c r="Q541" s="433"/>
      <c r="R541" s="433"/>
      <c r="S541" s="433"/>
      <c r="T541" s="433"/>
      <c r="U541" s="433"/>
      <c r="V541" s="433"/>
      <c r="W541" s="433"/>
      <c r="X541" s="433"/>
      <c r="Y541" s="433"/>
      <c r="Z541" s="433"/>
    </row>
    <row r="542">
      <c r="A542" s="440"/>
      <c r="B542" s="441"/>
      <c r="C542" s="442"/>
      <c r="D542" s="443"/>
      <c r="E542" s="433"/>
      <c r="F542" s="433"/>
      <c r="G542" s="433"/>
      <c r="H542" s="433"/>
      <c r="I542" s="433"/>
      <c r="J542" s="433"/>
      <c r="K542" s="433"/>
      <c r="L542" s="433"/>
      <c r="M542" s="433"/>
      <c r="N542" s="433"/>
      <c r="O542" s="433"/>
      <c r="P542" s="433"/>
      <c r="Q542" s="433"/>
      <c r="R542" s="433"/>
      <c r="S542" s="433"/>
      <c r="T542" s="433"/>
      <c r="U542" s="433"/>
      <c r="V542" s="433"/>
      <c r="W542" s="433"/>
      <c r="X542" s="433"/>
      <c r="Y542" s="433"/>
      <c r="Z542" s="433"/>
    </row>
    <row r="543">
      <c r="A543" s="440"/>
      <c r="B543" s="441"/>
      <c r="C543" s="442"/>
      <c r="D543" s="443"/>
      <c r="E543" s="433"/>
      <c r="F543" s="433"/>
      <c r="G543" s="433"/>
      <c r="H543" s="433"/>
      <c r="I543" s="433"/>
      <c r="J543" s="433"/>
      <c r="K543" s="433"/>
      <c r="L543" s="433"/>
      <c r="M543" s="433"/>
      <c r="N543" s="433"/>
      <c r="O543" s="433"/>
      <c r="P543" s="433"/>
      <c r="Q543" s="433"/>
      <c r="R543" s="433"/>
      <c r="S543" s="433"/>
      <c r="T543" s="433"/>
      <c r="U543" s="433"/>
      <c r="V543" s="433"/>
      <c r="W543" s="433"/>
      <c r="X543" s="433"/>
      <c r="Y543" s="433"/>
      <c r="Z543" s="433"/>
    </row>
    <row r="544">
      <c r="A544" s="440"/>
      <c r="B544" s="441"/>
      <c r="C544" s="442"/>
      <c r="D544" s="443"/>
      <c r="E544" s="433"/>
      <c r="F544" s="433"/>
      <c r="G544" s="433"/>
      <c r="H544" s="433"/>
      <c r="I544" s="433"/>
      <c r="J544" s="433"/>
      <c r="K544" s="433"/>
      <c r="L544" s="433"/>
      <c r="M544" s="433"/>
      <c r="N544" s="433"/>
      <c r="O544" s="433"/>
      <c r="P544" s="433"/>
      <c r="Q544" s="433"/>
      <c r="R544" s="433"/>
      <c r="S544" s="433"/>
      <c r="T544" s="433"/>
      <c r="U544" s="433"/>
      <c r="V544" s="433"/>
      <c r="W544" s="433"/>
      <c r="X544" s="433"/>
      <c r="Y544" s="433"/>
      <c r="Z544" s="433"/>
    </row>
    <row r="545">
      <c r="A545" s="440"/>
      <c r="B545" s="441"/>
      <c r="C545" s="442"/>
      <c r="D545" s="443"/>
      <c r="E545" s="433"/>
      <c r="F545" s="433"/>
      <c r="G545" s="433"/>
      <c r="H545" s="433"/>
      <c r="I545" s="433"/>
      <c r="J545" s="433"/>
      <c r="K545" s="433"/>
      <c r="L545" s="433"/>
      <c r="M545" s="433"/>
      <c r="N545" s="433"/>
      <c r="O545" s="433"/>
      <c r="P545" s="433"/>
      <c r="Q545" s="433"/>
      <c r="R545" s="433"/>
      <c r="S545" s="433"/>
      <c r="T545" s="433"/>
      <c r="U545" s="433"/>
      <c r="V545" s="433"/>
      <c r="W545" s="433"/>
      <c r="X545" s="433"/>
      <c r="Y545" s="433"/>
      <c r="Z545" s="433"/>
    </row>
    <row r="546">
      <c r="A546" s="440"/>
      <c r="B546" s="441"/>
      <c r="C546" s="442"/>
      <c r="D546" s="443"/>
      <c r="E546" s="433"/>
      <c r="F546" s="433"/>
      <c r="G546" s="433"/>
      <c r="H546" s="433"/>
      <c r="I546" s="433"/>
      <c r="J546" s="433"/>
      <c r="K546" s="433"/>
      <c r="L546" s="433"/>
      <c r="M546" s="433"/>
      <c r="N546" s="433"/>
      <c r="O546" s="433"/>
      <c r="P546" s="433"/>
      <c r="Q546" s="433"/>
      <c r="R546" s="433"/>
      <c r="S546" s="433"/>
      <c r="T546" s="433"/>
      <c r="U546" s="433"/>
      <c r="V546" s="433"/>
      <c r="W546" s="433"/>
      <c r="X546" s="433"/>
      <c r="Y546" s="433"/>
      <c r="Z546" s="433"/>
    </row>
    <row r="547">
      <c r="A547" s="440"/>
      <c r="B547" s="441"/>
      <c r="C547" s="442"/>
      <c r="D547" s="443"/>
      <c r="E547" s="433"/>
      <c r="F547" s="433"/>
      <c r="G547" s="433"/>
      <c r="H547" s="433"/>
      <c r="I547" s="433"/>
      <c r="J547" s="433"/>
      <c r="K547" s="433"/>
      <c r="L547" s="433"/>
      <c r="M547" s="433"/>
      <c r="N547" s="433"/>
      <c r="O547" s="433"/>
      <c r="P547" s="433"/>
      <c r="Q547" s="433"/>
      <c r="R547" s="433"/>
      <c r="S547" s="433"/>
      <c r="T547" s="433"/>
      <c r="U547" s="433"/>
      <c r="V547" s="433"/>
      <c r="W547" s="433"/>
      <c r="X547" s="433"/>
      <c r="Y547" s="433"/>
      <c r="Z547" s="433"/>
    </row>
    <row r="548">
      <c r="A548" s="440"/>
      <c r="B548" s="441"/>
      <c r="C548" s="442"/>
      <c r="D548" s="443"/>
      <c r="E548" s="433"/>
      <c r="F548" s="433"/>
      <c r="G548" s="433"/>
      <c r="H548" s="433"/>
      <c r="I548" s="433"/>
      <c r="J548" s="433"/>
      <c r="K548" s="433"/>
      <c r="L548" s="433"/>
      <c r="M548" s="433"/>
      <c r="N548" s="433"/>
      <c r="O548" s="433"/>
      <c r="P548" s="433"/>
      <c r="Q548" s="433"/>
      <c r="R548" s="433"/>
      <c r="S548" s="433"/>
      <c r="T548" s="433"/>
      <c r="U548" s="433"/>
      <c r="V548" s="433"/>
      <c r="W548" s="433"/>
      <c r="X548" s="433"/>
      <c r="Y548" s="433"/>
      <c r="Z548" s="433"/>
    </row>
    <row r="549">
      <c r="A549" s="440"/>
      <c r="B549" s="441"/>
      <c r="C549" s="442"/>
      <c r="D549" s="443"/>
      <c r="E549" s="433"/>
      <c r="F549" s="433"/>
      <c r="G549" s="433"/>
      <c r="H549" s="433"/>
      <c r="I549" s="433"/>
      <c r="J549" s="433"/>
      <c r="K549" s="433"/>
      <c r="L549" s="433"/>
      <c r="M549" s="433"/>
      <c r="N549" s="433"/>
      <c r="O549" s="433"/>
      <c r="P549" s="433"/>
      <c r="Q549" s="433"/>
      <c r="R549" s="433"/>
      <c r="S549" s="433"/>
      <c r="T549" s="433"/>
      <c r="U549" s="433"/>
      <c r="V549" s="433"/>
      <c r="W549" s="433"/>
      <c r="X549" s="433"/>
      <c r="Y549" s="433"/>
      <c r="Z549" s="433"/>
    </row>
    <row r="550">
      <c r="A550" s="440"/>
      <c r="B550" s="441"/>
      <c r="C550" s="442"/>
      <c r="D550" s="443"/>
      <c r="E550" s="433"/>
      <c r="F550" s="433"/>
      <c r="G550" s="433"/>
      <c r="H550" s="433"/>
      <c r="I550" s="433"/>
      <c r="J550" s="433"/>
      <c r="K550" s="433"/>
      <c r="L550" s="433"/>
      <c r="M550" s="433"/>
      <c r="N550" s="433"/>
      <c r="O550" s="433"/>
      <c r="P550" s="433"/>
      <c r="Q550" s="433"/>
      <c r="R550" s="433"/>
      <c r="S550" s="433"/>
      <c r="T550" s="433"/>
      <c r="U550" s="433"/>
      <c r="V550" s="433"/>
      <c r="W550" s="433"/>
      <c r="X550" s="433"/>
      <c r="Y550" s="433"/>
      <c r="Z550" s="433"/>
    </row>
    <row r="551">
      <c r="A551" s="440"/>
      <c r="B551" s="441"/>
      <c r="C551" s="442"/>
      <c r="D551" s="443"/>
      <c r="E551" s="433"/>
      <c r="F551" s="433"/>
      <c r="G551" s="433"/>
      <c r="H551" s="433"/>
      <c r="I551" s="433"/>
      <c r="J551" s="433"/>
      <c r="K551" s="433"/>
      <c r="L551" s="433"/>
      <c r="M551" s="433"/>
      <c r="N551" s="433"/>
      <c r="O551" s="433"/>
      <c r="P551" s="433"/>
      <c r="Q551" s="433"/>
      <c r="R551" s="433"/>
      <c r="S551" s="433"/>
      <c r="T551" s="433"/>
      <c r="U551" s="433"/>
      <c r="V551" s="433"/>
      <c r="W551" s="433"/>
      <c r="X551" s="433"/>
      <c r="Y551" s="433"/>
      <c r="Z551" s="433"/>
    </row>
    <row r="552">
      <c r="A552" s="440"/>
      <c r="B552" s="441"/>
      <c r="C552" s="442"/>
      <c r="D552" s="443"/>
      <c r="E552" s="433"/>
      <c r="F552" s="433"/>
      <c r="G552" s="433"/>
      <c r="H552" s="433"/>
      <c r="I552" s="433"/>
      <c r="J552" s="433"/>
      <c r="K552" s="433"/>
      <c r="L552" s="433"/>
      <c r="M552" s="433"/>
      <c r="N552" s="433"/>
      <c r="O552" s="433"/>
      <c r="P552" s="433"/>
      <c r="Q552" s="433"/>
      <c r="R552" s="433"/>
      <c r="S552" s="433"/>
      <c r="T552" s="433"/>
      <c r="U552" s="433"/>
      <c r="V552" s="433"/>
      <c r="W552" s="433"/>
      <c r="X552" s="433"/>
      <c r="Y552" s="433"/>
      <c r="Z552" s="433"/>
    </row>
    <row r="553">
      <c r="A553" s="440"/>
      <c r="B553" s="441"/>
      <c r="C553" s="442"/>
      <c r="D553" s="443"/>
      <c r="E553" s="433"/>
      <c r="F553" s="433"/>
      <c r="G553" s="433"/>
      <c r="H553" s="433"/>
      <c r="I553" s="433"/>
      <c r="J553" s="433"/>
      <c r="K553" s="433"/>
      <c r="L553" s="433"/>
      <c r="M553" s="433"/>
      <c r="N553" s="433"/>
      <c r="O553" s="433"/>
      <c r="P553" s="433"/>
      <c r="Q553" s="433"/>
      <c r="R553" s="433"/>
      <c r="S553" s="433"/>
      <c r="T553" s="433"/>
      <c r="U553" s="433"/>
      <c r="V553" s="433"/>
      <c r="W553" s="433"/>
      <c r="X553" s="433"/>
      <c r="Y553" s="433"/>
      <c r="Z553" s="433"/>
    </row>
    <row r="554">
      <c r="A554" s="440"/>
      <c r="B554" s="441"/>
      <c r="C554" s="442"/>
      <c r="D554" s="443"/>
      <c r="E554" s="433"/>
      <c r="F554" s="433"/>
      <c r="G554" s="433"/>
      <c r="H554" s="433"/>
      <c r="I554" s="433"/>
      <c r="J554" s="433"/>
      <c r="K554" s="433"/>
      <c r="L554" s="433"/>
      <c r="M554" s="433"/>
      <c r="N554" s="433"/>
      <c r="O554" s="433"/>
      <c r="P554" s="433"/>
      <c r="Q554" s="433"/>
      <c r="R554" s="433"/>
      <c r="S554" s="433"/>
      <c r="T554" s="433"/>
      <c r="U554" s="433"/>
      <c r="V554" s="433"/>
      <c r="W554" s="433"/>
      <c r="X554" s="433"/>
      <c r="Y554" s="433"/>
      <c r="Z554" s="433"/>
    </row>
    <row r="555">
      <c r="A555" s="440"/>
      <c r="B555" s="441"/>
      <c r="C555" s="442"/>
      <c r="D555" s="443"/>
      <c r="E555" s="433"/>
      <c r="F555" s="433"/>
      <c r="G555" s="433"/>
      <c r="H555" s="433"/>
      <c r="I555" s="433"/>
      <c r="J555" s="433"/>
      <c r="K555" s="433"/>
      <c r="L555" s="433"/>
      <c r="M555" s="433"/>
      <c r="N555" s="433"/>
      <c r="O555" s="433"/>
      <c r="P555" s="433"/>
      <c r="Q555" s="433"/>
      <c r="R555" s="433"/>
      <c r="S555" s="433"/>
      <c r="T555" s="433"/>
      <c r="U555" s="433"/>
      <c r="V555" s="433"/>
      <c r="W555" s="433"/>
      <c r="X555" s="433"/>
      <c r="Y555" s="433"/>
      <c r="Z555" s="433"/>
    </row>
    <row r="556">
      <c r="A556" s="440"/>
      <c r="B556" s="441"/>
      <c r="C556" s="442"/>
      <c r="D556" s="443"/>
      <c r="E556" s="433"/>
      <c r="F556" s="433"/>
      <c r="G556" s="433"/>
      <c r="H556" s="433"/>
      <c r="I556" s="433"/>
      <c r="J556" s="433"/>
      <c r="K556" s="433"/>
      <c r="L556" s="433"/>
      <c r="M556" s="433"/>
      <c r="N556" s="433"/>
      <c r="O556" s="433"/>
      <c r="P556" s="433"/>
      <c r="Q556" s="433"/>
      <c r="R556" s="433"/>
      <c r="S556" s="433"/>
      <c r="T556" s="433"/>
      <c r="U556" s="433"/>
      <c r="V556" s="433"/>
      <c r="W556" s="433"/>
      <c r="X556" s="433"/>
      <c r="Y556" s="433"/>
      <c r="Z556" s="433"/>
    </row>
    <row r="557">
      <c r="A557" s="440"/>
      <c r="B557" s="441"/>
      <c r="C557" s="442"/>
      <c r="D557" s="443"/>
      <c r="E557" s="433"/>
      <c r="F557" s="433"/>
      <c r="G557" s="433"/>
      <c r="H557" s="433"/>
      <c r="I557" s="433"/>
      <c r="J557" s="433"/>
      <c r="K557" s="433"/>
      <c r="L557" s="433"/>
      <c r="M557" s="433"/>
      <c r="N557" s="433"/>
      <c r="O557" s="433"/>
      <c r="P557" s="433"/>
      <c r="Q557" s="433"/>
      <c r="R557" s="433"/>
      <c r="S557" s="433"/>
      <c r="T557" s="433"/>
      <c r="U557" s="433"/>
      <c r="V557" s="433"/>
      <c r="W557" s="433"/>
      <c r="X557" s="433"/>
      <c r="Y557" s="433"/>
      <c r="Z557" s="433"/>
    </row>
    <row r="558">
      <c r="A558" s="440"/>
      <c r="B558" s="441"/>
      <c r="C558" s="442"/>
      <c r="D558" s="443"/>
      <c r="E558" s="433"/>
      <c r="F558" s="433"/>
      <c r="G558" s="433"/>
      <c r="H558" s="433"/>
      <c r="I558" s="433"/>
      <c r="J558" s="433"/>
      <c r="K558" s="433"/>
      <c r="L558" s="433"/>
      <c r="M558" s="433"/>
      <c r="N558" s="433"/>
      <c r="O558" s="433"/>
      <c r="P558" s="433"/>
      <c r="Q558" s="433"/>
      <c r="R558" s="433"/>
      <c r="S558" s="433"/>
      <c r="T558" s="433"/>
      <c r="U558" s="433"/>
      <c r="V558" s="433"/>
      <c r="W558" s="433"/>
      <c r="X558" s="433"/>
      <c r="Y558" s="433"/>
      <c r="Z558" s="433"/>
    </row>
    <row r="559">
      <c r="A559" s="440"/>
      <c r="B559" s="441"/>
      <c r="C559" s="442"/>
      <c r="D559" s="443"/>
      <c r="E559" s="433"/>
      <c r="F559" s="433"/>
      <c r="G559" s="433"/>
      <c r="H559" s="433"/>
      <c r="I559" s="433"/>
      <c r="J559" s="433"/>
      <c r="K559" s="433"/>
      <c r="L559" s="433"/>
      <c r="M559" s="433"/>
      <c r="N559" s="433"/>
      <c r="O559" s="433"/>
      <c r="P559" s="433"/>
      <c r="Q559" s="433"/>
      <c r="R559" s="433"/>
      <c r="S559" s="433"/>
      <c r="T559" s="433"/>
      <c r="U559" s="433"/>
      <c r="V559" s="433"/>
      <c r="W559" s="433"/>
      <c r="X559" s="433"/>
      <c r="Y559" s="433"/>
      <c r="Z559" s="433"/>
    </row>
    <row r="560">
      <c r="A560" s="440"/>
      <c r="B560" s="441"/>
      <c r="C560" s="442"/>
      <c r="D560" s="443"/>
      <c r="E560" s="433"/>
      <c r="F560" s="433"/>
      <c r="G560" s="433"/>
      <c r="H560" s="433"/>
      <c r="I560" s="433"/>
      <c r="J560" s="433"/>
      <c r="K560" s="433"/>
      <c r="L560" s="433"/>
      <c r="M560" s="433"/>
      <c r="N560" s="433"/>
      <c r="O560" s="433"/>
      <c r="P560" s="433"/>
      <c r="Q560" s="433"/>
      <c r="R560" s="433"/>
      <c r="S560" s="433"/>
      <c r="T560" s="433"/>
      <c r="U560" s="433"/>
      <c r="V560" s="433"/>
      <c r="W560" s="433"/>
      <c r="X560" s="433"/>
      <c r="Y560" s="433"/>
      <c r="Z560" s="433"/>
    </row>
    <row r="561">
      <c r="A561" s="440"/>
      <c r="B561" s="441"/>
      <c r="C561" s="442"/>
      <c r="D561" s="443"/>
      <c r="E561" s="433"/>
      <c r="F561" s="433"/>
      <c r="G561" s="433"/>
      <c r="H561" s="433"/>
      <c r="I561" s="433"/>
      <c r="J561" s="433"/>
      <c r="K561" s="433"/>
      <c r="L561" s="433"/>
      <c r="M561" s="433"/>
      <c r="N561" s="433"/>
      <c r="O561" s="433"/>
      <c r="P561" s="433"/>
      <c r="Q561" s="433"/>
      <c r="R561" s="433"/>
      <c r="S561" s="433"/>
      <c r="T561" s="433"/>
      <c r="U561" s="433"/>
      <c r="V561" s="433"/>
      <c r="W561" s="433"/>
      <c r="X561" s="433"/>
      <c r="Y561" s="433"/>
      <c r="Z561" s="433"/>
    </row>
    <row r="562">
      <c r="A562" s="440"/>
      <c r="B562" s="441"/>
      <c r="C562" s="442"/>
      <c r="D562" s="443"/>
      <c r="E562" s="433"/>
      <c r="F562" s="433"/>
      <c r="G562" s="433"/>
      <c r="H562" s="433"/>
      <c r="I562" s="433"/>
      <c r="J562" s="433"/>
      <c r="K562" s="433"/>
      <c r="L562" s="433"/>
      <c r="M562" s="433"/>
      <c r="N562" s="433"/>
      <c r="O562" s="433"/>
      <c r="P562" s="433"/>
      <c r="Q562" s="433"/>
      <c r="R562" s="433"/>
      <c r="S562" s="433"/>
      <c r="T562" s="433"/>
      <c r="U562" s="433"/>
      <c r="V562" s="433"/>
      <c r="W562" s="433"/>
      <c r="X562" s="433"/>
      <c r="Y562" s="433"/>
      <c r="Z562" s="433"/>
    </row>
    <row r="563">
      <c r="A563" s="440"/>
      <c r="B563" s="441"/>
      <c r="C563" s="442"/>
      <c r="D563" s="443"/>
      <c r="E563" s="433"/>
      <c r="F563" s="433"/>
      <c r="G563" s="433"/>
      <c r="H563" s="433"/>
      <c r="I563" s="433"/>
      <c r="J563" s="433"/>
      <c r="K563" s="433"/>
      <c r="L563" s="433"/>
      <c r="M563" s="433"/>
      <c r="N563" s="433"/>
      <c r="O563" s="433"/>
      <c r="P563" s="433"/>
      <c r="Q563" s="433"/>
      <c r="R563" s="433"/>
      <c r="S563" s="433"/>
      <c r="T563" s="433"/>
      <c r="U563" s="433"/>
      <c r="V563" s="433"/>
      <c r="W563" s="433"/>
      <c r="X563" s="433"/>
      <c r="Y563" s="433"/>
      <c r="Z563" s="433"/>
    </row>
    <row r="564">
      <c r="A564" s="440"/>
      <c r="B564" s="441"/>
      <c r="C564" s="442"/>
      <c r="D564" s="443"/>
      <c r="E564" s="433"/>
      <c r="F564" s="433"/>
      <c r="G564" s="433"/>
      <c r="H564" s="433"/>
      <c r="I564" s="433"/>
      <c r="J564" s="433"/>
      <c r="K564" s="433"/>
      <c r="L564" s="433"/>
      <c r="M564" s="433"/>
      <c r="N564" s="433"/>
      <c r="O564" s="433"/>
      <c r="P564" s="433"/>
      <c r="Q564" s="433"/>
      <c r="R564" s="433"/>
      <c r="S564" s="433"/>
      <c r="T564" s="433"/>
      <c r="U564" s="433"/>
      <c r="V564" s="433"/>
      <c r="W564" s="433"/>
      <c r="X564" s="433"/>
      <c r="Y564" s="433"/>
      <c r="Z564" s="433"/>
    </row>
    <row r="565">
      <c r="A565" s="440"/>
      <c r="B565" s="441"/>
      <c r="C565" s="442"/>
      <c r="D565" s="443"/>
      <c r="E565" s="433"/>
      <c r="F565" s="433"/>
      <c r="G565" s="433"/>
      <c r="H565" s="433"/>
      <c r="I565" s="433"/>
      <c r="J565" s="433"/>
      <c r="K565" s="433"/>
      <c r="L565" s="433"/>
      <c r="M565" s="433"/>
      <c r="N565" s="433"/>
      <c r="O565" s="433"/>
      <c r="P565" s="433"/>
      <c r="Q565" s="433"/>
      <c r="R565" s="433"/>
      <c r="S565" s="433"/>
      <c r="T565" s="433"/>
      <c r="U565" s="433"/>
      <c r="V565" s="433"/>
      <c r="W565" s="433"/>
      <c r="X565" s="433"/>
      <c r="Y565" s="433"/>
      <c r="Z565" s="433"/>
    </row>
    <row r="566">
      <c r="A566" s="440"/>
      <c r="B566" s="441"/>
      <c r="C566" s="442"/>
      <c r="D566" s="443"/>
      <c r="E566" s="433"/>
      <c r="F566" s="433"/>
      <c r="G566" s="433"/>
      <c r="H566" s="433"/>
      <c r="I566" s="433"/>
      <c r="J566" s="433"/>
      <c r="K566" s="433"/>
      <c r="L566" s="433"/>
      <c r="M566" s="433"/>
      <c r="N566" s="433"/>
      <c r="O566" s="433"/>
      <c r="P566" s="433"/>
      <c r="Q566" s="433"/>
      <c r="R566" s="433"/>
      <c r="S566" s="433"/>
      <c r="T566" s="433"/>
      <c r="U566" s="433"/>
      <c r="V566" s="433"/>
      <c r="W566" s="433"/>
      <c r="X566" s="433"/>
      <c r="Y566" s="433"/>
      <c r="Z566" s="433"/>
    </row>
    <row r="567">
      <c r="A567" s="440"/>
      <c r="B567" s="441"/>
      <c r="C567" s="442"/>
      <c r="D567" s="443"/>
      <c r="E567" s="433"/>
      <c r="F567" s="433"/>
      <c r="G567" s="433"/>
      <c r="H567" s="433"/>
      <c r="I567" s="433"/>
      <c r="J567" s="433"/>
      <c r="K567" s="433"/>
      <c r="L567" s="433"/>
      <c r="M567" s="433"/>
      <c r="N567" s="433"/>
      <c r="O567" s="433"/>
      <c r="P567" s="433"/>
      <c r="Q567" s="433"/>
      <c r="R567" s="433"/>
      <c r="S567" s="433"/>
      <c r="T567" s="433"/>
      <c r="U567" s="433"/>
      <c r="V567" s="433"/>
      <c r="W567" s="433"/>
      <c r="X567" s="433"/>
      <c r="Y567" s="433"/>
      <c r="Z567" s="433"/>
    </row>
    <row r="568">
      <c r="A568" s="440"/>
      <c r="B568" s="441"/>
      <c r="C568" s="442"/>
      <c r="D568" s="443"/>
      <c r="E568" s="433"/>
      <c r="F568" s="433"/>
      <c r="G568" s="433"/>
      <c r="H568" s="433"/>
      <c r="I568" s="433"/>
      <c r="J568" s="433"/>
      <c r="K568" s="433"/>
      <c r="L568" s="433"/>
      <c r="M568" s="433"/>
      <c r="N568" s="433"/>
      <c r="O568" s="433"/>
      <c r="P568" s="433"/>
      <c r="Q568" s="433"/>
      <c r="R568" s="433"/>
      <c r="S568" s="433"/>
      <c r="T568" s="433"/>
      <c r="U568" s="433"/>
      <c r="V568" s="433"/>
      <c r="W568" s="433"/>
      <c r="X568" s="433"/>
      <c r="Y568" s="433"/>
      <c r="Z568" s="433"/>
    </row>
    <row r="569">
      <c r="A569" s="440"/>
      <c r="B569" s="441"/>
      <c r="C569" s="442"/>
      <c r="D569" s="443"/>
      <c r="E569" s="433"/>
      <c r="F569" s="433"/>
      <c r="G569" s="433"/>
      <c r="H569" s="433"/>
      <c r="I569" s="433"/>
      <c r="J569" s="433"/>
      <c r="K569" s="433"/>
      <c r="L569" s="433"/>
      <c r="M569" s="433"/>
      <c r="N569" s="433"/>
      <c r="O569" s="433"/>
      <c r="P569" s="433"/>
      <c r="Q569" s="433"/>
      <c r="R569" s="433"/>
      <c r="S569" s="433"/>
      <c r="T569" s="433"/>
      <c r="U569" s="433"/>
      <c r="V569" s="433"/>
      <c r="W569" s="433"/>
      <c r="X569" s="433"/>
      <c r="Y569" s="433"/>
      <c r="Z569" s="433"/>
    </row>
    <row r="570">
      <c r="A570" s="440"/>
      <c r="B570" s="441"/>
      <c r="C570" s="442"/>
      <c r="D570" s="443"/>
      <c r="E570" s="433"/>
      <c r="F570" s="433"/>
      <c r="G570" s="433"/>
      <c r="H570" s="433"/>
      <c r="I570" s="433"/>
      <c r="J570" s="433"/>
      <c r="K570" s="433"/>
      <c r="L570" s="433"/>
      <c r="M570" s="433"/>
      <c r="N570" s="433"/>
      <c r="O570" s="433"/>
      <c r="P570" s="433"/>
      <c r="Q570" s="433"/>
      <c r="R570" s="433"/>
      <c r="S570" s="433"/>
      <c r="T570" s="433"/>
      <c r="U570" s="433"/>
      <c r="V570" s="433"/>
      <c r="W570" s="433"/>
      <c r="X570" s="433"/>
      <c r="Y570" s="433"/>
      <c r="Z570" s="433"/>
    </row>
    <row r="571">
      <c r="A571" s="440"/>
      <c r="B571" s="441"/>
      <c r="C571" s="442"/>
      <c r="D571" s="443"/>
      <c r="E571" s="433"/>
      <c r="F571" s="433"/>
      <c r="G571" s="433"/>
      <c r="H571" s="433"/>
      <c r="I571" s="433"/>
      <c r="J571" s="433"/>
      <c r="K571" s="433"/>
      <c r="L571" s="433"/>
      <c r="M571" s="433"/>
      <c r="N571" s="433"/>
      <c r="O571" s="433"/>
      <c r="P571" s="433"/>
      <c r="Q571" s="433"/>
      <c r="R571" s="433"/>
      <c r="S571" s="433"/>
      <c r="T571" s="433"/>
      <c r="U571" s="433"/>
      <c r="V571" s="433"/>
      <c r="W571" s="433"/>
      <c r="X571" s="433"/>
      <c r="Y571" s="433"/>
      <c r="Z571" s="433"/>
    </row>
    <row r="572">
      <c r="A572" s="440"/>
      <c r="B572" s="441"/>
      <c r="C572" s="442"/>
      <c r="D572" s="443"/>
      <c r="E572" s="433"/>
      <c r="F572" s="433"/>
      <c r="G572" s="433"/>
      <c r="H572" s="433"/>
      <c r="I572" s="433"/>
      <c r="J572" s="433"/>
      <c r="K572" s="433"/>
      <c r="L572" s="433"/>
      <c r="M572" s="433"/>
      <c r="N572" s="433"/>
      <c r="O572" s="433"/>
      <c r="P572" s="433"/>
      <c r="Q572" s="433"/>
      <c r="R572" s="433"/>
      <c r="S572" s="433"/>
      <c r="T572" s="433"/>
      <c r="U572" s="433"/>
      <c r="V572" s="433"/>
      <c r="W572" s="433"/>
      <c r="X572" s="433"/>
      <c r="Y572" s="433"/>
      <c r="Z572" s="433"/>
    </row>
    <row r="573">
      <c r="A573" s="440"/>
      <c r="B573" s="441"/>
      <c r="C573" s="442"/>
      <c r="D573" s="443"/>
      <c r="E573" s="433"/>
      <c r="F573" s="433"/>
      <c r="G573" s="433"/>
      <c r="H573" s="433"/>
      <c r="I573" s="433"/>
      <c r="J573" s="433"/>
      <c r="K573" s="433"/>
      <c r="L573" s="433"/>
      <c r="M573" s="433"/>
      <c r="N573" s="433"/>
      <c r="O573" s="433"/>
      <c r="P573" s="433"/>
      <c r="Q573" s="433"/>
      <c r="R573" s="433"/>
      <c r="S573" s="433"/>
      <c r="T573" s="433"/>
      <c r="U573" s="433"/>
      <c r="V573" s="433"/>
      <c r="W573" s="433"/>
      <c r="X573" s="433"/>
      <c r="Y573" s="433"/>
      <c r="Z573" s="433"/>
    </row>
    <row r="574">
      <c r="A574" s="440"/>
      <c r="B574" s="441"/>
      <c r="C574" s="442"/>
      <c r="D574" s="443"/>
      <c r="E574" s="433"/>
      <c r="F574" s="433"/>
      <c r="G574" s="433"/>
      <c r="H574" s="433"/>
      <c r="I574" s="433"/>
      <c r="J574" s="433"/>
      <c r="K574" s="433"/>
      <c r="L574" s="433"/>
      <c r="M574" s="433"/>
      <c r="N574" s="433"/>
      <c r="O574" s="433"/>
      <c r="P574" s="433"/>
      <c r="Q574" s="433"/>
      <c r="R574" s="433"/>
      <c r="S574" s="433"/>
      <c r="T574" s="433"/>
      <c r="U574" s="433"/>
      <c r="V574" s="433"/>
      <c r="W574" s="433"/>
      <c r="X574" s="433"/>
      <c r="Y574" s="433"/>
      <c r="Z574" s="433"/>
    </row>
    <row r="575">
      <c r="A575" s="440"/>
      <c r="B575" s="441"/>
      <c r="C575" s="442"/>
      <c r="D575" s="443"/>
      <c r="E575" s="433"/>
      <c r="F575" s="433"/>
      <c r="G575" s="433"/>
      <c r="H575" s="433"/>
      <c r="I575" s="433"/>
      <c r="J575" s="433"/>
      <c r="K575" s="433"/>
      <c r="L575" s="433"/>
      <c r="M575" s="433"/>
      <c r="N575" s="433"/>
      <c r="O575" s="433"/>
      <c r="P575" s="433"/>
      <c r="Q575" s="433"/>
      <c r="R575" s="433"/>
      <c r="S575" s="433"/>
      <c r="T575" s="433"/>
      <c r="U575" s="433"/>
      <c r="V575" s="433"/>
      <c r="W575" s="433"/>
      <c r="X575" s="433"/>
      <c r="Y575" s="433"/>
      <c r="Z575" s="433"/>
    </row>
    <row r="576">
      <c r="A576" s="440"/>
      <c r="B576" s="441"/>
      <c r="C576" s="442"/>
      <c r="D576" s="443"/>
      <c r="E576" s="433"/>
      <c r="F576" s="433"/>
      <c r="G576" s="433"/>
      <c r="H576" s="433"/>
      <c r="I576" s="433"/>
      <c r="J576" s="433"/>
      <c r="K576" s="433"/>
      <c r="L576" s="433"/>
      <c r="M576" s="433"/>
      <c r="N576" s="433"/>
      <c r="O576" s="433"/>
      <c r="P576" s="433"/>
      <c r="Q576" s="433"/>
      <c r="R576" s="433"/>
      <c r="S576" s="433"/>
      <c r="T576" s="433"/>
      <c r="U576" s="433"/>
      <c r="V576" s="433"/>
      <c r="W576" s="433"/>
      <c r="X576" s="433"/>
      <c r="Y576" s="433"/>
      <c r="Z576" s="433"/>
    </row>
    <row r="577">
      <c r="A577" s="440"/>
      <c r="B577" s="441"/>
      <c r="C577" s="442"/>
      <c r="D577" s="443"/>
      <c r="E577" s="433"/>
      <c r="F577" s="433"/>
      <c r="G577" s="433"/>
      <c r="H577" s="433"/>
      <c r="I577" s="433"/>
      <c r="J577" s="433"/>
      <c r="K577" s="433"/>
      <c r="L577" s="433"/>
      <c r="M577" s="433"/>
      <c r="N577" s="433"/>
      <c r="O577" s="433"/>
      <c r="P577" s="433"/>
      <c r="Q577" s="433"/>
      <c r="R577" s="433"/>
      <c r="S577" s="433"/>
      <c r="T577" s="433"/>
      <c r="U577" s="433"/>
      <c r="V577" s="433"/>
      <c r="W577" s="433"/>
      <c r="X577" s="433"/>
      <c r="Y577" s="433"/>
      <c r="Z577" s="433"/>
    </row>
    <row r="578">
      <c r="A578" s="440"/>
      <c r="B578" s="441"/>
      <c r="C578" s="442"/>
      <c r="D578" s="443"/>
      <c r="E578" s="433"/>
      <c r="F578" s="433"/>
      <c r="G578" s="433"/>
      <c r="H578" s="433"/>
      <c r="I578" s="433"/>
      <c r="J578" s="433"/>
      <c r="K578" s="433"/>
      <c r="L578" s="433"/>
      <c r="M578" s="433"/>
      <c r="N578" s="433"/>
      <c r="O578" s="433"/>
      <c r="P578" s="433"/>
      <c r="Q578" s="433"/>
      <c r="R578" s="433"/>
      <c r="S578" s="433"/>
      <c r="T578" s="433"/>
      <c r="U578" s="433"/>
      <c r="V578" s="433"/>
      <c r="W578" s="433"/>
      <c r="X578" s="433"/>
      <c r="Y578" s="433"/>
      <c r="Z578" s="433"/>
    </row>
    <row r="579">
      <c r="A579" s="440"/>
      <c r="B579" s="441"/>
      <c r="C579" s="442"/>
      <c r="D579" s="443"/>
      <c r="E579" s="433"/>
      <c r="F579" s="433"/>
      <c r="G579" s="433"/>
      <c r="H579" s="433"/>
      <c r="I579" s="433"/>
      <c r="J579" s="433"/>
      <c r="K579" s="433"/>
      <c r="L579" s="433"/>
      <c r="M579" s="433"/>
      <c r="N579" s="433"/>
      <c r="O579" s="433"/>
      <c r="P579" s="433"/>
      <c r="Q579" s="433"/>
      <c r="R579" s="433"/>
      <c r="S579" s="433"/>
      <c r="T579" s="433"/>
      <c r="U579" s="433"/>
      <c r="V579" s="433"/>
      <c r="W579" s="433"/>
      <c r="X579" s="433"/>
      <c r="Y579" s="433"/>
      <c r="Z579" s="433"/>
    </row>
    <row r="580">
      <c r="A580" s="440"/>
      <c r="B580" s="441"/>
      <c r="C580" s="442"/>
      <c r="D580" s="443"/>
      <c r="E580" s="433"/>
      <c r="F580" s="433"/>
      <c r="G580" s="433"/>
      <c r="H580" s="433"/>
      <c r="I580" s="433"/>
      <c r="J580" s="433"/>
      <c r="K580" s="433"/>
      <c r="L580" s="433"/>
      <c r="M580" s="433"/>
      <c r="N580" s="433"/>
      <c r="O580" s="433"/>
      <c r="P580" s="433"/>
      <c r="Q580" s="433"/>
      <c r="R580" s="433"/>
      <c r="S580" s="433"/>
      <c r="T580" s="433"/>
      <c r="U580" s="433"/>
      <c r="V580" s="433"/>
      <c r="W580" s="433"/>
      <c r="X580" s="433"/>
      <c r="Y580" s="433"/>
      <c r="Z580" s="433"/>
    </row>
    <row r="581">
      <c r="A581" s="440"/>
      <c r="B581" s="441"/>
      <c r="C581" s="442"/>
      <c r="D581" s="443"/>
      <c r="E581" s="433"/>
      <c r="F581" s="433"/>
      <c r="G581" s="433"/>
      <c r="H581" s="433"/>
      <c r="I581" s="433"/>
      <c r="J581" s="433"/>
      <c r="K581" s="433"/>
      <c r="L581" s="433"/>
      <c r="M581" s="433"/>
      <c r="N581" s="433"/>
      <c r="O581" s="433"/>
      <c r="P581" s="433"/>
      <c r="Q581" s="433"/>
      <c r="R581" s="433"/>
      <c r="S581" s="433"/>
      <c r="T581" s="433"/>
      <c r="U581" s="433"/>
      <c r="V581" s="433"/>
      <c r="W581" s="433"/>
      <c r="X581" s="433"/>
      <c r="Y581" s="433"/>
      <c r="Z581" s="433"/>
    </row>
    <row r="582">
      <c r="A582" s="440"/>
      <c r="B582" s="441"/>
      <c r="C582" s="442"/>
      <c r="D582" s="443"/>
      <c r="E582" s="433"/>
      <c r="F582" s="433"/>
      <c r="G582" s="433"/>
      <c r="H582" s="433"/>
      <c r="I582" s="433"/>
      <c r="J582" s="433"/>
      <c r="K582" s="433"/>
      <c r="L582" s="433"/>
      <c r="M582" s="433"/>
      <c r="N582" s="433"/>
      <c r="O582" s="433"/>
      <c r="P582" s="433"/>
      <c r="Q582" s="433"/>
      <c r="R582" s="433"/>
      <c r="S582" s="433"/>
      <c r="T582" s="433"/>
      <c r="U582" s="433"/>
      <c r="V582" s="433"/>
      <c r="W582" s="433"/>
      <c r="X582" s="433"/>
      <c r="Y582" s="433"/>
      <c r="Z582" s="433"/>
    </row>
    <row r="583">
      <c r="A583" s="440"/>
      <c r="B583" s="441"/>
      <c r="C583" s="442"/>
      <c r="D583" s="443"/>
      <c r="E583" s="433"/>
      <c r="F583" s="433"/>
      <c r="G583" s="433"/>
      <c r="H583" s="433"/>
      <c r="I583" s="433"/>
      <c r="J583" s="433"/>
      <c r="K583" s="433"/>
      <c r="L583" s="433"/>
      <c r="M583" s="433"/>
      <c r="N583" s="433"/>
      <c r="O583" s="433"/>
      <c r="P583" s="433"/>
      <c r="Q583" s="433"/>
      <c r="R583" s="433"/>
      <c r="S583" s="433"/>
      <c r="T583" s="433"/>
      <c r="U583" s="433"/>
      <c r="V583" s="433"/>
      <c r="W583" s="433"/>
      <c r="X583" s="433"/>
      <c r="Y583" s="433"/>
      <c r="Z583" s="433"/>
    </row>
    <row r="584">
      <c r="A584" s="440"/>
      <c r="B584" s="441"/>
      <c r="C584" s="442"/>
      <c r="D584" s="443"/>
      <c r="E584" s="433"/>
      <c r="F584" s="433"/>
      <c r="G584" s="433"/>
      <c r="H584" s="433"/>
      <c r="I584" s="433"/>
      <c r="J584" s="433"/>
      <c r="K584" s="433"/>
      <c r="L584" s="433"/>
      <c r="M584" s="433"/>
      <c r="N584" s="433"/>
      <c r="O584" s="433"/>
      <c r="P584" s="433"/>
      <c r="Q584" s="433"/>
      <c r="R584" s="433"/>
      <c r="S584" s="433"/>
      <c r="T584" s="433"/>
      <c r="U584" s="433"/>
      <c r="V584" s="433"/>
      <c r="W584" s="433"/>
      <c r="X584" s="433"/>
      <c r="Y584" s="433"/>
      <c r="Z584" s="433"/>
    </row>
    <row r="585">
      <c r="A585" s="440"/>
      <c r="B585" s="441"/>
      <c r="C585" s="442"/>
      <c r="D585" s="443"/>
      <c r="E585" s="433"/>
      <c r="F585" s="433"/>
      <c r="G585" s="433"/>
      <c r="H585" s="433"/>
      <c r="I585" s="433"/>
      <c r="J585" s="433"/>
      <c r="K585" s="433"/>
      <c r="L585" s="433"/>
      <c r="M585" s="433"/>
      <c r="N585" s="433"/>
      <c r="O585" s="433"/>
      <c r="P585" s="433"/>
      <c r="Q585" s="433"/>
      <c r="R585" s="433"/>
      <c r="S585" s="433"/>
      <c r="T585" s="433"/>
      <c r="U585" s="433"/>
      <c r="V585" s="433"/>
      <c r="W585" s="433"/>
      <c r="X585" s="433"/>
      <c r="Y585" s="433"/>
      <c r="Z585" s="433"/>
    </row>
    <row r="586">
      <c r="A586" s="440"/>
      <c r="B586" s="441"/>
      <c r="C586" s="442"/>
      <c r="D586" s="443"/>
      <c r="E586" s="433"/>
      <c r="F586" s="433"/>
      <c r="G586" s="433"/>
      <c r="H586" s="433"/>
      <c r="I586" s="433"/>
      <c r="J586" s="433"/>
      <c r="K586" s="433"/>
      <c r="L586" s="433"/>
      <c r="M586" s="433"/>
      <c r="N586" s="433"/>
      <c r="O586" s="433"/>
      <c r="P586" s="433"/>
      <c r="Q586" s="433"/>
      <c r="R586" s="433"/>
      <c r="S586" s="433"/>
      <c r="T586" s="433"/>
      <c r="U586" s="433"/>
      <c r="V586" s="433"/>
      <c r="W586" s="433"/>
      <c r="X586" s="433"/>
      <c r="Y586" s="433"/>
      <c r="Z586" s="433"/>
    </row>
    <row r="587">
      <c r="A587" s="440"/>
      <c r="B587" s="441"/>
      <c r="C587" s="442"/>
      <c r="D587" s="443"/>
      <c r="E587" s="433"/>
      <c r="F587" s="433"/>
      <c r="G587" s="433"/>
      <c r="H587" s="433"/>
      <c r="I587" s="433"/>
      <c r="J587" s="433"/>
      <c r="K587" s="433"/>
      <c r="L587" s="433"/>
      <c r="M587" s="433"/>
      <c r="N587" s="433"/>
      <c r="O587" s="433"/>
      <c r="P587" s="433"/>
      <c r="Q587" s="433"/>
      <c r="R587" s="433"/>
      <c r="S587" s="433"/>
      <c r="T587" s="433"/>
      <c r="U587" s="433"/>
      <c r="V587" s="433"/>
      <c r="W587" s="433"/>
      <c r="X587" s="433"/>
      <c r="Y587" s="433"/>
      <c r="Z587" s="433"/>
    </row>
    <row r="588">
      <c r="A588" s="440"/>
      <c r="B588" s="441"/>
      <c r="C588" s="442"/>
      <c r="D588" s="443"/>
      <c r="E588" s="433"/>
      <c r="F588" s="433"/>
      <c r="G588" s="433"/>
      <c r="H588" s="433"/>
      <c r="I588" s="433"/>
      <c r="J588" s="433"/>
      <c r="K588" s="433"/>
      <c r="L588" s="433"/>
      <c r="M588" s="433"/>
      <c r="N588" s="433"/>
      <c r="O588" s="433"/>
      <c r="P588" s="433"/>
      <c r="Q588" s="433"/>
      <c r="R588" s="433"/>
      <c r="S588" s="433"/>
      <c r="T588" s="433"/>
      <c r="U588" s="433"/>
      <c r="V588" s="433"/>
      <c r="W588" s="433"/>
      <c r="X588" s="433"/>
      <c r="Y588" s="433"/>
      <c r="Z588" s="433"/>
    </row>
    <row r="589">
      <c r="A589" s="440"/>
      <c r="B589" s="441"/>
      <c r="C589" s="442"/>
      <c r="D589" s="443"/>
      <c r="E589" s="433"/>
      <c r="F589" s="433"/>
      <c r="G589" s="433"/>
      <c r="H589" s="433"/>
      <c r="I589" s="433"/>
      <c r="J589" s="433"/>
      <c r="K589" s="433"/>
      <c r="L589" s="433"/>
      <c r="M589" s="433"/>
      <c r="N589" s="433"/>
      <c r="O589" s="433"/>
      <c r="P589" s="433"/>
      <c r="Q589" s="433"/>
      <c r="R589" s="433"/>
      <c r="S589" s="433"/>
      <c r="T589" s="433"/>
      <c r="U589" s="433"/>
      <c r="V589" s="433"/>
      <c r="W589" s="433"/>
      <c r="X589" s="433"/>
      <c r="Y589" s="433"/>
      <c r="Z589" s="433"/>
    </row>
    <row r="590">
      <c r="A590" s="440"/>
      <c r="B590" s="441"/>
      <c r="C590" s="442"/>
      <c r="D590" s="443"/>
      <c r="E590" s="433"/>
      <c r="F590" s="433"/>
      <c r="G590" s="433"/>
      <c r="H590" s="433"/>
      <c r="I590" s="433"/>
      <c r="J590" s="433"/>
      <c r="K590" s="433"/>
      <c r="L590" s="433"/>
      <c r="M590" s="433"/>
      <c r="N590" s="433"/>
      <c r="O590" s="433"/>
      <c r="P590" s="433"/>
      <c r="Q590" s="433"/>
      <c r="R590" s="433"/>
      <c r="S590" s="433"/>
      <c r="T590" s="433"/>
      <c r="U590" s="433"/>
      <c r="V590" s="433"/>
      <c r="W590" s="433"/>
      <c r="X590" s="433"/>
      <c r="Y590" s="433"/>
      <c r="Z590" s="433"/>
    </row>
    <row r="591">
      <c r="A591" s="440"/>
      <c r="B591" s="441"/>
      <c r="C591" s="442"/>
      <c r="D591" s="443"/>
      <c r="E591" s="433"/>
      <c r="F591" s="433"/>
      <c r="G591" s="433"/>
      <c r="H591" s="433"/>
      <c r="I591" s="433"/>
      <c r="J591" s="433"/>
      <c r="K591" s="433"/>
      <c r="L591" s="433"/>
      <c r="M591" s="433"/>
      <c r="N591" s="433"/>
      <c r="O591" s="433"/>
      <c r="P591" s="433"/>
      <c r="Q591" s="433"/>
      <c r="R591" s="433"/>
      <c r="S591" s="433"/>
      <c r="T591" s="433"/>
      <c r="U591" s="433"/>
      <c r="V591" s="433"/>
      <c r="W591" s="433"/>
      <c r="X591" s="433"/>
      <c r="Y591" s="433"/>
      <c r="Z591" s="433"/>
    </row>
    <row r="592">
      <c r="A592" s="440"/>
      <c r="B592" s="441"/>
      <c r="C592" s="442"/>
      <c r="D592" s="443"/>
      <c r="E592" s="433"/>
      <c r="F592" s="433"/>
      <c r="G592" s="433"/>
      <c r="H592" s="433"/>
      <c r="I592" s="433"/>
      <c r="J592" s="433"/>
      <c r="K592" s="433"/>
      <c r="L592" s="433"/>
      <c r="M592" s="433"/>
      <c r="N592" s="433"/>
      <c r="O592" s="433"/>
      <c r="P592" s="433"/>
      <c r="Q592" s="433"/>
      <c r="R592" s="433"/>
      <c r="S592" s="433"/>
      <c r="T592" s="433"/>
      <c r="U592" s="433"/>
      <c r="V592" s="433"/>
      <c r="W592" s="433"/>
      <c r="X592" s="433"/>
      <c r="Y592" s="433"/>
      <c r="Z592" s="433"/>
    </row>
    <row r="593">
      <c r="A593" s="440"/>
      <c r="B593" s="441"/>
      <c r="C593" s="442"/>
      <c r="D593" s="443"/>
      <c r="E593" s="433"/>
      <c r="F593" s="433"/>
      <c r="G593" s="433"/>
      <c r="H593" s="433"/>
      <c r="I593" s="433"/>
      <c r="J593" s="433"/>
      <c r="K593" s="433"/>
      <c r="L593" s="433"/>
      <c r="M593" s="433"/>
      <c r="N593" s="433"/>
      <c r="O593" s="433"/>
      <c r="P593" s="433"/>
      <c r="Q593" s="433"/>
      <c r="R593" s="433"/>
      <c r="S593" s="433"/>
      <c r="T593" s="433"/>
      <c r="U593" s="433"/>
      <c r="V593" s="433"/>
      <c r="W593" s="433"/>
      <c r="X593" s="433"/>
      <c r="Y593" s="433"/>
      <c r="Z593" s="433"/>
    </row>
    <row r="594">
      <c r="A594" s="440"/>
      <c r="B594" s="441"/>
      <c r="C594" s="442"/>
      <c r="D594" s="443"/>
      <c r="E594" s="433"/>
      <c r="F594" s="433"/>
      <c r="G594" s="433"/>
      <c r="H594" s="433"/>
      <c r="I594" s="433"/>
      <c r="J594" s="433"/>
      <c r="K594" s="433"/>
      <c r="L594" s="433"/>
      <c r="M594" s="433"/>
      <c r="N594" s="433"/>
      <c r="O594" s="433"/>
      <c r="P594" s="433"/>
      <c r="Q594" s="433"/>
      <c r="R594" s="433"/>
      <c r="S594" s="433"/>
      <c r="T594" s="433"/>
      <c r="U594" s="433"/>
      <c r="V594" s="433"/>
      <c r="W594" s="433"/>
      <c r="X594" s="433"/>
      <c r="Y594" s="433"/>
      <c r="Z594" s="433"/>
    </row>
    <row r="595">
      <c r="A595" s="440"/>
      <c r="B595" s="441"/>
      <c r="C595" s="442"/>
      <c r="D595" s="443"/>
      <c r="E595" s="433"/>
      <c r="F595" s="433"/>
      <c r="G595" s="433"/>
      <c r="H595" s="433"/>
      <c r="I595" s="433"/>
      <c r="J595" s="433"/>
      <c r="K595" s="433"/>
      <c r="L595" s="433"/>
      <c r="M595" s="433"/>
      <c r="N595" s="433"/>
      <c r="O595" s="433"/>
      <c r="P595" s="433"/>
      <c r="Q595" s="433"/>
      <c r="R595" s="433"/>
      <c r="S595" s="433"/>
      <c r="T595" s="433"/>
      <c r="U595" s="433"/>
      <c r="V595" s="433"/>
      <c r="W595" s="433"/>
      <c r="X595" s="433"/>
      <c r="Y595" s="433"/>
      <c r="Z595" s="433"/>
    </row>
    <row r="596">
      <c r="A596" s="440"/>
      <c r="B596" s="441"/>
      <c r="C596" s="442"/>
      <c r="D596" s="443"/>
      <c r="E596" s="433"/>
      <c r="F596" s="433"/>
      <c r="G596" s="433"/>
      <c r="H596" s="433"/>
      <c r="I596" s="433"/>
      <c r="J596" s="433"/>
      <c r="K596" s="433"/>
      <c r="L596" s="433"/>
      <c r="M596" s="433"/>
      <c r="N596" s="433"/>
      <c r="O596" s="433"/>
      <c r="P596" s="433"/>
      <c r="Q596" s="433"/>
      <c r="R596" s="433"/>
      <c r="S596" s="433"/>
      <c r="T596" s="433"/>
      <c r="U596" s="433"/>
      <c r="V596" s="433"/>
      <c r="W596" s="433"/>
      <c r="X596" s="433"/>
      <c r="Y596" s="433"/>
      <c r="Z596" s="433"/>
    </row>
    <row r="597">
      <c r="A597" s="440"/>
      <c r="B597" s="441"/>
      <c r="C597" s="442"/>
      <c r="D597" s="443"/>
      <c r="E597" s="433"/>
      <c r="F597" s="433"/>
      <c r="G597" s="433"/>
      <c r="H597" s="433"/>
      <c r="I597" s="433"/>
      <c r="J597" s="433"/>
      <c r="K597" s="433"/>
      <c r="L597" s="433"/>
      <c r="M597" s="433"/>
      <c r="N597" s="433"/>
      <c r="O597" s="433"/>
      <c r="P597" s="433"/>
      <c r="Q597" s="433"/>
      <c r="R597" s="433"/>
      <c r="S597" s="433"/>
      <c r="T597" s="433"/>
      <c r="U597" s="433"/>
      <c r="V597" s="433"/>
      <c r="W597" s="433"/>
      <c r="X597" s="433"/>
      <c r="Y597" s="433"/>
      <c r="Z597" s="433"/>
    </row>
    <row r="598">
      <c r="A598" s="440"/>
      <c r="B598" s="441"/>
      <c r="C598" s="442"/>
      <c r="D598" s="443"/>
      <c r="E598" s="433"/>
      <c r="F598" s="433"/>
      <c r="G598" s="433"/>
      <c r="H598" s="433"/>
      <c r="I598" s="433"/>
      <c r="J598" s="433"/>
      <c r="K598" s="433"/>
      <c r="L598" s="433"/>
      <c r="M598" s="433"/>
      <c r="N598" s="433"/>
      <c r="O598" s="433"/>
      <c r="P598" s="433"/>
      <c r="Q598" s="433"/>
      <c r="R598" s="433"/>
      <c r="S598" s="433"/>
      <c r="T598" s="433"/>
      <c r="U598" s="433"/>
      <c r="V598" s="433"/>
      <c r="W598" s="433"/>
      <c r="X598" s="433"/>
      <c r="Y598" s="433"/>
      <c r="Z598" s="433"/>
    </row>
    <row r="599">
      <c r="A599" s="440"/>
      <c r="B599" s="441"/>
      <c r="C599" s="442"/>
      <c r="D599" s="443"/>
      <c r="E599" s="433"/>
      <c r="F599" s="433"/>
      <c r="G599" s="433"/>
      <c r="H599" s="433"/>
      <c r="I599" s="433"/>
      <c r="J599" s="433"/>
      <c r="K599" s="433"/>
      <c r="L599" s="433"/>
      <c r="M599" s="433"/>
      <c r="N599" s="433"/>
      <c r="O599" s="433"/>
      <c r="P599" s="433"/>
      <c r="Q599" s="433"/>
      <c r="R599" s="433"/>
      <c r="S599" s="433"/>
      <c r="T599" s="433"/>
      <c r="U599" s="433"/>
      <c r="V599" s="433"/>
      <c r="W599" s="433"/>
      <c r="X599" s="433"/>
      <c r="Y599" s="433"/>
      <c r="Z599" s="433"/>
    </row>
    <row r="600">
      <c r="A600" s="440"/>
      <c r="B600" s="441"/>
      <c r="C600" s="442"/>
      <c r="D600" s="443"/>
      <c r="E600" s="433"/>
      <c r="F600" s="433"/>
      <c r="G600" s="433"/>
      <c r="H600" s="433"/>
      <c r="I600" s="433"/>
      <c r="J600" s="433"/>
      <c r="K600" s="433"/>
      <c r="L600" s="433"/>
      <c r="M600" s="433"/>
      <c r="N600" s="433"/>
      <c r="O600" s="433"/>
      <c r="P600" s="433"/>
      <c r="Q600" s="433"/>
      <c r="R600" s="433"/>
      <c r="S600" s="433"/>
      <c r="T600" s="433"/>
      <c r="U600" s="433"/>
      <c r="V600" s="433"/>
      <c r="W600" s="433"/>
      <c r="X600" s="433"/>
      <c r="Y600" s="433"/>
      <c r="Z600" s="433"/>
    </row>
    <row r="601">
      <c r="A601" s="440"/>
      <c r="B601" s="441"/>
      <c r="C601" s="442"/>
      <c r="D601" s="443"/>
      <c r="E601" s="433"/>
      <c r="F601" s="433"/>
      <c r="G601" s="433"/>
      <c r="H601" s="433"/>
      <c r="I601" s="433"/>
      <c r="J601" s="433"/>
      <c r="K601" s="433"/>
      <c r="L601" s="433"/>
      <c r="M601" s="433"/>
      <c r="N601" s="433"/>
      <c r="O601" s="433"/>
      <c r="P601" s="433"/>
      <c r="Q601" s="433"/>
      <c r="R601" s="433"/>
      <c r="S601" s="433"/>
      <c r="T601" s="433"/>
      <c r="U601" s="433"/>
      <c r="V601" s="433"/>
      <c r="W601" s="433"/>
      <c r="X601" s="433"/>
      <c r="Y601" s="433"/>
      <c r="Z601" s="433"/>
    </row>
    <row r="602">
      <c r="A602" s="440"/>
      <c r="B602" s="441"/>
      <c r="C602" s="442"/>
      <c r="D602" s="443"/>
      <c r="E602" s="433"/>
      <c r="F602" s="433"/>
      <c r="G602" s="433"/>
      <c r="H602" s="433"/>
      <c r="I602" s="433"/>
      <c r="J602" s="433"/>
      <c r="K602" s="433"/>
      <c r="L602" s="433"/>
      <c r="M602" s="433"/>
      <c r="N602" s="433"/>
      <c r="O602" s="433"/>
      <c r="P602" s="433"/>
      <c r="Q602" s="433"/>
      <c r="R602" s="433"/>
      <c r="S602" s="433"/>
      <c r="T602" s="433"/>
      <c r="U602" s="433"/>
      <c r="V602" s="433"/>
      <c r="W602" s="433"/>
      <c r="X602" s="433"/>
      <c r="Y602" s="433"/>
      <c r="Z602" s="433"/>
    </row>
    <row r="603">
      <c r="A603" s="440"/>
      <c r="B603" s="441"/>
      <c r="C603" s="442"/>
      <c r="D603" s="443"/>
      <c r="E603" s="433"/>
      <c r="F603" s="433"/>
      <c r="G603" s="433"/>
      <c r="H603" s="433"/>
      <c r="I603" s="433"/>
      <c r="J603" s="433"/>
      <c r="K603" s="433"/>
      <c r="L603" s="433"/>
      <c r="M603" s="433"/>
      <c r="N603" s="433"/>
      <c r="O603" s="433"/>
      <c r="P603" s="433"/>
      <c r="Q603" s="433"/>
      <c r="R603" s="433"/>
      <c r="S603" s="433"/>
      <c r="T603" s="433"/>
      <c r="U603" s="433"/>
      <c r="V603" s="433"/>
      <c r="W603" s="433"/>
      <c r="X603" s="433"/>
      <c r="Y603" s="433"/>
      <c r="Z603" s="433"/>
    </row>
    <row r="604">
      <c r="A604" s="440"/>
      <c r="B604" s="441"/>
      <c r="C604" s="442"/>
      <c r="D604" s="443"/>
      <c r="E604" s="433"/>
      <c r="F604" s="433"/>
      <c r="G604" s="433"/>
      <c r="H604" s="433"/>
      <c r="I604" s="433"/>
      <c r="J604" s="433"/>
      <c r="K604" s="433"/>
      <c r="L604" s="433"/>
      <c r="M604" s="433"/>
      <c r="N604" s="433"/>
      <c r="O604" s="433"/>
      <c r="P604" s="433"/>
      <c r="Q604" s="433"/>
      <c r="R604" s="433"/>
      <c r="S604" s="433"/>
      <c r="T604" s="433"/>
      <c r="U604" s="433"/>
      <c r="V604" s="433"/>
      <c r="W604" s="433"/>
      <c r="X604" s="433"/>
      <c r="Y604" s="433"/>
      <c r="Z604" s="433"/>
    </row>
    <row r="605">
      <c r="A605" s="440"/>
      <c r="B605" s="441"/>
      <c r="C605" s="442"/>
      <c r="D605" s="443"/>
      <c r="E605" s="433"/>
      <c r="F605" s="433"/>
      <c r="G605" s="433"/>
      <c r="H605" s="433"/>
      <c r="I605" s="433"/>
      <c r="J605" s="433"/>
      <c r="K605" s="433"/>
      <c r="L605" s="433"/>
      <c r="M605" s="433"/>
      <c r="N605" s="433"/>
      <c r="O605" s="433"/>
      <c r="P605" s="433"/>
      <c r="Q605" s="433"/>
      <c r="R605" s="433"/>
      <c r="S605" s="433"/>
      <c r="T605" s="433"/>
      <c r="U605" s="433"/>
      <c r="V605" s="433"/>
      <c r="W605" s="433"/>
      <c r="X605" s="433"/>
      <c r="Y605" s="433"/>
      <c r="Z605" s="433"/>
    </row>
    <row r="606">
      <c r="A606" s="440"/>
      <c r="B606" s="441"/>
      <c r="C606" s="442"/>
      <c r="D606" s="443"/>
      <c r="E606" s="433"/>
      <c r="F606" s="433"/>
      <c r="G606" s="433"/>
      <c r="H606" s="433"/>
      <c r="I606" s="433"/>
      <c r="J606" s="433"/>
      <c r="K606" s="433"/>
      <c r="L606" s="433"/>
      <c r="M606" s="433"/>
      <c r="N606" s="433"/>
      <c r="O606" s="433"/>
      <c r="P606" s="433"/>
      <c r="Q606" s="433"/>
      <c r="R606" s="433"/>
      <c r="S606" s="433"/>
      <c r="T606" s="433"/>
      <c r="U606" s="433"/>
      <c r="V606" s="433"/>
      <c r="W606" s="433"/>
      <c r="X606" s="433"/>
      <c r="Y606" s="433"/>
      <c r="Z606" s="433"/>
    </row>
    <row r="607">
      <c r="A607" s="440"/>
      <c r="B607" s="441"/>
      <c r="C607" s="442"/>
      <c r="D607" s="443"/>
      <c r="E607" s="433"/>
      <c r="F607" s="433"/>
      <c r="G607" s="433"/>
      <c r="H607" s="433"/>
      <c r="I607" s="433"/>
      <c r="J607" s="433"/>
      <c r="K607" s="433"/>
      <c r="L607" s="433"/>
      <c r="M607" s="433"/>
      <c r="N607" s="433"/>
      <c r="O607" s="433"/>
      <c r="P607" s="433"/>
      <c r="Q607" s="433"/>
      <c r="R607" s="433"/>
      <c r="S607" s="433"/>
      <c r="T607" s="433"/>
      <c r="U607" s="433"/>
      <c r="V607" s="433"/>
      <c r="W607" s="433"/>
      <c r="X607" s="433"/>
      <c r="Y607" s="433"/>
      <c r="Z607" s="433"/>
    </row>
    <row r="608">
      <c r="A608" s="440"/>
      <c r="B608" s="441"/>
      <c r="C608" s="442"/>
      <c r="D608" s="443"/>
      <c r="E608" s="433"/>
      <c r="F608" s="433"/>
      <c r="G608" s="433"/>
      <c r="H608" s="433"/>
      <c r="I608" s="433"/>
      <c r="J608" s="433"/>
      <c r="K608" s="433"/>
      <c r="L608" s="433"/>
      <c r="M608" s="433"/>
      <c r="N608" s="433"/>
      <c r="O608" s="433"/>
      <c r="P608" s="433"/>
      <c r="Q608" s="433"/>
      <c r="R608" s="433"/>
      <c r="S608" s="433"/>
      <c r="T608" s="433"/>
      <c r="U608" s="433"/>
      <c r="V608" s="433"/>
      <c r="W608" s="433"/>
      <c r="X608" s="433"/>
      <c r="Y608" s="433"/>
      <c r="Z608" s="433"/>
    </row>
    <row r="609">
      <c r="A609" s="440"/>
      <c r="B609" s="441"/>
      <c r="C609" s="442"/>
      <c r="D609" s="443"/>
      <c r="E609" s="433"/>
      <c r="F609" s="433"/>
      <c r="G609" s="433"/>
      <c r="H609" s="433"/>
      <c r="I609" s="433"/>
      <c r="J609" s="433"/>
      <c r="K609" s="433"/>
      <c r="L609" s="433"/>
      <c r="M609" s="433"/>
      <c r="N609" s="433"/>
      <c r="O609" s="433"/>
      <c r="P609" s="433"/>
      <c r="Q609" s="433"/>
      <c r="R609" s="433"/>
      <c r="S609" s="433"/>
      <c r="T609" s="433"/>
      <c r="U609" s="433"/>
      <c r="V609" s="433"/>
      <c r="W609" s="433"/>
      <c r="X609" s="433"/>
      <c r="Y609" s="433"/>
      <c r="Z609" s="433"/>
    </row>
    <row r="610">
      <c r="A610" s="440"/>
      <c r="B610" s="441"/>
      <c r="C610" s="442"/>
      <c r="D610" s="443"/>
      <c r="E610" s="433"/>
      <c r="F610" s="433"/>
      <c r="G610" s="433"/>
      <c r="H610" s="433"/>
      <c r="I610" s="433"/>
      <c r="J610" s="433"/>
      <c r="K610" s="433"/>
      <c r="L610" s="433"/>
      <c r="M610" s="433"/>
      <c r="N610" s="433"/>
      <c r="O610" s="433"/>
      <c r="P610" s="433"/>
      <c r="Q610" s="433"/>
      <c r="R610" s="433"/>
      <c r="S610" s="433"/>
      <c r="T610" s="433"/>
      <c r="U610" s="433"/>
      <c r="V610" s="433"/>
      <c r="W610" s="433"/>
      <c r="X610" s="433"/>
      <c r="Y610" s="433"/>
      <c r="Z610" s="433"/>
    </row>
    <row r="611">
      <c r="A611" s="440"/>
      <c r="B611" s="441"/>
      <c r="C611" s="442"/>
      <c r="D611" s="443"/>
      <c r="E611" s="433"/>
      <c r="F611" s="433"/>
      <c r="G611" s="433"/>
      <c r="H611" s="433"/>
      <c r="I611" s="433"/>
      <c r="J611" s="433"/>
      <c r="K611" s="433"/>
      <c r="L611" s="433"/>
      <c r="M611" s="433"/>
      <c r="N611" s="433"/>
      <c r="O611" s="433"/>
      <c r="P611" s="433"/>
      <c r="Q611" s="433"/>
      <c r="R611" s="433"/>
      <c r="S611" s="433"/>
      <c r="T611" s="433"/>
      <c r="U611" s="433"/>
      <c r="V611" s="433"/>
      <c r="W611" s="433"/>
      <c r="X611" s="433"/>
      <c r="Y611" s="433"/>
      <c r="Z611" s="433"/>
    </row>
    <row r="612">
      <c r="A612" s="440"/>
      <c r="B612" s="441"/>
      <c r="C612" s="442"/>
      <c r="D612" s="443"/>
      <c r="E612" s="433"/>
      <c r="F612" s="433"/>
      <c r="G612" s="433"/>
      <c r="H612" s="433"/>
      <c r="I612" s="433"/>
      <c r="J612" s="433"/>
      <c r="K612" s="433"/>
      <c r="L612" s="433"/>
      <c r="M612" s="433"/>
      <c r="N612" s="433"/>
      <c r="O612" s="433"/>
      <c r="P612" s="433"/>
      <c r="Q612" s="433"/>
      <c r="R612" s="433"/>
      <c r="S612" s="433"/>
      <c r="T612" s="433"/>
      <c r="U612" s="433"/>
      <c r="V612" s="433"/>
      <c r="W612" s="433"/>
      <c r="X612" s="433"/>
      <c r="Y612" s="433"/>
      <c r="Z612" s="433"/>
    </row>
    <row r="613">
      <c r="A613" s="440"/>
      <c r="B613" s="441"/>
      <c r="C613" s="442"/>
      <c r="D613" s="443"/>
      <c r="E613" s="433"/>
      <c r="F613" s="433"/>
      <c r="G613" s="433"/>
      <c r="H613" s="433"/>
      <c r="I613" s="433"/>
      <c r="J613" s="433"/>
      <c r="K613" s="433"/>
      <c r="L613" s="433"/>
      <c r="M613" s="433"/>
      <c r="N613" s="433"/>
      <c r="O613" s="433"/>
      <c r="P613" s="433"/>
      <c r="Q613" s="433"/>
      <c r="R613" s="433"/>
      <c r="S613" s="433"/>
      <c r="T613" s="433"/>
      <c r="U613" s="433"/>
      <c r="V613" s="433"/>
      <c r="W613" s="433"/>
      <c r="X613" s="433"/>
      <c r="Y613" s="433"/>
      <c r="Z613" s="433"/>
    </row>
    <row r="614">
      <c r="A614" s="440"/>
      <c r="B614" s="441"/>
      <c r="C614" s="442"/>
      <c r="D614" s="443"/>
      <c r="E614" s="433"/>
      <c r="F614" s="433"/>
      <c r="G614" s="433"/>
      <c r="H614" s="433"/>
      <c r="I614" s="433"/>
      <c r="J614" s="433"/>
      <c r="K614" s="433"/>
      <c r="L614" s="433"/>
      <c r="M614" s="433"/>
      <c r="N614" s="433"/>
      <c r="O614" s="433"/>
      <c r="P614" s="433"/>
      <c r="Q614" s="433"/>
      <c r="R614" s="433"/>
      <c r="S614" s="433"/>
      <c r="T614" s="433"/>
      <c r="U614" s="433"/>
      <c r="V614" s="433"/>
      <c r="W614" s="433"/>
      <c r="X614" s="433"/>
      <c r="Y614" s="433"/>
      <c r="Z614" s="433"/>
    </row>
    <row r="615">
      <c r="A615" s="440"/>
      <c r="B615" s="441"/>
      <c r="C615" s="442"/>
      <c r="D615" s="443"/>
      <c r="E615" s="433"/>
      <c r="F615" s="433"/>
      <c r="G615" s="433"/>
      <c r="H615" s="433"/>
      <c r="I615" s="433"/>
      <c r="J615" s="433"/>
      <c r="K615" s="433"/>
      <c r="L615" s="433"/>
      <c r="M615" s="433"/>
      <c r="N615" s="433"/>
      <c r="O615" s="433"/>
      <c r="P615" s="433"/>
      <c r="Q615" s="433"/>
      <c r="R615" s="433"/>
      <c r="S615" s="433"/>
      <c r="T615" s="433"/>
      <c r="U615" s="433"/>
      <c r="V615" s="433"/>
      <c r="W615" s="433"/>
      <c r="X615" s="433"/>
      <c r="Y615" s="433"/>
      <c r="Z615" s="433"/>
    </row>
    <row r="616">
      <c r="A616" s="440"/>
      <c r="B616" s="441"/>
      <c r="C616" s="442"/>
      <c r="D616" s="443"/>
      <c r="E616" s="433"/>
      <c r="F616" s="433"/>
      <c r="G616" s="433"/>
      <c r="H616" s="433"/>
      <c r="I616" s="433"/>
      <c r="J616" s="433"/>
      <c r="K616" s="433"/>
      <c r="L616" s="433"/>
      <c r="M616" s="433"/>
      <c r="N616" s="433"/>
      <c r="O616" s="433"/>
      <c r="P616" s="433"/>
      <c r="Q616" s="433"/>
      <c r="R616" s="433"/>
      <c r="S616" s="433"/>
      <c r="T616" s="433"/>
      <c r="U616" s="433"/>
      <c r="V616" s="433"/>
      <c r="W616" s="433"/>
      <c r="X616" s="433"/>
      <c r="Y616" s="433"/>
      <c r="Z616" s="433"/>
    </row>
    <row r="617">
      <c r="A617" s="440"/>
      <c r="B617" s="441"/>
      <c r="C617" s="442"/>
      <c r="D617" s="443"/>
      <c r="E617" s="433"/>
      <c r="F617" s="433"/>
      <c r="G617" s="433"/>
      <c r="H617" s="433"/>
      <c r="I617" s="433"/>
      <c r="J617" s="433"/>
      <c r="K617" s="433"/>
      <c r="L617" s="433"/>
      <c r="M617" s="433"/>
      <c r="N617" s="433"/>
      <c r="O617" s="433"/>
      <c r="P617" s="433"/>
      <c r="Q617" s="433"/>
      <c r="R617" s="433"/>
      <c r="S617" s="433"/>
      <c r="T617" s="433"/>
      <c r="U617" s="433"/>
      <c r="V617" s="433"/>
      <c r="W617" s="433"/>
      <c r="X617" s="433"/>
      <c r="Y617" s="433"/>
      <c r="Z617" s="433"/>
    </row>
    <row r="618">
      <c r="A618" s="440"/>
      <c r="B618" s="441"/>
      <c r="C618" s="442"/>
      <c r="D618" s="443"/>
      <c r="E618" s="433"/>
      <c r="F618" s="433"/>
      <c r="G618" s="433"/>
      <c r="H618" s="433"/>
      <c r="I618" s="433"/>
      <c r="J618" s="433"/>
      <c r="K618" s="433"/>
      <c r="L618" s="433"/>
      <c r="M618" s="433"/>
      <c r="N618" s="433"/>
      <c r="O618" s="433"/>
      <c r="P618" s="433"/>
      <c r="Q618" s="433"/>
      <c r="R618" s="433"/>
      <c r="S618" s="433"/>
      <c r="T618" s="433"/>
      <c r="U618" s="433"/>
      <c r="V618" s="433"/>
      <c r="W618" s="433"/>
      <c r="X618" s="433"/>
      <c r="Y618" s="433"/>
      <c r="Z618" s="433"/>
    </row>
    <row r="619">
      <c r="A619" s="440"/>
      <c r="B619" s="441"/>
      <c r="C619" s="442"/>
      <c r="D619" s="443"/>
      <c r="E619" s="433"/>
      <c r="F619" s="433"/>
      <c r="G619" s="433"/>
      <c r="H619" s="433"/>
      <c r="I619" s="433"/>
      <c r="J619" s="433"/>
      <c r="K619" s="433"/>
      <c r="L619" s="433"/>
      <c r="M619" s="433"/>
      <c r="N619" s="433"/>
      <c r="O619" s="433"/>
      <c r="P619" s="433"/>
      <c r="Q619" s="433"/>
      <c r="R619" s="433"/>
      <c r="S619" s="433"/>
      <c r="T619" s="433"/>
      <c r="U619" s="433"/>
      <c r="V619" s="433"/>
      <c r="W619" s="433"/>
      <c r="X619" s="433"/>
      <c r="Y619" s="433"/>
      <c r="Z619" s="433"/>
    </row>
    <row r="620">
      <c r="A620" s="440"/>
      <c r="B620" s="441"/>
      <c r="C620" s="442"/>
      <c r="D620" s="443"/>
      <c r="E620" s="433"/>
      <c r="F620" s="433"/>
      <c r="G620" s="433"/>
      <c r="H620" s="433"/>
      <c r="I620" s="433"/>
      <c r="J620" s="433"/>
      <c r="K620" s="433"/>
      <c r="L620" s="433"/>
      <c r="M620" s="433"/>
      <c r="N620" s="433"/>
      <c r="O620" s="433"/>
      <c r="P620" s="433"/>
      <c r="Q620" s="433"/>
      <c r="R620" s="433"/>
      <c r="S620" s="433"/>
      <c r="T620" s="433"/>
      <c r="U620" s="433"/>
      <c r="V620" s="433"/>
      <c r="W620" s="433"/>
      <c r="X620" s="433"/>
      <c r="Y620" s="433"/>
      <c r="Z620" s="433"/>
    </row>
    <row r="621">
      <c r="A621" s="440"/>
      <c r="B621" s="441"/>
      <c r="C621" s="442"/>
      <c r="D621" s="443"/>
      <c r="E621" s="433"/>
      <c r="F621" s="433"/>
      <c r="G621" s="433"/>
      <c r="H621" s="433"/>
      <c r="I621" s="433"/>
      <c r="J621" s="433"/>
      <c r="K621" s="433"/>
      <c r="L621" s="433"/>
      <c r="M621" s="433"/>
      <c r="N621" s="433"/>
      <c r="O621" s="433"/>
      <c r="P621" s="433"/>
      <c r="Q621" s="433"/>
      <c r="R621" s="433"/>
      <c r="S621" s="433"/>
      <c r="T621" s="433"/>
      <c r="U621" s="433"/>
      <c r="V621" s="433"/>
      <c r="W621" s="433"/>
      <c r="X621" s="433"/>
      <c r="Y621" s="433"/>
      <c r="Z621" s="433"/>
    </row>
    <row r="622">
      <c r="A622" s="440"/>
      <c r="B622" s="441"/>
      <c r="C622" s="442"/>
      <c r="D622" s="443"/>
      <c r="E622" s="433"/>
      <c r="F622" s="433"/>
      <c r="G622" s="433"/>
      <c r="H622" s="433"/>
      <c r="I622" s="433"/>
      <c r="J622" s="433"/>
      <c r="K622" s="433"/>
      <c r="L622" s="433"/>
      <c r="M622" s="433"/>
      <c r="N622" s="433"/>
      <c r="O622" s="433"/>
      <c r="P622" s="433"/>
      <c r="Q622" s="433"/>
      <c r="R622" s="433"/>
      <c r="S622" s="433"/>
      <c r="T622" s="433"/>
      <c r="U622" s="433"/>
      <c r="V622" s="433"/>
      <c r="W622" s="433"/>
      <c r="X622" s="433"/>
      <c r="Y622" s="433"/>
      <c r="Z622" s="433"/>
    </row>
    <row r="623">
      <c r="A623" s="440"/>
      <c r="B623" s="441"/>
      <c r="C623" s="442"/>
      <c r="D623" s="443"/>
      <c r="E623" s="433"/>
      <c r="F623" s="433"/>
      <c r="G623" s="433"/>
      <c r="H623" s="433"/>
      <c r="I623" s="433"/>
      <c r="J623" s="433"/>
      <c r="K623" s="433"/>
      <c r="L623" s="433"/>
      <c r="M623" s="433"/>
      <c r="N623" s="433"/>
      <c r="O623" s="433"/>
      <c r="P623" s="433"/>
      <c r="Q623" s="433"/>
      <c r="R623" s="433"/>
      <c r="S623" s="433"/>
      <c r="T623" s="433"/>
      <c r="U623" s="433"/>
      <c r="V623" s="433"/>
      <c r="W623" s="433"/>
      <c r="X623" s="433"/>
      <c r="Y623" s="433"/>
      <c r="Z623" s="433"/>
    </row>
    <row r="624">
      <c r="A624" s="440"/>
      <c r="B624" s="441"/>
      <c r="C624" s="442"/>
      <c r="D624" s="443"/>
      <c r="E624" s="433"/>
      <c r="F624" s="433"/>
      <c r="G624" s="433"/>
      <c r="H624" s="433"/>
      <c r="I624" s="433"/>
      <c r="J624" s="433"/>
      <c r="K624" s="433"/>
      <c r="L624" s="433"/>
      <c r="M624" s="433"/>
      <c r="N624" s="433"/>
      <c r="O624" s="433"/>
      <c r="P624" s="433"/>
      <c r="Q624" s="433"/>
      <c r="R624" s="433"/>
      <c r="S624" s="433"/>
      <c r="T624" s="433"/>
      <c r="U624" s="433"/>
      <c r="V624" s="433"/>
      <c r="W624" s="433"/>
      <c r="X624" s="433"/>
      <c r="Y624" s="433"/>
      <c r="Z624" s="433"/>
    </row>
    <row r="625">
      <c r="A625" s="440"/>
      <c r="B625" s="441"/>
      <c r="C625" s="442"/>
      <c r="D625" s="443"/>
      <c r="E625" s="433"/>
      <c r="F625" s="433"/>
      <c r="G625" s="433"/>
      <c r="H625" s="433"/>
      <c r="I625" s="433"/>
      <c r="J625" s="433"/>
      <c r="K625" s="433"/>
      <c r="L625" s="433"/>
      <c r="M625" s="433"/>
      <c r="N625" s="433"/>
      <c r="O625" s="433"/>
      <c r="P625" s="433"/>
      <c r="Q625" s="433"/>
      <c r="R625" s="433"/>
      <c r="S625" s="433"/>
      <c r="T625" s="433"/>
      <c r="U625" s="433"/>
      <c r="V625" s="433"/>
      <c r="W625" s="433"/>
      <c r="X625" s="433"/>
      <c r="Y625" s="433"/>
      <c r="Z625" s="433"/>
    </row>
    <row r="626">
      <c r="A626" s="440"/>
      <c r="B626" s="441"/>
      <c r="C626" s="442"/>
      <c r="D626" s="443"/>
      <c r="E626" s="433"/>
      <c r="F626" s="433"/>
      <c r="G626" s="433"/>
      <c r="H626" s="433"/>
      <c r="I626" s="433"/>
      <c r="J626" s="433"/>
      <c r="K626" s="433"/>
      <c r="L626" s="433"/>
      <c r="M626" s="433"/>
      <c r="N626" s="433"/>
      <c r="O626" s="433"/>
      <c r="P626" s="433"/>
      <c r="Q626" s="433"/>
      <c r="R626" s="433"/>
      <c r="S626" s="433"/>
      <c r="T626" s="433"/>
      <c r="U626" s="433"/>
      <c r="V626" s="433"/>
      <c r="W626" s="433"/>
      <c r="X626" s="433"/>
      <c r="Y626" s="433"/>
      <c r="Z626" s="433"/>
    </row>
    <row r="627">
      <c r="A627" s="440"/>
      <c r="B627" s="441"/>
      <c r="C627" s="442"/>
      <c r="D627" s="443"/>
      <c r="E627" s="433"/>
      <c r="F627" s="433"/>
      <c r="G627" s="433"/>
      <c r="H627" s="433"/>
      <c r="I627" s="433"/>
      <c r="J627" s="433"/>
      <c r="K627" s="433"/>
      <c r="L627" s="433"/>
      <c r="M627" s="433"/>
      <c r="N627" s="433"/>
      <c r="O627" s="433"/>
      <c r="P627" s="433"/>
      <c r="Q627" s="433"/>
      <c r="R627" s="433"/>
      <c r="S627" s="433"/>
      <c r="T627" s="433"/>
      <c r="U627" s="433"/>
      <c r="V627" s="433"/>
      <c r="W627" s="433"/>
      <c r="X627" s="433"/>
      <c r="Y627" s="433"/>
      <c r="Z627" s="433"/>
    </row>
    <row r="628">
      <c r="A628" s="440"/>
      <c r="B628" s="441"/>
      <c r="C628" s="442"/>
      <c r="D628" s="443"/>
      <c r="E628" s="433"/>
      <c r="F628" s="433"/>
      <c r="G628" s="433"/>
      <c r="H628" s="433"/>
      <c r="I628" s="433"/>
      <c r="J628" s="433"/>
      <c r="K628" s="433"/>
      <c r="L628" s="433"/>
      <c r="M628" s="433"/>
      <c r="N628" s="433"/>
      <c r="O628" s="433"/>
      <c r="P628" s="433"/>
      <c r="Q628" s="433"/>
      <c r="R628" s="433"/>
      <c r="S628" s="433"/>
      <c r="T628" s="433"/>
      <c r="U628" s="433"/>
      <c r="V628" s="433"/>
      <c r="W628" s="433"/>
      <c r="X628" s="433"/>
      <c r="Y628" s="433"/>
      <c r="Z628" s="433"/>
    </row>
    <row r="629">
      <c r="A629" s="440"/>
      <c r="B629" s="441"/>
      <c r="C629" s="442"/>
      <c r="D629" s="443"/>
      <c r="E629" s="433"/>
      <c r="F629" s="433"/>
      <c r="G629" s="433"/>
      <c r="H629" s="433"/>
      <c r="I629" s="433"/>
      <c r="J629" s="433"/>
      <c r="K629" s="433"/>
      <c r="L629" s="433"/>
      <c r="M629" s="433"/>
      <c r="N629" s="433"/>
      <c r="O629" s="433"/>
      <c r="P629" s="433"/>
      <c r="Q629" s="433"/>
      <c r="R629" s="433"/>
      <c r="S629" s="433"/>
      <c r="T629" s="433"/>
      <c r="U629" s="433"/>
      <c r="V629" s="433"/>
      <c r="W629" s="433"/>
      <c r="X629" s="433"/>
      <c r="Y629" s="433"/>
      <c r="Z629" s="433"/>
    </row>
    <row r="630">
      <c r="A630" s="440"/>
      <c r="B630" s="441"/>
      <c r="C630" s="442"/>
      <c r="D630" s="443"/>
      <c r="E630" s="433"/>
      <c r="F630" s="433"/>
      <c r="G630" s="433"/>
      <c r="H630" s="433"/>
      <c r="I630" s="433"/>
      <c r="J630" s="433"/>
      <c r="K630" s="433"/>
      <c r="L630" s="433"/>
      <c r="M630" s="433"/>
      <c r="N630" s="433"/>
      <c r="O630" s="433"/>
      <c r="P630" s="433"/>
      <c r="Q630" s="433"/>
      <c r="R630" s="433"/>
      <c r="S630" s="433"/>
      <c r="T630" s="433"/>
      <c r="U630" s="433"/>
      <c r="V630" s="433"/>
      <c r="W630" s="433"/>
      <c r="X630" s="433"/>
      <c r="Y630" s="433"/>
      <c r="Z630" s="433"/>
    </row>
    <row r="631">
      <c r="A631" s="440"/>
      <c r="B631" s="441"/>
      <c r="C631" s="442"/>
      <c r="D631" s="443"/>
      <c r="E631" s="433"/>
      <c r="F631" s="433"/>
      <c r="G631" s="433"/>
      <c r="H631" s="433"/>
      <c r="I631" s="433"/>
      <c r="J631" s="433"/>
      <c r="K631" s="433"/>
      <c r="L631" s="433"/>
      <c r="M631" s="433"/>
      <c r="N631" s="433"/>
      <c r="O631" s="433"/>
      <c r="P631" s="433"/>
      <c r="Q631" s="433"/>
      <c r="R631" s="433"/>
      <c r="S631" s="433"/>
      <c r="T631" s="433"/>
      <c r="U631" s="433"/>
      <c r="V631" s="433"/>
      <c r="W631" s="433"/>
      <c r="X631" s="433"/>
      <c r="Y631" s="433"/>
      <c r="Z631" s="433"/>
    </row>
    <row r="632">
      <c r="A632" s="440"/>
      <c r="B632" s="441"/>
      <c r="C632" s="442"/>
      <c r="D632" s="443"/>
      <c r="E632" s="433"/>
      <c r="F632" s="433"/>
      <c r="G632" s="433"/>
      <c r="H632" s="433"/>
      <c r="I632" s="433"/>
      <c r="J632" s="433"/>
      <c r="K632" s="433"/>
      <c r="L632" s="433"/>
      <c r="M632" s="433"/>
      <c r="N632" s="433"/>
      <c r="O632" s="433"/>
      <c r="P632" s="433"/>
      <c r="Q632" s="433"/>
      <c r="R632" s="433"/>
      <c r="S632" s="433"/>
      <c r="T632" s="433"/>
      <c r="U632" s="433"/>
      <c r="V632" s="433"/>
      <c r="W632" s="433"/>
      <c r="X632" s="433"/>
      <c r="Y632" s="433"/>
      <c r="Z632" s="433"/>
    </row>
    <row r="633">
      <c r="A633" s="440"/>
      <c r="B633" s="441"/>
      <c r="C633" s="442"/>
      <c r="D633" s="443"/>
      <c r="E633" s="433"/>
      <c r="F633" s="433"/>
      <c r="G633" s="433"/>
      <c r="H633" s="433"/>
      <c r="I633" s="433"/>
      <c r="J633" s="433"/>
      <c r="K633" s="433"/>
      <c r="L633" s="433"/>
      <c r="M633" s="433"/>
      <c r="N633" s="433"/>
      <c r="O633" s="433"/>
      <c r="P633" s="433"/>
      <c r="Q633" s="433"/>
      <c r="R633" s="433"/>
      <c r="S633" s="433"/>
      <c r="T633" s="433"/>
      <c r="U633" s="433"/>
      <c r="V633" s="433"/>
      <c r="W633" s="433"/>
      <c r="X633" s="433"/>
      <c r="Y633" s="433"/>
      <c r="Z633" s="433"/>
    </row>
    <row r="634">
      <c r="A634" s="440"/>
      <c r="B634" s="441"/>
      <c r="C634" s="442"/>
      <c r="D634" s="443"/>
      <c r="E634" s="433"/>
      <c r="F634" s="433"/>
      <c r="G634" s="433"/>
      <c r="H634" s="433"/>
      <c r="I634" s="433"/>
      <c r="J634" s="433"/>
      <c r="K634" s="433"/>
      <c r="L634" s="433"/>
      <c r="M634" s="433"/>
      <c r="N634" s="433"/>
      <c r="O634" s="433"/>
      <c r="P634" s="433"/>
      <c r="Q634" s="433"/>
      <c r="R634" s="433"/>
      <c r="S634" s="433"/>
      <c r="T634" s="433"/>
      <c r="U634" s="433"/>
      <c r="V634" s="433"/>
      <c r="W634" s="433"/>
      <c r="X634" s="433"/>
      <c r="Y634" s="433"/>
      <c r="Z634" s="433"/>
    </row>
    <row r="635">
      <c r="A635" s="440"/>
      <c r="B635" s="441"/>
      <c r="C635" s="442"/>
      <c r="D635" s="443"/>
      <c r="E635" s="433"/>
      <c r="F635" s="433"/>
      <c r="G635" s="433"/>
      <c r="H635" s="433"/>
      <c r="I635" s="433"/>
      <c r="J635" s="433"/>
      <c r="K635" s="433"/>
      <c r="L635" s="433"/>
      <c r="M635" s="433"/>
      <c r="N635" s="433"/>
      <c r="O635" s="433"/>
      <c r="P635" s="433"/>
      <c r="Q635" s="433"/>
      <c r="R635" s="433"/>
      <c r="S635" s="433"/>
      <c r="T635" s="433"/>
      <c r="U635" s="433"/>
      <c r="V635" s="433"/>
      <c r="W635" s="433"/>
      <c r="X635" s="433"/>
      <c r="Y635" s="433"/>
      <c r="Z635" s="433"/>
    </row>
    <row r="636">
      <c r="A636" s="440"/>
      <c r="B636" s="441"/>
      <c r="C636" s="442"/>
      <c r="D636" s="443"/>
      <c r="E636" s="433"/>
      <c r="F636" s="433"/>
      <c r="G636" s="433"/>
      <c r="H636" s="433"/>
      <c r="I636" s="433"/>
      <c r="J636" s="433"/>
      <c r="K636" s="433"/>
      <c r="L636" s="433"/>
      <c r="M636" s="433"/>
      <c r="N636" s="433"/>
      <c r="O636" s="433"/>
      <c r="P636" s="433"/>
      <c r="Q636" s="433"/>
      <c r="R636" s="433"/>
      <c r="S636" s="433"/>
      <c r="T636" s="433"/>
      <c r="U636" s="433"/>
      <c r="V636" s="433"/>
      <c r="W636" s="433"/>
      <c r="X636" s="433"/>
      <c r="Y636" s="433"/>
      <c r="Z636" s="433"/>
    </row>
    <row r="637">
      <c r="A637" s="440"/>
      <c r="B637" s="441"/>
      <c r="C637" s="442"/>
      <c r="D637" s="443"/>
      <c r="E637" s="433"/>
      <c r="F637" s="433"/>
      <c r="G637" s="433"/>
      <c r="H637" s="433"/>
      <c r="I637" s="433"/>
      <c r="J637" s="433"/>
      <c r="K637" s="433"/>
      <c r="L637" s="433"/>
      <c r="M637" s="433"/>
      <c r="N637" s="433"/>
      <c r="O637" s="433"/>
      <c r="P637" s="433"/>
      <c r="Q637" s="433"/>
      <c r="R637" s="433"/>
      <c r="S637" s="433"/>
      <c r="T637" s="433"/>
      <c r="U637" s="433"/>
      <c r="V637" s="433"/>
      <c r="W637" s="433"/>
      <c r="X637" s="433"/>
      <c r="Y637" s="433"/>
      <c r="Z637" s="433"/>
    </row>
    <row r="638">
      <c r="A638" s="440"/>
      <c r="B638" s="441"/>
      <c r="C638" s="442"/>
      <c r="D638" s="443"/>
      <c r="E638" s="433"/>
      <c r="F638" s="433"/>
      <c r="G638" s="433"/>
      <c r="H638" s="433"/>
      <c r="I638" s="433"/>
      <c r="J638" s="433"/>
      <c r="K638" s="433"/>
      <c r="L638" s="433"/>
      <c r="M638" s="433"/>
      <c r="N638" s="433"/>
      <c r="O638" s="433"/>
      <c r="P638" s="433"/>
      <c r="Q638" s="433"/>
      <c r="R638" s="433"/>
      <c r="S638" s="433"/>
      <c r="T638" s="433"/>
      <c r="U638" s="433"/>
      <c r="V638" s="433"/>
      <c r="W638" s="433"/>
      <c r="X638" s="433"/>
      <c r="Y638" s="433"/>
      <c r="Z638" s="433"/>
    </row>
    <row r="639">
      <c r="A639" s="440"/>
      <c r="B639" s="441"/>
      <c r="C639" s="442"/>
      <c r="D639" s="443"/>
      <c r="E639" s="433"/>
      <c r="F639" s="433"/>
      <c r="G639" s="433"/>
      <c r="H639" s="433"/>
      <c r="I639" s="433"/>
      <c r="J639" s="433"/>
      <c r="K639" s="433"/>
      <c r="L639" s="433"/>
      <c r="M639" s="433"/>
      <c r="N639" s="433"/>
      <c r="O639" s="433"/>
      <c r="P639" s="433"/>
      <c r="Q639" s="433"/>
      <c r="R639" s="433"/>
      <c r="S639" s="433"/>
      <c r="T639" s="433"/>
      <c r="U639" s="433"/>
      <c r="V639" s="433"/>
      <c r="W639" s="433"/>
      <c r="X639" s="433"/>
      <c r="Y639" s="433"/>
      <c r="Z639" s="433"/>
    </row>
    <row r="640">
      <c r="A640" s="440"/>
      <c r="B640" s="441"/>
      <c r="C640" s="442"/>
      <c r="D640" s="443"/>
      <c r="E640" s="433"/>
      <c r="F640" s="433"/>
      <c r="G640" s="433"/>
      <c r="H640" s="433"/>
      <c r="I640" s="433"/>
      <c r="J640" s="433"/>
      <c r="K640" s="433"/>
      <c r="L640" s="433"/>
      <c r="M640" s="433"/>
      <c r="N640" s="433"/>
      <c r="O640" s="433"/>
      <c r="P640" s="433"/>
      <c r="Q640" s="433"/>
      <c r="R640" s="433"/>
      <c r="S640" s="433"/>
      <c r="T640" s="433"/>
      <c r="U640" s="433"/>
      <c r="V640" s="433"/>
      <c r="W640" s="433"/>
      <c r="X640" s="433"/>
      <c r="Y640" s="433"/>
      <c r="Z640" s="433"/>
    </row>
    <row r="641">
      <c r="A641" s="440"/>
      <c r="B641" s="441"/>
      <c r="C641" s="442"/>
      <c r="D641" s="443"/>
      <c r="E641" s="433"/>
      <c r="F641" s="433"/>
      <c r="G641" s="433"/>
      <c r="H641" s="433"/>
      <c r="I641" s="433"/>
      <c r="J641" s="433"/>
      <c r="K641" s="433"/>
      <c r="L641" s="433"/>
      <c r="M641" s="433"/>
      <c r="N641" s="433"/>
      <c r="O641" s="433"/>
      <c r="P641" s="433"/>
      <c r="Q641" s="433"/>
      <c r="R641" s="433"/>
      <c r="S641" s="433"/>
      <c r="T641" s="433"/>
      <c r="U641" s="433"/>
      <c r="V641" s="433"/>
      <c r="W641" s="433"/>
      <c r="X641" s="433"/>
      <c r="Y641" s="433"/>
      <c r="Z641" s="433"/>
    </row>
    <row r="642">
      <c r="A642" s="440"/>
      <c r="B642" s="441"/>
      <c r="C642" s="442"/>
      <c r="D642" s="443"/>
      <c r="E642" s="433"/>
      <c r="F642" s="433"/>
      <c r="G642" s="433"/>
      <c r="H642" s="433"/>
      <c r="I642" s="433"/>
      <c r="J642" s="433"/>
      <c r="K642" s="433"/>
      <c r="L642" s="433"/>
      <c r="M642" s="433"/>
      <c r="N642" s="433"/>
      <c r="O642" s="433"/>
      <c r="P642" s="433"/>
      <c r="Q642" s="433"/>
      <c r="R642" s="433"/>
      <c r="S642" s="433"/>
      <c r="T642" s="433"/>
      <c r="U642" s="433"/>
      <c r="V642" s="433"/>
      <c r="W642" s="433"/>
      <c r="X642" s="433"/>
      <c r="Y642" s="433"/>
      <c r="Z642" s="433"/>
    </row>
    <row r="643">
      <c r="A643" s="440"/>
      <c r="B643" s="441"/>
      <c r="C643" s="442"/>
      <c r="D643" s="443"/>
      <c r="E643" s="433"/>
      <c r="F643" s="433"/>
      <c r="G643" s="433"/>
      <c r="H643" s="433"/>
      <c r="I643" s="433"/>
      <c r="J643" s="433"/>
      <c r="K643" s="433"/>
      <c r="L643" s="433"/>
      <c r="M643" s="433"/>
      <c r="N643" s="433"/>
      <c r="O643" s="433"/>
      <c r="P643" s="433"/>
      <c r="Q643" s="433"/>
      <c r="R643" s="433"/>
      <c r="S643" s="433"/>
      <c r="T643" s="433"/>
      <c r="U643" s="433"/>
      <c r="V643" s="433"/>
      <c r="W643" s="433"/>
      <c r="X643" s="433"/>
      <c r="Y643" s="433"/>
      <c r="Z643" s="433"/>
    </row>
    <row r="644">
      <c r="A644" s="440"/>
      <c r="B644" s="441"/>
      <c r="C644" s="442"/>
      <c r="D644" s="443"/>
      <c r="E644" s="433"/>
      <c r="F644" s="433"/>
      <c r="G644" s="433"/>
      <c r="H644" s="433"/>
      <c r="I644" s="433"/>
      <c r="J644" s="433"/>
      <c r="K644" s="433"/>
      <c r="L644" s="433"/>
      <c r="M644" s="433"/>
      <c r="N644" s="433"/>
      <c r="O644" s="433"/>
      <c r="P644" s="433"/>
      <c r="Q644" s="433"/>
      <c r="R644" s="433"/>
      <c r="S644" s="433"/>
      <c r="T644" s="433"/>
      <c r="U644" s="433"/>
      <c r="V644" s="433"/>
      <c r="W644" s="433"/>
      <c r="X644" s="433"/>
      <c r="Y644" s="433"/>
      <c r="Z644" s="433"/>
    </row>
    <row r="645">
      <c r="A645" s="440"/>
      <c r="B645" s="441"/>
      <c r="C645" s="442"/>
      <c r="D645" s="443"/>
      <c r="E645" s="433"/>
      <c r="F645" s="433"/>
      <c r="G645" s="433"/>
      <c r="H645" s="433"/>
      <c r="I645" s="433"/>
      <c r="J645" s="433"/>
      <c r="K645" s="433"/>
      <c r="L645" s="433"/>
      <c r="M645" s="433"/>
      <c r="N645" s="433"/>
      <c r="O645" s="433"/>
      <c r="P645" s="433"/>
      <c r="Q645" s="433"/>
      <c r="R645" s="433"/>
      <c r="S645" s="433"/>
      <c r="T645" s="433"/>
      <c r="U645" s="433"/>
      <c r="V645" s="433"/>
      <c r="W645" s="433"/>
      <c r="X645" s="433"/>
      <c r="Y645" s="433"/>
      <c r="Z645" s="433"/>
    </row>
    <row r="646">
      <c r="A646" s="440"/>
      <c r="B646" s="441"/>
      <c r="C646" s="442"/>
      <c r="D646" s="443"/>
      <c r="E646" s="433"/>
      <c r="F646" s="433"/>
      <c r="G646" s="433"/>
      <c r="H646" s="433"/>
      <c r="I646" s="433"/>
      <c r="J646" s="433"/>
      <c r="K646" s="433"/>
      <c r="L646" s="433"/>
      <c r="M646" s="433"/>
      <c r="N646" s="433"/>
      <c r="O646" s="433"/>
      <c r="P646" s="433"/>
      <c r="Q646" s="433"/>
      <c r="R646" s="433"/>
      <c r="S646" s="433"/>
      <c r="T646" s="433"/>
      <c r="U646" s="433"/>
      <c r="V646" s="433"/>
      <c r="W646" s="433"/>
      <c r="X646" s="433"/>
      <c r="Y646" s="433"/>
      <c r="Z646" s="433"/>
    </row>
    <row r="647">
      <c r="A647" s="440"/>
      <c r="B647" s="441"/>
      <c r="C647" s="442"/>
      <c r="D647" s="443"/>
      <c r="E647" s="433"/>
      <c r="F647" s="433"/>
      <c r="G647" s="433"/>
      <c r="H647" s="433"/>
      <c r="I647" s="433"/>
      <c r="J647" s="433"/>
      <c r="K647" s="433"/>
      <c r="L647" s="433"/>
      <c r="M647" s="433"/>
      <c r="N647" s="433"/>
      <c r="O647" s="433"/>
      <c r="P647" s="433"/>
      <c r="Q647" s="433"/>
      <c r="R647" s="433"/>
      <c r="S647" s="433"/>
      <c r="T647" s="433"/>
      <c r="U647" s="433"/>
      <c r="V647" s="433"/>
      <c r="W647" s="433"/>
      <c r="X647" s="433"/>
      <c r="Y647" s="433"/>
      <c r="Z647" s="433"/>
    </row>
    <row r="648">
      <c r="A648" s="440"/>
      <c r="B648" s="441"/>
      <c r="C648" s="442"/>
      <c r="D648" s="443"/>
      <c r="E648" s="433"/>
      <c r="F648" s="433"/>
      <c r="G648" s="433"/>
      <c r="H648" s="433"/>
      <c r="I648" s="433"/>
      <c r="J648" s="433"/>
      <c r="K648" s="433"/>
      <c r="L648" s="433"/>
      <c r="M648" s="433"/>
      <c r="N648" s="433"/>
      <c r="O648" s="433"/>
      <c r="P648" s="433"/>
      <c r="Q648" s="433"/>
      <c r="R648" s="433"/>
      <c r="S648" s="433"/>
      <c r="T648" s="433"/>
      <c r="U648" s="433"/>
      <c r="V648" s="433"/>
      <c r="W648" s="433"/>
      <c r="X648" s="433"/>
      <c r="Y648" s="433"/>
      <c r="Z648" s="433"/>
    </row>
    <row r="649">
      <c r="A649" s="440"/>
      <c r="B649" s="441"/>
      <c r="C649" s="442"/>
      <c r="D649" s="443"/>
      <c r="E649" s="433"/>
      <c r="F649" s="433"/>
      <c r="G649" s="433"/>
      <c r="H649" s="433"/>
      <c r="I649" s="433"/>
      <c r="J649" s="433"/>
      <c r="K649" s="433"/>
      <c r="L649" s="433"/>
      <c r="M649" s="433"/>
      <c r="N649" s="433"/>
      <c r="O649" s="433"/>
      <c r="P649" s="433"/>
      <c r="Q649" s="433"/>
      <c r="R649" s="433"/>
      <c r="S649" s="433"/>
      <c r="T649" s="433"/>
      <c r="U649" s="433"/>
      <c r="V649" s="433"/>
      <c r="W649" s="433"/>
      <c r="X649" s="433"/>
      <c r="Y649" s="433"/>
      <c r="Z649" s="433"/>
    </row>
    <row r="650">
      <c r="A650" s="440"/>
      <c r="B650" s="441"/>
      <c r="C650" s="442"/>
      <c r="D650" s="443"/>
      <c r="E650" s="433"/>
      <c r="F650" s="433"/>
      <c r="G650" s="433"/>
      <c r="H650" s="433"/>
      <c r="I650" s="433"/>
      <c r="J650" s="433"/>
      <c r="K650" s="433"/>
      <c r="L650" s="433"/>
      <c r="M650" s="433"/>
      <c r="N650" s="433"/>
      <c r="O650" s="433"/>
      <c r="P650" s="433"/>
      <c r="Q650" s="433"/>
      <c r="R650" s="433"/>
      <c r="S650" s="433"/>
      <c r="T650" s="433"/>
      <c r="U650" s="433"/>
      <c r="V650" s="433"/>
      <c r="W650" s="433"/>
      <c r="X650" s="433"/>
      <c r="Y650" s="433"/>
      <c r="Z650" s="433"/>
    </row>
    <row r="651">
      <c r="A651" s="440"/>
      <c r="B651" s="441"/>
      <c r="C651" s="442"/>
      <c r="D651" s="443"/>
      <c r="E651" s="433"/>
      <c r="F651" s="433"/>
      <c r="G651" s="433"/>
      <c r="H651" s="433"/>
      <c r="I651" s="433"/>
      <c r="J651" s="433"/>
      <c r="K651" s="433"/>
      <c r="L651" s="433"/>
      <c r="M651" s="433"/>
      <c r="N651" s="433"/>
      <c r="O651" s="433"/>
      <c r="P651" s="433"/>
      <c r="Q651" s="433"/>
      <c r="R651" s="433"/>
      <c r="S651" s="433"/>
      <c r="T651" s="433"/>
      <c r="U651" s="433"/>
      <c r="V651" s="433"/>
      <c r="W651" s="433"/>
      <c r="X651" s="433"/>
      <c r="Y651" s="433"/>
      <c r="Z651" s="433"/>
    </row>
    <row r="652">
      <c r="A652" s="440"/>
      <c r="B652" s="441"/>
      <c r="C652" s="442"/>
      <c r="D652" s="443"/>
      <c r="E652" s="433"/>
      <c r="F652" s="433"/>
      <c r="G652" s="433"/>
      <c r="H652" s="433"/>
      <c r="I652" s="433"/>
      <c r="J652" s="433"/>
      <c r="K652" s="433"/>
      <c r="L652" s="433"/>
      <c r="M652" s="433"/>
      <c r="N652" s="433"/>
      <c r="O652" s="433"/>
      <c r="P652" s="433"/>
      <c r="Q652" s="433"/>
      <c r="R652" s="433"/>
      <c r="S652" s="433"/>
      <c r="T652" s="433"/>
      <c r="U652" s="433"/>
      <c r="V652" s="433"/>
      <c r="W652" s="433"/>
      <c r="X652" s="433"/>
      <c r="Y652" s="433"/>
      <c r="Z652" s="433"/>
    </row>
    <row r="653">
      <c r="A653" s="440"/>
      <c r="B653" s="441"/>
      <c r="C653" s="442"/>
      <c r="D653" s="443"/>
      <c r="E653" s="433"/>
      <c r="F653" s="433"/>
      <c r="G653" s="433"/>
      <c r="H653" s="433"/>
      <c r="I653" s="433"/>
      <c r="J653" s="433"/>
      <c r="K653" s="433"/>
      <c r="L653" s="433"/>
      <c r="M653" s="433"/>
      <c r="N653" s="433"/>
      <c r="O653" s="433"/>
      <c r="P653" s="433"/>
      <c r="Q653" s="433"/>
      <c r="R653" s="433"/>
      <c r="S653" s="433"/>
      <c r="T653" s="433"/>
      <c r="U653" s="433"/>
      <c r="V653" s="433"/>
      <c r="W653" s="433"/>
      <c r="X653" s="433"/>
      <c r="Y653" s="433"/>
      <c r="Z653" s="433"/>
    </row>
    <row r="654">
      <c r="A654" s="440"/>
      <c r="B654" s="441"/>
      <c r="C654" s="442"/>
      <c r="D654" s="443"/>
      <c r="E654" s="433"/>
      <c r="F654" s="433"/>
      <c r="G654" s="433"/>
      <c r="H654" s="433"/>
      <c r="I654" s="433"/>
      <c r="J654" s="433"/>
      <c r="K654" s="433"/>
      <c r="L654" s="433"/>
      <c r="M654" s="433"/>
      <c r="N654" s="433"/>
      <c r="O654" s="433"/>
      <c r="P654" s="433"/>
      <c r="Q654" s="433"/>
      <c r="R654" s="433"/>
      <c r="S654" s="433"/>
      <c r="T654" s="433"/>
      <c r="U654" s="433"/>
      <c r="V654" s="433"/>
      <c r="W654" s="433"/>
      <c r="X654" s="433"/>
      <c r="Y654" s="433"/>
      <c r="Z654" s="433"/>
    </row>
    <row r="655">
      <c r="A655" s="440"/>
      <c r="B655" s="441"/>
      <c r="C655" s="442"/>
      <c r="D655" s="443"/>
      <c r="E655" s="433"/>
      <c r="F655" s="433"/>
      <c r="G655" s="433"/>
      <c r="H655" s="433"/>
      <c r="I655" s="433"/>
      <c r="J655" s="433"/>
      <c r="K655" s="433"/>
      <c r="L655" s="433"/>
      <c r="M655" s="433"/>
      <c r="N655" s="433"/>
      <c r="O655" s="433"/>
      <c r="P655" s="433"/>
      <c r="Q655" s="433"/>
      <c r="R655" s="433"/>
      <c r="S655" s="433"/>
      <c r="T655" s="433"/>
      <c r="U655" s="433"/>
      <c r="V655" s="433"/>
      <c r="W655" s="433"/>
      <c r="X655" s="433"/>
      <c r="Y655" s="433"/>
      <c r="Z655" s="433"/>
    </row>
    <row r="656">
      <c r="A656" s="440"/>
      <c r="B656" s="441"/>
      <c r="C656" s="442"/>
      <c r="D656" s="443"/>
      <c r="E656" s="433"/>
      <c r="F656" s="433"/>
      <c r="G656" s="433"/>
      <c r="H656" s="433"/>
      <c r="I656" s="433"/>
      <c r="J656" s="433"/>
      <c r="K656" s="433"/>
      <c r="L656" s="433"/>
      <c r="M656" s="433"/>
      <c r="N656" s="433"/>
      <c r="O656" s="433"/>
      <c r="P656" s="433"/>
      <c r="Q656" s="433"/>
      <c r="R656" s="433"/>
      <c r="S656" s="433"/>
      <c r="T656" s="433"/>
      <c r="U656" s="433"/>
      <c r="V656" s="433"/>
      <c r="W656" s="433"/>
      <c r="X656" s="433"/>
      <c r="Y656" s="433"/>
      <c r="Z656" s="433"/>
    </row>
    <row r="657">
      <c r="A657" s="440"/>
      <c r="B657" s="441"/>
      <c r="C657" s="442"/>
      <c r="D657" s="443"/>
      <c r="E657" s="433"/>
      <c r="F657" s="433"/>
      <c r="G657" s="433"/>
      <c r="H657" s="433"/>
      <c r="I657" s="433"/>
      <c r="J657" s="433"/>
      <c r="K657" s="433"/>
      <c r="L657" s="433"/>
      <c r="M657" s="433"/>
      <c r="N657" s="433"/>
      <c r="O657" s="433"/>
      <c r="P657" s="433"/>
      <c r="Q657" s="433"/>
      <c r="R657" s="433"/>
      <c r="S657" s="433"/>
      <c r="T657" s="433"/>
      <c r="U657" s="433"/>
      <c r="V657" s="433"/>
      <c r="W657" s="433"/>
      <c r="X657" s="433"/>
      <c r="Y657" s="433"/>
      <c r="Z657" s="433"/>
    </row>
    <row r="658">
      <c r="A658" s="440"/>
      <c r="B658" s="441"/>
      <c r="C658" s="442"/>
      <c r="D658" s="443"/>
      <c r="E658" s="433"/>
      <c r="F658" s="433"/>
      <c r="G658" s="433"/>
      <c r="H658" s="433"/>
      <c r="I658" s="433"/>
      <c r="J658" s="433"/>
      <c r="K658" s="433"/>
      <c r="L658" s="433"/>
      <c r="M658" s="433"/>
      <c r="N658" s="433"/>
      <c r="O658" s="433"/>
      <c r="P658" s="433"/>
      <c r="Q658" s="433"/>
      <c r="R658" s="433"/>
      <c r="S658" s="433"/>
      <c r="T658" s="433"/>
      <c r="U658" s="433"/>
      <c r="V658" s="433"/>
      <c r="W658" s="433"/>
      <c r="X658" s="433"/>
      <c r="Y658" s="433"/>
      <c r="Z658" s="433"/>
    </row>
    <row r="659">
      <c r="A659" s="440"/>
      <c r="B659" s="441"/>
      <c r="C659" s="442"/>
      <c r="D659" s="443"/>
      <c r="E659" s="433"/>
      <c r="F659" s="433"/>
      <c r="G659" s="433"/>
      <c r="H659" s="433"/>
      <c r="I659" s="433"/>
      <c r="J659" s="433"/>
      <c r="K659" s="433"/>
      <c r="L659" s="433"/>
      <c r="M659" s="433"/>
      <c r="N659" s="433"/>
      <c r="O659" s="433"/>
      <c r="P659" s="433"/>
      <c r="Q659" s="433"/>
      <c r="R659" s="433"/>
      <c r="S659" s="433"/>
      <c r="T659" s="433"/>
      <c r="U659" s="433"/>
      <c r="V659" s="433"/>
      <c r="W659" s="433"/>
      <c r="X659" s="433"/>
      <c r="Y659" s="433"/>
      <c r="Z659" s="433"/>
    </row>
    <row r="660">
      <c r="A660" s="440"/>
      <c r="B660" s="441"/>
      <c r="C660" s="442"/>
      <c r="D660" s="443"/>
      <c r="E660" s="433"/>
      <c r="F660" s="433"/>
      <c r="G660" s="433"/>
      <c r="H660" s="433"/>
      <c r="I660" s="433"/>
      <c r="J660" s="433"/>
      <c r="K660" s="433"/>
      <c r="L660" s="433"/>
      <c r="M660" s="433"/>
      <c r="N660" s="433"/>
      <c r="O660" s="433"/>
      <c r="P660" s="433"/>
      <c r="Q660" s="433"/>
      <c r="R660" s="433"/>
      <c r="S660" s="433"/>
      <c r="T660" s="433"/>
      <c r="U660" s="433"/>
      <c r="V660" s="433"/>
      <c r="W660" s="433"/>
      <c r="X660" s="433"/>
      <c r="Y660" s="433"/>
      <c r="Z660" s="433"/>
    </row>
    <row r="661">
      <c r="A661" s="440"/>
      <c r="B661" s="441"/>
      <c r="C661" s="442"/>
      <c r="D661" s="443"/>
      <c r="E661" s="433"/>
      <c r="F661" s="433"/>
      <c r="G661" s="433"/>
      <c r="H661" s="433"/>
      <c r="I661" s="433"/>
      <c r="J661" s="433"/>
      <c r="K661" s="433"/>
      <c r="L661" s="433"/>
      <c r="M661" s="433"/>
      <c r="N661" s="433"/>
      <c r="O661" s="433"/>
      <c r="P661" s="433"/>
      <c r="Q661" s="433"/>
      <c r="R661" s="433"/>
      <c r="S661" s="433"/>
      <c r="T661" s="433"/>
      <c r="U661" s="433"/>
      <c r="V661" s="433"/>
      <c r="W661" s="433"/>
      <c r="X661" s="433"/>
      <c r="Y661" s="433"/>
      <c r="Z661" s="433"/>
    </row>
    <row r="662">
      <c r="A662" s="440"/>
      <c r="B662" s="441"/>
      <c r="C662" s="442"/>
      <c r="D662" s="443"/>
      <c r="E662" s="433"/>
      <c r="F662" s="433"/>
      <c r="G662" s="433"/>
      <c r="H662" s="433"/>
      <c r="I662" s="433"/>
      <c r="J662" s="433"/>
      <c r="K662" s="433"/>
      <c r="L662" s="433"/>
      <c r="M662" s="433"/>
      <c r="N662" s="433"/>
      <c r="O662" s="433"/>
      <c r="P662" s="433"/>
      <c r="Q662" s="433"/>
      <c r="R662" s="433"/>
      <c r="S662" s="433"/>
      <c r="T662" s="433"/>
      <c r="U662" s="433"/>
      <c r="V662" s="433"/>
      <c r="W662" s="433"/>
      <c r="X662" s="433"/>
      <c r="Y662" s="433"/>
      <c r="Z662" s="433"/>
    </row>
    <row r="663">
      <c r="A663" s="440"/>
      <c r="B663" s="441"/>
      <c r="C663" s="442"/>
      <c r="D663" s="443"/>
      <c r="E663" s="433"/>
      <c r="F663" s="433"/>
      <c r="G663" s="433"/>
      <c r="H663" s="433"/>
      <c r="I663" s="433"/>
      <c r="J663" s="433"/>
      <c r="K663" s="433"/>
      <c r="L663" s="433"/>
      <c r="M663" s="433"/>
      <c r="N663" s="433"/>
      <c r="O663" s="433"/>
      <c r="P663" s="433"/>
      <c r="Q663" s="433"/>
      <c r="R663" s="433"/>
      <c r="S663" s="433"/>
      <c r="T663" s="433"/>
      <c r="U663" s="433"/>
      <c r="V663" s="433"/>
      <c r="W663" s="433"/>
      <c r="X663" s="433"/>
      <c r="Y663" s="433"/>
      <c r="Z663" s="433"/>
    </row>
    <row r="664">
      <c r="A664" s="440"/>
      <c r="B664" s="441"/>
      <c r="C664" s="442"/>
      <c r="D664" s="443"/>
      <c r="E664" s="433"/>
      <c r="F664" s="433"/>
      <c r="G664" s="433"/>
      <c r="H664" s="433"/>
      <c r="I664" s="433"/>
      <c r="J664" s="433"/>
      <c r="K664" s="433"/>
      <c r="L664" s="433"/>
      <c r="M664" s="433"/>
      <c r="N664" s="433"/>
      <c r="O664" s="433"/>
      <c r="P664" s="433"/>
      <c r="Q664" s="433"/>
      <c r="R664" s="433"/>
      <c r="S664" s="433"/>
      <c r="T664" s="433"/>
      <c r="U664" s="433"/>
      <c r="V664" s="433"/>
      <c r="W664" s="433"/>
      <c r="X664" s="433"/>
      <c r="Y664" s="433"/>
      <c r="Z664" s="433"/>
    </row>
    <row r="665">
      <c r="A665" s="440"/>
      <c r="B665" s="441"/>
      <c r="C665" s="442"/>
      <c r="D665" s="443"/>
      <c r="E665" s="433"/>
      <c r="F665" s="433"/>
      <c r="G665" s="433"/>
      <c r="H665" s="433"/>
      <c r="I665" s="433"/>
      <c r="J665" s="433"/>
      <c r="K665" s="433"/>
      <c r="L665" s="433"/>
      <c r="M665" s="433"/>
      <c r="N665" s="433"/>
      <c r="O665" s="433"/>
      <c r="P665" s="433"/>
      <c r="Q665" s="433"/>
      <c r="R665" s="433"/>
      <c r="S665" s="433"/>
      <c r="T665" s="433"/>
      <c r="U665" s="433"/>
      <c r="V665" s="433"/>
      <c r="W665" s="433"/>
      <c r="X665" s="433"/>
      <c r="Y665" s="433"/>
      <c r="Z665" s="433"/>
    </row>
    <row r="666">
      <c r="A666" s="440"/>
      <c r="B666" s="441"/>
      <c r="C666" s="442"/>
      <c r="D666" s="443"/>
      <c r="E666" s="433"/>
      <c r="F666" s="433"/>
      <c r="G666" s="433"/>
      <c r="H666" s="433"/>
      <c r="I666" s="433"/>
      <c r="J666" s="433"/>
      <c r="K666" s="433"/>
      <c r="L666" s="433"/>
      <c r="M666" s="433"/>
      <c r="N666" s="433"/>
      <c r="O666" s="433"/>
      <c r="P666" s="433"/>
      <c r="Q666" s="433"/>
      <c r="R666" s="433"/>
      <c r="S666" s="433"/>
      <c r="T666" s="433"/>
      <c r="U666" s="433"/>
      <c r="V666" s="433"/>
      <c r="W666" s="433"/>
      <c r="X666" s="433"/>
      <c r="Y666" s="433"/>
      <c r="Z666" s="433"/>
    </row>
    <row r="667">
      <c r="A667" s="440"/>
      <c r="B667" s="441"/>
      <c r="C667" s="442"/>
      <c r="D667" s="443"/>
      <c r="E667" s="433"/>
      <c r="F667" s="433"/>
      <c r="G667" s="433"/>
      <c r="H667" s="433"/>
      <c r="I667" s="433"/>
      <c r="J667" s="433"/>
      <c r="K667" s="433"/>
      <c r="L667" s="433"/>
      <c r="M667" s="433"/>
      <c r="N667" s="433"/>
      <c r="O667" s="433"/>
      <c r="P667" s="433"/>
      <c r="Q667" s="433"/>
      <c r="R667" s="433"/>
      <c r="S667" s="433"/>
      <c r="T667" s="433"/>
      <c r="U667" s="433"/>
      <c r="V667" s="433"/>
      <c r="W667" s="433"/>
      <c r="X667" s="433"/>
      <c r="Y667" s="433"/>
      <c r="Z667" s="433"/>
    </row>
    <row r="668">
      <c r="A668" s="440"/>
      <c r="B668" s="441"/>
      <c r="C668" s="442"/>
      <c r="D668" s="443"/>
      <c r="E668" s="433"/>
      <c r="F668" s="433"/>
      <c r="G668" s="433"/>
      <c r="H668" s="433"/>
      <c r="I668" s="433"/>
      <c r="J668" s="433"/>
      <c r="K668" s="433"/>
      <c r="L668" s="433"/>
      <c r="M668" s="433"/>
      <c r="N668" s="433"/>
      <c r="O668" s="433"/>
      <c r="P668" s="433"/>
      <c r="Q668" s="433"/>
      <c r="R668" s="433"/>
      <c r="S668" s="433"/>
      <c r="T668" s="433"/>
      <c r="U668" s="433"/>
      <c r="V668" s="433"/>
      <c r="W668" s="433"/>
      <c r="X668" s="433"/>
      <c r="Y668" s="433"/>
      <c r="Z668" s="433"/>
    </row>
    <row r="669">
      <c r="A669" s="440"/>
      <c r="B669" s="441"/>
      <c r="C669" s="442"/>
      <c r="D669" s="443"/>
      <c r="E669" s="433"/>
      <c r="F669" s="433"/>
      <c r="G669" s="433"/>
      <c r="H669" s="433"/>
      <c r="I669" s="433"/>
      <c r="J669" s="433"/>
      <c r="K669" s="433"/>
      <c r="L669" s="433"/>
      <c r="M669" s="433"/>
      <c r="N669" s="433"/>
      <c r="O669" s="433"/>
      <c r="P669" s="433"/>
      <c r="Q669" s="433"/>
      <c r="R669" s="433"/>
      <c r="S669" s="433"/>
      <c r="T669" s="433"/>
      <c r="U669" s="433"/>
      <c r="V669" s="433"/>
      <c r="W669" s="433"/>
      <c r="X669" s="433"/>
      <c r="Y669" s="433"/>
      <c r="Z669" s="433"/>
    </row>
    <row r="670">
      <c r="A670" s="440"/>
      <c r="B670" s="441"/>
      <c r="C670" s="442"/>
      <c r="D670" s="443"/>
      <c r="E670" s="433"/>
      <c r="F670" s="433"/>
      <c r="G670" s="433"/>
      <c r="H670" s="433"/>
      <c r="I670" s="433"/>
      <c r="J670" s="433"/>
      <c r="K670" s="433"/>
      <c r="L670" s="433"/>
      <c r="M670" s="433"/>
      <c r="N670" s="433"/>
      <c r="O670" s="433"/>
      <c r="P670" s="433"/>
      <c r="Q670" s="433"/>
      <c r="R670" s="433"/>
      <c r="S670" s="433"/>
      <c r="T670" s="433"/>
      <c r="U670" s="433"/>
      <c r="V670" s="433"/>
      <c r="W670" s="433"/>
      <c r="X670" s="433"/>
      <c r="Y670" s="433"/>
      <c r="Z670" s="433"/>
    </row>
    <row r="671">
      <c r="A671" s="440"/>
      <c r="B671" s="441"/>
      <c r="C671" s="442"/>
      <c r="D671" s="443"/>
      <c r="E671" s="433"/>
      <c r="F671" s="433"/>
      <c r="G671" s="433"/>
      <c r="H671" s="433"/>
      <c r="I671" s="433"/>
      <c r="J671" s="433"/>
      <c r="K671" s="433"/>
      <c r="L671" s="433"/>
      <c r="M671" s="433"/>
      <c r="N671" s="433"/>
      <c r="O671" s="433"/>
      <c r="P671" s="433"/>
      <c r="Q671" s="433"/>
      <c r="R671" s="433"/>
      <c r="S671" s="433"/>
      <c r="T671" s="433"/>
      <c r="U671" s="433"/>
      <c r="V671" s="433"/>
      <c r="W671" s="433"/>
      <c r="X671" s="433"/>
      <c r="Y671" s="433"/>
      <c r="Z671" s="433"/>
    </row>
    <row r="672">
      <c r="A672" s="440"/>
      <c r="B672" s="441"/>
      <c r="C672" s="442"/>
      <c r="D672" s="443"/>
      <c r="E672" s="433"/>
      <c r="F672" s="433"/>
      <c r="G672" s="433"/>
      <c r="H672" s="433"/>
      <c r="I672" s="433"/>
      <c r="J672" s="433"/>
      <c r="K672" s="433"/>
      <c r="L672" s="433"/>
      <c r="M672" s="433"/>
      <c r="N672" s="433"/>
      <c r="O672" s="433"/>
      <c r="P672" s="433"/>
      <c r="Q672" s="433"/>
      <c r="R672" s="433"/>
      <c r="S672" s="433"/>
      <c r="T672" s="433"/>
      <c r="U672" s="433"/>
      <c r="V672" s="433"/>
      <c r="W672" s="433"/>
      <c r="X672" s="433"/>
      <c r="Y672" s="433"/>
      <c r="Z672" s="433"/>
    </row>
    <row r="673">
      <c r="A673" s="440"/>
      <c r="B673" s="441"/>
      <c r="C673" s="442"/>
      <c r="D673" s="443"/>
      <c r="E673" s="433"/>
      <c r="F673" s="433"/>
      <c r="G673" s="433"/>
      <c r="H673" s="433"/>
      <c r="I673" s="433"/>
      <c r="J673" s="433"/>
      <c r="K673" s="433"/>
      <c r="L673" s="433"/>
      <c r="M673" s="433"/>
      <c r="N673" s="433"/>
      <c r="O673" s="433"/>
      <c r="P673" s="433"/>
      <c r="Q673" s="433"/>
      <c r="R673" s="433"/>
      <c r="S673" s="433"/>
      <c r="T673" s="433"/>
      <c r="U673" s="433"/>
      <c r="V673" s="433"/>
      <c r="W673" s="433"/>
      <c r="X673" s="433"/>
      <c r="Y673" s="433"/>
      <c r="Z673" s="433"/>
    </row>
    <row r="674">
      <c r="A674" s="440"/>
      <c r="B674" s="441"/>
      <c r="C674" s="442"/>
      <c r="D674" s="443"/>
      <c r="E674" s="433"/>
      <c r="F674" s="433"/>
      <c r="G674" s="433"/>
      <c r="H674" s="433"/>
      <c r="I674" s="433"/>
      <c r="J674" s="433"/>
      <c r="K674" s="433"/>
      <c r="L674" s="433"/>
      <c r="M674" s="433"/>
      <c r="N674" s="433"/>
      <c r="O674" s="433"/>
      <c r="P674" s="433"/>
      <c r="Q674" s="433"/>
      <c r="R674" s="433"/>
      <c r="S674" s="433"/>
      <c r="T674" s="433"/>
      <c r="U674" s="433"/>
      <c r="V674" s="433"/>
      <c r="W674" s="433"/>
      <c r="X674" s="433"/>
      <c r="Y674" s="433"/>
      <c r="Z674" s="433"/>
    </row>
    <row r="675">
      <c r="A675" s="440"/>
      <c r="B675" s="441"/>
      <c r="C675" s="442"/>
      <c r="D675" s="443"/>
      <c r="E675" s="433"/>
      <c r="F675" s="433"/>
      <c r="G675" s="433"/>
      <c r="H675" s="433"/>
      <c r="I675" s="433"/>
      <c r="J675" s="433"/>
      <c r="K675" s="433"/>
      <c r="L675" s="433"/>
      <c r="M675" s="433"/>
      <c r="N675" s="433"/>
      <c r="O675" s="433"/>
      <c r="P675" s="433"/>
      <c r="Q675" s="433"/>
      <c r="R675" s="433"/>
      <c r="S675" s="433"/>
      <c r="T675" s="433"/>
      <c r="U675" s="433"/>
      <c r="V675" s="433"/>
      <c r="W675" s="433"/>
      <c r="X675" s="433"/>
      <c r="Y675" s="433"/>
      <c r="Z675" s="433"/>
    </row>
    <row r="676">
      <c r="A676" s="440"/>
      <c r="B676" s="441"/>
      <c r="C676" s="442"/>
      <c r="D676" s="443"/>
      <c r="E676" s="433"/>
      <c r="F676" s="433"/>
      <c r="G676" s="433"/>
      <c r="H676" s="433"/>
      <c r="I676" s="433"/>
      <c r="J676" s="433"/>
      <c r="K676" s="433"/>
      <c r="L676" s="433"/>
      <c r="M676" s="433"/>
      <c r="N676" s="433"/>
      <c r="O676" s="433"/>
      <c r="P676" s="433"/>
      <c r="Q676" s="433"/>
      <c r="R676" s="433"/>
      <c r="S676" s="433"/>
      <c r="T676" s="433"/>
      <c r="U676" s="433"/>
      <c r="V676" s="433"/>
      <c r="W676" s="433"/>
      <c r="X676" s="433"/>
      <c r="Y676" s="433"/>
      <c r="Z676" s="433"/>
    </row>
    <row r="677">
      <c r="A677" s="440"/>
      <c r="B677" s="441"/>
      <c r="C677" s="442"/>
      <c r="D677" s="443"/>
      <c r="E677" s="433"/>
      <c r="F677" s="433"/>
      <c r="G677" s="433"/>
      <c r="H677" s="433"/>
      <c r="I677" s="433"/>
      <c r="J677" s="433"/>
      <c r="K677" s="433"/>
      <c r="L677" s="433"/>
      <c r="M677" s="433"/>
      <c r="N677" s="433"/>
      <c r="O677" s="433"/>
      <c r="P677" s="433"/>
      <c r="Q677" s="433"/>
      <c r="R677" s="433"/>
      <c r="S677" s="433"/>
      <c r="T677" s="433"/>
      <c r="U677" s="433"/>
      <c r="V677" s="433"/>
      <c r="W677" s="433"/>
      <c r="X677" s="433"/>
      <c r="Y677" s="433"/>
      <c r="Z677" s="433"/>
    </row>
    <row r="678">
      <c r="A678" s="440"/>
      <c r="B678" s="441"/>
      <c r="C678" s="442"/>
      <c r="D678" s="443"/>
      <c r="E678" s="433"/>
      <c r="F678" s="433"/>
      <c r="G678" s="433"/>
      <c r="H678" s="433"/>
      <c r="I678" s="433"/>
      <c r="J678" s="433"/>
      <c r="K678" s="433"/>
      <c r="L678" s="433"/>
      <c r="M678" s="433"/>
      <c r="N678" s="433"/>
      <c r="O678" s="433"/>
      <c r="P678" s="433"/>
      <c r="Q678" s="433"/>
      <c r="R678" s="433"/>
      <c r="S678" s="433"/>
      <c r="T678" s="433"/>
      <c r="U678" s="433"/>
      <c r="V678" s="433"/>
      <c r="W678" s="433"/>
      <c r="X678" s="433"/>
      <c r="Y678" s="433"/>
      <c r="Z678" s="433"/>
    </row>
    <row r="679">
      <c r="A679" s="440"/>
      <c r="B679" s="441"/>
      <c r="C679" s="442"/>
      <c r="D679" s="443"/>
      <c r="E679" s="433"/>
      <c r="F679" s="433"/>
      <c r="G679" s="433"/>
      <c r="H679" s="433"/>
      <c r="I679" s="433"/>
      <c r="J679" s="433"/>
      <c r="K679" s="433"/>
      <c r="L679" s="433"/>
      <c r="M679" s="433"/>
      <c r="N679" s="433"/>
      <c r="O679" s="433"/>
      <c r="P679" s="433"/>
      <c r="Q679" s="433"/>
      <c r="R679" s="433"/>
      <c r="S679" s="433"/>
      <c r="T679" s="433"/>
      <c r="U679" s="433"/>
      <c r="V679" s="433"/>
      <c r="W679" s="433"/>
      <c r="X679" s="433"/>
      <c r="Y679" s="433"/>
      <c r="Z679" s="433"/>
    </row>
    <row r="680">
      <c r="A680" s="440"/>
      <c r="B680" s="441"/>
      <c r="C680" s="442"/>
      <c r="D680" s="443"/>
      <c r="E680" s="433"/>
      <c r="F680" s="433"/>
      <c r="G680" s="433"/>
      <c r="H680" s="433"/>
      <c r="I680" s="433"/>
      <c r="J680" s="433"/>
      <c r="K680" s="433"/>
      <c r="L680" s="433"/>
      <c r="M680" s="433"/>
      <c r="N680" s="433"/>
      <c r="O680" s="433"/>
      <c r="P680" s="433"/>
      <c r="Q680" s="433"/>
      <c r="R680" s="433"/>
      <c r="S680" s="433"/>
      <c r="T680" s="433"/>
      <c r="U680" s="433"/>
      <c r="V680" s="433"/>
      <c r="W680" s="433"/>
      <c r="X680" s="433"/>
      <c r="Y680" s="433"/>
      <c r="Z680" s="433"/>
    </row>
    <row r="681">
      <c r="A681" s="440"/>
      <c r="B681" s="441"/>
      <c r="C681" s="442"/>
      <c r="D681" s="443"/>
      <c r="E681" s="433"/>
      <c r="F681" s="433"/>
      <c r="G681" s="433"/>
      <c r="H681" s="433"/>
      <c r="I681" s="433"/>
      <c r="J681" s="433"/>
      <c r="K681" s="433"/>
      <c r="L681" s="433"/>
      <c r="M681" s="433"/>
      <c r="N681" s="433"/>
      <c r="O681" s="433"/>
      <c r="P681" s="433"/>
      <c r="Q681" s="433"/>
      <c r="R681" s="433"/>
      <c r="S681" s="433"/>
      <c r="T681" s="433"/>
      <c r="U681" s="433"/>
      <c r="V681" s="433"/>
      <c r="W681" s="433"/>
      <c r="X681" s="433"/>
      <c r="Y681" s="433"/>
      <c r="Z681" s="433"/>
    </row>
    <row r="682">
      <c r="A682" s="440"/>
      <c r="B682" s="441"/>
      <c r="C682" s="442"/>
      <c r="D682" s="443"/>
      <c r="E682" s="433"/>
      <c r="F682" s="433"/>
      <c r="G682" s="433"/>
      <c r="H682" s="433"/>
      <c r="I682" s="433"/>
      <c r="J682" s="433"/>
      <c r="K682" s="433"/>
      <c r="L682" s="433"/>
      <c r="M682" s="433"/>
      <c r="N682" s="433"/>
      <c r="O682" s="433"/>
      <c r="P682" s="433"/>
      <c r="Q682" s="433"/>
      <c r="R682" s="433"/>
      <c r="S682" s="433"/>
      <c r="T682" s="433"/>
      <c r="U682" s="433"/>
      <c r="V682" s="433"/>
      <c r="W682" s="433"/>
      <c r="X682" s="433"/>
      <c r="Y682" s="433"/>
      <c r="Z682" s="433"/>
    </row>
    <row r="683">
      <c r="A683" s="440"/>
      <c r="B683" s="441"/>
      <c r="C683" s="442"/>
      <c r="D683" s="443"/>
      <c r="E683" s="433"/>
      <c r="F683" s="433"/>
      <c r="G683" s="433"/>
      <c r="H683" s="433"/>
      <c r="I683" s="433"/>
      <c r="J683" s="433"/>
      <c r="K683" s="433"/>
      <c r="L683" s="433"/>
      <c r="M683" s="433"/>
      <c r="N683" s="433"/>
      <c r="O683" s="433"/>
      <c r="P683" s="433"/>
      <c r="Q683" s="433"/>
      <c r="R683" s="433"/>
      <c r="S683" s="433"/>
      <c r="T683" s="433"/>
      <c r="U683" s="433"/>
      <c r="V683" s="433"/>
      <c r="W683" s="433"/>
      <c r="X683" s="433"/>
      <c r="Y683" s="433"/>
      <c r="Z683" s="433"/>
    </row>
    <row r="684">
      <c r="A684" s="440"/>
      <c r="B684" s="441"/>
      <c r="C684" s="442"/>
      <c r="D684" s="443"/>
      <c r="E684" s="433"/>
      <c r="F684" s="433"/>
      <c r="G684" s="433"/>
      <c r="H684" s="433"/>
      <c r="I684" s="433"/>
      <c r="J684" s="433"/>
      <c r="K684" s="433"/>
      <c r="L684" s="433"/>
      <c r="M684" s="433"/>
      <c r="N684" s="433"/>
      <c r="O684" s="433"/>
      <c r="P684" s="433"/>
      <c r="Q684" s="433"/>
      <c r="R684" s="433"/>
      <c r="S684" s="433"/>
      <c r="T684" s="433"/>
      <c r="U684" s="433"/>
      <c r="V684" s="433"/>
      <c r="W684" s="433"/>
      <c r="X684" s="433"/>
      <c r="Y684" s="433"/>
      <c r="Z684" s="433"/>
    </row>
    <row r="685">
      <c r="A685" s="440"/>
      <c r="B685" s="441"/>
      <c r="C685" s="442"/>
      <c r="D685" s="443"/>
      <c r="E685" s="433"/>
      <c r="F685" s="433"/>
      <c r="G685" s="433"/>
      <c r="H685" s="433"/>
      <c r="I685" s="433"/>
      <c r="J685" s="433"/>
      <c r="K685" s="433"/>
      <c r="L685" s="433"/>
      <c r="M685" s="433"/>
      <c r="N685" s="433"/>
      <c r="O685" s="433"/>
      <c r="P685" s="433"/>
      <c r="Q685" s="433"/>
      <c r="R685" s="433"/>
      <c r="S685" s="433"/>
      <c r="T685" s="433"/>
      <c r="U685" s="433"/>
      <c r="V685" s="433"/>
      <c r="W685" s="433"/>
      <c r="X685" s="433"/>
      <c r="Y685" s="433"/>
      <c r="Z685" s="433"/>
    </row>
    <row r="686">
      <c r="A686" s="440"/>
      <c r="B686" s="441"/>
      <c r="C686" s="442"/>
      <c r="D686" s="443"/>
      <c r="E686" s="433"/>
      <c r="F686" s="433"/>
      <c r="G686" s="433"/>
      <c r="H686" s="433"/>
      <c r="I686" s="433"/>
      <c r="J686" s="433"/>
      <c r="K686" s="433"/>
      <c r="L686" s="433"/>
      <c r="M686" s="433"/>
      <c r="N686" s="433"/>
      <c r="O686" s="433"/>
      <c r="P686" s="433"/>
      <c r="Q686" s="433"/>
      <c r="R686" s="433"/>
      <c r="S686" s="433"/>
      <c r="T686" s="433"/>
      <c r="U686" s="433"/>
      <c r="V686" s="433"/>
      <c r="W686" s="433"/>
      <c r="X686" s="433"/>
      <c r="Y686" s="433"/>
      <c r="Z686" s="433"/>
    </row>
    <row r="687">
      <c r="A687" s="440"/>
      <c r="B687" s="441"/>
      <c r="C687" s="442"/>
      <c r="D687" s="443"/>
      <c r="E687" s="433"/>
      <c r="F687" s="433"/>
      <c r="G687" s="433"/>
      <c r="H687" s="433"/>
      <c r="I687" s="433"/>
      <c r="J687" s="433"/>
      <c r="K687" s="433"/>
      <c r="L687" s="433"/>
      <c r="M687" s="433"/>
      <c r="N687" s="433"/>
      <c r="O687" s="433"/>
      <c r="P687" s="433"/>
      <c r="Q687" s="433"/>
      <c r="R687" s="433"/>
      <c r="S687" s="433"/>
      <c r="T687" s="433"/>
      <c r="U687" s="433"/>
      <c r="V687" s="433"/>
      <c r="W687" s="433"/>
      <c r="X687" s="433"/>
      <c r="Y687" s="433"/>
      <c r="Z687" s="433"/>
    </row>
    <row r="688">
      <c r="A688" s="440"/>
      <c r="B688" s="441"/>
      <c r="C688" s="442"/>
      <c r="D688" s="443"/>
      <c r="E688" s="433"/>
      <c r="F688" s="433"/>
      <c r="G688" s="433"/>
      <c r="H688" s="433"/>
      <c r="I688" s="433"/>
      <c r="J688" s="433"/>
      <c r="K688" s="433"/>
      <c r="L688" s="433"/>
      <c r="M688" s="433"/>
      <c r="N688" s="433"/>
      <c r="O688" s="433"/>
      <c r="P688" s="433"/>
      <c r="Q688" s="433"/>
      <c r="R688" s="433"/>
      <c r="S688" s="433"/>
      <c r="T688" s="433"/>
      <c r="U688" s="433"/>
      <c r="V688" s="433"/>
      <c r="W688" s="433"/>
      <c r="X688" s="433"/>
      <c r="Y688" s="433"/>
      <c r="Z688" s="433"/>
    </row>
    <row r="689">
      <c r="A689" s="440"/>
      <c r="B689" s="441"/>
      <c r="C689" s="442"/>
      <c r="D689" s="443"/>
      <c r="E689" s="433"/>
      <c r="F689" s="433"/>
      <c r="G689" s="433"/>
      <c r="H689" s="433"/>
      <c r="I689" s="433"/>
      <c r="J689" s="433"/>
      <c r="K689" s="433"/>
      <c r="L689" s="433"/>
      <c r="M689" s="433"/>
      <c r="N689" s="433"/>
      <c r="O689" s="433"/>
      <c r="P689" s="433"/>
      <c r="Q689" s="433"/>
      <c r="R689" s="433"/>
      <c r="S689" s="433"/>
      <c r="T689" s="433"/>
      <c r="U689" s="433"/>
      <c r="V689" s="433"/>
      <c r="W689" s="433"/>
      <c r="X689" s="433"/>
      <c r="Y689" s="433"/>
      <c r="Z689" s="433"/>
    </row>
    <row r="690">
      <c r="A690" s="440"/>
      <c r="B690" s="441"/>
      <c r="C690" s="442"/>
      <c r="D690" s="443"/>
      <c r="E690" s="433"/>
      <c r="F690" s="433"/>
      <c r="G690" s="433"/>
      <c r="H690" s="433"/>
      <c r="I690" s="433"/>
      <c r="J690" s="433"/>
      <c r="K690" s="433"/>
      <c r="L690" s="433"/>
      <c r="M690" s="433"/>
      <c r="N690" s="433"/>
      <c r="O690" s="433"/>
      <c r="P690" s="433"/>
      <c r="Q690" s="433"/>
      <c r="R690" s="433"/>
      <c r="S690" s="433"/>
      <c r="T690" s="433"/>
      <c r="U690" s="433"/>
      <c r="V690" s="433"/>
      <c r="W690" s="433"/>
      <c r="X690" s="433"/>
      <c r="Y690" s="433"/>
      <c r="Z690" s="433"/>
    </row>
    <row r="691">
      <c r="A691" s="440"/>
      <c r="B691" s="441"/>
      <c r="C691" s="442"/>
      <c r="D691" s="443"/>
      <c r="E691" s="433"/>
      <c r="F691" s="433"/>
      <c r="G691" s="433"/>
      <c r="H691" s="433"/>
      <c r="I691" s="433"/>
      <c r="J691" s="433"/>
      <c r="K691" s="433"/>
      <c r="L691" s="433"/>
      <c r="M691" s="433"/>
      <c r="N691" s="433"/>
      <c r="O691" s="433"/>
      <c r="P691" s="433"/>
      <c r="Q691" s="433"/>
      <c r="R691" s="433"/>
      <c r="S691" s="433"/>
      <c r="T691" s="433"/>
      <c r="U691" s="433"/>
      <c r="V691" s="433"/>
      <c r="W691" s="433"/>
      <c r="X691" s="433"/>
      <c r="Y691" s="433"/>
      <c r="Z691" s="433"/>
    </row>
    <row r="692">
      <c r="A692" s="440"/>
      <c r="B692" s="441"/>
      <c r="C692" s="442"/>
      <c r="D692" s="443"/>
      <c r="E692" s="433"/>
      <c r="F692" s="433"/>
      <c r="G692" s="433"/>
      <c r="H692" s="433"/>
      <c r="I692" s="433"/>
      <c r="J692" s="433"/>
      <c r="K692" s="433"/>
      <c r="L692" s="433"/>
      <c r="M692" s="433"/>
      <c r="N692" s="433"/>
      <c r="O692" s="433"/>
      <c r="P692" s="433"/>
      <c r="Q692" s="433"/>
      <c r="R692" s="433"/>
      <c r="S692" s="433"/>
      <c r="T692" s="433"/>
      <c r="U692" s="433"/>
      <c r="V692" s="433"/>
      <c r="W692" s="433"/>
      <c r="X692" s="433"/>
      <c r="Y692" s="433"/>
      <c r="Z692" s="433"/>
    </row>
    <row r="693">
      <c r="A693" s="440"/>
      <c r="B693" s="441"/>
      <c r="C693" s="442"/>
      <c r="D693" s="443"/>
      <c r="E693" s="433"/>
      <c r="F693" s="433"/>
      <c r="G693" s="433"/>
      <c r="H693" s="433"/>
      <c r="I693" s="433"/>
      <c r="J693" s="433"/>
      <c r="K693" s="433"/>
      <c r="L693" s="433"/>
      <c r="M693" s="433"/>
      <c r="N693" s="433"/>
      <c r="O693" s="433"/>
      <c r="P693" s="433"/>
      <c r="Q693" s="433"/>
      <c r="R693" s="433"/>
      <c r="S693" s="433"/>
      <c r="T693" s="433"/>
      <c r="U693" s="433"/>
      <c r="V693" s="433"/>
      <c r="W693" s="433"/>
      <c r="X693" s="433"/>
      <c r="Y693" s="433"/>
      <c r="Z693" s="433"/>
    </row>
    <row r="694">
      <c r="A694" s="440"/>
      <c r="B694" s="441"/>
      <c r="C694" s="442"/>
      <c r="D694" s="443"/>
      <c r="E694" s="433"/>
      <c r="F694" s="433"/>
      <c r="G694" s="433"/>
      <c r="H694" s="433"/>
      <c r="I694" s="433"/>
      <c r="J694" s="433"/>
      <c r="K694" s="433"/>
      <c r="L694" s="433"/>
      <c r="M694" s="433"/>
      <c r="N694" s="433"/>
      <c r="O694" s="433"/>
      <c r="P694" s="433"/>
      <c r="Q694" s="433"/>
      <c r="R694" s="433"/>
      <c r="S694" s="433"/>
      <c r="T694" s="433"/>
      <c r="U694" s="433"/>
      <c r="V694" s="433"/>
      <c r="W694" s="433"/>
      <c r="X694" s="433"/>
      <c r="Y694" s="433"/>
      <c r="Z694" s="433"/>
    </row>
    <row r="695">
      <c r="A695" s="440"/>
      <c r="B695" s="441"/>
      <c r="C695" s="442"/>
      <c r="D695" s="443"/>
      <c r="E695" s="433"/>
      <c r="F695" s="433"/>
      <c r="G695" s="433"/>
      <c r="H695" s="433"/>
      <c r="I695" s="433"/>
      <c r="J695" s="433"/>
      <c r="K695" s="433"/>
      <c r="L695" s="433"/>
      <c r="M695" s="433"/>
      <c r="N695" s="433"/>
      <c r="O695" s="433"/>
      <c r="P695" s="433"/>
      <c r="Q695" s="433"/>
      <c r="R695" s="433"/>
      <c r="S695" s="433"/>
      <c r="T695" s="433"/>
      <c r="U695" s="433"/>
      <c r="V695" s="433"/>
      <c r="W695" s="433"/>
      <c r="X695" s="433"/>
      <c r="Y695" s="433"/>
      <c r="Z695" s="433"/>
    </row>
    <row r="696">
      <c r="A696" s="440"/>
      <c r="B696" s="441"/>
      <c r="C696" s="442"/>
      <c r="D696" s="443"/>
      <c r="E696" s="433"/>
      <c r="F696" s="433"/>
      <c r="G696" s="433"/>
      <c r="H696" s="433"/>
      <c r="I696" s="433"/>
      <c r="J696" s="433"/>
      <c r="K696" s="433"/>
      <c r="L696" s="433"/>
      <c r="M696" s="433"/>
      <c r="N696" s="433"/>
      <c r="O696" s="433"/>
      <c r="P696" s="433"/>
      <c r="Q696" s="433"/>
      <c r="R696" s="433"/>
      <c r="S696" s="433"/>
      <c r="T696" s="433"/>
      <c r="U696" s="433"/>
      <c r="V696" s="433"/>
      <c r="W696" s="433"/>
      <c r="X696" s="433"/>
      <c r="Y696" s="433"/>
      <c r="Z696" s="433"/>
    </row>
    <row r="697">
      <c r="A697" s="440"/>
      <c r="B697" s="441"/>
      <c r="C697" s="442"/>
      <c r="D697" s="443"/>
      <c r="E697" s="433"/>
      <c r="F697" s="433"/>
      <c r="G697" s="433"/>
      <c r="H697" s="433"/>
      <c r="I697" s="433"/>
      <c r="J697" s="433"/>
      <c r="K697" s="433"/>
      <c r="L697" s="433"/>
      <c r="M697" s="433"/>
      <c r="N697" s="433"/>
      <c r="O697" s="433"/>
      <c r="P697" s="433"/>
      <c r="Q697" s="433"/>
      <c r="R697" s="433"/>
      <c r="S697" s="433"/>
      <c r="T697" s="433"/>
      <c r="U697" s="433"/>
      <c r="V697" s="433"/>
      <c r="W697" s="433"/>
      <c r="X697" s="433"/>
      <c r="Y697" s="433"/>
      <c r="Z697" s="433"/>
    </row>
    <row r="698">
      <c r="A698" s="440"/>
      <c r="B698" s="441"/>
      <c r="C698" s="442"/>
      <c r="D698" s="443"/>
      <c r="E698" s="433"/>
      <c r="F698" s="433"/>
      <c r="G698" s="433"/>
      <c r="H698" s="433"/>
      <c r="I698" s="433"/>
      <c r="J698" s="433"/>
      <c r="K698" s="433"/>
      <c r="L698" s="433"/>
      <c r="M698" s="433"/>
      <c r="N698" s="433"/>
      <c r="O698" s="433"/>
      <c r="P698" s="433"/>
      <c r="Q698" s="433"/>
      <c r="R698" s="433"/>
      <c r="S698" s="433"/>
      <c r="T698" s="433"/>
      <c r="U698" s="433"/>
      <c r="V698" s="433"/>
      <c r="W698" s="433"/>
      <c r="X698" s="433"/>
      <c r="Y698" s="433"/>
      <c r="Z698" s="433"/>
    </row>
    <row r="699">
      <c r="A699" s="440"/>
      <c r="B699" s="441"/>
      <c r="C699" s="442"/>
      <c r="D699" s="443"/>
      <c r="E699" s="433"/>
      <c r="F699" s="433"/>
      <c r="G699" s="433"/>
      <c r="H699" s="433"/>
      <c r="I699" s="433"/>
      <c r="J699" s="433"/>
      <c r="K699" s="433"/>
      <c r="L699" s="433"/>
      <c r="M699" s="433"/>
      <c r="N699" s="433"/>
      <c r="O699" s="433"/>
      <c r="P699" s="433"/>
      <c r="Q699" s="433"/>
      <c r="R699" s="433"/>
      <c r="S699" s="433"/>
      <c r="T699" s="433"/>
      <c r="U699" s="433"/>
      <c r="V699" s="433"/>
      <c r="W699" s="433"/>
      <c r="X699" s="433"/>
      <c r="Y699" s="433"/>
      <c r="Z699" s="433"/>
    </row>
    <row r="700">
      <c r="A700" s="440"/>
      <c r="B700" s="441"/>
      <c r="C700" s="442"/>
      <c r="D700" s="443"/>
      <c r="E700" s="433"/>
      <c r="F700" s="433"/>
      <c r="G700" s="433"/>
      <c r="H700" s="433"/>
      <c r="I700" s="433"/>
      <c r="J700" s="433"/>
      <c r="K700" s="433"/>
      <c r="L700" s="433"/>
      <c r="M700" s="433"/>
      <c r="N700" s="433"/>
      <c r="O700" s="433"/>
      <c r="P700" s="433"/>
      <c r="Q700" s="433"/>
      <c r="R700" s="433"/>
      <c r="S700" s="433"/>
      <c r="T700" s="433"/>
      <c r="U700" s="433"/>
      <c r="V700" s="433"/>
      <c r="W700" s="433"/>
      <c r="X700" s="433"/>
      <c r="Y700" s="433"/>
      <c r="Z700" s="433"/>
    </row>
    <row r="701">
      <c r="A701" s="440"/>
      <c r="B701" s="441"/>
      <c r="C701" s="442"/>
      <c r="D701" s="443"/>
      <c r="E701" s="433"/>
      <c r="F701" s="433"/>
      <c r="G701" s="433"/>
      <c r="H701" s="433"/>
      <c r="I701" s="433"/>
      <c r="J701" s="433"/>
      <c r="K701" s="433"/>
      <c r="L701" s="433"/>
      <c r="M701" s="433"/>
      <c r="N701" s="433"/>
      <c r="O701" s="433"/>
      <c r="P701" s="433"/>
      <c r="Q701" s="433"/>
      <c r="R701" s="433"/>
      <c r="S701" s="433"/>
      <c r="T701" s="433"/>
      <c r="U701" s="433"/>
      <c r="V701" s="433"/>
      <c r="W701" s="433"/>
      <c r="X701" s="433"/>
      <c r="Y701" s="433"/>
      <c r="Z701" s="433"/>
    </row>
    <row r="702">
      <c r="A702" s="440"/>
      <c r="B702" s="441"/>
      <c r="C702" s="442"/>
      <c r="D702" s="443"/>
      <c r="E702" s="433"/>
      <c r="F702" s="433"/>
      <c r="G702" s="433"/>
      <c r="H702" s="433"/>
      <c r="I702" s="433"/>
      <c r="J702" s="433"/>
      <c r="K702" s="433"/>
      <c r="L702" s="433"/>
      <c r="M702" s="433"/>
      <c r="N702" s="433"/>
      <c r="O702" s="433"/>
      <c r="P702" s="433"/>
      <c r="Q702" s="433"/>
      <c r="R702" s="433"/>
      <c r="S702" s="433"/>
      <c r="T702" s="433"/>
      <c r="U702" s="433"/>
      <c r="V702" s="433"/>
      <c r="W702" s="433"/>
      <c r="X702" s="433"/>
      <c r="Y702" s="433"/>
      <c r="Z702" s="433"/>
    </row>
    <row r="703">
      <c r="A703" s="440"/>
      <c r="B703" s="441"/>
      <c r="C703" s="442"/>
      <c r="D703" s="443"/>
      <c r="E703" s="433"/>
      <c r="F703" s="433"/>
      <c r="G703" s="433"/>
      <c r="H703" s="433"/>
      <c r="I703" s="433"/>
      <c r="J703" s="433"/>
      <c r="K703" s="433"/>
      <c r="L703" s="433"/>
      <c r="M703" s="433"/>
      <c r="N703" s="433"/>
      <c r="O703" s="433"/>
      <c r="P703" s="433"/>
      <c r="Q703" s="433"/>
      <c r="R703" s="433"/>
      <c r="S703" s="433"/>
      <c r="T703" s="433"/>
      <c r="U703" s="433"/>
      <c r="V703" s="433"/>
      <c r="W703" s="433"/>
      <c r="X703" s="433"/>
      <c r="Y703" s="433"/>
      <c r="Z703" s="433"/>
    </row>
    <row r="704">
      <c r="A704" s="440"/>
      <c r="B704" s="441"/>
      <c r="C704" s="442"/>
      <c r="D704" s="443"/>
      <c r="E704" s="433"/>
      <c r="F704" s="433"/>
      <c r="G704" s="433"/>
      <c r="H704" s="433"/>
      <c r="I704" s="433"/>
      <c r="J704" s="433"/>
      <c r="K704" s="433"/>
      <c r="L704" s="433"/>
      <c r="M704" s="433"/>
      <c r="N704" s="433"/>
      <c r="O704" s="433"/>
      <c r="P704" s="433"/>
      <c r="Q704" s="433"/>
      <c r="R704" s="433"/>
      <c r="S704" s="433"/>
      <c r="T704" s="433"/>
      <c r="U704" s="433"/>
      <c r="V704" s="433"/>
      <c r="W704" s="433"/>
      <c r="X704" s="433"/>
      <c r="Y704" s="433"/>
      <c r="Z704" s="433"/>
    </row>
    <row r="705">
      <c r="A705" s="440"/>
      <c r="B705" s="441"/>
      <c r="C705" s="442"/>
      <c r="D705" s="443"/>
      <c r="E705" s="433"/>
      <c r="F705" s="433"/>
      <c r="G705" s="433"/>
      <c r="H705" s="433"/>
      <c r="I705" s="433"/>
      <c r="J705" s="433"/>
      <c r="K705" s="433"/>
      <c r="L705" s="433"/>
      <c r="M705" s="433"/>
      <c r="N705" s="433"/>
      <c r="O705" s="433"/>
      <c r="P705" s="433"/>
      <c r="Q705" s="433"/>
      <c r="R705" s="433"/>
      <c r="S705" s="433"/>
      <c r="T705" s="433"/>
      <c r="U705" s="433"/>
      <c r="V705" s="433"/>
      <c r="W705" s="433"/>
      <c r="X705" s="433"/>
      <c r="Y705" s="433"/>
      <c r="Z705" s="433"/>
    </row>
    <row r="706">
      <c r="A706" s="440"/>
      <c r="B706" s="441"/>
      <c r="C706" s="442"/>
      <c r="D706" s="443"/>
      <c r="E706" s="433"/>
      <c r="F706" s="433"/>
      <c r="G706" s="433"/>
      <c r="H706" s="433"/>
      <c r="I706" s="433"/>
      <c r="J706" s="433"/>
      <c r="K706" s="433"/>
      <c r="L706" s="433"/>
      <c r="M706" s="433"/>
      <c r="N706" s="433"/>
      <c r="O706" s="433"/>
      <c r="P706" s="433"/>
      <c r="Q706" s="433"/>
      <c r="R706" s="433"/>
      <c r="S706" s="433"/>
      <c r="T706" s="433"/>
      <c r="U706" s="433"/>
      <c r="V706" s="433"/>
      <c r="W706" s="433"/>
      <c r="X706" s="433"/>
      <c r="Y706" s="433"/>
      <c r="Z706" s="433"/>
    </row>
    <row r="707">
      <c r="A707" s="440"/>
      <c r="B707" s="441"/>
      <c r="C707" s="442"/>
      <c r="D707" s="443"/>
      <c r="E707" s="433"/>
      <c r="F707" s="433"/>
      <c r="G707" s="433"/>
      <c r="H707" s="433"/>
      <c r="I707" s="433"/>
      <c r="J707" s="433"/>
      <c r="K707" s="433"/>
      <c r="L707" s="433"/>
      <c r="M707" s="433"/>
      <c r="N707" s="433"/>
      <c r="O707" s="433"/>
      <c r="P707" s="433"/>
      <c r="Q707" s="433"/>
      <c r="R707" s="433"/>
      <c r="S707" s="433"/>
      <c r="T707" s="433"/>
      <c r="U707" s="433"/>
      <c r="V707" s="433"/>
      <c r="W707" s="433"/>
      <c r="X707" s="433"/>
      <c r="Y707" s="433"/>
      <c r="Z707" s="433"/>
    </row>
    <row r="708">
      <c r="A708" s="440"/>
      <c r="B708" s="441"/>
      <c r="C708" s="442"/>
      <c r="D708" s="443"/>
      <c r="E708" s="433"/>
      <c r="F708" s="433"/>
      <c r="G708" s="433"/>
      <c r="H708" s="433"/>
      <c r="I708" s="433"/>
      <c r="J708" s="433"/>
      <c r="K708" s="433"/>
      <c r="L708" s="433"/>
      <c r="M708" s="433"/>
      <c r="N708" s="433"/>
      <c r="O708" s="433"/>
      <c r="P708" s="433"/>
      <c r="Q708" s="433"/>
      <c r="R708" s="433"/>
      <c r="S708" s="433"/>
      <c r="T708" s="433"/>
      <c r="U708" s="433"/>
      <c r="V708" s="433"/>
      <c r="W708" s="433"/>
      <c r="X708" s="433"/>
      <c r="Y708" s="433"/>
      <c r="Z708" s="433"/>
    </row>
    <row r="709">
      <c r="A709" s="440"/>
      <c r="B709" s="441"/>
      <c r="C709" s="442"/>
      <c r="D709" s="443"/>
      <c r="E709" s="433"/>
      <c r="F709" s="433"/>
      <c r="G709" s="433"/>
      <c r="H709" s="433"/>
      <c r="I709" s="433"/>
      <c r="J709" s="433"/>
      <c r="K709" s="433"/>
      <c r="L709" s="433"/>
      <c r="M709" s="433"/>
      <c r="N709" s="433"/>
      <c r="O709" s="433"/>
      <c r="P709" s="433"/>
      <c r="Q709" s="433"/>
      <c r="R709" s="433"/>
      <c r="S709" s="433"/>
      <c r="T709" s="433"/>
      <c r="U709" s="433"/>
      <c r="V709" s="433"/>
      <c r="W709" s="433"/>
      <c r="X709" s="433"/>
      <c r="Y709" s="433"/>
      <c r="Z709" s="433"/>
    </row>
    <row r="710">
      <c r="A710" s="440"/>
      <c r="B710" s="441"/>
      <c r="C710" s="442"/>
      <c r="D710" s="443"/>
      <c r="E710" s="433"/>
      <c r="F710" s="433"/>
      <c r="G710" s="433"/>
      <c r="H710" s="433"/>
      <c r="I710" s="433"/>
      <c r="J710" s="433"/>
      <c r="K710" s="433"/>
      <c r="L710" s="433"/>
      <c r="M710" s="433"/>
      <c r="N710" s="433"/>
      <c r="O710" s="433"/>
      <c r="P710" s="433"/>
      <c r="Q710" s="433"/>
      <c r="R710" s="433"/>
      <c r="S710" s="433"/>
      <c r="T710" s="433"/>
      <c r="U710" s="433"/>
      <c r="V710" s="433"/>
      <c r="W710" s="433"/>
      <c r="X710" s="433"/>
      <c r="Y710" s="433"/>
      <c r="Z710" s="433"/>
    </row>
    <row r="711">
      <c r="A711" s="440"/>
      <c r="B711" s="441"/>
      <c r="C711" s="442"/>
      <c r="D711" s="443"/>
      <c r="E711" s="433"/>
      <c r="F711" s="433"/>
      <c r="G711" s="433"/>
      <c r="H711" s="433"/>
      <c r="I711" s="433"/>
      <c r="J711" s="433"/>
      <c r="K711" s="433"/>
      <c r="L711" s="433"/>
      <c r="M711" s="433"/>
      <c r="N711" s="433"/>
      <c r="O711" s="433"/>
      <c r="P711" s="433"/>
      <c r="Q711" s="433"/>
      <c r="R711" s="433"/>
      <c r="S711" s="433"/>
      <c r="T711" s="433"/>
      <c r="U711" s="433"/>
      <c r="V711" s="433"/>
      <c r="W711" s="433"/>
      <c r="X711" s="433"/>
      <c r="Y711" s="433"/>
      <c r="Z711" s="433"/>
    </row>
    <row r="712">
      <c r="A712" s="440"/>
      <c r="B712" s="441"/>
      <c r="C712" s="442"/>
      <c r="D712" s="443"/>
      <c r="E712" s="433"/>
      <c r="F712" s="433"/>
      <c r="G712" s="433"/>
      <c r="H712" s="433"/>
      <c r="I712" s="433"/>
      <c r="J712" s="433"/>
      <c r="K712" s="433"/>
      <c r="L712" s="433"/>
      <c r="M712" s="433"/>
      <c r="N712" s="433"/>
      <c r="O712" s="433"/>
      <c r="P712" s="433"/>
      <c r="Q712" s="433"/>
      <c r="R712" s="433"/>
      <c r="S712" s="433"/>
      <c r="T712" s="433"/>
      <c r="U712" s="433"/>
      <c r="V712" s="433"/>
      <c r="W712" s="433"/>
      <c r="X712" s="433"/>
      <c r="Y712" s="433"/>
      <c r="Z712" s="433"/>
    </row>
    <row r="713">
      <c r="A713" s="440"/>
      <c r="B713" s="441"/>
      <c r="C713" s="442"/>
      <c r="D713" s="443"/>
      <c r="E713" s="433"/>
      <c r="F713" s="433"/>
      <c r="G713" s="433"/>
      <c r="H713" s="433"/>
      <c r="I713" s="433"/>
      <c r="J713" s="433"/>
      <c r="K713" s="433"/>
      <c r="L713" s="433"/>
      <c r="M713" s="433"/>
      <c r="N713" s="433"/>
      <c r="O713" s="433"/>
      <c r="P713" s="433"/>
      <c r="Q713" s="433"/>
      <c r="R713" s="433"/>
      <c r="S713" s="433"/>
      <c r="T713" s="433"/>
      <c r="U713" s="433"/>
      <c r="V713" s="433"/>
      <c r="W713" s="433"/>
      <c r="X713" s="433"/>
      <c r="Y713" s="433"/>
      <c r="Z713" s="433"/>
    </row>
    <row r="714">
      <c r="A714" s="440"/>
      <c r="B714" s="441"/>
      <c r="C714" s="442"/>
      <c r="D714" s="443"/>
      <c r="E714" s="433"/>
      <c r="F714" s="433"/>
      <c r="G714" s="433"/>
      <c r="H714" s="433"/>
      <c r="I714" s="433"/>
      <c r="J714" s="433"/>
      <c r="K714" s="433"/>
      <c r="L714" s="433"/>
      <c r="M714" s="433"/>
      <c r="N714" s="433"/>
      <c r="O714" s="433"/>
      <c r="P714" s="433"/>
      <c r="Q714" s="433"/>
      <c r="R714" s="433"/>
      <c r="S714" s="433"/>
      <c r="T714" s="433"/>
      <c r="U714" s="433"/>
      <c r="V714" s="433"/>
      <c r="W714" s="433"/>
      <c r="X714" s="433"/>
      <c r="Y714" s="433"/>
      <c r="Z714" s="433"/>
    </row>
    <row r="715">
      <c r="A715" s="440"/>
      <c r="B715" s="441"/>
      <c r="C715" s="442"/>
      <c r="D715" s="443"/>
      <c r="E715" s="433"/>
      <c r="F715" s="433"/>
      <c r="G715" s="433"/>
      <c r="H715" s="433"/>
      <c r="I715" s="433"/>
      <c r="J715" s="433"/>
      <c r="K715" s="433"/>
      <c r="L715" s="433"/>
      <c r="M715" s="433"/>
      <c r="N715" s="433"/>
      <c r="O715" s="433"/>
      <c r="P715" s="433"/>
      <c r="Q715" s="433"/>
      <c r="R715" s="433"/>
      <c r="S715" s="433"/>
      <c r="T715" s="433"/>
      <c r="U715" s="433"/>
      <c r="V715" s="433"/>
      <c r="W715" s="433"/>
      <c r="X715" s="433"/>
      <c r="Y715" s="433"/>
      <c r="Z715" s="433"/>
    </row>
    <row r="716">
      <c r="A716" s="440"/>
      <c r="B716" s="441"/>
      <c r="C716" s="442"/>
      <c r="D716" s="443"/>
      <c r="E716" s="433"/>
      <c r="F716" s="433"/>
      <c r="G716" s="433"/>
      <c r="H716" s="433"/>
      <c r="I716" s="433"/>
      <c r="J716" s="433"/>
      <c r="K716" s="433"/>
      <c r="L716" s="433"/>
      <c r="M716" s="433"/>
      <c r="N716" s="433"/>
      <c r="O716" s="433"/>
      <c r="P716" s="433"/>
      <c r="Q716" s="433"/>
      <c r="R716" s="433"/>
      <c r="S716" s="433"/>
      <c r="T716" s="433"/>
      <c r="U716" s="433"/>
      <c r="V716" s="433"/>
      <c r="W716" s="433"/>
      <c r="X716" s="433"/>
      <c r="Y716" s="433"/>
      <c r="Z716" s="433"/>
    </row>
    <row r="717">
      <c r="A717" s="440"/>
      <c r="B717" s="441"/>
      <c r="C717" s="442"/>
      <c r="D717" s="443"/>
      <c r="E717" s="433"/>
      <c r="F717" s="433"/>
      <c r="G717" s="433"/>
      <c r="H717" s="433"/>
      <c r="I717" s="433"/>
      <c r="J717" s="433"/>
      <c r="K717" s="433"/>
      <c r="L717" s="433"/>
      <c r="M717" s="433"/>
      <c r="N717" s="433"/>
      <c r="O717" s="433"/>
      <c r="P717" s="433"/>
      <c r="Q717" s="433"/>
      <c r="R717" s="433"/>
      <c r="S717" s="433"/>
      <c r="T717" s="433"/>
      <c r="U717" s="433"/>
      <c r="V717" s="433"/>
      <c r="W717" s="433"/>
      <c r="X717" s="433"/>
      <c r="Y717" s="433"/>
      <c r="Z717" s="433"/>
    </row>
    <row r="718">
      <c r="A718" s="440"/>
      <c r="B718" s="441"/>
      <c r="C718" s="442"/>
      <c r="D718" s="443"/>
      <c r="E718" s="433"/>
      <c r="F718" s="433"/>
      <c r="G718" s="433"/>
      <c r="H718" s="433"/>
      <c r="I718" s="433"/>
      <c r="J718" s="433"/>
      <c r="K718" s="433"/>
      <c r="L718" s="433"/>
      <c r="M718" s="433"/>
      <c r="N718" s="433"/>
      <c r="O718" s="433"/>
      <c r="P718" s="433"/>
      <c r="Q718" s="433"/>
      <c r="R718" s="433"/>
      <c r="S718" s="433"/>
      <c r="T718" s="433"/>
      <c r="U718" s="433"/>
      <c r="V718" s="433"/>
      <c r="W718" s="433"/>
      <c r="X718" s="433"/>
      <c r="Y718" s="433"/>
      <c r="Z718" s="433"/>
    </row>
    <row r="719">
      <c r="A719" s="440"/>
      <c r="B719" s="441"/>
      <c r="C719" s="442"/>
      <c r="D719" s="443"/>
      <c r="E719" s="433"/>
      <c r="F719" s="433"/>
      <c r="G719" s="433"/>
      <c r="H719" s="433"/>
      <c r="I719" s="433"/>
      <c r="J719" s="433"/>
      <c r="K719" s="433"/>
      <c r="L719" s="433"/>
      <c r="M719" s="433"/>
      <c r="N719" s="433"/>
      <c r="O719" s="433"/>
      <c r="P719" s="433"/>
      <c r="Q719" s="433"/>
      <c r="R719" s="433"/>
      <c r="S719" s="433"/>
      <c r="T719" s="433"/>
      <c r="U719" s="433"/>
      <c r="V719" s="433"/>
      <c r="W719" s="433"/>
      <c r="X719" s="433"/>
      <c r="Y719" s="433"/>
      <c r="Z719" s="433"/>
    </row>
    <row r="720">
      <c r="A720" s="440"/>
      <c r="B720" s="441"/>
      <c r="C720" s="442"/>
      <c r="D720" s="443"/>
      <c r="E720" s="433"/>
      <c r="F720" s="433"/>
      <c r="G720" s="433"/>
      <c r="H720" s="433"/>
      <c r="I720" s="433"/>
      <c r="J720" s="433"/>
      <c r="K720" s="433"/>
      <c r="L720" s="433"/>
      <c r="M720" s="433"/>
      <c r="N720" s="433"/>
      <c r="O720" s="433"/>
      <c r="P720" s="433"/>
      <c r="Q720" s="433"/>
      <c r="R720" s="433"/>
      <c r="S720" s="433"/>
      <c r="T720" s="433"/>
      <c r="U720" s="433"/>
      <c r="V720" s="433"/>
      <c r="W720" s="433"/>
      <c r="X720" s="433"/>
      <c r="Y720" s="433"/>
      <c r="Z720" s="433"/>
    </row>
    <row r="721">
      <c r="A721" s="440"/>
      <c r="B721" s="441"/>
      <c r="C721" s="442"/>
      <c r="D721" s="443"/>
      <c r="E721" s="433"/>
      <c r="F721" s="433"/>
      <c r="G721" s="433"/>
      <c r="H721" s="433"/>
      <c r="I721" s="433"/>
      <c r="J721" s="433"/>
      <c r="K721" s="433"/>
      <c r="L721" s="433"/>
      <c r="M721" s="433"/>
      <c r="N721" s="433"/>
      <c r="O721" s="433"/>
      <c r="P721" s="433"/>
      <c r="Q721" s="433"/>
      <c r="R721" s="433"/>
      <c r="S721" s="433"/>
      <c r="T721" s="433"/>
      <c r="U721" s="433"/>
      <c r="V721" s="433"/>
      <c r="W721" s="433"/>
      <c r="X721" s="433"/>
      <c r="Y721" s="433"/>
      <c r="Z721" s="433"/>
    </row>
    <row r="722">
      <c r="A722" s="440"/>
      <c r="B722" s="441"/>
      <c r="C722" s="442"/>
      <c r="D722" s="443"/>
      <c r="E722" s="433"/>
      <c r="F722" s="433"/>
      <c r="G722" s="433"/>
      <c r="H722" s="433"/>
      <c r="I722" s="433"/>
      <c r="J722" s="433"/>
      <c r="K722" s="433"/>
      <c r="L722" s="433"/>
      <c r="M722" s="433"/>
      <c r="N722" s="433"/>
      <c r="O722" s="433"/>
      <c r="P722" s="433"/>
      <c r="Q722" s="433"/>
      <c r="R722" s="433"/>
      <c r="S722" s="433"/>
      <c r="T722" s="433"/>
      <c r="U722" s="433"/>
      <c r="V722" s="433"/>
      <c r="W722" s="433"/>
      <c r="X722" s="433"/>
      <c r="Y722" s="433"/>
      <c r="Z722" s="433"/>
    </row>
    <row r="723">
      <c r="A723" s="440"/>
      <c r="B723" s="441"/>
      <c r="C723" s="442"/>
      <c r="D723" s="443"/>
      <c r="E723" s="433"/>
      <c r="F723" s="433"/>
      <c r="G723" s="433"/>
      <c r="H723" s="433"/>
      <c r="I723" s="433"/>
      <c r="J723" s="433"/>
      <c r="K723" s="433"/>
      <c r="L723" s="433"/>
      <c r="M723" s="433"/>
      <c r="N723" s="433"/>
      <c r="O723" s="433"/>
      <c r="P723" s="433"/>
      <c r="Q723" s="433"/>
      <c r="R723" s="433"/>
      <c r="S723" s="433"/>
      <c r="T723" s="433"/>
      <c r="U723" s="433"/>
      <c r="V723" s="433"/>
      <c r="W723" s="433"/>
      <c r="X723" s="433"/>
      <c r="Y723" s="433"/>
      <c r="Z723" s="433"/>
    </row>
    <row r="724">
      <c r="A724" s="440"/>
      <c r="B724" s="441"/>
      <c r="C724" s="442"/>
      <c r="D724" s="443"/>
      <c r="E724" s="433"/>
      <c r="F724" s="433"/>
      <c r="G724" s="433"/>
      <c r="H724" s="433"/>
      <c r="I724" s="433"/>
      <c r="J724" s="433"/>
      <c r="K724" s="433"/>
      <c r="L724" s="433"/>
      <c r="M724" s="433"/>
      <c r="N724" s="433"/>
      <c r="O724" s="433"/>
      <c r="P724" s="433"/>
      <c r="Q724" s="433"/>
      <c r="R724" s="433"/>
      <c r="S724" s="433"/>
      <c r="T724" s="433"/>
      <c r="U724" s="433"/>
      <c r="V724" s="433"/>
      <c r="W724" s="433"/>
      <c r="X724" s="433"/>
      <c r="Y724" s="433"/>
      <c r="Z724" s="433"/>
    </row>
    <row r="725">
      <c r="A725" s="440"/>
      <c r="B725" s="441"/>
      <c r="C725" s="442"/>
      <c r="D725" s="443"/>
      <c r="E725" s="433"/>
      <c r="F725" s="433"/>
      <c r="G725" s="433"/>
      <c r="H725" s="433"/>
      <c r="I725" s="433"/>
      <c r="J725" s="433"/>
      <c r="K725" s="433"/>
      <c r="L725" s="433"/>
      <c r="M725" s="433"/>
      <c r="N725" s="433"/>
      <c r="O725" s="433"/>
      <c r="P725" s="433"/>
      <c r="Q725" s="433"/>
      <c r="R725" s="433"/>
      <c r="S725" s="433"/>
      <c r="T725" s="433"/>
      <c r="U725" s="433"/>
      <c r="V725" s="433"/>
      <c r="W725" s="433"/>
      <c r="X725" s="433"/>
      <c r="Y725" s="433"/>
      <c r="Z725" s="433"/>
    </row>
    <row r="726">
      <c r="A726" s="440"/>
      <c r="B726" s="441"/>
      <c r="C726" s="442"/>
      <c r="D726" s="443"/>
      <c r="E726" s="433"/>
      <c r="F726" s="433"/>
      <c r="G726" s="433"/>
      <c r="H726" s="433"/>
      <c r="I726" s="433"/>
      <c r="J726" s="433"/>
      <c r="K726" s="433"/>
      <c r="L726" s="433"/>
      <c r="M726" s="433"/>
      <c r="N726" s="433"/>
      <c r="O726" s="433"/>
      <c r="P726" s="433"/>
      <c r="Q726" s="433"/>
      <c r="R726" s="433"/>
      <c r="S726" s="433"/>
      <c r="T726" s="433"/>
      <c r="U726" s="433"/>
      <c r="V726" s="433"/>
      <c r="W726" s="433"/>
      <c r="X726" s="433"/>
      <c r="Y726" s="433"/>
      <c r="Z726" s="433"/>
    </row>
    <row r="727">
      <c r="A727" s="440"/>
      <c r="B727" s="441"/>
      <c r="C727" s="442"/>
      <c r="D727" s="443"/>
      <c r="E727" s="433"/>
      <c r="F727" s="433"/>
      <c r="G727" s="433"/>
      <c r="H727" s="433"/>
      <c r="I727" s="433"/>
      <c r="J727" s="433"/>
      <c r="K727" s="433"/>
      <c r="L727" s="433"/>
      <c r="M727" s="433"/>
      <c r="N727" s="433"/>
      <c r="O727" s="433"/>
      <c r="P727" s="433"/>
      <c r="Q727" s="433"/>
      <c r="R727" s="433"/>
      <c r="S727" s="433"/>
      <c r="T727" s="433"/>
      <c r="U727" s="433"/>
      <c r="V727" s="433"/>
      <c r="W727" s="433"/>
      <c r="X727" s="433"/>
      <c r="Y727" s="433"/>
      <c r="Z727" s="433"/>
    </row>
    <row r="728">
      <c r="A728" s="440"/>
      <c r="B728" s="441"/>
      <c r="C728" s="442"/>
      <c r="D728" s="443"/>
      <c r="E728" s="433"/>
      <c r="F728" s="433"/>
      <c r="G728" s="433"/>
      <c r="H728" s="433"/>
      <c r="I728" s="433"/>
      <c r="J728" s="433"/>
      <c r="K728" s="433"/>
      <c r="L728" s="433"/>
      <c r="M728" s="433"/>
      <c r="N728" s="433"/>
      <c r="O728" s="433"/>
      <c r="P728" s="433"/>
      <c r="Q728" s="433"/>
      <c r="R728" s="433"/>
      <c r="S728" s="433"/>
      <c r="T728" s="433"/>
      <c r="U728" s="433"/>
      <c r="V728" s="433"/>
      <c r="W728" s="433"/>
      <c r="X728" s="433"/>
      <c r="Y728" s="433"/>
      <c r="Z728" s="433"/>
    </row>
    <row r="729">
      <c r="A729" s="440"/>
      <c r="B729" s="441"/>
      <c r="C729" s="442"/>
      <c r="D729" s="443"/>
      <c r="E729" s="433"/>
      <c r="F729" s="433"/>
      <c r="G729" s="433"/>
      <c r="H729" s="433"/>
      <c r="I729" s="433"/>
      <c r="J729" s="433"/>
      <c r="K729" s="433"/>
      <c r="L729" s="433"/>
      <c r="M729" s="433"/>
      <c r="N729" s="433"/>
      <c r="O729" s="433"/>
      <c r="P729" s="433"/>
      <c r="Q729" s="433"/>
      <c r="R729" s="433"/>
      <c r="S729" s="433"/>
      <c r="T729" s="433"/>
      <c r="U729" s="433"/>
      <c r="V729" s="433"/>
      <c r="W729" s="433"/>
      <c r="X729" s="433"/>
      <c r="Y729" s="433"/>
      <c r="Z729" s="433"/>
    </row>
    <row r="730">
      <c r="A730" s="440"/>
      <c r="B730" s="441"/>
      <c r="C730" s="442"/>
      <c r="D730" s="443"/>
      <c r="E730" s="433"/>
      <c r="F730" s="433"/>
      <c r="G730" s="433"/>
      <c r="H730" s="433"/>
      <c r="I730" s="433"/>
      <c r="J730" s="433"/>
      <c r="K730" s="433"/>
      <c r="L730" s="433"/>
      <c r="M730" s="433"/>
      <c r="N730" s="433"/>
      <c r="O730" s="433"/>
      <c r="P730" s="433"/>
      <c r="Q730" s="433"/>
      <c r="R730" s="433"/>
      <c r="S730" s="433"/>
      <c r="T730" s="433"/>
      <c r="U730" s="433"/>
      <c r="V730" s="433"/>
      <c r="W730" s="433"/>
      <c r="X730" s="433"/>
      <c r="Y730" s="433"/>
      <c r="Z730" s="433"/>
    </row>
    <row r="731">
      <c r="A731" s="440"/>
      <c r="B731" s="441"/>
      <c r="C731" s="442"/>
      <c r="D731" s="443"/>
      <c r="E731" s="433"/>
      <c r="F731" s="433"/>
      <c r="G731" s="433"/>
      <c r="H731" s="433"/>
      <c r="I731" s="433"/>
      <c r="J731" s="433"/>
      <c r="K731" s="433"/>
      <c r="L731" s="433"/>
      <c r="M731" s="433"/>
      <c r="N731" s="433"/>
      <c r="O731" s="433"/>
      <c r="P731" s="433"/>
      <c r="Q731" s="433"/>
      <c r="R731" s="433"/>
      <c r="S731" s="433"/>
      <c r="T731" s="433"/>
      <c r="U731" s="433"/>
      <c r="V731" s="433"/>
      <c r="W731" s="433"/>
      <c r="X731" s="433"/>
      <c r="Y731" s="433"/>
      <c r="Z731" s="433"/>
    </row>
    <row r="732">
      <c r="A732" s="440"/>
      <c r="B732" s="441"/>
      <c r="C732" s="442"/>
      <c r="D732" s="443"/>
      <c r="E732" s="433"/>
      <c r="F732" s="433"/>
      <c r="G732" s="433"/>
      <c r="H732" s="433"/>
      <c r="I732" s="433"/>
      <c r="J732" s="433"/>
      <c r="K732" s="433"/>
      <c r="L732" s="433"/>
      <c r="M732" s="433"/>
      <c r="N732" s="433"/>
      <c r="O732" s="433"/>
      <c r="P732" s="433"/>
      <c r="Q732" s="433"/>
      <c r="R732" s="433"/>
      <c r="S732" s="433"/>
      <c r="T732" s="433"/>
      <c r="U732" s="433"/>
      <c r="V732" s="433"/>
      <c r="W732" s="433"/>
      <c r="X732" s="433"/>
      <c r="Y732" s="433"/>
      <c r="Z732" s="433"/>
    </row>
    <row r="733">
      <c r="A733" s="440"/>
      <c r="B733" s="441"/>
      <c r="C733" s="442"/>
      <c r="D733" s="443"/>
      <c r="E733" s="433"/>
      <c r="F733" s="433"/>
      <c r="G733" s="433"/>
      <c r="H733" s="433"/>
      <c r="I733" s="433"/>
      <c r="J733" s="433"/>
      <c r="K733" s="433"/>
      <c r="L733" s="433"/>
      <c r="M733" s="433"/>
      <c r="N733" s="433"/>
      <c r="O733" s="433"/>
      <c r="P733" s="433"/>
      <c r="Q733" s="433"/>
      <c r="R733" s="433"/>
      <c r="S733" s="433"/>
      <c r="T733" s="433"/>
      <c r="U733" s="433"/>
      <c r="V733" s="433"/>
      <c r="W733" s="433"/>
      <c r="X733" s="433"/>
      <c r="Y733" s="433"/>
      <c r="Z733" s="433"/>
    </row>
    <row r="734">
      <c r="A734" s="440"/>
      <c r="B734" s="441"/>
      <c r="C734" s="442"/>
      <c r="D734" s="443"/>
      <c r="E734" s="433"/>
      <c r="F734" s="433"/>
      <c r="G734" s="433"/>
      <c r="H734" s="433"/>
      <c r="I734" s="433"/>
      <c r="J734" s="433"/>
      <c r="K734" s="433"/>
      <c r="L734" s="433"/>
      <c r="M734" s="433"/>
      <c r="N734" s="433"/>
      <c r="O734" s="433"/>
      <c r="P734" s="433"/>
      <c r="Q734" s="433"/>
      <c r="R734" s="433"/>
      <c r="S734" s="433"/>
      <c r="T734" s="433"/>
      <c r="U734" s="433"/>
      <c r="V734" s="433"/>
      <c r="W734" s="433"/>
      <c r="X734" s="433"/>
      <c r="Y734" s="433"/>
      <c r="Z734" s="433"/>
    </row>
    <row r="735">
      <c r="A735" s="440"/>
      <c r="B735" s="441"/>
      <c r="C735" s="442"/>
      <c r="D735" s="443"/>
      <c r="E735" s="433"/>
      <c r="F735" s="433"/>
      <c r="G735" s="433"/>
      <c r="H735" s="433"/>
      <c r="I735" s="433"/>
      <c r="J735" s="433"/>
      <c r="K735" s="433"/>
      <c r="L735" s="433"/>
      <c r="M735" s="433"/>
      <c r="N735" s="433"/>
      <c r="O735" s="433"/>
      <c r="P735" s="433"/>
      <c r="Q735" s="433"/>
      <c r="R735" s="433"/>
      <c r="S735" s="433"/>
      <c r="T735" s="433"/>
      <c r="U735" s="433"/>
      <c r="V735" s="433"/>
      <c r="W735" s="433"/>
      <c r="X735" s="433"/>
      <c r="Y735" s="433"/>
      <c r="Z735" s="433"/>
    </row>
    <row r="736">
      <c r="A736" s="440"/>
      <c r="B736" s="441"/>
      <c r="C736" s="442"/>
      <c r="D736" s="443"/>
      <c r="E736" s="433"/>
      <c r="F736" s="433"/>
      <c r="G736" s="433"/>
      <c r="H736" s="433"/>
      <c r="I736" s="433"/>
      <c r="J736" s="433"/>
      <c r="K736" s="433"/>
      <c r="L736" s="433"/>
      <c r="M736" s="433"/>
      <c r="N736" s="433"/>
      <c r="O736" s="433"/>
      <c r="P736" s="433"/>
      <c r="Q736" s="433"/>
      <c r="R736" s="433"/>
      <c r="S736" s="433"/>
      <c r="T736" s="433"/>
      <c r="U736" s="433"/>
      <c r="V736" s="433"/>
      <c r="W736" s="433"/>
      <c r="X736" s="433"/>
      <c r="Y736" s="433"/>
      <c r="Z736" s="433"/>
    </row>
    <row r="737">
      <c r="A737" s="440"/>
      <c r="B737" s="441"/>
      <c r="C737" s="442"/>
      <c r="D737" s="443"/>
      <c r="E737" s="433"/>
      <c r="F737" s="433"/>
      <c r="G737" s="433"/>
      <c r="H737" s="433"/>
      <c r="I737" s="433"/>
      <c r="J737" s="433"/>
      <c r="K737" s="433"/>
      <c r="L737" s="433"/>
      <c r="M737" s="433"/>
      <c r="N737" s="433"/>
      <c r="O737" s="433"/>
      <c r="P737" s="433"/>
      <c r="Q737" s="433"/>
      <c r="R737" s="433"/>
      <c r="S737" s="433"/>
      <c r="T737" s="433"/>
      <c r="U737" s="433"/>
      <c r="V737" s="433"/>
      <c r="W737" s="433"/>
      <c r="X737" s="433"/>
      <c r="Y737" s="433"/>
      <c r="Z737" s="433"/>
    </row>
    <row r="738">
      <c r="A738" s="440"/>
      <c r="B738" s="441"/>
      <c r="C738" s="442"/>
      <c r="D738" s="443"/>
      <c r="E738" s="433"/>
      <c r="F738" s="433"/>
      <c r="G738" s="433"/>
      <c r="H738" s="433"/>
      <c r="I738" s="433"/>
      <c r="J738" s="433"/>
      <c r="K738" s="433"/>
      <c r="L738" s="433"/>
      <c r="M738" s="433"/>
      <c r="N738" s="433"/>
      <c r="O738" s="433"/>
      <c r="P738" s="433"/>
      <c r="Q738" s="433"/>
      <c r="R738" s="433"/>
      <c r="S738" s="433"/>
      <c r="T738" s="433"/>
      <c r="U738" s="433"/>
      <c r="V738" s="433"/>
      <c r="W738" s="433"/>
      <c r="X738" s="433"/>
      <c r="Y738" s="433"/>
      <c r="Z738" s="433"/>
    </row>
    <row r="739">
      <c r="A739" s="440"/>
      <c r="B739" s="441"/>
      <c r="C739" s="442"/>
      <c r="D739" s="443"/>
      <c r="E739" s="433"/>
      <c r="F739" s="433"/>
      <c r="G739" s="433"/>
      <c r="H739" s="433"/>
      <c r="I739" s="433"/>
      <c r="J739" s="433"/>
      <c r="K739" s="433"/>
      <c r="L739" s="433"/>
      <c r="M739" s="433"/>
      <c r="N739" s="433"/>
      <c r="O739" s="433"/>
      <c r="P739" s="433"/>
      <c r="Q739" s="433"/>
      <c r="R739" s="433"/>
      <c r="S739" s="433"/>
      <c r="T739" s="433"/>
      <c r="U739" s="433"/>
      <c r="V739" s="433"/>
      <c r="W739" s="433"/>
      <c r="X739" s="433"/>
      <c r="Y739" s="433"/>
      <c r="Z739" s="433"/>
    </row>
    <row r="740">
      <c r="A740" s="440"/>
      <c r="B740" s="441"/>
      <c r="C740" s="442"/>
      <c r="D740" s="443"/>
      <c r="E740" s="433"/>
      <c r="F740" s="433"/>
      <c r="G740" s="433"/>
      <c r="H740" s="433"/>
      <c r="I740" s="433"/>
      <c r="J740" s="433"/>
      <c r="K740" s="433"/>
      <c r="L740" s="433"/>
      <c r="M740" s="433"/>
      <c r="N740" s="433"/>
      <c r="O740" s="433"/>
      <c r="P740" s="433"/>
      <c r="Q740" s="433"/>
      <c r="R740" s="433"/>
      <c r="S740" s="433"/>
      <c r="T740" s="433"/>
      <c r="U740" s="433"/>
      <c r="V740" s="433"/>
      <c r="W740" s="433"/>
      <c r="X740" s="433"/>
      <c r="Y740" s="433"/>
      <c r="Z740" s="433"/>
    </row>
    <row r="741">
      <c r="A741" s="440"/>
      <c r="B741" s="441"/>
      <c r="C741" s="442"/>
      <c r="D741" s="443"/>
      <c r="E741" s="433"/>
      <c r="F741" s="433"/>
      <c r="G741" s="433"/>
      <c r="H741" s="433"/>
      <c r="I741" s="433"/>
      <c r="J741" s="433"/>
      <c r="K741" s="433"/>
      <c r="L741" s="433"/>
      <c r="M741" s="433"/>
      <c r="N741" s="433"/>
      <c r="O741" s="433"/>
      <c r="P741" s="433"/>
      <c r="Q741" s="433"/>
      <c r="R741" s="433"/>
      <c r="S741" s="433"/>
      <c r="T741" s="433"/>
      <c r="U741" s="433"/>
      <c r="V741" s="433"/>
      <c r="W741" s="433"/>
      <c r="X741" s="433"/>
      <c r="Y741" s="433"/>
      <c r="Z741" s="433"/>
    </row>
    <row r="742">
      <c r="A742" s="440"/>
      <c r="B742" s="441"/>
      <c r="C742" s="442"/>
      <c r="D742" s="443"/>
      <c r="E742" s="433"/>
      <c r="F742" s="433"/>
      <c r="G742" s="433"/>
      <c r="H742" s="433"/>
      <c r="I742" s="433"/>
      <c r="J742" s="433"/>
      <c r="K742" s="433"/>
      <c r="L742" s="433"/>
      <c r="M742" s="433"/>
      <c r="N742" s="433"/>
      <c r="O742" s="433"/>
      <c r="P742" s="433"/>
      <c r="Q742" s="433"/>
      <c r="R742" s="433"/>
      <c r="S742" s="433"/>
      <c r="T742" s="433"/>
      <c r="U742" s="433"/>
      <c r="V742" s="433"/>
      <c r="W742" s="433"/>
      <c r="X742" s="433"/>
      <c r="Y742" s="433"/>
      <c r="Z742" s="433"/>
    </row>
    <row r="743">
      <c r="A743" s="440"/>
      <c r="B743" s="441"/>
      <c r="C743" s="442"/>
      <c r="D743" s="443"/>
      <c r="E743" s="433"/>
      <c r="F743" s="433"/>
      <c r="G743" s="433"/>
      <c r="H743" s="433"/>
      <c r="I743" s="433"/>
      <c r="J743" s="433"/>
      <c r="K743" s="433"/>
      <c r="L743" s="433"/>
      <c r="M743" s="433"/>
      <c r="N743" s="433"/>
      <c r="O743" s="433"/>
      <c r="P743" s="433"/>
      <c r="Q743" s="433"/>
      <c r="R743" s="433"/>
      <c r="S743" s="433"/>
      <c r="T743" s="433"/>
      <c r="U743" s="433"/>
      <c r="V743" s="433"/>
      <c r="W743" s="433"/>
      <c r="X743" s="433"/>
      <c r="Y743" s="433"/>
      <c r="Z743" s="433"/>
    </row>
    <row r="744">
      <c r="A744" s="440"/>
      <c r="B744" s="441"/>
      <c r="C744" s="442"/>
      <c r="D744" s="443"/>
      <c r="E744" s="433"/>
      <c r="F744" s="433"/>
      <c r="G744" s="433"/>
      <c r="H744" s="433"/>
      <c r="I744" s="433"/>
      <c r="J744" s="433"/>
      <c r="K744" s="433"/>
      <c r="L744" s="433"/>
      <c r="M744" s="433"/>
      <c r="N744" s="433"/>
      <c r="O744" s="433"/>
      <c r="P744" s="433"/>
      <c r="Q744" s="433"/>
      <c r="R744" s="433"/>
      <c r="S744" s="433"/>
      <c r="T744" s="433"/>
      <c r="U744" s="433"/>
      <c r="V744" s="433"/>
      <c r="W744" s="433"/>
      <c r="X744" s="433"/>
      <c r="Y744" s="433"/>
      <c r="Z744" s="433"/>
    </row>
    <row r="745">
      <c r="A745" s="440"/>
      <c r="B745" s="441"/>
      <c r="C745" s="442"/>
      <c r="D745" s="443"/>
      <c r="E745" s="433"/>
      <c r="F745" s="433"/>
      <c r="G745" s="433"/>
      <c r="H745" s="433"/>
      <c r="I745" s="433"/>
      <c r="J745" s="433"/>
      <c r="K745" s="433"/>
      <c r="L745" s="433"/>
      <c r="M745" s="433"/>
      <c r="N745" s="433"/>
      <c r="O745" s="433"/>
      <c r="P745" s="433"/>
      <c r="Q745" s="433"/>
      <c r="R745" s="433"/>
      <c r="S745" s="433"/>
      <c r="T745" s="433"/>
      <c r="U745" s="433"/>
      <c r="V745" s="433"/>
      <c r="W745" s="433"/>
      <c r="X745" s="433"/>
      <c r="Y745" s="433"/>
      <c r="Z745" s="433"/>
    </row>
    <row r="746">
      <c r="A746" s="440"/>
      <c r="B746" s="441"/>
      <c r="C746" s="442"/>
      <c r="D746" s="443"/>
      <c r="E746" s="433"/>
      <c r="F746" s="433"/>
      <c r="G746" s="433"/>
      <c r="H746" s="433"/>
      <c r="I746" s="433"/>
      <c r="J746" s="433"/>
      <c r="K746" s="433"/>
      <c r="L746" s="433"/>
      <c r="M746" s="433"/>
      <c r="N746" s="433"/>
      <c r="O746" s="433"/>
      <c r="P746" s="433"/>
      <c r="Q746" s="433"/>
      <c r="R746" s="433"/>
      <c r="S746" s="433"/>
      <c r="T746" s="433"/>
      <c r="U746" s="433"/>
      <c r="V746" s="433"/>
      <c r="W746" s="433"/>
      <c r="X746" s="433"/>
      <c r="Y746" s="433"/>
      <c r="Z746" s="433"/>
    </row>
    <row r="747">
      <c r="A747" s="440"/>
      <c r="B747" s="441"/>
      <c r="C747" s="442"/>
      <c r="D747" s="443"/>
      <c r="E747" s="433"/>
      <c r="F747" s="433"/>
      <c r="G747" s="433"/>
      <c r="H747" s="433"/>
      <c r="I747" s="433"/>
      <c r="J747" s="433"/>
      <c r="K747" s="433"/>
      <c r="L747" s="433"/>
      <c r="M747" s="433"/>
      <c r="N747" s="433"/>
      <c r="O747" s="433"/>
      <c r="P747" s="433"/>
      <c r="Q747" s="433"/>
      <c r="R747" s="433"/>
      <c r="S747" s="433"/>
      <c r="T747" s="433"/>
      <c r="U747" s="433"/>
      <c r="V747" s="433"/>
      <c r="W747" s="433"/>
      <c r="X747" s="433"/>
      <c r="Y747" s="433"/>
      <c r="Z747" s="433"/>
    </row>
    <row r="748">
      <c r="A748" s="440"/>
      <c r="B748" s="441"/>
      <c r="C748" s="442"/>
      <c r="D748" s="443"/>
      <c r="E748" s="433"/>
      <c r="F748" s="433"/>
      <c r="G748" s="433"/>
      <c r="H748" s="433"/>
      <c r="I748" s="433"/>
      <c r="J748" s="433"/>
      <c r="K748" s="433"/>
      <c r="L748" s="433"/>
      <c r="M748" s="433"/>
      <c r="N748" s="433"/>
      <c r="O748" s="433"/>
      <c r="P748" s="433"/>
      <c r="Q748" s="433"/>
      <c r="R748" s="433"/>
      <c r="S748" s="433"/>
      <c r="T748" s="433"/>
      <c r="U748" s="433"/>
      <c r="V748" s="433"/>
      <c r="W748" s="433"/>
      <c r="X748" s="433"/>
      <c r="Y748" s="433"/>
      <c r="Z748" s="433"/>
    </row>
    <row r="749">
      <c r="A749" s="440"/>
      <c r="B749" s="441"/>
      <c r="C749" s="442"/>
      <c r="D749" s="443"/>
      <c r="E749" s="433"/>
      <c r="F749" s="433"/>
      <c r="G749" s="433"/>
      <c r="H749" s="433"/>
      <c r="I749" s="433"/>
      <c r="J749" s="433"/>
      <c r="K749" s="433"/>
      <c r="L749" s="433"/>
      <c r="M749" s="433"/>
      <c r="N749" s="433"/>
      <c r="O749" s="433"/>
      <c r="P749" s="433"/>
      <c r="Q749" s="433"/>
      <c r="R749" s="433"/>
      <c r="S749" s="433"/>
      <c r="T749" s="433"/>
      <c r="U749" s="433"/>
      <c r="V749" s="433"/>
      <c r="W749" s="433"/>
      <c r="X749" s="433"/>
      <c r="Y749" s="433"/>
      <c r="Z749" s="433"/>
    </row>
    <row r="750">
      <c r="A750" s="440"/>
      <c r="B750" s="441"/>
      <c r="C750" s="442"/>
      <c r="D750" s="443"/>
      <c r="E750" s="433"/>
      <c r="F750" s="433"/>
      <c r="G750" s="433"/>
      <c r="H750" s="433"/>
      <c r="I750" s="433"/>
      <c r="J750" s="433"/>
      <c r="K750" s="433"/>
      <c r="L750" s="433"/>
      <c r="M750" s="433"/>
      <c r="N750" s="433"/>
      <c r="O750" s="433"/>
      <c r="P750" s="433"/>
      <c r="Q750" s="433"/>
      <c r="R750" s="433"/>
      <c r="S750" s="433"/>
      <c r="T750" s="433"/>
      <c r="U750" s="433"/>
      <c r="V750" s="433"/>
      <c r="W750" s="433"/>
      <c r="X750" s="433"/>
      <c r="Y750" s="433"/>
      <c r="Z750" s="433"/>
    </row>
    <row r="751">
      <c r="A751" s="440"/>
      <c r="B751" s="441"/>
      <c r="C751" s="442"/>
      <c r="D751" s="443"/>
      <c r="E751" s="433"/>
      <c r="F751" s="433"/>
      <c r="G751" s="433"/>
      <c r="H751" s="433"/>
      <c r="I751" s="433"/>
      <c r="J751" s="433"/>
      <c r="K751" s="433"/>
      <c r="L751" s="433"/>
      <c r="M751" s="433"/>
      <c r="N751" s="433"/>
      <c r="O751" s="433"/>
      <c r="P751" s="433"/>
      <c r="Q751" s="433"/>
      <c r="R751" s="433"/>
      <c r="S751" s="433"/>
      <c r="T751" s="433"/>
      <c r="U751" s="433"/>
      <c r="V751" s="433"/>
      <c r="W751" s="433"/>
      <c r="X751" s="433"/>
      <c r="Y751" s="433"/>
      <c r="Z751" s="433"/>
    </row>
    <row r="752">
      <c r="A752" s="440"/>
      <c r="B752" s="441"/>
      <c r="C752" s="442"/>
      <c r="D752" s="443"/>
      <c r="E752" s="433"/>
      <c r="F752" s="433"/>
      <c r="G752" s="433"/>
      <c r="H752" s="433"/>
      <c r="I752" s="433"/>
      <c r="J752" s="433"/>
      <c r="K752" s="433"/>
      <c r="L752" s="433"/>
      <c r="M752" s="433"/>
      <c r="N752" s="433"/>
      <c r="O752" s="433"/>
      <c r="P752" s="433"/>
      <c r="Q752" s="433"/>
      <c r="R752" s="433"/>
      <c r="S752" s="433"/>
      <c r="T752" s="433"/>
      <c r="U752" s="433"/>
      <c r="V752" s="433"/>
      <c r="W752" s="433"/>
      <c r="X752" s="433"/>
      <c r="Y752" s="433"/>
      <c r="Z752" s="433"/>
    </row>
    <row r="753">
      <c r="A753" s="440"/>
      <c r="B753" s="441"/>
      <c r="C753" s="442"/>
      <c r="D753" s="443"/>
      <c r="E753" s="433"/>
      <c r="F753" s="433"/>
      <c r="G753" s="433"/>
      <c r="H753" s="433"/>
      <c r="I753" s="433"/>
      <c r="J753" s="433"/>
      <c r="K753" s="433"/>
      <c r="L753" s="433"/>
      <c r="M753" s="433"/>
      <c r="N753" s="433"/>
      <c r="O753" s="433"/>
      <c r="P753" s="433"/>
      <c r="Q753" s="433"/>
      <c r="R753" s="433"/>
      <c r="S753" s="433"/>
      <c r="T753" s="433"/>
      <c r="U753" s="433"/>
      <c r="V753" s="433"/>
      <c r="W753" s="433"/>
      <c r="X753" s="433"/>
      <c r="Y753" s="433"/>
      <c r="Z753" s="433"/>
    </row>
    <row r="754">
      <c r="A754" s="440"/>
      <c r="B754" s="441"/>
      <c r="C754" s="442"/>
      <c r="D754" s="443"/>
      <c r="E754" s="433"/>
      <c r="F754" s="433"/>
      <c r="G754" s="433"/>
      <c r="H754" s="433"/>
      <c r="I754" s="433"/>
      <c r="J754" s="433"/>
      <c r="K754" s="433"/>
      <c r="L754" s="433"/>
      <c r="M754" s="433"/>
      <c r="N754" s="433"/>
      <c r="O754" s="433"/>
      <c r="P754" s="433"/>
      <c r="Q754" s="433"/>
      <c r="R754" s="433"/>
      <c r="S754" s="433"/>
      <c r="T754" s="433"/>
      <c r="U754" s="433"/>
      <c r="V754" s="433"/>
      <c r="W754" s="433"/>
      <c r="X754" s="433"/>
      <c r="Y754" s="433"/>
      <c r="Z754" s="433"/>
    </row>
    <row r="755">
      <c r="A755" s="440"/>
      <c r="B755" s="441"/>
      <c r="C755" s="442"/>
      <c r="D755" s="443"/>
      <c r="E755" s="433"/>
      <c r="F755" s="433"/>
      <c r="G755" s="433"/>
      <c r="H755" s="433"/>
      <c r="I755" s="433"/>
      <c r="J755" s="433"/>
      <c r="K755" s="433"/>
      <c r="L755" s="433"/>
      <c r="M755" s="433"/>
      <c r="N755" s="433"/>
      <c r="O755" s="433"/>
      <c r="P755" s="433"/>
      <c r="Q755" s="433"/>
      <c r="R755" s="433"/>
      <c r="S755" s="433"/>
      <c r="T755" s="433"/>
      <c r="U755" s="433"/>
      <c r="V755" s="433"/>
      <c r="W755" s="433"/>
      <c r="X755" s="433"/>
      <c r="Y755" s="433"/>
      <c r="Z755" s="433"/>
    </row>
    <row r="756">
      <c r="A756" s="440"/>
      <c r="B756" s="441"/>
      <c r="C756" s="442"/>
      <c r="D756" s="443"/>
      <c r="E756" s="433"/>
      <c r="F756" s="433"/>
      <c r="G756" s="433"/>
      <c r="H756" s="433"/>
      <c r="I756" s="433"/>
      <c r="J756" s="433"/>
      <c r="K756" s="433"/>
      <c r="L756" s="433"/>
      <c r="M756" s="433"/>
      <c r="N756" s="433"/>
      <c r="O756" s="433"/>
      <c r="P756" s="433"/>
      <c r="Q756" s="433"/>
      <c r="R756" s="433"/>
      <c r="S756" s="433"/>
      <c r="T756" s="433"/>
      <c r="U756" s="433"/>
      <c r="V756" s="433"/>
      <c r="W756" s="433"/>
      <c r="X756" s="433"/>
      <c r="Y756" s="433"/>
      <c r="Z756" s="433"/>
    </row>
    <row r="757">
      <c r="A757" s="440"/>
      <c r="B757" s="441"/>
      <c r="C757" s="442"/>
      <c r="D757" s="443"/>
      <c r="E757" s="433"/>
      <c r="F757" s="433"/>
      <c r="G757" s="433"/>
      <c r="H757" s="433"/>
      <c r="I757" s="433"/>
      <c r="J757" s="433"/>
      <c r="K757" s="433"/>
      <c r="L757" s="433"/>
      <c r="M757" s="433"/>
      <c r="N757" s="433"/>
      <c r="O757" s="433"/>
      <c r="P757" s="433"/>
      <c r="Q757" s="433"/>
      <c r="R757" s="433"/>
      <c r="S757" s="433"/>
      <c r="T757" s="433"/>
      <c r="U757" s="433"/>
      <c r="V757" s="433"/>
      <c r="W757" s="433"/>
      <c r="X757" s="433"/>
      <c r="Y757" s="433"/>
      <c r="Z757" s="433"/>
    </row>
    <row r="758">
      <c r="A758" s="440"/>
      <c r="B758" s="441"/>
      <c r="C758" s="442"/>
      <c r="D758" s="443"/>
      <c r="E758" s="433"/>
      <c r="F758" s="433"/>
      <c r="G758" s="433"/>
      <c r="H758" s="433"/>
      <c r="I758" s="433"/>
      <c r="J758" s="433"/>
      <c r="K758" s="433"/>
      <c r="L758" s="433"/>
      <c r="M758" s="433"/>
      <c r="N758" s="433"/>
      <c r="O758" s="433"/>
      <c r="P758" s="433"/>
      <c r="Q758" s="433"/>
      <c r="R758" s="433"/>
      <c r="S758" s="433"/>
      <c r="T758" s="433"/>
      <c r="U758" s="433"/>
      <c r="V758" s="433"/>
      <c r="W758" s="433"/>
      <c r="X758" s="433"/>
      <c r="Y758" s="433"/>
      <c r="Z758" s="433"/>
    </row>
    <row r="759">
      <c r="A759" s="440"/>
      <c r="B759" s="441"/>
      <c r="C759" s="442"/>
      <c r="D759" s="443"/>
      <c r="E759" s="433"/>
      <c r="F759" s="433"/>
      <c r="G759" s="433"/>
      <c r="H759" s="433"/>
      <c r="I759" s="433"/>
      <c r="J759" s="433"/>
      <c r="K759" s="433"/>
      <c r="L759" s="433"/>
      <c r="M759" s="433"/>
      <c r="N759" s="433"/>
      <c r="O759" s="433"/>
      <c r="P759" s="433"/>
      <c r="Q759" s="433"/>
      <c r="R759" s="433"/>
      <c r="S759" s="433"/>
      <c r="T759" s="433"/>
      <c r="U759" s="433"/>
      <c r="V759" s="433"/>
      <c r="W759" s="433"/>
      <c r="X759" s="433"/>
      <c r="Y759" s="433"/>
      <c r="Z759" s="433"/>
    </row>
    <row r="760">
      <c r="A760" s="440"/>
      <c r="B760" s="441"/>
      <c r="C760" s="442"/>
      <c r="D760" s="443"/>
      <c r="E760" s="433"/>
      <c r="F760" s="433"/>
      <c r="G760" s="433"/>
      <c r="H760" s="433"/>
      <c r="I760" s="433"/>
      <c r="J760" s="433"/>
      <c r="K760" s="433"/>
      <c r="L760" s="433"/>
      <c r="M760" s="433"/>
      <c r="N760" s="433"/>
      <c r="O760" s="433"/>
      <c r="P760" s="433"/>
      <c r="Q760" s="433"/>
      <c r="R760" s="433"/>
      <c r="S760" s="433"/>
      <c r="T760" s="433"/>
      <c r="U760" s="433"/>
      <c r="V760" s="433"/>
      <c r="W760" s="433"/>
      <c r="X760" s="433"/>
      <c r="Y760" s="433"/>
      <c r="Z760" s="433"/>
    </row>
    <row r="761">
      <c r="A761" s="440"/>
      <c r="B761" s="441"/>
      <c r="C761" s="442"/>
      <c r="D761" s="443"/>
      <c r="E761" s="433"/>
      <c r="F761" s="433"/>
      <c r="G761" s="433"/>
      <c r="H761" s="433"/>
      <c r="I761" s="433"/>
      <c r="J761" s="433"/>
      <c r="K761" s="433"/>
      <c r="L761" s="433"/>
      <c r="M761" s="433"/>
      <c r="N761" s="433"/>
      <c r="O761" s="433"/>
      <c r="P761" s="433"/>
      <c r="Q761" s="433"/>
      <c r="R761" s="433"/>
      <c r="S761" s="433"/>
      <c r="T761" s="433"/>
      <c r="U761" s="433"/>
      <c r="V761" s="433"/>
      <c r="W761" s="433"/>
      <c r="X761" s="433"/>
      <c r="Y761" s="433"/>
      <c r="Z761" s="433"/>
    </row>
    <row r="762">
      <c r="A762" s="440"/>
      <c r="B762" s="441"/>
      <c r="C762" s="442"/>
      <c r="D762" s="443"/>
      <c r="E762" s="433"/>
      <c r="F762" s="433"/>
      <c r="G762" s="433"/>
      <c r="H762" s="433"/>
      <c r="I762" s="433"/>
      <c r="J762" s="433"/>
      <c r="K762" s="433"/>
      <c r="L762" s="433"/>
      <c r="M762" s="433"/>
      <c r="N762" s="433"/>
      <c r="O762" s="433"/>
      <c r="P762" s="433"/>
      <c r="Q762" s="433"/>
      <c r="R762" s="433"/>
      <c r="S762" s="433"/>
      <c r="T762" s="433"/>
      <c r="U762" s="433"/>
      <c r="V762" s="433"/>
      <c r="W762" s="433"/>
      <c r="X762" s="433"/>
      <c r="Y762" s="433"/>
      <c r="Z762" s="433"/>
    </row>
    <row r="763">
      <c r="A763" s="440"/>
      <c r="B763" s="441"/>
      <c r="C763" s="442"/>
      <c r="D763" s="443"/>
      <c r="E763" s="433"/>
      <c r="F763" s="433"/>
      <c r="G763" s="433"/>
      <c r="H763" s="433"/>
      <c r="I763" s="433"/>
      <c r="J763" s="433"/>
      <c r="K763" s="433"/>
      <c r="L763" s="433"/>
      <c r="M763" s="433"/>
      <c r="N763" s="433"/>
      <c r="O763" s="433"/>
      <c r="P763" s="433"/>
      <c r="Q763" s="433"/>
      <c r="R763" s="433"/>
      <c r="S763" s="433"/>
      <c r="T763" s="433"/>
      <c r="U763" s="433"/>
      <c r="V763" s="433"/>
      <c r="W763" s="433"/>
      <c r="X763" s="433"/>
      <c r="Y763" s="433"/>
      <c r="Z763" s="433"/>
    </row>
    <row r="764">
      <c r="A764" s="440"/>
      <c r="B764" s="441"/>
      <c r="C764" s="442"/>
      <c r="D764" s="443"/>
      <c r="E764" s="433"/>
      <c r="F764" s="433"/>
      <c r="G764" s="433"/>
      <c r="H764" s="433"/>
      <c r="I764" s="433"/>
      <c r="J764" s="433"/>
      <c r="K764" s="433"/>
      <c r="L764" s="433"/>
      <c r="M764" s="433"/>
      <c r="N764" s="433"/>
      <c r="O764" s="433"/>
      <c r="P764" s="433"/>
      <c r="Q764" s="433"/>
      <c r="R764" s="433"/>
      <c r="S764" s="433"/>
      <c r="T764" s="433"/>
      <c r="U764" s="433"/>
      <c r="V764" s="433"/>
      <c r="W764" s="433"/>
      <c r="X764" s="433"/>
      <c r="Y764" s="433"/>
      <c r="Z764" s="433"/>
    </row>
    <row r="765">
      <c r="A765" s="440"/>
      <c r="B765" s="441"/>
      <c r="C765" s="442"/>
      <c r="D765" s="443"/>
      <c r="E765" s="433"/>
      <c r="F765" s="433"/>
      <c r="G765" s="433"/>
      <c r="H765" s="433"/>
      <c r="I765" s="433"/>
      <c r="J765" s="433"/>
      <c r="K765" s="433"/>
      <c r="L765" s="433"/>
      <c r="M765" s="433"/>
      <c r="N765" s="433"/>
      <c r="O765" s="433"/>
      <c r="P765" s="433"/>
      <c r="Q765" s="433"/>
      <c r="R765" s="433"/>
      <c r="S765" s="433"/>
      <c r="T765" s="433"/>
      <c r="U765" s="433"/>
      <c r="V765" s="433"/>
      <c r="W765" s="433"/>
      <c r="X765" s="433"/>
      <c r="Y765" s="433"/>
      <c r="Z765" s="433"/>
    </row>
    <row r="766">
      <c r="A766" s="440"/>
      <c r="B766" s="441"/>
      <c r="C766" s="442"/>
      <c r="D766" s="443"/>
      <c r="E766" s="433"/>
      <c r="F766" s="433"/>
      <c r="G766" s="433"/>
      <c r="H766" s="433"/>
      <c r="I766" s="433"/>
      <c r="J766" s="433"/>
      <c r="K766" s="433"/>
      <c r="L766" s="433"/>
      <c r="M766" s="433"/>
      <c r="N766" s="433"/>
      <c r="O766" s="433"/>
      <c r="P766" s="433"/>
      <c r="Q766" s="433"/>
      <c r="R766" s="433"/>
      <c r="S766" s="433"/>
      <c r="T766" s="433"/>
      <c r="U766" s="433"/>
      <c r="V766" s="433"/>
      <c r="W766" s="433"/>
      <c r="X766" s="433"/>
      <c r="Y766" s="433"/>
      <c r="Z766" s="433"/>
    </row>
    <row r="767">
      <c r="A767" s="440"/>
      <c r="B767" s="441"/>
      <c r="C767" s="442"/>
      <c r="D767" s="443"/>
      <c r="E767" s="433"/>
      <c r="F767" s="433"/>
      <c r="G767" s="433"/>
      <c r="H767" s="433"/>
      <c r="I767" s="433"/>
      <c r="J767" s="433"/>
      <c r="K767" s="433"/>
      <c r="L767" s="433"/>
      <c r="M767" s="433"/>
      <c r="N767" s="433"/>
      <c r="O767" s="433"/>
      <c r="P767" s="433"/>
      <c r="Q767" s="433"/>
      <c r="R767" s="433"/>
      <c r="S767" s="433"/>
      <c r="T767" s="433"/>
      <c r="U767" s="433"/>
      <c r="V767" s="433"/>
      <c r="W767" s="433"/>
      <c r="X767" s="433"/>
      <c r="Y767" s="433"/>
      <c r="Z767" s="433"/>
    </row>
    <row r="768">
      <c r="A768" s="440"/>
      <c r="B768" s="441"/>
      <c r="C768" s="442"/>
      <c r="D768" s="443"/>
      <c r="E768" s="433"/>
      <c r="F768" s="433"/>
      <c r="G768" s="433"/>
      <c r="H768" s="433"/>
      <c r="I768" s="433"/>
      <c r="J768" s="433"/>
      <c r="K768" s="433"/>
      <c r="L768" s="433"/>
      <c r="M768" s="433"/>
      <c r="N768" s="433"/>
      <c r="O768" s="433"/>
      <c r="P768" s="433"/>
      <c r="Q768" s="433"/>
      <c r="R768" s="433"/>
      <c r="S768" s="433"/>
      <c r="T768" s="433"/>
      <c r="U768" s="433"/>
      <c r="V768" s="433"/>
      <c r="W768" s="433"/>
      <c r="X768" s="433"/>
      <c r="Y768" s="433"/>
      <c r="Z768" s="433"/>
    </row>
    <row r="769">
      <c r="A769" s="440"/>
      <c r="B769" s="441"/>
      <c r="C769" s="442"/>
      <c r="D769" s="443"/>
      <c r="E769" s="433"/>
      <c r="F769" s="433"/>
      <c r="G769" s="433"/>
      <c r="H769" s="433"/>
      <c r="I769" s="433"/>
      <c r="J769" s="433"/>
      <c r="K769" s="433"/>
      <c r="L769" s="433"/>
      <c r="M769" s="433"/>
      <c r="N769" s="433"/>
      <c r="O769" s="433"/>
      <c r="P769" s="433"/>
      <c r="Q769" s="433"/>
      <c r="R769" s="433"/>
      <c r="S769" s="433"/>
      <c r="T769" s="433"/>
      <c r="U769" s="433"/>
      <c r="V769" s="433"/>
      <c r="W769" s="433"/>
      <c r="X769" s="433"/>
      <c r="Y769" s="433"/>
      <c r="Z769" s="433"/>
    </row>
    <row r="770">
      <c r="A770" s="440"/>
      <c r="B770" s="441"/>
      <c r="C770" s="442"/>
      <c r="D770" s="443"/>
      <c r="E770" s="433"/>
      <c r="F770" s="433"/>
      <c r="G770" s="433"/>
      <c r="H770" s="433"/>
      <c r="I770" s="433"/>
      <c r="J770" s="433"/>
      <c r="K770" s="433"/>
      <c r="L770" s="433"/>
      <c r="M770" s="433"/>
      <c r="N770" s="433"/>
      <c r="O770" s="433"/>
      <c r="P770" s="433"/>
      <c r="Q770" s="433"/>
      <c r="R770" s="433"/>
      <c r="S770" s="433"/>
      <c r="T770" s="433"/>
      <c r="U770" s="433"/>
      <c r="V770" s="433"/>
      <c r="W770" s="433"/>
      <c r="X770" s="433"/>
      <c r="Y770" s="433"/>
      <c r="Z770" s="433"/>
    </row>
    <row r="771">
      <c r="A771" s="440"/>
      <c r="B771" s="441"/>
      <c r="C771" s="442"/>
      <c r="D771" s="443"/>
      <c r="E771" s="433"/>
      <c r="F771" s="433"/>
      <c r="G771" s="433"/>
      <c r="H771" s="433"/>
      <c r="I771" s="433"/>
      <c r="J771" s="433"/>
      <c r="K771" s="433"/>
      <c r="L771" s="433"/>
      <c r="M771" s="433"/>
      <c r="N771" s="433"/>
      <c r="O771" s="433"/>
      <c r="P771" s="433"/>
      <c r="Q771" s="433"/>
      <c r="R771" s="433"/>
      <c r="S771" s="433"/>
      <c r="T771" s="433"/>
      <c r="U771" s="433"/>
      <c r="V771" s="433"/>
      <c r="W771" s="433"/>
      <c r="X771" s="433"/>
      <c r="Y771" s="433"/>
      <c r="Z771" s="433"/>
    </row>
    <row r="772">
      <c r="A772" s="440"/>
      <c r="B772" s="441"/>
      <c r="C772" s="442"/>
      <c r="D772" s="443"/>
      <c r="E772" s="433"/>
      <c r="F772" s="433"/>
      <c r="G772" s="433"/>
      <c r="H772" s="433"/>
      <c r="I772" s="433"/>
      <c r="J772" s="433"/>
      <c r="K772" s="433"/>
      <c r="L772" s="433"/>
      <c r="M772" s="433"/>
      <c r="N772" s="433"/>
      <c r="O772" s="433"/>
      <c r="P772" s="433"/>
      <c r="Q772" s="433"/>
      <c r="R772" s="433"/>
      <c r="S772" s="433"/>
      <c r="T772" s="433"/>
      <c r="U772" s="433"/>
      <c r="V772" s="433"/>
      <c r="W772" s="433"/>
      <c r="X772" s="433"/>
      <c r="Y772" s="433"/>
      <c r="Z772" s="433"/>
    </row>
    <row r="773">
      <c r="A773" s="440"/>
      <c r="B773" s="441"/>
      <c r="C773" s="442"/>
      <c r="D773" s="443"/>
      <c r="E773" s="433"/>
      <c r="F773" s="433"/>
      <c r="G773" s="433"/>
      <c r="H773" s="433"/>
      <c r="I773" s="433"/>
      <c r="J773" s="433"/>
      <c r="K773" s="433"/>
      <c r="L773" s="433"/>
      <c r="M773" s="433"/>
      <c r="N773" s="433"/>
      <c r="O773" s="433"/>
      <c r="P773" s="433"/>
      <c r="Q773" s="433"/>
      <c r="R773" s="433"/>
      <c r="S773" s="433"/>
      <c r="T773" s="433"/>
      <c r="U773" s="433"/>
      <c r="V773" s="433"/>
      <c r="W773" s="433"/>
      <c r="X773" s="433"/>
      <c r="Y773" s="433"/>
      <c r="Z773" s="433"/>
    </row>
    <row r="774">
      <c r="A774" s="440"/>
      <c r="B774" s="441"/>
      <c r="C774" s="442"/>
      <c r="D774" s="443"/>
      <c r="E774" s="433"/>
      <c r="F774" s="433"/>
      <c r="G774" s="433"/>
      <c r="H774" s="433"/>
      <c r="I774" s="433"/>
      <c r="J774" s="433"/>
      <c r="K774" s="433"/>
      <c r="L774" s="433"/>
      <c r="M774" s="433"/>
      <c r="N774" s="433"/>
      <c r="O774" s="433"/>
      <c r="P774" s="433"/>
      <c r="Q774" s="433"/>
      <c r="R774" s="433"/>
      <c r="S774" s="433"/>
      <c r="T774" s="433"/>
      <c r="U774" s="433"/>
      <c r="V774" s="433"/>
      <c r="W774" s="433"/>
      <c r="X774" s="433"/>
      <c r="Y774" s="433"/>
      <c r="Z774" s="433"/>
    </row>
    <row r="775">
      <c r="A775" s="440"/>
      <c r="B775" s="441"/>
      <c r="C775" s="442"/>
      <c r="D775" s="443"/>
      <c r="E775" s="433"/>
      <c r="F775" s="433"/>
      <c r="G775" s="433"/>
      <c r="H775" s="433"/>
      <c r="I775" s="433"/>
      <c r="J775" s="433"/>
      <c r="K775" s="433"/>
      <c r="L775" s="433"/>
      <c r="M775" s="433"/>
      <c r="N775" s="433"/>
      <c r="O775" s="433"/>
      <c r="P775" s="433"/>
      <c r="Q775" s="433"/>
      <c r="R775" s="433"/>
      <c r="S775" s="433"/>
      <c r="T775" s="433"/>
      <c r="U775" s="433"/>
      <c r="V775" s="433"/>
      <c r="W775" s="433"/>
      <c r="X775" s="433"/>
      <c r="Y775" s="433"/>
      <c r="Z775" s="433"/>
    </row>
    <row r="776">
      <c r="A776" s="440"/>
      <c r="B776" s="441"/>
      <c r="C776" s="442"/>
      <c r="D776" s="443"/>
      <c r="E776" s="433"/>
      <c r="F776" s="433"/>
      <c r="G776" s="433"/>
      <c r="H776" s="433"/>
      <c r="I776" s="433"/>
      <c r="J776" s="433"/>
      <c r="K776" s="433"/>
      <c r="L776" s="433"/>
      <c r="M776" s="433"/>
      <c r="N776" s="433"/>
      <c r="O776" s="433"/>
      <c r="P776" s="433"/>
      <c r="Q776" s="433"/>
      <c r="R776" s="433"/>
      <c r="S776" s="433"/>
      <c r="T776" s="433"/>
      <c r="U776" s="433"/>
      <c r="V776" s="433"/>
      <c r="W776" s="433"/>
      <c r="X776" s="433"/>
      <c r="Y776" s="433"/>
      <c r="Z776" s="433"/>
    </row>
    <row r="777">
      <c r="A777" s="440"/>
      <c r="B777" s="441"/>
      <c r="C777" s="442"/>
      <c r="D777" s="443"/>
      <c r="E777" s="433"/>
      <c r="F777" s="433"/>
      <c r="G777" s="433"/>
      <c r="H777" s="433"/>
      <c r="I777" s="433"/>
      <c r="J777" s="433"/>
      <c r="K777" s="433"/>
      <c r="L777" s="433"/>
      <c r="M777" s="433"/>
      <c r="N777" s="433"/>
      <c r="O777" s="433"/>
      <c r="P777" s="433"/>
      <c r="Q777" s="433"/>
      <c r="R777" s="433"/>
      <c r="S777" s="433"/>
      <c r="T777" s="433"/>
      <c r="U777" s="433"/>
      <c r="V777" s="433"/>
      <c r="W777" s="433"/>
      <c r="X777" s="433"/>
      <c r="Y777" s="433"/>
      <c r="Z777" s="433"/>
    </row>
    <row r="778">
      <c r="A778" s="440"/>
      <c r="B778" s="441"/>
      <c r="C778" s="442"/>
      <c r="D778" s="443"/>
      <c r="E778" s="433"/>
      <c r="F778" s="433"/>
      <c r="G778" s="433"/>
      <c r="H778" s="433"/>
      <c r="I778" s="433"/>
      <c r="J778" s="433"/>
      <c r="K778" s="433"/>
      <c r="L778" s="433"/>
      <c r="M778" s="433"/>
      <c r="N778" s="433"/>
      <c r="O778" s="433"/>
      <c r="P778" s="433"/>
      <c r="Q778" s="433"/>
      <c r="R778" s="433"/>
      <c r="S778" s="433"/>
      <c r="T778" s="433"/>
      <c r="U778" s="433"/>
      <c r="V778" s="433"/>
      <c r="W778" s="433"/>
      <c r="X778" s="433"/>
      <c r="Y778" s="433"/>
      <c r="Z778" s="433"/>
    </row>
    <row r="779">
      <c r="A779" s="440"/>
      <c r="B779" s="441"/>
      <c r="C779" s="442"/>
      <c r="D779" s="443"/>
      <c r="E779" s="433"/>
      <c r="F779" s="433"/>
      <c r="G779" s="433"/>
      <c r="H779" s="433"/>
      <c r="I779" s="433"/>
      <c r="J779" s="433"/>
      <c r="K779" s="433"/>
      <c r="L779" s="433"/>
      <c r="M779" s="433"/>
      <c r="N779" s="433"/>
      <c r="O779" s="433"/>
      <c r="P779" s="433"/>
      <c r="Q779" s="433"/>
      <c r="R779" s="433"/>
      <c r="S779" s="433"/>
      <c r="T779" s="433"/>
      <c r="U779" s="433"/>
      <c r="V779" s="433"/>
      <c r="W779" s="433"/>
      <c r="X779" s="433"/>
      <c r="Y779" s="433"/>
      <c r="Z779" s="433"/>
    </row>
    <row r="780">
      <c r="A780" s="440"/>
      <c r="B780" s="441"/>
      <c r="C780" s="442"/>
      <c r="D780" s="443"/>
      <c r="E780" s="433"/>
      <c r="F780" s="433"/>
      <c r="G780" s="433"/>
      <c r="H780" s="433"/>
      <c r="I780" s="433"/>
      <c r="J780" s="433"/>
      <c r="K780" s="433"/>
      <c r="L780" s="433"/>
      <c r="M780" s="433"/>
      <c r="N780" s="433"/>
      <c r="O780" s="433"/>
      <c r="P780" s="433"/>
      <c r="Q780" s="433"/>
      <c r="R780" s="433"/>
      <c r="S780" s="433"/>
      <c r="T780" s="433"/>
      <c r="U780" s="433"/>
      <c r="V780" s="433"/>
      <c r="W780" s="433"/>
      <c r="X780" s="433"/>
      <c r="Y780" s="433"/>
      <c r="Z780" s="433"/>
    </row>
    <row r="781">
      <c r="A781" s="440"/>
      <c r="B781" s="441"/>
      <c r="C781" s="442"/>
      <c r="D781" s="443"/>
      <c r="E781" s="433"/>
      <c r="F781" s="433"/>
      <c r="G781" s="433"/>
      <c r="H781" s="433"/>
      <c r="I781" s="433"/>
      <c r="J781" s="433"/>
      <c r="K781" s="433"/>
      <c r="L781" s="433"/>
      <c r="M781" s="433"/>
      <c r="N781" s="433"/>
      <c r="O781" s="433"/>
      <c r="P781" s="433"/>
      <c r="Q781" s="433"/>
      <c r="R781" s="433"/>
      <c r="S781" s="433"/>
      <c r="T781" s="433"/>
      <c r="U781" s="433"/>
      <c r="V781" s="433"/>
      <c r="W781" s="433"/>
      <c r="X781" s="433"/>
      <c r="Y781" s="433"/>
      <c r="Z781" s="433"/>
    </row>
    <row r="782">
      <c r="A782" s="440"/>
      <c r="B782" s="441"/>
      <c r="C782" s="442"/>
      <c r="D782" s="443"/>
      <c r="E782" s="433"/>
      <c r="F782" s="433"/>
      <c r="G782" s="433"/>
      <c r="H782" s="433"/>
      <c r="I782" s="433"/>
      <c r="J782" s="433"/>
      <c r="K782" s="433"/>
      <c r="L782" s="433"/>
      <c r="M782" s="433"/>
      <c r="N782" s="433"/>
      <c r="O782" s="433"/>
      <c r="P782" s="433"/>
      <c r="Q782" s="433"/>
      <c r="R782" s="433"/>
      <c r="S782" s="433"/>
      <c r="T782" s="433"/>
      <c r="U782" s="433"/>
      <c r="V782" s="433"/>
      <c r="W782" s="433"/>
      <c r="X782" s="433"/>
      <c r="Y782" s="433"/>
      <c r="Z782" s="433"/>
    </row>
    <row r="783">
      <c r="A783" s="440"/>
      <c r="B783" s="441"/>
      <c r="C783" s="442"/>
      <c r="D783" s="443"/>
      <c r="E783" s="433"/>
      <c r="F783" s="433"/>
      <c r="G783" s="433"/>
      <c r="H783" s="433"/>
      <c r="I783" s="433"/>
      <c r="J783" s="433"/>
      <c r="K783" s="433"/>
      <c r="L783" s="433"/>
      <c r="M783" s="433"/>
      <c r="N783" s="433"/>
      <c r="O783" s="433"/>
      <c r="P783" s="433"/>
      <c r="Q783" s="433"/>
      <c r="R783" s="433"/>
      <c r="S783" s="433"/>
      <c r="T783" s="433"/>
      <c r="U783" s="433"/>
      <c r="V783" s="433"/>
      <c r="W783" s="433"/>
      <c r="X783" s="433"/>
      <c r="Y783" s="433"/>
      <c r="Z783" s="433"/>
    </row>
    <row r="784">
      <c r="A784" s="440"/>
      <c r="B784" s="441"/>
      <c r="C784" s="442"/>
      <c r="D784" s="443"/>
      <c r="E784" s="433"/>
      <c r="F784" s="433"/>
      <c r="G784" s="433"/>
      <c r="H784" s="433"/>
      <c r="I784" s="433"/>
      <c r="J784" s="433"/>
      <c r="K784" s="433"/>
      <c r="L784" s="433"/>
      <c r="M784" s="433"/>
      <c r="N784" s="433"/>
      <c r="O784" s="433"/>
      <c r="P784" s="433"/>
      <c r="Q784" s="433"/>
      <c r="R784" s="433"/>
      <c r="S784" s="433"/>
      <c r="T784" s="433"/>
      <c r="U784" s="433"/>
      <c r="V784" s="433"/>
      <c r="W784" s="433"/>
      <c r="X784" s="433"/>
      <c r="Y784" s="433"/>
      <c r="Z784" s="433"/>
    </row>
    <row r="785">
      <c r="A785" s="440"/>
      <c r="B785" s="441"/>
      <c r="C785" s="442"/>
      <c r="D785" s="443"/>
      <c r="E785" s="433"/>
      <c r="F785" s="433"/>
      <c r="G785" s="433"/>
      <c r="H785" s="433"/>
      <c r="I785" s="433"/>
      <c r="J785" s="433"/>
      <c r="K785" s="433"/>
      <c r="L785" s="433"/>
      <c r="M785" s="433"/>
      <c r="N785" s="433"/>
      <c r="O785" s="433"/>
      <c r="P785" s="433"/>
      <c r="Q785" s="433"/>
      <c r="R785" s="433"/>
      <c r="S785" s="433"/>
      <c r="T785" s="433"/>
      <c r="U785" s="433"/>
      <c r="V785" s="433"/>
      <c r="W785" s="433"/>
      <c r="X785" s="433"/>
      <c r="Y785" s="433"/>
      <c r="Z785" s="433"/>
    </row>
    <row r="786">
      <c r="A786" s="440"/>
      <c r="B786" s="441"/>
      <c r="C786" s="442"/>
      <c r="D786" s="443"/>
      <c r="E786" s="433"/>
      <c r="F786" s="433"/>
      <c r="G786" s="433"/>
      <c r="H786" s="433"/>
      <c r="I786" s="433"/>
      <c r="J786" s="433"/>
      <c r="K786" s="433"/>
      <c r="L786" s="433"/>
      <c r="M786" s="433"/>
      <c r="N786" s="433"/>
      <c r="O786" s="433"/>
      <c r="P786" s="433"/>
      <c r="Q786" s="433"/>
      <c r="R786" s="433"/>
      <c r="S786" s="433"/>
      <c r="T786" s="433"/>
      <c r="U786" s="433"/>
      <c r="V786" s="433"/>
      <c r="W786" s="433"/>
      <c r="X786" s="433"/>
      <c r="Y786" s="433"/>
      <c r="Z786" s="433"/>
    </row>
    <row r="787">
      <c r="A787" s="440"/>
      <c r="B787" s="441"/>
      <c r="C787" s="442"/>
      <c r="D787" s="443"/>
      <c r="E787" s="433"/>
      <c r="F787" s="433"/>
      <c r="G787" s="433"/>
      <c r="H787" s="433"/>
      <c r="I787" s="433"/>
      <c r="J787" s="433"/>
      <c r="K787" s="433"/>
      <c r="L787" s="433"/>
      <c r="M787" s="433"/>
      <c r="N787" s="433"/>
      <c r="O787" s="433"/>
      <c r="P787" s="433"/>
      <c r="Q787" s="433"/>
      <c r="R787" s="433"/>
      <c r="S787" s="433"/>
      <c r="T787" s="433"/>
      <c r="U787" s="433"/>
      <c r="V787" s="433"/>
      <c r="W787" s="433"/>
      <c r="X787" s="433"/>
      <c r="Y787" s="433"/>
      <c r="Z787" s="433"/>
    </row>
    <row r="788">
      <c r="A788" s="440"/>
      <c r="B788" s="441"/>
      <c r="C788" s="442"/>
      <c r="D788" s="443"/>
      <c r="E788" s="433"/>
      <c r="F788" s="433"/>
      <c r="G788" s="433"/>
      <c r="H788" s="433"/>
      <c r="I788" s="433"/>
      <c r="J788" s="433"/>
      <c r="K788" s="433"/>
      <c r="L788" s="433"/>
      <c r="M788" s="433"/>
      <c r="N788" s="433"/>
      <c r="O788" s="433"/>
      <c r="P788" s="433"/>
      <c r="Q788" s="433"/>
      <c r="R788" s="433"/>
      <c r="S788" s="433"/>
      <c r="T788" s="433"/>
      <c r="U788" s="433"/>
      <c r="V788" s="433"/>
      <c r="W788" s="433"/>
      <c r="X788" s="433"/>
      <c r="Y788" s="433"/>
      <c r="Z788" s="433"/>
    </row>
    <row r="789">
      <c r="A789" s="440"/>
      <c r="B789" s="441"/>
      <c r="C789" s="442"/>
      <c r="D789" s="443"/>
      <c r="E789" s="433"/>
      <c r="F789" s="433"/>
      <c r="G789" s="433"/>
      <c r="H789" s="433"/>
      <c r="I789" s="433"/>
      <c r="J789" s="433"/>
      <c r="K789" s="433"/>
      <c r="L789" s="433"/>
      <c r="M789" s="433"/>
      <c r="N789" s="433"/>
      <c r="O789" s="433"/>
      <c r="P789" s="433"/>
      <c r="Q789" s="433"/>
      <c r="R789" s="433"/>
      <c r="S789" s="433"/>
      <c r="T789" s="433"/>
      <c r="U789" s="433"/>
      <c r="V789" s="433"/>
      <c r="W789" s="433"/>
      <c r="X789" s="433"/>
      <c r="Y789" s="433"/>
      <c r="Z789" s="433"/>
    </row>
    <row r="790">
      <c r="A790" s="440"/>
      <c r="B790" s="441"/>
      <c r="C790" s="442"/>
      <c r="D790" s="443"/>
      <c r="E790" s="433"/>
      <c r="F790" s="433"/>
      <c r="G790" s="433"/>
      <c r="H790" s="433"/>
      <c r="I790" s="433"/>
      <c r="J790" s="433"/>
      <c r="K790" s="433"/>
      <c r="L790" s="433"/>
      <c r="M790" s="433"/>
      <c r="N790" s="433"/>
      <c r="O790" s="433"/>
      <c r="P790" s="433"/>
      <c r="Q790" s="433"/>
      <c r="R790" s="433"/>
      <c r="S790" s="433"/>
      <c r="T790" s="433"/>
      <c r="U790" s="433"/>
      <c r="V790" s="433"/>
      <c r="W790" s="433"/>
      <c r="X790" s="433"/>
      <c r="Y790" s="433"/>
      <c r="Z790" s="433"/>
    </row>
    <row r="791">
      <c r="A791" s="440"/>
      <c r="B791" s="441"/>
      <c r="C791" s="442"/>
      <c r="D791" s="443"/>
      <c r="E791" s="433"/>
      <c r="F791" s="433"/>
      <c r="G791" s="433"/>
      <c r="H791" s="433"/>
      <c r="I791" s="433"/>
      <c r="J791" s="433"/>
      <c r="K791" s="433"/>
      <c r="L791" s="433"/>
      <c r="M791" s="433"/>
      <c r="N791" s="433"/>
      <c r="O791" s="433"/>
      <c r="P791" s="433"/>
      <c r="Q791" s="433"/>
      <c r="R791" s="433"/>
      <c r="S791" s="433"/>
      <c r="T791" s="433"/>
      <c r="U791" s="433"/>
      <c r="V791" s="433"/>
      <c r="W791" s="433"/>
      <c r="X791" s="433"/>
      <c r="Y791" s="433"/>
      <c r="Z791" s="433"/>
    </row>
    <row r="792">
      <c r="A792" s="440"/>
      <c r="B792" s="441"/>
      <c r="C792" s="442"/>
      <c r="D792" s="443"/>
      <c r="E792" s="433"/>
      <c r="F792" s="433"/>
      <c r="G792" s="433"/>
      <c r="H792" s="433"/>
      <c r="I792" s="433"/>
      <c r="J792" s="433"/>
      <c r="K792" s="433"/>
      <c r="L792" s="433"/>
      <c r="M792" s="433"/>
      <c r="N792" s="433"/>
      <c r="O792" s="433"/>
      <c r="P792" s="433"/>
      <c r="Q792" s="433"/>
      <c r="R792" s="433"/>
      <c r="S792" s="433"/>
      <c r="T792" s="433"/>
      <c r="U792" s="433"/>
      <c r="V792" s="433"/>
      <c r="W792" s="433"/>
      <c r="X792" s="433"/>
      <c r="Y792" s="433"/>
      <c r="Z792" s="433"/>
    </row>
    <row r="793">
      <c r="A793" s="440"/>
      <c r="B793" s="441"/>
      <c r="C793" s="442"/>
      <c r="D793" s="443"/>
      <c r="E793" s="433"/>
      <c r="F793" s="433"/>
      <c r="G793" s="433"/>
      <c r="H793" s="433"/>
      <c r="I793" s="433"/>
      <c r="J793" s="433"/>
      <c r="K793" s="433"/>
      <c r="L793" s="433"/>
      <c r="M793" s="433"/>
      <c r="N793" s="433"/>
      <c r="O793" s="433"/>
      <c r="P793" s="433"/>
      <c r="Q793" s="433"/>
      <c r="R793" s="433"/>
      <c r="S793" s="433"/>
      <c r="T793" s="433"/>
      <c r="U793" s="433"/>
      <c r="V793" s="433"/>
      <c r="W793" s="433"/>
      <c r="X793" s="433"/>
      <c r="Y793" s="433"/>
      <c r="Z793" s="433"/>
    </row>
    <row r="794">
      <c r="A794" s="440"/>
      <c r="B794" s="441"/>
      <c r="C794" s="442"/>
      <c r="D794" s="443"/>
      <c r="E794" s="433"/>
      <c r="F794" s="433"/>
      <c r="G794" s="433"/>
      <c r="H794" s="433"/>
      <c r="I794" s="433"/>
      <c r="J794" s="433"/>
      <c r="K794" s="433"/>
      <c r="L794" s="433"/>
      <c r="M794" s="433"/>
      <c r="N794" s="433"/>
      <c r="O794" s="433"/>
      <c r="P794" s="433"/>
      <c r="Q794" s="433"/>
      <c r="R794" s="433"/>
      <c r="S794" s="433"/>
      <c r="T794" s="433"/>
      <c r="U794" s="433"/>
      <c r="V794" s="433"/>
      <c r="W794" s="433"/>
      <c r="X794" s="433"/>
      <c r="Y794" s="433"/>
      <c r="Z794" s="433"/>
    </row>
    <row r="795">
      <c r="A795" s="440"/>
      <c r="B795" s="441"/>
      <c r="C795" s="442"/>
      <c r="D795" s="443"/>
      <c r="E795" s="433"/>
      <c r="F795" s="433"/>
      <c r="G795" s="433"/>
      <c r="H795" s="433"/>
      <c r="I795" s="433"/>
      <c r="J795" s="433"/>
      <c r="K795" s="433"/>
      <c r="L795" s="433"/>
      <c r="M795" s="433"/>
      <c r="N795" s="433"/>
      <c r="O795" s="433"/>
      <c r="P795" s="433"/>
      <c r="Q795" s="433"/>
      <c r="R795" s="433"/>
      <c r="S795" s="433"/>
      <c r="T795" s="433"/>
      <c r="U795" s="433"/>
      <c r="V795" s="433"/>
      <c r="W795" s="433"/>
      <c r="X795" s="433"/>
      <c r="Y795" s="433"/>
      <c r="Z795" s="433"/>
    </row>
    <row r="796">
      <c r="A796" s="440"/>
      <c r="B796" s="441"/>
      <c r="C796" s="442"/>
      <c r="D796" s="443"/>
      <c r="E796" s="433"/>
      <c r="F796" s="433"/>
      <c r="G796" s="433"/>
      <c r="H796" s="433"/>
      <c r="I796" s="433"/>
      <c r="J796" s="433"/>
      <c r="K796" s="433"/>
      <c r="L796" s="433"/>
      <c r="M796" s="433"/>
      <c r="N796" s="433"/>
      <c r="O796" s="433"/>
      <c r="P796" s="433"/>
      <c r="Q796" s="433"/>
      <c r="R796" s="433"/>
      <c r="S796" s="433"/>
      <c r="T796" s="433"/>
      <c r="U796" s="433"/>
      <c r="V796" s="433"/>
      <c r="W796" s="433"/>
      <c r="X796" s="433"/>
      <c r="Y796" s="433"/>
      <c r="Z796" s="433"/>
    </row>
    <row r="797">
      <c r="A797" s="440"/>
      <c r="B797" s="441"/>
      <c r="C797" s="442"/>
      <c r="D797" s="443"/>
      <c r="E797" s="433"/>
      <c r="F797" s="433"/>
      <c r="G797" s="433"/>
      <c r="H797" s="433"/>
      <c r="I797" s="433"/>
      <c r="J797" s="433"/>
      <c r="K797" s="433"/>
      <c r="L797" s="433"/>
      <c r="M797" s="433"/>
      <c r="N797" s="433"/>
      <c r="O797" s="433"/>
      <c r="P797" s="433"/>
      <c r="Q797" s="433"/>
      <c r="R797" s="433"/>
      <c r="S797" s="433"/>
      <c r="T797" s="433"/>
      <c r="U797" s="433"/>
      <c r="V797" s="433"/>
      <c r="W797" s="433"/>
      <c r="X797" s="433"/>
      <c r="Y797" s="433"/>
      <c r="Z797" s="433"/>
    </row>
    <row r="798">
      <c r="A798" s="440"/>
      <c r="B798" s="441"/>
      <c r="C798" s="442"/>
      <c r="D798" s="443"/>
      <c r="E798" s="433"/>
      <c r="F798" s="433"/>
      <c r="G798" s="433"/>
      <c r="H798" s="433"/>
      <c r="I798" s="433"/>
      <c r="J798" s="433"/>
      <c r="K798" s="433"/>
      <c r="L798" s="433"/>
      <c r="M798" s="433"/>
      <c r="N798" s="433"/>
      <c r="O798" s="433"/>
      <c r="P798" s="433"/>
      <c r="Q798" s="433"/>
      <c r="R798" s="433"/>
      <c r="S798" s="433"/>
      <c r="T798" s="433"/>
      <c r="U798" s="433"/>
      <c r="V798" s="433"/>
      <c r="W798" s="433"/>
      <c r="X798" s="433"/>
      <c r="Y798" s="433"/>
      <c r="Z798" s="433"/>
    </row>
    <row r="799">
      <c r="A799" s="440"/>
      <c r="B799" s="441"/>
      <c r="C799" s="442"/>
      <c r="D799" s="443"/>
      <c r="E799" s="433"/>
      <c r="F799" s="433"/>
      <c r="G799" s="433"/>
      <c r="H799" s="433"/>
      <c r="I799" s="433"/>
      <c r="J799" s="433"/>
      <c r="K799" s="433"/>
      <c r="L799" s="433"/>
      <c r="M799" s="433"/>
      <c r="N799" s="433"/>
      <c r="O799" s="433"/>
      <c r="P799" s="433"/>
      <c r="Q799" s="433"/>
      <c r="R799" s="433"/>
      <c r="S799" s="433"/>
      <c r="T799" s="433"/>
      <c r="U799" s="433"/>
      <c r="V799" s="433"/>
      <c r="W799" s="433"/>
      <c r="X799" s="433"/>
      <c r="Y799" s="433"/>
      <c r="Z799" s="433"/>
    </row>
    <row r="800">
      <c r="A800" s="440"/>
      <c r="B800" s="441"/>
      <c r="C800" s="442"/>
      <c r="D800" s="443"/>
      <c r="E800" s="433"/>
      <c r="F800" s="433"/>
      <c r="G800" s="433"/>
      <c r="H800" s="433"/>
      <c r="I800" s="433"/>
      <c r="J800" s="433"/>
      <c r="K800" s="433"/>
      <c r="L800" s="433"/>
      <c r="M800" s="433"/>
      <c r="N800" s="433"/>
      <c r="O800" s="433"/>
      <c r="P800" s="433"/>
      <c r="Q800" s="433"/>
      <c r="R800" s="433"/>
      <c r="S800" s="433"/>
      <c r="T800" s="433"/>
      <c r="U800" s="433"/>
      <c r="V800" s="433"/>
      <c r="W800" s="433"/>
      <c r="X800" s="433"/>
      <c r="Y800" s="433"/>
      <c r="Z800" s="433"/>
    </row>
    <row r="801">
      <c r="A801" s="440"/>
      <c r="B801" s="441"/>
      <c r="C801" s="442"/>
      <c r="D801" s="443"/>
      <c r="E801" s="433"/>
      <c r="F801" s="433"/>
      <c r="G801" s="433"/>
      <c r="H801" s="433"/>
      <c r="I801" s="433"/>
      <c r="J801" s="433"/>
      <c r="K801" s="433"/>
      <c r="L801" s="433"/>
      <c r="M801" s="433"/>
      <c r="N801" s="433"/>
      <c r="O801" s="433"/>
      <c r="P801" s="433"/>
      <c r="Q801" s="433"/>
      <c r="R801" s="433"/>
      <c r="S801" s="433"/>
      <c r="T801" s="433"/>
      <c r="U801" s="433"/>
      <c r="V801" s="433"/>
      <c r="W801" s="433"/>
      <c r="X801" s="433"/>
      <c r="Y801" s="433"/>
      <c r="Z801" s="433"/>
    </row>
    <row r="802">
      <c r="A802" s="440"/>
      <c r="B802" s="441"/>
      <c r="C802" s="442"/>
      <c r="D802" s="443"/>
      <c r="E802" s="433"/>
      <c r="F802" s="433"/>
      <c r="G802" s="433"/>
      <c r="H802" s="433"/>
      <c r="I802" s="433"/>
      <c r="J802" s="433"/>
      <c r="K802" s="433"/>
      <c r="L802" s="433"/>
      <c r="M802" s="433"/>
      <c r="N802" s="433"/>
      <c r="O802" s="433"/>
      <c r="P802" s="433"/>
      <c r="Q802" s="433"/>
      <c r="R802" s="433"/>
      <c r="S802" s="433"/>
      <c r="T802" s="433"/>
      <c r="U802" s="433"/>
      <c r="V802" s="433"/>
      <c r="W802" s="433"/>
      <c r="X802" s="433"/>
      <c r="Y802" s="433"/>
      <c r="Z802" s="433"/>
    </row>
    <row r="803">
      <c r="A803" s="440"/>
      <c r="B803" s="441"/>
      <c r="C803" s="442"/>
      <c r="D803" s="443"/>
      <c r="E803" s="433"/>
      <c r="F803" s="433"/>
      <c r="G803" s="433"/>
      <c r="H803" s="433"/>
      <c r="I803" s="433"/>
      <c r="J803" s="433"/>
      <c r="K803" s="433"/>
      <c r="L803" s="433"/>
      <c r="M803" s="433"/>
      <c r="N803" s="433"/>
      <c r="O803" s="433"/>
      <c r="P803" s="433"/>
      <c r="Q803" s="433"/>
      <c r="R803" s="433"/>
      <c r="S803" s="433"/>
      <c r="T803" s="433"/>
      <c r="U803" s="433"/>
      <c r="V803" s="433"/>
      <c r="W803" s="433"/>
      <c r="X803" s="433"/>
      <c r="Y803" s="433"/>
      <c r="Z803" s="433"/>
    </row>
    <row r="804">
      <c r="A804" s="440"/>
      <c r="B804" s="441"/>
      <c r="C804" s="442"/>
      <c r="D804" s="443"/>
      <c r="E804" s="433"/>
      <c r="F804" s="433"/>
      <c r="G804" s="433"/>
      <c r="H804" s="433"/>
      <c r="I804" s="433"/>
      <c r="J804" s="433"/>
      <c r="K804" s="433"/>
      <c r="L804" s="433"/>
      <c r="M804" s="433"/>
      <c r="N804" s="433"/>
      <c r="O804" s="433"/>
      <c r="P804" s="433"/>
      <c r="Q804" s="433"/>
      <c r="R804" s="433"/>
      <c r="S804" s="433"/>
      <c r="T804" s="433"/>
      <c r="U804" s="433"/>
      <c r="V804" s="433"/>
      <c r="W804" s="433"/>
      <c r="X804" s="433"/>
      <c r="Y804" s="433"/>
      <c r="Z804" s="433"/>
    </row>
    <row r="805">
      <c r="A805" s="440"/>
      <c r="B805" s="441"/>
      <c r="C805" s="442"/>
      <c r="D805" s="443"/>
      <c r="E805" s="433"/>
      <c r="F805" s="433"/>
      <c r="G805" s="433"/>
      <c r="H805" s="433"/>
      <c r="I805" s="433"/>
      <c r="J805" s="433"/>
      <c r="K805" s="433"/>
      <c r="L805" s="433"/>
      <c r="M805" s="433"/>
      <c r="N805" s="433"/>
      <c r="O805" s="433"/>
      <c r="P805" s="433"/>
      <c r="Q805" s="433"/>
      <c r="R805" s="433"/>
      <c r="S805" s="433"/>
      <c r="T805" s="433"/>
      <c r="U805" s="433"/>
      <c r="V805" s="433"/>
      <c r="W805" s="433"/>
      <c r="X805" s="433"/>
      <c r="Y805" s="433"/>
      <c r="Z805" s="433"/>
    </row>
    <row r="806">
      <c r="A806" s="440"/>
      <c r="B806" s="441"/>
      <c r="C806" s="442"/>
      <c r="D806" s="443"/>
      <c r="E806" s="433"/>
      <c r="F806" s="433"/>
      <c r="G806" s="433"/>
      <c r="H806" s="433"/>
      <c r="I806" s="433"/>
      <c r="J806" s="433"/>
      <c r="K806" s="433"/>
      <c r="L806" s="433"/>
      <c r="M806" s="433"/>
      <c r="N806" s="433"/>
      <c r="O806" s="433"/>
      <c r="P806" s="433"/>
      <c r="Q806" s="433"/>
      <c r="R806" s="433"/>
      <c r="S806" s="433"/>
      <c r="T806" s="433"/>
      <c r="U806" s="433"/>
      <c r="V806" s="433"/>
      <c r="W806" s="433"/>
      <c r="X806" s="433"/>
      <c r="Y806" s="433"/>
      <c r="Z806" s="433"/>
    </row>
    <row r="807">
      <c r="A807" s="440"/>
      <c r="B807" s="441"/>
      <c r="C807" s="442"/>
      <c r="D807" s="443"/>
      <c r="E807" s="433"/>
      <c r="F807" s="433"/>
      <c r="G807" s="433"/>
      <c r="H807" s="433"/>
      <c r="I807" s="433"/>
      <c r="J807" s="433"/>
      <c r="K807" s="433"/>
      <c r="L807" s="433"/>
      <c r="M807" s="433"/>
      <c r="N807" s="433"/>
      <c r="O807" s="433"/>
      <c r="P807" s="433"/>
      <c r="Q807" s="433"/>
      <c r="R807" s="433"/>
      <c r="S807" s="433"/>
      <c r="T807" s="433"/>
      <c r="U807" s="433"/>
      <c r="V807" s="433"/>
      <c r="W807" s="433"/>
      <c r="X807" s="433"/>
      <c r="Y807" s="433"/>
      <c r="Z807" s="433"/>
    </row>
    <row r="808">
      <c r="A808" s="440"/>
      <c r="B808" s="441"/>
      <c r="C808" s="442"/>
      <c r="D808" s="443"/>
      <c r="E808" s="433"/>
      <c r="F808" s="433"/>
      <c r="G808" s="433"/>
      <c r="H808" s="433"/>
      <c r="I808" s="433"/>
      <c r="J808" s="433"/>
      <c r="K808" s="433"/>
      <c r="L808" s="433"/>
      <c r="M808" s="433"/>
      <c r="N808" s="433"/>
      <c r="O808" s="433"/>
      <c r="P808" s="433"/>
      <c r="Q808" s="433"/>
      <c r="R808" s="433"/>
      <c r="S808" s="433"/>
      <c r="T808" s="433"/>
      <c r="U808" s="433"/>
      <c r="V808" s="433"/>
      <c r="W808" s="433"/>
      <c r="X808" s="433"/>
      <c r="Y808" s="433"/>
      <c r="Z808" s="433"/>
    </row>
    <row r="809">
      <c r="A809" s="440"/>
      <c r="B809" s="441"/>
      <c r="C809" s="442"/>
      <c r="D809" s="443"/>
      <c r="E809" s="433"/>
      <c r="F809" s="433"/>
      <c r="G809" s="433"/>
      <c r="H809" s="433"/>
      <c r="I809" s="433"/>
      <c r="J809" s="433"/>
      <c r="K809" s="433"/>
      <c r="L809" s="433"/>
      <c r="M809" s="433"/>
      <c r="N809" s="433"/>
      <c r="O809" s="433"/>
      <c r="P809" s="433"/>
      <c r="Q809" s="433"/>
      <c r="R809" s="433"/>
      <c r="S809" s="433"/>
      <c r="T809" s="433"/>
      <c r="U809" s="433"/>
      <c r="V809" s="433"/>
      <c r="W809" s="433"/>
      <c r="X809" s="433"/>
      <c r="Y809" s="433"/>
      <c r="Z809" s="433"/>
    </row>
    <row r="810">
      <c r="A810" s="440"/>
      <c r="B810" s="441"/>
      <c r="C810" s="442"/>
      <c r="D810" s="443"/>
      <c r="E810" s="433"/>
      <c r="F810" s="433"/>
      <c r="G810" s="433"/>
      <c r="H810" s="433"/>
      <c r="I810" s="433"/>
      <c r="J810" s="433"/>
      <c r="K810" s="433"/>
      <c r="L810" s="433"/>
      <c r="M810" s="433"/>
      <c r="N810" s="433"/>
      <c r="O810" s="433"/>
      <c r="P810" s="433"/>
      <c r="Q810" s="433"/>
      <c r="R810" s="433"/>
      <c r="S810" s="433"/>
      <c r="T810" s="433"/>
      <c r="U810" s="433"/>
      <c r="V810" s="433"/>
      <c r="W810" s="433"/>
      <c r="X810" s="433"/>
      <c r="Y810" s="433"/>
      <c r="Z810" s="433"/>
    </row>
    <row r="811">
      <c r="A811" s="440"/>
      <c r="B811" s="441"/>
      <c r="C811" s="442"/>
      <c r="D811" s="443"/>
      <c r="E811" s="433"/>
      <c r="F811" s="433"/>
      <c r="G811" s="433"/>
      <c r="H811" s="433"/>
      <c r="I811" s="433"/>
      <c r="J811" s="433"/>
      <c r="K811" s="433"/>
      <c r="L811" s="433"/>
      <c r="M811" s="433"/>
      <c r="N811" s="433"/>
      <c r="O811" s="433"/>
      <c r="P811" s="433"/>
      <c r="Q811" s="433"/>
      <c r="R811" s="433"/>
      <c r="S811" s="433"/>
      <c r="T811" s="433"/>
      <c r="U811" s="433"/>
      <c r="V811" s="433"/>
      <c r="W811" s="433"/>
      <c r="X811" s="433"/>
      <c r="Y811" s="433"/>
      <c r="Z811" s="433"/>
    </row>
    <row r="812">
      <c r="A812" s="440"/>
      <c r="B812" s="441"/>
      <c r="C812" s="442"/>
      <c r="D812" s="443"/>
      <c r="E812" s="433"/>
      <c r="F812" s="433"/>
      <c r="G812" s="433"/>
      <c r="H812" s="433"/>
      <c r="I812" s="433"/>
      <c r="J812" s="433"/>
      <c r="K812" s="433"/>
      <c r="L812" s="433"/>
      <c r="M812" s="433"/>
      <c r="N812" s="433"/>
      <c r="O812" s="433"/>
      <c r="P812" s="433"/>
      <c r="Q812" s="433"/>
      <c r="R812" s="433"/>
      <c r="S812" s="433"/>
      <c r="T812" s="433"/>
      <c r="U812" s="433"/>
      <c r="V812" s="433"/>
      <c r="W812" s="433"/>
      <c r="X812" s="433"/>
      <c r="Y812" s="433"/>
      <c r="Z812" s="433"/>
    </row>
    <row r="813">
      <c r="A813" s="440"/>
      <c r="B813" s="441"/>
      <c r="C813" s="442"/>
      <c r="D813" s="443"/>
      <c r="E813" s="433"/>
      <c r="F813" s="433"/>
      <c r="G813" s="433"/>
      <c r="H813" s="433"/>
      <c r="I813" s="433"/>
      <c r="J813" s="433"/>
      <c r="K813" s="433"/>
      <c r="L813" s="433"/>
      <c r="M813" s="433"/>
      <c r="N813" s="433"/>
      <c r="O813" s="433"/>
      <c r="P813" s="433"/>
      <c r="Q813" s="433"/>
      <c r="R813" s="433"/>
      <c r="S813" s="433"/>
      <c r="T813" s="433"/>
      <c r="U813" s="433"/>
      <c r="V813" s="433"/>
      <c r="W813" s="433"/>
      <c r="X813" s="433"/>
      <c r="Y813" s="433"/>
      <c r="Z813" s="433"/>
    </row>
    <row r="814">
      <c r="A814" s="440"/>
      <c r="B814" s="441"/>
      <c r="C814" s="442"/>
      <c r="D814" s="443"/>
      <c r="E814" s="433"/>
      <c r="F814" s="433"/>
      <c r="G814" s="433"/>
      <c r="H814" s="433"/>
      <c r="I814" s="433"/>
      <c r="J814" s="433"/>
      <c r="K814" s="433"/>
      <c r="L814" s="433"/>
      <c r="M814" s="433"/>
      <c r="N814" s="433"/>
      <c r="O814" s="433"/>
      <c r="P814" s="433"/>
      <c r="Q814" s="433"/>
      <c r="R814" s="433"/>
      <c r="S814" s="433"/>
      <c r="T814" s="433"/>
      <c r="U814" s="433"/>
      <c r="V814" s="433"/>
      <c r="W814" s="433"/>
      <c r="X814" s="433"/>
      <c r="Y814" s="433"/>
      <c r="Z814" s="433"/>
    </row>
    <row r="815">
      <c r="A815" s="440"/>
      <c r="B815" s="441"/>
      <c r="C815" s="442"/>
      <c r="D815" s="443"/>
      <c r="E815" s="433"/>
      <c r="F815" s="433"/>
      <c r="G815" s="433"/>
      <c r="H815" s="433"/>
      <c r="I815" s="433"/>
      <c r="J815" s="433"/>
      <c r="K815" s="433"/>
      <c r="L815" s="433"/>
      <c r="M815" s="433"/>
      <c r="N815" s="433"/>
      <c r="O815" s="433"/>
      <c r="P815" s="433"/>
      <c r="Q815" s="433"/>
      <c r="R815" s="433"/>
      <c r="S815" s="433"/>
      <c r="T815" s="433"/>
      <c r="U815" s="433"/>
      <c r="V815" s="433"/>
      <c r="W815" s="433"/>
      <c r="X815" s="433"/>
      <c r="Y815" s="433"/>
      <c r="Z815" s="433"/>
    </row>
    <row r="816">
      <c r="A816" s="440"/>
      <c r="B816" s="441"/>
      <c r="C816" s="442"/>
      <c r="D816" s="443"/>
      <c r="E816" s="433"/>
      <c r="F816" s="433"/>
      <c r="G816" s="433"/>
      <c r="H816" s="433"/>
      <c r="I816" s="433"/>
      <c r="J816" s="433"/>
      <c r="K816" s="433"/>
      <c r="L816" s="433"/>
      <c r="M816" s="433"/>
      <c r="N816" s="433"/>
      <c r="O816" s="433"/>
      <c r="P816" s="433"/>
      <c r="Q816" s="433"/>
      <c r="R816" s="433"/>
      <c r="S816" s="433"/>
      <c r="T816" s="433"/>
      <c r="U816" s="433"/>
      <c r="V816" s="433"/>
      <c r="W816" s="433"/>
      <c r="X816" s="433"/>
      <c r="Y816" s="433"/>
      <c r="Z816" s="433"/>
    </row>
    <row r="817">
      <c r="A817" s="440"/>
      <c r="B817" s="441"/>
      <c r="C817" s="442"/>
      <c r="D817" s="443"/>
      <c r="E817" s="433"/>
      <c r="F817" s="433"/>
      <c r="G817" s="433"/>
      <c r="H817" s="433"/>
      <c r="I817" s="433"/>
      <c r="J817" s="433"/>
      <c r="K817" s="433"/>
      <c r="L817" s="433"/>
      <c r="M817" s="433"/>
      <c r="N817" s="433"/>
      <c r="O817" s="433"/>
      <c r="P817" s="433"/>
      <c r="Q817" s="433"/>
      <c r="R817" s="433"/>
      <c r="S817" s="433"/>
      <c r="T817" s="433"/>
      <c r="U817" s="433"/>
      <c r="V817" s="433"/>
      <c r="W817" s="433"/>
      <c r="X817" s="433"/>
      <c r="Y817" s="433"/>
      <c r="Z817" s="433"/>
    </row>
    <row r="818">
      <c r="A818" s="440"/>
      <c r="B818" s="441"/>
      <c r="C818" s="442"/>
      <c r="D818" s="443"/>
      <c r="E818" s="433"/>
      <c r="F818" s="433"/>
      <c r="G818" s="433"/>
      <c r="H818" s="433"/>
      <c r="I818" s="433"/>
      <c r="J818" s="433"/>
      <c r="K818" s="433"/>
      <c r="L818" s="433"/>
      <c r="M818" s="433"/>
      <c r="N818" s="433"/>
      <c r="O818" s="433"/>
      <c r="P818" s="433"/>
      <c r="Q818" s="433"/>
      <c r="R818" s="433"/>
      <c r="S818" s="433"/>
      <c r="T818" s="433"/>
      <c r="U818" s="433"/>
      <c r="V818" s="433"/>
      <c r="W818" s="433"/>
      <c r="X818" s="433"/>
      <c r="Y818" s="433"/>
      <c r="Z818" s="433"/>
    </row>
    <row r="819">
      <c r="A819" s="440"/>
      <c r="B819" s="441"/>
      <c r="C819" s="442"/>
      <c r="D819" s="443"/>
      <c r="E819" s="433"/>
      <c r="F819" s="433"/>
      <c r="G819" s="433"/>
      <c r="H819" s="433"/>
      <c r="I819" s="433"/>
      <c r="J819" s="433"/>
      <c r="K819" s="433"/>
      <c r="L819" s="433"/>
      <c r="M819" s="433"/>
      <c r="N819" s="433"/>
      <c r="O819" s="433"/>
      <c r="P819" s="433"/>
      <c r="Q819" s="433"/>
      <c r="R819" s="433"/>
      <c r="S819" s="433"/>
      <c r="T819" s="433"/>
      <c r="U819" s="433"/>
      <c r="V819" s="433"/>
      <c r="W819" s="433"/>
      <c r="X819" s="433"/>
      <c r="Y819" s="433"/>
      <c r="Z819" s="433"/>
    </row>
    <row r="820">
      <c r="A820" s="440"/>
      <c r="B820" s="441"/>
      <c r="C820" s="442"/>
      <c r="D820" s="443"/>
      <c r="E820" s="433"/>
      <c r="F820" s="433"/>
      <c r="G820" s="433"/>
      <c r="H820" s="433"/>
      <c r="I820" s="433"/>
      <c r="J820" s="433"/>
      <c r="K820" s="433"/>
      <c r="L820" s="433"/>
      <c r="M820" s="433"/>
      <c r="N820" s="433"/>
      <c r="O820" s="433"/>
      <c r="P820" s="433"/>
      <c r="Q820" s="433"/>
      <c r="R820" s="433"/>
      <c r="S820" s="433"/>
      <c r="T820" s="433"/>
      <c r="U820" s="433"/>
      <c r="V820" s="433"/>
      <c r="W820" s="433"/>
      <c r="X820" s="433"/>
      <c r="Y820" s="433"/>
      <c r="Z820" s="433"/>
    </row>
    <row r="821">
      <c r="A821" s="440"/>
      <c r="B821" s="441"/>
      <c r="C821" s="442"/>
      <c r="D821" s="443"/>
      <c r="E821" s="433"/>
      <c r="F821" s="433"/>
      <c r="G821" s="433"/>
      <c r="H821" s="433"/>
      <c r="I821" s="433"/>
      <c r="J821" s="433"/>
      <c r="K821" s="433"/>
      <c r="L821" s="433"/>
      <c r="M821" s="433"/>
      <c r="N821" s="433"/>
      <c r="O821" s="433"/>
      <c r="P821" s="433"/>
      <c r="Q821" s="433"/>
      <c r="R821" s="433"/>
      <c r="S821" s="433"/>
      <c r="T821" s="433"/>
      <c r="U821" s="433"/>
      <c r="V821" s="433"/>
      <c r="W821" s="433"/>
      <c r="X821" s="433"/>
      <c r="Y821" s="433"/>
      <c r="Z821" s="433"/>
    </row>
    <row r="822">
      <c r="A822" s="440"/>
      <c r="B822" s="441"/>
      <c r="C822" s="442"/>
      <c r="D822" s="443"/>
      <c r="E822" s="433"/>
      <c r="F822" s="433"/>
      <c r="G822" s="433"/>
      <c r="H822" s="433"/>
      <c r="I822" s="433"/>
      <c r="J822" s="433"/>
      <c r="K822" s="433"/>
      <c r="L822" s="433"/>
      <c r="M822" s="433"/>
      <c r="N822" s="433"/>
      <c r="O822" s="433"/>
      <c r="P822" s="433"/>
      <c r="Q822" s="433"/>
      <c r="R822" s="433"/>
      <c r="S822" s="433"/>
      <c r="T822" s="433"/>
      <c r="U822" s="433"/>
      <c r="V822" s="433"/>
      <c r="W822" s="433"/>
      <c r="X822" s="433"/>
      <c r="Y822" s="433"/>
      <c r="Z822" s="433"/>
    </row>
    <row r="823">
      <c r="A823" s="440"/>
      <c r="B823" s="441"/>
      <c r="C823" s="442"/>
      <c r="D823" s="443"/>
      <c r="E823" s="433"/>
      <c r="F823" s="433"/>
      <c r="G823" s="433"/>
      <c r="H823" s="433"/>
      <c r="I823" s="433"/>
      <c r="J823" s="433"/>
      <c r="K823" s="433"/>
      <c r="L823" s="433"/>
      <c r="M823" s="433"/>
      <c r="N823" s="433"/>
      <c r="O823" s="433"/>
      <c r="P823" s="433"/>
      <c r="Q823" s="433"/>
      <c r="R823" s="433"/>
      <c r="S823" s="433"/>
      <c r="T823" s="433"/>
      <c r="U823" s="433"/>
      <c r="V823" s="433"/>
      <c r="W823" s="433"/>
      <c r="X823" s="433"/>
      <c r="Y823" s="433"/>
      <c r="Z823" s="433"/>
    </row>
    <row r="824">
      <c r="A824" s="440"/>
      <c r="B824" s="441"/>
      <c r="C824" s="442"/>
      <c r="D824" s="443"/>
      <c r="E824" s="433"/>
      <c r="F824" s="433"/>
      <c r="G824" s="433"/>
      <c r="H824" s="433"/>
      <c r="I824" s="433"/>
      <c r="J824" s="433"/>
      <c r="K824" s="433"/>
      <c r="L824" s="433"/>
      <c r="M824" s="433"/>
      <c r="N824" s="433"/>
      <c r="O824" s="433"/>
      <c r="P824" s="433"/>
      <c r="Q824" s="433"/>
      <c r="R824" s="433"/>
      <c r="S824" s="433"/>
      <c r="T824" s="433"/>
      <c r="U824" s="433"/>
      <c r="V824" s="433"/>
      <c r="W824" s="433"/>
      <c r="X824" s="433"/>
      <c r="Y824" s="433"/>
      <c r="Z824" s="433"/>
    </row>
    <row r="825">
      <c r="A825" s="440"/>
      <c r="B825" s="441"/>
      <c r="C825" s="442"/>
      <c r="D825" s="443"/>
      <c r="E825" s="433"/>
      <c r="F825" s="433"/>
      <c r="G825" s="433"/>
      <c r="H825" s="433"/>
      <c r="I825" s="433"/>
      <c r="J825" s="433"/>
      <c r="K825" s="433"/>
      <c r="L825" s="433"/>
      <c r="M825" s="433"/>
      <c r="N825" s="433"/>
      <c r="O825" s="433"/>
      <c r="P825" s="433"/>
      <c r="Q825" s="433"/>
      <c r="R825" s="433"/>
      <c r="S825" s="433"/>
      <c r="T825" s="433"/>
      <c r="U825" s="433"/>
      <c r="V825" s="433"/>
      <c r="W825" s="433"/>
      <c r="X825" s="433"/>
      <c r="Y825" s="433"/>
      <c r="Z825" s="433"/>
    </row>
    <row r="826">
      <c r="A826" s="440"/>
      <c r="B826" s="441"/>
      <c r="C826" s="442"/>
      <c r="D826" s="443"/>
      <c r="E826" s="433"/>
      <c r="F826" s="433"/>
      <c r="G826" s="433"/>
      <c r="H826" s="433"/>
      <c r="I826" s="433"/>
      <c r="J826" s="433"/>
      <c r="K826" s="433"/>
      <c r="L826" s="433"/>
      <c r="M826" s="433"/>
      <c r="N826" s="433"/>
      <c r="O826" s="433"/>
      <c r="P826" s="433"/>
      <c r="Q826" s="433"/>
      <c r="R826" s="433"/>
      <c r="S826" s="433"/>
      <c r="T826" s="433"/>
      <c r="U826" s="433"/>
      <c r="V826" s="433"/>
      <c r="W826" s="433"/>
      <c r="X826" s="433"/>
      <c r="Y826" s="433"/>
      <c r="Z826" s="433"/>
    </row>
    <row r="827">
      <c r="A827" s="440"/>
      <c r="B827" s="441"/>
      <c r="C827" s="442"/>
      <c r="D827" s="443"/>
      <c r="E827" s="433"/>
      <c r="F827" s="433"/>
      <c r="G827" s="433"/>
      <c r="H827" s="433"/>
      <c r="I827" s="433"/>
      <c r="J827" s="433"/>
      <c r="K827" s="433"/>
      <c r="L827" s="433"/>
      <c r="M827" s="433"/>
      <c r="N827" s="433"/>
      <c r="O827" s="433"/>
      <c r="P827" s="433"/>
      <c r="Q827" s="433"/>
      <c r="R827" s="433"/>
      <c r="S827" s="433"/>
      <c r="T827" s="433"/>
      <c r="U827" s="433"/>
      <c r="V827" s="433"/>
      <c r="W827" s="433"/>
      <c r="X827" s="433"/>
      <c r="Y827" s="433"/>
      <c r="Z827" s="433"/>
    </row>
    <row r="828">
      <c r="A828" s="440"/>
      <c r="B828" s="441"/>
      <c r="C828" s="442"/>
      <c r="D828" s="443"/>
      <c r="E828" s="433"/>
      <c r="F828" s="433"/>
      <c r="G828" s="433"/>
      <c r="H828" s="433"/>
      <c r="I828" s="433"/>
      <c r="J828" s="433"/>
      <c r="K828" s="433"/>
      <c r="L828" s="433"/>
      <c r="M828" s="433"/>
      <c r="N828" s="433"/>
      <c r="O828" s="433"/>
      <c r="P828" s="433"/>
      <c r="Q828" s="433"/>
      <c r="R828" s="433"/>
      <c r="S828" s="433"/>
      <c r="T828" s="433"/>
      <c r="U828" s="433"/>
      <c r="V828" s="433"/>
      <c r="W828" s="433"/>
      <c r="X828" s="433"/>
      <c r="Y828" s="433"/>
      <c r="Z828" s="433"/>
    </row>
    <row r="829">
      <c r="A829" s="440"/>
      <c r="B829" s="441"/>
      <c r="C829" s="442"/>
      <c r="D829" s="443"/>
      <c r="E829" s="433"/>
      <c r="F829" s="433"/>
      <c r="G829" s="433"/>
      <c r="H829" s="433"/>
      <c r="I829" s="433"/>
      <c r="J829" s="433"/>
      <c r="K829" s="433"/>
      <c r="L829" s="433"/>
      <c r="M829" s="433"/>
      <c r="N829" s="433"/>
      <c r="O829" s="433"/>
      <c r="P829" s="433"/>
      <c r="Q829" s="433"/>
      <c r="R829" s="433"/>
      <c r="S829" s="433"/>
      <c r="T829" s="433"/>
      <c r="U829" s="433"/>
      <c r="V829" s="433"/>
      <c r="W829" s="433"/>
      <c r="X829" s="433"/>
      <c r="Y829" s="433"/>
      <c r="Z829" s="433"/>
    </row>
    <row r="830">
      <c r="A830" s="440"/>
      <c r="B830" s="441"/>
      <c r="C830" s="442"/>
      <c r="D830" s="443"/>
      <c r="E830" s="433"/>
      <c r="F830" s="433"/>
      <c r="G830" s="433"/>
      <c r="H830" s="433"/>
      <c r="I830" s="433"/>
      <c r="J830" s="433"/>
      <c r="K830" s="433"/>
      <c r="L830" s="433"/>
      <c r="M830" s="433"/>
      <c r="N830" s="433"/>
      <c r="O830" s="433"/>
      <c r="P830" s="433"/>
      <c r="Q830" s="433"/>
      <c r="R830" s="433"/>
      <c r="S830" s="433"/>
      <c r="T830" s="433"/>
      <c r="U830" s="433"/>
      <c r="V830" s="433"/>
      <c r="W830" s="433"/>
      <c r="X830" s="433"/>
      <c r="Y830" s="433"/>
      <c r="Z830" s="433"/>
    </row>
    <row r="831">
      <c r="A831" s="440"/>
      <c r="B831" s="441"/>
      <c r="C831" s="442"/>
      <c r="D831" s="443"/>
      <c r="E831" s="433"/>
      <c r="F831" s="433"/>
      <c r="G831" s="433"/>
      <c r="H831" s="433"/>
      <c r="I831" s="433"/>
      <c r="J831" s="433"/>
      <c r="K831" s="433"/>
      <c r="L831" s="433"/>
      <c r="M831" s="433"/>
      <c r="N831" s="433"/>
      <c r="O831" s="433"/>
      <c r="P831" s="433"/>
      <c r="Q831" s="433"/>
      <c r="R831" s="433"/>
      <c r="S831" s="433"/>
      <c r="T831" s="433"/>
      <c r="U831" s="433"/>
      <c r="V831" s="433"/>
      <c r="W831" s="433"/>
      <c r="X831" s="433"/>
      <c r="Y831" s="433"/>
      <c r="Z831" s="433"/>
    </row>
    <row r="832">
      <c r="A832" s="440"/>
      <c r="B832" s="441"/>
      <c r="C832" s="442"/>
      <c r="D832" s="443"/>
      <c r="E832" s="433"/>
      <c r="F832" s="433"/>
      <c r="G832" s="433"/>
      <c r="H832" s="433"/>
      <c r="I832" s="433"/>
      <c r="J832" s="433"/>
      <c r="K832" s="433"/>
      <c r="L832" s="433"/>
      <c r="M832" s="433"/>
      <c r="N832" s="433"/>
      <c r="O832" s="433"/>
      <c r="P832" s="433"/>
      <c r="Q832" s="433"/>
      <c r="R832" s="433"/>
      <c r="S832" s="433"/>
      <c r="T832" s="433"/>
      <c r="U832" s="433"/>
      <c r="V832" s="433"/>
      <c r="W832" s="433"/>
      <c r="X832" s="433"/>
      <c r="Y832" s="433"/>
      <c r="Z832" s="433"/>
    </row>
    <row r="833">
      <c r="A833" s="440"/>
      <c r="B833" s="441"/>
      <c r="C833" s="442"/>
      <c r="D833" s="443"/>
      <c r="E833" s="433"/>
      <c r="F833" s="433"/>
      <c r="G833" s="433"/>
      <c r="H833" s="433"/>
      <c r="I833" s="433"/>
      <c r="J833" s="433"/>
      <c r="K833" s="433"/>
      <c r="L833" s="433"/>
      <c r="M833" s="433"/>
      <c r="N833" s="433"/>
      <c r="O833" s="433"/>
      <c r="P833" s="433"/>
      <c r="Q833" s="433"/>
      <c r="R833" s="433"/>
      <c r="S833" s="433"/>
      <c r="T833" s="433"/>
      <c r="U833" s="433"/>
      <c r="V833" s="433"/>
      <c r="W833" s="433"/>
      <c r="X833" s="433"/>
      <c r="Y833" s="433"/>
      <c r="Z833" s="433"/>
    </row>
    <row r="834">
      <c r="A834" s="440"/>
      <c r="B834" s="441"/>
      <c r="C834" s="442"/>
      <c r="D834" s="443"/>
      <c r="E834" s="433"/>
      <c r="F834" s="433"/>
      <c r="G834" s="433"/>
      <c r="H834" s="433"/>
      <c r="I834" s="433"/>
      <c r="J834" s="433"/>
      <c r="K834" s="433"/>
      <c r="L834" s="433"/>
      <c r="M834" s="433"/>
      <c r="N834" s="433"/>
      <c r="O834" s="433"/>
      <c r="P834" s="433"/>
      <c r="Q834" s="433"/>
      <c r="R834" s="433"/>
      <c r="S834" s="433"/>
      <c r="T834" s="433"/>
      <c r="U834" s="433"/>
      <c r="V834" s="433"/>
      <c r="W834" s="433"/>
      <c r="X834" s="433"/>
      <c r="Y834" s="433"/>
      <c r="Z834" s="433"/>
    </row>
    <row r="835">
      <c r="A835" s="440"/>
      <c r="B835" s="441"/>
      <c r="C835" s="442"/>
      <c r="D835" s="443"/>
      <c r="E835" s="433"/>
      <c r="F835" s="433"/>
      <c r="G835" s="433"/>
      <c r="H835" s="433"/>
      <c r="I835" s="433"/>
      <c r="J835" s="433"/>
      <c r="K835" s="433"/>
      <c r="L835" s="433"/>
      <c r="M835" s="433"/>
      <c r="N835" s="433"/>
      <c r="O835" s="433"/>
      <c r="P835" s="433"/>
      <c r="Q835" s="433"/>
      <c r="R835" s="433"/>
      <c r="S835" s="433"/>
      <c r="T835" s="433"/>
      <c r="U835" s="433"/>
      <c r="V835" s="433"/>
      <c r="W835" s="433"/>
      <c r="X835" s="433"/>
      <c r="Y835" s="433"/>
      <c r="Z835" s="433"/>
    </row>
    <row r="836">
      <c r="A836" s="440"/>
      <c r="B836" s="441"/>
      <c r="C836" s="442"/>
      <c r="D836" s="443"/>
      <c r="E836" s="433"/>
      <c r="F836" s="433"/>
      <c r="G836" s="433"/>
      <c r="H836" s="433"/>
      <c r="I836" s="433"/>
      <c r="J836" s="433"/>
      <c r="K836" s="433"/>
      <c r="L836" s="433"/>
      <c r="M836" s="433"/>
      <c r="N836" s="433"/>
      <c r="O836" s="433"/>
      <c r="P836" s="433"/>
      <c r="Q836" s="433"/>
      <c r="R836" s="433"/>
      <c r="S836" s="433"/>
      <c r="T836" s="433"/>
      <c r="U836" s="433"/>
      <c r="V836" s="433"/>
      <c r="W836" s="433"/>
      <c r="X836" s="433"/>
      <c r="Y836" s="433"/>
      <c r="Z836" s="433"/>
    </row>
    <row r="837">
      <c r="A837" s="440"/>
      <c r="B837" s="441"/>
      <c r="C837" s="442"/>
      <c r="D837" s="443"/>
      <c r="E837" s="433"/>
      <c r="F837" s="433"/>
      <c r="G837" s="433"/>
      <c r="H837" s="433"/>
      <c r="I837" s="433"/>
      <c r="J837" s="433"/>
      <c r="K837" s="433"/>
      <c r="L837" s="433"/>
      <c r="M837" s="433"/>
      <c r="N837" s="433"/>
      <c r="O837" s="433"/>
      <c r="P837" s="433"/>
      <c r="Q837" s="433"/>
      <c r="R837" s="433"/>
      <c r="S837" s="433"/>
      <c r="T837" s="433"/>
      <c r="U837" s="433"/>
      <c r="V837" s="433"/>
      <c r="W837" s="433"/>
      <c r="X837" s="433"/>
      <c r="Y837" s="433"/>
      <c r="Z837" s="433"/>
    </row>
    <row r="838">
      <c r="A838" s="440"/>
      <c r="B838" s="441"/>
      <c r="C838" s="442"/>
      <c r="D838" s="443"/>
      <c r="E838" s="433"/>
      <c r="F838" s="433"/>
      <c r="G838" s="433"/>
      <c r="H838" s="433"/>
      <c r="I838" s="433"/>
      <c r="J838" s="433"/>
      <c r="K838" s="433"/>
      <c r="L838" s="433"/>
      <c r="M838" s="433"/>
      <c r="N838" s="433"/>
      <c r="O838" s="433"/>
      <c r="P838" s="433"/>
      <c r="Q838" s="433"/>
      <c r="R838" s="433"/>
      <c r="S838" s="433"/>
      <c r="T838" s="433"/>
      <c r="U838" s="433"/>
      <c r="V838" s="433"/>
      <c r="W838" s="433"/>
      <c r="X838" s="433"/>
      <c r="Y838" s="433"/>
      <c r="Z838" s="433"/>
    </row>
    <row r="839">
      <c r="A839" s="440"/>
      <c r="B839" s="441"/>
      <c r="C839" s="442"/>
      <c r="D839" s="443"/>
      <c r="E839" s="433"/>
      <c r="F839" s="433"/>
      <c r="G839" s="433"/>
      <c r="H839" s="433"/>
      <c r="I839" s="433"/>
      <c r="J839" s="433"/>
      <c r="K839" s="433"/>
      <c r="L839" s="433"/>
      <c r="M839" s="433"/>
      <c r="N839" s="433"/>
      <c r="O839" s="433"/>
      <c r="P839" s="433"/>
      <c r="Q839" s="433"/>
      <c r="R839" s="433"/>
      <c r="S839" s="433"/>
      <c r="T839" s="433"/>
      <c r="U839" s="433"/>
      <c r="V839" s="433"/>
      <c r="W839" s="433"/>
      <c r="X839" s="433"/>
      <c r="Y839" s="433"/>
      <c r="Z839" s="433"/>
    </row>
    <row r="840">
      <c r="A840" s="440"/>
      <c r="B840" s="441"/>
      <c r="C840" s="442"/>
      <c r="D840" s="443"/>
      <c r="E840" s="433"/>
      <c r="F840" s="433"/>
      <c r="G840" s="433"/>
      <c r="H840" s="433"/>
      <c r="I840" s="433"/>
      <c r="J840" s="433"/>
      <c r="K840" s="433"/>
      <c r="L840" s="433"/>
      <c r="M840" s="433"/>
      <c r="N840" s="433"/>
      <c r="O840" s="433"/>
      <c r="P840" s="433"/>
      <c r="Q840" s="433"/>
      <c r="R840" s="433"/>
      <c r="S840" s="433"/>
      <c r="T840" s="433"/>
      <c r="U840" s="433"/>
      <c r="V840" s="433"/>
      <c r="W840" s="433"/>
      <c r="X840" s="433"/>
      <c r="Y840" s="433"/>
      <c r="Z840" s="433"/>
    </row>
    <row r="841">
      <c r="A841" s="440"/>
      <c r="B841" s="441"/>
      <c r="C841" s="442"/>
      <c r="D841" s="443"/>
      <c r="E841" s="433"/>
      <c r="F841" s="433"/>
      <c r="G841" s="433"/>
      <c r="H841" s="433"/>
      <c r="I841" s="433"/>
      <c r="J841" s="433"/>
      <c r="K841" s="433"/>
      <c r="L841" s="433"/>
      <c r="M841" s="433"/>
      <c r="N841" s="433"/>
      <c r="O841" s="433"/>
      <c r="P841" s="433"/>
      <c r="Q841" s="433"/>
      <c r="R841" s="433"/>
      <c r="S841" s="433"/>
      <c r="T841" s="433"/>
      <c r="U841" s="433"/>
      <c r="V841" s="433"/>
      <c r="W841" s="433"/>
      <c r="X841" s="433"/>
      <c r="Y841" s="433"/>
      <c r="Z841" s="433"/>
    </row>
    <row r="842">
      <c r="A842" s="440"/>
      <c r="B842" s="441"/>
      <c r="C842" s="442"/>
      <c r="D842" s="443"/>
      <c r="E842" s="433"/>
      <c r="F842" s="433"/>
      <c r="G842" s="433"/>
      <c r="H842" s="433"/>
      <c r="I842" s="433"/>
      <c r="J842" s="433"/>
      <c r="K842" s="433"/>
      <c r="L842" s="433"/>
      <c r="M842" s="433"/>
      <c r="N842" s="433"/>
      <c r="O842" s="433"/>
      <c r="P842" s="433"/>
      <c r="Q842" s="433"/>
      <c r="R842" s="433"/>
      <c r="S842" s="433"/>
      <c r="T842" s="433"/>
      <c r="U842" s="433"/>
      <c r="V842" s="433"/>
      <c r="W842" s="433"/>
      <c r="X842" s="433"/>
      <c r="Y842" s="433"/>
      <c r="Z842" s="433"/>
    </row>
    <row r="843">
      <c r="A843" s="440"/>
      <c r="B843" s="441"/>
      <c r="C843" s="442"/>
      <c r="D843" s="443"/>
      <c r="E843" s="433"/>
      <c r="F843" s="433"/>
      <c r="G843" s="433"/>
      <c r="H843" s="433"/>
      <c r="I843" s="433"/>
      <c r="J843" s="433"/>
      <c r="K843" s="433"/>
      <c r="L843" s="433"/>
      <c r="M843" s="433"/>
      <c r="N843" s="433"/>
      <c r="O843" s="433"/>
      <c r="P843" s="433"/>
      <c r="Q843" s="433"/>
      <c r="R843" s="433"/>
      <c r="S843" s="433"/>
      <c r="T843" s="433"/>
      <c r="U843" s="433"/>
      <c r="V843" s="433"/>
      <c r="W843" s="433"/>
      <c r="X843" s="433"/>
      <c r="Y843" s="433"/>
      <c r="Z843" s="433"/>
    </row>
    <row r="844">
      <c r="A844" s="440"/>
      <c r="B844" s="441"/>
      <c r="C844" s="442"/>
      <c r="D844" s="443"/>
      <c r="E844" s="433"/>
      <c r="F844" s="433"/>
      <c r="G844" s="433"/>
      <c r="H844" s="433"/>
      <c r="I844" s="433"/>
      <c r="J844" s="433"/>
      <c r="K844" s="433"/>
      <c r="L844" s="433"/>
      <c r="M844" s="433"/>
      <c r="N844" s="433"/>
      <c r="O844" s="433"/>
      <c r="P844" s="433"/>
      <c r="Q844" s="433"/>
      <c r="R844" s="433"/>
      <c r="S844" s="433"/>
      <c r="T844" s="433"/>
      <c r="U844" s="433"/>
      <c r="V844" s="433"/>
      <c r="W844" s="433"/>
      <c r="X844" s="433"/>
      <c r="Y844" s="433"/>
      <c r="Z844" s="433"/>
    </row>
    <row r="845">
      <c r="A845" s="440"/>
      <c r="B845" s="441"/>
      <c r="C845" s="442"/>
      <c r="D845" s="443"/>
      <c r="E845" s="433"/>
      <c r="F845" s="433"/>
      <c r="G845" s="433"/>
      <c r="H845" s="433"/>
      <c r="I845" s="433"/>
      <c r="J845" s="433"/>
      <c r="K845" s="433"/>
      <c r="L845" s="433"/>
      <c r="M845" s="433"/>
      <c r="N845" s="433"/>
      <c r="O845" s="433"/>
      <c r="P845" s="433"/>
      <c r="Q845" s="433"/>
      <c r="R845" s="433"/>
      <c r="S845" s="433"/>
      <c r="T845" s="433"/>
      <c r="U845" s="433"/>
      <c r="V845" s="433"/>
      <c r="W845" s="433"/>
      <c r="X845" s="433"/>
      <c r="Y845" s="433"/>
      <c r="Z845" s="433"/>
    </row>
    <row r="846">
      <c r="A846" s="440"/>
      <c r="B846" s="441"/>
      <c r="C846" s="442"/>
      <c r="D846" s="443"/>
      <c r="E846" s="433"/>
      <c r="F846" s="433"/>
      <c r="G846" s="433"/>
      <c r="H846" s="433"/>
      <c r="I846" s="433"/>
      <c r="J846" s="433"/>
      <c r="K846" s="433"/>
      <c r="L846" s="433"/>
      <c r="M846" s="433"/>
      <c r="N846" s="433"/>
      <c r="O846" s="433"/>
      <c r="P846" s="433"/>
      <c r="Q846" s="433"/>
      <c r="R846" s="433"/>
      <c r="S846" s="433"/>
      <c r="T846" s="433"/>
      <c r="U846" s="433"/>
      <c r="V846" s="433"/>
      <c r="W846" s="433"/>
      <c r="X846" s="433"/>
      <c r="Y846" s="433"/>
      <c r="Z846" s="433"/>
    </row>
    <row r="847">
      <c r="A847" s="440"/>
      <c r="B847" s="441"/>
      <c r="C847" s="442"/>
      <c r="D847" s="443"/>
      <c r="E847" s="433"/>
      <c r="F847" s="433"/>
      <c r="G847" s="433"/>
      <c r="H847" s="433"/>
      <c r="I847" s="433"/>
      <c r="J847" s="433"/>
      <c r="K847" s="433"/>
      <c r="L847" s="433"/>
      <c r="M847" s="433"/>
      <c r="N847" s="433"/>
      <c r="O847" s="433"/>
      <c r="P847" s="433"/>
      <c r="Q847" s="433"/>
      <c r="R847" s="433"/>
      <c r="S847" s="433"/>
      <c r="T847" s="433"/>
      <c r="U847" s="433"/>
      <c r="V847" s="433"/>
      <c r="W847" s="433"/>
      <c r="X847" s="433"/>
      <c r="Y847" s="433"/>
      <c r="Z847" s="433"/>
    </row>
    <row r="848">
      <c r="A848" s="440"/>
      <c r="B848" s="441"/>
      <c r="C848" s="442"/>
      <c r="D848" s="443"/>
      <c r="E848" s="433"/>
      <c r="F848" s="433"/>
      <c r="G848" s="433"/>
      <c r="H848" s="433"/>
      <c r="I848" s="433"/>
      <c r="J848" s="433"/>
      <c r="K848" s="433"/>
      <c r="L848" s="433"/>
      <c r="M848" s="433"/>
      <c r="N848" s="433"/>
      <c r="O848" s="433"/>
      <c r="P848" s="433"/>
      <c r="Q848" s="433"/>
      <c r="R848" s="433"/>
      <c r="S848" s="433"/>
      <c r="T848" s="433"/>
      <c r="U848" s="433"/>
      <c r="V848" s="433"/>
      <c r="W848" s="433"/>
      <c r="X848" s="433"/>
      <c r="Y848" s="433"/>
      <c r="Z848" s="433"/>
    </row>
    <row r="849">
      <c r="A849" s="440"/>
      <c r="B849" s="441"/>
      <c r="C849" s="442"/>
      <c r="D849" s="443"/>
      <c r="E849" s="433"/>
      <c r="F849" s="433"/>
      <c r="G849" s="433"/>
      <c r="H849" s="433"/>
      <c r="I849" s="433"/>
      <c r="J849" s="433"/>
      <c r="K849" s="433"/>
      <c r="L849" s="433"/>
      <c r="M849" s="433"/>
      <c r="N849" s="433"/>
      <c r="O849" s="433"/>
      <c r="P849" s="433"/>
      <c r="Q849" s="433"/>
      <c r="R849" s="433"/>
      <c r="S849" s="433"/>
      <c r="T849" s="433"/>
      <c r="U849" s="433"/>
      <c r="V849" s="433"/>
      <c r="W849" s="433"/>
      <c r="X849" s="433"/>
      <c r="Y849" s="433"/>
      <c r="Z849" s="433"/>
    </row>
    <row r="850">
      <c r="A850" s="440"/>
      <c r="B850" s="441"/>
      <c r="C850" s="442"/>
      <c r="D850" s="443"/>
      <c r="E850" s="433"/>
      <c r="F850" s="433"/>
      <c r="G850" s="433"/>
      <c r="H850" s="433"/>
      <c r="I850" s="433"/>
      <c r="J850" s="433"/>
      <c r="K850" s="433"/>
      <c r="L850" s="433"/>
      <c r="M850" s="433"/>
      <c r="N850" s="433"/>
      <c r="O850" s="433"/>
      <c r="P850" s="433"/>
      <c r="Q850" s="433"/>
      <c r="R850" s="433"/>
      <c r="S850" s="433"/>
      <c r="T850" s="433"/>
      <c r="U850" s="433"/>
      <c r="V850" s="433"/>
      <c r="W850" s="433"/>
      <c r="X850" s="433"/>
      <c r="Y850" s="433"/>
      <c r="Z850" s="433"/>
    </row>
    <row r="851">
      <c r="A851" s="440"/>
      <c r="B851" s="441"/>
      <c r="C851" s="442"/>
      <c r="D851" s="443"/>
      <c r="E851" s="433"/>
      <c r="F851" s="433"/>
      <c r="G851" s="433"/>
      <c r="H851" s="433"/>
      <c r="I851" s="433"/>
      <c r="J851" s="433"/>
      <c r="K851" s="433"/>
      <c r="L851" s="433"/>
      <c r="M851" s="433"/>
      <c r="N851" s="433"/>
      <c r="O851" s="433"/>
      <c r="P851" s="433"/>
      <c r="Q851" s="433"/>
      <c r="R851" s="433"/>
      <c r="S851" s="433"/>
      <c r="T851" s="433"/>
      <c r="U851" s="433"/>
      <c r="V851" s="433"/>
      <c r="W851" s="433"/>
      <c r="X851" s="433"/>
      <c r="Y851" s="433"/>
      <c r="Z851" s="433"/>
    </row>
    <row r="852">
      <c r="A852" s="440"/>
      <c r="B852" s="441"/>
      <c r="C852" s="442"/>
      <c r="D852" s="443"/>
      <c r="E852" s="433"/>
      <c r="F852" s="433"/>
      <c r="G852" s="433"/>
      <c r="H852" s="433"/>
      <c r="I852" s="433"/>
      <c r="J852" s="433"/>
      <c r="K852" s="433"/>
      <c r="L852" s="433"/>
      <c r="M852" s="433"/>
      <c r="N852" s="433"/>
      <c r="O852" s="433"/>
      <c r="P852" s="433"/>
      <c r="Q852" s="433"/>
      <c r="R852" s="433"/>
      <c r="S852" s="433"/>
      <c r="T852" s="433"/>
      <c r="U852" s="433"/>
      <c r="V852" s="433"/>
      <c r="W852" s="433"/>
      <c r="X852" s="433"/>
      <c r="Y852" s="433"/>
      <c r="Z852" s="433"/>
    </row>
    <row r="853">
      <c r="A853" s="440"/>
      <c r="B853" s="441"/>
      <c r="C853" s="442"/>
      <c r="D853" s="443"/>
      <c r="E853" s="433"/>
      <c r="F853" s="433"/>
      <c r="G853" s="433"/>
      <c r="H853" s="433"/>
      <c r="I853" s="433"/>
      <c r="J853" s="433"/>
      <c r="K853" s="433"/>
      <c r="L853" s="433"/>
      <c r="M853" s="433"/>
      <c r="N853" s="433"/>
      <c r="O853" s="433"/>
      <c r="P853" s="433"/>
      <c r="Q853" s="433"/>
      <c r="R853" s="433"/>
      <c r="S853" s="433"/>
      <c r="T853" s="433"/>
      <c r="U853" s="433"/>
      <c r="V853" s="433"/>
      <c r="W853" s="433"/>
      <c r="X853" s="433"/>
      <c r="Y853" s="433"/>
      <c r="Z853" s="433"/>
    </row>
    <row r="854">
      <c r="A854" s="440"/>
      <c r="B854" s="441"/>
      <c r="C854" s="442"/>
      <c r="D854" s="443"/>
      <c r="E854" s="433"/>
      <c r="F854" s="433"/>
      <c r="G854" s="433"/>
      <c r="H854" s="433"/>
      <c r="I854" s="433"/>
      <c r="J854" s="433"/>
      <c r="K854" s="433"/>
      <c r="L854" s="433"/>
      <c r="M854" s="433"/>
      <c r="N854" s="433"/>
      <c r="O854" s="433"/>
      <c r="P854" s="433"/>
      <c r="Q854" s="433"/>
      <c r="R854" s="433"/>
      <c r="S854" s="433"/>
      <c r="T854" s="433"/>
      <c r="U854" s="433"/>
      <c r="V854" s="433"/>
      <c r="W854" s="433"/>
      <c r="X854" s="433"/>
      <c r="Y854" s="433"/>
      <c r="Z854" s="433"/>
    </row>
    <row r="855">
      <c r="A855" s="440"/>
      <c r="B855" s="441"/>
      <c r="C855" s="442"/>
      <c r="D855" s="443"/>
      <c r="E855" s="433"/>
      <c r="F855" s="433"/>
      <c r="G855" s="433"/>
      <c r="H855" s="433"/>
      <c r="I855" s="433"/>
      <c r="J855" s="433"/>
      <c r="K855" s="433"/>
      <c r="L855" s="433"/>
      <c r="M855" s="433"/>
      <c r="N855" s="433"/>
      <c r="O855" s="433"/>
      <c r="P855" s="433"/>
      <c r="Q855" s="433"/>
      <c r="R855" s="433"/>
      <c r="S855" s="433"/>
      <c r="T855" s="433"/>
      <c r="U855" s="433"/>
      <c r="V855" s="433"/>
      <c r="W855" s="433"/>
      <c r="X855" s="433"/>
      <c r="Y855" s="433"/>
      <c r="Z855" s="433"/>
    </row>
    <row r="856">
      <c r="A856" s="440"/>
      <c r="B856" s="441"/>
      <c r="C856" s="442"/>
      <c r="D856" s="443"/>
      <c r="E856" s="433"/>
      <c r="F856" s="433"/>
      <c r="G856" s="433"/>
      <c r="H856" s="433"/>
      <c r="I856" s="433"/>
      <c r="J856" s="433"/>
      <c r="K856" s="433"/>
      <c r="L856" s="433"/>
      <c r="M856" s="433"/>
      <c r="N856" s="433"/>
      <c r="O856" s="433"/>
      <c r="P856" s="433"/>
      <c r="Q856" s="433"/>
      <c r="R856" s="433"/>
      <c r="S856" s="433"/>
      <c r="T856" s="433"/>
      <c r="U856" s="433"/>
      <c r="V856" s="433"/>
      <c r="W856" s="433"/>
      <c r="X856" s="433"/>
      <c r="Y856" s="433"/>
      <c r="Z856" s="433"/>
    </row>
    <row r="857">
      <c r="A857" s="440"/>
      <c r="B857" s="441"/>
      <c r="C857" s="442"/>
      <c r="D857" s="443"/>
      <c r="E857" s="433"/>
      <c r="F857" s="433"/>
      <c r="G857" s="433"/>
      <c r="H857" s="433"/>
      <c r="I857" s="433"/>
      <c r="J857" s="433"/>
      <c r="K857" s="433"/>
      <c r="L857" s="433"/>
      <c r="M857" s="433"/>
      <c r="N857" s="433"/>
      <c r="O857" s="433"/>
      <c r="P857" s="433"/>
      <c r="Q857" s="433"/>
      <c r="R857" s="433"/>
      <c r="S857" s="433"/>
      <c r="T857" s="433"/>
      <c r="U857" s="433"/>
      <c r="V857" s="433"/>
      <c r="W857" s="433"/>
      <c r="X857" s="433"/>
      <c r="Y857" s="433"/>
      <c r="Z857" s="433"/>
    </row>
    <row r="858">
      <c r="A858" s="440"/>
      <c r="B858" s="441"/>
      <c r="C858" s="442"/>
      <c r="D858" s="443"/>
      <c r="E858" s="433"/>
      <c r="F858" s="433"/>
      <c r="G858" s="433"/>
      <c r="H858" s="433"/>
      <c r="I858" s="433"/>
      <c r="J858" s="433"/>
      <c r="K858" s="433"/>
      <c r="L858" s="433"/>
      <c r="M858" s="433"/>
      <c r="N858" s="433"/>
      <c r="O858" s="433"/>
      <c r="P858" s="433"/>
      <c r="Q858" s="433"/>
      <c r="R858" s="433"/>
      <c r="S858" s="433"/>
      <c r="T858" s="433"/>
      <c r="U858" s="433"/>
      <c r="V858" s="433"/>
      <c r="W858" s="433"/>
      <c r="X858" s="433"/>
      <c r="Y858" s="433"/>
      <c r="Z858" s="433"/>
    </row>
    <row r="859">
      <c r="A859" s="440"/>
      <c r="B859" s="441"/>
      <c r="C859" s="442"/>
      <c r="D859" s="443"/>
      <c r="E859" s="433"/>
      <c r="F859" s="433"/>
      <c r="G859" s="433"/>
      <c r="H859" s="433"/>
      <c r="I859" s="433"/>
      <c r="J859" s="433"/>
      <c r="K859" s="433"/>
      <c r="L859" s="433"/>
      <c r="M859" s="433"/>
      <c r="N859" s="433"/>
      <c r="O859" s="433"/>
      <c r="P859" s="433"/>
      <c r="Q859" s="433"/>
      <c r="R859" s="433"/>
      <c r="S859" s="433"/>
      <c r="T859" s="433"/>
      <c r="U859" s="433"/>
      <c r="V859" s="433"/>
      <c r="W859" s="433"/>
      <c r="X859" s="433"/>
      <c r="Y859" s="433"/>
      <c r="Z859" s="433"/>
    </row>
    <row r="860">
      <c r="A860" s="440"/>
      <c r="B860" s="441"/>
      <c r="C860" s="442"/>
      <c r="D860" s="443"/>
      <c r="E860" s="433"/>
      <c r="F860" s="433"/>
      <c r="G860" s="433"/>
      <c r="H860" s="433"/>
      <c r="I860" s="433"/>
      <c r="J860" s="433"/>
      <c r="K860" s="433"/>
      <c r="L860" s="433"/>
      <c r="M860" s="433"/>
      <c r="N860" s="433"/>
      <c r="O860" s="433"/>
      <c r="P860" s="433"/>
      <c r="Q860" s="433"/>
      <c r="R860" s="433"/>
      <c r="S860" s="433"/>
      <c r="T860" s="433"/>
      <c r="U860" s="433"/>
      <c r="V860" s="433"/>
      <c r="W860" s="433"/>
      <c r="X860" s="433"/>
      <c r="Y860" s="433"/>
      <c r="Z860" s="433"/>
    </row>
    <row r="861">
      <c r="A861" s="440"/>
      <c r="B861" s="441"/>
      <c r="C861" s="442"/>
      <c r="D861" s="443"/>
      <c r="E861" s="433"/>
      <c r="F861" s="433"/>
      <c r="G861" s="433"/>
      <c r="H861" s="433"/>
      <c r="I861" s="433"/>
      <c r="J861" s="433"/>
      <c r="K861" s="433"/>
      <c r="L861" s="433"/>
      <c r="M861" s="433"/>
      <c r="N861" s="433"/>
      <c r="O861" s="433"/>
      <c r="P861" s="433"/>
      <c r="Q861" s="433"/>
      <c r="R861" s="433"/>
      <c r="S861" s="433"/>
      <c r="T861" s="433"/>
      <c r="U861" s="433"/>
      <c r="V861" s="433"/>
      <c r="W861" s="433"/>
      <c r="X861" s="433"/>
      <c r="Y861" s="433"/>
      <c r="Z861" s="433"/>
    </row>
    <row r="862">
      <c r="A862" s="440"/>
      <c r="B862" s="441"/>
      <c r="C862" s="442"/>
      <c r="D862" s="443"/>
      <c r="E862" s="433"/>
      <c r="F862" s="433"/>
      <c r="G862" s="433"/>
      <c r="H862" s="433"/>
      <c r="I862" s="433"/>
      <c r="J862" s="433"/>
      <c r="K862" s="433"/>
      <c r="L862" s="433"/>
      <c r="M862" s="433"/>
      <c r="N862" s="433"/>
      <c r="O862" s="433"/>
      <c r="P862" s="433"/>
      <c r="Q862" s="433"/>
      <c r="R862" s="433"/>
      <c r="S862" s="433"/>
      <c r="T862" s="433"/>
      <c r="U862" s="433"/>
      <c r="V862" s="433"/>
      <c r="W862" s="433"/>
      <c r="X862" s="433"/>
      <c r="Y862" s="433"/>
      <c r="Z862" s="433"/>
    </row>
    <row r="863">
      <c r="A863" s="440"/>
      <c r="B863" s="441"/>
      <c r="C863" s="442"/>
      <c r="D863" s="443"/>
      <c r="E863" s="433"/>
      <c r="F863" s="433"/>
      <c r="G863" s="433"/>
      <c r="H863" s="433"/>
      <c r="I863" s="433"/>
      <c r="J863" s="433"/>
      <c r="K863" s="433"/>
      <c r="L863" s="433"/>
      <c r="M863" s="433"/>
      <c r="N863" s="433"/>
      <c r="O863" s="433"/>
      <c r="P863" s="433"/>
      <c r="Q863" s="433"/>
      <c r="R863" s="433"/>
      <c r="S863" s="433"/>
      <c r="T863" s="433"/>
      <c r="U863" s="433"/>
      <c r="V863" s="433"/>
      <c r="W863" s="433"/>
      <c r="X863" s="433"/>
      <c r="Y863" s="433"/>
      <c r="Z863" s="433"/>
    </row>
    <row r="864">
      <c r="A864" s="440"/>
      <c r="B864" s="441"/>
      <c r="C864" s="442"/>
      <c r="D864" s="443"/>
      <c r="E864" s="433"/>
      <c r="F864" s="433"/>
      <c r="G864" s="433"/>
      <c r="H864" s="433"/>
      <c r="I864" s="433"/>
      <c r="J864" s="433"/>
      <c r="K864" s="433"/>
      <c r="L864" s="433"/>
      <c r="M864" s="433"/>
      <c r="N864" s="433"/>
      <c r="O864" s="433"/>
      <c r="P864" s="433"/>
      <c r="Q864" s="433"/>
      <c r="R864" s="433"/>
      <c r="S864" s="433"/>
      <c r="T864" s="433"/>
      <c r="U864" s="433"/>
      <c r="V864" s="433"/>
      <c r="W864" s="433"/>
      <c r="X864" s="433"/>
      <c r="Y864" s="433"/>
      <c r="Z864" s="433"/>
    </row>
    <row r="865">
      <c r="A865" s="440"/>
      <c r="B865" s="441"/>
      <c r="C865" s="442"/>
      <c r="D865" s="443"/>
      <c r="E865" s="433"/>
      <c r="F865" s="433"/>
      <c r="G865" s="433"/>
      <c r="H865" s="433"/>
      <c r="I865" s="433"/>
      <c r="J865" s="433"/>
      <c r="K865" s="433"/>
      <c r="L865" s="433"/>
      <c r="M865" s="433"/>
      <c r="N865" s="433"/>
      <c r="O865" s="433"/>
      <c r="P865" s="433"/>
      <c r="Q865" s="433"/>
      <c r="R865" s="433"/>
      <c r="S865" s="433"/>
      <c r="T865" s="433"/>
      <c r="U865" s="433"/>
      <c r="V865" s="433"/>
      <c r="W865" s="433"/>
      <c r="X865" s="433"/>
      <c r="Y865" s="433"/>
      <c r="Z865" s="433"/>
    </row>
    <row r="866">
      <c r="A866" s="440"/>
      <c r="B866" s="441"/>
      <c r="C866" s="442"/>
      <c r="D866" s="443"/>
      <c r="E866" s="433"/>
      <c r="F866" s="433"/>
      <c r="G866" s="433"/>
      <c r="H866" s="433"/>
      <c r="I866" s="433"/>
      <c r="J866" s="433"/>
      <c r="K866" s="433"/>
      <c r="L866" s="433"/>
      <c r="M866" s="433"/>
      <c r="N866" s="433"/>
      <c r="O866" s="433"/>
      <c r="P866" s="433"/>
      <c r="Q866" s="433"/>
      <c r="R866" s="433"/>
      <c r="S866" s="433"/>
      <c r="T866" s="433"/>
      <c r="U866" s="433"/>
      <c r="V866" s="433"/>
      <c r="W866" s="433"/>
      <c r="X866" s="433"/>
      <c r="Y866" s="433"/>
      <c r="Z866" s="433"/>
    </row>
    <row r="867">
      <c r="A867" s="440"/>
      <c r="B867" s="441"/>
      <c r="C867" s="442"/>
      <c r="D867" s="443"/>
      <c r="E867" s="433"/>
      <c r="F867" s="433"/>
      <c r="G867" s="433"/>
      <c r="H867" s="433"/>
      <c r="I867" s="433"/>
      <c r="J867" s="433"/>
      <c r="K867" s="433"/>
      <c r="L867" s="433"/>
      <c r="M867" s="433"/>
      <c r="N867" s="433"/>
      <c r="O867" s="433"/>
      <c r="P867" s="433"/>
      <c r="Q867" s="433"/>
      <c r="R867" s="433"/>
      <c r="S867" s="433"/>
      <c r="T867" s="433"/>
      <c r="U867" s="433"/>
      <c r="V867" s="433"/>
      <c r="W867" s="433"/>
      <c r="X867" s="433"/>
      <c r="Y867" s="433"/>
      <c r="Z867" s="433"/>
    </row>
    <row r="868">
      <c r="A868" s="440"/>
      <c r="B868" s="441"/>
      <c r="C868" s="442"/>
      <c r="D868" s="443"/>
      <c r="E868" s="433"/>
      <c r="F868" s="433"/>
      <c r="G868" s="433"/>
      <c r="H868" s="433"/>
      <c r="I868" s="433"/>
      <c r="J868" s="433"/>
      <c r="K868" s="433"/>
      <c r="L868" s="433"/>
      <c r="M868" s="433"/>
      <c r="N868" s="433"/>
      <c r="O868" s="433"/>
      <c r="P868" s="433"/>
      <c r="Q868" s="433"/>
      <c r="R868" s="433"/>
      <c r="S868" s="433"/>
      <c r="T868" s="433"/>
      <c r="U868" s="433"/>
      <c r="V868" s="433"/>
      <c r="W868" s="433"/>
      <c r="X868" s="433"/>
      <c r="Y868" s="433"/>
      <c r="Z868" s="433"/>
    </row>
    <row r="869">
      <c r="A869" s="440"/>
      <c r="B869" s="441"/>
      <c r="C869" s="442"/>
      <c r="D869" s="443"/>
      <c r="E869" s="433"/>
      <c r="F869" s="433"/>
      <c r="G869" s="433"/>
      <c r="H869" s="433"/>
      <c r="I869" s="433"/>
      <c r="J869" s="433"/>
      <c r="K869" s="433"/>
      <c r="L869" s="433"/>
      <c r="M869" s="433"/>
      <c r="N869" s="433"/>
      <c r="O869" s="433"/>
      <c r="P869" s="433"/>
      <c r="Q869" s="433"/>
      <c r="R869" s="433"/>
      <c r="S869" s="433"/>
      <c r="T869" s="433"/>
      <c r="U869" s="433"/>
      <c r="V869" s="433"/>
      <c r="W869" s="433"/>
      <c r="X869" s="433"/>
      <c r="Y869" s="433"/>
      <c r="Z869" s="433"/>
    </row>
    <row r="870">
      <c r="A870" s="440"/>
      <c r="B870" s="441"/>
      <c r="C870" s="442"/>
      <c r="D870" s="443"/>
      <c r="E870" s="433"/>
      <c r="F870" s="433"/>
      <c r="G870" s="433"/>
      <c r="H870" s="433"/>
      <c r="I870" s="433"/>
      <c r="J870" s="433"/>
      <c r="K870" s="433"/>
      <c r="L870" s="433"/>
      <c r="M870" s="433"/>
      <c r="N870" s="433"/>
      <c r="O870" s="433"/>
      <c r="P870" s="433"/>
      <c r="Q870" s="433"/>
      <c r="R870" s="433"/>
      <c r="S870" s="433"/>
      <c r="T870" s="433"/>
      <c r="U870" s="433"/>
      <c r="V870" s="433"/>
      <c r="W870" s="433"/>
      <c r="X870" s="433"/>
      <c r="Y870" s="433"/>
      <c r="Z870" s="433"/>
    </row>
    <row r="871">
      <c r="A871" s="440"/>
      <c r="B871" s="441"/>
      <c r="C871" s="442"/>
      <c r="D871" s="443"/>
      <c r="E871" s="433"/>
      <c r="F871" s="433"/>
      <c r="G871" s="433"/>
      <c r="H871" s="433"/>
      <c r="I871" s="433"/>
      <c r="J871" s="433"/>
      <c r="K871" s="433"/>
      <c r="L871" s="433"/>
      <c r="M871" s="433"/>
      <c r="N871" s="433"/>
      <c r="O871" s="433"/>
      <c r="P871" s="433"/>
      <c r="Q871" s="433"/>
      <c r="R871" s="433"/>
      <c r="S871" s="433"/>
      <c r="T871" s="433"/>
      <c r="U871" s="433"/>
      <c r="V871" s="433"/>
      <c r="W871" s="433"/>
      <c r="X871" s="433"/>
      <c r="Y871" s="433"/>
      <c r="Z871" s="433"/>
    </row>
    <row r="872">
      <c r="A872" s="440"/>
      <c r="B872" s="441"/>
      <c r="C872" s="442"/>
      <c r="D872" s="443"/>
      <c r="E872" s="433"/>
      <c r="F872" s="433"/>
      <c r="G872" s="433"/>
      <c r="H872" s="433"/>
      <c r="I872" s="433"/>
      <c r="J872" s="433"/>
      <c r="K872" s="433"/>
      <c r="L872" s="433"/>
      <c r="M872" s="433"/>
      <c r="N872" s="433"/>
      <c r="O872" s="433"/>
      <c r="P872" s="433"/>
      <c r="Q872" s="433"/>
      <c r="R872" s="433"/>
      <c r="S872" s="433"/>
      <c r="T872" s="433"/>
      <c r="U872" s="433"/>
      <c r="V872" s="433"/>
      <c r="W872" s="433"/>
      <c r="X872" s="433"/>
      <c r="Y872" s="433"/>
      <c r="Z872" s="433"/>
    </row>
    <row r="873">
      <c r="A873" s="440"/>
      <c r="B873" s="441"/>
      <c r="C873" s="442"/>
      <c r="D873" s="443"/>
      <c r="E873" s="433"/>
      <c r="F873" s="433"/>
      <c r="G873" s="433"/>
      <c r="H873" s="433"/>
      <c r="I873" s="433"/>
      <c r="J873" s="433"/>
      <c r="K873" s="433"/>
      <c r="L873" s="433"/>
      <c r="M873" s="433"/>
      <c r="N873" s="433"/>
      <c r="O873" s="433"/>
      <c r="P873" s="433"/>
      <c r="Q873" s="433"/>
      <c r="R873" s="433"/>
      <c r="S873" s="433"/>
      <c r="T873" s="433"/>
      <c r="U873" s="433"/>
      <c r="V873" s="433"/>
      <c r="W873" s="433"/>
      <c r="X873" s="433"/>
      <c r="Y873" s="433"/>
      <c r="Z873" s="433"/>
    </row>
    <row r="874">
      <c r="A874" s="440"/>
      <c r="B874" s="441"/>
      <c r="C874" s="442"/>
      <c r="D874" s="443"/>
      <c r="E874" s="433"/>
      <c r="F874" s="433"/>
      <c r="G874" s="433"/>
      <c r="H874" s="433"/>
      <c r="I874" s="433"/>
      <c r="J874" s="433"/>
      <c r="K874" s="433"/>
      <c r="L874" s="433"/>
      <c r="M874" s="433"/>
      <c r="N874" s="433"/>
      <c r="O874" s="433"/>
      <c r="P874" s="433"/>
      <c r="Q874" s="433"/>
      <c r="R874" s="433"/>
      <c r="S874" s="433"/>
      <c r="T874" s="433"/>
      <c r="U874" s="433"/>
      <c r="V874" s="433"/>
      <c r="W874" s="433"/>
      <c r="X874" s="433"/>
      <c r="Y874" s="433"/>
      <c r="Z874" s="433"/>
    </row>
    <row r="875">
      <c r="A875" s="440"/>
      <c r="B875" s="441"/>
      <c r="C875" s="442"/>
      <c r="D875" s="443"/>
      <c r="E875" s="433"/>
      <c r="F875" s="433"/>
      <c r="G875" s="433"/>
      <c r="H875" s="433"/>
      <c r="I875" s="433"/>
      <c r="J875" s="433"/>
      <c r="K875" s="433"/>
      <c r="L875" s="433"/>
      <c r="M875" s="433"/>
      <c r="N875" s="433"/>
      <c r="O875" s="433"/>
      <c r="P875" s="433"/>
      <c r="Q875" s="433"/>
      <c r="R875" s="433"/>
      <c r="S875" s="433"/>
      <c r="T875" s="433"/>
      <c r="U875" s="433"/>
      <c r="V875" s="433"/>
      <c r="W875" s="433"/>
      <c r="X875" s="433"/>
      <c r="Y875" s="433"/>
      <c r="Z875" s="433"/>
    </row>
    <row r="876">
      <c r="A876" s="440"/>
      <c r="B876" s="441"/>
      <c r="C876" s="442"/>
      <c r="D876" s="443"/>
      <c r="E876" s="433"/>
      <c r="F876" s="433"/>
      <c r="G876" s="433"/>
      <c r="H876" s="433"/>
      <c r="I876" s="433"/>
      <c r="J876" s="433"/>
      <c r="K876" s="433"/>
      <c r="L876" s="433"/>
      <c r="M876" s="433"/>
      <c r="N876" s="433"/>
      <c r="O876" s="433"/>
      <c r="P876" s="433"/>
      <c r="Q876" s="433"/>
      <c r="R876" s="433"/>
      <c r="S876" s="433"/>
      <c r="T876" s="433"/>
      <c r="U876" s="433"/>
      <c r="V876" s="433"/>
      <c r="W876" s="433"/>
      <c r="X876" s="433"/>
      <c r="Y876" s="433"/>
      <c r="Z876" s="433"/>
    </row>
    <row r="877">
      <c r="A877" s="440"/>
      <c r="B877" s="441"/>
      <c r="C877" s="442"/>
      <c r="D877" s="443"/>
      <c r="E877" s="433"/>
      <c r="F877" s="433"/>
      <c r="G877" s="433"/>
      <c r="H877" s="433"/>
      <c r="I877" s="433"/>
      <c r="J877" s="433"/>
      <c r="K877" s="433"/>
      <c r="L877" s="433"/>
      <c r="M877" s="433"/>
      <c r="N877" s="433"/>
      <c r="O877" s="433"/>
      <c r="P877" s="433"/>
      <c r="Q877" s="433"/>
      <c r="R877" s="433"/>
      <c r="S877" s="433"/>
      <c r="T877" s="433"/>
      <c r="U877" s="433"/>
      <c r="V877" s="433"/>
      <c r="W877" s="433"/>
      <c r="X877" s="433"/>
      <c r="Y877" s="433"/>
      <c r="Z877" s="433"/>
    </row>
    <row r="878">
      <c r="A878" s="440"/>
      <c r="B878" s="441"/>
      <c r="C878" s="442"/>
      <c r="D878" s="443"/>
      <c r="E878" s="433"/>
      <c r="F878" s="433"/>
      <c r="G878" s="433"/>
      <c r="H878" s="433"/>
      <c r="I878" s="433"/>
      <c r="J878" s="433"/>
      <c r="K878" s="433"/>
      <c r="L878" s="433"/>
      <c r="M878" s="433"/>
      <c r="N878" s="433"/>
      <c r="O878" s="433"/>
      <c r="P878" s="433"/>
      <c r="Q878" s="433"/>
      <c r="R878" s="433"/>
      <c r="S878" s="433"/>
      <c r="T878" s="433"/>
      <c r="U878" s="433"/>
      <c r="V878" s="433"/>
      <c r="W878" s="433"/>
      <c r="X878" s="433"/>
      <c r="Y878" s="433"/>
      <c r="Z878" s="433"/>
    </row>
    <row r="879">
      <c r="A879" s="440"/>
      <c r="B879" s="441"/>
      <c r="C879" s="442"/>
      <c r="D879" s="443"/>
      <c r="E879" s="433"/>
      <c r="F879" s="433"/>
      <c r="G879" s="433"/>
      <c r="H879" s="433"/>
      <c r="I879" s="433"/>
      <c r="J879" s="433"/>
      <c r="K879" s="433"/>
      <c r="L879" s="433"/>
      <c r="M879" s="433"/>
      <c r="N879" s="433"/>
      <c r="O879" s="433"/>
      <c r="P879" s="433"/>
      <c r="Q879" s="433"/>
      <c r="R879" s="433"/>
      <c r="S879" s="433"/>
      <c r="T879" s="433"/>
      <c r="U879" s="433"/>
      <c r="V879" s="433"/>
      <c r="W879" s="433"/>
      <c r="X879" s="433"/>
      <c r="Y879" s="433"/>
      <c r="Z879" s="433"/>
    </row>
    <row r="880">
      <c r="A880" s="440"/>
      <c r="B880" s="441"/>
      <c r="C880" s="442"/>
      <c r="D880" s="443"/>
      <c r="E880" s="433"/>
      <c r="F880" s="433"/>
      <c r="G880" s="433"/>
      <c r="H880" s="433"/>
      <c r="I880" s="433"/>
      <c r="J880" s="433"/>
      <c r="K880" s="433"/>
      <c r="L880" s="433"/>
      <c r="M880" s="433"/>
      <c r="N880" s="433"/>
      <c r="O880" s="433"/>
      <c r="P880" s="433"/>
      <c r="Q880" s="433"/>
      <c r="R880" s="433"/>
      <c r="S880" s="433"/>
      <c r="T880" s="433"/>
      <c r="U880" s="433"/>
      <c r="V880" s="433"/>
      <c r="W880" s="433"/>
      <c r="X880" s="433"/>
      <c r="Y880" s="433"/>
      <c r="Z880" s="433"/>
    </row>
    <row r="881">
      <c r="A881" s="440"/>
      <c r="B881" s="441"/>
      <c r="C881" s="442"/>
      <c r="D881" s="443"/>
      <c r="E881" s="433"/>
      <c r="F881" s="433"/>
      <c r="G881" s="433"/>
      <c r="H881" s="433"/>
      <c r="I881" s="433"/>
      <c r="J881" s="433"/>
      <c r="K881" s="433"/>
      <c r="L881" s="433"/>
      <c r="M881" s="433"/>
      <c r="N881" s="433"/>
      <c r="O881" s="433"/>
      <c r="P881" s="433"/>
      <c r="Q881" s="433"/>
      <c r="R881" s="433"/>
      <c r="S881" s="433"/>
      <c r="T881" s="433"/>
      <c r="U881" s="433"/>
      <c r="V881" s="433"/>
      <c r="W881" s="433"/>
      <c r="X881" s="433"/>
      <c r="Y881" s="433"/>
      <c r="Z881" s="433"/>
    </row>
    <row r="882">
      <c r="A882" s="440"/>
      <c r="B882" s="441"/>
      <c r="C882" s="442"/>
      <c r="D882" s="443"/>
      <c r="E882" s="433"/>
      <c r="F882" s="433"/>
      <c r="G882" s="433"/>
      <c r="H882" s="433"/>
      <c r="I882" s="433"/>
      <c r="J882" s="433"/>
      <c r="K882" s="433"/>
      <c r="L882" s="433"/>
      <c r="M882" s="433"/>
      <c r="N882" s="433"/>
      <c r="O882" s="433"/>
      <c r="P882" s="433"/>
      <c r="Q882" s="433"/>
      <c r="R882" s="433"/>
      <c r="S882" s="433"/>
      <c r="T882" s="433"/>
      <c r="U882" s="433"/>
      <c r="V882" s="433"/>
      <c r="W882" s="433"/>
      <c r="X882" s="433"/>
      <c r="Y882" s="433"/>
      <c r="Z882" s="433"/>
    </row>
    <row r="883">
      <c r="A883" s="440"/>
      <c r="B883" s="441"/>
      <c r="C883" s="442"/>
      <c r="D883" s="443"/>
      <c r="E883" s="433"/>
      <c r="F883" s="433"/>
      <c r="G883" s="433"/>
      <c r="H883" s="433"/>
      <c r="I883" s="433"/>
      <c r="J883" s="433"/>
      <c r="K883" s="433"/>
      <c r="L883" s="433"/>
      <c r="M883" s="433"/>
      <c r="N883" s="433"/>
      <c r="O883" s="433"/>
      <c r="P883" s="433"/>
      <c r="Q883" s="433"/>
      <c r="R883" s="433"/>
      <c r="S883" s="433"/>
      <c r="T883" s="433"/>
      <c r="U883" s="433"/>
      <c r="V883" s="433"/>
      <c r="W883" s="433"/>
      <c r="X883" s="433"/>
      <c r="Y883" s="433"/>
      <c r="Z883" s="433"/>
    </row>
    <row r="884">
      <c r="A884" s="440"/>
      <c r="B884" s="441"/>
      <c r="C884" s="442"/>
      <c r="D884" s="443"/>
      <c r="E884" s="433"/>
      <c r="F884" s="433"/>
      <c r="G884" s="433"/>
      <c r="H884" s="433"/>
      <c r="I884" s="433"/>
      <c r="J884" s="433"/>
      <c r="K884" s="433"/>
      <c r="L884" s="433"/>
      <c r="M884" s="433"/>
      <c r="N884" s="433"/>
      <c r="O884" s="433"/>
      <c r="P884" s="433"/>
      <c r="Q884" s="433"/>
      <c r="R884" s="433"/>
      <c r="S884" s="433"/>
      <c r="T884" s="433"/>
      <c r="U884" s="433"/>
      <c r="V884" s="433"/>
      <c r="W884" s="433"/>
      <c r="X884" s="433"/>
      <c r="Y884" s="433"/>
      <c r="Z884" s="433"/>
    </row>
    <row r="885">
      <c r="A885" s="440"/>
      <c r="B885" s="441"/>
      <c r="C885" s="442"/>
      <c r="D885" s="443"/>
      <c r="E885" s="433"/>
      <c r="F885" s="433"/>
      <c r="G885" s="433"/>
      <c r="H885" s="433"/>
      <c r="I885" s="433"/>
      <c r="J885" s="433"/>
      <c r="K885" s="433"/>
      <c r="L885" s="433"/>
      <c r="M885" s="433"/>
      <c r="N885" s="433"/>
      <c r="O885" s="433"/>
      <c r="P885" s="433"/>
      <c r="Q885" s="433"/>
      <c r="R885" s="433"/>
      <c r="S885" s="433"/>
      <c r="T885" s="433"/>
      <c r="U885" s="433"/>
      <c r="V885" s="433"/>
      <c r="W885" s="433"/>
      <c r="X885" s="433"/>
      <c r="Y885" s="433"/>
      <c r="Z885" s="433"/>
    </row>
    <row r="886">
      <c r="A886" s="440"/>
      <c r="B886" s="441"/>
      <c r="C886" s="442"/>
      <c r="D886" s="443"/>
      <c r="E886" s="433"/>
      <c r="F886" s="433"/>
      <c r="G886" s="433"/>
      <c r="H886" s="433"/>
      <c r="I886" s="433"/>
      <c r="J886" s="433"/>
      <c r="K886" s="433"/>
      <c r="L886" s="433"/>
      <c r="M886" s="433"/>
      <c r="N886" s="433"/>
      <c r="O886" s="433"/>
      <c r="P886" s="433"/>
      <c r="Q886" s="433"/>
      <c r="R886" s="433"/>
      <c r="S886" s="433"/>
      <c r="T886" s="433"/>
      <c r="U886" s="433"/>
      <c r="V886" s="433"/>
      <c r="W886" s="433"/>
      <c r="X886" s="433"/>
      <c r="Y886" s="433"/>
      <c r="Z886" s="433"/>
    </row>
    <row r="887">
      <c r="A887" s="440"/>
      <c r="B887" s="441"/>
      <c r="C887" s="442"/>
      <c r="D887" s="443"/>
      <c r="E887" s="433"/>
      <c r="F887" s="433"/>
      <c r="G887" s="433"/>
      <c r="H887" s="433"/>
      <c r="I887" s="433"/>
      <c r="J887" s="433"/>
      <c r="K887" s="433"/>
      <c r="L887" s="433"/>
      <c r="M887" s="433"/>
      <c r="N887" s="433"/>
      <c r="O887" s="433"/>
      <c r="P887" s="433"/>
      <c r="Q887" s="433"/>
      <c r="R887" s="433"/>
      <c r="S887" s="433"/>
      <c r="T887" s="433"/>
      <c r="U887" s="433"/>
      <c r="V887" s="433"/>
      <c r="W887" s="433"/>
      <c r="X887" s="433"/>
      <c r="Y887" s="433"/>
      <c r="Z887" s="433"/>
    </row>
    <row r="888">
      <c r="A888" s="440"/>
      <c r="B888" s="441"/>
      <c r="C888" s="442"/>
      <c r="D888" s="443"/>
      <c r="E888" s="433"/>
      <c r="F888" s="433"/>
      <c r="G888" s="433"/>
      <c r="H888" s="433"/>
      <c r="I888" s="433"/>
      <c r="J888" s="433"/>
      <c r="K888" s="433"/>
      <c r="L888" s="433"/>
      <c r="M888" s="433"/>
      <c r="N888" s="433"/>
      <c r="O888" s="433"/>
      <c r="P888" s="433"/>
      <c r="Q888" s="433"/>
      <c r="R888" s="433"/>
      <c r="S888" s="433"/>
      <c r="T888" s="433"/>
      <c r="U888" s="433"/>
      <c r="V888" s="433"/>
      <c r="W888" s="433"/>
      <c r="X888" s="433"/>
      <c r="Y888" s="433"/>
      <c r="Z888" s="433"/>
    </row>
    <row r="889">
      <c r="A889" s="440"/>
      <c r="B889" s="441"/>
      <c r="C889" s="442"/>
      <c r="D889" s="443"/>
      <c r="E889" s="433"/>
      <c r="F889" s="433"/>
      <c r="G889" s="433"/>
      <c r="H889" s="433"/>
      <c r="I889" s="433"/>
      <c r="J889" s="433"/>
      <c r="K889" s="433"/>
      <c r="L889" s="433"/>
      <c r="M889" s="433"/>
      <c r="N889" s="433"/>
      <c r="O889" s="433"/>
      <c r="P889" s="433"/>
      <c r="Q889" s="433"/>
      <c r="R889" s="433"/>
      <c r="S889" s="433"/>
      <c r="T889" s="433"/>
      <c r="U889" s="433"/>
      <c r="V889" s="433"/>
      <c r="W889" s="433"/>
      <c r="X889" s="433"/>
      <c r="Y889" s="433"/>
      <c r="Z889" s="433"/>
    </row>
    <row r="890">
      <c r="A890" s="440"/>
      <c r="B890" s="441"/>
      <c r="C890" s="442"/>
      <c r="D890" s="443"/>
      <c r="E890" s="433"/>
      <c r="F890" s="433"/>
      <c r="G890" s="433"/>
      <c r="H890" s="433"/>
      <c r="I890" s="433"/>
      <c r="J890" s="433"/>
      <c r="K890" s="433"/>
      <c r="L890" s="433"/>
      <c r="M890" s="433"/>
      <c r="N890" s="433"/>
      <c r="O890" s="433"/>
      <c r="P890" s="433"/>
      <c r="Q890" s="433"/>
      <c r="R890" s="433"/>
      <c r="S890" s="433"/>
      <c r="T890" s="433"/>
      <c r="U890" s="433"/>
      <c r="V890" s="433"/>
      <c r="W890" s="433"/>
      <c r="X890" s="433"/>
      <c r="Y890" s="433"/>
      <c r="Z890" s="433"/>
    </row>
    <row r="891">
      <c r="A891" s="440"/>
      <c r="B891" s="441"/>
      <c r="C891" s="442"/>
      <c r="D891" s="443"/>
      <c r="E891" s="433"/>
      <c r="F891" s="433"/>
      <c r="G891" s="433"/>
      <c r="H891" s="433"/>
      <c r="I891" s="433"/>
      <c r="J891" s="433"/>
      <c r="K891" s="433"/>
      <c r="L891" s="433"/>
      <c r="M891" s="433"/>
      <c r="N891" s="433"/>
      <c r="O891" s="433"/>
      <c r="P891" s="433"/>
      <c r="Q891" s="433"/>
      <c r="R891" s="433"/>
      <c r="S891" s="433"/>
      <c r="T891" s="433"/>
      <c r="U891" s="433"/>
      <c r="V891" s="433"/>
      <c r="W891" s="433"/>
      <c r="X891" s="433"/>
      <c r="Y891" s="433"/>
      <c r="Z891" s="433"/>
    </row>
    <row r="892">
      <c r="A892" s="440"/>
      <c r="B892" s="441"/>
      <c r="C892" s="442"/>
      <c r="D892" s="443"/>
      <c r="E892" s="433"/>
      <c r="F892" s="433"/>
      <c r="G892" s="433"/>
      <c r="H892" s="433"/>
      <c r="I892" s="433"/>
      <c r="J892" s="433"/>
      <c r="K892" s="433"/>
      <c r="L892" s="433"/>
      <c r="M892" s="433"/>
      <c r="N892" s="433"/>
      <c r="O892" s="433"/>
      <c r="P892" s="433"/>
      <c r="Q892" s="433"/>
      <c r="R892" s="433"/>
      <c r="S892" s="433"/>
      <c r="T892" s="433"/>
      <c r="U892" s="433"/>
      <c r="V892" s="433"/>
      <c r="W892" s="433"/>
      <c r="X892" s="433"/>
      <c r="Y892" s="433"/>
      <c r="Z892" s="433"/>
    </row>
    <row r="893">
      <c r="A893" s="440"/>
      <c r="B893" s="441"/>
      <c r="C893" s="442"/>
      <c r="D893" s="443"/>
      <c r="E893" s="433"/>
      <c r="F893" s="433"/>
      <c r="G893" s="433"/>
      <c r="H893" s="433"/>
      <c r="I893" s="433"/>
      <c r="J893" s="433"/>
      <c r="K893" s="433"/>
      <c r="L893" s="433"/>
      <c r="M893" s="433"/>
      <c r="N893" s="433"/>
      <c r="O893" s="433"/>
      <c r="P893" s="433"/>
      <c r="Q893" s="433"/>
      <c r="R893" s="433"/>
      <c r="S893" s="433"/>
      <c r="T893" s="433"/>
      <c r="U893" s="433"/>
      <c r="V893" s="433"/>
      <c r="W893" s="433"/>
      <c r="X893" s="433"/>
      <c r="Y893" s="433"/>
      <c r="Z893" s="433"/>
    </row>
    <row r="894">
      <c r="A894" s="440"/>
      <c r="B894" s="441"/>
      <c r="C894" s="442"/>
      <c r="D894" s="443"/>
      <c r="E894" s="433"/>
      <c r="F894" s="433"/>
      <c r="G894" s="433"/>
      <c r="H894" s="433"/>
      <c r="I894" s="433"/>
      <c r="J894" s="433"/>
      <c r="K894" s="433"/>
      <c r="L894" s="433"/>
      <c r="M894" s="433"/>
      <c r="N894" s="433"/>
      <c r="O894" s="433"/>
      <c r="P894" s="433"/>
      <c r="Q894" s="433"/>
      <c r="R894" s="433"/>
      <c r="S894" s="433"/>
      <c r="T894" s="433"/>
      <c r="U894" s="433"/>
      <c r="V894" s="433"/>
      <c r="W894" s="433"/>
      <c r="X894" s="433"/>
      <c r="Y894" s="433"/>
      <c r="Z894" s="433"/>
    </row>
    <row r="895">
      <c r="A895" s="440"/>
      <c r="B895" s="441"/>
      <c r="C895" s="442"/>
      <c r="D895" s="443"/>
      <c r="E895" s="433"/>
      <c r="F895" s="433"/>
      <c r="G895" s="433"/>
      <c r="H895" s="433"/>
      <c r="I895" s="433"/>
      <c r="J895" s="433"/>
      <c r="K895" s="433"/>
      <c r="L895" s="433"/>
      <c r="M895" s="433"/>
      <c r="N895" s="433"/>
      <c r="O895" s="433"/>
      <c r="P895" s="433"/>
      <c r="Q895" s="433"/>
      <c r="R895" s="433"/>
      <c r="S895" s="433"/>
      <c r="T895" s="433"/>
      <c r="U895" s="433"/>
      <c r="V895" s="433"/>
      <c r="W895" s="433"/>
      <c r="X895" s="433"/>
      <c r="Y895" s="433"/>
      <c r="Z895" s="433"/>
    </row>
    <row r="896">
      <c r="A896" s="440"/>
      <c r="B896" s="441"/>
      <c r="C896" s="442"/>
      <c r="D896" s="443"/>
      <c r="E896" s="433"/>
      <c r="F896" s="433"/>
      <c r="G896" s="433"/>
      <c r="H896" s="433"/>
      <c r="I896" s="433"/>
      <c r="J896" s="433"/>
      <c r="K896" s="433"/>
      <c r="L896" s="433"/>
      <c r="M896" s="433"/>
      <c r="N896" s="433"/>
      <c r="O896" s="433"/>
      <c r="P896" s="433"/>
      <c r="Q896" s="433"/>
      <c r="R896" s="433"/>
      <c r="S896" s="433"/>
      <c r="T896" s="433"/>
      <c r="U896" s="433"/>
      <c r="V896" s="433"/>
      <c r="W896" s="433"/>
      <c r="X896" s="433"/>
      <c r="Y896" s="433"/>
      <c r="Z896" s="433"/>
    </row>
    <row r="897">
      <c r="A897" s="440"/>
      <c r="B897" s="441"/>
      <c r="C897" s="442"/>
      <c r="D897" s="443"/>
      <c r="E897" s="433"/>
      <c r="F897" s="433"/>
      <c r="G897" s="433"/>
      <c r="H897" s="433"/>
      <c r="I897" s="433"/>
      <c r="J897" s="433"/>
      <c r="K897" s="433"/>
      <c r="L897" s="433"/>
      <c r="M897" s="433"/>
      <c r="N897" s="433"/>
      <c r="O897" s="433"/>
      <c r="P897" s="433"/>
      <c r="Q897" s="433"/>
      <c r="R897" s="433"/>
      <c r="S897" s="433"/>
      <c r="T897" s="433"/>
      <c r="U897" s="433"/>
      <c r="V897" s="433"/>
      <c r="W897" s="433"/>
      <c r="X897" s="433"/>
      <c r="Y897" s="433"/>
      <c r="Z897" s="433"/>
    </row>
    <row r="898">
      <c r="A898" s="440"/>
      <c r="B898" s="441"/>
      <c r="C898" s="442"/>
      <c r="D898" s="443"/>
      <c r="E898" s="433"/>
      <c r="F898" s="433"/>
      <c r="G898" s="433"/>
      <c r="H898" s="433"/>
      <c r="I898" s="433"/>
      <c r="J898" s="433"/>
      <c r="K898" s="433"/>
      <c r="L898" s="433"/>
      <c r="M898" s="433"/>
      <c r="N898" s="433"/>
      <c r="O898" s="433"/>
      <c r="P898" s="433"/>
      <c r="Q898" s="433"/>
      <c r="R898" s="433"/>
      <c r="S898" s="433"/>
      <c r="T898" s="433"/>
      <c r="U898" s="433"/>
      <c r="V898" s="433"/>
      <c r="W898" s="433"/>
      <c r="X898" s="433"/>
      <c r="Y898" s="433"/>
      <c r="Z898" s="433"/>
    </row>
    <row r="899">
      <c r="A899" s="440"/>
      <c r="B899" s="441"/>
      <c r="C899" s="442"/>
      <c r="D899" s="443"/>
      <c r="E899" s="433"/>
      <c r="F899" s="433"/>
      <c r="G899" s="433"/>
      <c r="H899" s="433"/>
      <c r="I899" s="433"/>
      <c r="J899" s="433"/>
      <c r="K899" s="433"/>
      <c r="L899" s="433"/>
      <c r="M899" s="433"/>
      <c r="N899" s="433"/>
      <c r="O899" s="433"/>
      <c r="P899" s="433"/>
      <c r="Q899" s="433"/>
      <c r="R899" s="433"/>
      <c r="S899" s="433"/>
      <c r="T899" s="433"/>
      <c r="U899" s="433"/>
      <c r="V899" s="433"/>
      <c r="W899" s="433"/>
      <c r="X899" s="433"/>
      <c r="Y899" s="433"/>
      <c r="Z899" s="433"/>
    </row>
    <row r="900">
      <c r="A900" s="440"/>
      <c r="B900" s="441"/>
      <c r="C900" s="442"/>
      <c r="D900" s="443"/>
      <c r="E900" s="433"/>
      <c r="F900" s="433"/>
      <c r="G900" s="433"/>
      <c r="H900" s="433"/>
      <c r="I900" s="433"/>
      <c r="J900" s="433"/>
      <c r="K900" s="433"/>
      <c r="L900" s="433"/>
      <c r="M900" s="433"/>
      <c r="N900" s="433"/>
      <c r="O900" s="433"/>
      <c r="P900" s="433"/>
      <c r="Q900" s="433"/>
      <c r="R900" s="433"/>
      <c r="S900" s="433"/>
      <c r="T900" s="433"/>
      <c r="U900" s="433"/>
      <c r="V900" s="433"/>
      <c r="W900" s="433"/>
      <c r="X900" s="433"/>
      <c r="Y900" s="433"/>
      <c r="Z900" s="433"/>
    </row>
    <row r="901">
      <c r="A901" s="440"/>
      <c r="B901" s="441"/>
      <c r="C901" s="442"/>
      <c r="D901" s="443"/>
      <c r="E901" s="433"/>
      <c r="F901" s="433"/>
      <c r="G901" s="433"/>
      <c r="H901" s="433"/>
      <c r="I901" s="433"/>
      <c r="J901" s="433"/>
      <c r="K901" s="433"/>
      <c r="L901" s="433"/>
      <c r="M901" s="433"/>
      <c r="N901" s="433"/>
      <c r="O901" s="433"/>
      <c r="P901" s="433"/>
      <c r="Q901" s="433"/>
      <c r="R901" s="433"/>
      <c r="S901" s="433"/>
      <c r="T901" s="433"/>
      <c r="U901" s="433"/>
      <c r="V901" s="433"/>
      <c r="W901" s="433"/>
      <c r="X901" s="433"/>
      <c r="Y901" s="433"/>
      <c r="Z901" s="433"/>
    </row>
    <row r="902">
      <c r="A902" s="440"/>
      <c r="B902" s="441"/>
      <c r="C902" s="442"/>
      <c r="D902" s="443"/>
      <c r="E902" s="433"/>
      <c r="F902" s="433"/>
      <c r="G902" s="433"/>
      <c r="H902" s="433"/>
      <c r="I902" s="433"/>
      <c r="J902" s="433"/>
      <c r="K902" s="433"/>
      <c r="L902" s="433"/>
      <c r="M902" s="433"/>
      <c r="N902" s="433"/>
      <c r="O902" s="433"/>
      <c r="P902" s="433"/>
      <c r="Q902" s="433"/>
      <c r="R902" s="433"/>
      <c r="S902" s="433"/>
      <c r="T902" s="433"/>
      <c r="U902" s="433"/>
      <c r="V902" s="433"/>
      <c r="W902" s="433"/>
      <c r="X902" s="433"/>
      <c r="Y902" s="433"/>
      <c r="Z902" s="433"/>
    </row>
    <row r="903">
      <c r="A903" s="440"/>
      <c r="B903" s="441"/>
      <c r="C903" s="442"/>
      <c r="D903" s="443"/>
      <c r="E903" s="433"/>
      <c r="F903" s="433"/>
      <c r="G903" s="433"/>
      <c r="H903" s="433"/>
      <c r="I903" s="433"/>
      <c r="J903" s="433"/>
      <c r="K903" s="433"/>
      <c r="L903" s="433"/>
      <c r="M903" s="433"/>
      <c r="N903" s="433"/>
      <c r="O903" s="433"/>
      <c r="P903" s="433"/>
      <c r="Q903" s="433"/>
      <c r="R903" s="433"/>
      <c r="S903" s="433"/>
      <c r="T903" s="433"/>
      <c r="U903" s="433"/>
      <c r="V903" s="433"/>
      <c r="W903" s="433"/>
      <c r="X903" s="433"/>
      <c r="Y903" s="433"/>
      <c r="Z903" s="433"/>
    </row>
    <row r="904">
      <c r="A904" s="440"/>
      <c r="B904" s="441"/>
      <c r="C904" s="442"/>
      <c r="D904" s="443"/>
      <c r="E904" s="433"/>
      <c r="F904" s="433"/>
      <c r="G904" s="433"/>
      <c r="H904" s="433"/>
      <c r="I904" s="433"/>
      <c r="J904" s="433"/>
      <c r="K904" s="433"/>
      <c r="L904" s="433"/>
      <c r="M904" s="433"/>
      <c r="N904" s="433"/>
      <c r="O904" s="433"/>
      <c r="P904" s="433"/>
      <c r="Q904" s="433"/>
      <c r="R904" s="433"/>
      <c r="S904" s="433"/>
      <c r="T904" s="433"/>
      <c r="U904" s="433"/>
      <c r="V904" s="433"/>
      <c r="W904" s="433"/>
      <c r="X904" s="433"/>
      <c r="Y904" s="433"/>
      <c r="Z904" s="433"/>
    </row>
    <row r="905">
      <c r="A905" s="440"/>
      <c r="B905" s="441"/>
      <c r="C905" s="442"/>
      <c r="D905" s="443"/>
      <c r="E905" s="433"/>
      <c r="F905" s="433"/>
      <c r="G905" s="433"/>
      <c r="H905" s="433"/>
      <c r="I905" s="433"/>
      <c r="J905" s="433"/>
      <c r="K905" s="433"/>
      <c r="L905" s="433"/>
      <c r="M905" s="433"/>
      <c r="N905" s="433"/>
      <c r="O905" s="433"/>
      <c r="P905" s="433"/>
      <c r="Q905" s="433"/>
      <c r="R905" s="433"/>
      <c r="S905" s="433"/>
      <c r="T905" s="433"/>
      <c r="U905" s="433"/>
      <c r="V905" s="433"/>
      <c r="W905" s="433"/>
      <c r="X905" s="433"/>
      <c r="Y905" s="433"/>
      <c r="Z905" s="433"/>
    </row>
    <row r="906">
      <c r="A906" s="440"/>
      <c r="B906" s="441"/>
      <c r="C906" s="442"/>
      <c r="D906" s="443"/>
      <c r="E906" s="433"/>
      <c r="F906" s="433"/>
      <c r="G906" s="433"/>
      <c r="H906" s="433"/>
      <c r="I906" s="433"/>
      <c r="J906" s="433"/>
      <c r="K906" s="433"/>
      <c r="L906" s="433"/>
      <c r="M906" s="433"/>
      <c r="N906" s="433"/>
      <c r="O906" s="433"/>
      <c r="P906" s="433"/>
      <c r="Q906" s="433"/>
      <c r="R906" s="433"/>
      <c r="S906" s="433"/>
      <c r="T906" s="433"/>
      <c r="U906" s="433"/>
      <c r="V906" s="433"/>
      <c r="W906" s="433"/>
      <c r="X906" s="433"/>
      <c r="Y906" s="433"/>
      <c r="Z906" s="433"/>
    </row>
    <row r="907">
      <c r="A907" s="440"/>
      <c r="B907" s="441"/>
      <c r="C907" s="442"/>
      <c r="D907" s="443"/>
      <c r="E907" s="433"/>
      <c r="F907" s="433"/>
      <c r="G907" s="433"/>
      <c r="H907" s="433"/>
      <c r="I907" s="433"/>
      <c r="J907" s="433"/>
      <c r="K907" s="433"/>
      <c r="L907" s="433"/>
      <c r="M907" s="433"/>
      <c r="N907" s="433"/>
      <c r="O907" s="433"/>
      <c r="P907" s="433"/>
      <c r="Q907" s="433"/>
      <c r="R907" s="433"/>
      <c r="S907" s="433"/>
      <c r="T907" s="433"/>
      <c r="U907" s="433"/>
      <c r="V907" s="433"/>
      <c r="W907" s="433"/>
      <c r="X907" s="433"/>
      <c r="Y907" s="433"/>
      <c r="Z907" s="433"/>
    </row>
    <row r="908">
      <c r="A908" s="440"/>
      <c r="B908" s="441"/>
      <c r="C908" s="442"/>
      <c r="D908" s="443"/>
      <c r="E908" s="433"/>
      <c r="F908" s="433"/>
      <c r="G908" s="433"/>
      <c r="H908" s="433"/>
      <c r="I908" s="433"/>
      <c r="J908" s="433"/>
      <c r="K908" s="433"/>
      <c r="L908" s="433"/>
      <c r="M908" s="433"/>
      <c r="N908" s="433"/>
      <c r="O908" s="433"/>
      <c r="P908" s="433"/>
      <c r="Q908" s="433"/>
      <c r="R908" s="433"/>
      <c r="S908" s="433"/>
      <c r="T908" s="433"/>
      <c r="U908" s="433"/>
      <c r="V908" s="433"/>
      <c r="W908" s="433"/>
      <c r="X908" s="433"/>
      <c r="Y908" s="433"/>
      <c r="Z908" s="433"/>
    </row>
    <row r="909">
      <c r="A909" s="440"/>
      <c r="B909" s="441"/>
      <c r="C909" s="442"/>
      <c r="D909" s="443"/>
      <c r="E909" s="433"/>
      <c r="F909" s="433"/>
      <c r="G909" s="433"/>
      <c r="H909" s="433"/>
      <c r="I909" s="433"/>
      <c r="J909" s="433"/>
      <c r="K909" s="433"/>
      <c r="L909" s="433"/>
      <c r="M909" s="433"/>
      <c r="N909" s="433"/>
      <c r="O909" s="433"/>
      <c r="P909" s="433"/>
      <c r="Q909" s="433"/>
      <c r="R909" s="433"/>
      <c r="S909" s="433"/>
      <c r="T909" s="433"/>
      <c r="U909" s="433"/>
      <c r="V909" s="433"/>
      <c r="W909" s="433"/>
      <c r="X909" s="433"/>
      <c r="Y909" s="433"/>
      <c r="Z909" s="433"/>
    </row>
    <row r="910">
      <c r="A910" s="440"/>
      <c r="B910" s="441"/>
      <c r="C910" s="442"/>
      <c r="D910" s="443"/>
      <c r="E910" s="433"/>
      <c r="F910" s="433"/>
      <c r="G910" s="433"/>
      <c r="H910" s="433"/>
      <c r="I910" s="433"/>
      <c r="J910" s="433"/>
      <c r="K910" s="433"/>
      <c r="L910" s="433"/>
      <c r="M910" s="433"/>
      <c r="N910" s="433"/>
      <c r="O910" s="433"/>
      <c r="P910" s="433"/>
      <c r="Q910" s="433"/>
      <c r="R910" s="433"/>
      <c r="S910" s="433"/>
      <c r="T910" s="433"/>
      <c r="U910" s="433"/>
      <c r="V910" s="433"/>
      <c r="W910" s="433"/>
      <c r="X910" s="433"/>
      <c r="Y910" s="433"/>
      <c r="Z910" s="433"/>
    </row>
    <row r="911">
      <c r="A911" s="440"/>
      <c r="B911" s="441"/>
      <c r="C911" s="442"/>
      <c r="D911" s="443"/>
      <c r="E911" s="433"/>
      <c r="F911" s="433"/>
      <c r="G911" s="433"/>
      <c r="H911" s="433"/>
      <c r="I911" s="433"/>
      <c r="J911" s="433"/>
      <c r="K911" s="433"/>
      <c r="L911" s="433"/>
      <c r="M911" s="433"/>
      <c r="N911" s="433"/>
      <c r="O911" s="433"/>
      <c r="P911" s="433"/>
      <c r="Q911" s="433"/>
      <c r="R911" s="433"/>
      <c r="S911" s="433"/>
      <c r="T911" s="433"/>
      <c r="U911" s="433"/>
      <c r="V911" s="433"/>
      <c r="W911" s="433"/>
      <c r="X911" s="433"/>
      <c r="Y911" s="433"/>
      <c r="Z911" s="433"/>
    </row>
    <row r="912">
      <c r="A912" s="440"/>
      <c r="B912" s="441"/>
      <c r="C912" s="442"/>
      <c r="D912" s="443"/>
      <c r="E912" s="433"/>
      <c r="F912" s="433"/>
      <c r="G912" s="433"/>
      <c r="H912" s="433"/>
      <c r="I912" s="433"/>
      <c r="J912" s="433"/>
      <c r="K912" s="433"/>
      <c r="L912" s="433"/>
      <c r="M912" s="433"/>
      <c r="N912" s="433"/>
      <c r="O912" s="433"/>
      <c r="P912" s="433"/>
      <c r="Q912" s="433"/>
      <c r="R912" s="433"/>
      <c r="S912" s="433"/>
      <c r="T912" s="433"/>
      <c r="U912" s="433"/>
      <c r="V912" s="433"/>
      <c r="W912" s="433"/>
      <c r="X912" s="433"/>
      <c r="Y912" s="433"/>
      <c r="Z912" s="433"/>
    </row>
    <row r="913">
      <c r="A913" s="440"/>
      <c r="B913" s="441"/>
      <c r="C913" s="442"/>
      <c r="D913" s="443"/>
      <c r="E913" s="433"/>
      <c r="F913" s="433"/>
      <c r="G913" s="433"/>
      <c r="H913" s="433"/>
      <c r="I913" s="433"/>
      <c r="J913" s="433"/>
      <c r="K913" s="433"/>
      <c r="L913" s="433"/>
      <c r="M913" s="433"/>
      <c r="N913" s="433"/>
      <c r="O913" s="433"/>
      <c r="P913" s="433"/>
      <c r="Q913" s="433"/>
      <c r="R913" s="433"/>
      <c r="S913" s="433"/>
      <c r="T913" s="433"/>
      <c r="U913" s="433"/>
      <c r="V913" s="433"/>
      <c r="W913" s="433"/>
      <c r="X913" s="433"/>
      <c r="Y913" s="433"/>
      <c r="Z913" s="433"/>
    </row>
    <row r="914">
      <c r="A914" s="440"/>
      <c r="B914" s="441"/>
      <c r="C914" s="442"/>
      <c r="D914" s="443"/>
      <c r="E914" s="433"/>
      <c r="F914" s="433"/>
      <c r="G914" s="433"/>
      <c r="H914" s="433"/>
      <c r="I914" s="433"/>
      <c r="J914" s="433"/>
      <c r="K914" s="433"/>
      <c r="L914" s="433"/>
      <c r="M914" s="433"/>
      <c r="N914" s="433"/>
      <c r="O914" s="433"/>
      <c r="P914" s="433"/>
      <c r="Q914" s="433"/>
      <c r="R914" s="433"/>
      <c r="S914" s="433"/>
      <c r="T914" s="433"/>
      <c r="U914" s="433"/>
      <c r="V914" s="433"/>
      <c r="W914" s="433"/>
      <c r="X914" s="433"/>
      <c r="Y914" s="433"/>
      <c r="Z914" s="433"/>
    </row>
    <row r="915">
      <c r="A915" s="440"/>
      <c r="B915" s="441"/>
      <c r="C915" s="442"/>
      <c r="D915" s="443"/>
      <c r="E915" s="433"/>
      <c r="F915" s="433"/>
      <c r="G915" s="433"/>
      <c r="H915" s="433"/>
      <c r="I915" s="433"/>
      <c r="J915" s="433"/>
      <c r="K915" s="433"/>
      <c r="L915" s="433"/>
      <c r="M915" s="433"/>
      <c r="N915" s="433"/>
      <c r="O915" s="433"/>
      <c r="P915" s="433"/>
      <c r="Q915" s="433"/>
      <c r="R915" s="433"/>
      <c r="S915" s="433"/>
      <c r="T915" s="433"/>
      <c r="U915" s="433"/>
      <c r="V915" s="433"/>
      <c r="W915" s="433"/>
      <c r="X915" s="433"/>
      <c r="Y915" s="433"/>
      <c r="Z915" s="433"/>
    </row>
    <row r="916">
      <c r="A916" s="440"/>
      <c r="B916" s="441"/>
      <c r="C916" s="442"/>
      <c r="D916" s="443"/>
      <c r="E916" s="433"/>
      <c r="F916" s="433"/>
      <c r="G916" s="433"/>
      <c r="H916" s="433"/>
      <c r="I916" s="433"/>
      <c r="J916" s="433"/>
      <c r="K916" s="433"/>
      <c r="L916" s="433"/>
      <c r="M916" s="433"/>
      <c r="N916" s="433"/>
      <c r="O916" s="433"/>
      <c r="P916" s="433"/>
      <c r="Q916" s="433"/>
      <c r="R916" s="433"/>
      <c r="S916" s="433"/>
      <c r="T916" s="433"/>
      <c r="U916" s="433"/>
      <c r="V916" s="433"/>
      <c r="W916" s="433"/>
      <c r="X916" s="433"/>
      <c r="Y916" s="433"/>
      <c r="Z916" s="433"/>
    </row>
    <row r="917">
      <c r="A917" s="440"/>
      <c r="B917" s="441"/>
      <c r="C917" s="442"/>
      <c r="D917" s="443"/>
      <c r="E917" s="433"/>
      <c r="F917" s="433"/>
      <c r="G917" s="433"/>
      <c r="H917" s="433"/>
      <c r="I917" s="433"/>
      <c r="J917" s="433"/>
      <c r="K917" s="433"/>
      <c r="L917" s="433"/>
      <c r="M917" s="433"/>
      <c r="N917" s="433"/>
      <c r="O917" s="433"/>
      <c r="P917" s="433"/>
      <c r="Q917" s="433"/>
      <c r="R917" s="433"/>
      <c r="S917" s="433"/>
      <c r="T917" s="433"/>
      <c r="U917" s="433"/>
      <c r="V917" s="433"/>
      <c r="W917" s="433"/>
      <c r="X917" s="433"/>
      <c r="Y917" s="433"/>
      <c r="Z917" s="433"/>
    </row>
    <row r="918">
      <c r="A918" s="440"/>
      <c r="B918" s="441"/>
      <c r="C918" s="442"/>
      <c r="D918" s="443"/>
      <c r="E918" s="433"/>
      <c r="F918" s="433"/>
      <c r="G918" s="433"/>
      <c r="H918" s="433"/>
      <c r="I918" s="433"/>
      <c r="J918" s="433"/>
      <c r="K918" s="433"/>
      <c r="L918" s="433"/>
      <c r="M918" s="433"/>
      <c r="N918" s="433"/>
      <c r="O918" s="433"/>
      <c r="P918" s="433"/>
      <c r="Q918" s="433"/>
      <c r="R918" s="433"/>
      <c r="S918" s="433"/>
      <c r="T918" s="433"/>
      <c r="U918" s="433"/>
      <c r="V918" s="433"/>
      <c r="W918" s="433"/>
      <c r="X918" s="433"/>
      <c r="Y918" s="433"/>
      <c r="Z918" s="433"/>
    </row>
    <row r="919">
      <c r="A919" s="440"/>
      <c r="B919" s="441"/>
      <c r="C919" s="442"/>
      <c r="D919" s="443"/>
      <c r="E919" s="433"/>
      <c r="F919" s="433"/>
      <c r="G919" s="433"/>
      <c r="H919" s="433"/>
      <c r="I919" s="433"/>
      <c r="J919" s="433"/>
      <c r="K919" s="433"/>
      <c r="L919" s="433"/>
      <c r="M919" s="433"/>
      <c r="N919" s="433"/>
      <c r="O919" s="433"/>
      <c r="P919" s="433"/>
      <c r="Q919" s="433"/>
      <c r="R919" s="433"/>
      <c r="S919" s="433"/>
      <c r="T919" s="433"/>
      <c r="U919" s="433"/>
      <c r="V919" s="433"/>
      <c r="W919" s="433"/>
      <c r="X919" s="433"/>
      <c r="Y919" s="433"/>
      <c r="Z919" s="433"/>
    </row>
    <row r="920">
      <c r="A920" s="440"/>
      <c r="B920" s="441"/>
      <c r="C920" s="442"/>
      <c r="D920" s="443"/>
      <c r="E920" s="433"/>
      <c r="F920" s="433"/>
      <c r="G920" s="433"/>
      <c r="H920" s="433"/>
      <c r="I920" s="433"/>
      <c r="J920" s="433"/>
      <c r="K920" s="433"/>
      <c r="L920" s="433"/>
      <c r="M920" s="433"/>
      <c r="N920" s="433"/>
      <c r="O920" s="433"/>
      <c r="P920" s="433"/>
      <c r="Q920" s="433"/>
      <c r="R920" s="433"/>
      <c r="S920" s="433"/>
      <c r="T920" s="433"/>
      <c r="U920" s="433"/>
      <c r="V920" s="433"/>
      <c r="W920" s="433"/>
      <c r="X920" s="433"/>
      <c r="Y920" s="433"/>
      <c r="Z920" s="433"/>
    </row>
    <row r="921">
      <c r="A921" s="440"/>
      <c r="B921" s="441"/>
      <c r="C921" s="442"/>
      <c r="D921" s="443"/>
      <c r="E921" s="433"/>
      <c r="F921" s="433"/>
      <c r="G921" s="433"/>
      <c r="H921" s="433"/>
      <c r="I921" s="433"/>
      <c r="J921" s="433"/>
      <c r="K921" s="433"/>
      <c r="L921" s="433"/>
      <c r="M921" s="433"/>
      <c r="N921" s="433"/>
      <c r="O921" s="433"/>
      <c r="P921" s="433"/>
      <c r="Q921" s="433"/>
      <c r="R921" s="433"/>
      <c r="S921" s="433"/>
      <c r="T921" s="433"/>
      <c r="U921" s="433"/>
      <c r="V921" s="433"/>
      <c r="W921" s="433"/>
      <c r="X921" s="433"/>
      <c r="Y921" s="433"/>
      <c r="Z921" s="433"/>
    </row>
    <row r="922">
      <c r="A922" s="440"/>
      <c r="B922" s="441"/>
      <c r="C922" s="442"/>
      <c r="D922" s="443"/>
      <c r="E922" s="433"/>
      <c r="F922" s="433"/>
      <c r="G922" s="433"/>
      <c r="H922" s="433"/>
      <c r="I922" s="433"/>
      <c r="J922" s="433"/>
      <c r="K922" s="433"/>
      <c r="L922" s="433"/>
      <c r="M922" s="433"/>
      <c r="N922" s="433"/>
      <c r="O922" s="433"/>
      <c r="P922" s="433"/>
      <c r="Q922" s="433"/>
      <c r="R922" s="433"/>
      <c r="S922" s="433"/>
      <c r="T922" s="433"/>
      <c r="U922" s="433"/>
      <c r="V922" s="433"/>
      <c r="W922" s="433"/>
      <c r="X922" s="433"/>
      <c r="Y922" s="433"/>
      <c r="Z922" s="433"/>
    </row>
    <row r="923">
      <c r="A923" s="440"/>
      <c r="B923" s="441"/>
      <c r="C923" s="442"/>
      <c r="D923" s="443"/>
      <c r="E923" s="433"/>
      <c r="F923" s="433"/>
      <c r="G923" s="433"/>
      <c r="H923" s="433"/>
      <c r="I923" s="433"/>
      <c r="J923" s="433"/>
      <c r="K923" s="433"/>
      <c r="L923" s="433"/>
      <c r="M923" s="433"/>
      <c r="N923" s="433"/>
      <c r="O923" s="433"/>
      <c r="P923" s="433"/>
      <c r="Q923" s="433"/>
      <c r="R923" s="433"/>
      <c r="S923" s="433"/>
      <c r="T923" s="433"/>
      <c r="U923" s="433"/>
      <c r="V923" s="433"/>
      <c r="W923" s="433"/>
      <c r="X923" s="433"/>
      <c r="Y923" s="433"/>
      <c r="Z923" s="433"/>
    </row>
    <row r="924">
      <c r="A924" s="440"/>
      <c r="B924" s="441"/>
      <c r="C924" s="442"/>
      <c r="D924" s="443"/>
      <c r="E924" s="433"/>
      <c r="F924" s="433"/>
      <c r="G924" s="433"/>
      <c r="H924" s="433"/>
      <c r="I924" s="433"/>
      <c r="J924" s="433"/>
      <c r="K924" s="433"/>
      <c r="L924" s="433"/>
      <c r="M924" s="433"/>
      <c r="N924" s="433"/>
      <c r="O924" s="433"/>
      <c r="P924" s="433"/>
      <c r="Q924" s="433"/>
      <c r="R924" s="433"/>
      <c r="S924" s="433"/>
      <c r="T924" s="433"/>
      <c r="U924" s="433"/>
      <c r="V924" s="433"/>
      <c r="W924" s="433"/>
      <c r="X924" s="433"/>
      <c r="Y924" s="433"/>
      <c r="Z924" s="433"/>
    </row>
    <row r="925">
      <c r="A925" s="440"/>
      <c r="B925" s="441"/>
      <c r="C925" s="442"/>
      <c r="D925" s="443"/>
      <c r="E925" s="433"/>
      <c r="F925" s="433"/>
      <c r="G925" s="433"/>
      <c r="H925" s="433"/>
      <c r="I925" s="433"/>
      <c r="J925" s="433"/>
      <c r="K925" s="433"/>
      <c r="L925" s="433"/>
      <c r="M925" s="433"/>
      <c r="N925" s="433"/>
      <c r="O925" s="433"/>
      <c r="P925" s="433"/>
      <c r="Q925" s="433"/>
      <c r="R925" s="433"/>
      <c r="S925" s="433"/>
      <c r="T925" s="433"/>
      <c r="U925" s="433"/>
      <c r="V925" s="433"/>
      <c r="W925" s="433"/>
      <c r="X925" s="433"/>
      <c r="Y925" s="433"/>
      <c r="Z925" s="433"/>
    </row>
    <row r="926">
      <c r="A926" s="440"/>
      <c r="B926" s="441"/>
      <c r="C926" s="442"/>
      <c r="D926" s="443"/>
      <c r="E926" s="433"/>
      <c r="F926" s="433"/>
      <c r="G926" s="433"/>
      <c r="H926" s="433"/>
      <c r="I926" s="433"/>
      <c r="J926" s="433"/>
      <c r="K926" s="433"/>
      <c r="L926" s="433"/>
      <c r="M926" s="433"/>
      <c r="N926" s="433"/>
      <c r="O926" s="433"/>
      <c r="P926" s="433"/>
      <c r="Q926" s="433"/>
      <c r="R926" s="433"/>
      <c r="S926" s="433"/>
      <c r="T926" s="433"/>
      <c r="U926" s="433"/>
      <c r="V926" s="433"/>
      <c r="W926" s="433"/>
      <c r="X926" s="433"/>
      <c r="Y926" s="433"/>
      <c r="Z926" s="433"/>
    </row>
    <row r="927">
      <c r="A927" s="440"/>
      <c r="B927" s="441"/>
      <c r="C927" s="442"/>
      <c r="D927" s="443"/>
      <c r="E927" s="433"/>
      <c r="F927" s="433"/>
      <c r="G927" s="433"/>
      <c r="H927" s="433"/>
      <c r="I927" s="433"/>
      <c r="J927" s="433"/>
      <c r="K927" s="433"/>
      <c r="L927" s="433"/>
      <c r="M927" s="433"/>
      <c r="N927" s="433"/>
      <c r="O927" s="433"/>
      <c r="P927" s="433"/>
      <c r="Q927" s="433"/>
      <c r="R927" s="433"/>
      <c r="S927" s="433"/>
      <c r="T927" s="433"/>
      <c r="U927" s="433"/>
      <c r="V927" s="433"/>
      <c r="W927" s="433"/>
      <c r="X927" s="433"/>
      <c r="Y927" s="433"/>
      <c r="Z927" s="433"/>
    </row>
    <row r="928">
      <c r="A928" s="440"/>
      <c r="B928" s="441"/>
      <c r="C928" s="442"/>
      <c r="D928" s="443"/>
      <c r="E928" s="433"/>
      <c r="F928" s="433"/>
      <c r="G928" s="433"/>
      <c r="H928" s="433"/>
      <c r="I928" s="433"/>
      <c r="J928" s="433"/>
      <c r="K928" s="433"/>
      <c r="L928" s="433"/>
      <c r="M928" s="433"/>
      <c r="N928" s="433"/>
      <c r="O928" s="433"/>
      <c r="P928" s="433"/>
      <c r="Q928" s="433"/>
      <c r="R928" s="433"/>
      <c r="S928" s="433"/>
      <c r="T928" s="433"/>
      <c r="U928" s="433"/>
      <c r="V928" s="433"/>
      <c r="W928" s="433"/>
      <c r="X928" s="433"/>
      <c r="Y928" s="433"/>
      <c r="Z928" s="433"/>
    </row>
    <row r="929">
      <c r="A929" s="440"/>
      <c r="B929" s="441"/>
      <c r="C929" s="442"/>
      <c r="D929" s="443"/>
      <c r="E929" s="433"/>
      <c r="F929" s="433"/>
      <c r="G929" s="433"/>
      <c r="H929" s="433"/>
      <c r="I929" s="433"/>
      <c r="J929" s="433"/>
      <c r="K929" s="433"/>
      <c r="L929" s="433"/>
      <c r="M929" s="433"/>
      <c r="N929" s="433"/>
      <c r="O929" s="433"/>
      <c r="P929" s="433"/>
      <c r="Q929" s="433"/>
      <c r="R929" s="433"/>
      <c r="S929" s="433"/>
      <c r="T929" s="433"/>
      <c r="U929" s="433"/>
      <c r="V929" s="433"/>
      <c r="W929" s="433"/>
      <c r="X929" s="433"/>
      <c r="Y929" s="433"/>
      <c r="Z929" s="433"/>
    </row>
    <row r="930">
      <c r="A930" s="440"/>
      <c r="B930" s="441"/>
      <c r="C930" s="442"/>
      <c r="D930" s="443"/>
      <c r="E930" s="433"/>
      <c r="F930" s="433"/>
      <c r="G930" s="433"/>
      <c r="H930" s="433"/>
      <c r="I930" s="433"/>
      <c r="J930" s="433"/>
      <c r="K930" s="433"/>
      <c r="L930" s="433"/>
      <c r="M930" s="433"/>
      <c r="N930" s="433"/>
      <c r="O930" s="433"/>
      <c r="P930" s="433"/>
      <c r="Q930" s="433"/>
      <c r="R930" s="433"/>
      <c r="S930" s="433"/>
      <c r="T930" s="433"/>
      <c r="U930" s="433"/>
      <c r="V930" s="433"/>
      <c r="W930" s="433"/>
      <c r="X930" s="433"/>
      <c r="Y930" s="433"/>
      <c r="Z930" s="433"/>
    </row>
    <row r="931">
      <c r="A931" s="440"/>
      <c r="B931" s="441"/>
      <c r="C931" s="442"/>
      <c r="D931" s="443"/>
      <c r="E931" s="433"/>
      <c r="F931" s="433"/>
      <c r="G931" s="433"/>
      <c r="H931" s="433"/>
      <c r="I931" s="433"/>
      <c r="J931" s="433"/>
      <c r="K931" s="433"/>
      <c r="L931" s="433"/>
      <c r="M931" s="433"/>
      <c r="N931" s="433"/>
      <c r="O931" s="433"/>
      <c r="P931" s="433"/>
      <c r="Q931" s="433"/>
      <c r="R931" s="433"/>
      <c r="S931" s="433"/>
      <c r="T931" s="433"/>
      <c r="U931" s="433"/>
      <c r="V931" s="433"/>
      <c r="W931" s="433"/>
      <c r="X931" s="433"/>
      <c r="Y931" s="433"/>
      <c r="Z931" s="433"/>
    </row>
    <row r="932">
      <c r="A932" s="440"/>
      <c r="B932" s="441"/>
      <c r="C932" s="442"/>
      <c r="D932" s="443"/>
      <c r="E932" s="433"/>
      <c r="F932" s="433"/>
      <c r="G932" s="433"/>
      <c r="H932" s="433"/>
      <c r="I932" s="433"/>
      <c r="J932" s="433"/>
      <c r="K932" s="433"/>
      <c r="L932" s="433"/>
      <c r="M932" s="433"/>
      <c r="N932" s="433"/>
      <c r="O932" s="433"/>
      <c r="P932" s="433"/>
      <c r="Q932" s="433"/>
      <c r="R932" s="433"/>
      <c r="S932" s="433"/>
      <c r="T932" s="433"/>
      <c r="U932" s="433"/>
      <c r="V932" s="433"/>
      <c r="W932" s="433"/>
      <c r="X932" s="433"/>
      <c r="Y932" s="433"/>
      <c r="Z932" s="433"/>
    </row>
    <row r="933">
      <c r="A933" s="440"/>
      <c r="B933" s="441"/>
      <c r="C933" s="442"/>
      <c r="D933" s="443"/>
      <c r="E933" s="433"/>
      <c r="F933" s="433"/>
      <c r="G933" s="433"/>
      <c r="H933" s="433"/>
      <c r="I933" s="433"/>
      <c r="J933" s="433"/>
      <c r="K933" s="433"/>
      <c r="L933" s="433"/>
      <c r="M933" s="433"/>
      <c r="N933" s="433"/>
      <c r="O933" s="433"/>
      <c r="P933" s="433"/>
      <c r="Q933" s="433"/>
      <c r="R933" s="433"/>
      <c r="S933" s="433"/>
      <c r="T933" s="433"/>
      <c r="U933" s="433"/>
      <c r="V933" s="433"/>
      <c r="W933" s="433"/>
      <c r="X933" s="433"/>
      <c r="Y933" s="433"/>
      <c r="Z933" s="433"/>
    </row>
    <row r="934">
      <c r="A934" s="440"/>
      <c r="B934" s="441"/>
      <c r="C934" s="442"/>
      <c r="D934" s="443"/>
      <c r="E934" s="433"/>
      <c r="F934" s="433"/>
      <c r="G934" s="433"/>
      <c r="H934" s="433"/>
      <c r="I934" s="433"/>
      <c r="J934" s="433"/>
      <c r="K934" s="433"/>
      <c r="L934" s="433"/>
      <c r="M934" s="433"/>
      <c r="N934" s="433"/>
      <c r="O934" s="433"/>
      <c r="P934" s="433"/>
      <c r="Q934" s="433"/>
      <c r="R934" s="433"/>
      <c r="S934" s="433"/>
      <c r="T934" s="433"/>
      <c r="U934" s="433"/>
      <c r="V934" s="433"/>
      <c r="W934" s="433"/>
      <c r="X934" s="433"/>
      <c r="Y934" s="433"/>
      <c r="Z934" s="433"/>
    </row>
    <row r="935">
      <c r="A935" s="440"/>
      <c r="B935" s="441"/>
      <c r="C935" s="442"/>
      <c r="D935" s="443"/>
      <c r="E935" s="433"/>
      <c r="F935" s="433"/>
      <c r="G935" s="433"/>
      <c r="H935" s="433"/>
      <c r="I935" s="433"/>
      <c r="J935" s="433"/>
      <c r="K935" s="433"/>
      <c r="L935" s="433"/>
      <c r="M935" s="433"/>
      <c r="N935" s="433"/>
      <c r="O935" s="433"/>
      <c r="P935" s="433"/>
      <c r="Q935" s="433"/>
      <c r="R935" s="433"/>
      <c r="S935" s="433"/>
      <c r="T935" s="433"/>
      <c r="U935" s="433"/>
      <c r="V935" s="433"/>
      <c r="W935" s="433"/>
      <c r="X935" s="433"/>
      <c r="Y935" s="433"/>
      <c r="Z935" s="433"/>
    </row>
    <row r="936">
      <c r="A936" s="440"/>
      <c r="B936" s="441"/>
      <c r="C936" s="442"/>
      <c r="D936" s="443"/>
      <c r="E936" s="433"/>
      <c r="F936" s="433"/>
      <c r="G936" s="433"/>
      <c r="H936" s="433"/>
      <c r="I936" s="433"/>
      <c r="J936" s="433"/>
      <c r="K936" s="433"/>
      <c r="L936" s="433"/>
      <c r="M936" s="433"/>
      <c r="N936" s="433"/>
      <c r="O936" s="433"/>
      <c r="P936" s="433"/>
      <c r="Q936" s="433"/>
      <c r="R936" s="433"/>
      <c r="S936" s="433"/>
      <c r="T936" s="433"/>
      <c r="U936" s="433"/>
      <c r="V936" s="433"/>
      <c r="W936" s="433"/>
      <c r="X936" s="433"/>
      <c r="Y936" s="433"/>
      <c r="Z936" s="433"/>
    </row>
    <row r="937">
      <c r="A937" s="440"/>
      <c r="B937" s="441"/>
      <c r="C937" s="442"/>
      <c r="D937" s="443"/>
      <c r="E937" s="433"/>
      <c r="F937" s="433"/>
      <c r="G937" s="433"/>
      <c r="H937" s="433"/>
      <c r="I937" s="433"/>
      <c r="J937" s="433"/>
      <c r="K937" s="433"/>
      <c r="L937" s="433"/>
      <c r="M937" s="433"/>
      <c r="N937" s="433"/>
      <c r="O937" s="433"/>
      <c r="P937" s="433"/>
      <c r="Q937" s="433"/>
      <c r="R937" s="433"/>
      <c r="S937" s="433"/>
      <c r="T937" s="433"/>
      <c r="U937" s="433"/>
      <c r="V937" s="433"/>
      <c r="W937" s="433"/>
      <c r="X937" s="433"/>
      <c r="Y937" s="433"/>
      <c r="Z937" s="433"/>
    </row>
    <row r="938">
      <c r="A938" s="440"/>
      <c r="B938" s="441"/>
      <c r="C938" s="442"/>
      <c r="D938" s="443"/>
      <c r="E938" s="433"/>
      <c r="F938" s="433"/>
      <c r="G938" s="433"/>
      <c r="H938" s="433"/>
      <c r="I938" s="433"/>
      <c r="J938" s="433"/>
      <c r="K938" s="433"/>
      <c r="L938" s="433"/>
      <c r="M938" s="433"/>
      <c r="N938" s="433"/>
      <c r="O938" s="433"/>
      <c r="P938" s="433"/>
      <c r="Q938" s="433"/>
      <c r="R938" s="433"/>
      <c r="S938" s="433"/>
      <c r="T938" s="433"/>
      <c r="U938" s="433"/>
      <c r="V938" s="433"/>
      <c r="W938" s="433"/>
      <c r="X938" s="433"/>
      <c r="Y938" s="433"/>
      <c r="Z938" s="433"/>
    </row>
    <row r="939">
      <c r="A939" s="440"/>
      <c r="B939" s="441"/>
      <c r="C939" s="442"/>
      <c r="D939" s="443"/>
      <c r="E939" s="433"/>
      <c r="F939" s="433"/>
      <c r="G939" s="433"/>
      <c r="H939" s="433"/>
      <c r="I939" s="433"/>
      <c r="J939" s="433"/>
      <c r="K939" s="433"/>
      <c r="L939" s="433"/>
      <c r="M939" s="433"/>
      <c r="N939" s="433"/>
      <c r="O939" s="433"/>
      <c r="P939" s="433"/>
      <c r="Q939" s="433"/>
      <c r="R939" s="433"/>
      <c r="S939" s="433"/>
      <c r="T939" s="433"/>
      <c r="U939" s="433"/>
      <c r="V939" s="433"/>
      <c r="W939" s="433"/>
      <c r="X939" s="433"/>
      <c r="Y939" s="433"/>
      <c r="Z939" s="433"/>
    </row>
    <row r="940">
      <c r="A940" s="440"/>
      <c r="B940" s="441"/>
      <c r="C940" s="442"/>
      <c r="D940" s="443"/>
      <c r="E940" s="433"/>
      <c r="F940" s="433"/>
      <c r="G940" s="433"/>
      <c r="H940" s="433"/>
      <c r="I940" s="433"/>
      <c r="J940" s="433"/>
      <c r="K940" s="433"/>
      <c r="L940" s="433"/>
      <c r="M940" s="433"/>
      <c r="N940" s="433"/>
      <c r="O940" s="433"/>
      <c r="P940" s="433"/>
      <c r="Q940" s="433"/>
      <c r="R940" s="433"/>
      <c r="S940" s="433"/>
      <c r="T940" s="433"/>
      <c r="U940" s="433"/>
      <c r="V940" s="433"/>
      <c r="W940" s="433"/>
      <c r="X940" s="433"/>
      <c r="Y940" s="433"/>
      <c r="Z940" s="433"/>
    </row>
    <row r="941">
      <c r="A941" s="440"/>
      <c r="B941" s="441"/>
      <c r="C941" s="442"/>
      <c r="D941" s="443"/>
      <c r="E941" s="433"/>
      <c r="F941" s="433"/>
      <c r="G941" s="433"/>
      <c r="H941" s="433"/>
      <c r="I941" s="433"/>
      <c r="J941" s="433"/>
      <c r="K941" s="433"/>
      <c r="L941" s="433"/>
      <c r="M941" s="433"/>
      <c r="N941" s="433"/>
      <c r="O941" s="433"/>
      <c r="P941" s="433"/>
      <c r="Q941" s="433"/>
      <c r="R941" s="433"/>
      <c r="S941" s="433"/>
      <c r="T941" s="433"/>
      <c r="U941" s="433"/>
      <c r="V941" s="433"/>
      <c r="W941" s="433"/>
      <c r="X941" s="433"/>
      <c r="Y941" s="433"/>
      <c r="Z941" s="433"/>
    </row>
    <row r="942">
      <c r="A942" s="440"/>
      <c r="B942" s="441"/>
      <c r="C942" s="442"/>
      <c r="D942" s="443"/>
      <c r="E942" s="433"/>
      <c r="F942" s="433"/>
      <c r="G942" s="433"/>
      <c r="H942" s="433"/>
      <c r="I942" s="433"/>
      <c r="J942" s="433"/>
      <c r="K942" s="433"/>
      <c r="L942" s="433"/>
      <c r="M942" s="433"/>
      <c r="N942" s="433"/>
      <c r="O942" s="433"/>
      <c r="P942" s="433"/>
      <c r="Q942" s="433"/>
      <c r="R942" s="433"/>
      <c r="S942" s="433"/>
      <c r="T942" s="433"/>
      <c r="U942" s="433"/>
      <c r="V942" s="433"/>
      <c r="W942" s="433"/>
      <c r="X942" s="433"/>
      <c r="Y942" s="433"/>
      <c r="Z942" s="433"/>
    </row>
    <row r="943">
      <c r="A943" s="440"/>
      <c r="B943" s="441"/>
      <c r="C943" s="442"/>
      <c r="D943" s="443"/>
      <c r="E943" s="433"/>
      <c r="F943" s="433"/>
      <c r="G943" s="433"/>
      <c r="H943" s="433"/>
      <c r="I943" s="433"/>
      <c r="J943" s="433"/>
      <c r="K943" s="433"/>
      <c r="L943" s="433"/>
      <c r="M943" s="433"/>
      <c r="N943" s="433"/>
      <c r="O943" s="433"/>
      <c r="P943" s="433"/>
      <c r="Q943" s="433"/>
      <c r="R943" s="433"/>
      <c r="S943" s="433"/>
      <c r="T943" s="433"/>
      <c r="U943" s="433"/>
      <c r="V943" s="433"/>
      <c r="W943" s="433"/>
      <c r="X943" s="433"/>
      <c r="Y943" s="433"/>
      <c r="Z943" s="433"/>
    </row>
    <row r="944">
      <c r="A944" s="440"/>
      <c r="B944" s="441"/>
      <c r="C944" s="442"/>
      <c r="D944" s="443"/>
      <c r="E944" s="433"/>
      <c r="F944" s="433"/>
      <c r="G944" s="433"/>
      <c r="H944" s="433"/>
      <c r="I944" s="433"/>
      <c r="J944" s="433"/>
      <c r="K944" s="433"/>
      <c r="L944" s="433"/>
      <c r="M944" s="433"/>
      <c r="N944" s="433"/>
      <c r="O944" s="433"/>
      <c r="P944" s="433"/>
      <c r="Q944" s="433"/>
      <c r="R944" s="433"/>
      <c r="S944" s="433"/>
      <c r="T944" s="433"/>
      <c r="U944" s="433"/>
      <c r="V944" s="433"/>
      <c r="W944" s="433"/>
      <c r="X944" s="433"/>
      <c r="Y944" s="433"/>
      <c r="Z944" s="433"/>
    </row>
    <row r="945">
      <c r="A945" s="440"/>
      <c r="B945" s="441"/>
      <c r="C945" s="442"/>
      <c r="D945" s="443"/>
      <c r="E945" s="433"/>
      <c r="F945" s="433"/>
      <c r="G945" s="433"/>
      <c r="H945" s="433"/>
      <c r="I945" s="433"/>
      <c r="J945" s="433"/>
      <c r="K945" s="433"/>
      <c r="L945" s="433"/>
      <c r="M945" s="433"/>
      <c r="N945" s="433"/>
      <c r="O945" s="433"/>
      <c r="P945" s="433"/>
      <c r="Q945" s="433"/>
      <c r="R945" s="433"/>
      <c r="S945" s="433"/>
      <c r="T945" s="433"/>
      <c r="U945" s="433"/>
      <c r="V945" s="433"/>
      <c r="W945" s="433"/>
      <c r="X945" s="433"/>
      <c r="Y945" s="433"/>
      <c r="Z945" s="433"/>
    </row>
    <row r="946">
      <c r="A946" s="440"/>
      <c r="B946" s="441"/>
      <c r="C946" s="442"/>
      <c r="D946" s="443"/>
      <c r="E946" s="433"/>
      <c r="F946" s="433"/>
      <c r="G946" s="433"/>
      <c r="H946" s="433"/>
      <c r="I946" s="433"/>
      <c r="J946" s="433"/>
      <c r="K946" s="433"/>
      <c r="L946" s="433"/>
      <c r="M946" s="433"/>
      <c r="N946" s="433"/>
      <c r="O946" s="433"/>
      <c r="P946" s="433"/>
      <c r="Q946" s="433"/>
      <c r="R946" s="433"/>
      <c r="S946" s="433"/>
      <c r="T946" s="433"/>
      <c r="U946" s="433"/>
      <c r="V946" s="433"/>
      <c r="W946" s="433"/>
      <c r="X946" s="433"/>
      <c r="Y946" s="433"/>
      <c r="Z946" s="433"/>
    </row>
    <row r="947">
      <c r="A947" s="440"/>
      <c r="B947" s="441"/>
      <c r="C947" s="442"/>
      <c r="D947" s="443"/>
      <c r="E947" s="433"/>
      <c r="F947" s="433"/>
      <c r="G947" s="433"/>
      <c r="H947" s="433"/>
      <c r="I947" s="433"/>
      <c r="J947" s="433"/>
      <c r="K947" s="433"/>
      <c r="L947" s="433"/>
      <c r="M947" s="433"/>
      <c r="N947" s="433"/>
      <c r="O947" s="433"/>
      <c r="P947" s="433"/>
      <c r="Q947" s="433"/>
      <c r="R947" s="433"/>
      <c r="S947" s="433"/>
      <c r="T947" s="433"/>
      <c r="U947" s="433"/>
      <c r="V947" s="433"/>
      <c r="W947" s="433"/>
      <c r="X947" s="433"/>
      <c r="Y947" s="433"/>
      <c r="Z947" s="433"/>
    </row>
    <row r="948">
      <c r="A948" s="440"/>
      <c r="B948" s="441"/>
      <c r="C948" s="442"/>
      <c r="D948" s="443"/>
      <c r="E948" s="433"/>
      <c r="F948" s="433"/>
      <c r="G948" s="433"/>
      <c r="H948" s="433"/>
      <c r="I948" s="433"/>
      <c r="J948" s="433"/>
      <c r="K948" s="433"/>
      <c r="L948" s="433"/>
      <c r="M948" s="433"/>
      <c r="N948" s="433"/>
      <c r="O948" s="433"/>
      <c r="P948" s="433"/>
      <c r="Q948" s="433"/>
      <c r="R948" s="433"/>
      <c r="S948" s="433"/>
      <c r="T948" s="433"/>
      <c r="U948" s="433"/>
      <c r="V948" s="433"/>
      <c r="W948" s="433"/>
      <c r="X948" s="433"/>
      <c r="Y948" s="433"/>
      <c r="Z948" s="433"/>
    </row>
    <row r="949">
      <c r="A949" s="440"/>
      <c r="B949" s="441"/>
      <c r="C949" s="442"/>
      <c r="D949" s="443"/>
      <c r="E949" s="433"/>
      <c r="F949" s="433"/>
      <c r="G949" s="433"/>
      <c r="H949" s="433"/>
      <c r="I949" s="433"/>
      <c r="J949" s="433"/>
      <c r="K949" s="433"/>
      <c r="L949" s="433"/>
      <c r="M949" s="433"/>
      <c r="N949" s="433"/>
      <c r="O949" s="433"/>
      <c r="P949" s="433"/>
      <c r="Q949" s="433"/>
      <c r="R949" s="433"/>
      <c r="S949" s="433"/>
      <c r="T949" s="433"/>
      <c r="U949" s="433"/>
      <c r="V949" s="433"/>
      <c r="W949" s="433"/>
      <c r="X949" s="433"/>
      <c r="Y949" s="433"/>
      <c r="Z949" s="433"/>
    </row>
    <row r="950">
      <c r="A950" s="440"/>
      <c r="B950" s="441"/>
      <c r="C950" s="442"/>
      <c r="D950" s="443"/>
      <c r="E950" s="433"/>
      <c r="F950" s="433"/>
      <c r="G950" s="433"/>
      <c r="H950" s="433"/>
      <c r="I950" s="433"/>
      <c r="J950" s="433"/>
      <c r="K950" s="433"/>
      <c r="L950" s="433"/>
      <c r="M950" s="433"/>
      <c r="N950" s="433"/>
      <c r="O950" s="433"/>
      <c r="P950" s="433"/>
      <c r="Q950" s="433"/>
      <c r="R950" s="433"/>
      <c r="S950" s="433"/>
      <c r="T950" s="433"/>
      <c r="U950" s="433"/>
      <c r="V950" s="433"/>
      <c r="W950" s="433"/>
      <c r="X950" s="433"/>
      <c r="Y950" s="433"/>
      <c r="Z950" s="433"/>
    </row>
    <row r="951">
      <c r="A951" s="440"/>
      <c r="B951" s="441"/>
      <c r="C951" s="442"/>
      <c r="D951" s="443"/>
      <c r="E951" s="433"/>
      <c r="F951" s="433"/>
      <c r="G951" s="433"/>
      <c r="H951" s="433"/>
      <c r="I951" s="433"/>
      <c r="J951" s="433"/>
      <c r="K951" s="433"/>
      <c r="L951" s="433"/>
      <c r="M951" s="433"/>
      <c r="N951" s="433"/>
      <c r="O951" s="433"/>
      <c r="P951" s="433"/>
      <c r="Q951" s="433"/>
      <c r="R951" s="433"/>
      <c r="S951" s="433"/>
      <c r="T951" s="433"/>
      <c r="U951" s="433"/>
      <c r="V951" s="433"/>
      <c r="W951" s="433"/>
      <c r="X951" s="433"/>
      <c r="Y951" s="433"/>
      <c r="Z951" s="433"/>
    </row>
    <row r="952">
      <c r="A952" s="440"/>
      <c r="B952" s="441"/>
      <c r="C952" s="442"/>
      <c r="D952" s="443"/>
      <c r="E952" s="433"/>
      <c r="F952" s="433"/>
      <c r="G952" s="433"/>
      <c r="H952" s="433"/>
      <c r="I952" s="433"/>
      <c r="J952" s="433"/>
      <c r="K952" s="433"/>
      <c r="L952" s="433"/>
      <c r="M952" s="433"/>
      <c r="N952" s="433"/>
      <c r="O952" s="433"/>
      <c r="P952" s="433"/>
      <c r="Q952" s="433"/>
      <c r="R952" s="433"/>
      <c r="S952" s="433"/>
      <c r="T952" s="433"/>
      <c r="U952" s="433"/>
      <c r="V952" s="433"/>
      <c r="W952" s="433"/>
      <c r="X952" s="433"/>
      <c r="Y952" s="433"/>
      <c r="Z952" s="433"/>
    </row>
    <row r="953">
      <c r="A953" s="440"/>
      <c r="B953" s="441"/>
      <c r="C953" s="442"/>
      <c r="D953" s="443"/>
      <c r="E953" s="433"/>
      <c r="F953" s="433"/>
      <c r="G953" s="433"/>
      <c r="H953" s="433"/>
      <c r="I953" s="433"/>
      <c r="J953" s="433"/>
      <c r="K953" s="433"/>
      <c r="L953" s="433"/>
      <c r="M953" s="433"/>
      <c r="N953" s="433"/>
      <c r="O953" s="433"/>
      <c r="P953" s="433"/>
      <c r="Q953" s="433"/>
      <c r="R953" s="433"/>
      <c r="S953" s="433"/>
      <c r="T953" s="433"/>
      <c r="U953" s="433"/>
      <c r="V953" s="433"/>
      <c r="W953" s="433"/>
      <c r="X953" s="433"/>
      <c r="Y953" s="433"/>
      <c r="Z953" s="433"/>
    </row>
    <row r="954">
      <c r="A954" s="440"/>
      <c r="B954" s="441"/>
      <c r="C954" s="442"/>
      <c r="D954" s="443"/>
      <c r="E954" s="433"/>
      <c r="F954" s="433"/>
      <c r="G954" s="433"/>
      <c r="H954" s="433"/>
      <c r="I954" s="433"/>
      <c r="J954" s="433"/>
      <c r="K954" s="433"/>
      <c r="L954" s="433"/>
      <c r="M954" s="433"/>
      <c r="N954" s="433"/>
      <c r="O954" s="433"/>
      <c r="P954" s="433"/>
      <c r="Q954" s="433"/>
      <c r="R954" s="433"/>
      <c r="S954" s="433"/>
      <c r="T954" s="433"/>
      <c r="U954" s="433"/>
      <c r="V954" s="433"/>
      <c r="W954" s="433"/>
      <c r="X954" s="433"/>
      <c r="Y954" s="433"/>
      <c r="Z954" s="433"/>
    </row>
    <row r="955">
      <c r="A955" s="440"/>
      <c r="B955" s="441"/>
      <c r="C955" s="442"/>
      <c r="D955" s="443"/>
      <c r="E955" s="433"/>
      <c r="F955" s="433"/>
      <c r="G955" s="433"/>
      <c r="H955" s="433"/>
      <c r="I955" s="433"/>
      <c r="J955" s="433"/>
      <c r="K955" s="433"/>
      <c r="L955" s="433"/>
      <c r="M955" s="433"/>
      <c r="N955" s="433"/>
      <c r="O955" s="433"/>
      <c r="P955" s="433"/>
      <c r="Q955" s="433"/>
      <c r="R955" s="433"/>
      <c r="S955" s="433"/>
      <c r="T955" s="433"/>
      <c r="U955" s="433"/>
      <c r="V955" s="433"/>
      <c r="W955" s="433"/>
      <c r="X955" s="433"/>
      <c r="Y955" s="433"/>
      <c r="Z955" s="433"/>
    </row>
    <row r="956">
      <c r="A956" s="440"/>
      <c r="B956" s="441"/>
      <c r="C956" s="442"/>
      <c r="D956" s="443"/>
      <c r="E956" s="433"/>
      <c r="F956" s="433"/>
      <c r="G956" s="433"/>
      <c r="H956" s="433"/>
      <c r="I956" s="433"/>
      <c r="J956" s="433"/>
      <c r="K956" s="433"/>
      <c r="L956" s="433"/>
      <c r="M956" s="433"/>
      <c r="N956" s="433"/>
      <c r="O956" s="433"/>
      <c r="P956" s="433"/>
      <c r="Q956" s="433"/>
      <c r="R956" s="433"/>
      <c r="S956" s="433"/>
      <c r="T956" s="433"/>
      <c r="U956" s="433"/>
      <c r="V956" s="433"/>
      <c r="W956" s="433"/>
      <c r="X956" s="433"/>
      <c r="Y956" s="433"/>
      <c r="Z956" s="433"/>
    </row>
    <row r="957">
      <c r="A957" s="440"/>
      <c r="B957" s="441"/>
      <c r="C957" s="442"/>
      <c r="D957" s="443"/>
      <c r="E957" s="433"/>
      <c r="F957" s="433"/>
      <c r="G957" s="433"/>
      <c r="H957" s="433"/>
      <c r="I957" s="433"/>
      <c r="J957" s="433"/>
      <c r="K957" s="433"/>
      <c r="L957" s="433"/>
      <c r="M957" s="433"/>
      <c r="N957" s="433"/>
      <c r="O957" s="433"/>
      <c r="P957" s="433"/>
      <c r="Q957" s="433"/>
      <c r="R957" s="433"/>
      <c r="S957" s="433"/>
      <c r="T957" s="433"/>
      <c r="U957" s="433"/>
      <c r="V957" s="433"/>
      <c r="W957" s="433"/>
      <c r="X957" s="433"/>
      <c r="Y957" s="433"/>
      <c r="Z957" s="433"/>
    </row>
    <row r="958">
      <c r="A958" s="440"/>
      <c r="B958" s="441"/>
      <c r="C958" s="442"/>
      <c r="D958" s="443"/>
      <c r="E958" s="433"/>
      <c r="F958" s="433"/>
      <c r="G958" s="433"/>
      <c r="H958" s="433"/>
      <c r="I958" s="433"/>
      <c r="J958" s="433"/>
      <c r="K958" s="433"/>
      <c r="L958" s="433"/>
      <c r="M958" s="433"/>
      <c r="N958" s="433"/>
      <c r="O958" s="433"/>
      <c r="P958" s="433"/>
      <c r="Q958" s="433"/>
      <c r="R958" s="433"/>
      <c r="S958" s="433"/>
      <c r="T958" s="433"/>
      <c r="U958" s="433"/>
      <c r="V958" s="433"/>
      <c r="W958" s="433"/>
      <c r="X958" s="433"/>
      <c r="Y958" s="433"/>
      <c r="Z958" s="433"/>
    </row>
    <row r="959">
      <c r="A959" s="440"/>
      <c r="B959" s="441"/>
      <c r="C959" s="442"/>
      <c r="D959" s="443"/>
      <c r="E959" s="433"/>
      <c r="F959" s="433"/>
      <c r="G959" s="433"/>
      <c r="H959" s="433"/>
      <c r="I959" s="433"/>
      <c r="J959" s="433"/>
      <c r="K959" s="433"/>
      <c r="L959" s="433"/>
      <c r="M959" s="433"/>
      <c r="N959" s="433"/>
      <c r="O959" s="433"/>
      <c r="P959" s="433"/>
      <c r="Q959" s="433"/>
      <c r="R959" s="433"/>
      <c r="S959" s="433"/>
      <c r="T959" s="433"/>
      <c r="U959" s="433"/>
      <c r="V959" s="433"/>
      <c r="W959" s="433"/>
      <c r="X959" s="433"/>
      <c r="Y959" s="433"/>
      <c r="Z959" s="433"/>
    </row>
    <row r="960">
      <c r="A960" s="440"/>
      <c r="B960" s="441"/>
      <c r="C960" s="442"/>
      <c r="D960" s="443"/>
      <c r="E960" s="433"/>
      <c r="F960" s="433"/>
      <c r="G960" s="433"/>
      <c r="H960" s="433"/>
      <c r="I960" s="433"/>
      <c r="J960" s="433"/>
      <c r="K960" s="433"/>
      <c r="L960" s="433"/>
      <c r="M960" s="433"/>
      <c r="N960" s="433"/>
      <c r="O960" s="433"/>
      <c r="P960" s="433"/>
      <c r="Q960" s="433"/>
      <c r="R960" s="433"/>
      <c r="S960" s="433"/>
      <c r="T960" s="433"/>
      <c r="U960" s="433"/>
      <c r="V960" s="433"/>
      <c r="W960" s="433"/>
      <c r="X960" s="433"/>
      <c r="Y960" s="433"/>
      <c r="Z960" s="433"/>
    </row>
    <row r="961">
      <c r="A961" s="440"/>
      <c r="B961" s="441"/>
      <c r="C961" s="442"/>
      <c r="D961" s="443"/>
      <c r="E961" s="433"/>
      <c r="F961" s="433"/>
      <c r="G961" s="433"/>
      <c r="H961" s="433"/>
      <c r="I961" s="433"/>
      <c r="J961" s="433"/>
      <c r="K961" s="433"/>
      <c r="L961" s="433"/>
      <c r="M961" s="433"/>
      <c r="N961" s="433"/>
      <c r="O961" s="433"/>
      <c r="P961" s="433"/>
      <c r="Q961" s="433"/>
      <c r="R961" s="433"/>
      <c r="S961" s="433"/>
      <c r="T961" s="433"/>
      <c r="U961" s="433"/>
      <c r="V961" s="433"/>
      <c r="W961" s="433"/>
      <c r="X961" s="433"/>
      <c r="Y961" s="433"/>
      <c r="Z961" s="433"/>
    </row>
    <row r="962">
      <c r="A962" s="440"/>
      <c r="B962" s="441"/>
      <c r="C962" s="442"/>
      <c r="D962" s="443"/>
      <c r="E962" s="433"/>
      <c r="F962" s="433"/>
      <c r="G962" s="433"/>
      <c r="H962" s="433"/>
      <c r="I962" s="433"/>
      <c r="J962" s="433"/>
      <c r="K962" s="433"/>
      <c r="L962" s="433"/>
      <c r="M962" s="433"/>
      <c r="N962" s="433"/>
      <c r="O962" s="433"/>
      <c r="P962" s="433"/>
      <c r="Q962" s="433"/>
      <c r="R962" s="433"/>
      <c r="S962" s="433"/>
      <c r="T962" s="433"/>
      <c r="U962" s="433"/>
      <c r="V962" s="433"/>
      <c r="W962" s="433"/>
      <c r="X962" s="433"/>
      <c r="Y962" s="433"/>
      <c r="Z962" s="433"/>
    </row>
    <row r="963">
      <c r="A963" s="440"/>
      <c r="B963" s="441"/>
      <c r="C963" s="442"/>
      <c r="D963" s="443"/>
      <c r="E963" s="433"/>
      <c r="F963" s="433"/>
      <c r="G963" s="433"/>
      <c r="H963" s="433"/>
      <c r="I963" s="433"/>
      <c r="J963" s="433"/>
      <c r="K963" s="433"/>
      <c r="L963" s="433"/>
      <c r="M963" s="433"/>
      <c r="N963" s="433"/>
      <c r="O963" s="433"/>
      <c r="P963" s="433"/>
      <c r="Q963" s="433"/>
      <c r="R963" s="433"/>
      <c r="S963" s="433"/>
      <c r="T963" s="433"/>
      <c r="U963" s="433"/>
      <c r="V963" s="433"/>
      <c r="W963" s="433"/>
      <c r="X963" s="433"/>
      <c r="Y963" s="433"/>
      <c r="Z963" s="433"/>
    </row>
    <row r="964">
      <c r="A964" s="440"/>
      <c r="B964" s="441"/>
      <c r="C964" s="442"/>
      <c r="D964" s="443"/>
      <c r="E964" s="433"/>
      <c r="F964" s="433"/>
      <c r="G964" s="433"/>
      <c r="H964" s="433"/>
      <c r="I964" s="433"/>
      <c r="J964" s="433"/>
      <c r="K964" s="433"/>
      <c r="L964" s="433"/>
      <c r="M964" s="433"/>
      <c r="N964" s="433"/>
      <c r="O964" s="433"/>
      <c r="P964" s="433"/>
      <c r="Q964" s="433"/>
      <c r="R964" s="433"/>
      <c r="S964" s="433"/>
      <c r="T964" s="433"/>
      <c r="U964" s="433"/>
      <c r="V964" s="433"/>
      <c r="W964" s="433"/>
      <c r="X964" s="433"/>
      <c r="Y964" s="433"/>
      <c r="Z964" s="433"/>
    </row>
    <row r="965">
      <c r="A965" s="440"/>
      <c r="B965" s="441"/>
      <c r="C965" s="442"/>
      <c r="D965" s="443"/>
      <c r="E965" s="433"/>
      <c r="F965" s="433"/>
      <c r="G965" s="433"/>
      <c r="H965" s="433"/>
      <c r="I965" s="433"/>
      <c r="J965" s="433"/>
      <c r="K965" s="433"/>
      <c r="L965" s="433"/>
      <c r="M965" s="433"/>
      <c r="N965" s="433"/>
      <c r="O965" s="433"/>
      <c r="P965" s="433"/>
      <c r="Q965" s="433"/>
      <c r="R965" s="433"/>
      <c r="S965" s="433"/>
      <c r="T965" s="433"/>
      <c r="U965" s="433"/>
      <c r="V965" s="433"/>
      <c r="W965" s="433"/>
      <c r="X965" s="433"/>
      <c r="Y965" s="433"/>
      <c r="Z965" s="433"/>
    </row>
    <row r="966">
      <c r="A966" s="440"/>
      <c r="B966" s="441"/>
      <c r="C966" s="442"/>
      <c r="D966" s="443"/>
      <c r="E966" s="433"/>
      <c r="F966" s="433"/>
      <c r="G966" s="433"/>
      <c r="H966" s="433"/>
      <c r="I966" s="433"/>
      <c r="J966" s="433"/>
      <c r="K966" s="433"/>
      <c r="L966" s="433"/>
      <c r="M966" s="433"/>
      <c r="N966" s="433"/>
      <c r="O966" s="433"/>
      <c r="P966" s="433"/>
      <c r="Q966" s="433"/>
      <c r="R966" s="433"/>
      <c r="S966" s="433"/>
      <c r="T966" s="433"/>
      <c r="U966" s="433"/>
      <c r="V966" s="433"/>
      <c r="W966" s="433"/>
      <c r="X966" s="433"/>
      <c r="Y966" s="433"/>
      <c r="Z966" s="433"/>
    </row>
    <row r="967">
      <c r="A967" s="440"/>
      <c r="B967" s="441"/>
      <c r="C967" s="442"/>
      <c r="D967" s="443"/>
      <c r="E967" s="433"/>
      <c r="F967" s="433"/>
      <c r="G967" s="433"/>
      <c r="H967" s="433"/>
      <c r="I967" s="433"/>
      <c r="J967" s="433"/>
      <c r="K967" s="433"/>
      <c r="L967" s="433"/>
      <c r="M967" s="433"/>
      <c r="N967" s="433"/>
      <c r="O967" s="433"/>
      <c r="P967" s="433"/>
      <c r="Q967" s="433"/>
      <c r="R967" s="433"/>
      <c r="S967" s="433"/>
      <c r="T967" s="433"/>
      <c r="U967" s="433"/>
      <c r="V967" s="433"/>
      <c r="W967" s="433"/>
      <c r="X967" s="433"/>
      <c r="Y967" s="433"/>
      <c r="Z967" s="433"/>
    </row>
    <row r="968">
      <c r="A968" s="440"/>
      <c r="B968" s="441"/>
      <c r="C968" s="442"/>
      <c r="D968" s="443"/>
      <c r="E968" s="433"/>
      <c r="F968" s="433"/>
      <c r="G968" s="433"/>
      <c r="H968" s="433"/>
      <c r="I968" s="433"/>
      <c r="J968" s="433"/>
      <c r="K968" s="433"/>
      <c r="L968" s="433"/>
      <c r="M968" s="433"/>
      <c r="N968" s="433"/>
      <c r="O968" s="433"/>
      <c r="P968" s="433"/>
      <c r="Q968" s="433"/>
      <c r="R968" s="433"/>
      <c r="S968" s="433"/>
      <c r="T968" s="433"/>
      <c r="U968" s="433"/>
      <c r="V968" s="433"/>
      <c r="W968" s="433"/>
      <c r="X968" s="433"/>
      <c r="Y968" s="433"/>
      <c r="Z968" s="433"/>
    </row>
    <row r="969">
      <c r="A969" s="440"/>
      <c r="B969" s="441"/>
      <c r="C969" s="442"/>
      <c r="D969" s="443"/>
      <c r="E969" s="433"/>
      <c r="F969" s="433"/>
      <c r="G969" s="433"/>
      <c r="H969" s="433"/>
      <c r="I969" s="433"/>
      <c r="J969" s="433"/>
      <c r="K969" s="433"/>
      <c r="L969" s="433"/>
      <c r="M969" s="433"/>
      <c r="N969" s="433"/>
      <c r="O969" s="433"/>
      <c r="P969" s="433"/>
      <c r="Q969" s="433"/>
      <c r="R969" s="433"/>
      <c r="S969" s="433"/>
      <c r="T969" s="433"/>
      <c r="U969" s="433"/>
      <c r="V969" s="433"/>
      <c r="W969" s="433"/>
      <c r="X969" s="433"/>
      <c r="Y969" s="433"/>
      <c r="Z969" s="433"/>
    </row>
    <row r="970">
      <c r="A970" s="440"/>
      <c r="B970" s="441"/>
      <c r="C970" s="442"/>
      <c r="D970" s="443"/>
      <c r="E970" s="433"/>
      <c r="F970" s="433"/>
      <c r="G970" s="433"/>
      <c r="H970" s="433"/>
      <c r="I970" s="433"/>
      <c r="J970" s="433"/>
      <c r="K970" s="433"/>
      <c r="L970" s="433"/>
      <c r="M970" s="433"/>
      <c r="N970" s="433"/>
      <c r="O970" s="433"/>
      <c r="P970" s="433"/>
      <c r="Q970" s="433"/>
      <c r="R970" s="433"/>
      <c r="S970" s="433"/>
      <c r="T970" s="433"/>
      <c r="U970" s="433"/>
      <c r="V970" s="433"/>
      <c r="W970" s="433"/>
      <c r="X970" s="433"/>
      <c r="Y970" s="433"/>
      <c r="Z970" s="433"/>
    </row>
    <row r="971">
      <c r="A971" s="440"/>
      <c r="B971" s="441"/>
      <c r="C971" s="442"/>
      <c r="D971" s="443"/>
      <c r="E971" s="433"/>
      <c r="F971" s="433"/>
      <c r="G971" s="433"/>
      <c r="H971" s="433"/>
      <c r="I971" s="433"/>
      <c r="J971" s="433"/>
      <c r="K971" s="433"/>
      <c r="L971" s="433"/>
      <c r="M971" s="433"/>
      <c r="N971" s="433"/>
      <c r="O971" s="433"/>
      <c r="P971" s="433"/>
      <c r="Q971" s="433"/>
      <c r="R971" s="433"/>
      <c r="S971" s="433"/>
      <c r="T971" s="433"/>
      <c r="U971" s="433"/>
      <c r="V971" s="433"/>
      <c r="W971" s="433"/>
      <c r="X971" s="433"/>
      <c r="Y971" s="433"/>
      <c r="Z971" s="433"/>
    </row>
    <row r="972">
      <c r="A972" s="440"/>
      <c r="B972" s="441"/>
      <c r="C972" s="442"/>
      <c r="D972" s="443"/>
      <c r="E972" s="433"/>
      <c r="F972" s="433"/>
      <c r="G972" s="433"/>
      <c r="H972" s="433"/>
      <c r="I972" s="433"/>
      <c r="J972" s="433"/>
      <c r="K972" s="433"/>
      <c r="L972" s="433"/>
      <c r="M972" s="433"/>
      <c r="N972" s="433"/>
      <c r="O972" s="433"/>
      <c r="P972" s="433"/>
      <c r="Q972" s="433"/>
      <c r="R972" s="433"/>
      <c r="S972" s="433"/>
      <c r="T972" s="433"/>
      <c r="U972" s="433"/>
      <c r="V972" s="433"/>
      <c r="W972" s="433"/>
      <c r="X972" s="433"/>
      <c r="Y972" s="433"/>
      <c r="Z972" s="433"/>
    </row>
    <row r="973">
      <c r="A973" s="440"/>
      <c r="B973" s="441"/>
      <c r="C973" s="442"/>
      <c r="D973" s="443"/>
      <c r="E973" s="433"/>
      <c r="F973" s="433"/>
      <c r="G973" s="433"/>
      <c r="H973" s="433"/>
      <c r="I973" s="433"/>
      <c r="J973" s="433"/>
      <c r="K973" s="433"/>
      <c r="L973" s="433"/>
      <c r="M973" s="433"/>
      <c r="N973" s="433"/>
      <c r="O973" s="433"/>
      <c r="P973" s="433"/>
      <c r="Q973" s="433"/>
      <c r="R973" s="433"/>
      <c r="S973" s="433"/>
      <c r="T973" s="433"/>
      <c r="U973" s="433"/>
      <c r="V973" s="433"/>
      <c r="W973" s="433"/>
      <c r="X973" s="433"/>
      <c r="Y973" s="433"/>
      <c r="Z973" s="433"/>
    </row>
    <row r="974">
      <c r="A974" s="440"/>
      <c r="B974" s="441"/>
      <c r="C974" s="442"/>
      <c r="D974" s="443"/>
      <c r="E974" s="433"/>
      <c r="F974" s="433"/>
      <c r="G974" s="433"/>
      <c r="H974" s="433"/>
      <c r="I974" s="433"/>
      <c r="J974" s="433"/>
      <c r="K974" s="433"/>
      <c r="L974" s="433"/>
      <c r="M974" s="433"/>
      <c r="N974" s="433"/>
      <c r="O974" s="433"/>
      <c r="P974" s="433"/>
      <c r="Q974" s="433"/>
      <c r="R974" s="433"/>
      <c r="S974" s="433"/>
      <c r="T974" s="433"/>
      <c r="U974" s="433"/>
      <c r="V974" s="433"/>
      <c r="W974" s="433"/>
      <c r="X974" s="433"/>
      <c r="Y974" s="433"/>
      <c r="Z974" s="433"/>
    </row>
    <row r="975">
      <c r="A975" s="440"/>
      <c r="B975" s="441"/>
      <c r="C975" s="442"/>
      <c r="D975" s="443"/>
      <c r="E975" s="433"/>
      <c r="F975" s="433"/>
      <c r="G975" s="433"/>
      <c r="H975" s="433"/>
      <c r="I975" s="433"/>
      <c r="J975" s="433"/>
      <c r="K975" s="433"/>
      <c r="L975" s="433"/>
      <c r="M975" s="433"/>
      <c r="N975" s="433"/>
      <c r="O975" s="433"/>
      <c r="P975" s="433"/>
      <c r="Q975" s="433"/>
      <c r="R975" s="433"/>
      <c r="S975" s="433"/>
      <c r="T975" s="433"/>
      <c r="U975" s="433"/>
      <c r="V975" s="433"/>
      <c r="W975" s="433"/>
      <c r="X975" s="433"/>
      <c r="Y975" s="433"/>
      <c r="Z975" s="433"/>
    </row>
    <row r="976">
      <c r="A976" s="440"/>
      <c r="B976" s="441"/>
      <c r="C976" s="442"/>
      <c r="D976" s="443"/>
      <c r="E976" s="433"/>
      <c r="F976" s="433"/>
      <c r="G976" s="433"/>
      <c r="H976" s="433"/>
      <c r="I976" s="433"/>
      <c r="J976" s="433"/>
      <c r="K976" s="433"/>
      <c r="L976" s="433"/>
      <c r="M976" s="433"/>
      <c r="N976" s="433"/>
      <c r="O976" s="433"/>
      <c r="P976" s="433"/>
      <c r="Q976" s="433"/>
      <c r="R976" s="433"/>
      <c r="S976" s="433"/>
      <c r="T976" s="433"/>
      <c r="U976" s="433"/>
      <c r="V976" s="433"/>
      <c r="W976" s="433"/>
      <c r="X976" s="433"/>
      <c r="Y976" s="433"/>
      <c r="Z976" s="433"/>
    </row>
    <row r="977">
      <c r="A977" s="440"/>
      <c r="B977" s="441"/>
      <c r="C977" s="442"/>
      <c r="D977" s="443"/>
      <c r="E977" s="433"/>
      <c r="F977" s="433"/>
      <c r="G977" s="433"/>
      <c r="H977" s="433"/>
      <c r="I977" s="433"/>
      <c r="J977" s="433"/>
      <c r="K977" s="433"/>
      <c r="L977" s="433"/>
      <c r="M977" s="433"/>
      <c r="N977" s="433"/>
      <c r="O977" s="433"/>
      <c r="P977" s="433"/>
      <c r="Q977" s="433"/>
      <c r="R977" s="433"/>
      <c r="S977" s="433"/>
      <c r="T977" s="433"/>
      <c r="U977" s="433"/>
      <c r="V977" s="433"/>
      <c r="W977" s="433"/>
      <c r="X977" s="433"/>
      <c r="Y977" s="433"/>
      <c r="Z977" s="433"/>
    </row>
    <row r="978">
      <c r="A978" s="440"/>
      <c r="B978" s="441"/>
      <c r="C978" s="442"/>
      <c r="D978" s="443"/>
      <c r="E978" s="433"/>
      <c r="F978" s="433"/>
      <c r="G978" s="433"/>
      <c r="H978" s="433"/>
      <c r="I978" s="433"/>
      <c r="J978" s="433"/>
      <c r="K978" s="433"/>
      <c r="L978" s="433"/>
      <c r="M978" s="433"/>
      <c r="N978" s="433"/>
      <c r="O978" s="433"/>
      <c r="P978" s="433"/>
      <c r="Q978" s="433"/>
      <c r="R978" s="433"/>
      <c r="S978" s="433"/>
      <c r="T978" s="433"/>
      <c r="U978" s="433"/>
      <c r="V978" s="433"/>
      <c r="W978" s="433"/>
      <c r="X978" s="433"/>
      <c r="Y978" s="433"/>
      <c r="Z978" s="433"/>
    </row>
    <row r="979">
      <c r="A979" s="440"/>
      <c r="B979" s="441"/>
      <c r="C979" s="442"/>
      <c r="D979" s="443"/>
      <c r="E979" s="433"/>
      <c r="F979" s="433"/>
      <c r="G979" s="433"/>
      <c r="H979" s="433"/>
      <c r="I979" s="433"/>
      <c r="J979" s="433"/>
      <c r="K979" s="433"/>
      <c r="L979" s="433"/>
      <c r="M979" s="433"/>
      <c r="N979" s="433"/>
      <c r="O979" s="433"/>
      <c r="P979" s="433"/>
      <c r="Q979" s="433"/>
      <c r="R979" s="433"/>
      <c r="S979" s="433"/>
      <c r="T979" s="433"/>
      <c r="U979" s="433"/>
      <c r="V979" s="433"/>
      <c r="W979" s="433"/>
      <c r="X979" s="433"/>
      <c r="Y979" s="433"/>
      <c r="Z979" s="433"/>
    </row>
    <row r="980">
      <c r="A980" s="440"/>
      <c r="B980" s="441"/>
      <c r="C980" s="442"/>
      <c r="D980" s="443"/>
      <c r="E980" s="433"/>
      <c r="F980" s="433"/>
      <c r="G980" s="433"/>
      <c r="H980" s="433"/>
      <c r="I980" s="433"/>
      <c r="J980" s="433"/>
      <c r="K980" s="433"/>
      <c r="L980" s="433"/>
      <c r="M980" s="433"/>
      <c r="N980" s="433"/>
      <c r="O980" s="433"/>
      <c r="P980" s="433"/>
      <c r="Q980" s="433"/>
      <c r="R980" s="433"/>
      <c r="S980" s="433"/>
      <c r="T980" s="433"/>
      <c r="U980" s="433"/>
      <c r="V980" s="433"/>
      <c r="W980" s="433"/>
      <c r="X980" s="433"/>
      <c r="Y980" s="433"/>
      <c r="Z980" s="433"/>
    </row>
    <row r="981">
      <c r="A981" s="440"/>
      <c r="B981" s="441"/>
      <c r="C981" s="442"/>
      <c r="D981" s="443"/>
      <c r="E981" s="433"/>
      <c r="F981" s="433"/>
      <c r="G981" s="433"/>
      <c r="H981" s="433"/>
      <c r="I981" s="433"/>
      <c r="J981" s="433"/>
      <c r="K981" s="433"/>
      <c r="L981" s="433"/>
      <c r="M981" s="433"/>
      <c r="N981" s="433"/>
      <c r="O981" s="433"/>
      <c r="P981" s="433"/>
      <c r="Q981" s="433"/>
      <c r="R981" s="433"/>
      <c r="S981" s="433"/>
      <c r="T981" s="433"/>
      <c r="U981" s="433"/>
      <c r="V981" s="433"/>
      <c r="W981" s="433"/>
      <c r="X981" s="433"/>
      <c r="Y981" s="433"/>
      <c r="Z981" s="433"/>
    </row>
    <row r="982">
      <c r="A982" s="440"/>
      <c r="B982" s="441"/>
      <c r="C982" s="442"/>
      <c r="D982" s="443"/>
      <c r="E982" s="433"/>
      <c r="F982" s="433"/>
      <c r="G982" s="433"/>
      <c r="H982" s="433"/>
      <c r="I982" s="433"/>
      <c r="J982" s="433"/>
      <c r="K982" s="433"/>
      <c r="L982" s="433"/>
      <c r="M982" s="433"/>
      <c r="N982" s="433"/>
      <c r="O982" s="433"/>
      <c r="P982" s="433"/>
      <c r="Q982" s="433"/>
      <c r="R982" s="433"/>
      <c r="S982" s="433"/>
      <c r="T982" s="433"/>
      <c r="U982" s="433"/>
      <c r="V982" s="433"/>
      <c r="W982" s="433"/>
      <c r="X982" s="433"/>
      <c r="Y982" s="433"/>
      <c r="Z982" s="433"/>
    </row>
    <row r="983">
      <c r="A983" s="440"/>
      <c r="B983" s="441"/>
      <c r="C983" s="442"/>
      <c r="D983" s="443"/>
      <c r="E983" s="433"/>
      <c r="F983" s="433"/>
      <c r="G983" s="433"/>
      <c r="H983" s="433"/>
      <c r="I983" s="433"/>
      <c r="J983" s="433"/>
      <c r="K983" s="433"/>
      <c r="L983" s="433"/>
      <c r="M983" s="433"/>
      <c r="N983" s="433"/>
      <c r="O983" s="433"/>
      <c r="P983" s="433"/>
      <c r="Q983" s="433"/>
      <c r="R983" s="433"/>
      <c r="S983" s="433"/>
      <c r="T983" s="433"/>
      <c r="U983" s="433"/>
      <c r="V983" s="433"/>
      <c r="W983" s="433"/>
      <c r="X983" s="433"/>
      <c r="Y983" s="433"/>
      <c r="Z983" s="433"/>
    </row>
    <row r="984">
      <c r="A984" s="440"/>
      <c r="B984" s="441"/>
      <c r="C984" s="442"/>
      <c r="D984" s="443"/>
      <c r="E984" s="433"/>
      <c r="F984" s="433"/>
      <c r="G984" s="433"/>
      <c r="H984" s="433"/>
      <c r="I984" s="433"/>
      <c r="J984" s="433"/>
      <c r="K984" s="433"/>
      <c r="L984" s="433"/>
      <c r="M984" s="433"/>
      <c r="N984" s="433"/>
      <c r="O984" s="433"/>
      <c r="P984" s="433"/>
      <c r="Q984" s="433"/>
      <c r="R984" s="433"/>
      <c r="S984" s="433"/>
      <c r="T984" s="433"/>
      <c r="U984" s="433"/>
      <c r="V984" s="433"/>
      <c r="W984" s="433"/>
      <c r="X984" s="433"/>
      <c r="Y984" s="433"/>
      <c r="Z984" s="433"/>
    </row>
    <row r="985">
      <c r="A985" s="440"/>
      <c r="B985" s="441"/>
      <c r="C985" s="442"/>
      <c r="D985" s="443"/>
      <c r="E985" s="433"/>
      <c r="F985" s="433"/>
      <c r="G985" s="433"/>
      <c r="H985" s="433"/>
      <c r="I985" s="433"/>
      <c r="J985" s="433"/>
      <c r="K985" s="433"/>
      <c r="L985" s="433"/>
      <c r="M985" s="433"/>
      <c r="N985" s="433"/>
      <c r="O985" s="433"/>
      <c r="P985" s="433"/>
      <c r="Q985" s="433"/>
      <c r="R985" s="433"/>
      <c r="S985" s="433"/>
      <c r="T985" s="433"/>
      <c r="U985" s="433"/>
      <c r="V985" s="433"/>
      <c r="W985" s="433"/>
      <c r="X985" s="433"/>
      <c r="Y985" s="433"/>
      <c r="Z985" s="433"/>
    </row>
    <row r="986">
      <c r="A986" s="440"/>
      <c r="B986" s="441"/>
      <c r="C986" s="442"/>
      <c r="D986" s="443"/>
      <c r="E986" s="433"/>
      <c r="F986" s="433"/>
      <c r="G986" s="433"/>
      <c r="H986" s="433"/>
      <c r="I986" s="433"/>
      <c r="J986" s="433"/>
      <c r="K986" s="433"/>
      <c r="L986" s="433"/>
      <c r="M986" s="433"/>
      <c r="N986" s="433"/>
      <c r="O986" s="433"/>
      <c r="P986" s="433"/>
      <c r="Q986" s="433"/>
      <c r="R986" s="433"/>
      <c r="S986" s="433"/>
      <c r="T986" s="433"/>
      <c r="U986" s="433"/>
      <c r="V986" s="433"/>
      <c r="W986" s="433"/>
      <c r="X986" s="433"/>
      <c r="Y986" s="433"/>
      <c r="Z986" s="433"/>
    </row>
    <row r="987">
      <c r="A987" s="440"/>
      <c r="B987" s="441"/>
      <c r="C987" s="442"/>
      <c r="D987" s="443"/>
      <c r="E987" s="433"/>
      <c r="F987" s="433"/>
      <c r="G987" s="433"/>
      <c r="H987" s="433"/>
      <c r="I987" s="433"/>
      <c r="J987" s="433"/>
      <c r="K987" s="433"/>
      <c r="L987" s="433"/>
      <c r="M987" s="433"/>
      <c r="N987" s="433"/>
      <c r="O987" s="433"/>
      <c r="P987" s="433"/>
      <c r="Q987" s="433"/>
      <c r="R987" s="433"/>
      <c r="S987" s="433"/>
      <c r="T987" s="433"/>
      <c r="U987" s="433"/>
      <c r="V987" s="433"/>
      <c r="W987" s="433"/>
      <c r="X987" s="433"/>
      <c r="Y987" s="433"/>
      <c r="Z987" s="433"/>
    </row>
    <row r="988">
      <c r="A988" s="440"/>
      <c r="B988" s="441"/>
      <c r="C988" s="442"/>
      <c r="D988" s="443"/>
      <c r="E988" s="433"/>
      <c r="F988" s="433"/>
      <c r="G988" s="433"/>
      <c r="H988" s="433"/>
      <c r="I988" s="433"/>
      <c r="J988" s="433"/>
      <c r="K988" s="433"/>
      <c r="L988" s="433"/>
      <c r="M988" s="433"/>
      <c r="N988" s="433"/>
      <c r="O988" s="433"/>
      <c r="P988" s="433"/>
      <c r="Q988" s="433"/>
      <c r="R988" s="433"/>
      <c r="S988" s="433"/>
      <c r="T988" s="433"/>
      <c r="U988" s="433"/>
      <c r="V988" s="433"/>
      <c r="W988" s="433"/>
      <c r="X988" s="433"/>
      <c r="Y988" s="433"/>
      <c r="Z988" s="433"/>
    </row>
    <row r="989">
      <c r="A989" s="440"/>
      <c r="B989" s="441"/>
      <c r="C989" s="442"/>
      <c r="D989" s="443"/>
      <c r="E989" s="433"/>
      <c r="F989" s="433"/>
      <c r="G989" s="433"/>
      <c r="H989" s="433"/>
      <c r="I989" s="433"/>
      <c r="J989" s="433"/>
      <c r="K989" s="433"/>
      <c r="L989" s="433"/>
      <c r="M989" s="433"/>
      <c r="N989" s="433"/>
      <c r="O989" s="433"/>
      <c r="P989" s="433"/>
      <c r="Q989" s="433"/>
      <c r="R989" s="433"/>
      <c r="S989" s="433"/>
      <c r="T989" s="433"/>
      <c r="U989" s="433"/>
      <c r="V989" s="433"/>
      <c r="W989" s="433"/>
      <c r="X989" s="433"/>
      <c r="Y989" s="433"/>
      <c r="Z989" s="433"/>
    </row>
    <row r="990">
      <c r="A990" s="440"/>
      <c r="B990" s="441"/>
      <c r="C990" s="442"/>
      <c r="D990" s="443"/>
      <c r="E990" s="433"/>
      <c r="F990" s="433"/>
      <c r="G990" s="433"/>
      <c r="H990" s="433"/>
      <c r="I990" s="433"/>
      <c r="J990" s="433"/>
      <c r="K990" s="433"/>
      <c r="L990" s="433"/>
      <c r="M990" s="433"/>
      <c r="N990" s="433"/>
      <c r="O990" s="433"/>
      <c r="P990" s="433"/>
      <c r="Q990" s="433"/>
      <c r="R990" s="433"/>
      <c r="S990" s="433"/>
      <c r="T990" s="433"/>
      <c r="U990" s="433"/>
      <c r="V990" s="433"/>
      <c r="W990" s="433"/>
      <c r="X990" s="433"/>
      <c r="Y990" s="433"/>
      <c r="Z990" s="433"/>
    </row>
    <row r="991">
      <c r="A991" s="440"/>
      <c r="B991" s="441"/>
      <c r="C991" s="442"/>
      <c r="D991" s="443"/>
      <c r="E991" s="433"/>
      <c r="F991" s="433"/>
      <c r="G991" s="433"/>
      <c r="H991" s="433"/>
      <c r="I991" s="433"/>
      <c r="J991" s="433"/>
      <c r="K991" s="433"/>
      <c r="L991" s="433"/>
      <c r="M991" s="433"/>
      <c r="N991" s="433"/>
      <c r="O991" s="433"/>
      <c r="P991" s="433"/>
      <c r="Q991" s="433"/>
      <c r="R991" s="433"/>
      <c r="S991" s="433"/>
      <c r="T991" s="433"/>
      <c r="U991" s="433"/>
      <c r="V991" s="433"/>
      <c r="W991" s="433"/>
      <c r="X991" s="433"/>
      <c r="Y991" s="433"/>
      <c r="Z991" s="433"/>
    </row>
    <row r="992">
      <c r="A992" s="440"/>
      <c r="B992" s="441"/>
      <c r="C992" s="442"/>
      <c r="D992" s="443"/>
      <c r="E992" s="433"/>
      <c r="F992" s="433"/>
      <c r="G992" s="433"/>
      <c r="H992" s="433"/>
      <c r="I992" s="433"/>
      <c r="J992" s="433"/>
      <c r="K992" s="433"/>
      <c r="L992" s="433"/>
      <c r="M992" s="433"/>
      <c r="N992" s="433"/>
      <c r="O992" s="433"/>
      <c r="P992" s="433"/>
      <c r="Q992" s="433"/>
      <c r="R992" s="433"/>
      <c r="S992" s="433"/>
      <c r="T992" s="433"/>
      <c r="U992" s="433"/>
      <c r="V992" s="433"/>
      <c r="W992" s="433"/>
      <c r="X992" s="433"/>
      <c r="Y992" s="433"/>
      <c r="Z992" s="433"/>
    </row>
    <row r="993">
      <c r="A993" s="440"/>
      <c r="B993" s="441"/>
      <c r="C993" s="442"/>
      <c r="D993" s="443"/>
      <c r="E993" s="433"/>
      <c r="F993" s="433"/>
      <c r="G993" s="433"/>
      <c r="H993" s="433"/>
      <c r="I993" s="433"/>
      <c r="J993" s="433"/>
      <c r="K993" s="433"/>
      <c r="L993" s="433"/>
      <c r="M993" s="433"/>
      <c r="N993" s="433"/>
      <c r="O993" s="433"/>
      <c r="P993" s="433"/>
      <c r="Q993" s="433"/>
      <c r="R993" s="433"/>
      <c r="S993" s="433"/>
      <c r="T993" s="433"/>
      <c r="U993" s="433"/>
      <c r="V993" s="433"/>
      <c r="W993" s="433"/>
      <c r="X993" s="433"/>
      <c r="Y993" s="433"/>
      <c r="Z993" s="433"/>
    </row>
    <row r="994">
      <c r="A994" s="440"/>
      <c r="B994" s="441"/>
      <c r="C994" s="442"/>
      <c r="D994" s="443"/>
      <c r="E994" s="433"/>
      <c r="F994" s="433"/>
      <c r="G994" s="433"/>
      <c r="H994" s="433"/>
      <c r="I994" s="433"/>
      <c r="J994" s="433"/>
      <c r="K994" s="433"/>
      <c r="L994" s="433"/>
      <c r="M994" s="433"/>
      <c r="N994" s="433"/>
      <c r="O994" s="433"/>
      <c r="P994" s="433"/>
      <c r="Q994" s="433"/>
      <c r="R994" s="433"/>
      <c r="S994" s="433"/>
      <c r="T994" s="433"/>
      <c r="U994" s="433"/>
      <c r="V994" s="433"/>
      <c r="W994" s="433"/>
      <c r="X994" s="433"/>
      <c r="Y994" s="433"/>
      <c r="Z994" s="433"/>
    </row>
    <row r="995">
      <c r="A995" s="440"/>
      <c r="B995" s="441"/>
      <c r="C995" s="442"/>
      <c r="D995" s="443"/>
      <c r="E995" s="433"/>
      <c r="F995" s="433"/>
      <c r="G995" s="433"/>
      <c r="H995" s="433"/>
      <c r="I995" s="433"/>
      <c r="J995" s="433"/>
      <c r="K995" s="433"/>
      <c r="L995" s="433"/>
      <c r="M995" s="433"/>
      <c r="N995" s="433"/>
      <c r="O995" s="433"/>
      <c r="P995" s="433"/>
      <c r="Q995" s="433"/>
      <c r="R995" s="433"/>
      <c r="S995" s="433"/>
      <c r="T995" s="433"/>
      <c r="U995" s="433"/>
      <c r="V995" s="433"/>
      <c r="W995" s="433"/>
      <c r="X995" s="433"/>
      <c r="Y995" s="433"/>
      <c r="Z995" s="433"/>
    </row>
    <row r="996">
      <c r="A996" s="440"/>
      <c r="B996" s="441"/>
      <c r="C996" s="442"/>
      <c r="D996" s="443"/>
      <c r="E996" s="433"/>
      <c r="F996" s="433"/>
      <c r="G996" s="433"/>
      <c r="H996" s="433"/>
      <c r="I996" s="433"/>
      <c r="J996" s="433"/>
      <c r="K996" s="433"/>
      <c r="L996" s="433"/>
      <c r="M996" s="433"/>
      <c r="N996" s="433"/>
      <c r="O996" s="433"/>
      <c r="P996" s="433"/>
      <c r="Q996" s="433"/>
      <c r="R996" s="433"/>
      <c r="S996" s="433"/>
      <c r="T996" s="433"/>
      <c r="U996" s="433"/>
      <c r="V996" s="433"/>
      <c r="W996" s="433"/>
      <c r="X996" s="433"/>
      <c r="Y996" s="433"/>
      <c r="Z996" s="433"/>
    </row>
    <row r="997">
      <c r="A997" s="440"/>
      <c r="B997" s="441"/>
      <c r="C997" s="442"/>
      <c r="D997" s="443"/>
      <c r="E997" s="433"/>
      <c r="F997" s="433"/>
      <c r="G997" s="433"/>
      <c r="H997" s="433"/>
      <c r="I997" s="433"/>
      <c r="J997" s="433"/>
      <c r="K997" s="433"/>
      <c r="L997" s="433"/>
      <c r="M997" s="433"/>
      <c r="N997" s="433"/>
      <c r="O997" s="433"/>
      <c r="P997" s="433"/>
      <c r="Q997" s="433"/>
      <c r="R997" s="433"/>
      <c r="S997" s="433"/>
      <c r="T997" s="433"/>
      <c r="U997" s="433"/>
      <c r="V997" s="433"/>
      <c r="W997" s="433"/>
      <c r="X997" s="433"/>
      <c r="Y997" s="433"/>
      <c r="Z997" s="433"/>
    </row>
    <row r="998">
      <c r="A998" s="440"/>
      <c r="B998" s="441"/>
      <c r="C998" s="442"/>
      <c r="D998" s="443"/>
      <c r="E998" s="433"/>
      <c r="F998" s="433"/>
      <c r="G998" s="433"/>
      <c r="H998" s="433"/>
      <c r="I998" s="433"/>
      <c r="J998" s="433"/>
      <c r="K998" s="433"/>
      <c r="L998" s="433"/>
      <c r="M998" s="433"/>
      <c r="N998" s="433"/>
      <c r="O998" s="433"/>
      <c r="P998" s="433"/>
      <c r="Q998" s="433"/>
      <c r="R998" s="433"/>
      <c r="S998" s="433"/>
      <c r="T998" s="433"/>
      <c r="U998" s="433"/>
      <c r="V998" s="433"/>
      <c r="W998" s="433"/>
      <c r="X998" s="433"/>
      <c r="Y998" s="433"/>
      <c r="Z998" s="433"/>
    </row>
    <row r="999">
      <c r="A999" s="440"/>
      <c r="B999" s="441"/>
      <c r="C999" s="442"/>
      <c r="D999" s="443"/>
      <c r="E999" s="433"/>
      <c r="F999" s="433"/>
      <c r="G999" s="433"/>
      <c r="H999" s="433"/>
      <c r="I999" s="433"/>
      <c r="J999" s="433"/>
      <c r="K999" s="433"/>
      <c r="L999" s="433"/>
      <c r="M999" s="433"/>
      <c r="N999" s="433"/>
      <c r="O999" s="433"/>
      <c r="P999" s="433"/>
      <c r="Q999" s="433"/>
      <c r="R999" s="433"/>
      <c r="S999" s="433"/>
      <c r="T999" s="433"/>
      <c r="U999" s="433"/>
      <c r="V999" s="433"/>
      <c r="W999" s="433"/>
      <c r="X999" s="433"/>
      <c r="Y999" s="433"/>
      <c r="Z999" s="433"/>
    </row>
    <row r="1000">
      <c r="A1000" s="440"/>
      <c r="B1000" s="441"/>
      <c r="C1000" s="442"/>
      <c r="D1000" s="443"/>
      <c r="E1000" s="433"/>
      <c r="F1000" s="433"/>
      <c r="G1000" s="433"/>
      <c r="H1000" s="433"/>
      <c r="I1000" s="433"/>
      <c r="J1000" s="433"/>
      <c r="K1000" s="433"/>
      <c r="L1000" s="433"/>
      <c r="M1000" s="433"/>
      <c r="N1000" s="433"/>
      <c r="O1000" s="433"/>
      <c r="P1000" s="433"/>
      <c r="Q1000" s="433"/>
      <c r="R1000" s="433"/>
      <c r="S1000" s="433"/>
      <c r="T1000" s="433"/>
      <c r="U1000" s="433"/>
      <c r="V1000" s="433"/>
      <c r="W1000" s="433"/>
      <c r="X1000" s="433"/>
      <c r="Y1000" s="433"/>
      <c r="Z1000" s="433"/>
    </row>
    <row r="1001">
      <c r="A1001" s="440"/>
      <c r="B1001" s="441"/>
      <c r="C1001" s="442"/>
      <c r="D1001" s="443"/>
      <c r="E1001" s="433"/>
      <c r="F1001" s="433"/>
      <c r="G1001" s="433"/>
      <c r="H1001" s="433"/>
      <c r="I1001" s="433"/>
      <c r="J1001" s="433"/>
      <c r="K1001" s="433"/>
      <c r="L1001" s="433"/>
      <c r="M1001" s="433"/>
      <c r="N1001" s="433"/>
      <c r="O1001" s="433"/>
      <c r="P1001" s="433"/>
      <c r="Q1001" s="433"/>
      <c r="R1001" s="433"/>
      <c r="S1001" s="433"/>
      <c r="T1001" s="433"/>
      <c r="U1001" s="433"/>
      <c r="V1001" s="433"/>
      <c r="W1001" s="433"/>
      <c r="X1001" s="433"/>
      <c r="Y1001" s="433"/>
      <c r="Z1001" s="433"/>
    </row>
    <row r="1002">
      <c r="A1002" s="440"/>
      <c r="B1002" s="441"/>
      <c r="C1002" s="442"/>
      <c r="D1002" s="443"/>
      <c r="E1002" s="433"/>
      <c r="F1002" s="433"/>
      <c r="G1002" s="433"/>
      <c r="H1002" s="433"/>
      <c r="I1002" s="433"/>
      <c r="J1002" s="433"/>
      <c r="K1002" s="433"/>
      <c r="L1002" s="433"/>
      <c r="M1002" s="433"/>
      <c r="N1002" s="433"/>
      <c r="O1002" s="433"/>
      <c r="P1002" s="433"/>
      <c r="Q1002" s="433"/>
      <c r="R1002" s="433"/>
      <c r="S1002" s="433"/>
      <c r="T1002" s="433"/>
      <c r="U1002" s="433"/>
      <c r="V1002" s="433"/>
      <c r="W1002" s="433"/>
      <c r="X1002" s="433"/>
      <c r="Y1002" s="433"/>
      <c r="Z1002" s="433"/>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76" t="s">
        <v>8932</v>
      </c>
      <c r="B1" s="76" t="s">
        <v>8933</v>
      </c>
      <c r="C1" s="410" t="s">
        <v>8934</v>
      </c>
      <c r="D1" s="410"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44" t="s">
        <v>8935</v>
      </c>
      <c r="F1" s="411"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45" t="s">
        <v>8936</v>
      </c>
      <c r="H1" s="412"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13" t="s">
        <v>8937</v>
      </c>
      <c r="J1" s="413" t="s">
        <v>8938</v>
      </c>
      <c r="K1" s="137" t="s">
        <v>8939</v>
      </c>
      <c r="L1" s="137" t="s">
        <v>8940</v>
      </c>
      <c r="M1" s="446" t="s">
        <v>8941</v>
      </c>
      <c r="N1" s="446" t="s">
        <v>8942</v>
      </c>
      <c r="O1" s="415"/>
      <c r="P1" s="415"/>
      <c r="Q1" s="415"/>
      <c r="R1" s="415"/>
      <c r="S1" s="415"/>
      <c r="T1" s="415"/>
      <c r="U1" s="415"/>
      <c r="V1" s="415"/>
      <c r="W1" s="415"/>
    </row>
    <row r="2">
      <c r="A2" s="416" t="s">
        <v>8943</v>
      </c>
      <c r="B2" s="416" t="s">
        <v>8944</v>
      </c>
      <c r="C2" s="119" t="s">
        <v>8945</v>
      </c>
      <c r="D2" s="119" t="str">
        <f>IFERROR(__xludf.DUMMYFUNCTION("GOOGLETRANSLATE(B2,""zh-tw"",""ja"")"),"1 - Google で「NVIDIA APP インストール」を検索し、NVIDIA アプリケーションを起動します。")</f>
        <v>1 - Google で「NVIDIA APP インストール」を検索し、NVIDIA アプリケーションを起動します。</v>
      </c>
      <c r="E2" s="447" t="s">
        <v>8946</v>
      </c>
      <c r="F2" s="210" t="str">
        <f>IFERROR(__xludf.DUMMYFUNCTION("GOOGLETRANSLATE(B2,""zh-tw"",""en"")"),"1 - Search for ""NVIDIA APP install"" on Google and launch the NVIDIA application.")</f>
        <v>1 - Search for "NVIDIA APP install" on Google and launch the NVIDIA application.</v>
      </c>
      <c r="G2" s="448" t="s">
        <v>8947</v>
      </c>
      <c r="H2" s="417" t="str">
        <f>IFERROR(__xludf.DUMMYFUNCTION("GOOGLETRANSLATE(B2,""zh-tw"",""zh"")"),"1 - 在google上搜寻 NVIDIA APP安装，并启动 NVIDIA 应用程式。")</f>
        <v>1 - 在google上搜寻 NVIDIA APP安装，并启动 NVIDIA 应用程式。</v>
      </c>
      <c r="I2" s="418" t="s">
        <v>8948</v>
      </c>
      <c r="J2" s="418" t="s">
        <v>8949</v>
      </c>
      <c r="K2" s="189" t="s">
        <v>8950</v>
      </c>
      <c r="L2" s="189" t="s">
        <v>8951</v>
      </c>
      <c r="M2" s="449" t="s">
        <v>8952</v>
      </c>
      <c r="N2" s="449" t="s">
        <v>8953</v>
      </c>
      <c r="O2" s="152"/>
      <c r="P2" s="152"/>
      <c r="Q2" s="152"/>
      <c r="R2" s="152"/>
      <c r="S2" s="152"/>
      <c r="T2" s="152"/>
      <c r="U2" s="152"/>
      <c r="V2" s="152"/>
      <c r="W2" s="152"/>
    </row>
    <row r="3">
      <c r="A3" s="416" t="s">
        <v>8954</v>
      </c>
      <c r="B3" s="416" t="s">
        <v>8955</v>
      </c>
      <c r="C3" s="119" t="s">
        <v>8956</v>
      </c>
      <c r="D3" s="119" t="str">
        <f>IFERROR(__xludf.DUMMYFUNCTION("GOOGLETRANSLATE(B3,""zh-tw"",""ja"")"),"2 - 最新バージョンに更新した後、NVIDIA アプリケーションを再起動します。")</f>
        <v>2 - 最新バージョンに更新した後、NVIDIA アプリケーションを再起動します。</v>
      </c>
      <c r="E3" s="447" t="s">
        <v>8957</v>
      </c>
      <c r="F3" s="210" t="str">
        <f>IFERROR(__xludf.DUMMYFUNCTION("GOOGLETRANSLATE(B3,""zh-tw"",""en"")"),"2 - Restart the NVIDIA application after updating to the latest version.")</f>
        <v>2 - Restart the NVIDIA application after updating to the latest version.</v>
      </c>
      <c r="G3" s="448" t="s">
        <v>8958</v>
      </c>
      <c r="H3" s="417" t="str">
        <f>IFERROR(__xludf.DUMMYFUNCTION("GOOGLETRANSLATE(B3,""zh-tw"",""zh"")"),"2 - 在更新至最新版本后重新启动 NVIDIA 应用程式。")</f>
        <v>2 - 在更新至最新版本后重新启动 NVIDIA 应用程式。</v>
      </c>
      <c r="I3" s="418" t="s">
        <v>8959</v>
      </c>
      <c r="J3" s="418" t="s">
        <v>8960</v>
      </c>
      <c r="K3" s="189" t="s">
        <v>8961</v>
      </c>
      <c r="L3" s="189" t="s">
        <v>8962</v>
      </c>
      <c r="M3" s="449" t="s">
        <v>8963</v>
      </c>
      <c r="N3" s="449" t="s">
        <v>8964</v>
      </c>
      <c r="O3" s="152"/>
      <c r="P3" s="152"/>
      <c r="Q3" s="152"/>
      <c r="R3" s="152"/>
      <c r="S3" s="152"/>
      <c r="T3" s="152"/>
      <c r="U3" s="152"/>
      <c r="V3" s="152"/>
      <c r="W3" s="152"/>
    </row>
    <row r="4">
      <c r="A4" s="416" t="s">
        <v>8965</v>
      </c>
      <c r="B4" s="416" t="s">
        <v>8966</v>
      </c>
      <c r="C4" s="119" t="s">
        <v>8967</v>
      </c>
      <c r="D4" s="119" t="str">
        <f>IFERROR(__xludf.DUMMYFUNCTION("GOOGLETRANSLATE(B4,""zh-tw"",""ja"")"),"3 - NVIDIA アプリケーションで、グラフィック設定領域に移動します。")</f>
        <v>3 - NVIDIA アプリケーションで、グラフィック設定領域に移動します。</v>
      </c>
      <c r="E4" s="447" t="s">
        <v>8968</v>
      </c>
      <c r="F4" s="210" t="str">
        <f>IFERROR(__xludf.DUMMYFUNCTION("GOOGLETRANSLATE(B4,""zh-tw"",""en"")"),"3 - In the NVIDIA application, go to the graphics settings area.")</f>
        <v>3 - In the NVIDIA application, go to the graphics settings area.</v>
      </c>
      <c r="G4" s="448" t="s">
        <v>8969</v>
      </c>
      <c r="H4" s="417" t="str">
        <f>IFERROR(__xludf.DUMMYFUNCTION("GOOGLETRANSLATE(B4,""zh-tw"",""zh"")"),"3 - 在NVIDIA应用程式中，进入图形设置区域。")</f>
        <v>3 - 在NVIDIA应用程式中，进入图形设置区域。</v>
      </c>
      <c r="I4" s="418" t="s">
        <v>8970</v>
      </c>
      <c r="J4" s="418" t="s">
        <v>8971</v>
      </c>
      <c r="K4" s="189" t="s">
        <v>8972</v>
      </c>
      <c r="L4" s="189" t="s">
        <v>8973</v>
      </c>
      <c r="M4" s="449" t="s">
        <v>8974</v>
      </c>
      <c r="N4" s="449" t="s">
        <v>8975</v>
      </c>
      <c r="O4" s="152"/>
      <c r="P4" s="152"/>
      <c r="Q4" s="152"/>
      <c r="R4" s="152"/>
      <c r="S4" s="152"/>
      <c r="T4" s="152"/>
      <c r="U4" s="152"/>
      <c r="V4" s="152"/>
      <c r="W4" s="152"/>
    </row>
    <row r="5">
      <c r="A5" s="416" t="s">
        <v>8976</v>
      </c>
      <c r="B5" s="416" t="s">
        <v>8977</v>
      </c>
      <c r="C5" s="119" t="s">
        <v>8978</v>
      </c>
      <c r="D5" s="119"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47" t="s">
        <v>8979</v>
      </c>
      <c r="F5" s="210" t="str">
        <f>IFERROR(__xludf.DUMMYFUNCTION("GOOGLETRANSLATE(B5,""zh-tw"",""en"")"),"4 - In ""Program Settings"", click the three dots, select ""Add Program"", and then find the game's executable file.")</f>
        <v>4 - In "Program Settings", click the three dots, select "Add Program", and then find the game's executable file.</v>
      </c>
      <c r="G5" s="448" t="s">
        <v>8980</v>
      </c>
      <c r="H5" s="417" t="str">
        <f>IFERROR(__xludf.DUMMYFUNCTION("GOOGLETRANSLATE(B5,""zh-tw"",""zh"")"),"4 - 在「程式设定」中点击三个点，选择「新增程式」，然后寻找游戏的执行档。")</f>
        <v>4 - 在「程式设定」中点击三个点，选择「新增程式」，然后寻找游戏的执行档。</v>
      </c>
      <c r="I5" s="418" t="s">
        <v>8981</v>
      </c>
      <c r="J5" s="418" t="s">
        <v>8982</v>
      </c>
      <c r="K5" s="189" t="s">
        <v>8983</v>
      </c>
      <c r="L5" s="189" t="s">
        <v>8984</v>
      </c>
      <c r="M5" s="449" t="s">
        <v>8985</v>
      </c>
      <c r="N5" s="449" t="s">
        <v>8986</v>
      </c>
      <c r="O5" s="152"/>
      <c r="P5" s="152"/>
      <c r="Q5" s="152"/>
      <c r="R5" s="152"/>
      <c r="S5" s="152"/>
      <c r="T5" s="152"/>
      <c r="U5" s="152"/>
      <c r="V5" s="152"/>
      <c r="W5" s="152"/>
    </row>
    <row r="6">
      <c r="A6" s="416" t="s">
        <v>8987</v>
      </c>
      <c r="B6" s="416" t="s">
        <v>8988</v>
      </c>
      <c r="C6" s="119" t="s">
        <v>8989</v>
      </c>
      <c r="D6" s="119" t="str">
        <f>IFERROR(__xludf.DUMMYFUNCTION("GOOGLETRANSLATE(B6,""zh-tw"",""ja"")"),"5 - 「低遅延モード」を「超高」に、「電源管理モード」を「最適電力」に設定します。")</f>
        <v>5 - 「低遅延モード」を「超高」に、「電源管理モード」を「最適電力」に設定します。</v>
      </c>
      <c r="E6" s="447" t="s">
        <v>8990</v>
      </c>
      <c r="F6" s="210" t="str">
        <f>IFERROR(__xludf.DUMMYFUNCTION("GOOGLETRANSLATE(B6,""zh-tw"",""en"")"),"5 - Set ""Low Latency Mode"" to ""Ultra High"" and ""Power Management Mode"" to ""Optimal Power"".")</f>
        <v>5 - Set "Low Latency Mode" to "Ultra High" and "Power Management Mode" to "Optimal Power".</v>
      </c>
      <c r="G6" s="448" t="s">
        <v>8991</v>
      </c>
      <c r="H6" s="417" t="str">
        <f>IFERROR(__xludf.DUMMYFUNCTION("GOOGLETRANSLATE(B6,""zh-tw"",""zh"")"),"5 - 将「低延迟模式」设为「超高」，电源管理模式设为「最佳电源」。")</f>
        <v>5 - 将「低延迟模式」设为「超高」，电源管理模式设为「最佳电源」。</v>
      </c>
      <c r="I6" s="418" t="s">
        <v>8992</v>
      </c>
      <c r="J6" s="418" t="s">
        <v>8993</v>
      </c>
      <c r="K6" s="189" t="s">
        <v>8994</v>
      </c>
      <c r="L6" s="189" t="s">
        <v>8995</v>
      </c>
      <c r="M6" s="449" t="s">
        <v>8996</v>
      </c>
      <c r="N6" s="449" t="s">
        <v>8997</v>
      </c>
      <c r="O6" s="152"/>
      <c r="P6" s="152"/>
      <c r="Q6" s="152"/>
      <c r="R6" s="152"/>
      <c r="S6" s="152"/>
      <c r="T6" s="152"/>
      <c r="U6" s="152"/>
      <c r="V6" s="152"/>
      <c r="W6" s="152"/>
    </row>
    <row r="7">
      <c r="A7" s="416" t="s">
        <v>8998</v>
      </c>
      <c r="B7" s="416" t="s">
        <v>8999</v>
      </c>
      <c r="C7" s="119" t="s">
        <v>9000</v>
      </c>
      <c r="D7" s="119" t="str">
        <f>IFERROR(__xludf.DUMMYFUNCTION("GOOGLETRANSLATE(B7,""zh-tw"",""ja"")"),"6-「垂直同期」を「高速」に設定します。")</f>
        <v>6-「垂直同期」を「高速」に設定します。</v>
      </c>
      <c r="E7" s="447" t="s">
        <v>9001</v>
      </c>
      <c r="F7" s="210" t="str">
        <f>IFERROR(__xludf.DUMMYFUNCTION("GOOGLETRANSLATE(B7,""zh-tw"",""en"")"),"6- Set ""Vertical Sync"" to ""Fast"".")</f>
        <v>6- Set "Vertical Sync" to "Fast".</v>
      </c>
      <c r="G7" s="448" t="s">
        <v>9002</v>
      </c>
      <c r="H7" s="417" t="str">
        <f>IFERROR(__xludf.DUMMYFUNCTION("GOOGLETRANSLATE(B7,""zh-tw"",""zh"")"),"6- 将「垂直同步」设为「快速」。")</f>
        <v>6- 将「垂直同步」设为「快速」。</v>
      </c>
      <c r="I7" s="418" t="s">
        <v>9003</v>
      </c>
      <c r="J7" s="418" t="s">
        <v>9004</v>
      </c>
      <c r="K7" s="189" t="s">
        <v>9005</v>
      </c>
      <c r="L7" s="189" t="s">
        <v>9006</v>
      </c>
      <c r="M7" s="449" t="s">
        <v>9007</v>
      </c>
      <c r="N7" s="449" t="s">
        <v>9008</v>
      </c>
      <c r="O7" s="152"/>
      <c r="P7" s="152"/>
      <c r="Q7" s="152"/>
      <c r="R7" s="152"/>
      <c r="S7" s="152"/>
      <c r="T7" s="152"/>
      <c r="U7" s="152"/>
      <c r="V7" s="152"/>
      <c r="W7" s="152"/>
    </row>
    <row r="8">
      <c r="A8" s="416" t="s">
        <v>9009</v>
      </c>
      <c r="B8" s="416" t="s">
        <v>9010</v>
      </c>
      <c r="C8" s="119" t="s">
        <v>9011</v>
      </c>
      <c r="D8" s="119"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47" t="s">
        <v>9012</v>
      </c>
      <c r="F8" s="210" t="str">
        <f>IFERROR(__xludf.DUMMYFUNCTION("GOOGLETRANSLATE(B8,""zh-tw"",""en"")"),"7 - If your computer cannot handle these options, please choose the best option.")</f>
        <v>7 - If your computer cannot handle these options, please choose the best option.</v>
      </c>
      <c r="G8" s="448" t="s">
        <v>9013</v>
      </c>
      <c r="H8" s="417" t="str">
        <f>IFERROR(__xludf.DUMMYFUNCTION("GOOGLETRANSLATE(B8,""zh-tw"",""zh"")"),"7 - 如果你的电脑无法负荷这些选项，请依照最佳的选项即可。")</f>
        <v>7 - 如果你的电脑无法负荷这些选项，请依照最佳的选项即可。</v>
      </c>
      <c r="I8" s="418" t="s">
        <v>9014</v>
      </c>
      <c r="J8" s="418" t="s">
        <v>9015</v>
      </c>
      <c r="K8" s="189" t="s">
        <v>9016</v>
      </c>
      <c r="L8" s="189" t="s">
        <v>9017</v>
      </c>
      <c r="M8" s="449" t="s">
        <v>9018</v>
      </c>
      <c r="N8" s="449" t="s">
        <v>9019</v>
      </c>
      <c r="O8" s="152"/>
      <c r="P8" s="152"/>
      <c r="Q8" s="152"/>
      <c r="R8" s="152"/>
      <c r="S8" s="152"/>
      <c r="T8" s="152"/>
      <c r="U8" s="152"/>
      <c r="V8" s="152"/>
      <c r="W8" s="152"/>
    </row>
    <row r="9">
      <c r="A9" s="416" t="s">
        <v>9020</v>
      </c>
      <c r="B9" s="416" t="s">
        <v>9021</v>
      </c>
      <c r="C9" s="119" t="s">
        <v>9022</v>
      </c>
      <c r="D9" s="119" t="str">
        <f>IFERROR(__xludf.DUMMYFUNCTION("GOOGLETRANSLATE(B9,""zh-tw"",""ja"")"),"8- ゲームを起動すると、その優れた安定性を体験できます。")</f>
        <v>8- ゲームを起動すると、その優れた安定性を体験できます。</v>
      </c>
      <c r="E9" s="447" t="s">
        <v>9023</v>
      </c>
      <c r="F9" s="210" t="str">
        <f>IFERROR(__xludf.DUMMYFUNCTION("GOOGLETRANSLATE(B9,""zh-tw"",""en"")"),"8- Now, launch the game and you will experience its excellent stability.")</f>
        <v>8- Now, launch the game and you will experience its excellent stability.</v>
      </c>
      <c r="G9" s="448" t="s">
        <v>9024</v>
      </c>
      <c r="H9" s="417" t="str">
        <f>IFERROR(__xludf.DUMMYFUNCTION("GOOGLETRANSLATE(B9,""zh-tw"",""zh"")"),"8- 现在，将游戏启动，你能体验到良好的稳定性能。")</f>
        <v>8- 现在，将游戏启动，你能体验到良好的稳定性能。</v>
      </c>
      <c r="I9" s="418" t="s">
        <v>9025</v>
      </c>
      <c r="J9" s="418" t="s">
        <v>9026</v>
      </c>
      <c r="K9" s="189" t="s">
        <v>9027</v>
      </c>
      <c r="L9" s="189" t="s">
        <v>9028</v>
      </c>
      <c r="M9" s="449" t="s">
        <v>9023</v>
      </c>
      <c r="N9" s="449" t="s">
        <v>9029</v>
      </c>
      <c r="O9" s="152"/>
      <c r="P9" s="152"/>
      <c r="Q9" s="152"/>
      <c r="R9" s="152"/>
      <c r="S9" s="152"/>
      <c r="T9" s="152"/>
      <c r="U9" s="152"/>
      <c r="V9" s="152"/>
      <c r="W9" s="152"/>
    </row>
    <row r="10">
      <c r="A10" s="416"/>
      <c r="B10" s="450" t="s">
        <v>9030</v>
      </c>
      <c r="C10" s="183"/>
      <c r="D10" s="451" t="s">
        <v>9031</v>
      </c>
      <c r="E10" s="452"/>
      <c r="F10" s="453" t="s">
        <v>8914</v>
      </c>
      <c r="G10" s="417"/>
      <c r="H10" s="454" t="s">
        <v>9032</v>
      </c>
      <c r="I10" s="455"/>
      <c r="J10" s="456" t="s">
        <v>8916</v>
      </c>
      <c r="K10" s="190"/>
      <c r="L10" s="426" t="str">
        <f>HYPERLINK("https://www.youtube.com/watch?v=9NSNcMB5M2o&amp;ab_channel=gabrielb", "Video Youtube tham khảo")</f>
        <v>Video Youtube tham khảo</v>
      </c>
      <c r="M10" s="457"/>
      <c r="N10" s="458" t="s">
        <v>9033</v>
      </c>
      <c r="O10" s="152"/>
      <c r="P10" s="152"/>
      <c r="Q10" s="152"/>
      <c r="R10" s="152"/>
      <c r="S10" s="152"/>
      <c r="T10" s="152"/>
      <c r="U10" s="152"/>
      <c r="V10" s="152"/>
      <c r="W10" s="152"/>
    </row>
    <row r="11">
      <c r="A11" s="428"/>
      <c r="B11" s="428"/>
      <c r="C11" s="152"/>
      <c r="D11" s="152"/>
      <c r="E11" s="152"/>
      <c r="F11" s="428"/>
      <c r="G11" s="152"/>
      <c r="H11" s="152"/>
      <c r="I11" s="152"/>
      <c r="J11" s="360"/>
      <c r="K11" s="248"/>
      <c r="L11" s="248"/>
      <c r="M11" s="152"/>
      <c r="N11" s="152"/>
      <c r="O11" s="152"/>
      <c r="P11" s="152"/>
      <c r="Q11" s="152"/>
      <c r="R11" s="152"/>
      <c r="S11" s="152"/>
      <c r="T11" s="152"/>
      <c r="U11" s="152"/>
      <c r="V11" s="152"/>
      <c r="W11" s="152"/>
    </row>
    <row r="12">
      <c r="A12" s="428"/>
      <c r="B12" s="428"/>
      <c r="C12" s="152"/>
      <c r="D12" s="152"/>
      <c r="E12" s="152"/>
      <c r="F12" s="152"/>
      <c r="G12" s="152"/>
      <c r="H12" s="152"/>
      <c r="I12" s="152"/>
      <c r="J12" s="152"/>
      <c r="K12" s="248"/>
      <c r="L12" s="248"/>
      <c r="M12" s="152"/>
      <c r="N12" s="152"/>
      <c r="O12" s="152"/>
      <c r="P12" s="152"/>
      <c r="Q12" s="152"/>
      <c r="R12" s="152"/>
      <c r="S12" s="152"/>
      <c r="T12" s="152"/>
      <c r="U12" s="152"/>
      <c r="V12" s="152"/>
      <c r="W12" s="152"/>
    </row>
    <row r="13">
      <c r="A13" s="428"/>
      <c r="B13" s="428"/>
      <c r="C13" s="152"/>
      <c r="D13" s="152"/>
      <c r="E13" s="152"/>
      <c r="F13" s="152"/>
      <c r="G13" s="152"/>
      <c r="H13" s="152"/>
      <c r="I13" s="152"/>
      <c r="J13" s="152"/>
      <c r="K13" s="248"/>
      <c r="L13" s="248"/>
      <c r="M13" s="152"/>
      <c r="N13" s="152"/>
      <c r="O13" s="152"/>
      <c r="P13" s="152"/>
      <c r="Q13" s="152"/>
      <c r="R13" s="152"/>
      <c r="S13" s="152"/>
      <c r="T13" s="152"/>
      <c r="U13" s="152"/>
      <c r="V13" s="152"/>
      <c r="W13" s="152"/>
    </row>
    <row r="14">
      <c r="A14" s="428"/>
      <c r="B14" s="428"/>
      <c r="C14" s="152"/>
      <c r="D14" s="152"/>
      <c r="E14" s="152"/>
      <c r="F14" s="152"/>
      <c r="G14" s="152"/>
      <c r="H14" s="152"/>
      <c r="I14" s="152"/>
      <c r="J14" s="152"/>
      <c r="K14" s="248"/>
      <c r="L14" s="248"/>
      <c r="M14" s="152"/>
      <c r="N14" s="152"/>
      <c r="O14" s="152"/>
      <c r="P14" s="152"/>
      <c r="Q14" s="152"/>
      <c r="R14" s="152"/>
      <c r="S14" s="152"/>
      <c r="T14" s="152"/>
      <c r="U14" s="152"/>
      <c r="V14" s="152"/>
      <c r="W14" s="152"/>
    </row>
    <row r="15">
      <c r="A15" s="428"/>
      <c r="B15" s="428"/>
      <c r="C15" s="152"/>
      <c r="D15" s="152"/>
      <c r="E15" s="152"/>
      <c r="F15" s="152"/>
      <c r="G15" s="152"/>
      <c r="H15" s="152"/>
      <c r="I15" s="152"/>
      <c r="J15" s="152"/>
      <c r="K15" s="248"/>
      <c r="L15" s="248"/>
      <c r="M15" s="152"/>
      <c r="N15" s="152"/>
      <c r="O15" s="152"/>
      <c r="P15" s="152"/>
      <c r="Q15" s="152"/>
      <c r="R15" s="152"/>
      <c r="S15" s="152"/>
      <c r="T15" s="152"/>
      <c r="U15" s="152"/>
      <c r="V15" s="152"/>
      <c r="W15" s="152"/>
    </row>
    <row r="16">
      <c r="A16" s="428"/>
      <c r="B16" s="428"/>
      <c r="C16" s="152"/>
      <c r="D16" s="152"/>
      <c r="E16" s="152"/>
      <c r="F16" s="152"/>
      <c r="G16" s="152"/>
      <c r="H16" s="152"/>
      <c r="I16" s="152"/>
      <c r="J16" s="152"/>
      <c r="K16" s="248"/>
      <c r="L16" s="248"/>
      <c r="M16" s="152"/>
      <c r="N16" s="152"/>
      <c r="O16" s="152"/>
      <c r="P16" s="152"/>
      <c r="Q16" s="152"/>
      <c r="R16" s="152"/>
      <c r="S16" s="152"/>
      <c r="T16" s="152"/>
      <c r="U16" s="152"/>
      <c r="V16" s="152"/>
      <c r="W16" s="152"/>
    </row>
    <row r="17">
      <c r="A17" s="428"/>
      <c r="B17" s="428"/>
      <c r="C17" s="152"/>
      <c r="D17" s="152"/>
      <c r="E17" s="152"/>
      <c r="F17" s="152"/>
      <c r="G17" s="152"/>
      <c r="H17" s="152"/>
      <c r="I17" s="152"/>
      <c r="J17" s="152"/>
      <c r="K17" s="248"/>
      <c r="L17" s="248"/>
      <c r="M17" s="152"/>
      <c r="N17" s="152"/>
      <c r="O17" s="152"/>
      <c r="P17" s="152"/>
      <c r="Q17" s="152"/>
      <c r="R17" s="152"/>
      <c r="S17" s="152"/>
      <c r="T17" s="152"/>
      <c r="U17" s="152"/>
      <c r="V17" s="152"/>
      <c r="W17" s="152"/>
    </row>
    <row r="18">
      <c r="A18" s="428"/>
      <c r="B18" s="428"/>
      <c r="C18" s="152"/>
      <c r="D18" s="152"/>
      <c r="E18" s="152"/>
      <c r="F18" s="152"/>
      <c r="G18" s="152"/>
      <c r="H18" s="152"/>
      <c r="I18" s="152"/>
      <c r="J18" s="152"/>
      <c r="K18" s="248"/>
      <c r="L18" s="248"/>
      <c r="M18" s="152"/>
      <c r="N18" s="152"/>
      <c r="O18" s="152"/>
      <c r="P18" s="152"/>
      <c r="Q18" s="152"/>
      <c r="R18" s="152"/>
      <c r="S18" s="152"/>
      <c r="T18" s="152"/>
      <c r="U18" s="152"/>
      <c r="V18" s="152"/>
      <c r="W18" s="152"/>
    </row>
    <row r="19">
      <c r="A19" s="428"/>
      <c r="B19" s="428"/>
      <c r="C19" s="152"/>
      <c r="D19" s="152"/>
      <c r="E19" s="152"/>
      <c r="F19" s="152"/>
      <c r="G19" s="152"/>
      <c r="H19" s="152"/>
      <c r="I19" s="152"/>
      <c r="J19" s="152"/>
      <c r="K19" s="248"/>
      <c r="L19" s="248"/>
      <c r="M19" s="152"/>
      <c r="N19" s="152"/>
      <c r="O19" s="152"/>
      <c r="P19" s="152"/>
      <c r="Q19" s="152"/>
      <c r="R19" s="152"/>
      <c r="S19" s="152"/>
      <c r="T19" s="152"/>
      <c r="U19" s="152"/>
      <c r="V19" s="152"/>
      <c r="W19" s="152"/>
    </row>
    <row r="20">
      <c r="A20" s="428"/>
      <c r="B20" s="428"/>
      <c r="C20" s="152"/>
      <c r="D20" s="152"/>
      <c r="E20" s="152"/>
      <c r="F20" s="152"/>
      <c r="G20" s="152"/>
      <c r="H20" s="152"/>
      <c r="I20" s="152"/>
      <c r="J20" s="152"/>
      <c r="K20" s="248"/>
      <c r="L20" s="248"/>
      <c r="M20" s="152"/>
      <c r="N20" s="152"/>
      <c r="O20" s="152"/>
      <c r="P20" s="152"/>
      <c r="Q20" s="152"/>
      <c r="R20" s="152"/>
      <c r="S20" s="152"/>
      <c r="T20" s="152"/>
      <c r="U20" s="152"/>
      <c r="V20" s="152"/>
      <c r="W20" s="152"/>
    </row>
    <row r="21">
      <c r="A21" s="428"/>
      <c r="B21" s="428"/>
      <c r="C21" s="152"/>
      <c r="D21" s="152"/>
      <c r="E21" s="152"/>
      <c r="F21" s="152"/>
      <c r="G21" s="152"/>
      <c r="H21" s="152"/>
      <c r="I21" s="152"/>
      <c r="J21" s="152"/>
      <c r="K21" s="248"/>
      <c r="L21" s="248"/>
      <c r="M21" s="152"/>
      <c r="N21" s="152"/>
      <c r="O21" s="152"/>
      <c r="P21" s="152"/>
      <c r="Q21" s="152"/>
      <c r="R21" s="152"/>
      <c r="S21" s="152"/>
      <c r="T21" s="152"/>
      <c r="U21" s="152"/>
      <c r="V21" s="152"/>
      <c r="W21" s="152"/>
    </row>
    <row r="22">
      <c r="A22" s="459"/>
      <c r="B22" s="428"/>
      <c r="C22" s="152"/>
      <c r="D22" s="152"/>
      <c r="E22" s="152"/>
      <c r="F22" s="152"/>
      <c r="G22" s="152"/>
      <c r="H22" s="152"/>
      <c r="I22" s="152"/>
      <c r="J22" s="152"/>
      <c r="K22" s="248"/>
      <c r="L22" s="248"/>
      <c r="M22" s="152"/>
      <c r="N22" s="152"/>
      <c r="O22" s="152"/>
      <c r="P22" s="152"/>
      <c r="Q22" s="152"/>
      <c r="R22" s="152"/>
      <c r="S22" s="152"/>
      <c r="T22" s="152"/>
      <c r="U22" s="152"/>
      <c r="V22" s="152"/>
      <c r="W22" s="152"/>
    </row>
    <row r="23">
      <c r="A23" s="428"/>
      <c r="B23" s="428"/>
      <c r="C23" s="152"/>
      <c r="D23" s="152"/>
      <c r="E23" s="152"/>
      <c r="F23" s="152"/>
      <c r="G23" s="152"/>
      <c r="H23" s="152"/>
      <c r="I23" s="152"/>
      <c r="J23" s="152"/>
      <c r="K23" s="248"/>
      <c r="L23" s="248"/>
      <c r="M23" s="152"/>
      <c r="N23" s="152"/>
      <c r="O23" s="152"/>
      <c r="P23" s="152"/>
      <c r="Q23" s="152"/>
      <c r="R23" s="152"/>
      <c r="S23" s="152"/>
      <c r="T23" s="152"/>
      <c r="U23" s="152"/>
      <c r="V23" s="152"/>
      <c r="W23" s="152"/>
    </row>
    <row r="24">
      <c r="A24" s="428"/>
      <c r="B24" s="428"/>
      <c r="C24" s="152"/>
      <c r="D24" s="152"/>
      <c r="E24" s="152"/>
      <c r="F24" s="152"/>
      <c r="G24" s="152"/>
      <c r="H24" s="152"/>
      <c r="I24" s="152"/>
      <c r="J24" s="152"/>
      <c r="K24" s="248"/>
      <c r="L24" s="248"/>
      <c r="M24" s="152"/>
      <c r="N24" s="152"/>
      <c r="O24" s="152"/>
      <c r="P24" s="152"/>
      <c r="Q24" s="152"/>
      <c r="R24" s="152"/>
      <c r="S24" s="152"/>
      <c r="T24" s="152"/>
      <c r="U24" s="152"/>
      <c r="V24" s="152"/>
      <c r="W24" s="152"/>
    </row>
    <row r="25">
      <c r="A25" s="428"/>
      <c r="B25" s="428"/>
      <c r="C25" s="152"/>
      <c r="D25" s="152"/>
      <c r="E25" s="152"/>
      <c r="F25" s="152"/>
      <c r="G25" s="152"/>
      <c r="H25" s="152"/>
      <c r="I25" s="152"/>
      <c r="J25" s="152"/>
      <c r="K25" s="248"/>
      <c r="L25" s="248"/>
      <c r="M25" s="152"/>
      <c r="N25" s="152"/>
      <c r="O25" s="152"/>
      <c r="P25" s="152"/>
      <c r="Q25" s="152"/>
      <c r="R25" s="152"/>
      <c r="S25" s="152"/>
      <c r="T25" s="152"/>
      <c r="U25" s="152"/>
      <c r="V25" s="152"/>
      <c r="W25" s="152"/>
    </row>
    <row r="26">
      <c r="A26" s="428"/>
      <c r="B26" s="428"/>
      <c r="C26" s="152"/>
      <c r="D26" s="152"/>
      <c r="E26" s="152"/>
      <c r="F26" s="152"/>
      <c r="G26" s="152"/>
      <c r="H26" s="152"/>
      <c r="I26" s="152"/>
      <c r="J26" s="152"/>
      <c r="K26" s="248"/>
      <c r="L26" s="248"/>
      <c r="M26" s="152"/>
      <c r="N26" s="152"/>
      <c r="O26" s="152"/>
      <c r="P26" s="152"/>
      <c r="Q26" s="152"/>
      <c r="R26" s="152"/>
      <c r="S26" s="152"/>
      <c r="T26" s="152"/>
      <c r="U26" s="152"/>
      <c r="V26" s="152"/>
      <c r="W26" s="152"/>
    </row>
    <row r="27">
      <c r="A27" s="428"/>
      <c r="B27" s="428"/>
      <c r="C27" s="152"/>
      <c r="D27" s="152"/>
      <c r="E27" s="152"/>
      <c r="F27" s="152"/>
      <c r="G27" s="152"/>
      <c r="H27" s="152"/>
      <c r="I27" s="152"/>
      <c r="J27" s="152"/>
      <c r="K27" s="248"/>
      <c r="L27" s="248"/>
      <c r="M27" s="152"/>
      <c r="N27" s="152"/>
      <c r="O27" s="152"/>
      <c r="P27" s="152"/>
      <c r="Q27" s="152"/>
      <c r="R27" s="152"/>
      <c r="S27" s="152"/>
      <c r="T27" s="152"/>
      <c r="U27" s="152"/>
      <c r="V27" s="152"/>
      <c r="W27" s="152"/>
    </row>
    <row r="28">
      <c r="A28" s="428"/>
      <c r="B28" s="428"/>
      <c r="C28" s="152"/>
      <c r="D28" s="152"/>
      <c r="E28" s="152"/>
      <c r="F28" s="152"/>
      <c r="G28" s="152"/>
      <c r="H28" s="152"/>
      <c r="I28" s="152"/>
      <c r="J28" s="152"/>
      <c r="K28" s="248"/>
      <c r="L28" s="248"/>
      <c r="M28" s="152"/>
      <c r="N28" s="152"/>
      <c r="O28" s="152"/>
      <c r="P28" s="152"/>
      <c r="Q28" s="152"/>
      <c r="R28" s="152"/>
      <c r="S28" s="152"/>
      <c r="T28" s="152"/>
      <c r="U28" s="152"/>
      <c r="V28" s="152"/>
      <c r="W28" s="152"/>
    </row>
    <row r="29">
      <c r="A29" s="428"/>
      <c r="B29" s="428"/>
      <c r="C29" s="152"/>
      <c r="D29" s="152"/>
      <c r="E29" s="152"/>
      <c r="F29" s="152"/>
      <c r="G29" s="152"/>
      <c r="H29" s="152"/>
      <c r="I29" s="152"/>
      <c r="J29" s="152"/>
      <c r="K29" s="248"/>
      <c r="L29" s="248"/>
      <c r="M29" s="152"/>
      <c r="N29" s="152"/>
      <c r="O29" s="152"/>
      <c r="P29" s="152"/>
      <c r="Q29" s="152"/>
      <c r="R29" s="152"/>
      <c r="S29" s="152"/>
      <c r="T29" s="152"/>
      <c r="U29" s="152"/>
      <c r="V29" s="152"/>
      <c r="W29" s="152"/>
    </row>
    <row r="30">
      <c r="A30" s="428"/>
      <c r="B30" s="428"/>
      <c r="C30" s="152"/>
      <c r="D30" s="152"/>
      <c r="E30" s="152"/>
      <c r="F30" s="152"/>
      <c r="G30" s="152"/>
      <c r="H30" s="152"/>
      <c r="I30" s="152"/>
      <c r="J30" s="152"/>
      <c r="K30" s="248"/>
      <c r="L30" s="248"/>
      <c r="M30" s="152"/>
      <c r="N30" s="152"/>
      <c r="O30" s="152"/>
      <c r="P30" s="152"/>
      <c r="Q30" s="152"/>
      <c r="R30" s="152"/>
      <c r="S30" s="152"/>
      <c r="T30" s="152"/>
      <c r="U30" s="152"/>
      <c r="V30" s="152"/>
      <c r="W30" s="152"/>
    </row>
    <row r="31">
      <c r="A31" s="428"/>
      <c r="B31" s="428"/>
      <c r="C31" s="152"/>
      <c r="D31" s="152"/>
      <c r="E31" s="152"/>
      <c r="F31" s="152"/>
      <c r="G31" s="152"/>
      <c r="H31" s="152"/>
      <c r="I31" s="152"/>
      <c r="J31" s="152"/>
      <c r="K31" s="248"/>
      <c r="L31" s="248"/>
      <c r="M31" s="152"/>
      <c r="N31" s="152"/>
      <c r="O31" s="152"/>
      <c r="P31" s="152"/>
      <c r="Q31" s="152"/>
      <c r="R31" s="152"/>
      <c r="S31" s="152"/>
      <c r="T31" s="152"/>
      <c r="U31" s="152"/>
      <c r="V31" s="152"/>
      <c r="W31" s="152"/>
    </row>
    <row r="32">
      <c r="A32" s="428"/>
      <c r="B32" s="428"/>
      <c r="C32" s="152"/>
      <c r="D32" s="152"/>
      <c r="E32" s="152"/>
      <c r="F32" s="152"/>
      <c r="G32" s="152"/>
      <c r="H32" s="152"/>
      <c r="I32" s="152"/>
      <c r="J32" s="152"/>
      <c r="K32" s="248"/>
      <c r="L32" s="248"/>
      <c r="M32" s="152"/>
      <c r="N32" s="152"/>
      <c r="O32" s="152"/>
      <c r="P32" s="152"/>
      <c r="Q32" s="152"/>
      <c r="R32" s="152"/>
      <c r="S32" s="152"/>
      <c r="T32" s="152"/>
      <c r="U32" s="152"/>
      <c r="V32" s="152"/>
      <c r="W32" s="152"/>
    </row>
    <row r="33">
      <c r="A33" s="428"/>
      <c r="B33" s="428"/>
      <c r="C33" s="152"/>
      <c r="D33" s="152"/>
      <c r="E33" s="152"/>
      <c r="F33" s="152"/>
      <c r="G33" s="152"/>
      <c r="H33" s="152"/>
      <c r="I33" s="152"/>
      <c r="J33" s="152"/>
      <c r="K33" s="248"/>
      <c r="L33" s="248"/>
      <c r="M33" s="152"/>
      <c r="N33" s="152"/>
      <c r="O33" s="152"/>
      <c r="P33" s="152"/>
      <c r="Q33" s="152"/>
      <c r="R33" s="152"/>
      <c r="S33" s="152"/>
      <c r="T33" s="152"/>
      <c r="U33" s="152"/>
      <c r="V33" s="152"/>
      <c r="W33" s="152"/>
    </row>
    <row r="34">
      <c r="A34" s="428"/>
      <c r="B34" s="428"/>
      <c r="C34" s="152"/>
      <c r="D34" s="152"/>
      <c r="E34" s="152"/>
      <c r="F34" s="152"/>
      <c r="G34" s="152"/>
      <c r="H34" s="152"/>
      <c r="I34" s="152"/>
      <c r="J34" s="152"/>
      <c r="K34" s="248"/>
      <c r="L34" s="248"/>
      <c r="M34" s="152"/>
      <c r="N34" s="152"/>
      <c r="O34" s="152"/>
      <c r="P34" s="152"/>
      <c r="Q34" s="152"/>
      <c r="R34" s="152"/>
      <c r="S34" s="152"/>
      <c r="T34" s="152"/>
      <c r="U34" s="152"/>
      <c r="V34" s="152"/>
      <c r="W34" s="152"/>
    </row>
    <row r="35">
      <c r="A35" s="428"/>
      <c r="B35" s="428"/>
      <c r="C35" s="152"/>
      <c r="D35" s="152"/>
      <c r="E35" s="152"/>
      <c r="F35" s="152"/>
      <c r="G35" s="152"/>
      <c r="H35" s="152"/>
      <c r="I35" s="152"/>
      <c r="J35" s="152"/>
      <c r="K35" s="248"/>
      <c r="L35" s="248"/>
      <c r="M35" s="152"/>
      <c r="N35" s="152"/>
      <c r="O35" s="152"/>
      <c r="P35" s="152"/>
      <c r="Q35" s="152"/>
      <c r="R35" s="152"/>
      <c r="S35" s="152"/>
      <c r="T35" s="152"/>
      <c r="U35" s="152"/>
      <c r="V35" s="152"/>
      <c r="W35" s="152"/>
    </row>
    <row r="36">
      <c r="A36" s="152"/>
      <c r="B36" s="152"/>
      <c r="C36" s="152"/>
      <c r="D36" s="152"/>
      <c r="E36" s="152"/>
      <c r="F36" s="152"/>
      <c r="G36" s="152"/>
      <c r="H36" s="152"/>
      <c r="I36" s="152"/>
      <c r="J36" s="152"/>
      <c r="K36" s="248"/>
      <c r="L36" s="248"/>
      <c r="M36" s="152"/>
      <c r="N36" s="152"/>
      <c r="O36" s="152"/>
      <c r="P36" s="152"/>
      <c r="Q36" s="152"/>
      <c r="R36" s="152"/>
      <c r="S36" s="152"/>
      <c r="T36" s="152"/>
      <c r="U36" s="152"/>
      <c r="V36" s="152"/>
      <c r="W36" s="152"/>
    </row>
    <row r="37">
      <c r="A37" s="152"/>
      <c r="B37" s="152"/>
      <c r="C37" s="152"/>
      <c r="D37" s="152"/>
      <c r="E37" s="152"/>
      <c r="F37" s="152"/>
      <c r="G37" s="152"/>
      <c r="H37" s="152"/>
      <c r="I37" s="152"/>
      <c r="J37" s="152"/>
      <c r="K37" s="248"/>
      <c r="L37" s="248"/>
      <c r="M37" s="152"/>
      <c r="N37" s="152"/>
      <c r="O37" s="152"/>
      <c r="P37" s="152"/>
      <c r="Q37" s="152"/>
      <c r="R37" s="152"/>
      <c r="S37" s="152"/>
      <c r="T37" s="152"/>
      <c r="U37" s="152"/>
      <c r="V37" s="152"/>
      <c r="W37" s="152"/>
    </row>
    <row r="38">
      <c r="A38" s="152"/>
      <c r="B38" s="152"/>
      <c r="C38" s="152"/>
      <c r="D38" s="152"/>
      <c r="E38" s="152"/>
      <c r="F38" s="152"/>
      <c r="G38" s="152"/>
      <c r="H38" s="152"/>
      <c r="I38" s="152"/>
      <c r="J38" s="152"/>
      <c r="K38" s="248"/>
      <c r="L38" s="248"/>
      <c r="M38" s="152"/>
      <c r="N38" s="152"/>
      <c r="O38" s="152"/>
      <c r="P38" s="152"/>
      <c r="Q38" s="152"/>
      <c r="R38" s="152"/>
      <c r="S38" s="152"/>
      <c r="T38" s="152"/>
      <c r="U38" s="152"/>
      <c r="V38" s="152"/>
      <c r="W38" s="152"/>
    </row>
    <row r="39">
      <c r="A39" s="152"/>
      <c r="B39" s="152"/>
      <c r="C39" s="152"/>
      <c r="D39" s="152"/>
      <c r="E39" s="152"/>
      <c r="F39" s="152"/>
      <c r="G39" s="152"/>
      <c r="H39" s="152"/>
      <c r="I39" s="152"/>
      <c r="J39" s="152"/>
      <c r="K39" s="248"/>
      <c r="L39" s="248"/>
      <c r="M39" s="152"/>
      <c r="N39" s="152"/>
      <c r="O39" s="152"/>
      <c r="P39" s="152"/>
      <c r="Q39" s="152"/>
      <c r="R39" s="152"/>
      <c r="S39" s="152"/>
      <c r="T39" s="152"/>
      <c r="U39" s="152"/>
      <c r="V39" s="152"/>
      <c r="W39" s="152"/>
    </row>
    <row r="40">
      <c r="A40" s="152"/>
      <c r="B40" s="152"/>
      <c r="C40" s="152"/>
      <c r="D40" s="152"/>
      <c r="E40" s="152"/>
      <c r="F40" s="152"/>
      <c r="G40" s="152"/>
      <c r="H40" s="152"/>
      <c r="I40" s="152"/>
      <c r="J40" s="152"/>
      <c r="K40" s="248"/>
      <c r="L40" s="248"/>
      <c r="M40" s="152"/>
      <c r="N40" s="152"/>
      <c r="O40" s="152"/>
      <c r="P40" s="152"/>
      <c r="Q40" s="152"/>
      <c r="R40" s="152"/>
      <c r="S40" s="152"/>
      <c r="T40" s="152"/>
      <c r="U40" s="152"/>
      <c r="V40" s="152"/>
      <c r="W40" s="152"/>
    </row>
    <row r="41">
      <c r="A41" s="152"/>
      <c r="B41" s="152"/>
      <c r="C41" s="152"/>
      <c r="D41" s="152"/>
      <c r="E41" s="152"/>
      <c r="F41" s="152"/>
      <c r="G41" s="152"/>
      <c r="H41" s="152"/>
      <c r="I41" s="152"/>
      <c r="J41" s="152"/>
      <c r="K41" s="248"/>
      <c r="L41" s="248"/>
      <c r="M41" s="152"/>
      <c r="N41" s="152"/>
      <c r="O41" s="152"/>
      <c r="P41" s="152"/>
      <c r="Q41" s="152"/>
      <c r="R41" s="152"/>
      <c r="S41" s="152"/>
      <c r="T41" s="152"/>
      <c r="U41" s="152"/>
      <c r="V41" s="152"/>
      <c r="W41" s="152"/>
    </row>
    <row r="42">
      <c r="A42" s="152"/>
      <c r="B42" s="152"/>
      <c r="C42" s="152"/>
      <c r="D42" s="152"/>
      <c r="E42" s="152"/>
      <c r="F42" s="152"/>
      <c r="G42" s="152"/>
      <c r="H42" s="152"/>
      <c r="I42" s="152"/>
      <c r="J42" s="152"/>
      <c r="K42" s="248"/>
      <c r="L42" s="248"/>
      <c r="M42" s="152"/>
      <c r="N42" s="152"/>
      <c r="O42" s="152"/>
      <c r="P42" s="152"/>
      <c r="Q42" s="152"/>
      <c r="R42" s="152"/>
      <c r="S42" s="152"/>
      <c r="T42" s="152"/>
      <c r="U42" s="152"/>
      <c r="V42" s="152"/>
      <c r="W42" s="152"/>
    </row>
    <row r="43">
      <c r="A43" s="152"/>
      <c r="B43" s="152"/>
      <c r="C43" s="152"/>
      <c r="D43" s="152"/>
      <c r="E43" s="152"/>
      <c r="F43" s="152"/>
      <c r="G43" s="152"/>
      <c r="H43" s="152"/>
      <c r="I43" s="152"/>
      <c r="J43" s="152"/>
      <c r="K43" s="248"/>
      <c r="L43" s="248"/>
      <c r="M43" s="152"/>
      <c r="N43" s="152"/>
      <c r="O43" s="152"/>
      <c r="P43" s="152"/>
      <c r="Q43" s="152"/>
      <c r="R43" s="152"/>
      <c r="S43" s="152"/>
      <c r="T43" s="152"/>
      <c r="U43" s="152"/>
      <c r="V43" s="152"/>
      <c r="W43" s="152"/>
    </row>
    <row r="44">
      <c r="A44" s="152"/>
      <c r="B44" s="152"/>
      <c r="C44" s="152"/>
      <c r="D44" s="152"/>
      <c r="E44" s="152"/>
      <c r="F44" s="152"/>
      <c r="G44" s="152"/>
      <c r="H44" s="152"/>
      <c r="I44" s="152"/>
      <c r="J44" s="152"/>
      <c r="K44" s="248"/>
      <c r="L44" s="248"/>
      <c r="M44" s="152"/>
      <c r="N44" s="152"/>
      <c r="O44" s="152"/>
      <c r="P44" s="152"/>
      <c r="Q44" s="152"/>
      <c r="R44" s="152"/>
      <c r="S44" s="152"/>
      <c r="T44" s="152"/>
      <c r="U44" s="152"/>
      <c r="V44" s="152"/>
      <c r="W44" s="152"/>
    </row>
    <row r="45">
      <c r="A45" s="152"/>
      <c r="B45" s="152"/>
      <c r="C45" s="152"/>
      <c r="D45" s="152"/>
      <c r="E45" s="152"/>
      <c r="F45" s="152"/>
      <c r="G45" s="152"/>
      <c r="H45" s="152"/>
      <c r="I45" s="152"/>
      <c r="J45" s="152"/>
      <c r="K45" s="248"/>
      <c r="L45" s="248"/>
      <c r="M45" s="152"/>
      <c r="N45" s="152"/>
      <c r="O45" s="152"/>
      <c r="P45" s="152"/>
      <c r="Q45" s="152"/>
      <c r="R45" s="152"/>
      <c r="S45" s="152"/>
      <c r="T45" s="152"/>
      <c r="U45" s="152"/>
      <c r="V45" s="152"/>
      <c r="W45" s="152"/>
    </row>
    <row r="46">
      <c r="A46" s="152"/>
      <c r="B46" s="152"/>
      <c r="C46" s="152"/>
      <c r="D46" s="152"/>
      <c r="E46" s="152"/>
      <c r="F46" s="152"/>
      <c r="G46" s="152"/>
      <c r="H46" s="152"/>
      <c r="I46" s="152"/>
      <c r="J46" s="152"/>
      <c r="K46" s="248"/>
      <c r="L46" s="248"/>
      <c r="M46" s="152"/>
      <c r="N46" s="152"/>
      <c r="O46" s="152"/>
      <c r="P46" s="152"/>
      <c r="Q46" s="152"/>
      <c r="R46" s="152"/>
      <c r="S46" s="152"/>
      <c r="T46" s="152"/>
      <c r="U46" s="152"/>
      <c r="V46" s="152"/>
      <c r="W46" s="152"/>
    </row>
    <row r="47">
      <c r="A47" s="152"/>
      <c r="B47" s="152"/>
      <c r="C47" s="152"/>
      <c r="D47" s="152"/>
      <c r="E47" s="152"/>
      <c r="F47" s="152"/>
      <c r="G47" s="152"/>
      <c r="H47" s="152"/>
      <c r="I47" s="152"/>
      <c r="J47" s="152"/>
      <c r="K47" s="248"/>
      <c r="L47" s="248"/>
      <c r="M47" s="152"/>
      <c r="N47" s="152"/>
      <c r="O47" s="152"/>
      <c r="P47" s="152"/>
      <c r="Q47" s="152"/>
      <c r="R47" s="152"/>
      <c r="S47" s="152"/>
      <c r="T47" s="152"/>
      <c r="U47" s="152"/>
      <c r="V47" s="152"/>
      <c r="W47" s="152"/>
    </row>
    <row r="48">
      <c r="A48" s="152"/>
      <c r="B48" s="152"/>
      <c r="C48" s="152"/>
      <c r="D48" s="152"/>
      <c r="E48" s="152"/>
      <c r="F48" s="152"/>
      <c r="G48" s="152"/>
      <c r="H48" s="152"/>
      <c r="I48" s="152"/>
      <c r="J48" s="152"/>
      <c r="K48" s="248"/>
      <c r="L48" s="248"/>
      <c r="M48" s="152"/>
      <c r="N48" s="152"/>
      <c r="O48" s="152"/>
      <c r="P48" s="152"/>
      <c r="Q48" s="152"/>
      <c r="R48" s="152"/>
      <c r="S48" s="152"/>
      <c r="T48" s="152"/>
      <c r="U48" s="152"/>
      <c r="V48" s="152"/>
      <c r="W48" s="152"/>
    </row>
    <row r="49">
      <c r="A49" s="152"/>
      <c r="B49" s="152"/>
      <c r="C49" s="152"/>
      <c r="D49" s="152"/>
      <c r="E49" s="152"/>
      <c r="F49" s="152"/>
      <c r="G49" s="152"/>
      <c r="H49" s="152"/>
      <c r="I49" s="152"/>
      <c r="J49" s="152"/>
      <c r="K49" s="248"/>
      <c r="L49" s="248"/>
      <c r="M49" s="152"/>
      <c r="N49" s="152"/>
      <c r="O49" s="152"/>
      <c r="P49" s="152"/>
      <c r="Q49" s="152"/>
      <c r="R49" s="152"/>
      <c r="S49" s="152"/>
      <c r="T49" s="152"/>
      <c r="U49" s="152"/>
      <c r="V49" s="152"/>
      <c r="W49" s="152"/>
    </row>
    <row r="50">
      <c r="A50" s="152"/>
      <c r="B50" s="152"/>
      <c r="C50" s="152"/>
      <c r="D50" s="152"/>
      <c r="E50" s="152"/>
      <c r="F50" s="152"/>
      <c r="G50" s="152"/>
      <c r="H50" s="152"/>
      <c r="I50" s="152"/>
      <c r="J50" s="152"/>
      <c r="K50" s="248"/>
      <c r="L50" s="248"/>
      <c r="M50" s="152"/>
      <c r="N50" s="152"/>
      <c r="O50" s="152"/>
      <c r="P50" s="152"/>
      <c r="Q50" s="152"/>
      <c r="R50" s="152"/>
      <c r="S50" s="152"/>
      <c r="T50" s="152"/>
      <c r="U50" s="152"/>
      <c r="V50" s="152"/>
      <c r="W50" s="152"/>
    </row>
    <row r="51">
      <c r="A51" s="152"/>
      <c r="B51" s="152"/>
      <c r="C51" s="152"/>
      <c r="D51" s="152"/>
      <c r="E51" s="152"/>
      <c r="F51" s="152"/>
      <c r="G51" s="152"/>
      <c r="H51" s="152"/>
      <c r="I51" s="152"/>
      <c r="J51" s="152"/>
      <c r="K51" s="248"/>
      <c r="L51" s="248"/>
      <c r="M51" s="152"/>
      <c r="N51" s="152"/>
      <c r="O51" s="152"/>
      <c r="P51" s="152"/>
      <c r="Q51" s="152"/>
      <c r="R51" s="152"/>
      <c r="S51" s="152"/>
      <c r="T51" s="152"/>
      <c r="U51" s="152"/>
      <c r="V51" s="152"/>
      <c r="W51" s="152"/>
    </row>
    <row r="52">
      <c r="A52" s="152"/>
      <c r="B52" s="152"/>
      <c r="C52" s="152"/>
      <c r="D52" s="152"/>
      <c r="E52" s="152"/>
      <c r="F52" s="152"/>
      <c r="G52" s="152"/>
      <c r="H52" s="152"/>
      <c r="I52" s="152"/>
      <c r="J52" s="152"/>
      <c r="K52" s="248"/>
      <c r="L52" s="248"/>
      <c r="M52" s="152"/>
      <c r="N52" s="152"/>
      <c r="O52" s="152"/>
      <c r="P52" s="152"/>
      <c r="Q52" s="152"/>
      <c r="R52" s="152"/>
      <c r="S52" s="152"/>
      <c r="T52" s="152"/>
      <c r="U52" s="152"/>
      <c r="V52" s="152"/>
      <c r="W52" s="152"/>
    </row>
    <row r="53">
      <c r="A53" s="152"/>
      <c r="B53" s="152"/>
      <c r="C53" s="152"/>
      <c r="D53" s="152"/>
      <c r="E53" s="152"/>
      <c r="F53" s="152"/>
      <c r="G53" s="152"/>
      <c r="H53" s="152"/>
      <c r="I53" s="152"/>
      <c r="J53" s="152"/>
      <c r="K53" s="248"/>
      <c r="L53" s="248"/>
      <c r="M53" s="152"/>
      <c r="N53" s="152"/>
      <c r="O53" s="152"/>
      <c r="P53" s="152"/>
      <c r="Q53" s="152"/>
      <c r="R53" s="152"/>
      <c r="S53" s="152"/>
      <c r="T53" s="152"/>
      <c r="U53" s="152"/>
      <c r="V53" s="152"/>
      <c r="W53" s="152"/>
    </row>
    <row r="54">
      <c r="A54" s="152"/>
      <c r="B54" s="152"/>
      <c r="C54" s="152"/>
      <c r="D54" s="152"/>
      <c r="E54" s="152"/>
      <c r="F54" s="152"/>
      <c r="G54" s="152"/>
      <c r="H54" s="152"/>
      <c r="I54" s="152"/>
      <c r="J54" s="152"/>
      <c r="K54" s="248"/>
      <c r="L54" s="248"/>
      <c r="M54" s="152"/>
      <c r="N54" s="152"/>
      <c r="O54" s="152"/>
      <c r="P54" s="152"/>
      <c r="Q54" s="152"/>
      <c r="R54" s="152"/>
      <c r="S54" s="152"/>
      <c r="T54" s="152"/>
      <c r="U54" s="152"/>
      <c r="V54" s="152"/>
      <c r="W54" s="152"/>
    </row>
    <row r="55">
      <c r="A55" s="152"/>
      <c r="B55" s="152"/>
      <c r="C55" s="152"/>
      <c r="D55" s="152"/>
      <c r="E55" s="152"/>
      <c r="F55" s="152"/>
      <c r="G55" s="152"/>
      <c r="H55" s="152"/>
      <c r="I55" s="152"/>
      <c r="J55" s="152"/>
      <c r="K55" s="248"/>
      <c r="L55" s="248"/>
      <c r="M55" s="152"/>
      <c r="N55" s="152"/>
      <c r="O55" s="152"/>
      <c r="P55" s="152"/>
      <c r="Q55" s="152"/>
      <c r="R55" s="152"/>
      <c r="S55" s="152"/>
      <c r="T55" s="152"/>
      <c r="U55" s="152"/>
      <c r="V55" s="152"/>
      <c r="W55" s="152"/>
    </row>
    <row r="56">
      <c r="A56" s="152"/>
      <c r="B56" s="152"/>
      <c r="C56" s="152"/>
      <c r="D56" s="152"/>
      <c r="E56" s="152"/>
      <c r="F56" s="152"/>
      <c r="G56" s="152"/>
      <c r="H56" s="152"/>
      <c r="I56" s="152"/>
      <c r="J56" s="152"/>
      <c r="K56" s="248"/>
      <c r="L56" s="248"/>
      <c r="M56" s="152"/>
      <c r="N56" s="152"/>
      <c r="O56" s="152"/>
      <c r="P56" s="152"/>
      <c r="Q56" s="152"/>
      <c r="R56" s="152"/>
      <c r="S56" s="152"/>
      <c r="T56" s="152"/>
      <c r="U56" s="152"/>
      <c r="V56" s="152"/>
      <c r="W56" s="152"/>
    </row>
    <row r="57">
      <c r="A57" s="152"/>
      <c r="B57" s="152"/>
      <c r="C57" s="152"/>
      <c r="D57" s="152"/>
      <c r="E57" s="152"/>
      <c r="F57" s="152"/>
      <c r="G57" s="152"/>
      <c r="H57" s="152"/>
      <c r="I57" s="152"/>
      <c r="J57" s="152"/>
      <c r="K57" s="248"/>
      <c r="L57" s="248"/>
      <c r="M57" s="152"/>
      <c r="N57" s="152"/>
      <c r="O57" s="152"/>
      <c r="P57" s="152"/>
      <c r="Q57" s="152"/>
      <c r="R57" s="152"/>
      <c r="S57" s="152"/>
      <c r="T57" s="152"/>
      <c r="U57" s="152"/>
      <c r="V57" s="152"/>
      <c r="W57" s="152"/>
    </row>
    <row r="58">
      <c r="A58" s="152"/>
      <c r="B58" s="152"/>
      <c r="C58" s="152"/>
      <c r="D58" s="152"/>
      <c r="E58" s="152"/>
      <c r="F58" s="152"/>
      <c r="G58" s="152"/>
      <c r="H58" s="152"/>
      <c r="I58" s="152"/>
      <c r="J58" s="152"/>
      <c r="K58" s="248"/>
      <c r="L58" s="248"/>
      <c r="M58" s="152"/>
      <c r="N58" s="152"/>
      <c r="O58" s="152"/>
      <c r="P58" s="152"/>
      <c r="Q58" s="152"/>
      <c r="R58" s="152"/>
      <c r="S58" s="152"/>
      <c r="T58" s="152"/>
      <c r="U58" s="152"/>
      <c r="V58" s="152"/>
      <c r="W58" s="152"/>
    </row>
    <row r="59">
      <c r="A59" s="152"/>
      <c r="B59" s="152"/>
      <c r="C59" s="152"/>
      <c r="D59" s="152"/>
      <c r="E59" s="152"/>
      <c r="F59" s="152"/>
      <c r="G59" s="152"/>
      <c r="H59" s="152"/>
      <c r="I59" s="152"/>
      <c r="J59" s="152"/>
      <c r="K59" s="248"/>
      <c r="L59" s="248"/>
      <c r="M59" s="152"/>
      <c r="N59" s="152"/>
      <c r="O59" s="152"/>
      <c r="P59" s="152"/>
      <c r="Q59" s="152"/>
      <c r="R59" s="152"/>
      <c r="S59" s="152"/>
      <c r="T59" s="152"/>
      <c r="U59" s="152"/>
      <c r="V59" s="152"/>
      <c r="W59" s="152"/>
    </row>
    <row r="60">
      <c r="A60" s="152"/>
      <c r="B60" s="152"/>
      <c r="C60" s="152"/>
      <c r="D60" s="152"/>
      <c r="E60" s="152"/>
      <c r="F60" s="152"/>
      <c r="G60" s="152"/>
      <c r="H60" s="152"/>
      <c r="I60" s="152"/>
      <c r="J60" s="152"/>
      <c r="K60" s="248"/>
      <c r="L60" s="248"/>
      <c r="M60" s="152"/>
      <c r="N60" s="152"/>
      <c r="O60" s="152"/>
      <c r="P60" s="152"/>
      <c r="Q60" s="152"/>
      <c r="R60" s="152"/>
      <c r="S60" s="152"/>
      <c r="T60" s="152"/>
      <c r="U60" s="152"/>
      <c r="V60" s="152"/>
      <c r="W60" s="152"/>
    </row>
    <row r="61">
      <c r="A61" s="152"/>
      <c r="B61" s="152"/>
      <c r="C61" s="152"/>
      <c r="D61" s="152"/>
      <c r="E61" s="152"/>
      <c r="F61" s="152"/>
      <c r="G61" s="152"/>
      <c r="H61" s="152"/>
      <c r="I61" s="152"/>
      <c r="J61" s="152"/>
      <c r="K61" s="248"/>
      <c r="L61" s="248"/>
      <c r="M61" s="152"/>
      <c r="N61" s="152"/>
      <c r="O61" s="152"/>
      <c r="P61" s="152"/>
      <c r="Q61" s="152"/>
      <c r="R61" s="152"/>
      <c r="S61" s="152"/>
      <c r="T61" s="152"/>
      <c r="U61" s="152"/>
      <c r="V61" s="152"/>
      <c r="W61" s="152"/>
    </row>
    <row r="62">
      <c r="A62" s="152"/>
      <c r="B62" s="152"/>
      <c r="C62" s="152"/>
      <c r="D62" s="152"/>
      <c r="E62" s="152"/>
      <c r="F62" s="152"/>
      <c r="G62" s="152"/>
      <c r="H62" s="152"/>
      <c r="I62" s="152"/>
      <c r="J62" s="152"/>
      <c r="K62" s="248"/>
      <c r="L62" s="248"/>
      <c r="M62" s="152"/>
      <c r="N62" s="152"/>
      <c r="O62" s="152"/>
      <c r="P62" s="152"/>
      <c r="Q62" s="152"/>
      <c r="R62" s="152"/>
      <c r="S62" s="152"/>
      <c r="T62" s="152"/>
      <c r="U62" s="152"/>
      <c r="V62" s="152"/>
      <c r="W62" s="152"/>
    </row>
    <row r="63">
      <c r="A63" s="152"/>
      <c r="B63" s="152"/>
      <c r="C63" s="152"/>
      <c r="D63" s="152"/>
      <c r="E63" s="152"/>
      <c r="F63" s="152"/>
      <c r="G63" s="152"/>
      <c r="H63" s="152"/>
      <c r="I63" s="152"/>
      <c r="J63" s="152"/>
      <c r="K63" s="248"/>
      <c r="L63" s="248"/>
      <c r="M63" s="152"/>
      <c r="N63" s="152"/>
      <c r="O63" s="152"/>
      <c r="P63" s="152"/>
      <c r="Q63" s="152"/>
      <c r="R63" s="152"/>
      <c r="S63" s="152"/>
      <c r="T63" s="152"/>
      <c r="U63" s="152"/>
      <c r="V63" s="152"/>
      <c r="W63" s="152"/>
    </row>
    <row r="64">
      <c r="A64" s="152"/>
      <c r="B64" s="152"/>
      <c r="C64" s="152"/>
      <c r="D64" s="152"/>
      <c r="E64" s="152"/>
      <c r="F64" s="152"/>
      <c r="G64" s="152"/>
      <c r="H64" s="152"/>
      <c r="I64" s="152"/>
      <c r="J64" s="152"/>
      <c r="K64" s="248"/>
      <c r="L64" s="248"/>
      <c r="M64" s="152"/>
      <c r="N64" s="152"/>
      <c r="O64" s="152"/>
      <c r="P64" s="152"/>
      <c r="Q64" s="152"/>
      <c r="R64" s="152"/>
      <c r="S64" s="152"/>
      <c r="T64" s="152"/>
      <c r="U64" s="152"/>
      <c r="V64" s="152"/>
      <c r="W64" s="152"/>
    </row>
    <row r="65">
      <c r="A65" s="152"/>
      <c r="B65" s="152"/>
      <c r="C65" s="152"/>
      <c r="D65" s="152"/>
      <c r="E65" s="152"/>
      <c r="F65" s="152"/>
      <c r="G65" s="152"/>
      <c r="H65" s="152"/>
      <c r="I65" s="152"/>
      <c r="J65" s="152"/>
      <c r="K65" s="248"/>
      <c r="L65" s="248"/>
      <c r="M65" s="152"/>
      <c r="N65" s="152"/>
      <c r="O65" s="152"/>
      <c r="P65" s="152"/>
      <c r="Q65" s="152"/>
      <c r="R65" s="152"/>
      <c r="S65" s="152"/>
      <c r="T65" s="152"/>
      <c r="U65" s="152"/>
      <c r="V65" s="152"/>
      <c r="W65" s="152"/>
    </row>
    <row r="66">
      <c r="A66" s="152"/>
      <c r="B66" s="152"/>
      <c r="C66" s="152"/>
      <c r="D66" s="152"/>
      <c r="E66" s="152"/>
      <c r="F66" s="152"/>
      <c r="G66" s="152"/>
      <c r="H66" s="152"/>
      <c r="I66" s="152"/>
      <c r="J66" s="152"/>
      <c r="K66" s="248"/>
      <c r="L66" s="248"/>
      <c r="M66" s="152"/>
      <c r="N66" s="152"/>
      <c r="O66" s="152"/>
      <c r="P66" s="152"/>
      <c r="Q66" s="152"/>
      <c r="R66" s="152"/>
      <c r="S66" s="152"/>
      <c r="T66" s="152"/>
      <c r="U66" s="152"/>
      <c r="V66" s="152"/>
      <c r="W66" s="152"/>
    </row>
    <row r="67">
      <c r="A67" s="152"/>
      <c r="B67" s="152"/>
      <c r="C67" s="152"/>
      <c r="D67" s="152"/>
      <c r="E67" s="152"/>
      <c r="F67" s="152"/>
      <c r="G67" s="152"/>
      <c r="H67" s="152"/>
      <c r="I67" s="152"/>
      <c r="J67" s="152"/>
      <c r="K67" s="248"/>
      <c r="L67" s="248"/>
      <c r="M67" s="152"/>
      <c r="N67" s="152"/>
      <c r="O67" s="152"/>
      <c r="P67" s="152"/>
      <c r="Q67" s="152"/>
      <c r="R67" s="152"/>
      <c r="S67" s="152"/>
      <c r="T67" s="152"/>
      <c r="U67" s="152"/>
      <c r="V67" s="152"/>
      <c r="W67" s="152"/>
    </row>
    <row r="68">
      <c r="A68" s="152"/>
      <c r="B68" s="152"/>
      <c r="C68" s="152"/>
      <c r="D68" s="152"/>
      <c r="E68" s="152"/>
      <c r="F68" s="152"/>
      <c r="G68" s="152"/>
      <c r="H68" s="152"/>
      <c r="I68" s="152"/>
      <c r="J68" s="152"/>
      <c r="K68" s="248"/>
      <c r="L68" s="248"/>
      <c r="M68" s="152"/>
      <c r="N68" s="152"/>
      <c r="O68" s="152"/>
      <c r="P68" s="152"/>
      <c r="Q68" s="152"/>
      <c r="R68" s="152"/>
      <c r="S68" s="152"/>
      <c r="T68" s="152"/>
      <c r="U68" s="152"/>
      <c r="V68" s="152"/>
      <c r="W68" s="152"/>
    </row>
    <row r="69">
      <c r="A69" s="152"/>
      <c r="B69" s="152"/>
      <c r="C69" s="152"/>
      <c r="D69" s="152"/>
      <c r="E69" s="152"/>
      <c r="F69" s="152"/>
      <c r="G69" s="152"/>
      <c r="H69" s="152"/>
      <c r="I69" s="152"/>
      <c r="J69" s="152"/>
      <c r="K69" s="248"/>
      <c r="L69" s="248"/>
      <c r="M69" s="152"/>
      <c r="N69" s="152"/>
      <c r="O69" s="152"/>
      <c r="P69" s="152"/>
      <c r="Q69" s="152"/>
      <c r="R69" s="152"/>
      <c r="S69" s="152"/>
      <c r="T69" s="152"/>
      <c r="U69" s="152"/>
      <c r="V69" s="152"/>
      <c r="W69" s="152"/>
    </row>
    <row r="70">
      <c r="A70" s="152"/>
      <c r="B70" s="152"/>
      <c r="C70" s="152"/>
      <c r="D70" s="152"/>
      <c r="E70" s="152"/>
      <c r="F70" s="152"/>
      <c r="G70" s="152"/>
      <c r="H70" s="152"/>
      <c r="I70" s="152"/>
      <c r="J70" s="152"/>
      <c r="K70" s="248"/>
      <c r="L70" s="248"/>
      <c r="M70" s="152"/>
      <c r="N70" s="152"/>
      <c r="O70" s="152"/>
      <c r="P70" s="152"/>
      <c r="Q70" s="152"/>
      <c r="R70" s="152"/>
      <c r="S70" s="152"/>
      <c r="T70" s="152"/>
      <c r="U70" s="152"/>
      <c r="V70" s="152"/>
      <c r="W70" s="152"/>
    </row>
    <row r="71">
      <c r="A71" s="152"/>
      <c r="B71" s="152"/>
      <c r="C71" s="152"/>
      <c r="D71" s="152"/>
      <c r="E71" s="152"/>
      <c r="F71" s="152"/>
      <c r="G71" s="152"/>
      <c r="H71" s="152"/>
      <c r="I71" s="152"/>
      <c r="J71" s="152"/>
      <c r="K71" s="248"/>
      <c r="L71" s="248"/>
      <c r="M71" s="152"/>
      <c r="N71" s="152"/>
      <c r="O71" s="152"/>
      <c r="P71" s="152"/>
      <c r="Q71" s="152"/>
      <c r="R71" s="152"/>
      <c r="S71" s="152"/>
      <c r="T71" s="152"/>
      <c r="U71" s="152"/>
      <c r="V71" s="152"/>
      <c r="W71" s="152"/>
    </row>
    <row r="72">
      <c r="A72" s="152"/>
      <c r="B72" s="152"/>
      <c r="C72" s="152"/>
      <c r="D72" s="152"/>
      <c r="E72" s="152"/>
      <c r="F72" s="152"/>
      <c r="G72" s="152"/>
      <c r="H72" s="152"/>
      <c r="I72" s="152"/>
      <c r="J72" s="152"/>
      <c r="K72" s="248"/>
      <c r="L72" s="248"/>
      <c r="M72" s="152"/>
      <c r="N72" s="152"/>
      <c r="O72" s="152"/>
      <c r="P72" s="152"/>
      <c r="Q72" s="152"/>
      <c r="R72" s="152"/>
      <c r="S72" s="152"/>
      <c r="T72" s="152"/>
      <c r="U72" s="152"/>
      <c r="V72" s="152"/>
      <c r="W72" s="152"/>
    </row>
    <row r="73">
      <c r="A73" s="152"/>
      <c r="B73" s="152"/>
      <c r="C73" s="152"/>
      <c r="D73" s="152"/>
      <c r="E73" s="152"/>
      <c r="F73" s="152"/>
      <c r="G73" s="152"/>
      <c r="H73" s="152"/>
      <c r="I73" s="152"/>
      <c r="J73" s="152"/>
      <c r="K73" s="248"/>
      <c r="L73" s="248"/>
      <c r="M73" s="152"/>
      <c r="N73" s="152"/>
      <c r="O73" s="152"/>
      <c r="P73" s="152"/>
      <c r="Q73" s="152"/>
      <c r="R73" s="152"/>
      <c r="S73" s="152"/>
      <c r="T73" s="152"/>
      <c r="U73" s="152"/>
      <c r="V73" s="152"/>
      <c r="W73" s="152"/>
    </row>
    <row r="74">
      <c r="A74" s="152"/>
      <c r="B74" s="152"/>
      <c r="C74" s="152"/>
      <c r="D74" s="152"/>
      <c r="E74" s="152"/>
      <c r="F74" s="152"/>
      <c r="G74" s="152"/>
      <c r="H74" s="152"/>
      <c r="I74" s="152"/>
      <c r="J74" s="152"/>
      <c r="K74" s="248"/>
      <c r="L74" s="248"/>
      <c r="M74" s="152"/>
      <c r="N74" s="152"/>
      <c r="O74" s="152"/>
      <c r="P74" s="152"/>
      <c r="Q74" s="152"/>
      <c r="R74" s="152"/>
      <c r="S74" s="152"/>
      <c r="T74" s="152"/>
      <c r="U74" s="152"/>
      <c r="V74" s="152"/>
      <c r="W74" s="152"/>
    </row>
    <row r="75">
      <c r="A75" s="152"/>
      <c r="B75" s="152"/>
      <c r="C75" s="152"/>
      <c r="D75" s="152"/>
      <c r="E75" s="152"/>
      <c r="F75" s="152"/>
      <c r="G75" s="152"/>
      <c r="H75" s="152"/>
      <c r="I75" s="152"/>
      <c r="J75" s="152"/>
      <c r="K75" s="248"/>
      <c r="L75" s="248"/>
      <c r="M75" s="152"/>
      <c r="N75" s="152"/>
      <c r="O75" s="152"/>
      <c r="P75" s="152"/>
      <c r="Q75" s="152"/>
      <c r="R75" s="152"/>
      <c r="S75" s="152"/>
      <c r="T75" s="152"/>
      <c r="U75" s="152"/>
      <c r="V75" s="152"/>
      <c r="W75" s="152"/>
    </row>
    <row r="76">
      <c r="A76" s="152"/>
      <c r="B76" s="152"/>
      <c r="C76" s="152"/>
      <c r="D76" s="152"/>
      <c r="E76" s="152"/>
      <c r="F76" s="152"/>
      <c r="G76" s="152"/>
      <c r="H76" s="152"/>
      <c r="I76" s="152"/>
      <c r="J76" s="152"/>
      <c r="K76" s="248"/>
      <c r="L76" s="248"/>
      <c r="M76" s="152"/>
      <c r="N76" s="152"/>
      <c r="O76" s="152"/>
      <c r="P76" s="152"/>
      <c r="Q76" s="152"/>
      <c r="R76" s="152"/>
      <c r="S76" s="152"/>
      <c r="T76" s="152"/>
      <c r="U76" s="152"/>
      <c r="V76" s="152"/>
      <c r="W76" s="152"/>
    </row>
    <row r="77">
      <c r="A77" s="152"/>
      <c r="B77" s="152"/>
      <c r="C77" s="152"/>
      <c r="D77" s="152"/>
      <c r="E77" s="152"/>
      <c r="F77" s="152"/>
      <c r="G77" s="152"/>
      <c r="H77" s="152"/>
      <c r="I77" s="152"/>
      <c r="J77" s="152"/>
      <c r="K77" s="248"/>
      <c r="L77" s="248"/>
      <c r="M77" s="152"/>
      <c r="N77" s="152"/>
      <c r="O77" s="152"/>
      <c r="P77" s="152"/>
      <c r="Q77" s="152"/>
      <c r="R77" s="152"/>
      <c r="S77" s="152"/>
      <c r="T77" s="152"/>
      <c r="U77" s="152"/>
      <c r="V77" s="152"/>
      <c r="W77" s="152"/>
    </row>
    <row r="78">
      <c r="A78" s="152"/>
      <c r="B78" s="152"/>
      <c r="C78" s="152"/>
      <c r="D78" s="152"/>
      <c r="E78" s="152"/>
      <c r="F78" s="152"/>
      <c r="G78" s="152"/>
      <c r="H78" s="152"/>
      <c r="I78" s="152"/>
      <c r="J78" s="152"/>
      <c r="K78" s="248"/>
      <c r="L78" s="248"/>
      <c r="M78" s="152"/>
      <c r="N78" s="152"/>
      <c r="O78" s="152"/>
      <c r="P78" s="152"/>
      <c r="Q78" s="152"/>
      <c r="R78" s="152"/>
      <c r="S78" s="152"/>
      <c r="T78" s="152"/>
      <c r="U78" s="152"/>
      <c r="V78" s="152"/>
      <c r="W78" s="152"/>
    </row>
    <row r="79">
      <c r="A79" s="152"/>
      <c r="B79" s="152"/>
      <c r="C79" s="152"/>
      <c r="D79" s="152"/>
      <c r="E79" s="152"/>
      <c r="F79" s="152"/>
      <c r="G79" s="152"/>
      <c r="H79" s="152"/>
      <c r="I79" s="152"/>
      <c r="J79" s="152"/>
      <c r="K79" s="248"/>
      <c r="L79" s="248"/>
      <c r="M79" s="152"/>
      <c r="N79" s="152"/>
      <c r="O79" s="152"/>
      <c r="P79" s="152"/>
      <c r="Q79" s="152"/>
      <c r="R79" s="152"/>
      <c r="S79" s="152"/>
      <c r="T79" s="152"/>
      <c r="U79" s="152"/>
      <c r="V79" s="152"/>
      <c r="W79" s="152"/>
    </row>
    <row r="80">
      <c r="A80" s="152"/>
      <c r="B80" s="152"/>
      <c r="C80" s="152"/>
      <c r="D80" s="152"/>
      <c r="E80" s="152"/>
      <c r="F80" s="152"/>
      <c r="G80" s="152"/>
      <c r="H80" s="152"/>
      <c r="I80" s="152"/>
      <c r="J80" s="152"/>
      <c r="K80" s="248"/>
      <c r="L80" s="248"/>
      <c r="M80" s="152"/>
      <c r="N80" s="152"/>
      <c r="O80" s="152"/>
      <c r="P80" s="152"/>
      <c r="Q80" s="152"/>
      <c r="R80" s="152"/>
      <c r="S80" s="152"/>
      <c r="T80" s="152"/>
      <c r="U80" s="152"/>
      <c r="V80" s="152"/>
      <c r="W80" s="152"/>
    </row>
    <row r="81">
      <c r="A81" s="152"/>
      <c r="B81" s="152"/>
      <c r="C81" s="152"/>
      <c r="D81" s="152"/>
      <c r="E81" s="152"/>
      <c r="F81" s="152"/>
      <c r="G81" s="152"/>
      <c r="H81" s="152"/>
      <c r="I81" s="152"/>
      <c r="J81" s="152"/>
      <c r="K81" s="248"/>
      <c r="L81" s="248"/>
      <c r="M81" s="152"/>
      <c r="N81" s="152"/>
      <c r="O81" s="152"/>
      <c r="P81" s="152"/>
      <c r="Q81" s="152"/>
      <c r="R81" s="152"/>
      <c r="S81" s="152"/>
      <c r="T81" s="152"/>
      <c r="U81" s="152"/>
      <c r="V81" s="152"/>
      <c r="W81" s="152"/>
    </row>
    <row r="82">
      <c r="A82" s="152"/>
      <c r="B82" s="152"/>
      <c r="C82" s="152"/>
      <c r="D82" s="152"/>
      <c r="E82" s="152"/>
      <c r="F82" s="152"/>
      <c r="G82" s="152"/>
      <c r="H82" s="152"/>
      <c r="I82" s="152"/>
      <c r="J82" s="152"/>
      <c r="K82" s="248"/>
      <c r="L82" s="248"/>
      <c r="M82" s="152"/>
      <c r="N82" s="152"/>
      <c r="O82" s="152"/>
      <c r="P82" s="152"/>
      <c r="Q82" s="152"/>
      <c r="R82" s="152"/>
      <c r="S82" s="152"/>
      <c r="T82" s="152"/>
      <c r="U82" s="152"/>
      <c r="V82" s="152"/>
      <c r="W82" s="152"/>
    </row>
    <row r="83">
      <c r="A83" s="152"/>
      <c r="B83" s="152"/>
      <c r="C83" s="152"/>
      <c r="D83" s="152"/>
      <c r="E83" s="152"/>
      <c r="F83" s="152"/>
      <c r="G83" s="152"/>
      <c r="H83" s="152"/>
      <c r="I83" s="152"/>
      <c r="J83" s="152"/>
      <c r="K83" s="248"/>
      <c r="L83" s="248"/>
      <c r="M83" s="152"/>
      <c r="N83" s="152"/>
      <c r="O83" s="152"/>
      <c r="P83" s="152"/>
      <c r="Q83" s="152"/>
      <c r="R83" s="152"/>
      <c r="S83" s="152"/>
      <c r="T83" s="152"/>
      <c r="U83" s="152"/>
      <c r="V83" s="152"/>
      <c r="W83" s="152"/>
    </row>
    <row r="84">
      <c r="A84" s="152"/>
      <c r="B84" s="152"/>
      <c r="C84" s="152"/>
      <c r="D84" s="152"/>
      <c r="E84" s="152"/>
      <c r="F84" s="152"/>
      <c r="G84" s="152"/>
      <c r="H84" s="152"/>
      <c r="I84" s="152"/>
      <c r="J84" s="152"/>
      <c r="K84" s="248"/>
      <c r="L84" s="248"/>
      <c r="M84" s="152"/>
      <c r="N84" s="152"/>
      <c r="O84" s="152"/>
      <c r="P84" s="152"/>
      <c r="Q84" s="152"/>
      <c r="R84" s="152"/>
      <c r="S84" s="152"/>
      <c r="T84" s="152"/>
      <c r="U84" s="152"/>
      <c r="V84" s="152"/>
      <c r="W84" s="152"/>
    </row>
    <row r="85">
      <c r="A85" s="152"/>
      <c r="B85" s="152"/>
      <c r="C85" s="152"/>
      <c r="D85" s="152"/>
      <c r="E85" s="152"/>
      <c r="F85" s="152"/>
      <c r="G85" s="152"/>
      <c r="H85" s="152"/>
      <c r="I85" s="152"/>
      <c r="J85" s="152"/>
      <c r="K85" s="248"/>
      <c r="L85" s="248"/>
      <c r="M85" s="152"/>
      <c r="N85" s="152"/>
      <c r="O85" s="152"/>
      <c r="P85" s="152"/>
      <c r="Q85" s="152"/>
      <c r="R85" s="152"/>
      <c r="S85" s="152"/>
      <c r="T85" s="152"/>
      <c r="U85" s="152"/>
      <c r="V85" s="152"/>
      <c r="W85" s="152"/>
    </row>
    <row r="86">
      <c r="A86" s="152"/>
      <c r="B86" s="152"/>
      <c r="C86" s="152"/>
      <c r="D86" s="152"/>
      <c r="E86" s="152"/>
      <c r="F86" s="152"/>
      <c r="G86" s="152"/>
      <c r="H86" s="152"/>
      <c r="I86" s="152"/>
      <c r="J86" s="152"/>
      <c r="K86" s="248"/>
      <c r="L86" s="248"/>
      <c r="M86" s="152"/>
      <c r="N86" s="152"/>
      <c r="O86" s="152"/>
      <c r="P86" s="152"/>
      <c r="Q86" s="152"/>
      <c r="R86" s="152"/>
      <c r="S86" s="152"/>
      <c r="T86" s="152"/>
      <c r="U86" s="152"/>
      <c r="V86" s="152"/>
      <c r="W86" s="152"/>
    </row>
    <row r="87">
      <c r="A87" s="152"/>
      <c r="B87" s="152"/>
      <c r="C87" s="152"/>
      <c r="D87" s="152"/>
      <c r="E87" s="152"/>
      <c r="F87" s="152"/>
      <c r="G87" s="152"/>
      <c r="H87" s="152"/>
      <c r="I87" s="152"/>
      <c r="J87" s="152"/>
      <c r="K87" s="248"/>
      <c r="L87" s="248"/>
      <c r="M87" s="152"/>
      <c r="N87" s="152"/>
      <c r="O87" s="152"/>
      <c r="P87" s="152"/>
      <c r="Q87" s="152"/>
      <c r="R87" s="152"/>
      <c r="S87" s="152"/>
      <c r="T87" s="152"/>
      <c r="U87" s="152"/>
      <c r="V87" s="152"/>
      <c r="W87" s="152"/>
    </row>
    <row r="88">
      <c r="A88" s="152"/>
      <c r="B88" s="152"/>
      <c r="C88" s="152"/>
      <c r="D88" s="152"/>
      <c r="E88" s="152"/>
      <c r="F88" s="152"/>
      <c r="G88" s="152"/>
      <c r="H88" s="152"/>
      <c r="I88" s="152"/>
      <c r="J88" s="152"/>
      <c r="K88" s="248"/>
      <c r="L88" s="248"/>
      <c r="M88" s="152"/>
      <c r="N88" s="152"/>
      <c r="O88" s="152"/>
      <c r="P88" s="152"/>
      <c r="Q88" s="152"/>
      <c r="R88" s="152"/>
      <c r="S88" s="152"/>
      <c r="T88" s="152"/>
      <c r="U88" s="152"/>
      <c r="V88" s="152"/>
      <c r="W88" s="152"/>
    </row>
    <row r="89">
      <c r="A89" s="152"/>
      <c r="B89" s="152"/>
      <c r="C89" s="152"/>
      <c r="D89" s="152"/>
      <c r="E89" s="152"/>
      <c r="F89" s="152"/>
      <c r="G89" s="152"/>
      <c r="H89" s="152"/>
      <c r="I89" s="152"/>
      <c r="J89" s="152"/>
      <c r="K89" s="248"/>
      <c r="L89" s="248"/>
      <c r="M89" s="152"/>
      <c r="N89" s="152"/>
      <c r="O89" s="152"/>
      <c r="P89" s="152"/>
      <c r="Q89" s="152"/>
      <c r="R89" s="152"/>
      <c r="S89" s="152"/>
      <c r="T89" s="152"/>
      <c r="U89" s="152"/>
      <c r="V89" s="152"/>
      <c r="W89" s="152"/>
    </row>
    <row r="90">
      <c r="A90" s="152"/>
      <c r="B90" s="152"/>
      <c r="C90" s="152"/>
      <c r="D90" s="152"/>
      <c r="E90" s="152"/>
      <c r="F90" s="152"/>
      <c r="G90" s="152"/>
      <c r="H90" s="152"/>
      <c r="I90" s="152"/>
      <c r="J90" s="152"/>
      <c r="K90" s="248"/>
      <c r="L90" s="248"/>
      <c r="M90" s="152"/>
      <c r="N90" s="152"/>
      <c r="O90" s="152"/>
      <c r="P90" s="152"/>
      <c r="Q90" s="152"/>
      <c r="R90" s="152"/>
      <c r="S90" s="152"/>
      <c r="T90" s="152"/>
      <c r="U90" s="152"/>
      <c r="V90" s="152"/>
      <c r="W90" s="152"/>
    </row>
    <row r="91">
      <c r="A91" s="152"/>
      <c r="B91" s="152"/>
      <c r="C91" s="152"/>
      <c r="D91" s="152"/>
      <c r="E91" s="152"/>
      <c r="F91" s="152"/>
      <c r="G91" s="152"/>
      <c r="H91" s="152"/>
      <c r="I91" s="152"/>
      <c r="J91" s="152"/>
      <c r="K91" s="248"/>
      <c r="L91" s="248"/>
      <c r="M91" s="152"/>
      <c r="N91" s="152"/>
      <c r="O91" s="152"/>
      <c r="P91" s="152"/>
      <c r="Q91" s="152"/>
      <c r="R91" s="152"/>
      <c r="S91" s="152"/>
      <c r="T91" s="152"/>
      <c r="U91" s="152"/>
      <c r="V91" s="152"/>
      <c r="W91" s="152"/>
    </row>
    <row r="92">
      <c r="A92" s="152"/>
      <c r="B92" s="152"/>
      <c r="C92" s="152"/>
      <c r="D92" s="152"/>
      <c r="E92" s="152"/>
      <c r="F92" s="152"/>
      <c r="G92" s="152"/>
      <c r="H92" s="152"/>
      <c r="I92" s="152"/>
      <c r="J92" s="152"/>
      <c r="K92" s="248"/>
      <c r="L92" s="248"/>
      <c r="M92" s="152"/>
      <c r="N92" s="152"/>
      <c r="O92" s="152"/>
      <c r="P92" s="152"/>
      <c r="Q92" s="152"/>
      <c r="R92" s="152"/>
      <c r="S92" s="152"/>
      <c r="T92" s="152"/>
      <c r="U92" s="152"/>
      <c r="V92" s="152"/>
      <c r="W92" s="152"/>
    </row>
    <row r="93">
      <c r="A93" s="152"/>
      <c r="B93" s="152"/>
      <c r="C93" s="152"/>
      <c r="D93" s="152"/>
      <c r="E93" s="152"/>
      <c r="F93" s="152"/>
      <c r="G93" s="152"/>
      <c r="H93" s="152"/>
      <c r="I93" s="152"/>
      <c r="J93" s="152"/>
      <c r="K93" s="248"/>
      <c r="L93" s="248"/>
      <c r="M93" s="152"/>
      <c r="N93" s="152"/>
      <c r="O93" s="152"/>
      <c r="P93" s="152"/>
      <c r="Q93" s="152"/>
      <c r="R93" s="152"/>
      <c r="S93" s="152"/>
      <c r="T93" s="152"/>
      <c r="U93" s="152"/>
      <c r="V93" s="152"/>
      <c r="W93" s="152"/>
    </row>
    <row r="94">
      <c r="A94" s="152"/>
      <c r="B94" s="152"/>
      <c r="C94" s="152"/>
      <c r="D94" s="152"/>
      <c r="E94" s="152"/>
      <c r="F94" s="152"/>
      <c r="G94" s="152"/>
      <c r="H94" s="152"/>
      <c r="I94" s="152"/>
      <c r="J94" s="152"/>
      <c r="K94" s="248"/>
      <c r="L94" s="248"/>
      <c r="M94" s="152"/>
      <c r="N94" s="152"/>
      <c r="O94" s="152"/>
      <c r="P94" s="152"/>
      <c r="Q94" s="152"/>
      <c r="R94" s="152"/>
      <c r="S94" s="152"/>
      <c r="T94" s="152"/>
      <c r="U94" s="152"/>
      <c r="V94" s="152"/>
      <c r="W94" s="152"/>
    </row>
    <row r="95">
      <c r="A95" s="152"/>
      <c r="B95" s="152"/>
      <c r="C95" s="152"/>
      <c r="D95" s="152"/>
      <c r="E95" s="152"/>
      <c r="F95" s="152"/>
      <c r="G95" s="152"/>
      <c r="H95" s="152"/>
      <c r="I95" s="152"/>
      <c r="J95" s="152"/>
      <c r="K95" s="248"/>
      <c r="L95" s="248"/>
      <c r="M95" s="152"/>
      <c r="N95" s="152"/>
      <c r="O95" s="152"/>
      <c r="P95" s="152"/>
      <c r="Q95" s="152"/>
      <c r="R95" s="152"/>
      <c r="S95" s="152"/>
      <c r="T95" s="152"/>
      <c r="U95" s="152"/>
      <c r="V95" s="152"/>
      <c r="W95" s="152"/>
    </row>
    <row r="96">
      <c r="A96" s="152"/>
      <c r="B96" s="152"/>
      <c r="C96" s="152"/>
      <c r="D96" s="152"/>
      <c r="E96" s="152"/>
      <c r="F96" s="152"/>
      <c r="G96" s="152"/>
      <c r="H96" s="152"/>
      <c r="I96" s="152"/>
      <c r="J96" s="152"/>
      <c r="K96" s="248"/>
      <c r="L96" s="248"/>
      <c r="M96" s="152"/>
      <c r="N96" s="152"/>
      <c r="O96" s="152"/>
      <c r="P96" s="152"/>
      <c r="Q96" s="152"/>
      <c r="R96" s="152"/>
      <c r="S96" s="152"/>
      <c r="T96" s="152"/>
      <c r="U96" s="152"/>
      <c r="V96" s="152"/>
      <c r="W96" s="152"/>
    </row>
    <row r="97">
      <c r="A97" s="152"/>
      <c r="B97" s="152"/>
      <c r="C97" s="152"/>
      <c r="D97" s="152"/>
      <c r="E97" s="152"/>
      <c r="F97" s="152"/>
      <c r="G97" s="152"/>
      <c r="H97" s="152"/>
      <c r="I97" s="152"/>
      <c r="J97" s="152"/>
      <c r="K97" s="248"/>
      <c r="L97" s="248"/>
      <c r="M97" s="152"/>
      <c r="N97" s="152"/>
      <c r="O97" s="152"/>
      <c r="P97" s="152"/>
      <c r="Q97" s="152"/>
      <c r="R97" s="152"/>
      <c r="S97" s="152"/>
      <c r="T97" s="152"/>
      <c r="U97" s="152"/>
      <c r="V97" s="152"/>
      <c r="W97" s="152"/>
    </row>
    <row r="98">
      <c r="A98" s="152"/>
      <c r="B98" s="152"/>
      <c r="C98" s="152"/>
      <c r="D98" s="152"/>
      <c r="E98" s="152"/>
      <c r="F98" s="152"/>
      <c r="G98" s="152"/>
      <c r="H98" s="152"/>
      <c r="I98" s="152"/>
      <c r="J98" s="152"/>
      <c r="K98" s="248"/>
      <c r="L98" s="248"/>
      <c r="M98" s="152"/>
      <c r="N98" s="152"/>
      <c r="O98" s="152"/>
      <c r="P98" s="152"/>
      <c r="Q98" s="152"/>
      <c r="R98" s="152"/>
      <c r="S98" s="152"/>
      <c r="T98" s="152"/>
      <c r="U98" s="152"/>
      <c r="V98" s="152"/>
      <c r="W98" s="152"/>
    </row>
    <row r="99">
      <c r="A99" s="152"/>
      <c r="B99" s="152"/>
      <c r="C99" s="152"/>
      <c r="D99" s="152"/>
      <c r="E99" s="152"/>
      <c r="F99" s="152"/>
      <c r="G99" s="152"/>
      <c r="H99" s="152"/>
      <c r="I99" s="152"/>
      <c r="J99" s="152"/>
      <c r="K99" s="248"/>
      <c r="L99" s="248"/>
      <c r="M99" s="152"/>
      <c r="N99" s="152"/>
      <c r="O99" s="152"/>
      <c r="P99" s="152"/>
      <c r="Q99" s="152"/>
      <c r="R99" s="152"/>
      <c r="S99" s="152"/>
      <c r="T99" s="152"/>
      <c r="U99" s="152"/>
      <c r="V99" s="152"/>
      <c r="W99" s="152"/>
    </row>
    <row r="100">
      <c r="A100" s="152"/>
      <c r="B100" s="152"/>
      <c r="C100" s="152"/>
      <c r="D100" s="152"/>
      <c r="E100" s="152"/>
      <c r="F100" s="152"/>
      <c r="G100" s="152"/>
      <c r="H100" s="152"/>
      <c r="I100" s="152"/>
      <c r="J100" s="152"/>
      <c r="K100" s="248"/>
      <c r="L100" s="248"/>
      <c r="M100" s="152"/>
      <c r="N100" s="152"/>
      <c r="O100" s="152"/>
      <c r="P100" s="152"/>
      <c r="Q100" s="152"/>
      <c r="R100" s="152"/>
      <c r="S100" s="152"/>
      <c r="T100" s="152"/>
      <c r="U100" s="152"/>
      <c r="V100" s="152"/>
      <c r="W100" s="152"/>
    </row>
    <row r="101">
      <c r="A101" s="152"/>
      <c r="B101" s="152"/>
      <c r="C101" s="152"/>
      <c r="D101" s="152"/>
      <c r="E101" s="152"/>
      <c r="F101" s="152"/>
      <c r="G101" s="152"/>
      <c r="H101" s="152"/>
      <c r="I101" s="152"/>
      <c r="J101" s="152"/>
      <c r="K101" s="248"/>
      <c r="L101" s="248"/>
      <c r="M101" s="152"/>
      <c r="N101" s="152"/>
      <c r="O101" s="152"/>
      <c r="P101" s="152"/>
      <c r="Q101" s="152"/>
      <c r="R101" s="152"/>
      <c r="S101" s="152"/>
      <c r="T101" s="152"/>
      <c r="U101" s="152"/>
      <c r="V101" s="152"/>
      <c r="W101" s="152"/>
    </row>
    <row r="102">
      <c r="A102" s="152"/>
      <c r="B102" s="152"/>
      <c r="C102" s="152"/>
      <c r="D102" s="152"/>
      <c r="E102" s="152"/>
      <c r="F102" s="152"/>
      <c r="G102" s="152"/>
      <c r="H102" s="152"/>
      <c r="I102" s="152"/>
      <c r="J102" s="152"/>
      <c r="K102" s="248"/>
      <c r="L102" s="248"/>
      <c r="M102" s="152"/>
      <c r="N102" s="152"/>
      <c r="O102" s="152"/>
      <c r="P102" s="152"/>
      <c r="Q102" s="152"/>
      <c r="R102" s="152"/>
      <c r="S102" s="152"/>
      <c r="T102" s="152"/>
      <c r="U102" s="152"/>
      <c r="V102" s="152"/>
      <c r="W102" s="152"/>
    </row>
    <row r="103">
      <c r="A103" s="152"/>
      <c r="B103" s="152"/>
      <c r="C103" s="152"/>
      <c r="D103" s="152"/>
      <c r="E103" s="152"/>
      <c r="F103" s="152"/>
      <c r="G103" s="152"/>
      <c r="H103" s="152"/>
      <c r="I103" s="152"/>
      <c r="J103" s="152"/>
      <c r="K103" s="248"/>
      <c r="L103" s="248"/>
      <c r="M103" s="152"/>
      <c r="N103" s="152"/>
      <c r="O103" s="152"/>
      <c r="P103" s="152"/>
      <c r="Q103" s="152"/>
      <c r="R103" s="152"/>
      <c r="S103" s="152"/>
      <c r="T103" s="152"/>
      <c r="U103" s="152"/>
      <c r="V103" s="152"/>
      <c r="W103" s="152"/>
    </row>
    <row r="104">
      <c r="A104" s="152"/>
      <c r="B104" s="152"/>
      <c r="C104" s="152"/>
      <c r="D104" s="152"/>
      <c r="E104" s="152"/>
      <c r="F104" s="152"/>
      <c r="G104" s="152"/>
      <c r="H104" s="152"/>
      <c r="I104" s="152"/>
      <c r="J104" s="152"/>
      <c r="K104" s="248"/>
      <c r="L104" s="248"/>
      <c r="M104" s="152"/>
      <c r="N104" s="152"/>
      <c r="O104" s="152"/>
      <c r="P104" s="152"/>
      <c r="Q104" s="152"/>
      <c r="R104" s="152"/>
      <c r="S104" s="152"/>
      <c r="T104" s="152"/>
      <c r="U104" s="152"/>
      <c r="V104" s="152"/>
      <c r="W104" s="152"/>
    </row>
    <row r="105">
      <c r="A105" s="152"/>
      <c r="B105" s="152"/>
      <c r="C105" s="152"/>
      <c r="D105" s="152"/>
      <c r="E105" s="152"/>
      <c r="F105" s="152"/>
      <c r="G105" s="152"/>
      <c r="H105" s="152"/>
      <c r="I105" s="152"/>
      <c r="J105" s="152"/>
      <c r="K105" s="248"/>
      <c r="L105" s="248"/>
      <c r="M105" s="152"/>
      <c r="N105" s="152"/>
      <c r="O105" s="152"/>
      <c r="P105" s="152"/>
      <c r="Q105" s="152"/>
      <c r="R105" s="152"/>
      <c r="S105" s="152"/>
      <c r="T105" s="152"/>
      <c r="U105" s="152"/>
      <c r="V105" s="152"/>
      <c r="W105" s="152"/>
    </row>
    <row r="106">
      <c r="A106" s="152"/>
      <c r="B106" s="152"/>
      <c r="C106" s="152"/>
      <c r="D106" s="152"/>
      <c r="E106" s="152"/>
      <c r="F106" s="152"/>
      <c r="G106" s="152"/>
      <c r="H106" s="152"/>
      <c r="I106" s="152"/>
      <c r="J106" s="152"/>
      <c r="K106" s="248"/>
      <c r="L106" s="248"/>
      <c r="M106" s="152"/>
      <c r="N106" s="152"/>
      <c r="O106" s="152"/>
      <c r="P106" s="152"/>
      <c r="Q106" s="152"/>
      <c r="R106" s="152"/>
      <c r="S106" s="152"/>
      <c r="T106" s="152"/>
      <c r="U106" s="152"/>
      <c r="V106" s="152"/>
      <c r="W106" s="152"/>
    </row>
    <row r="107">
      <c r="A107" s="152"/>
      <c r="B107" s="152"/>
      <c r="C107" s="152"/>
      <c r="D107" s="152"/>
      <c r="E107" s="152"/>
      <c r="F107" s="152"/>
      <c r="G107" s="152"/>
      <c r="H107" s="152"/>
      <c r="I107" s="152"/>
      <c r="J107" s="152"/>
      <c r="K107" s="248"/>
      <c r="L107" s="248"/>
      <c r="M107" s="152"/>
      <c r="N107" s="152"/>
      <c r="O107" s="152"/>
      <c r="P107" s="152"/>
      <c r="Q107" s="152"/>
      <c r="R107" s="152"/>
      <c r="S107" s="152"/>
      <c r="T107" s="152"/>
      <c r="U107" s="152"/>
      <c r="V107" s="152"/>
      <c r="W107" s="152"/>
    </row>
    <row r="108">
      <c r="A108" s="152"/>
      <c r="B108" s="152"/>
      <c r="C108" s="152"/>
      <c r="D108" s="152"/>
      <c r="E108" s="152"/>
      <c r="F108" s="152"/>
      <c r="G108" s="152"/>
      <c r="H108" s="152"/>
      <c r="I108" s="152"/>
      <c r="J108" s="152"/>
      <c r="K108" s="248"/>
      <c r="L108" s="248"/>
      <c r="M108" s="152"/>
      <c r="N108" s="152"/>
      <c r="O108" s="152"/>
      <c r="P108" s="152"/>
      <c r="Q108" s="152"/>
      <c r="R108" s="152"/>
      <c r="S108" s="152"/>
      <c r="T108" s="152"/>
      <c r="U108" s="152"/>
      <c r="V108" s="152"/>
      <c r="W108" s="152"/>
    </row>
    <row r="109">
      <c r="A109" s="152"/>
      <c r="B109" s="152"/>
      <c r="C109" s="152"/>
      <c r="D109" s="152"/>
      <c r="E109" s="152"/>
      <c r="F109" s="152"/>
      <c r="G109" s="152"/>
      <c r="H109" s="152"/>
      <c r="I109" s="152"/>
      <c r="J109" s="152"/>
      <c r="K109" s="248"/>
      <c r="L109" s="248"/>
      <c r="M109" s="152"/>
      <c r="N109" s="152"/>
      <c r="O109" s="152"/>
      <c r="P109" s="152"/>
      <c r="Q109" s="152"/>
      <c r="R109" s="152"/>
      <c r="S109" s="152"/>
      <c r="T109" s="152"/>
      <c r="U109" s="152"/>
      <c r="V109" s="152"/>
      <c r="W109" s="152"/>
    </row>
    <row r="110">
      <c r="A110" s="152"/>
      <c r="B110" s="152"/>
      <c r="C110" s="152"/>
      <c r="D110" s="152"/>
      <c r="E110" s="152"/>
      <c r="F110" s="152"/>
      <c r="G110" s="152"/>
      <c r="H110" s="152"/>
      <c r="I110" s="152"/>
      <c r="J110" s="152"/>
      <c r="K110" s="248"/>
      <c r="L110" s="248"/>
      <c r="M110" s="152"/>
      <c r="N110" s="152"/>
      <c r="O110" s="152"/>
      <c r="P110" s="152"/>
      <c r="Q110" s="152"/>
      <c r="R110" s="152"/>
      <c r="S110" s="152"/>
      <c r="T110" s="152"/>
      <c r="U110" s="152"/>
      <c r="V110" s="152"/>
      <c r="W110" s="152"/>
    </row>
    <row r="111">
      <c r="A111" s="152"/>
      <c r="B111" s="152"/>
      <c r="C111" s="152"/>
      <c r="D111" s="152"/>
      <c r="E111" s="152"/>
      <c r="F111" s="152"/>
      <c r="G111" s="152"/>
      <c r="H111" s="152"/>
      <c r="I111" s="152"/>
      <c r="J111" s="152"/>
      <c r="K111" s="248"/>
      <c r="L111" s="248"/>
      <c r="M111" s="152"/>
      <c r="N111" s="152"/>
      <c r="O111" s="152"/>
      <c r="P111" s="152"/>
      <c r="Q111" s="152"/>
      <c r="R111" s="152"/>
      <c r="S111" s="152"/>
      <c r="T111" s="152"/>
      <c r="U111" s="152"/>
      <c r="V111" s="152"/>
      <c r="W111" s="152"/>
    </row>
    <row r="112">
      <c r="A112" s="152"/>
      <c r="B112" s="152"/>
      <c r="C112" s="152"/>
      <c r="D112" s="152"/>
      <c r="E112" s="152"/>
      <c r="F112" s="152"/>
      <c r="G112" s="152"/>
      <c r="H112" s="152"/>
      <c r="I112" s="152"/>
      <c r="J112" s="152"/>
      <c r="K112" s="248"/>
      <c r="L112" s="248"/>
      <c r="M112" s="152"/>
      <c r="N112" s="152"/>
      <c r="O112" s="152"/>
      <c r="P112" s="152"/>
      <c r="Q112" s="152"/>
      <c r="R112" s="152"/>
      <c r="S112" s="152"/>
      <c r="T112" s="152"/>
      <c r="U112" s="152"/>
      <c r="V112" s="152"/>
      <c r="W112" s="152"/>
    </row>
    <row r="113">
      <c r="A113" s="152"/>
      <c r="B113" s="152"/>
      <c r="C113" s="152"/>
      <c r="D113" s="152"/>
      <c r="E113" s="152"/>
      <c r="F113" s="152"/>
      <c r="G113" s="152"/>
      <c r="H113" s="152"/>
      <c r="I113" s="152"/>
      <c r="J113" s="152"/>
      <c r="K113" s="248"/>
      <c r="L113" s="248"/>
      <c r="M113" s="152"/>
      <c r="N113" s="152"/>
      <c r="O113" s="152"/>
      <c r="P113" s="152"/>
      <c r="Q113" s="152"/>
      <c r="R113" s="152"/>
      <c r="S113" s="152"/>
      <c r="T113" s="152"/>
      <c r="U113" s="152"/>
      <c r="V113" s="152"/>
      <c r="W113" s="152"/>
    </row>
    <row r="114">
      <c r="A114" s="152"/>
      <c r="B114" s="152"/>
      <c r="C114" s="152"/>
      <c r="D114" s="152"/>
      <c r="E114" s="152"/>
      <c r="F114" s="152"/>
      <c r="G114" s="152"/>
      <c r="H114" s="152"/>
      <c r="I114" s="152"/>
      <c r="J114" s="152"/>
      <c r="K114" s="248"/>
      <c r="L114" s="248"/>
      <c r="M114" s="152"/>
      <c r="N114" s="152"/>
      <c r="O114" s="152"/>
      <c r="P114" s="152"/>
      <c r="Q114" s="152"/>
      <c r="R114" s="152"/>
      <c r="S114" s="152"/>
      <c r="T114" s="152"/>
      <c r="U114" s="152"/>
      <c r="V114" s="152"/>
      <c r="W114" s="152"/>
    </row>
    <row r="115">
      <c r="A115" s="152"/>
      <c r="B115" s="152"/>
      <c r="C115" s="152"/>
      <c r="D115" s="152"/>
      <c r="E115" s="152"/>
      <c r="F115" s="152"/>
      <c r="G115" s="152"/>
      <c r="H115" s="152"/>
      <c r="I115" s="152"/>
      <c r="J115" s="152"/>
      <c r="K115" s="248"/>
      <c r="L115" s="248"/>
      <c r="M115" s="152"/>
      <c r="N115" s="152"/>
      <c r="O115" s="152"/>
      <c r="P115" s="152"/>
      <c r="Q115" s="152"/>
      <c r="R115" s="152"/>
      <c r="S115" s="152"/>
      <c r="T115" s="152"/>
      <c r="U115" s="152"/>
      <c r="V115" s="152"/>
      <c r="W115" s="152"/>
    </row>
    <row r="116">
      <c r="A116" s="152"/>
      <c r="B116" s="152"/>
      <c r="C116" s="152"/>
      <c r="D116" s="152"/>
      <c r="E116" s="152"/>
      <c r="F116" s="152"/>
      <c r="G116" s="152"/>
      <c r="H116" s="152"/>
      <c r="I116" s="152"/>
      <c r="J116" s="152"/>
      <c r="K116" s="248"/>
      <c r="L116" s="248"/>
      <c r="M116" s="152"/>
      <c r="N116" s="152"/>
      <c r="O116" s="152"/>
      <c r="P116" s="152"/>
      <c r="Q116" s="152"/>
      <c r="R116" s="152"/>
      <c r="S116" s="152"/>
      <c r="T116" s="152"/>
      <c r="U116" s="152"/>
      <c r="V116" s="152"/>
      <c r="W116" s="152"/>
    </row>
    <row r="117">
      <c r="A117" s="152"/>
      <c r="B117" s="152"/>
      <c r="C117" s="152"/>
      <c r="D117" s="152"/>
      <c r="E117" s="152"/>
      <c r="F117" s="152"/>
      <c r="G117" s="152"/>
      <c r="H117" s="152"/>
      <c r="I117" s="152"/>
      <c r="J117" s="152"/>
      <c r="K117" s="248"/>
      <c r="L117" s="248"/>
      <c r="M117" s="152"/>
      <c r="N117" s="152"/>
      <c r="O117" s="152"/>
      <c r="P117" s="152"/>
      <c r="Q117" s="152"/>
      <c r="R117" s="152"/>
      <c r="S117" s="152"/>
      <c r="T117" s="152"/>
      <c r="U117" s="152"/>
      <c r="V117" s="152"/>
      <c r="W117" s="152"/>
    </row>
    <row r="118">
      <c r="A118" s="152"/>
      <c r="B118" s="152"/>
      <c r="C118" s="152"/>
      <c r="D118" s="152"/>
      <c r="E118" s="152"/>
      <c r="F118" s="152"/>
      <c r="G118" s="152"/>
      <c r="H118" s="152"/>
      <c r="I118" s="152"/>
      <c r="J118" s="152"/>
      <c r="K118" s="248"/>
      <c r="L118" s="248"/>
      <c r="M118" s="152"/>
      <c r="N118" s="152"/>
      <c r="O118" s="152"/>
      <c r="P118" s="152"/>
      <c r="Q118" s="152"/>
      <c r="R118" s="152"/>
      <c r="S118" s="152"/>
      <c r="T118" s="152"/>
      <c r="U118" s="152"/>
      <c r="V118" s="152"/>
      <c r="W118" s="152"/>
    </row>
    <row r="119">
      <c r="A119" s="152"/>
      <c r="B119" s="152"/>
      <c r="C119" s="152"/>
      <c r="D119" s="152"/>
      <c r="E119" s="152"/>
      <c r="F119" s="152"/>
      <c r="G119" s="152"/>
      <c r="H119" s="152"/>
      <c r="I119" s="152"/>
      <c r="J119" s="152"/>
      <c r="K119" s="248"/>
      <c r="L119" s="248"/>
      <c r="M119" s="152"/>
      <c r="N119" s="152"/>
      <c r="O119" s="152"/>
      <c r="P119" s="152"/>
      <c r="Q119" s="152"/>
      <c r="R119" s="152"/>
      <c r="S119" s="152"/>
      <c r="T119" s="152"/>
      <c r="U119" s="152"/>
      <c r="V119" s="152"/>
      <c r="W119" s="152"/>
    </row>
    <row r="120">
      <c r="A120" s="152"/>
      <c r="B120" s="152"/>
      <c r="C120" s="152"/>
      <c r="D120" s="152"/>
      <c r="E120" s="152"/>
      <c r="F120" s="152"/>
      <c r="G120" s="152"/>
      <c r="H120" s="152"/>
      <c r="I120" s="152"/>
      <c r="J120" s="152"/>
      <c r="K120" s="248"/>
      <c r="L120" s="248"/>
      <c r="M120" s="152"/>
      <c r="N120" s="152"/>
      <c r="O120" s="152"/>
      <c r="P120" s="152"/>
      <c r="Q120" s="152"/>
      <c r="R120" s="152"/>
      <c r="S120" s="152"/>
      <c r="T120" s="152"/>
      <c r="U120" s="152"/>
      <c r="V120" s="152"/>
      <c r="W120" s="152"/>
    </row>
    <row r="121">
      <c r="A121" s="152"/>
      <c r="B121" s="152"/>
      <c r="C121" s="152"/>
      <c r="D121" s="152"/>
      <c r="E121" s="152"/>
      <c r="F121" s="152"/>
      <c r="G121" s="152"/>
      <c r="H121" s="152"/>
      <c r="I121" s="152"/>
      <c r="J121" s="152"/>
      <c r="K121" s="248"/>
      <c r="L121" s="248"/>
      <c r="M121" s="152"/>
      <c r="N121" s="152"/>
      <c r="O121" s="152"/>
      <c r="P121" s="152"/>
      <c r="Q121" s="152"/>
      <c r="R121" s="152"/>
      <c r="S121" s="152"/>
      <c r="T121" s="152"/>
      <c r="U121" s="152"/>
      <c r="V121" s="152"/>
      <c r="W121" s="152"/>
    </row>
    <row r="122">
      <c r="A122" s="152"/>
      <c r="B122" s="152"/>
      <c r="C122" s="152"/>
      <c r="D122" s="152"/>
      <c r="E122" s="152"/>
      <c r="F122" s="152"/>
      <c r="G122" s="152"/>
      <c r="H122" s="152"/>
      <c r="I122" s="152"/>
      <c r="J122" s="152"/>
      <c r="K122" s="248"/>
      <c r="L122" s="248"/>
      <c r="M122" s="152"/>
      <c r="N122" s="152"/>
      <c r="O122" s="152"/>
      <c r="P122" s="152"/>
      <c r="Q122" s="152"/>
      <c r="R122" s="152"/>
      <c r="S122" s="152"/>
      <c r="T122" s="152"/>
      <c r="U122" s="152"/>
      <c r="V122" s="152"/>
      <c r="W122" s="152"/>
    </row>
    <row r="123">
      <c r="A123" s="152"/>
      <c r="B123" s="152"/>
      <c r="C123" s="152"/>
      <c r="D123" s="152"/>
      <c r="E123" s="152"/>
      <c r="F123" s="152"/>
      <c r="G123" s="152"/>
      <c r="H123" s="152"/>
      <c r="I123" s="152"/>
      <c r="J123" s="152"/>
      <c r="K123" s="248"/>
      <c r="L123" s="248"/>
      <c r="M123" s="152"/>
      <c r="N123" s="152"/>
      <c r="O123" s="152"/>
      <c r="P123" s="152"/>
      <c r="Q123" s="152"/>
      <c r="R123" s="152"/>
      <c r="S123" s="152"/>
      <c r="T123" s="152"/>
      <c r="U123" s="152"/>
      <c r="V123" s="152"/>
      <c r="W123" s="152"/>
    </row>
    <row r="124">
      <c r="A124" s="152"/>
      <c r="B124" s="152"/>
      <c r="C124" s="152"/>
      <c r="D124" s="152"/>
      <c r="E124" s="152"/>
      <c r="F124" s="152"/>
      <c r="G124" s="152"/>
      <c r="H124" s="152"/>
      <c r="I124" s="152"/>
      <c r="J124" s="152"/>
      <c r="K124" s="248"/>
      <c r="L124" s="248"/>
      <c r="M124" s="152"/>
      <c r="N124" s="152"/>
      <c r="O124" s="152"/>
      <c r="P124" s="152"/>
      <c r="Q124" s="152"/>
      <c r="R124" s="152"/>
      <c r="S124" s="152"/>
      <c r="T124" s="152"/>
      <c r="U124" s="152"/>
      <c r="V124" s="152"/>
      <c r="W124" s="152"/>
    </row>
    <row r="125">
      <c r="A125" s="152"/>
      <c r="B125" s="152"/>
      <c r="C125" s="152"/>
      <c r="D125" s="152"/>
      <c r="E125" s="152"/>
      <c r="F125" s="152"/>
      <c r="G125" s="152"/>
      <c r="H125" s="152"/>
      <c r="I125" s="152"/>
      <c r="J125" s="152"/>
      <c r="K125" s="248"/>
      <c r="L125" s="248"/>
      <c r="M125" s="152"/>
      <c r="N125" s="152"/>
      <c r="O125" s="152"/>
      <c r="P125" s="152"/>
      <c r="Q125" s="152"/>
      <c r="R125" s="152"/>
      <c r="S125" s="152"/>
      <c r="T125" s="152"/>
      <c r="U125" s="152"/>
      <c r="V125" s="152"/>
      <c r="W125" s="152"/>
    </row>
    <row r="126">
      <c r="A126" s="152"/>
      <c r="B126" s="152"/>
      <c r="C126" s="152"/>
      <c r="D126" s="152"/>
      <c r="E126" s="152"/>
      <c r="F126" s="152"/>
      <c r="G126" s="152"/>
      <c r="H126" s="152"/>
      <c r="I126" s="152"/>
      <c r="J126" s="152"/>
      <c r="K126" s="248"/>
      <c r="L126" s="248"/>
      <c r="M126" s="152"/>
      <c r="N126" s="152"/>
      <c r="O126" s="152"/>
      <c r="P126" s="152"/>
      <c r="Q126" s="152"/>
      <c r="R126" s="152"/>
      <c r="S126" s="152"/>
      <c r="T126" s="152"/>
      <c r="U126" s="152"/>
      <c r="V126" s="152"/>
      <c r="W126" s="152"/>
    </row>
    <row r="127">
      <c r="A127" s="152"/>
      <c r="B127" s="152"/>
      <c r="C127" s="152"/>
      <c r="D127" s="152"/>
      <c r="E127" s="152"/>
      <c r="F127" s="152"/>
      <c r="G127" s="152"/>
      <c r="H127" s="152"/>
      <c r="I127" s="152"/>
      <c r="J127" s="152"/>
      <c r="K127" s="248"/>
      <c r="L127" s="248"/>
      <c r="M127" s="152"/>
      <c r="N127" s="152"/>
      <c r="O127" s="152"/>
      <c r="P127" s="152"/>
      <c r="Q127" s="152"/>
      <c r="R127" s="152"/>
      <c r="S127" s="152"/>
      <c r="T127" s="152"/>
      <c r="U127" s="152"/>
      <c r="V127" s="152"/>
      <c r="W127" s="152"/>
    </row>
    <row r="128">
      <c r="A128" s="152"/>
      <c r="B128" s="152"/>
      <c r="C128" s="152"/>
      <c r="D128" s="152"/>
      <c r="E128" s="152"/>
      <c r="F128" s="152"/>
      <c r="G128" s="152"/>
      <c r="H128" s="152"/>
      <c r="I128" s="152"/>
      <c r="J128" s="152"/>
      <c r="K128" s="248"/>
      <c r="L128" s="248"/>
      <c r="M128" s="152"/>
      <c r="N128" s="152"/>
      <c r="O128" s="152"/>
      <c r="P128" s="152"/>
      <c r="Q128" s="152"/>
      <c r="R128" s="152"/>
      <c r="S128" s="152"/>
      <c r="T128" s="152"/>
      <c r="U128" s="152"/>
      <c r="V128" s="152"/>
      <c r="W128" s="152"/>
    </row>
    <row r="129">
      <c r="A129" s="152"/>
      <c r="B129" s="152"/>
      <c r="C129" s="152"/>
      <c r="D129" s="152"/>
      <c r="E129" s="152"/>
      <c r="F129" s="152"/>
      <c r="G129" s="152"/>
      <c r="H129" s="152"/>
      <c r="I129" s="152"/>
      <c r="J129" s="152"/>
      <c r="K129" s="248"/>
      <c r="L129" s="248"/>
      <c r="M129" s="152"/>
      <c r="N129" s="152"/>
      <c r="O129" s="152"/>
      <c r="P129" s="152"/>
      <c r="Q129" s="152"/>
      <c r="R129" s="152"/>
      <c r="S129" s="152"/>
      <c r="T129" s="152"/>
      <c r="U129" s="152"/>
      <c r="V129" s="152"/>
      <c r="W129" s="152"/>
    </row>
    <row r="130">
      <c r="A130" s="152"/>
      <c r="B130" s="152"/>
      <c r="C130" s="152"/>
      <c r="D130" s="152"/>
      <c r="E130" s="152"/>
      <c r="F130" s="152"/>
      <c r="G130" s="152"/>
      <c r="H130" s="152"/>
      <c r="I130" s="152"/>
      <c r="J130" s="152"/>
      <c r="K130" s="248"/>
      <c r="L130" s="248"/>
      <c r="M130" s="152"/>
      <c r="N130" s="152"/>
      <c r="O130" s="152"/>
      <c r="P130" s="152"/>
      <c r="Q130" s="152"/>
      <c r="R130" s="152"/>
      <c r="S130" s="152"/>
      <c r="T130" s="152"/>
      <c r="U130" s="152"/>
      <c r="V130" s="152"/>
      <c r="W130" s="152"/>
    </row>
    <row r="131">
      <c r="A131" s="152"/>
      <c r="B131" s="152"/>
      <c r="C131" s="152"/>
      <c r="D131" s="152"/>
      <c r="E131" s="152"/>
      <c r="F131" s="152"/>
      <c r="G131" s="152"/>
      <c r="H131" s="152"/>
      <c r="I131" s="152"/>
      <c r="J131" s="152"/>
      <c r="K131" s="248"/>
      <c r="L131" s="248"/>
      <c r="M131" s="152"/>
      <c r="N131" s="152"/>
      <c r="O131" s="152"/>
      <c r="P131" s="152"/>
      <c r="Q131" s="152"/>
      <c r="R131" s="152"/>
      <c r="S131" s="152"/>
      <c r="T131" s="152"/>
      <c r="U131" s="152"/>
      <c r="V131" s="152"/>
      <c r="W131" s="152"/>
    </row>
    <row r="132">
      <c r="A132" s="152"/>
      <c r="B132" s="152"/>
      <c r="C132" s="152"/>
      <c r="D132" s="152"/>
      <c r="E132" s="152"/>
      <c r="F132" s="152"/>
      <c r="G132" s="152"/>
      <c r="H132" s="152"/>
      <c r="I132" s="152"/>
      <c r="J132" s="152"/>
      <c r="K132" s="248"/>
      <c r="L132" s="248"/>
      <c r="M132" s="152"/>
      <c r="N132" s="152"/>
      <c r="O132" s="152"/>
      <c r="P132" s="152"/>
      <c r="Q132" s="152"/>
      <c r="R132" s="152"/>
      <c r="S132" s="152"/>
      <c r="T132" s="152"/>
      <c r="U132" s="152"/>
      <c r="V132" s="152"/>
      <c r="W132" s="152"/>
    </row>
    <row r="133">
      <c r="A133" s="152"/>
      <c r="B133" s="152"/>
      <c r="C133" s="152"/>
      <c r="D133" s="152"/>
      <c r="E133" s="152"/>
      <c r="F133" s="152"/>
      <c r="G133" s="152"/>
      <c r="H133" s="152"/>
      <c r="I133" s="152"/>
      <c r="J133" s="152"/>
      <c r="K133" s="248"/>
      <c r="L133" s="248"/>
      <c r="M133" s="152"/>
      <c r="N133" s="152"/>
      <c r="O133" s="152"/>
      <c r="P133" s="152"/>
      <c r="Q133" s="152"/>
      <c r="R133" s="152"/>
      <c r="S133" s="152"/>
      <c r="T133" s="152"/>
      <c r="U133" s="152"/>
      <c r="V133" s="152"/>
      <c r="W133" s="152"/>
    </row>
    <row r="134">
      <c r="A134" s="152"/>
      <c r="B134" s="152"/>
      <c r="C134" s="152"/>
      <c r="D134" s="152"/>
      <c r="E134" s="152"/>
      <c r="F134" s="152"/>
      <c r="G134" s="152"/>
      <c r="H134" s="152"/>
      <c r="I134" s="152"/>
      <c r="J134" s="152"/>
      <c r="K134" s="248"/>
      <c r="L134" s="248"/>
      <c r="M134" s="152"/>
      <c r="N134" s="152"/>
      <c r="O134" s="152"/>
      <c r="P134" s="152"/>
      <c r="Q134" s="152"/>
      <c r="R134" s="152"/>
      <c r="S134" s="152"/>
      <c r="T134" s="152"/>
      <c r="U134" s="152"/>
      <c r="V134" s="152"/>
      <c r="W134" s="152"/>
    </row>
    <row r="135">
      <c r="A135" s="152"/>
      <c r="B135" s="152"/>
      <c r="C135" s="152"/>
      <c r="D135" s="152"/>
      <c r="E135" s="152"/>
      <c r="F135" s="152"/>
      <c r="G135" s="152"/>
      <c r="H135" s="152"/>
      <c r="I135" s="152"/>
      <c r="J135" s="152"/>
      <c r="K135" s="248"/>
      <c r="L135" s="248"/>
      <c r="M135" s="152"/>
      <c r="N135" s="152"/>
      <c r="O135" s="152"/>
      <c r="P135" s="152"/>
      <c r="Q135" s="152"/>
      <c r="R135" s="152"/>
      <c r="S135" s="152"/>
      <c r="T135" s="152"/>
      <c r="U135" s="152"/>
      <c r="V135" s="152"/>
      <c r="W135" s="152"/>
    </row>
    <row r="136">
      <c r="A136" s="152"/>
      <c r="B136" s="152"/>
      <c r="C136" s="152"/>
      <c r="D136" s="152"/>
      <c r="E136" s="152"/>
      <c r="F136" s="152"/>
      <c r="G136" s="152"/>
      <c r="H136" s="152"/>
      <c r="I136" s="152"/>
      <c r="J136" s="152"/>
      <c r="K136" s="248"/>
      <c r="L136" s="248"/>
      <c r="M136" s="152"/>
      <c r="N136" s="152"/>
      <c r="O136" s="152"/>
      <c r="P136" s="152"/>
      <c r="Q136" s="152"/>
      <c r="R136" s="152"/>
      <c r="S136" s="152"/>
      <c r="T136" s="152"/>
      <c r="U136" s="152"/>
      <c r="V136" s="152"/>
      <c r="W136" s="152"/>
    </row>
    <row r="137">
      <c r="A137" s="152"/>
      <c r="B137" s="152"/>
      <c r="C137" s="152"/>
      <c r="D137" s="152"/>
      <c r="E137" s="152"/>
      <c r="F137" s="152"/>
      <c r="G137" s="152"/>
      <c r="H137" s="152"/>
      <c r="I137" s="152"/>
      <c r="J137" s="152"/>
      <c r="K137" s="248"/>
      <c r="L137" s="248"/>
      <c r="M137" s="152"/>
      <c r="N137" s="152"/>
      <c r="O137" s="152"/>
      <c r="P137" s="152"/>
      <c r="Q137" s="152"/>
      <c r="R137" s="152"/>
      <c r="S137" s="152"/>
      <c r="T137" s="152"/>
      <c r="U137" s="152"/>
      <c r="V137" s="152"/>
      <c r="W137" s="152"/>
    </row>
    <row r="138">
      <c r="A138" s="152"/>
      <c r="B138" s="152"/>
      <c r="C138" s="152"/>
      <c r="D138" s="152"/>
      <c r="E138" s="152"/>
      <c r="F138" s="152"/>
      <c r="G138" s="152"/>
      <c r="H138" s="152"/>
      <c r="I138" s="152"/>
      <c r="J138" s="152"/>
      <c r="K138" s="248"/>
      <c r="L138" s="248"/>
      <c r="M138" s="152"/>
      <c r="N138" s="152"/>
      <c r="O138" s="152"/>
      <c r="P138" s="152"/>
      <c r="Q138" s="152"/>
      <c r="R138" s="152"/>
      <c r="S138" s="152"/>
      <c r="T138" s="152"/>
      <c r="U138" s="152"/>
      <c r="V138" s="152"/>
      <c r="W138" s="152"/>
    </row>
    <row r="139">
      <c r="A139" s="152"/>
      <c r="B139" s="152"/>
      <c r="C139" s="152"/>
      <c r="D139" s="152"/>
      <c r="E139" s="152"/>
      <c r="F139" s="152"/>
      <c r="G139" s="152"/>
      <c r="H139" s="152"/>
      <c r="I139" s="152"/>
      <c r="J139" s="152"/>
      <c r="K139" s="248"/>
      <c r="L139" s="248"/>
      <c r="M139" s="152"/>
      <c r="N139" s="152"/>
      <c r="O139" s="152"/>
      <c r="P139" s="152"/>
      <c r="Q139" s="152"/>
      <c r="R139" s="152"/>
      <c r="S139" s="152"/>
      <c r="T139" s="152"/>
      <c r="U139" s="152"/>
      <c r="V139" s="152"/>
      <c r="W139" s="152"/>
    </row>
    <row r="140">
      <c r="A140" s="152"/>
      <c r="B140" s="152"/>
      <c r="C140" s="152"/>
      <c r="D140" s="152"/>
      <c r="E140" s="152"/>
      <c r="F140" s="152"/>
      <c r="G140" s="152"/>
      <c r="H140" s="152"/>
      <c r="I140" s="152"/>
      <c r="J140" s="152"/>
      <c r="K140" s="248"/>
      <c r="L140" s="248"/>
      <c r="M140" s="152"/>
      <c r="N140" s="152"/>
      <c r="O140" s="152"/>
      <c r="P140" s="152"/>
      <c r="Q140" s="152"/>
      <c r="R140" s="152"/>
      <c r="S140" s="152"/>
      <c r="T140" s="152"/>
      <c r="U140" s="152"/>
      <c r="V140" s="152"/>
      <c r="W140" s="152"/>
    </row>
    <row r="141">
      <c r="A141" s="152"/>
      <c r="B141" s="152"/>
      <c r="C141" s="152"/>
      <c r="D141" s="152"/>
      <c r="E141" s="152"/>
      <c r="F141" s="152"/>
      <c r="G141" s="152"/>
      <c r="H141" s="152"/>
      <c r="I141" s="152"/>
      <c r="J141" s="152"/>
      <c r="K141" s="248"/>
      <c r="L141" s="248"/>
      <c r="M141" s="152"/>
      <c r="N141" s="152"/>
      <c r="O141" s="152"/>
      <c r="P141" s="152"/>
      <c r="Q141" s="152"/>
      <c r="R141" s="152"/>
      <c r="S141" s="152"/>
      <c r="T141" s="152"/>
      <c r="U141" s="152"/>
      <c r="V141" s="152"/>
      <c r="W141" s="152"/>
    </row>
    <row r="142">
      <c r="A142" s="152"/>
      <c r="B142" s="152"/>
      <c r="C142" s="152"/>
      <c r="D142" s="152"/>
      <c r="E142" s="152"/>
      <c r="F142" s="152"/>
      <c r="G142" s="152"/>
      <c r="H142" s="152"/>
      <c r="I142" s="152"/>
      <c r="J142" s="152"/>
      <c r="K142" s="248"/>
      <c r="L142" s="248"/>
      <c r="M142" s="152"/>
      <c r="N142" s="152"/>
      <c r="O142" s="152"/>
      <c r="P142" s="152"/>
      <c r="Q142" s="152"/>
      <c r="R142" s="152"/>
      <c r="S142" s="152"/>
      <c r="T142" s="152"/>
      <c r="U142" s="152"/>
      <c r="V142" s="152"/>
      <c r="W142" s="152"/>
    </row>
    <row r="143">
      <c r="A143" s="152"/>
      <c r="B143" s="152"/>
      <c r="C143" s="152"/>
      <c r="D143" s="152"/>
      <c r="E143" s="152"/>
      <c r="F143" s="152"/>
      <c r="G143" s="152"/>
      <c r="H143" s="152"/>
      <c r="I143" s="152"/>
      <c r="J143" s="152"/>
      <c r="K143" s="248"/>
      <c r="L143" s="248"/>
      <c r="M143" s="152"/>
      <c r="N143" s="152"/>
      <c r="O143" s="152"/>
      <c r="P143" s="152"/>
      <c r="Q143" s="152"/>
      <c r="R143" s="152"/>
      <c r="S143" s="152"/>
      <c r="T143" s="152"/>
      <c r="U143" s="152"/>
      <c r="V143" s="152"/>
      <c r="W143" s="152"/>
    </row>
    <row r="144">
      <c r="A144" s="152"/>
      <c r="B144" s="152"/>
      <c r="C144" s="152"/>
      <c r="D144" s="152"/>
      <c r="E144" s="152"/>
      <c r="F144" s="152"/>
      <c r="G144" s="152"/>
      <c r="H144" s="152"/>
      <c r="I144" s="152"/>
      <c r="J144" s="152"/>
      <c r="K144" s="248"/>
      <c r="L144" s="248"/>
      <c r="M144" s="152"/>
      <c r="N144" s="152"/>
      <c r="O144" s="152"/>
      <c r="P144" s="152"/>
      <c r="Q144" s="152"/>
      <c r="R144" s="152"/>
      <c r="S144" s="152"/>
      <c r="T144" s="152"/>
      <c r="U144" s="152"/>
      <c r="V144" s="152"/>
      <c r="W144" s="152"/>
    </row>
    <row r="145">
      <c r="A145" s="152"/>
      <c r="B145" s="152"/>
      <c r="C145" s="152"/>
      <c r="D145" s="152"/>
      <c r="E145" s="152"/>
      <c r="F145" s="152"/>
      <c r="G145" s="152"/>
      <c r="H145" s="152"/>
      <c r="I145" s="152"/>
      <c r="J145" s="152"/>
      <c r="K145" s="248"/>
      <c r="L145" s="248"/>
      <c r="M145" s="152"/>
      <c r="N145" s="152"/>
      <c r="O145" s="152"/>
      <c r="P145" s="152"/>
      <c r="Q145" s="152"/>
      <c r="R145" s="152"/>
      <c r="S145" s="152"/>
      <c r="T145" s="152"/>
      <c r="U145" s="152"/>
      <c r="V145" s="152"/>
      <c r="W145" s="152"/>
    </row>
    <row r="146">
      <c r="A146" s="152"/>
      <c r="B146" s="152"/>
      <c r="C146" s="152"/>
      <c r="D146" s="152"/>
      <c r="E146" s="152"/>
      <c r="F146" s="152"/>
      <c r="G146" s="152"/>
      <c r="H146" s="152"/>
      <c r="I146" s="152"/>
      <c r="J146" s="152"/>
      <c r="K146" s="248"/>
      <c r="L146" s="248"/>
      <c r="M146" s="152"/>
      <c r="N146" s="152"/>
      <c r="O146" s="152"/>
      <c r="P146" s="152"/>
      <c r="Q146" s="152"/>
      <c r="R146" s="152"/>
      <c r="S146" s="152"/>
      <c r="T146" s="152"/>
      <c r="U146" s="152"/>
      <c r="V146" s="152"/>
      <c r="W146" s="152"/>
    </row>
    <row r="147">
      <c r="A147" s="152"/>
      <c r="B147" s="152"/>
      <c r="C147" s="152"/>
      <c r="D147" s="152"/>
      <c r="E147" s="152"/>
      <c r="F147" s="152"/>
      <c r="G147" s="152"/>
      <c r="H147" s="152"/>
      <c r="I147" s="152"/>
      <c r="J147" s="152"/>
      <c r="K147" s="248"/>
      <c r="L147" s="248"/>
      <c r="M147" s="152"/>
      <c r="N147" s="152"/>
      <c r="O147" s="152"/>
      <c r="P147" s="152"/>
      <c r="Q147" s="152"/>
      <c r="R147" s="152"/>
      <c r="S147" s="152"/>
      <c r="T147" s="152"/>
      <c r="U147" s="152"/>
      <c r="V147" s="152"/>
      <c r="W147" s="152"/>
    </row>
    <row r="148">
      <c r="A148" s="152"/>
      <c r="B148" s="152"/>
      <c r="C148" s="152"/>
      <c r="D148" s="152"/>
      <c r="E148" s="152"/>
      <c r="F148" s="152"/>
      <c r="G148" s="152"/>
      <c r="H148" s="152"/>
      <c r="I148" s="152"/>
      <c r="J148" s="152"/>
      <c r="K148" s="248"/>
      <c r="L148" s="248"/>
      <c r="M148" s="152"/>
      <c r="N148" s="152"/>
      <c r="O148" s="152"/>
      <c r="P148" s="152"/>
      <c r="Q148" s="152"/>
      <c r="R148" s="152"/>
      <c r="S148" s="152"/>
      <c r="T148" s="152"/>
      <c r="U148" s="152"/>
      <c r="V148" s="152"/>
      <c r="W148" s="152"/>
    </row>
    <row r="149">
      <c r="A149" s="152"/>
      <c r="B149" s="152"/>
      <c r="C149" s="152"/>
      <c r="D149" s="152"/>
      <c r="E149" s="152"/>
      <c r="F149" s="152"/>
      <c r="G149" s="152"/>
      <c r="H149" s="152"/>
      <c r="I149" s="152"/>
      <c r="J149" s="152"/>
      <c r="K149" s="248"/>
      <c r="L149" s="248"/>
      <c r="M149" s="152"/>
      <c r="N149" s="152"/>
      <c r="O149" s="152"/>
      <c r="P149" s="152"/>
      <c r="Q149" s="152"/>
      <c r="R149" s="152"/>
      <c r="S149" s="152"/>
      <c r="T149" s="152"/>
      <c r="U149" s="152"/>
      <c r="V149" s="152"/>
      <c r="W149" s="152"/>
    </row>
    <row r="150">
      <c r="A150" s="152"/>
      <c r="B150" s="152"/>
      <c r="C150" s="152"/>
      <c r="D150" s="152"/>
      <c r="E150" s="152"/>
      <c r="F150" s="152"/>
      <c r="G150" s="152"/>
      <c r="H150" s="152"/>
      <c r="I150" s="152"/>
      <c r="J150" s="152"/>
      <c r="K150" s="248"/>
      <c r="L150" s="248"/>
      <c r="M150" s="152"/>
      <c r="N150" s="152"/>
      <c r="O150" s="152"/>
      <c r="P150" s="152"/>
      <c r="Q150" s="152"/>
      <c r="R150" s="152"/>
      <c r="S150" s="152"/>
      <c r="T150" s="152"/>
      <c r="U150" s="152"/>
      <c r="V150" s="152"/>
      <c r="W150" s="152"/>
    </row>
    <row r="151">
      <c r="A151" s="152"/>
      <c r="B151" s="152"/>
      <c r="C151" s="152"/>
      <c r="D151" s="152"/>
      <c r="E151" s="152"/>
      <c r="F151" s="152"/>
      <c r="G151" s="152"/>
      <c r="H151" s="152"/>
      <c r="I151" s="152"/>
      <c r="J151" s="152"/>
      <c r="K151" s="248"/>
      <c r="L151" s="248"/>
      <c r="M151" s="152"/>
      <c r="N151" s="152"/>
      <c r="O151" s="152"/>
      <c r="P151" s="152"/>
      <c r="Q151" s="152"/>
      <c r="R151" s="152"/>
      <c r="S151" s="152"/>
      <c r="T151" s="152"/>
      <c r="U151" s="152"/>
      <c r="V151" s="152"/>
      <c r="W151" s="152"/>
    </row>
    <row r="152">
      <c r="A152" s="152"/>
      <c r="B152" s="152"/>
      <c r="C152" s="152"/>
      <c r="D152" s="152"/>
      <c r="E152" s="152"/>
      <c r="F152" s="152"/>
      <c r="G152" s="152"/>
      <c r="H152" s="152"/>
      <c r="I152" s="152"/>
      <c r="J152" s="152"/>
      <c r="K152" s="248"/>
      <c r="L152" s="248"/>
      <c r="M152" s="152"/>
      <c r="N152" s="152"/>
      <c r="O152" s="152"/>
      <c r="P152" s="152"/>
      <c r="Q152" s="152"/>
      <c r="R152" s="152"/>
      <c r="S152" s="152"/>
      <c r="T152" s="152"/>
      <c r="U152" s="152"/>
      <c r="V152" s="152"/>
      <c r="W152" s="152"/>
    </row>
    <row r="153">
      <c r="A153" s="152"/>
      <c r="B153" s="152"/>
      <c r="C153" s="152"/>
      <c r="D153" s="152"/>
      <c r="E153" s="152"/>
      <c r="F153" s="152"/>
      <c r="G153" s="152"/>
      <c r="H153" s="152"/>
      <c r="I153" s="152"/>
      <c r="J153" s="152"/>
      <c r="K153" s="248"/>
      <c r="L153" s="248"/>
      <c r="M153" s="152"/>
      <c r="N153" s="152"/>
      <c r="O153" s="152"/>
      <c r="P153" s="152"/>
      <c r="Q153" s="152"/>
      <c r="R153" s="152"/>
      <c r="S153" s="152"/>
      <c r="T153" s="152"/>
      <c r="U153" s="152"/>
      <c r="V153" s="152"/>
      <c r="W153" s="152"/>
    </row>
    <row r="154">
      <c r="A154" s="152"/>
      <c r="B154" s="152"/>
      <c r="C154" s="152"/>
      <c r="D154" s="152"/>
      <c r="E154" s="152"/>
      <c r="F154" s="152"/>
      <c r="G154" s="152"/>
      <c r="H154" s="152"/>
      <c r="I154" s="152"/>
      <c r="J154" s="152"/>
      <c r="K154" s="248"/>
      <c r="L154" s="248"/>
      <c r="M154" s="152"/>
      <c r="N154" s="152"/>
      <c r="O154" s="152"/>
      <c r="P154" s="152"/>
      <c r="Q154" s="152"/>
      <c r="R154" s="152"/>
      <c r="S154" s="152"/>
      <c r="T154" s="152"/>
      <c r="U154" s="152"/>
      <c r="V154" s="152"/>
      <c r="W154" s="152"/>
    </row>
    <row r="155">
      <c r="A155" s="152"/>
      <c r="B155" s="152"/>
      <c r="C155" s="152"/>
      <c r="D155" s="152"/>
      <c r="E155" s="152"/>
      <c r="F155" s="152"/>
      <c r="G155" s="152"/>
      <c r="H155" s="152"/>
      <c r="I155" s="152"/>
      <c r="J155" s="152"/>
      <c r="K155" s="248"/>
      <c r="L155" s="248"/>
      <c r="M155" s="152"/>
      <c r="N155" s="152"/>
      <c r="O155" s="152"/>
      <c r="P155" s="152"/>
      <c r="Q155" s="152"/>
      <c r="R155" s="152"/>
      <c r="S155" s="152"/>
      <c r="T155" s="152"/>
      <c r="U155" s="152"/>
      <c r="V155" s="152"/>
      <c r="W155" s="152"/>
    </row>
    <row r="156">
      <c r="A156" s="152"/>
      <c r="B156" s="152"/>
      <c r="C156" s="152"/>
      <c r="D156" s="152"/>
      <c r="E156" s="152"/>
      <c r="F156" s="152"/>
      <c r="G156" s="152"/>
      <c r="H156" s="152"/>
      <c r="I156" s="152"/>
      <c r="J156" s="152"/>
      <c r="K156" s="248"/>
      <c r="L156" s="248"/>
      <c r="M156" s="152"/>
      <c r="N156" s="152"/>
      <c r="O156" s="152"/>
      <c r="P156" s="152"/>
      <c r="Q156" s="152"/>
      <c r="R156" s="152"/>
      <c r="S156" s="152"/>
      <c r="T156" s="152"/>
      <c r="U156" s="152"/>
      <c r="V156" s="152"/>
      <c r="W156" s="152"/>
    </row>
    <row r="157">
      <c r="A157" s="152"/>
      <c r="B157" s="152"/>
      <c r="C157" s="152"/>
      <c r="D157" s="152"/>
      <c r="E157" s="152"/>
      <c r="F157" s="152"/>
      <c r="G157" s="152"/>
      <c r="H157" s="152"/>
      <c r="I157" s="152"/>
      <c r="J157" s="152"/>
      <c r="K157" s="248"/>
      <c r="L157" s="248"/>
      <c r="M157" s="152"/>
      <c r="N157" s="152"/>
      <c r="O157" s="152"/>
      <c r="P157" s="152"/>
      <c r="Q157" s="152"/>
      <c r="R157" s="152"/>
      <c r="S157" s="152"/>
      <c r="T157" s="152"/>
      <c r="U157" s="152"/>
      <c r="V157" s="152"/>
      <c r="W157" s="152"/>
    </row>
    <row r="158">
      <c r="A158" s="152"/>
      <c r="B158" s="152"/>
      <c r="C158" s="152"/>
      <c r="D158" s="152"/>
      <c r="E158" s="152"/>
      <c r="F158" s="152"/>
      <c r="G158" s="152"/>
      <c r="H158" s="152"/>
      <c r="I158" s="152"/>
      <c r="J158" s="152"/>
      <c r="K158" s="248"/>
      <c r="L158" s="248"/>
      <c r="M158" s="152"/>
      <c r="N158" s="152"/>
      <c r="O158" s="152"/>
      <c r="P158" s="152"/>
      <c r="Q158" s="152"/>
      <c r="R158" s="152"/>
      <c r="S158" s="152"/>
      <c r="T158" s="152"/>
      <c r="U158" s="152"/>
      <c r="V158" s="152"/>
      <c r="W158" s="152"/>
    </row>
    <row r="159">
      <c r="A159" s="152"/>
      <c r="B159" s="152"/>
      <c r="C159" s="152"/>
      <c r="D159" s="152"/>
      <c r="E159" s="152"/>
      <c r="F159" s="152"/>
      <c r="G159" s="152"/>
      <c r="H159" s="152"/>
      <c r="I159" s="152"/>
      <c r="J159" s="152"/>
      <c r="K159" s="248"/>
      <c r="L159" s="248"/>
      <c r="M159" s="152"/>
      <c r="N159" s="152"/>
      <c r="O159" s="152"/>
      <c r="P159" s="152"/>
      <c r="Q159" s="152"/>
      <c r="R159" s="152"/>
      <c r="S159" s="152"/>
      <c r="T159" s="152"/>
      <c r="U159" s="152"/>
      <c r="V159" s="152"/>
      <c r="W159" s="152"/>
    </row>
    <row r="160">
      <c r="A160" s="152"/>
      <c r="B160" s="152"/>
      <c r="C160" s="152"/>
      <c r="D160" s="152"/>
      <c r="E160" s="152"/>
      <c r="F160" s="152"/>
      <c r="G160" s="152"/>
      <c r="H160" s="152"/>
      <c r="I160" s="152"/>
      <c r="J160" s="152"/>
      <c r="K160" s="248"/>
      <c r="L160" s="248"/>
      <c r="M160" s="152"/>
      <c r="N160" s="152"/>
      <c r="O160" s="152"/>
      <c r="P160" s="152"/>
      <c r="Q160" s="152"/>
      <c r="R160" s="152"/>
      <c r="S160" s="152"/>
      <c r="T160" s="152"/>
      <c r="U160" s="152"/>
      <c r="V160" s="152"/>
      <c r="W160" s="152"/>
    </row>
    <row r="161">
      <c r="A161" s="152"/>
      <c r="B161" s="152"/>
      <c r="C161" s="152"/>
      <c r="D161" s="152"/>
      <c r="E161" s="152"/>
      <c r="F161" s="152"/>
      <c r="G161" s="152"/>
      <c r="H161" s="152"/>
      <c r="I161" s="152"/>
      <c r="J161" s="152"/>
      <c r="K161" s="248"/>
      <c r="L161" s="248"/>
      <c r="M161" s="152"/>
      <c r="N161" s="152"/>
      <c r="O161" s="152"/>
      <c r="P161" s="152"/>
      <c r="Q161" s="152"/>
      <c r="R161" s="152"/>
      <c r="S161" s="152"/>
      <c r="T161" s="152"/>
      <c r="U161" s="152"/>
      <c r="V161" s="152"/>
      <c r="W161" s="152"/>
    </row>
    <row r="162">
      <c r="A162" s="152"/>
      <c r="B162" s="152"/>
      <c r="C162" s="152"/>
      <c r="D162" s="152"/>
      <c r="E162" s="152"/>
      <c r="F162" s="152"/>
      <c r="G162" s="152"/>
      <c r="H162" s="152"/>
      <c r="I162" s="152"/>
      <c r="J162" s="152"/>
      <c r="K162" s="248"/>
      <c r="L162" s="248"/>
      <c r="M162" s="152"/>
      <c r="N162" s="152"/>
      <c r="O162" s="152"/>
      <c r="P162" s="152"/>
      <c r="Q162" s="152"/>
      <c r="R162" s="152"/>
      <c r="S162" s="152"/>
      <c r="T162" s="152"/>
      <c r="U162" s="152"/>
      <c r="V162" s="152"/>
      <c r="W162" s="152"/>
    </row>
    <row r="163">
      <c r="A163" s="152"/>
      <c r="B163" s="152"/>
      <c r="C163" s="152"/>
      <c r="D163" s="152"/>
      <c r="E163" s="152"/>
      <c r="F163" s="152"/>
      <c r="G163" s="152"/>
      <c r="H163" s="152"/>
      <c r="I163" s="152"/>
      <c r="J163" s="152"/>
      <c r="K163" s="248"/>
      <c r="L163" s="248"/>
      <c r="M163" s="152"/>
      <c r="N163" s="152"/>
      <c r="O163" s="152"/>
      <c r="P163" s="152"/>
      <c r="Q163" s="152"/>
      <c r="R163" s="152"/>
      <c r="S163" s="152"/>
      <c r="T163" s="152"/>
      <c r="U163" s="152"/>
      <c r="V163" s="152"/>
      <c r="W163" s="152"/>
    </row>
    <row r="164">
      <c r="A164" s="152"/>
      <c r="B164" s="152"/>
      <c r="C164" s="152"/>
      <c r="D164" s="152"/>
      <c r="E164" s="152"/>
      <c r="F164" s="152"/>
      <c r="G164" s="152"/>
      <c r="H164" s="152"/>
      <c r="I164" s="152"/>
      <c r="J164" s="152"/>
      <c r="K164" s="248"/>
      <c r="L164" s="248"/>
      <c r="M164" s="152"/>
      <c r="N164" s="152"/>
      <c r="O164" s="152"/>
      <c r="P164" s="152"/>
      <c r="Q164" s="152"/>
      <c r="R164" s="152"/>
      <c r="S164" s="152"/>
      <c r="T164" s="152"/>
      <c r="U164" s="152"/>
      <c r="V164" s="152"/>
      <c r="W164" s="152"/>
    </row>
    <row r="165">
      <c r="A165" s="152"/>
      <c r="B165" s="152"/>
      <c r="C165" s="152"/>
      <c r="D165" s="152"/>
      <c r="E165" s="152"/>
      <c r="F165" s="152"/>
      <c r="G165" s="152"/>
      <c r="H165" s="152"/>
      <c r="I165" s="152"/>
      <c r="J165" s="152"/>
      <c r="K165" s="248"/>
      <c r="L165" s="248"/>
      <c r="M165" s="152"/>
      <c r="N165" s="152"/>
      <c r="O165" s="152"/>
      <c r="P165" s="152"/>
      <c r="Q165" s="152"/>
      <c r="R165" s="152"/>
      <c r="S165" s="152"/>
      <c r="T165" s="152"/>
      <c r="U165" s="152"/>
      <c r="V165" s="152"/>
      <c r="W165" s="152"/>
    </row>
    <row r="166">
      <c r="A166" s="152"/>
      <c r="B166" s="152"/>
      <c r="C166" s="152"/>
      <c r="D166" s="152"/>
      <c r="E166" s="152"/>
      <c r="F166" s="152"/>
      <c r="G166" s="152"/>
      <c r="H166" s="152"/>
      <c r="I166" s="152"/>
      <c r="J166" s="152"/>
      <c r="K166" s="248"/>
      <c r="L166" s="248"/>
      <c r="M166" s="152"/>
      <c r="N166" s="152"/>
      <c r="O166" s="152"/>
      <c r="P166" s="152"/>
      <c r="Q166" s="152"/>
      <c r="R166" s="152"/>
      <c r="S166" s="152"/>
      <c r="T166" s="152"/>
      <c r="U166" s="152"/>
      <c r="V166" s="152"/>
      <c r="W166" s="152"/>
    </row>
    <row r="167">
      <c r="A167" s="152"/>
      <c r="B167" s="152"/>
      <c r="C167" s="152"/>
      <c r="D167" s="152"/>
      <c r="E167" s="152"/>
      <c r="F167" s="152"/>
      <c r="G167" s="152"/>
      <c r="H167" s="152"/>
      <c r="I167" s="152"/>
      <c r="J167" s="152"/>
      <c r="K167" s="248"/>
      <c r="L167" s="248"/>
      <c r="M167" s="152"/>
      <c r="N167" s="152"/>
      <c r="O167" s="152"/>
      <c r="P167" s="152"/>
      <c r="Q167" s="152"/>
      <c r="R167" s="152"/>
      <c r="S167" s="152"/>
      <c r="T167" s="152"/>
      <c r="U167" s="152"/>
      <c r="V167" s="152"/>
      <c r="W167" s="152"/>
    </row>
    <row r="168">
      <c r="A168" s="152"/>
      <c r="B168" s="152"/>
      <c r="C168" s="152"/>
      <c r="D168" s="152"/>
      <c r="E168" s="152"/>
      <c r="F168" s="152"/>
      <c r="G168" s="152"/>
      <c r="H168" s="152"/>
      <c r="I168" s="152"/>
      <c r="J168" s="152"/>
      <c r="K168" s="248"/>
      <c r="L168" s="248"/>
      <c r="M168" s="152"/>
      <c r="N168" s="152"/>
      <c r="O168" s="152"/>
      <c r="P168" s="152"/>
      <c r="Q168" s="152"/>
      <c r="R168" s="152"/>
      <c r="S168" s="152"/>
      <c r="T168" s="152"/>
      <c r="U168" s="152"/>
      <c r="V168" s="152"/>
      <c r="W168" s="152"/>
    </row>
    <row r="169">
      <c r="A169" s="152"/>
      <c r="B169" s="152"/>
      <c r="C169" s="152"/>
      <c r="D169" s="152"/>
      <c r="E169" s="152"/>
      <c r="F169" s="152"/>
      <c r="G169" s="152"/>
      <c r="H169" s="152"/>
      <c r="I169" s="152"/>
      <c r="J169" s="152"/>
      <c r="K169" s="248"/>
      <c r="L169" s="248"/>
      <c r="M169" s="152"/>
      <c r="N169" s="152"/>
      <c r="O169" s="152"/>
      <c r="P169" s="152"/>
      <c r="Q169" s="152"/>
      <c r="R169" s="152"/>
      <c r="S169" s="152"/>
      <c r="T169" s="152"/>
      <c r="U169" s="152"/>
      <c r="V169" s="152"/>
      <c r="W169" s="152"/>
    </row>
    <row r="170">
      <c r="A170" s="152"/>
      <c r="B170" s="152"/>
      <c r="C170" s="152"/>
      <c r="D170" s="152"/>
      <c r="E170" s="152"/>
      <c r="F170" s="152"/>
      <c r="G170" s="152"/>
      <c r="H170" s="152"/>
      <c r="I170" s="152"/>
      <c r="J170" s="152"/>
      <c r="K170" s="248"/>
      <c r="L170" s="248"/>
      <c r="M170" s="152"/>
      <c r="N170" s="152"/>
      <c r="O170" s="152"/>
      <c r="P170" s="152"/>
      <c r="Q170" s="152"/>
      <c r="R170" s="152"/>
      <c r="S170" s="152"/>
      <c r="T170" s="152"/>
      <c r="U170" s="152"/>
      <c r="V170" s="152"/>
      <c r="W170" s="152"/>
    </row>
    <row r="171">
      <c r="A171" s="152"/>
      <c r="B171" s="152"/>
      <c r="C171" s="152"/>
      <c r="D171" s="152"/>
      <c r="E171" s="152"/>
      <c r="F171" s="152"/>
      <c r="G171" s="152"/>
      <c r="H171" s="152"/>
      <c r="I171" s="152"/>
      <c r="J171" s="152"/>
      <c r="K171" s="248"/>
      <c r="L171" s="248"/>
      <c r="M171" s="152"/>
      <c r="N171" s="152"/>
      <c r="O171" s="152"/>
      <c r="P171" s="152"/>
      <c r="Q171" s="152"/>
      <c r="R171" s="152"/>
      <c r="S171" s="152"/>
      <c r="T171" s="152"/>
      <c r="U171" s="152"/>
      <c r="V171" s="152"/>
      <c r="W171" s="152"/>
    </row>
    <row r="172">
      <c r="A172" s="152"/>
      <c r="B172" s="152"/>
      <c r="C172" s="152"/>
      <c r="D172" s="152"/>
      <c r="E172" s="152"/>
      <c r="F172" s="152"/>
      <c r="G172" s="152"/>
      <c r="H172" s="152"/>
      <c r="I172" s="152"/>
      <c r="J172" s="152"/>
      <c r="K172" s="248"/>
      <c r="L172" s="248"/>
      <c r="M172" s="152"/>
      <c r="N172" s="152"/>
      <c r="O172" s="152"/>
      <c r="P172" s="152"/>
      <c r="Q172" s="152"/>
      <c r="R172" s="152"/>
      <c r="S172" s="152"/>
      <c r="T172" s="152"/>
      <c r="U172" s="152"/>
      <c r="V172" s="152"/>
      <c r="W172" s="152"/>
    </row>
    <row r="173">
      <c r="A173" s="152"/>
      <c r="B173" s="152"/>
      <c r="C173" s="152"/>
      <c r="D173" s="152"/>
      <c r="E173" s="152"/>
      <c r="F173" s="152"/>
      <c r="G173" s="152"/>
      <c r="H173" s="152"/>
      <c r="I173" s="152"/>
      <c r="J173" s="152"/>
      <c r="K173" s="248"/>
      <c r="L173" s="248"/>
      <c r="M173" s="152"/>
      <c r="N173" s="152"/>
      <c r="O173" s="152"/>
      <c r="P173" s="152"/>
      <c r="Q173" s="152"/>
      <c r="R173" s="152"/>
      <c r="S173" s="152"/>
      <c r="T173" s="152"/>
      <c r="U173" s="152"/>
      <c r="V173" s="152"/>
      <c r="W173" s="152"/>
    </row>
    <row r="174">
      <c r="A174" s="152"/>
      <c r="B174" s="152"/>
      <c r="C174" s="152"/>
      <c r="D174" s="152"/>
      <c r="E174" s="152"/>
      <c r="F174" s="152"/>
      <c r="G174" s="152"/>
      <c r="H174" s="152"/>
      <c r="I174" s="152"/>
      <c r="J174" s="152"/>
      <c r="K174" s="248"/>
      <c r="L174" s="248"/>
      <c r="M174" s="152"/>
      <c r="N174" s="152"/>
      <c r="O174" s="152"/>
      <c r="P174" s="152"/>
      <c r="Q174" s="152"/>
      <c r="R174" s="152"/>
      <c r="S174" s="152"/>
      <c r="T174" s="152"/>
      <c r="U174" s="152"/>
      <c r="V174" s="152"/>
      <c r="W174" s="152"/>
    </row>
    <row r="175">
      <c r="A175" s="152"/>
      <c r="B175" s="152"/>
      <c r="C175" s="152"/>
      <c r="D175" s="152"/>
      <c r="E175" s="152"/>
      <c r="F175" s="152"/>
      <c r="G175" s="152"/>
      <c r="H175" s="152"/>
      <c r="I175" s="152"/>
      <c r="J175" s="152"/>
      <c r="K175" s="248"/>
      <c r="L175" s="248"/>
      <c r="M175" s="152"/>
      <c r="N175" s="152"/>
      <c r="O175" s="152"/>
      <c r="P175" s="152"/>
      <c r="Q175" s="152"/>
      <c r="R175" s="152"/>
      <c r="S175" s="152"/>
      <c r="T175" s="152"/>
      <c r="U175" s="152"/>
      <c r="V175" s="152"/>
      <c r="W175" s="152"/>
    </row>
    <row r="176">
      <c r="A176" s="152"/>
      <c r="B176" s="152"/>
      <c r="C176" s="152"/>
      <c r="D176" s="152"/>
      <c r="E176" s="152"/>
      <c r="F176" s="152"/>
      <c r="G176" s="152"/>
      <c r="H176" s="152"/>
      <c r="I176" s="152"/>
      <c r="J176" s="152"/>
      <c r="K176" s="248"/>
      <c r="L176" s="248"/>
      <c r="M176" s="152"/>
      <c r="N176" s="152"/>
      <c r="O176" s="152"/>
      <c r="P176" s="152"/>
      <c r="Q176" s="152"/>
      <c r="R176" s="152"/>
      <c r="S176" s="152"/>
      <c r="T176" s="152"/>
      <c r="U176" s="152"/>
      <c r="V176" s="152"/>
      <c r="W176" s="152"/>
    </row>
    <row r="177">
      <c r="A177" s="152"/>
      <c r="B177" s="152"/>
      <c r="C177" s="152"/>
      <c r="D177" s="152"/>
      <c r="E177" s="152"/>
      <c r="F177" s="152"/>
      <c r="G177" s="152"/>
      <c r="H177" s="152"/>
      <c r="I177" s="152"/>
      <c r="J177" s="152"/>
      <c r="K177" s="248"/>
      <c r="L177" s="248"/>
      <c r="M177" s="152"/>
      <c r="N177" s="152"/>
      <c r="O177" s="152"/>
      <c r="P177" s="152"/>
      <c r="Q177" s="152"/>
      <c r="R177" s="152"/>
      <c r="S177" s="152"/>
      <c r="T177" s="152"/>
      <c r="U177" s="152"/>
      <c r="V177" s="152"/>
      <c r="W177" s="152"/>
    </row>
    <row r="178">
      <c r="A178" s="152"/>
      <c r="B178" s="152"/>
      <c r="C178" s="152"/>
      <c r="D178" s="152"/>
      <c r="E178" s="152"/>
      <c r="F178" s="152"/>
      <c r="G178" s="152"/>
      <c r="H178" s="152"/>
      <c r="I178" s="152"/>
      <c r="J178" s="152"/>
      <c r="K178" s="248"/>
      <c r="L178" s="248"/>
      <c r="M178" s="152"/>
      <c r="N178" s="152"/>
      <c r="O178" s="152"/>
      <c r="P178" s="152"/>
      <c r="Q178" s="152"/>
      <c r="R178" s="152"/>
      <c r="S178" s="152"/>
      <c r="T178" s="152"/>
      <c r="U178" s="152"/>
      <c r="V178" s="152"/>
      <c r="W178" s="152"/>
    </row>
    <row r="179">
      <c r="A179" s="152"/>
      <c r="B179" s="152"/>
      <c r="C179" s="152"/>
      <c r="D179" s="152"/>
      <c r="E179" s="152"/>
      <c r="F179" s="152"/>
      <c r="G179" s="152"/>
      <c r="H179" s="152"/>
      <c r="I179" s="152"/>
      <c r="J179" s="152"/>
      <c r="K179" s="248"/>
      <c r="L179" s="248"/>
      <c r="M179" s="152"/>
      <c r="N179" s="152"/>
      <c r="O179" s="152"/>
      <c r="P179" s="152"/>
      <c r="Q179" s="152"/>
      <c r="R179" s="152"/>
      <c r="S179" s="152"/>
      <c r="T179" s="152"/>
      <c r="U179" s="152"/>
      <c r="V179" s="152"/>
      <c r="W179" s="152"/>
    </row>
    <row r="180">
      <c r="A180" s="152"/>
      <c r="B180" s="152"/>
      <c r="C180" s="152"/>
      <c r="D180" s="152"/>
      <c r="E180" s="152"/>
      <c r="F180" s="152"/>
      <c r="G180" s="152"/>
      <c r="H180" s="152"/>
      <c r="I180" s="152"/>
      <c r="J180" s="152"/>
      <c r="K180" s="248"/>
      <c r="L180" s="248"/>
      <c r="M180" s="152"/>
      <c r="N180" s="152"/>
      <c r="O180" s="152"/>
      <c r="P180" s="152"/>
      <c r="Q180" s="152"/>
      <c r="R180" s="152"/>
      <c r="S180" s="152"/>
      <c r="T180" s="152"/>
      <c r="U180" s="152"/>
      <c r="V180" s="152"/>
      <c r="W180" s="152"/>
    </row>
    <row r="181">
      <c r="A181" s="152"/>
      <c r="B181" s="152"/>
      <c r="C181" s="152"/>
      <c r="D181" s="152"/>
      <c r="E181" s="152"/>
      <c r="F181" s="152"/>
      <c r="G181" s="152"/>
      <c r="H181" s="152"/>
      <c r="I181" s="152"/>
      <c r="J181" s="152"/>
      <c r="K181" s="248"/>
      <c r="L181" s="248"/>
      <c r="M181" s="152"/>
      <c r="N181" s="152"/>
      <c r="O181" s="152"/>
      <c r="P181" s="152"/>
      <c r="Q181" s="152"/>
      <c r="R181" s="152"/>
      <c r="S181" s="152"/>
      <c r="T181" s="152"/>
      <c r="U181" s="152"/>
      <c r="V181" s="152"/>
      <c r="W181" s="152"/>
    </row>
    <row r="182">
      <c r="A182" s="152"/>
      <c r="B182" s="152"/>
      <c r="C182" s="152"/>
      <c r="D182" s="152"/>
      <c r="E182" s="152"/>
      <c r="F182" s="152"/>
      <c r="G182" s="152"/>
      <c r="H182" s="152"/>
      <c r="I182" s="152"/>
      <c r="J182" s="152"/>
      <c r="K182" s="248"/>
      <c r="L182" s="248"/>
      <c r="M182" s="152"/>
      <c r="N182" s="152"/>
      <c r="O182" s="152"/>
      <c r="P182" s="152"/>
      <c r="Q182" s="152"/>
      <c r="R182" s="152"/>
      <c r="S182" s="152"/>
      <c r="T182" s="152"/>
      <c r="U182" s="152"/>
      <c r="V182" s="152"/>
      <c r="W182" s="152"/>
    </row>
    <row r="183">
      <c r="A183" s="152"/>
      <c r="B183" s="152"/>
      <c r="C183" s="152"/>
      <c r="D183" s="152"/>
      <c r="E183" s="152"/>
      <c r="F183" s="152"/>
      <c r="G183" s="152"/>
      <c r="H183" s="152"/>
      <c r="I183" s="152"/>
      <c r="J183" s="152"/>
      <c r="K183" s="248"/>
      <c r="L183" s="248"/>
      <c r="M183" s="152"/>
      <c r="N183" s="152"/>
      <c r="O183" s="152"/>
      <c r="P183" s="152"/>
      <c r="Q183" s="152"/>
      <c r="R183" s="152"/>
      <c r="S183" s="152"/>
      <c r="T183" s="152"/>
      <c r="U183" s="152"/>
      <c r="V183" s="152"/>
      <c r="W183" s="152"/>
    </row>
    <row r="184">
      <c r="A184" s="152"/>
      <c r="B184" s="152"/>
      <c r="C184" s="152"/>
      <c r="D184" s="152"/>
      <c r="E184" s="152"/>
      <c r="F184" s="152"/>
      <c r="G184" s="152"/>
      <c r="H184" s="152"/>
      <c r="I184" s="152"/>
      <c r="J184" s="152"/>
      <c r="K184" s="248"/>
      <c r="L184" s="248"/>
      <c r="M184" s="152"/>
      <c r="N184" s="152"/>
      <c r="O184" s="152"/>
      <c r="P184" s="152"/>
      <c r="Q184" s="152"/>
      <c r="R184" s="152"/>
      <c r="S184" s="152"/>
      <c r="T184" s="152"/>
      <c r="U184" s="152"/>
      <c r="V184" s="152"/>
      <c r="W184" s="152"/>
    </row>
    <row r="185">
      <c r="A185" s="152"/>
      <c r="B185" s="152"/>
      <c r="C185" s="152"/>
      <c r="D185" s="152"/>
      <c r="E185" s="152"/>
      <c r="F185" s="152"/>
      <c r="G185" s="152"/>
      <c r="H185" s="152"/>
      <c r="I185" s="152"/>
      <c r="J185" s="152"/>
      <c r="K185" s="248"/>
      <c r="L185" s="248"/>
      <c r="M185" s="152"/>
      <c r="N185" s="152"/>
      <c r="O185" s="152"/>
      <c r="P185" s="152"/>
      <c r="Q185" s="152"/>
      <c r="R185" s="152"/>
      <c r="S185" s="152"/>
      <c r="T185" s="152"/>
      <c r="U185" s="152"/>
      <c r="V185" s="152"/>
      <c r="W185" s="152"/>
    </row>
    <row r="186">
      <c r="A186" s="152"/>
      <c r="B186" s="152"/>
      <c r="C186" s="152"/>
      <c r="D186" s="152"/>
      <c r="E186" s="152"/>
      <c r="F186" s="152"/>
      <c r="G186" s="152"/>
      <c r="H186" s="152"/>
      <c r="I186" s="152"/>
      <c r="J186" s="152"/>
      <c r="K186" s="248"/>
      <c r="L186" s="248"/>
      <c r="M186" s="152"/>
      <c r="N186" s="152"/>
      <c r="O186" s="152"/>
      <c r="P186" s="152"/>
      <c r="Q186" s="152"/>
      <c r="R186" s="152"/>
      <c r="S186" s="152"/>
      <c r="T186" s="152"/>
      <c r="U186" s="152"/>
      <c r="V186" s="152"/>
      <c r="W186" s="152"/>
    </row>
    <row r="187">
      <c r="A187" s="152"/>
      <c r="B187" s="152"/>
      <c r="C187" s="152"/>
      <c r="D187" s="152"/>
      <c r="E187" s="152"/>
      <c r="F187" s="152"/>
      <c r="G187" s="152"/>
      <c r="H187" s="152"/>
      <c r="I187" s="152"/>
      <c r="J187" s="152"/>
      <c r="K187" s="248"/>
      <c r="L187" s="248"/>
      <c r="M187" s="152"/>
      <c r="N187" s="152"/>
      <c r="O187" s="152"/>
      <c r="P187" s="152"/>
      <c r="Q187" s="152"/>
      <c r="R187" s="152"/>
      <c r="S187" s="152"/>
      <c r="T187" s="152"/>
      <c r="U187" s="152"/>
      <c r="V187" s="152"/>
      <c r="W187" s="152"/>
    </row>
    <row r="188">
      <c r="A188" s="152"/>
      <c r="B188" s="152"/>
      <c r="C188" s="152"/>
      <c r="D188" s="152"/>
      <c r="E188" s="152"/>
      <c r="F188" s="152"/>
      <c r="G188" s="152"/>
      <c r="H188" s="152"/>
      <c r="I188" s="152"/>
      <c r="J188" s="152"/>
      <c r="K188" s="248"/>
      <c r="L188" s="248"/>
      <c r="M188" s="152"/>
      <c r="N188" s="152"/>
      <c r="O188" s="152"/>
      <c r="P188" s="152"/>
      <c r="Q188" s="152"/>
      <c r="R188" s="152"/>
      <c r="S188" s="152"/>
      <c r="T188" s="152"/>
      <c r="U188" s="152"/>
      <c r="V188" s="152"/>
      <c r="W188" s="152"/>
    </row>
    <row r="189">
      <c r="A189" s="152"/>
      <c r="B189" s="152"/>
      <c r="C189" s="152"/>
      <c r="D189" s="152"/>
      <c r="E189" s="152"/>
      <c r="F189" s="152"/>
      <c r="G189" s="152"/>
      <c r="H189" s="152"/>
      <c r="I189" s="152"/>
      <c r="J189" s="152"/>
      <c r="K189" s="248"/>
      <c r="L189" s="248"/>
      <c r="M189" s="152"/>
      <c r="N189" s="152"/>
      <c r="O189" s="152"/>
      <c r="P189" s="152"/>
      <c r="Q189" s="152"/>
      <c r="R189" s="152"/>
      <c r="S189" s="152"/>
      <c r="T189" s="152"/>
      <c r="U189" s="152"/>
      <c r="V189" s="152"/>
      <c r="W189" s="152"/>
    </row>
    <row r="190">
      <c r="A190" s="152"/>
      <c r="B190" s="152"/>
      <c r="C190" s="152"/>
      <c r="D190" s="152"/>
      <c r="E190" s="152"/>
      <c r="F190" s="152"/>
      <c r="G190" s="152"/>
      <c r="H190" s="152"/>
      <c r="I190" s="152"/>
      <c r="J190" s="152"/>
      <c r="K190" s="248"/>
      <c r="L190" s="248"/>
      <c r="M190" s="152"/>
      <c r="N190" s="152"/>
      <c r="O190" s="152"/>
      <c r="P190" s="152"/>
      <c r="Q190" s="152"/>
      <c r="R190" s="152"/>
      <c r="S190" s="152"/>
      <c r="T190" s="152"/>
      <c r="U190" s="152"/>
      <c r="V190" s="152"/>
      <c r="W190" s="152"/>
    </row>
    <row r="191">
      <c r="A191" s="152"/>
      <c r="B191" s="152"/>
      <c r="C191" s="152"/>
      <c r="D191" s="152"/>
      <c r="E191" s="152"/>
      <c r="F191" s="152"/>
      <c r="G191" s="152"/>
      <c r="H191" s="152"/>
      <c r="I191" s="152"/>
      <c r="J191" s="152"/>
      <c r="K191" s="248"/>
      <c r="L191" s="248"/>
      <c r="M191" s="152"/>
      <c r="N191" s="152"/>
      <c r="O191" s="152"/>
      <c r="P191" s="152"/>
      <c r="Q191" s="152"/>
      <c r="R191" s="152"/>
      <c r="S191" s="152"/>
      <c r="T191" s="152"/>
      <c r="U191" s="152"/>
      <c r="V191" s="152"/>
      <c r="W191" s="152"/>
    </row>
    <row r="192">
      <c r="A192" s="152"/>
      <c r="B192" s="152"/>
      <c r="C192" s="152"/>
      <c r="D192" s="152"/>
      <c r="E192" s="152"/>
      <c r="F192" s="152"/>
      <c r="G192" s="152"/>
      <c r="H192" s="152"/>
      <c r="I192" s="152"/>
      <c r="J192" s="152"/>
      <c r="K192" s="248"/>
      <c r="L192" s="248"/>
      <c r="M192" s="152"/>
      <c r="N192" s="152"/>
      <c r="O192" s="152"/>
      <c r="P192" s="152"/>
      <c r="Q192" s="152"/>
      <c r="R192" s="152"/>
      <c r="S192" s="152"/>
      <c r="T192" s="152"/>
      <c r="U192" s="152"/>
      <c r="V192" s="152"/>
      <c r="W192" s="152"/>
    </row>
    <row r="193">
      <c r="A193" s="152"/>
      <c r="B193" s="152"/>
      <c r="C193" s="152"/>
      <c r="D193" s="152"/>
      <c r="E193" s="152"/>
      <c r="F193" s="152"/>
      <c r="G193" s="152"/>
      <c r="H193" s="152"/>
      <c r="I193" s="152"/>
      <c r="J193" s="152"/>
      <c r="K193" s="248"/>
      <c r="L193" s="248"/>
      <c r="M193" s="152"/>
      <c r="N193" s="152"/>
      <c r="O193" s="152"/>
      <c r="P193" s="152"/>
      <c r="Q193" s="152"/>
      <c r="R193" s="152"/>
      <c r="S193" s="152"/>
      <c r="T193" s="152"/>
      <c r="U193" s="152"/>
      <c r="V193" s="152"/>
      <c r="W193" s="152"/>
    </row>
    <row r="194">
      <c r="A194" s="152"/>
      <c r="B194" s="152"/>
      <c r="C194" s="152"/>
      <c r="D194" s="152"/>
      <c r="E194" s="152"/>
      <c r="F194" s="152"/>
      <c r="G194" s="152"/>
      <c r="H194" s="152"/>
      <c r="I194" s="152"/>
      <c r="J194" s="152"/>
      <c r="K194" s="248"/>
      <c r="L194" s="248"/>
      <c r="M194" s="152"/>
      <c r="N194" s="152"/>
      <c r="O194" s="152"/>
      <c r="P194" s="152"/>
      <c r="Q194" s="152"/>
      <c r="R194" s="152"/>
      <c r="S194" s="152"/>
      <c r="T194" s="152"/>
      <c r="U194" s="152"/>
      <c r="V194" s="152"/>
      <c r="W194" s="152"/>
    </row>
    <row r="195">
      <c r="A195" s="152"/>
      <c r="B195" s="152"/>
      <c r="C195" s="152"/>
      <c r="D195" s="152"/>
      <c r="E195" s="152"/>
      <c r="F195" s="152"/>
      <c r="G195" s="152"/>
      <c r="H195" s="152"/>
      <c r="I195" s="152"/>
      <c r="J195" s="152"/>
      <c r="K195" s="248"/>
      <c r="L195" s="248"/>
      <c r="M195" s="152"/>
      <c r="N195" s="152"/>
      <c r="O195" s="152"/>
      <c r="P195" s="152"/>
      <c r="Q195" s="152"/>
      <c r="R195" s="152"/>
      <c r="S195" s="152"/>
      <c r="T195" s="152"/>
      <c r="U195" s="152"/>
      <c r="V195" s="152"/>
      <c r="W195" s="152"/>
    </row>
    <row r="196">
      <c r="A196" s="152"/>
      <c r="B196" s="152"/>
      <c r="C196" s="152"/>
      <c r="D196" s="152"/>
      <c r="E196" s="152"/>
      <c r="F196" s="152"/>
      <c r="G196" s="152"/>
      <c r="H196" s="152"/>
      <c r="I196" s="152"/>
      <c r="J196" s="152"/>
      <c r="K196" s="248"/>
      <c r="L196" s="248"/>
      <c r="M196" s="152"/>
      <c r="N196" s="152"/>
      <c r="O196" s="152"/>
      <c r="P196" s="152"/>
      <c r="Q196" s="152"/>
      <c r="R196" s="152"/>
      <c r="S196" s="152"/>
      <c r="T196" s="152"/>
      <c r="U196" s="152"/>
      <c r="V196" s="152"/>
      <c r="W196" s="152"/>
    </row>
    <row r="197">
      <c r="A197" s="152"/>
      <c r="B197" s="152"/>
      <c r="C197" s="152"/>
      <c r="D197" s="152"/>
      <c r="E197" s="152"/>
      <c r="F197" s="152"/>
      <c r="G197" s="152"/>
      <c r="H197" s="152"/>
      <c r="I197" s="152"/>
      <c r="J197" s="152"/>
      <c r="K197" s="248"/>
      <c r="L197" s="248"/>
      <c r="M197" s="152"/>
      <c r="N197" s="152"/>
      <c r="O197" s="152"/>
      <c r="P197" s="152"/>
      <c r="Q197" s="152"/>
      <c r="R197" s="152"/>
      <c r="S197" s="152"/>
      <c r="T197" s="152"/>
      <c r="U197" s="152"/>
      <c r="V197" s="152"/>
      <c r="W197" s="152"/>
    </row>
    <row r="198">
      <c r="A198" s="152"/>
      <c r="B198" s="152"/>
      <c r="C198" s="152"/>
      <c r="D198" s="152"/>
      <c r="E198" s="152"/>
      <c r="F198" s="152"/>
      <c r="G198" s="152"/>
      <c r="H198" s="152"/>
      <c r="I198" s="152"/>
      <c r="J198" s="152"/>
      <c r="K198" s="248"/>
      <c r="L198" s="248"/>
      <c r="M198" s="152"/>
      <c r="N198" s="152"/>
      <c r="O198" s="152"/>
      <c r="P198" s="152"/>
      <c r="Q198" s="152"/>
      <c r="R198" s="152"/>
      <c r="S198" s="152"/>
      <c r="T198" s="152"/>
      <c r="U198" s="152"/>
      <c r="V198" s="152"/>
      <c r="W198" s="152"/>
    </row>
    <row r="199">
      <c r="A199" s="152"/>
      <c r="B199" s="152"/>
      <c r="C199" s="152"/>
      <c r="D199" s="152"/>
      <c r="E199" s="152"/>
      <c r="F199" s="152"/>
      <c r="G199" s="152"/>
      <c r="H199" s="152"/>
      <c r="I199" s="152"/>
      <c r="J199" s="152"/>
      <c r="K199" s="248"/>
      <c r="L199" s="248"/>
      <c r="M199" s="152"/>
      <c r="N199" s="152"/>
      <c r="O199" s="152"/>
      <c r="P199" s="152"/>
      <c r="Q199" s="152"/>
      <c r="R199" s="152"/>
      <c r="S199" s="152"/>
      <c r="T199" s="152"/>
      <c r="U199" s="152"/>
      <c r="V199" s="152"/>
      <c r="W199" s="152"/>
    </row>
    <row r="200">
      <c r="A200" s="152"/>
      <c r="B200" s="152"/>
      <c r="C200" s="152"/>
      <c r="D200" s="152"/>
      <c r="E200" s="152"/>
      <c r="F200" s="152"/>
      <c r="G200" s="152"/>
      <c r="H200" s="152"/>
      <c r="I200" s="152"/>
      <c r="J200" s="152"/>
      <c r="K200" s="248"/>
      <c r="L200" s="248"/>
      <c r="M200" s="152"/>
      <c r="N200" s="152"/>
      <c r="O200" s="152"/>
      <c r="P200" s="152"/>
      <c r="Q200" s="152"/>
      <c r="R200" s="152"/>
      <c r="S200" s="152"/>
      <c r="T200" s="152"/>
      <c r="U200" s="152"/>
      <c r="V200" s="152"/>
      <c r="W200" s="152"/>
    </row>
    <row r="201">
      <c r="A201" s="152"/>
      <c r="B201" s="152"/>
      <c r="C201" s="152"/>
      <c r="D201" s="152"/>
      <c r="E201" s="152"/>
      <c r="F201" s="152"/>
      <c r="G201" s="152"/>
      <c r="H201" s="152"/>
      <c r="I201" s="152"/>
      <c r="J201" s="152"/>
      <c r="K201" s="248"/>
      <c r="L201" s="248"/>
      <c r="M201" s="152"/>
      <c r="N201" s="152"/>
      <c r="O201" s="152"/>
      <c r="P201" s="152"/>
      <c r="Q201" s="152"/>
      <c r="R201" s="152"/>
      <c r="S201" s="152"/>
      <c r="T201" s="152"/>
      <c r="U201" s="152"/>
      <c r="V201" s="152"/>
      <c r="W201" s="152"/>
    </row>
    <row r="202">
      <c r="A202" s="152"/>
      <c r="B202" s="152"/>
      <c r="C202" s="152"/>
      <c r="D202" s="152"/>
      <c r="E202" s="152"/>
      <c r="F202" s="152"/>
      <c r="G202" s="152"/>
      <c r="H202" s="152"/>
      <c r="I202" s="152"/>
      <c r="J202" s="152"/>
      <c r="K202" s="248"/>
      <c r="L202" s="248"/>
      <c r="M202" s="152"/>
      <c r="N202" s="152"/>
      <c r="O202" s="152"/>
      <c r="P202" s="152"/>
      <c r="Q202" s="152"/>
      <c r="R202" s="152"/>
      <c r="S202" s="152"/>
      <c r="T202" s="152"/>
      <c r="U202" s="152"/>
      <c r="V202" s="152"/>
      <c r="W202" s="152"/>
    </row>
    <row r="203">
      <c r="A203" s="152"/>
      <c r="B203" s="152"/>
      <c r="C203" s="152"/>
      <c r="D203" s="152"/>
      <c r="E203" s="152"/>
      <c r="F203" s="152"/>
      <c r="G203" s="152"/>
      <c r="H203" s="152"/>
      <c r="I203" s="152"/>
      <c r="J203" s="152"/>
      <c r="K203" s="248"/>
      <c r="L203" s="248"/>
      <c r="M203" s="152"/>
      <c r="N203" s="152"/>
      <c r="O203" s="152"/>
      <c r="P203" s="152"/>
      <c r="Q203" s="152"/>
      <c r="R203" s="152"/>
      <c r="S203" s="152"/>
      <c r="T203" s="152"/>
      <c r="U203" s="152"/>
      <c r="V203" s="152"/>
      <c r="W203" s="152"/>
    </row>
    <row r="204">
      <c r="A204" s="152"/>
      <c r="B204" s="152"/>
      <c r="C204" s="152"/>
      <c r="D204" s="152"/>
      <c r="E204" s="152"/>
      <c r="F204" s="152"/>
      <c r="G204" s="152"/>
      <c r="H204" s="152"/>
      <c r="I204" s="152"/>
      <c r="J204" s="152"/>
      <c r="K204" s="248"/>
      <c r="L204" s="248"/>
      <c r="M204" s="152"/>
      <c r="N204" s="152"/>
      <c r="O204" s="152"/>
      <c r="P204" s="152"/>
      <c r="Q204" s="152"/>
      <c r="R204" s="152"/>
      <c r="S204" s="152"/>
      <c r="T204" s="152"/>
      <c r="U204" s="152"/>
      <c r="V204" s="152"/>
      <c r="W204" s="152"/>
    </row>
    <row r="205">
      <c r="A205" s="152"/>
      <c r="B205" s="152"/>
      <c r="C205" s="152"/>
      <c r="D205" s="152"/>
      <c r="E205" s="152"/>
      <c r="F205" s="152"/>
      <c r="G205" s="152"/>
      <c r="H205" s="152"/>
      <c r="I205" s="152"/>
      <c r="J205" s="152"/>
      <c r="K205" s="248"/>
      <c r="L205" s="248"/>
      <c r="M205" s="152"/>
      <c r="N205" s="152"/>
      <c r="O205" s="152"/>
      <c r="P205" s="152"/>
      <c r="Q205" s="152"/>
      <c r="R205" s="152"/>
      <c r="S205" s="152"/>
      <c r="T205" s="152"/>
      <c r="U205" s="152"/>
      <c r="V205" s="152"/>
      <c r="W205" s="152"/>
    </row>
    <row r="206">
      <c r="A206" s="152"/>
      <c r="B206" s="152"/>
      <c r="C206" s="152"/>
      <c r="D206" s="152"/>
      <c r="E206" s="152"/>
      <c r="F206" s="152"/>
      <c r="G206" s="152"/>
      <c r="H206" s="152"/>
      <c r="I206" s="152"/>
      <c r="J206" s="152"/>
      <c r="K206" s="248"/>
      <c r="L206" s="248"/>
      <c r="M206" s="152"/>
      <c r="N206" s="152"/>
      <c r="O206" s="152"/>
      <c r="P206" s="152"/>
      <c r="Q206" s="152"/>
      <c r="R206" s="152"/>
      <c r="S206" s="152"/>
      <c r="T206" s="152"/>
      <c r="U206" s="152"/>
      <c r="V206" s="152"/>
      <c r="W206" s="152"/>
    </row>
    <row r="207">
      <c r="A207" s="152"/>
      <c r="B207" s="152"/>
      <c r="C207" s="152"/>
      <c r="D207" s="152"/>
      <c r="E207" s="152"/>
      <c r="F207" s="152"/>
      <c r="G207" s="152"/>
      <c r="H207" s="152"/>
      <c r="I207" s="152"/>
      <c r="J207" s="152"/>
      <c r="K207" s="248"/>
      <c r="L207" s="248"/>
      <c r="M207" s="152"/>
      <c r="N207" s="152"/>
      <c r="O207" s="152"/>
      <c r="P207" s="152"/>
      <c r="Q207" s="152"/>
      <c r="R207" s="152"/>
      <c r="S207" s="152"/>
      <c r="T207" s="152"/>
      <c r="U207" s="152"/>
      <c r="V207" s="152"/>
      <c r="W207" s="152"/>
    </row>
    <row r="208">
      <c r="A208" s="152"/>
      <c r="B208" s="152"/>
      <c r="C208" s="152"/>
      <c r="D208" s="152"/>
      <c r="E208" s="152"/>
      <c r="F208" s="152"/>
      <c r="G208" s="152"/>
      <c r="H208" s="152"/>
      <c r="I208" s="152"/>
      <c r="J208" s="152"/>
      <c r="K208" s="248"/>
      <c r="L208" s="248"/>
      <c r="M208" s="152"/>
      <c r="N208" s="152"/>
      <c r="O208" s="152"/>
      <c r="P208" s="152"/>
      <c r="Q208" s="152"/>
      <c r="R208" s="152"/>
      <c r="S208" s="152"/>
      <c r="T208" s="152"/>
      <c r="U208" s="152"/>
      <c r="V208" s="152"/>
      <c r="W208" s="152"/>
    </row>
    <row r="209">
      <c r="A209" s="152"/>
      <c r="B209" s="152"/>
      <c r="C209" s="152"/>
      <c r="D209" s="152"/>
      <c r="E209" s="152"/>
      <c r="F209" s="152"/>
      <c r="G209" s="152"/>
      <c r="H209" s="152"/>
      <c r="I209" s="152"/>
      <c r="J209" s="152"/>
      <c r="K209" s="248"/>
      <c r="L209" s="248"/>
      <c r="M209" s="152"/>
      <c r="N209" s="152"/>
      <c r="O209" s="152"/>
      <c r="P209" s="152"/>
      <c r="Q209" s="152"/>
      <c r="R209" s="152"/>
      <c r="S209" s="152"/>
      <c r="T209" s="152"/>
      <c r="U209" s="152"/>
      <c r="V209" s="152"/>
      <c r="W209" s="152"/>
    </row>
    <row r="210">
      <c r="A210" s="152"/>
      <c r="B210" s="152"/>
      <c r="C210" s="152"/>
      <c r="D210" s="152"/>
      <c r="E210" s="152"/>
      <c r="F210" s="152"/>
      <c r="G210" s="152"/>
      <c r="H210" s="152"/>
      <c r="I210" s="152"/>
      <c r="J210" s="152"/>
      <c r="K210" s="248"/>
      <c r="L210" s="248"/>
      <c r="M210" s="152"/>
      <c r="N210" s="152"/>
      <c r="O210" s="152"/>
      <c r="P210" s="152"/>
      <c r="Q210" s="152"/>
      <c r="R210" s="152"/>
      <c r="S210" s="152"/>
      <c r="T210" s="152"/>
      <c r="U210" s="152"/>
      <c r="V210" s="152"/>
      <c r="W210" s="152"/>
    </row>
    <row r="211">
      <c r="A211" s="152"/>
      <c r="B211" s="152"/>
      <c r="C211" s="152"/>
      <c r="D211" s="152"/>
      <c r="E211" s="152"/>
      <c r="F211" s="152"/>
      <c r="G211" s="152"/>
      <c r="H211" s="152"/>
      <c r="I211" s="152"/>
      <c r="J211" s="152"/>
      <c r="K211" s="248"/>
      <c r="L211" s="248"/>
      <c r="M211" s="152"/>
      <c r="N211" s="152"/>
      <c r="O211" s="152"/>
      <c r="P211" s="152"/>
      <c r="Q211" s="152"/>
      <c r="R211" s="152"/>
      <c r="S211" s="152"/>
      <c r="T211" s="152"/>
      <c r="U211" s="152"/>
      <c r="V211" s="152"/>
      <c r="W211" s="152"/>
    </row>
    <row r="212">
      <c r="A212" s="152"/>
      <c r="B212" s="152"/>
      <c r="C212" s="152"/>
      <c r="D212" s="152"/>
      <c r="E212" s="152"/>
      <c r="F212" s="152"/>
      <c r="G212" s="152"/>
      <c r="H212" s="152"/>
      <c r="I212" s="152"/>
      <c r="J212" s="152"/>
      <c r="K212" s="248"/>
      <c r="L212" s="248"/>
      <c r="M212" s="152"/>
      <c r="N212" s="152"/>
      <c r="O212" s="152"/>
      <c r="P212" s="152"/>
      <c r="Q212" s="152"/>
      <c r="R212" s="152"/>
      <c r="S212" s="152"/>
      <c r="T212" s="152"/>
      <c r="U212" s="152"/>
      <c r="V212" s="152"/>
      <c r="W212" s="152"/>
    </row>
    <row r="213">
      <c r="A213" s="152"/>
      <c r="B213" s="152"/>
      <c r="C213" s="152"/>
      <c r="D213" s="152"/>
      <c r="E213" s="152"/>
      <c r="F213" s="152"/>
      <c r="G213" s="152"/>
      <c r="H213" s="152"/>
      <c r="I213" s="152"/>
      <c r="J213" s="152"/>
      <c r="K213" s="248"/>
      <c r="L213" s="248"/>
      <c r="M213" s="152"/>
      <c r="N213" s="152"/>
      <c r="O213" s="152"/>
      <c r="P213" s="152"/>
      <c r="Q213" s="152"/>
      <c r="R213" s="152"/>
      <c r="S213" s="152"/>
      <c r="T213" s="152"/>
      <c r="U213" s="152"/>
      <c r="V213" s="152"/>
      <c r="W213" s="152"/>
    </row>
    <row r="214">
      <c r="A214" s="152"/>
      <c r="B214" s="152"/>
      <c r="C214" s="152"/>
      <c r="D214" s="152"/>
      <c r="E214" s="152"/>
      <c r="F214" s="152"/>
      <c r="G214" s="152"/>
      <c r="H214" s="152"/>
      <c r="I214" s="152"/>
      <c r="J214" s="152"/>
      <c r="K214" s="248"/>
      <c r="L214" s="248"/>
      <c r="M214" s="152"/>
      <c r="N214" s="152"/>
      <c r="O214" s="152"/>
      <c r="P214" s="152"/>
      <c r="Q214" s="152"/>
      <c r="R214" s="152"/>
      <c r="S214" s="152"/>
      <c r="T214" s="152"/>
      <c r="U214" s="152"/>
      <c r="V214" s="152"/>
      <c r="W214" s="152"/>
    </row>
    <row r="215">
      <c r="A215" s="152"/>
      <c r="B215" s="152"/>
      <c r="C215" s="152"/>
      <c r="D215" s="152"/>
      <c r="E215" s="152"/>
      <c r="F215" s="152"/>
      <c r="G215" s="152"/>
      <c r="H215" s="152"/>
      <c r="I215" s="152"/>
      <c r="J215" s="152"/>
      <c r="K215" s="248"/>
      <c r="L215" s="248"/>
      <c r="M215" s="152"/>
      <c r="N215" s="152"/>
      <c r="O215" s="152"/>
      <c r="P215" s="152"/>
      <c r="Q215" s="152"/>
      <c r="R215" s="152"/>
      <c r="S215" s="152"/>
      <c r="T215" s="152"/>
      <c r="U215" s="152"/>
      <c r="V215" s="152"/>
      <c r="W215" s="152"/>
    </row>
    <row r="216">
      <c r="A216" s="152"/>
      <c r="B216" s="152"/>
      <c r="C216" s="152"/>
      <c r="D216" s="152"/>
      <c r="E216" s="152"/>
      <c r="F216" s="152"/>
      <c r="G216" s="152"/>
      <c r="H216" s="152"/>
      <c r="I216" s="152"/>
      <c r="J216" s="152"/>
      <c r="K216" s="248"/>
      <c r="L216" s="248"/>
      <c r="M216" s="152"/>
      <c r="N216" s="152"/>
      <c r="O216" s="152"/>
      <c r="P216" s="152"/>
      <c r="Q216" s="152"/>
      <c r="R216" s="152"/>
      <c r="S216" s="152"/>
      <c r="T216" s="152"/>
      <c r="U216" s="152"/>
      <c r="V216" s="152"/>
      <c r="W216" s="152"/>
    </row>
    <row r="217">
      <c r="A217" s="152"/>
      <c r="B217" s="152"/>
      <c r="C217" s="152"/>
      <c r="D217" s="152"/>
      <c r="E217" s="152"/>
      <c r="F217" s="152"/>
      <c r="G217" s="152"/>
      <c r="H217" s="152"/>
      <c r="I217" s="152"/>
      <c r="J217" s="152"/>
      <c r="K217" s="248"/>
      <c r="L217" s="248"/>
      <c r="M217" s="152"/>
      <c r="N217" s="152"/>
      <c r="O217" s="152"/>
      <c r="P217" s="152"/>
      <c r="Q217" s="152"/>
      <c r="R217" s="152"/>
      <c r="S217" s="152"/>
      <c r="T217" s="152"/>
      <c r="U217" s="152"/>
      <c r="V217" s="152"/>
      <c r="W217" s="152"/>
    </row>
    <row r="218">
      <c r="A218" s="152"/>
      <c r="B218" s="152"/>
      <c r="C218" s="152"/>
      <c r="D218" s="152"/>
      <c r="E218" s="152"/>
      <c r="F218" s="152"/>
      <c r="G218" s="152"/>
      <c r="H218" s="152"/>
      <c r="I218" s="152"/>
      <c r="J218" s="152"/>
      <c r="K218" s="248"/>
      <c r="L218" s="248"/>
      <c r="M218" s="152"/>
      <c r="N218" s="152"/>
      <c r="O218" s="152"/>
      <c r="P218" s="152"/>
      <c r="Q218" s="152"/>
      <c r="R218" s="152"/>
      <c r="S218" s="152"/>
      <c r="T218" s="152"/>
      <c r="U218" s="152"/>
      <c r="V218" s="152"/>
      <c r="W218" s="152"/>
    </row>
    <row r="219">
      <c r="A219" s="152"/>
      <c r="B219" s="152"/>
      <c r="C219" s="152"/>
      <c r="D219" s="152"/>
      <c r="E219" s="152"/>
      <c r="F219" s="152"/>
      <c r="G219" s="152"/>
      <c r="H219" s="152"/>
      <c r="I219" s="152"/>
      <c r="J219" s="152"/>
      <c r="K219" s="248"/>
      <c r="L219" s="248"/>
      <c r="M219" s="152"/>
      <c r="N219" s="152"/>
      <c r="O219" s="152"/>
      <c r="P219" s="152"/>
      <c r="Q219" s="152"/>
      <c r="R219" s="152"/>
      <c r="S219" s="152"/>
      <c r="T219" s="152"/>
      <c r="U219" s="152"/>
      <c r="V219" s="152"/>
      <c r="W219" s="152"/>
    </row>
    <row r="220">
      <c r="A220" s="152"/>
      <c r="B220" s="152"/>
      <c r="C220" s="152"/>
      <c r="D220" s="152"/>
      <c r="E220" s="152"/>
      <c r="F220" s="152"/>
      <c r="G220" s="152"/>
      <c r="H220" s="152"/>
      <c r="I220" s="152"/>
      <c r="J220" s="152"/>
      <c r="K220" s="248"/>
      <c r="L220" s="248"/>
      <c r="M220" s="152"/>
      <c r="N220" s="152"/>
      <c r="O220" s="152"/>
      <c r="P220" s="152"/>
      <c r="Q220" s="152"/>
      <c r="R220" s="152"/>
      <c r="S220" s="152"/>
      <c r="T220" s="152"/>
      <c r="U220" s="152"/>
      <c r="V220" s="152"/>
      <c r="W220" s="152"/>
    </row>
    <row r="221">
      <c r="A221" s="152"/>
      <c r="B221" s="152"/>
      <c r="C221" s="152"/>
      <c r="D221" s="152"/>
      <c r="E221" s="152"/>
      <c r="F221" s="152"/>
      <c r="G221" s="152"/>
      <c r="H221" s="152"/>
      <c r="I221" s="152"/>
      <c r="J221" s="152"/>
      <c r="K221" s="248"/>
      <c r="L221" s="248"/>
      <c r="M221" s="152"/>
      <c r="N221" s="152"/>
      <c r="O221" s="152"/>
      <c r="P221" s="152"/>
      <c r="Q221" s="152"/>
      <c r="R221" s="152"/>
      <c r="S221" s="152"/>
      <c r="T221" s="152"/>
      <c r="U221" s="152"/>
      <c r="V221" s="152"/>
      <c r="W221" s="152"/>
    </row>
    <row r="222">
      <c r="A222" s="152"/>
      <c r="B222" s="152"/>
      <c r="C222" s="152"/>
      <c r="D222" s="152"/>
      <c r="E222" s="152"/>
      <c r="F222" s="152"/>
      <c r="G222" s="152"/>
      <c r="H222" s="152"/>
      <c r="I222" s="152"/>
      <c r="J222" s="152"/>
      <c r="K222" s="248"/>
      <c r="L222" s="248"/>
      <c r="M222" s="152"/>
      <c r="N222" s="152"/>
      <c r="O222" s="152"/>
      <c r="P222" s="152"/>
      <c r="Q222" s="152"/>
      <c r="R222" s="152"/>
      <c r="S222" s="152"/>
      <c r="T222" s="152"/>
      <c r="U222" s="152"/>
      <c r="V222" s="152"/>
      <c r="W222" s="152"/>
    </row>
    <row r="223">
      <c r="A223" s="152"/>
      <c r="B223" s="152"/>
      <c r="C223" s="152"/>
      <c r="D223" s="152"/>
      <c r="E223" s="152"/>
      <c r="F223" s="152"/>
      <c r="G223" s="152"/>
      <c r="H223" s="152"/>
      <c r="I223" s="152"/>
      <c r="J223" s="152"/>
      <c r="K223" s="248"/>
      <c r="L223" s="248"/>
      <c r="M223" s="152"/>
      <c r="N223" s="152"/>
      <c r="O223" s="152"/>
      <c r="P223" s="152"/>
      <c r="Q223" s="152"/>
      <c r="R223" s="152"/>
      <c r="S223" s="152"/>
      <c r="T223" s="152"/>
      <c r="U223" s="152"/>
      <c r="V223" s="152"/>
      <c r="W223" s="152"/>
    </row>
    <row r="224">
      <c r="A224" s="152"/>
      <c r="B224" s="152"/>
      <c r="C224" s="152"/>
      <c r="D224" s="152"/>
      <c r="E224" s="152"/>
      <c r="F224" s="152"/>
      <c r="G224" s="152"/>
      <c r="H224" s="152"/>
      <c r="I224" s="152"/>
      <c r="J224" s="152"/>
      <c r="K224" s="248"/>
      <c r="L224" s="248"/>
      <c r="M224" s="152"/>
      <c r="N224" s="152"/>
      <c r="O224" s="152"/>
      <c r="P224" s="152"/>
      <c r="Q224" s="152"/>
      <c r="R224" s="152"/>
      <c r="S224" s="152"/>
      <c r="T224" s="152"/>
      <c r="U224" s="152"/>
      <c r="V224" s="152"/>
      <c r="W224" s="152"/>
    </row>
    <row r="225">
      <c r="A225" s="152"/>
      <c r="B225" s="152"/>
      <c r="C225" s="152"/>
      <c r="D225" s="152"/>
      <c r="E225" s="152"/>
      <c r="F225" s="152"/>
      <c r="G225" s="152"/>
      <c r="H225" s="152"/>
      <c r="I225" s="152"/>
      <c r="J225" s="152"/>
      <c r="K225" s="248"/>
      <c r="L225" s="248"/>
      <c r="M225" s="152"/>
      <c r="N225" s="152"/>
      <c r="O225" s="152"/>
      <c r="P225" s="152"/>
      <c r="Q225" s="152"/>
      <c r="R225" s="152"/>
      <c r="S225" s="152"/>
      <c r="T225" s="152"/>
      <c r="U225" s="152"/>
      <c r="V225" s="152"/>
      <c r="W225" s="152"/>
    </row>
    <row r="226">
      <c r="A226" s="152"/>
      <c r="B226" s="152"/>
      <c r="C226" s="152"/>
      <c r="D226" s="152"/>
      <c r="E226" s="152"/>
      <c r="F226" s="152"/>
      <c r="G226" s="152"/>
      <c r="H226" s="152"/>
      <c r="I226" s="152"/>
      <c r="J226" s="152"/>
      <c r="K226" s="248"/>
      <c r="L226" s="248"/>
      <c r="M226" s="152"/>
      <c r="N226" s="152"/>
      <c r="O226" s="152"/>
      <c r="P226" s="152"/>
      <c r="Q226" s="152"/>
      <c r="R226" s="152"/>
      <c r="S226" s="152"/>
      <c r="T226" s="152"/>
      <c r="U226" s="152"/>
      <c r="V226" s="152"/>
      <c r="W226" s="152"/>
    </row>
    <row r="227">
      <c r="A227" s="152"/>
      <c r="B227" s="152"/>
      <c r="C227" s="152"/>
      <c r="D227" s="152"/>
      <c r="E227" s="152"/>
      <c r="F227" s="152"/>
      <c r="G227" s="152"/>
      <c r="H227" s="152"/>
      <c r="I227" s="152"/>
      <c r="J227" s="152"/>
      <c r="K227" s="248"/>
      <c r="L227" s="248"/>
      <c r="M227" s="152"/>
      <c r="N227" s="152"/>
      <c r="O227" s="152"/>
      <c r="P227" s="152"/>
      <c r="Q227" s="152"/>
      <c r="R227" s="152"/>
      <c r="S227" s="152"/>
      <c r="T227" s="152"/>
      <c r="U227" s="152"/>
      <c r="V227" s="152"/>
      <c r="W227" s="152"/>
    </row>
    <row r="228">
      <c r="A228" s="152"/>
      <c r="B228" s="152"/>
      <c r="C228" s="152"/>
      <c r="D228" s="152"/>
      <c r="E228" s="152"/>
      <c r="F228" s="152"/>
      <c r="G228" s="152"/>
      <c r="H228" s="152"/>
      <c r="I228" s="152"/>
      <c r="J228" s="152"/>
      <c r="K228" s="248"/>
      <c r="L228" s="248"/>
      <c r="M228" s="152"/>
      <c r="N228" s="152"/>
      <c r="O228" s="152"/>
      <c r="P228" s="152"/>
      <c r="Q228" s="152"/>
      <c r="R228" s="152"/>
      <c r="S228" s="152"/>
      <c r="T228" s="152"/>
      <c r="U228" s="152"/>
      <c r="V228" s="152"/>
      <c r="W228" s="152"/>
    </row>
    <row r="229">
      <c r="A229" s="152"/>
      <c r="B229" s="152"/>
      <c r="C229" s="152"/>
      <c r="D229" s="152"/>
      <c r="E229" s="152"/>
      <c r="F229" s="152"/>
      <c r="G229" s="152"/>
      <c r="H229" s="152"/>
      <c r="I229" s="152"/>
      <c r="J229" s="152"/>
      <c r="K229" s="248"/>
      <c r="L229" s="248"/>
      <c r="M229" s="152"/>
      <c r="N229" s="152"/>
      <c r="O229" s="152"/>
      <c r="P229" s="152"/>
      <c r="Q229" s="152"/>
      <c r="R229" s="152"/>
      <c r="S229" s="152"/>
      <c r="T229" s="152"/>
      <c r="U229" s="152"/>
      <c r="V229" s="152"/>
      <c r="W229" s="152"/>
    </row>
    <row r="230">
      <c r="A230" s="152"/>
      <c r="B230" s="152"/>
      <c r="C230" s="152"/>
      <c r="D230" s="152"/>
      <c r="E230" s="152"/>
      <c r="F230" s="152"/>
      <c r="G230" s="152"/>
      <c r="H230" s="152"/>
      <c r="I230" s="152"/>
      <c r="J230" s="152"/>
      <c r="K230" s="248"/>
      <c r="L230" s="248"/>
      <c r="M230" s="152"/>
      <c r="N230" s="152"/>
      <c r="O230" s="152"/>
      <c r="P230" s="152"/>
      <c r="Q230" s="152"/>
      <c r="R230" s="152"/>
      <c r="S230" s="152"/>
      <c r="T230" s="152"/>
      <c r="U230" s="152"/>
      <c r="V230" s="152"/>
      <c r="W230" s="152"/>
    </row>
    <row r="231">
      <c r="A231" s="152"/>
      <c r="B231" s="152"/>
      <c r="C231" s="152"/>
      <c r="D231" s="152"/>
      <c r="E231" s="152"/>
      <c r="F231" s="152"/>
      <c r="G231" s="152"/>
      <c r="H231" s="152"/>
      <c r="I231" s="152"/>
      <c r="J231" s="152"/>
      <c r="K231" s="248"/>
      <c r="L231" s="248"/>
      <c r="M231" s="152"/>
      <c r="N231" s="152"/>
      <c r="O231" s="152"/>
      <c r="P231" s="152"/>
      <c r="Q231" s="152"/>
      <c r="R231" s="152"/>
      <c r="S231" s="152"/>
      <c r="T231" s="152"/>
      <c r="U231" s="152"/>
      <c r="V231" s="152"/>
      <c r="W231" s="152"/>
    </row>
    <row r="232">
      <c r="A232" s="152"/>
      <c r="B232" s="152"/>
      <c r="C232" s="152"/>
      <c r="D232" s="152"/>
      <c r="E232" s="152"/>
      <c r="F232" s="152"/>
      <c r="G232" s="152"/>
      <c r="H232" s="152"/>
      <c r="I232" s="152"/>
      <c r="J232" s="152"/>
      <c r="K232" s="248"/>
      <c r="L232" s="248"/>
      <c r="M232" s="152"/>
      <c r="N232" s="152"/>
      <c r="O232" s="152"/>
      <c r="P232" s="152"/>
      <c r="Q232" s="152"/>
      <c r="R232" s="152"/>
      <c r="S232" s="152"/>
      <c r="T232" s="152"/>
      <c r="U232" s="152"/>
      <c r="V232" s="152"/>
      <c r="W232" s="152"/>
    </row>
    <row r="233">
      <c r="A233" s="152"/>
      <c r="B233" s="152"/>
      <c r="C233" s="152"/>
      <c r="D233" s="152"/>
      <c r="E233" s="152"/>
      <c r="F233" s="152"/>
      <c r="G233" s="152"/>
      <c r="H233" s="152"/>
      <c r="I233" s="152"/>
      <c r="J233" s="152"/>
      <c r="K233" s="248"/>
      <c r="L233" s="248"/>
      <c r="M233" s="152"/>
      <c r="N233" s="152"/>
      <c r="O233" s="152"/>
      <c r="P233" s="152"/>
      <c r="Q233" s="152"/>
      <c r="R233" s="152"/>
      <c r="S233" s="152"/>
      <c r="T233" s="152"/>
      <c r="U233" s="152"/>
      <c r="V233" s="152"/>
      <c r="W233" s="152"/>
    </row>
    <row r="234">
      <c r="A234" s="152"/>
      <c r="B234" s="152"/>
      <c r="C234" s="152"/>
      <c r="D234" s="152"/>
      <c r="E234" s="152"/>
      <c r="F234" s="152"/>
      <c r="G234" s="152"/>
      <c r="H234" s="152"/>
      <c r="I234" s="152"/>
      <c r="J234" s="152"/>
      <c r="K234" s="248"/>
      <c r="L234" s="248"/>
      <c r="M234" s="152"/>
      <c r="N234" s="152"/>
      <c r="O234" s="152"/>
      <c r="P234" s="152"/>
      <c r="Q234" s="152"/>
      <c r="R234" s="152"/>
      <c r="S234" s="152"/>
      <c r="T234" s="152"/>
      <c r="U234" s="152"/>
      <c r="V234" s="152"/>
      <c r="W234" s="152"/>
    </row>
    <row r="235">
      <c r="A235" s="152"/>
      <c r="B235" s="152"/>
      <c r="C235" s="152"/>
      <c r="D235" s="152"/>
      <c r="E235" s="152"/>
      <c r="F235" s="152"/>
      <c r="G235" s="152"/>
      <c r="H235" s="152"/>
      <c r="I235" s="152"/>
      <c r="J235" s="152"/>
      <c r="K235" s="248"/>
      <c r="L235" s="248"/>
      <c r="M235" s="152"/>
      <c r="N235" s="152"/>
      <c r="O235" s="152"/>
      <c r="P235" s="152"/>
      <c r="Q235" s="152"/>
      <c r="R235" s="152"/>
      <c r="S235" s="152"/>
      <c r="T235" s="152"/>
      <c r="U235" s="152"/>
      <c r="V235" s="152"/>
      <c r="W235" s="152"/>
    </row>
    <row r="236">
      <c r="A236" s="152"/>
      <c r="B236" s="152"/>
      <c r="C236" s="152"/>
      <c r="D236" s="152"/>
      <c r="E236" s="152"/>
      <c r="F236" s="152"/>
      <c r="G236" s="152"/>
      <c r="H236" s="152"/>
      <c r="I236" s="152"/>
      <c r="J236" s="152"/>
      <c r="K236" s="248"/>
      <c r="L236" s="248"/>
      <c r="M236" s="152"/>
      <c r="N236" s="152"/>
      <c r="O236" s="152"/>
      <c r="P236" s="152"/>
      <c r="Q236" s="152"/>
      <c r="R236" s="152"/>
      <c r="S236" s="152"/>
      <c r="T236" s="152"/>
      <c r="U236" s="152"/>
      <c r="V236" s="152"/>
      <c r="W236" s="152"/>
    </row>
    <row r="237">
      <c r="A237" s="152"/>
      <c r="B237" s="152"/>
      <c r="C237" s="152"/>
      <c r="D237" s="152"/>
      <c r="E237" s="152"/>
      <c r="F237" s="152"/>
      <c r="G237" s="152"/>
      <c r="H237" s="152"/>
      <c r="I237" s="152"/>
      <c r="J237" s="152"/>
      <c r="K237" s="248"/>
      <c r="L237" s="248"/>
      <c r="M237" s="152"/>
      <c r="N237" s="152"/>
      <c r="O237" s="152"/>
      <c r="P237" s="152"/>
      <c r="Q237" s="152"/>
      <c r="R237" s="152"/>
      <c r="S237" s="152"/>
      <c r="T237" s="152"/>
      <c r="U237" s="152"/>
      <c r="V237" s="152"/>
      <c r="W237" s="152"/>
    </row>
    <row r="238">
      <c r="A238" s="152"/>
      <c r="B238" s="152"/>
      <c r="C238" s="152"/>
      <c r="D238" s="152"/>
      <c r="E238" s="152"/>
      <c r="F238" s="152"/>
      <c r="G238" s="152"/>
      <c r="H238" s="152"/>
      <c r="I238" s="152"/>
      <c r="J238" s="152"/>
      <c r="K238" s="248"/>
      <c r="L238" s="248"/>
      <c r="M238" s="152"/>
      <c r="N238" s="152"/>
      <c r="O238" s="152"/>
      <c r="P238" s="152"/>
      <c r="Q238" s="152"/>
      <c r="R238" s="152"/>
      <c r="S238" s="152"/>
      <c r="T238" s="152"/>
      <c r="U238" s="152"/>
      <c r="V238" s="152"/>
      <c r="W238" s="152"/>
    </row>
    <row r="239">
      <c r="A239" s="152"/>
      <c r="B239" s="152"/>
      <c r="C239" s="152"/>
      <c r="D239" s="152"/>
      <c r="E239" s="152"/>
      <c r="F239" s="152"/>
      <c r="G239" s="152"/>
      <c r="H239" s="152"/>
      <c r="I239" s="152"/>
      <c r="J239" s="152"/>
      <c r="K239" s="248"/>
      <c r="L239" s="248"/>
      <c r="M239" s="152"/>
      <c r="N239" s="152"/>
      <c r="O239" s="152"/>
      <c r="P239" s="152"/>
      <c r="Q239" s="152"/>
      <c r="R239" s="152"/>
      <c r="S239" s="152"/>
      <c r="T239" s="152"/>
      <c r="U239" s="152"/>
      <c r="V239" s="152"/>
      <c r="W239" s="152"/>
    </row>
    <row r="240">
      <c r="A240" s="152"/>
      <c r="B240" s="152"/>
      <c r="C240" s="152"/>
      <c r="D240" s="152"/>
      <c r="E240" s="152"/>
      <c r="F240" s="152"/>
      <c r="G240" s="152"/>
      <c r="H240" s="152"/>
      <c r="I240" s="152"/>
      <c r="J240" s="152"/>
      <c r="K240" s="248"/>
      <c r="L240" s="248"/>
      <c r="M240" s="152"/>
      <c r="N240" s="152"/>
      <c r="O240" s="152"/>
      <c r="P240" s="152"/>
      <c r="Q240" s="152"/>
      <c r="R240" s="152"/>
      <c r="S240" s="152"/>
      <c r="T240" s="152"/>
      <c r="U240" s="152"/>
      <c r="V240" s="152"/>
      <c r="W240" s="152"/>
    </row>
    <row r="241">
      <c r="A241" s="152"/>
      <c r="B241" s="152"/>
      <c r="C241" s="152"/>
      <c r="D241" s="152"/>
      <c r="E241" s="152"/>
      <c r="F241" s="152"/>
      <c r="G241" s="152"/>
      <c r="H241" s="152"/>
      <c r="I241" s="152"/>
      <c r="J241" s="152"/>
      <c r="K241" s="248"/>
      <c r="L241" s="248"/>
      <c r="M241" s="152"/>
      <c r="N241" s="152"/>
      <c r="O241" s="152"/>
      <c r="P241" s="152"/>
      <c r="Q241" s="152"/>
      <c r="R241" s="152"/>
      <c r="S241" s="152"/>
      <c r="T241" s="152"/>
      <c r="U241" s="152"/>
      <c r="V241" s="152"/>
      <c r="W241" s="152"/>
    </row>
    <row r="242">
      <c r="A242" s="152"/>
      <c r="B242" s="152"/>
      <c r="C242" s="152"/>
      <c r="D242" s="152"/>
      <c r="E242" s="152"/>
      <c r="F242" s="152"/>
      <c r="G242" s="152"/>
      <c r="H242" s="152"/>
      <c r="I242" s="152"/>
      <c r="J242" s="152"/>
      <c r="K242" s="248"/>
      <c r="L242" s="248"/>
      <c r="M242" s="152"/>
      <c r="N242" s="152"/>
      <c r="O242" s="152"/>
      <c r="P242" s="152"/>
      <c r="Q242" s="152"/>
      <c r="R242" s="152"/>
      <c r="S242" s="152"/>
      <c r="T242" s="152"/>
      <c r="U242" s="152"/>
      <c r="V242" s="152"/>
      <c r="W242" s="152"/>
    </row>
    <row r="243">
      <c r="A243" s="152"/>
      <c r="B243" s="152"/>
      <c r="C243" s="152"/>
      <c r="D243" s="152"/>
      <c r="E243" s="152"/>
      <c r="F243" s="152"/>
      <c r="G243" s="152"/>
      <c r="H243" s="152"/>
      <c r="I243" s="152"/>
      <c r="J243" s="152"/>
      <c r="K243" s="248"/>
      <c r="L243" s="248"/>
      <c r="M243" s="152"/>
      <c r="N243" s="152"/>
      <c r="O243" s="152"/>
      <c r="P243" s="152"/>
      <c r="Q243" s="152"/>
      <c r="R243" s="152"/>
      <c r="S243" s="152"/>
      <c r="T243" s="152"/>
      <c r="U243" s="152"/>
      <c r="V243" s="152"/>
      <c r="W243" s="152"/>
    </row>
    <row r="244">
      <c r="A244" s="152"/>
      <c r="B244" s="152"/>
      <c r="C244" s="152"/>
      <c r="D244" s="152"/>
      <c r="E244" s="152"/>
      <c r="F244" s="152"/>
      <c r="G244" s="152"/>
      <c r="H244" s="152"/>
      <c r="I244" s="152"/>
      <c r="J244" s="152"/>
      <c r="K244" s="248"/>
      <c r="L244" s="248"/>
      <c r="M244" s="152"/>
      <c r="N244" s="152"/>
      <c r="O244" s="152"/>
      <c r="P244" s="152"/>
      <c r="Q244" s="152"/>
      <c r="R244" s="152"/>
      <c r="S244" s="152"/>
      <c r="T244" s="152"/>
      <c r="U244" s="152"/>
      <c r="V244" s="152"/>
      <c r="W244" s="152"/>
    </row>
    <row r="245">
      <c r="A245" s="152"/>
      <c r="B245" s="152"/>
      <c r="C245" s="152"/>
      <c r="D245" s="152"/>
      <c r="E245" s="152"/>
      <c r="F245" s="152"/>
      <c r="G245" s="152"/>
      <c r="H245" s="152"/>
      <c r="I245" s="152"/>
      <c r="J245" s="152"/>
      <c r="K245" s="248"/>
      <c r="L245" s="248"/>
      <c r="M245" s="152"/>
      <c r="N245" s="152"/>
      <c r="O245" s="152"/>
      <c r="P245" s="152"/>
      <c r="Q245" s="152"/>
      <c r="R245" s="152"/>
      <c r="S245" s="152"/>
      <c r="T245" s="152"/>
      <c r="U245" s="152"/>
      <c r="V245" s="152"/>
      <c r="W245" s="152"/>
    </row>
    <row r="246">
      <c r="A246" s="152"/>
      <c r="B246" s="152"/>
      <c r="C246" s="152"/>
      <c r="D246" s="152"/>
      <c r="E246" s="152"/>
      <c r="F246" s="152"/>
      <c r="G246" s="152"/>
      <c r="H246" s="152"/>
      <c r="I246" s="152"/>
      <c r="J246" s="152"/>
      <c r="K246" s="248"/>
      <c r="L246" s="248"/>
      <c r="M246" s="152"/>
      <c r="N246" s="152"/>
      <c r="O246" s="152"/>
      <c r="P246" s="152"/>
      <c r="Q246" s="152"/>
      <c r="R246" s="152"/>
      <c r="S246" s="152"/>
      <c r="T246" s="152"/>
      <c r="U246" s="152"/>
      <c r="V246" s="152"/>
      <c r="W246" s="152"/>
    </row>
    <row r="247">
      <c r="A247" s="152"/>
      <c r="B247" s="152"/>
      <c r="C247" s="152"/>
      <c r="D247" s="152"/>
      <c r="E247" s="152"/>
      <c r="F247" s="152"/>
      <c r="G247" s="152"/>
      <c r="H247" s="152"/>
      <c r="I247" s="152"/>
      <c r="J247" s="152"/>
      <c r="K247" s="248"/>
      <c r="L247" s="248"/>
      <c r="M247" s="152"/>
      <c r="N247" s="152"/>
      <c r="O247" s="152"/>
      <c r="P247" s="152"/>
      <c r="Q247" s="152"/>
      <c r="R247" s="152"/>
      <c r="S247" s="152"/>
      <c r="T247" s="152"/>
      <c r="U247" s="152"/>
      <c r="V247" s="152"/>
      <c r="W247" s="152"/>
    </row>
    <row r="248">
      <c r="A248" s="152"/>
      <c r="B248" s="152"/>
      <c r="C248" s="152"/>
      <c r="D248" s="152"/>
      <c r="E248" s="152"/>
      <c r="F248" s="152"/>
      <c r="G248" s="152"/>
      <c r="H248" s="152"/>
      <c r="I248" s="152"/>
      <c r="J248" s="152"/>
      <c r="K248" s="248"/>
      <c r="L248" s="248"/>
      <c r="M248" s="152"/>
      <c r="N248" s="152"/>
      <c r="O248" s="152"/>
      <c r="P248" s="152"/>
      <c r="Q248" s="152"/>
      <c r="R248" s="152"/>
      <c r="S248" s="152"/>
      <c r="T248" s="152"/>
      <c r="U248" s="152"/>
      <c r="V248" s="152"/>
      <c r="W248" s="152"/>
    </row>
    <row r="249">
      <c r="A249" s="152"/>
      <c r="B249" s="152"/>
      <c r="C249" s="152"/>
      <c r="D249" s="152"/>
      <c r="E249" s="152"/>
      <c r="F249" s="152"/>
      <c r="G249" s="152"/>
      <c r="H249" s="152"/>
      <c r="I249" s="152"/>
      <c r="J249" s="152"/>
      <c r="K249" s="248"/>
      <c r="L249" s="248"/>
      <c r="M249" s="152"/>
      <c r="N249" s="152"/>
      <c r="O249" s="152"/>
      <c r="P249" s="152"/>
      <c r="Q249" s="152"/>
      <c r="R249" s="152"/>
      <c r="S249" s="152"/>
      <c r="T249" s="152"/>
      <c r="U249" s="152"/>
      <c r="V249" s="152"/>
      <c r="W249" s="152"/>
    </row>
    <row r="250">
      <c r="A250" s="152"/>
      <c r="B250" s="152"/>
      <c r="C250" s="152"/>
      <c r="D250" s="152"/>
      <c r="E250" s="152"/>
      <c r="F250" s="152"/>
      <c r="G250" s="152"/>
      <c r="H250" s="152"/>
      <c r="I250" s="152"/>
      <c r="J250" s="152"/>
      <c r="K250" s="248"/>
      <c r="L250" s="248"/>
      <c r="M250" s="152"/>
      <c r="N250" s="152"/>
      <c r="O250" s="152"/>
      <c r="P250" s="152"/>
      <c r="Q250" s="152"/>
      <c r="R250" s="152"/>
      <c r="S250" s="152"/>
      <c r="T250" s="152"/>
      <c r="U250" s="152"/>
      <c r="V250" s="152"/>
      <c r="W250" s="152"/>
    </row>
    <row r="251">
      <c r="A251" s="152"/>
      <c r="B251" s="152"/>
      <c r="C251" s="152"/>
      <c r="D251" s="152"/>
      <c r="E251" s="152"/>
      <c r="F251" s="152"/>
      <c r="G251" s="152"/>
      <c r="H251" s="152"/>
      <c r="I251" s="152"/>
      <c r="J251" s="152"/>
      <c r="K251" s="248"/>
      <c r="L251" s="248"/>
      <c r="M251" s="152"/>
      <c r="N251" s="152"/>
      <c r="O251" s="152"/>
      <c r="P251" s="152"/>
      <c r="Q251" s="152"/>
      <c r="R251" s="152"/>
      <c r="S251" s="152"/>
      <c r="T251" s="152"/>
      <c r="U251" s="152"/>
      <c r="V251" s="152"/>
      <c r="W251" s="152"/>
    </row>
    <row r="252">
      <c r="A252" s="152"/>
      <c r="B252" s="152"/>
      <c r="C252" s="152"/>
      <c r="D252" s="152"/>
      <c r="E252" s="152"/>
      <c r="F252" s="152"/>
      <c r="G252" s="152"/>
      <c r="H252" s="152"/>
      <c r="I252" s="152"/>
      <c r="J252" s="152"/>
      <c r="K252" s="248"/>
      <c r="L252" s="248"/>
      <c r="M252" s="152"/>
      <c r="N252" s="152"/>
      <c r="O252" s="152"/>
      <c r="P252" s="152"/>
      <c r="Q252" s="152"/>
      <c r="R252" s="152"/>
      <c r="S252" s="152"/>
      <c r="T252" s="152"/>
      <c r="U252" s="152"/>
      <c r="V252" s="152"/>
      <c r="W252" s="152"/>
    </row>
    <row r="253">
      <c r="A253" s="152"/>
      <c r="B253" s="152"/>
      <c r="C253" s="152"/>
      <c r="D253" s="152"/>
      <c r="E253" s="152"/>
      <c r="F253" s="152"/>
      <c r="G253" s="152"/>
      <c r="H253" s="152"/>
      <c r="I253" s="152"/>
      <c r="J253" s="152"/>
      <c r="K253" s="248"/>
      <c r="L253" s="248"/>
      <c r="M253" s="152"/>
      <c r="N253" s="152"/>
      <c r="O253" s="152"/>
      <c r="P253" s="152"/>
      <c r="Q253" s="152"/>
      <c r="R253" s="152"/>
      <c r="S253" s="152"/>
      <c r="T253" s="152"/>
      <c r="U253" s="152"/>
      <c r="V253" s="152"/>
      <c r="W253" s="152"/>
    </row>
    <row r="254">
      <c r="A254" s="152"/>
      <c r="B254" s="152"/>
      <c r="C254" s="152"/>
      <c r="D254" s="152"/>
      <c r="E254" s="152"/>
      <c r="F254" s="152"/>
      <c r="G254" s="152"/>
      <c r="H254" s="152"/>
      <c r="I254" s="152"/>
      <c r="J254" s="152"/>
      <c r="K254" s="248"/>
      <c r="L254" s="248"/>
      <c r="M254" s="152"/>
      <c r="N254" s="152"/>
      <c r="O254" s="152"/>
      <c r="P254" s="152"/>
      <c r="Q254" s="152"/>
      <c r="R254" s="152"/>
      <c r="S254" s="152"/>
      <c r="T254" s="152"/>
      <c r="U254" s="152"/>
      <c r="V254" s="152"/>
      <c r="W254" s="152"/>
    </row>
    <row r="255">
      <c r="A255" s="152"/>
      <c r="B255" s="152"/>
      <c r="C255" s="152"/>
      <c r="D255" s="152"/>
      <c r="E255" s="152"/>
      <c r="F255" s="152"/>
      <c r="G255" s="152"/>
      <c r="H255" s="152"/>
      <c r="I255" s="152"/>
      <c r="J255" s="152"/>
      <c r="K255" s="248"/>
      <c r="L255" s="248"/>
      <c r="M255" s="152"/>
      <c r="N255" s="152"/>
      <c r="O255" s="152"/>
      <c r="P255" s="152"/>
      <c r="Q255" s="152"/>
      <c r="R255" s="152"/>
      <c r="S255" s="152"/>
      <c r="T255" s="152"/>
      <c r="U255" s="152"/>
      <c r="V255" s="152"/>
      <c r="W255" s="152"/>
    </row>
    <row r="256">
      <c r="A256" s="152"/>
      <c r="B256" s="152"/>
      <c r="C256" s="152"/>
      <c r="D256" s="152"/>
      <c r="E256" s="152"/>
      <c r="F256" s="152"/>
      <c r="G256" s="152"/>
      <c r="H256" s="152"/>
      <c r="I256" s="152"/>
      <c r="J256" s="152"/>
      <c r="K256" s="248"/>
      <c r="L256" s="248"/>
      <c r="M256" s="152"/>
      <c r="N256" s="152"/>
      <c r="O256" s="152"/>
      <c r="P256" s="152"/>
      <c r="Q256" s="152"/>
      <c r="R256" s="152"/>
      <c r="S256" s="152"/>
      <c r="T256" s="152"/>
      <c r="U256" s="152"/>
      <c r="V256" s="152"/>
      <c r="W256" s="152"/>
    </row>
    <row r="257">
      <c r="A257" s="152"/>
      <c r="B257" s="152"/>
      <c r="C257" s="152"/>
      <c r="D257" s="152"/>
      <c r="E257" s="152"/>
      <c r="F257" s="152"/>
      <c r="G257" s="152"/>
      <c r="H257" s="152"/>
      <c r="I257" s="152"/>
      <c r="J257" s="152"/>
      <c r="K257" s="248"/>
      <c r="L257" s="248"/>
      <c r="M257" s="152"/>
      <c r="N257" s="152"/>
      <c r="O257" s="152"/>
      <c r="P257" s="152"/>
      <c r="Q257" s="152"/>
      <c r="R257" s="152"/>
      <c r="S257" s="152"/>
      <c r="T257" s="152"/>
      <c r="U257" s="152"/>
      <c r="V257" s="152"/>
      <c r="W257" s="152"/>
    </row>
    <row r="258">
      <c r="A258" s="152"/>
      <c r="B258" s="152"/>
      <c r="C258" s="152"/>
      <c r="D258" s="152"/>
      <c r="E258" s="152"/>
      <c r="F258" s="152"/>
      <c r="G258" s="152"/>
      <c r="H258" s="152"/>
      <c r="I258" s="152"/>
      <c r="J258" s="152"/>
      <c r="K258" s="248"/>
      <c r="L258" s="248"/>
      <c r="M258" s="152"/>
      <c r="N258" s="152"/>
      <c r="O258" s="152"/>
      <c r="P258" s="152"/>
      <c r="Q258" s="152"/>
      <c r="R258" s="152"/>
      <c r="S258" s="152"/>
      <c r="T258" s="152"/>
      <c r="U258" s="152"/>
      <c r="V258" s="152"/>
      <c r="W258" s="152"/>
    </row>
    <row r="259">
      <c r="A259" s="152"/>
      <c r="B259" s="152"/>
      <c r="C259" s="152"/>
      <c r="D259" s="152"/>
      <c r="E259" s="152"/>
      <c r="F259" s="152"/>
      <c r="G259" s="152"/>
      <c r="H259" s="152"/>
      <c r="I259" s="152"/>
      <c r="J259" s="152"/>
      <c r="K259" s="248"/>
      <c r="L259" s="248"/>
      <c r="M259" s="152"/>
      <c r="N259" s="152"/>
      <c r="O259" s="152"/>
      <c r="P259" s="152"/>
      <c r="Q259" s="152"/>
      <c r="R259" s="152"/>
      <c r="S259" s="152"/>
      <c r="T259" s="152"/>
      <c r="U259" s="152"/>
      <c r="V259" s="152"/>
      <c r="W259" s="152"/>
    </row>
    <row r="260">
      <c r="A260" s="152"/>
      <c r="B260" s="152"/>
      <c r="C260" s="152"/>
      <c r="D260" s="152"/>
      <c r="E260" s="152"/>
      <c r="F260" s="152"/>
      <c r="G260" s="152"/>
      <c r="H260" s="152"/>
      <c r="I260" s="152"/>
      <c r="J260" s="152"/>
      <c r="K260" s="248"/>
      <c r="L260" s="248"/>
      <c r="M260" s="152"/>
      <c r="N260" s="152"/>
      <c r="O260" s="152"/>
      <c r="P260" s="152"/>
      <c r="Q260" s="152"/>
      <c r="R260" s="152"/>
      <c r="S260" s="152"/>
      <c r="T260" s="152"/>
      <c r="U260" s="152"/>
      <c r="V260" s="152"/>
      <c r="W260" s="152"/>
    </row>
    <row r="261">
      <c r="A261" s="152"/>
      <c r="B261" s="152"/>
      <c r="C261" s="152"/>
      <c r="D261" s="152"/>
      <c r="E261" s="152"/>
      <c r="F261" s="152"/>
      <c r="G261" s="152"/>
      <c r="H261" s="152"/>
      <c r="I261" s="152"/>
      <c r="J261" s="152"/>
      <c r="K261" s="248"/>
      <c r="L261" s="248"/>
      <c r="M261" s="152"/>
      <c r="N261" s="152"/>
      <c r="O261" s="152"/>
      <c r="P261" s="152"/>
      <c r="Q261" s="152"/>
      <c r="R261" s="152"/>
      <c r="S261" s="152"/>
      <c r="T261" s="152"/>
      <c r="U261" s="152"/>
      <c r="V261" s="152"/>
      <c r="W261" s="152"/>
    </row>
    <row r="262">
      <c r="A262" s="152"/>
      <c r="B262" s="152"/>
      <c r="C262" s="152"/>
      <c r="D262" s="152"/>
      <c r="E262" s="152"/>
      <c r="F262" s="152"/>
      <c r="G262" s="152"/>
      <c r="H262" s="152"/>
      <c r="I262" s="152"/>
      <c r="J262" s="152"/>
      <c r="K262" s="248"/>
      <c r="L262" s="248"/>
      <c r="M262" s="152"/>
      <c r="N262" s="152"/>
      <c r="O262" s="152"/>
      <c r="P262" s="152"/>
      <c r="Q262" s="152"/>
      <c r="R262" s="152"/>
      <c r="S262" s="152"/>
      <c r="T262" s="152"/>
      <c r="U262" s="152"/>
      <c r="V262" s="152"/>
      <c r="W262" s="152"/>
    </row>
    <row r="263">
      <c r="A263" s="152"/>
      <c r="B263" s="152"/>
      <c r="C263" s="152"/>
      <c r="D263" s="152"/>
      <c r="E263" s="152"/>
      <c r="F263" s="152"/>
      <c r="G263" s="152"/>
      <c r="H263" s="152"/>
      <c r="I263" s="152"/>
      <c r="J263" s="152"/>
      <c r="K263" s="248"/>
      <c r="L263" s="248"/>
      <c r="M263" s="152"/>
      <c r="N263" s="152"/>
      <c r="O263" s="152"/>
      <c r="P263" s="152"/>
      <c r="Q263" s="152"/>
      <c r="R263" s="152"/>
      <c r="S263" s="152"/>
      <c r="T263" s="152"/>
      <c r="U263" s="152"/>
      <c r="V263" s="152"/>
      <c r="W263" s="152"/>
    </row>
    <row r="264">
      <c r="A264" s="152"/>
      <c r="B264" s="152"/>
      <c r="C264" s="152"/>
      <c r="D264" s="152"/>
      <c r="E264" s="152"/>
      <c r="F264" s="152"/>
      <c r="G264" s="152"/>
      <c r="H264" s="152"/>
      <c r="I264" s="152"/>
      <c r="J264" s="152"/>
      <c r="K264" s="248"/>
      <c r="L264" s="248"/>
      <c r="M264" s="152"/>
      <c r="N264" s="152"/>
      <c r="O264" s="152"/>
      <c r="P264" s="152"/>
      <c r="Q264" s="152"/>
      <c r="R264" s="152"/>
      <c r="S264" s="152"/>
      <c r="T264" s="152"/>
      <c r="U264" s="152"/>
      <c r="V264" s="152"/>
      <c r="W264" s="152"/>
    </row>
    <row r="265">
      <c r="A265" s="152"/>
      <c r="B265" s="152"/>
      <c r="C265" s="152"/>
      <c r="D265" s="152"/>
      <c r="E265" s="152"/>
      <c r="F265" s="152"/>
      <c r="G265" s="152"/>
      <c r="H265" s="152"/>
      <c r="I265" s="152"/>
      <c r="J265" s="152"/>
      <c r="K265" s="248"/>
      <c r="L265" s="248"/>
      <c r="M265" s="152"/>
      <c r="N265" s="152"/>
      <c r="O265" s="152"/>
      <c r="P265" s="152"/>
      <c r="Q265" s="152"/>
      <c r="R265" s="152"/>
      <c r="S265" s="152"/>
      <c r="T265" s="152"/>
      <c r="U265" s="152"/>
      <c r="V265" s="152"/>
      <c r="W265" s="152"/>
    </row>
    <row r="266">
      <c r="A266" s="152"/>
      <c r="B266" s="152"/>
      <c r="C266" s="152"/>
      <c r="D266" s="152"/>
      <c r="E266" s="152"/>
      <c r="F266" s="152"/>
      <c r="G266" s="152"/>
      <c r="H266" s="152"/>
      <c r="I266" s="152"/>
      <c r="J266" s="152"/>
      <c r="K266" s="248"/>
      <c r="L266" s="248"/>
      <c r="M266" s="152"/>
      <c r="N266" s="152"/>
      <c r="O266" s="152"/>
      <c r="P266" s="152"/>
      <c r="Q266" s="152"/>
      <c r="R266" s="152"/>
      <c r="S266" s="152"/>
      <c r="T266" s="152"/>
      <c r="U266" s="152"/>
      <c r="V266" s="152"/>
      <c r="W266" s="152"/>
    </row>
    <row r="267">
      <c r="A267" s="152"/>
      <c r="B267" s="152"/>
      <c r="C267" s="152"/>
      <c r="D267" s="152"/>
      <c r="E267" s="152"/>
      <c r="F267" s="152"/>
      <c r="G267" s="152"/>
      <c r="H267" s="152"/>
      <c r="I267" s="152"/>
      <c r="J267" s="152"/>
      <c r="K267" s="248"/>
      <c r="L267" s="248"/>
      <c r="M267" s="152"/>
      <c r="N267" s="152"/>
      <c r="O267" s="152"/>
      <c r="P267" s="152"/>
      <c r="Q267" s="152"/>
      <c r="R267" s="152"/>
      <c r="S267" s="152"/>
      <c r="T267" s="152"/>
      <c r="U267" s="152"/>
      <c r="V267" s="152"/>
      <c r="W267" s="152"/>
    </row>
    <row r="268">
      <c r="A268" s="152"/>
      <c r="B268" s="152"/>
      <c r="C268" s="152"/>
      <c r="D268" s="152"/>
      <c r="E268" s="152"/>
      <c r="F268" s="152"/>
      <c r="G268" s="152"/>
      <c r="H268" s="152"/>
      <c r="I268" s="152"/>
      <c r="J268" s="152"/>
      <c r="K268" s="248"/>
      <c r="L268" s="248"/>
      <c r="M268" s="152"/>
      <c r="N268" s="152"/>
      <c r="O268" s="152"/>
      <c r="P268" s="152"/>
      <c r="Q268" s="152"/>
      <c r="R268" s="152"/>
      <c r="S268" s="152"/>
      <c r="T268" s="152"/>
      <c r="U268" s="152"/>
      <c r="V268" s="152"/>
      <c r="W268" s="152"/>
    </row>
    <row r="269">
      <c r="A269" s="152"/>
      <c r="B269" s="152"/>
      <c r="C269" s="152"/>
      <c r="D269" s="152"/>
      <c r="E269" s="152"/>
      <c r="F269" s="152"/>
      <c r="G269" s="152"/>
      <c r="H269" s="152"/>
      <c r="I269" s="152"/>
      <c r="J269" s="152"/>
      <c r="K269" s="248"/>
      <c r="L269" s="248"/>
      <c r="M269" s="152"/>
      <c r="N269" s="152"/>
      <c r="O269" s="152"/>
      <c r="P269" s="152"/>
      <c r="Q269" s="152"/>
      <c r="R269" s="152"/>
      <c r="S269" s="152"/>
      <c r="T269" s="152"/>
      <c r="U269" s="152"/>
      <c r="V269" s="152"/>
      <c r="W269" s="152"/>
    </row>
    <row r="270">
      <c r="A270" s="152"/>
      <c r="B270" s="152"/>
      <c r="C270" s="152"/>
      <c r="D270" s="152"/>
      <c r="E270" s="152"/>
      <c r="F270" s="152"/>
      <c r="G270" s="152"/>
      <c r="H270" s="152"/>
      <c r="I270" s="152"/>
      <c r="J270" s="152"/>
      <c r="K270" s="248"/>
      <c r="L270" s="248"/>
      <c r="M270" s="152"/>
      <c r="N270" s="152"/>
      <c r="O270" s="152"/>
      <c r="P270" s="152"/>
      <c r="Q270" s="152"/>
      <c r="R270" s="152"/>
      <c r="S270" s="152"/>
      <c r="T270" s="152"/>
      <c r="U270" s="152"/>
      <c r="V270" s="152"/>
      <c r="W270" s="152"/>
    </row>
    <row r="271">
      <c r="A271" s="152"/>
      <c r="B271" s="152"/>
      <c r="C271" s="152"/>
      <c r="D271" s="152"/>
      <c r="E271" s="152"/>
      <c r="F271" s="152"/>
      <c r="G271" s="152"/>
      <c r="H271" s="152"/>
      <c r="I271" s="152"/>
      <c r="J271" s="152"/>
      <c r="K271" s="248"/>
      <c r="L271" s="248"/>
      <c r="M271" s="152"/>
      <c r="N271" s="152"/>
      <c r="O271" s="152"/>
      <c r="P271" s="152"/>
      <c r="Q271" s="152"/>
      <c r="R271" s="152"/>
      <c r="S271" s="152"/>
      <c r="T271" s="152"/>
      <c r="U271" s="152"/>
      <c r="V271" s="152"/>
      <c r="W271" s="152"/>
    </row>
    <row r="272">
      <c r="A272" s="152"/>
      <c r="B272" s="152"/>
      <c r="C272" s="152"/>
      <c r="D272" s="152"/>
      <c r="E272" s="152"/>
      <c r="F272" s="152"/>
      <c r="G272" s="152"/>
      <c r="H272" s="152"/>
      <c r="I272" s="152"/>
      <c r="J272" s="152"/>
      <c r="K272" s="248"/>
      <c r="L272" s="248"/>
      <c r="M272" s="152"/>
      <c r="N272" s="152"/>
      <c r="O272" s="152"/>
      <c r="P272" s="152"/>
      <c r="Q272" s="152"/>
      <c r="R272" s="152"/>
      <c r="S272" s="152"/>
      <c r="T272" s="152"/>
      <c r="U272" s="152"/>
      <c r="V272" s="152"/>
      <c r="W272" s="152"/>
    </row>
    <row r="273">
      <c r="A273" s="152"/>
      <c r="B273" s="152"/>
      <c r="C273" s="152"/>
      <c r="D273" s="152"/>
      <c r="E273" s="152"/>
      <c r="F273" s="152"/>
      <c r="G273" s="152"/>
      <c r="H273" s="152"/>
      <c r="I273" s="152"/>
      <c r="J273" s="152"/>
      <c r="K273" s="248"/>
      <c r="L273" s="248"/>
      <c r="M273" s="152"/>
      <c r="N273" s="152"/>
      <c r="O273" s="152"/>
      <c r="P273" s="152"/>
      <c r="Q273" s="152"/>
      <c r="R273" s="152"/>
      <c r="S273" s="152"/>
      <c r="T273" s="152"/>
      <c r="U273" s="152"/>
      <c r="V273" s="152"/>
      <c r="W273" s="152"/>
    </row>
    <row r="274">
      <c r="A274" s="152"/>
      <c r="B274" s="152"/>
      <c r="C274" s="152"/>
      <c r="D274" s="152"/>
      <c r="E274" s="152"/>
      <c r="F274" s="152"/>
      <c r="G274" s="152"/>
      <c r="H274" s="152"/>
      <c r="I274" s="152"/>
      <c r="J274" s="152"/>
      <c r="K274" s="248"/>
      <c r="L274" s="248"/>
      <c r="M274" s="152"/>
      <c r="N274" s="152"/>
      <c r="O274" s="152"/>
      <c r="P274" s="152"/>
      <c r="Q274" s="152"/>
      <c r="R274" s="152"/>
      <c r="S274" s="152"/>
      <c r="T274" s="152"/>
      <c r="U274" s="152"/>
      <c r="V274" s="152"/>
      <c r="W274" s="152"/>
    </row>
    <row r="275">
      <c r="A275" s="152"/>
      <c r="B275" s="152"/>
      <c r="C275" s="152"/>
      <c r="D275" s="152"/>
      <c r="E275" s="152"/>
      <c r="F275" s="152"/>
      <c r="G275" s="152"/>
      <c r="H275" s="152"/>
      <c r="I275" s="152"/>
      <c r="J275" s="152"/>
      <c r="K275" s="248"/>
      <c r="L275" s="248"/>
      <c r="M275" s="152"/>
      <c r="N275" s="152"/>
      <c r="O275" s="152"/>
      <c r="P275" s="152"/>
      <c r="Q275" s="152"/>
      <c r="R275" s="152"/>
      <c r="S275" s="152"/>
      <c r="T275" s="152"/>
      <c r="U275" s="152"/>
      <c r="V275" s="152"/>
      <c r="W275" s="152"/>
    </row>
    <row r="276">
      <c r="A276" s="152"/>
      <c r="B276" s="152"/>
      <c r="C276" s="152"/>
      <c r="D276" s="152"/>
      <c r="E276" s="152"/>
      <c r="F276" s="152"/>
      <c r="G276" s="152"/>
      <c r="H276" s="152"/>
      <c r="I276" s="152"/>
      <c r="J276" s="152"/>
      <c r="K276" s="248"/>
      <c r="L276" s="248"/>
      <c r="M276" s="152"/>
      <c r="N276" s="152"/>
      <c r="O276" s="152"/>
      <c r="P276" s="152"/>
      <c r="Q276" s="152"/>
      <c r="R276" s="152"/>
      <c r="S276" s="152"/>
      <c r="T276" s="152"/>
      <c r="U276" s="152"/>
      <c r="V276" s="152"/>
      <c r="W276" s="152"/>
    </row>
    <row r="277">
      <c r="A277" s="152"/>
      <c r="B277" s="152"/>
      <c r="C277" s="152"/>
      <c r="D277" s="152"/>
      <c r="E277" s="152"/>
      <c r="F277" s="152"/>
      <c r="G277" s="152"/>
      <c r="H277" s="152"/>
      <c r="I277" s="152"/>
      <c r="J277" s="152"/>
      <c r="K277" s="248"/>
      <c r="L277" s="248"/>
      <c r="M277" s="152"/>
      <c r="N277" s="152"/>
      <c r="O277" s="152"/>
      <c r="P277" s="152"/>
      <c r="Q277" s="152"/>
      <c r="R277" s="152"/>
      <c r="S277" s="152"/>
      <c r="T277" s="152"/>
      <c r="U277" s="152"/>
      <c r="V277" s="152"/>
      <c r="W277" s="152"/>
    </row>
    <row r="278">
      <c r="A278" s="152"/>
      <c r="B278" s="152"/>
      <c r="C278" s="152"/>
      <c r="D278" s="152"/>
      <c r="E278" s="152"/>
      <c r="F278" s="152"/>
      <c r="G278" s="152"/>
      <c r="H278" s="152"/>
      <c r="I278" s="152"/>
      <c r="J278" s="152"/>
      <c r="K278" s="248"/>
      <c r="L278" s="248"/>
      <c r="M278" s="152"/>
      <c r="N278" s="152"/>
      <c r="O278" s="152"/>
      <c r="P278" s="152"/>
      <c r="Q278" s="152"/>
      <c r="R278" s="152"/>
      <c r="S278" s="152"/>
      <c r="T278" s="152"/>
      <c r="U278" s="152"/>
      <c r="V278" s="152"/>
      <c r="W278" s="152"/>
    </row>
    <row r="279">
      <c r="A279" s="152"/>
      <c r="B279" s="152"/>
      <c r="C279" s="152"/>
      <c r="D279" s="152"/>
      <c r="E279" s="152"/>
      <c r="F279" s="152"/>
      <c r="G279" s="152"/>
      <c r="H279" s="152"/>
      <c r="I279" s="152"/>
      <c r="J279" s="152"/>
      <c r="K279" s="248"/>
      <c r="L279" s="248"/>
      <c r="M279" s="152"/>
      <c r="N279" s="152"/>
      <c r="O279" s="152"/>
      <c r="P279" s="152"/>
      <c r="Q279" s="152"/>
      <c r="R279" s="152"/>
      <c r="S279" s="152"/>
      <c r="T279" s="152"/>
      <c r="U279" s="152"/>
      <c r="V279" s="152"/>
      <c r="W279" s="152"/>
    </row>
    <row r="280">
      <c r="A280" s="152"/>
      <c r="B280" s="152"/>
      <c r="C280" s="152"/>
      <c r="D280" s="152"/>
      <c r="E280" s="152"/>
      <c r="F280" s="152"/>
      <c r="G280" s="152"/>
      <c r="H280" s="152"/>
      <c r="I280" s="152"/>
      <c r="J280" s="152"/>
      <c r="K280" s="248"/>
      <c r="L280" s="248"/>
      <c r="M280" s="152"/>
      <c r="N280" s="152"/>
      <c r="O280" s="152"/>
      <c r="P280" s="152"/>
      <c r="Q280" s="152"/>
      <c r="R280" s="152"/>
      <c r="S280" s="152"/>
      <c r="T280" s="152"/>
      <c r="U280" s="152"/>
      <c r="V280" s="152"/>
      <c r="W280" s="152"/>
    </row>
    <row r="281">
      <c r="A281" s="152"/>
      <c r="B281" s="152"/>
      <c r="C281" s="152"/>
      <c r="D281" s="152"/>
      <c r="E281" s="152"/>
      <c r="F281" s="152"/>
      <c r="G281" s="152"/>
      <c r="H281" s="152"/>
      <c r="I281" s="152"/>
      <c r="J281" s="152"/>
      <c r="K281" s="248"/>
      <c r="L281" s="248"/>
      <c r="M281" s="152"/>
      <c r="N281" s="152"/>
      <c r="O281" s="152"/>
      <c r="P281" s="152"/>
      <c r="Q281" s="152"/>
      <c r="R281" s="152"/>
      <c r="S281" s="152"/>
      <c r="T281" s="152"/>
      <c r="U281" s="152"/>
      <c r="V281" s="152"/>
      <c r="W281" s="152"/>
    </row>
    <row r="282">
      <c r="A282" s="152"/>
      <c r="B282" s="152"/>
      <c r="C282" s="152"/>
      <c r="D282" s="152"/>
      <c r="E282" s="152"/>
      <c r="F282" s="152"/>
      <c r="G282" s="152"/>
      <c r="H282" s="152"/>
      <c r="I282" s="152"/>
      <c r="J282" s="152"/>
      <c r="K282" s="248"/>
      <c r="L282" s="248"/>
      <c r="M282" s="152"/>
      <c r="N282" s="152"/>
      <c r="O282" s="152"/>
      <c r="P282" s="152"/>
      <c r="Q282" s="152"/>
      <c r="R282" s="152"/>
      <c r="S282" s="152"/>
      <c r="T282" s="152"/>
      <c r="U282" s="152"/>
      <c r="V282" s="152"/>
      <c r="W282" s="152"/>
    </row>
    <row r="283">
      <c r="A283" s="152"/>
      <c r="B283" s="152"/>
      <c r="C283" s="152"/>
      <c r="D283" s="152"/>
      <c r="E283" s="152"/>
      <c r="F283" s="152"/>
      <c r="G283" s="152"/>
      <c r="H283" s="152"/>
      <c r="I283" s="152"/>
      <c r="J283" s="152"/>
      <c r="K283" s="248"/>
      <c r="L283" s="248"/>
      <c r="M283" s="152"/>
      <c r="N283" s="152"/>
      <c r="O283" s="152"/>
      <c r="P283" s="152"/>
      <c r="Q283" s="152"/>
      <c r="R283" s="152"/>
      <c r="S283" s="152"/>
      <c r="T283" s="152"/>
      <c r="U283" s="152"/>
      <c r="V283" s="152"/>
      <c r="W283" s="152"/>
    </row>
    <row r="284">
      <c r="A284" s="152"/>
      <c r="B284" s="152"/>
      <c r="C284" s="152"/>
      <c r="D284" s="152"/>
      <c r="E284" s="152"/>
      <c r="F284" s="152"/>
      <c r="G284" s="152"/>
      <c r="H284" s="152"/>
      <c r="I284" s="152"/>
      <c r="J284" s="152"/>
      <c r="K284" s="248"/>
      <c r="L284" s="248"/>
      <c r="M284" s="152"/>
      <c r="N284" s="152"/>
      <c r="O284" s="152"/>
      <c r="P284" s="152"/>
      <c r="Q284" s="152"/>
      <c r="R284" s="152"/>
      <c r="S284" s="152"/>
      <c r="T284" s="152"/>
      <c r="U284" s="152"/>
      <c r="V284" s="152"/>
      <c r="W284" s="152"/>
    </row>
    <row r="285">
      <c r="A285" s="152"/>
      <c r="B285" s="152"/>
      <c r="C285" s="152"/>
      <c r="D285" s="152"/>
      <c r="E285" s="152"/>
      <c r="F285" s="152"/>
      <c r="G285" s="152"/>
      <c r="H285" s="152"/>
      <c r="I285" s="152"/>
      <c r="J285" s="152"/>
      <c r="K285" s="248"/>
      <c r="L285" s="248"/>
      <c r="M285" s="152"/>
      <c r="N285" s="152"/>
      <c r="O285" s="152"/>
      <c r="P285" s="152"/>
      <c r="Q285" s="152"/>
      <c r="R285" s="152"/>
      <c r="S285" s="152"/>
      <c r="T285" s="152"/>
      <c r="U285" s="152"/>
      <c r="V285" s="152"/>
      <c r="W285" s="152"/>
    </row>
    <row r="286">
      <c r="A286" s="152"/>
      <c r="B286" s="152"/>
      <c r="C286" s="152"/>
      <c r="D286" s="152"/>
      <c r="E286" s="152"/>
      <c r="F286" s="152"/>
      <c r="G286" s="152"/>
      <c r="H286" s="152"/>
      <c r="I286" s="152"/>
      <c r="J286" s="152"/>
      <c r="K286" s="248"/>
      <c r="L286" s="248"/>
      <c r="M286" s="152"/>
      <c r="N286" s="152"/>
      <c r="O286" s="152"/>
      <c r="P286" s="152"/>
      <c r="Q286" s="152"/>
      <c r="R286" s="152"/>
      <c r="S286" s="152"/>
      <c r="T286" s="152"/>
      <c r="U286" s="152"/>
      <c r="V286" s="152"/>
      <c r="W286" s="152"/>
    </row>
    <row r="287">
      <c r="A287" s="152"/>
      <c r="B287" s="152"/>
      <c r="C287" s="152"/>
      <c r="D287" s="152"/>
      <c r="E287" s="152"/>
      <c r="F287" s="152"/>
      <c r="G287" s="152"/>
      <c r="H287" s="152"/>
      <c r="I287" s="152"/>
      <c r="J287" s="152"/>
      <c r="K287" s="248"/>
      <c r="L287" s="248"/>
      <c r="M287" s="152"/>
      <c r="N287" s="152"/>
      <c r="O287" s="152"/>
      <c r="P287" s="152"/>
      <c r="Q287" s="152"/>
      <c r="R287" s="152"/>
      <c r="S287" s="152"/>
      <c r="T287" s="152"/>
      <c r="U287" s="152"/>
      <c r="V287" s="152"/>
      <c r="W287" s="152"/>
    </row>
    <row r="288">
      <c r="A288" s="152"/>
      <c r="B288" s="152"/>
      <c r="C288" s="152"/>
      <c r="D288" s="152"/>
      <c r="E288" s="152"/>
      <c r="F288" s="152"/>
      <c r="G288" s="152"/>
      <c r="H288" s="152"/>
      <c r="I288" s="152"/>
      <c r="J288" s="152"/>
      <c r="K288" s="248"/>
      <c r="L288" s="248"/>
      <c r="M288" s="152"/>
      <c r="N288" s="152"/>
      <c r="O288" s="152"/>
      <c r="P288" s="152"/>
      <c r="Q288" s="152"/>
      <c r="R288" s="152"/>
      <c r="S288" s="152"/>
      <c r="T288" s="152"/>
      <c r="U288" s="152"/>
      <c r="V288" s="152"/>
      <c r="W288" s="152"/>
    </row>
    <row r="289">
      <c r="A289" s="152"/>
      <c r="B289" s="152"/>
      <c r="C289" s="152"/>
      <c r="D289" s="152"/>
      <c r="E289" s="152"/>
      <c r="F289" s="152"/>
      <c r="G289" s="152"/>
      <c r="H289" s="152"/>
      <c r="I289" s="152"/>
      <c r="J289" s="152"/>
      <c r="K289" s="248"/>
      <c r="L289" s="248"/>
      <c r="M289" s="152"/>
      <c r="N289" s="152"/>
      <c r="O289" s="152"/>
      <c r="P289" s="152"/>
      <c r="Q289" s="152"/>
      <c r="R289" s="152"/>
      <c r="S289" s="152"/>
      <c r="T289" s="152"/>
      <c r="U289" s="152"/>
      <c r="V289" s="152"/>
      <c r="W289" s="152"/>
    </row>
    <row r="290">
      <c r="A290" s="152"/>
      <c r="B290" s="152"/>
      <c r="C290" s="152"/>
      <c r="D290" s="152"/>
      <c r="E290" s="152"/>
      <c r="F290" s="152"/>
      <c r="G290" s="152"/>
      <c r="H290" s="152"/>
      <c r="I290" s="152"/>
      <c r="J290" s="152"/>
      <c r="K290" s="248"/>
      <c r="L290" s="248"/>
      <c r="M290" s="152"/>
      <c r="N290" s="152"/>
      <c r="O290" s="152"/>
      <c r="P290" s="152"/>
      <c r="Q290" s="152"/>
      <c r="R290" s="152"/>
      <c r="S290" s="152"/>
      <c r="T290" s="152"/>
      <c r="U290" s="152"/>
      <c r="V290" s="152"/>
      <c r="W290" s="152"/>
    </row>
    <row r="291">
      <c r="A291" s="152"/>
      <c r="B291" s="152"/>
      <c r="C291" s="152"/>
      <c r="D291" s="152"/>
      <c r="E291" s="152"/>
      <c r="F291" s="152"/>
      <c r="G291" s="152"/>
      <c r="H291" s="152"/>
      <c r="I291" s="152"/>
      <c r="J291" s="152"/>
      <c r="K291" s="248"/>
      <c r="L291" s="248"/>
      <c r="M291" s="152"/>
      <c r="N291" s="152"/>
      <c r="O291" s="152"/>
      <c r="P291" s="152"/>
      <c r="Q291" s="152"/>
      <c r="R291" s="152"/>
      <c r="S291" s="152"/>
      <c r="T291" s="152"/>
      <c r="U291" s="152"/>
      <c r="V291" s="152"/>
      <c r="W291" s="152"/>
    </row>
    <row r="292">
      <c r="A292" s="152"/>
      <c r="B292" s="152"/>
      <c r="C292" s="152"/>
      <c r="D292" s="152"/>
      <c r="E292" s="152"/>
      <c r="F292" s="152"/>
      <c r="G292" s="152"/>
      <c r="H292" s="152"/>
      <c r="I292" s="152"/>
      <c r="J292" s="152"/>
      <c r="K292" s="248"/>
      <c r="L292" s="248"/>
      <c r="M292" s="152"/>
      <c r="N292" s="152"/>
      <c r="O292" s="152"/>
      <c r="P292" s="152"/>
      <c r="Q292" s="152"/>
      <c r="R292" s="152"/>
      <c r="S292" s="152"/>
      <c r="T292" s="152"/>
      <c r="U292" s="152"/>
      <c r="V292" s="152"/>
      <c r="W292" s="152"/>
    </row>
    <row r="293">
      <c r="A293" s="152"/>
      <c r="B293" s="152"/>
      <c r="C293" s="152"/>
      <c r="D293" s="152"/>
      <c r="E293" s="152"/>
      <c r="F293" s="152"/>
      <c r="G293" s="152"/>
      <c r="H293" s="152"/>
      <c r="I293" s="152"/>
      <c r="J293" s="152"/>
      <c r="K293" s="248"/>
      <c r="L293" s="248"/>
      <c r="M293" s="152"/>
      <c r="N293" s="152"/>
      <c r="O293" s="152"/>
      <c r="P293" s="152"/>
      <c r="Q293" s="152"/>
      <c r="R293" s="152"/>
      <c r="S293" s="152"/>
      <c r="T293" s="152"/>
      <c r="U293" s="152"/>
      <c r="V293" s="152"/>
      <c r="W293" s="152"/>
    </row>
    <row r="294">
      <c r="A294" s="152"/>
      <c r="B294" s="152"/>
      <c r="C294" s="152"/>
      <c r="D294" s="152"/>
      <c r="E294" s="152"/>
      <c r="F294" s="152"/>
      <c r="G294" s="152"/>
      <c r="H294" s="152"/>
      <c r="I294" s="152"/>
      <c r="J294" s="152"/>
      <c r="K294" s="248"/>
      <c r="L294" s="248"/>
      <c r="M294" s="152"/>
      <c r="N294" s="152"/>
      <c r="O294" s="152"/>
      <c r="P294" s="152"/>
      <c r="Q294" s="152"/>
      <c r="R294" s="152"/>
      <c r="S294" s="152"/>
      <c r="T294" s="152"/>
      <c r="U294" s="152"/>
      <c r="V294" s="152"/>
      <c r="W294" s="152"/>
    </row>
    <row r="295">
      <c r="A295" s="152"/>
      <c r="B295" s="152"/>
      <c r="C295" s="152"/>
      <c r="D295" s="152"/>
      <c r="E295" s="152"/>
      <c r="F295" s="152"/>
      <c r="G295" s="152"/>
      <c r="H295" s="152"/>
      <c r="I295" s="152"/>
      <c r="J295" s="152"/>
      <c r="K295" s="248"/>
      <c r="L295" s="248"/>
      <c r="M295" s="152"/>
      <c r="N295" s="152"/>
      <c r="O295" s="152"/>
      <c r="P295" s="152"/>
      <c r="Q295" s="152"/>
      <c r="R295" s="152"/>
      <c r="S295" s="152"/>
      <c r="T295" s="152"/>
      <c r="U295" s="152"/>
      <c r="V295" s="152"/>
      <c r="W295" s="152"/>
    </row>
    <row r="296">
      <c r="A296" s="152"/>
      <c r="B296" s="152"/>
      <c r="C296" s="152"/>
      <c r="D296" s="152"/>
      <c r="E296" s="152"/>
      <c r="F296" s="152"/>
      <c r="G296" s="152"/>
      <c r="H296" s="152"/>
      <c r="I296" s="152"/>
      <c r="J296" s="152"/>
      <c r="K296" s="248"/>
      <c r="L296" s="248"/>
      <c r="M296" s="152"/>
      <c r="N296" s="152"/>
      <c r="O296" s="152"/>
      <c r="P296" s="152"/>
      <c r="Q296" s="152"/>
      <c r="R296" s="152"/>
      <c r="S296" s="152"/>
      <c r="T296" s="152"/>
      <c r="U296" s="152"/>
      <c r="V296" s="152"/>
      <c r="W296" s="152"/>
    </row>
    <row r="297">
      <c r="A297" s="152"/>
      <c r="B297" s="152"/>
      <c r="C297" s="152"/>
      <c r="D297" s="152"/>
      <c r="E297" s="152"/>
      <c r="F297" s="152"/>
      <c r="G297" s="152"/>
      <c r="H297" s="152"/>
      <c r="I297" s="152"/>
      <c r="J297" s="152"/>
      <c r="K297" s="248"/>
      <c r="L297" s="248"/>
      <c r="M297" s="152"/>
      <c r="N297" s="152"/>
      <c r="O297" s="152"/>
      <c r="P297" s="152"/>
      <c r="Q297" s="152"/>
      <c r="R297" s="152"/>
      <c r="S297" s="152"/>
      <c r="T297" s="152"/>
      <c r="U297" s="152"/>
      <c r="V297" s="152"/>
      <c r="W297" s="152"/>
    </row>
    <row r="298">
      <c r="A298" s="152"/>
      <c r="B298" s="152"/>
      <c r="C298" s="152"/>
      <c r="D298" s="152"/>
      <c r="E298" s="152"/>
      <c r="F298" s="152"/>
      <c r="G298" s="152"/>
      <c r="H298" s="152"/>
      <c r="I298" s="152"/>
      <c r="J298" s="152"/>
      <c r="K298" s="248"/>
      <c r="L298" s="248"/>
      <c r="M298" s="152"/>
      <c r="N298" s="152"/>
      <c r="O298" s="152"/>
      <c r="P298" s="152"/>
      <c r="Q298" s="152"/>
      <c r="R298" s="152"/>
      <c r="S298" s="152"/>
      <c r="T298" s="152"/>
      <c r="U298" s="152"/>
      <c r="V298" s="152"/>
      <c r="W298" s="152"/>
    </row>
    <row r="299">
      <c r="A299" s="152"/>
      <c r="B299" s="152"/>
      <c r="C299" s="152"/>
      <c r="D299" s="152"/>
      <c r="E299" s="152"/>
      <c r="F299" s="152"/>
      <c r="G299" s="152"/>
      <c r="H299" s="152"/>
      <c r="I299" s="152"/>
      <c r="J299" s="152"/>
      <c r="K299" s="248"/>
      <c r="L299" s="248"/>
      <c r="M299" s="152"/>
      <c r="N299" s="152"/>
      <c r="O299" s="152"/>
      <c r="P299" s="152"/>
      <c r="Q299" s="152"/>
      <c r="R299" s="152"/>
      <c r="S299" s="152"/>
      <c r="T299" s="152"/>
      <c r="U299" s="152"/>
      <c r="V299" s="152"/>
      <c r="W299" s="152"/>
    </row>
    <row r="300">
      <c r="A300" s="152"/>
      <c r="B300" s="152"/>
      <c r="C300" s="152"/>
      <c r="D300" s="152"/>
      <c r="E300" s="152"/>
      <c r="F300" s="152"/>
      <c r="G300" s="152"/>
      <c r="H300" s="152"/>
      <c r="I300" s="152"/>
      <c r="J300" s="152"/>
      <c r="K300" s="248"/>
      <c r="L300" s="248"/>
      <c r="M300" s="152"/>
      <c r="N300" s="152"/>
      <c r="O300" s="152"/>
      <c r="P300" s="152"/>
      <c r="Q300" s="152"/>
      <c r="R300" s="152"/>
      <c r="S300" s="152"/>
      <c r="T300" s="152"/>
      <c r="U300" s="152"/>
      <c r="V300" s="152"/>
      <c r="W300" s="152"/>
    </row>
    <row r="301">
      <c r="A301" s="152"/>
      <c r="B301" s="152"/>
      <c r="C301" s="152"/>
      <c r="D301" s="152"/>
      <c r="E301" s="152"/>
      <c r="F301" s="152"/>
      <c r="G301" s="152"/>
      <c r="H301" s="152"/>
      <c r="I301" s="152"/>
      <c r="J301" s="152"/>
      <c r="K301" s="248"/>
      <c r="L301" s="248"/>
      <c r="M301" s="152"/>
      <c r="N301" s="152"/>
      <c r="O301" s="152"/>
      <c r="P301" s="152"/>
      <c r="Q301" s="152"/>
      <c r="R301" s="152"/>
      <c r="S301" s="152"/>
      <c r="T301" s="152"/>
      <c r="U301" s="152"/>
      <c r="V301" s="152"/>
      <c r="W301" s="152"/>
    </row>
    <row r="302">
      <c r="A302" s="152"/>
      <c r="B302" s="152"/>
      <c r="C302" s="152"/>
      <c r="D302" s="152"/>
      <c r="E302" s="152"/>
      <c r="F302" s="152"/>
      <c r="G302" s="152"/>
      <c r="H302" s="152"/>
      <c r="I302" s="152"/>
      <c r="J302" s="152"/>
      <c r="K302" s="248"/>
      <c r="L302" s="248"/>
      <c r="M302" s="152"/>
      <c r="N302" s="152"/>
      <c r="O302" s="152"/>
      <c r="P302" s="152"/>
      <c r="Q302" s="152"/>
      <c r="R302" s="152"/>
      <c r="S302" s="152"/>
      <c r="T302" s="152"/>
      <c r="U302" s="152"/>
      <c r="V302" s="152"/>
      <c r="W302" s="152"/>
    </row>
    <row r="303">
      <c r="A303" s="152"/>
      <c r="B303" s="152"/>
      <c r="C303" s="152"/>
      <c r="D303" s="152"/>
      <c r="E303" s="152"/>
      <c r="F303" s="152"/>
      <c r="G303" s="152"/>
      <c r="H303" s="152"/>
      <c r="I303" s="152"/>
      <c r="J303" s="152"/>
      <c r="K303" s="248"/>
      <c r="L303" s="248"/>
      <c r="M303" s="152"/>
      <c r="N303" s="152"/>
      <c r="O303" s="152"/>
      <c r="P303" s="152"/>
      <c r="Q303" s="152"/>
      <c r="R303" s="152"/>
      <c r="S303" s="152"/>
      <c r="T303" s="152"/>
      <c r="U303" s="152"/>
      <c r="V303" s="152"/>
      <c r="W303" s="152"/>
    </row>
    <row r="304">
      <c r="A304" s="152"/>
      <c r="B304" s="152"/>
      <c r="C304" s="152"/>
      <c r="D304" s="152"/>
      <c r="E304" s="152"/>
      <c r="F304" s="152"/>
      <c r="G304" s="152"/>
      <c r="H304" s="152"/>
      <c r="I304" s="152"/>
      <c r="J304" s="152"/>
      <c r="K304" s="248"/>
      <c r="L304" s="248"/>
      <c r="M304" s="152"/>
      <c r="N304" s="152"/>
      <c r="O304" s="152"/>
      <c r="P304" s="152"/>
      <c r="Q304" s="152"/>
      <c r="R304" s="152"/>
      <c r="S304" s="152"/>
      <c r="T304" s="152"/>
      <c r="U304" s="152"/>
      <c r="V304" s="152"/>
      <c r="W304" s="152"/>
    </row>
    <row r="305">
      <c r="A305" s="152"/>
      <c r="B305" s="152"/>
      <c r="C305" s="152"/>
      <c r="D305" s="152"/>
      <c r="E305" s="152"/>
      <c r="F305" s="152"/>
      <c r="G305" s="152"/>
      <c r="H305" s="152"/>
      <c r="I305" s="152"/>
      <c r="J305" s="152"/>
      <c r="K305" s="248"/>
      <c r="L305" s="248"/>
      <c r="M305" s="152"/>
      <c r="N305" s="152"/>
      <c r="O305" s="152"/>
      <c r="P305" s="152"/>
      <c r="Q305" s="152"/>
      <c r="R305" s="152"/>
      <c r="S305" s="152"/>
      <c r="T305" s="152"/>
      <c r="U305" s="152"/>
      <c r="V305" s="152"/>
      <c r="W305" s="152"/>
    </row>
    <row r="306">
      <c r="A306" s="152"/>
      <c r="B306" s="152"/>
      <c r="C306" s="152"/>
      <c r="D306" s="152"/>
      <c r="E306" s="152"/>
      <c r="F306" s="152"/>
      <c r="G306" s="152"/>
      <c r="H306" s="152"/>
      <c r="I306" s="152"/>
      <c r="J306" s="152"/>
      <c r="K306" s="248"/>
      <c r="L306" s="248"/>
      <c r="M306" s="152"/>
      <c r="N306" s="152"/>
      <c r="O306" s="152"/>
      <c r="P306" s="152"/>
      <c r="Q306" s="152"/>
      <c r="R306" s="152"/>
      <c r="S306" s="152"/>
      <c r="T306" s="152"/>
      <c r="U306" s="152"/>
      <c r="V306" s="152"/>
      <c r="W306" s="152"/>
    </row>
    <row r="307">
      <c r="A307" s="152"/>
      <c r="B307" s="152"/>
      <c r="C307" s="152"/>
      <c r="D307" s="152"/>
      <c r="E307" s="152"/>
      <c r="F307" s="152"/>
      <c r="G307" s="152"/>
      <c r="H307" s="152"/>
      <c r="I307" s="152"/>
      <c r="J307" s="152"/>
      <c r="K307" s="248"/>
      <c r="L307" s="248"/>
      <c r="M307" s="152"/>
      <c r="N307" s="152"/>
      <c r="O307" s="152"/>
      <c r="P307" s="152"/>
      <c r="Q307" s="152"/>
      <c r="R307" s="152"/>
      <c r="S307" s="152"/>
      <c r="T307" s="152"/>
      <c r="U307" s="152"/>
      <c r="V307" s="152"/>
      <c r="W307" s="152"/>
    </row>
    <row r="308">
      <c r="A308" s="152"/>
      <c r="B308" s="152"/>
      <c r="C308" s="152"/>
      <c r="D308" s="152"/>
      <c r="E308" s="152"/>
      <c r="F308" s="152"/>
      <c r="G308" s="152"/>
      <c r="H308" s="152"/>
      <c r="I308" s="152"/>
      <c r="J308" s="152"/>
      <c r="K308" s="248"/>
      <c r="L308" s="248"/>
      <c r="M308" s="152"/>
      <c r="N308" s="152"/>
      <c r="O308" s="152"/>
      <c r="P308" s="152"/>
      <c r="Q308" s="152"/>
      <c r="R308" s="152"/>
      <c r="S308" s="152"/>
      <c r="T308" s="152"/>
      <c r="U308" s="152"/>
      <c r="V308" s="152"/>
      <c r="W308" s="152"/>
    </row>
    <row r="309">
      <c r="A309" s="152"/>
      <c r="B309" s="152"/>
      <c r="C309" s="152"/>
      <c r="D309" s="152"/>
      <c r="E309" s="152"/>
      <c r="F309" s="152"/>
      <c r="G309" s="152"/>
      <c r="H309" s="152"/>
      <c r="I309" s="152"/>
      <c r="J309" s="152"/>
      <c r="K309" s="248"/>
      <c r="L309" s="248"/>
      <c r="M309" s="152"/>
      <c r="N309" s="152"/>
      <c r="O309" s="152"/>
      <c r="P309" s="152"/>
      <c r="Q309" s="152"/>
      <c r="R309" s="152"/>
      <c r="S309" s="152"/>
      <c r="T309" s="152"/>
      <c r="U309" s="152"/>
      <c r="V309" s="152"/>
      <c r="W309" s="152"/>
    </row>
    <row r="310">
      <c r="A310" s="152"/>
      <c r="B310" s="152"/>
      <c r="C310" s="152"/>
      <c r="D310" s="152"/>
      <c r="E310" s="152"/>
      <c r="F310" s="152"/>
      <c r="G310" s="152"/>
      <c r="H310" s="152"/>
      <c r="I310" s="152"/>
      <c r="J310" s="152"/>
      <c r="K310" s="248"/>
      <c r="L310" s="248"/>
      <c r="M310" s="152"/>
      <c r="N310" s="152"/>
      <c r="O310" s="152"/>
      <c r="P310" s="152"/>
      <c r="Q310" s="152"/>
      <c r="R310" s="152"/>
      <c r="S310" s="152"/>
      <c r="T310" s="152"/>
      <c r="U310" s="152"/>
      <c r="V310" s="152"/>
      <c r="W310" s="152"/>
    </row>
    <row r="311">
      <c r="A311" s="152"/>
      <c r="B311" s="152"/>
      <c r="C311" s="152"/>
      <c r="D311" s="152"/>
      <c r="E311" s="152"/>
      <c r="F311" s="152"/>
      <c r="G311" s="152"/>
      <c r="H311" s="152"/>
      <c r="I311" s="152"/>
      <c r="J311" s="152"/>
      <c r="K311" s="248"/>
      <c r="L311" s="248"/>
      <c r="M311" s="152"/>
      <c r="N311" s="152"/>
      <c r="O311" s="152"/>
      <c r="P311" s="152"/>
      <c r="Q311" s="152"/>
      <c r="R311" s="152"/>
      <c r="S311" s="152"/>
      <c r="T311" s="152"/>
      <c r="U311" s="152"/>
      <c r="V311" s="152"/>
      <c r="W311" s="152"/>
    </row>
    <row r="312">
      <c r="A312" s="152"/>
      <c r="B312" s="152"/>
      <c r="C312" s="152"/>
      <c r="D312" s="152"/>
      <c r="E312" s="152"/>
      <c r="F312" s="152"/>
      <c r="G312" s="152"/>
      <c r="H312" s="152"/>
      <c r="I312" s="152"/>
      <c r="J312" s="152"/>
      <c r="K312" s="248"/>
      <c r="L312" s="248"/>
      <c r="M312" s="152"/>
      <c r="N312" s="152"/>
      <c r="O312" s="152"/>
      <c r="P312" s="152"/>
      <c r="Q312" s="152"/>
      <c r="R312" s="152"/>
      <c r="S312" s="152"/>
      <c r="T312" s="152"/>
      <c r="U312" s="152"/>
      <c r="V312" s="152"/>
      <c r="W312" s="152"/>
    </row>
    <row r="313">
      <c r="A313" s="152"/>
      <c r="B313" s="152"/>
      <c r="C313" s="152"/>
      <c r="D313" s="152"/>
      <c r="E313" s="152"/>
      <c r="F313" s="152"/>
      <c r="G313" s="152"/>
      <c r="H313" s="152"/>
      <c r="I313" s="152"/>
      <c r="J313" s="152"/>
      <c r="K313" s="248"/>
      <c r="L313" s="248"/>
      <c r="M313" s="152"/>
      <c r="N313" s="152"/>
      <c r="O313" s="152"/>
      <c r="P313" s="152"/>
      <c r="Q313" s="152"/>
      <c r="R313" s="152"/>
      <c r="S313" s="152"/>
      <c r="T313" s="152"/>
      <c r="U313" s="152"/>
      <c r="V313" s="152"/>
      <c r="W313" s="152"/>
    </row>
    <row r="314">
      <c r="A314" s="152"/>
      <c r="B314" s="152"/>
      <c r="C314" s="152"/>
      <c r="D314" s="152"/>
      <c r="E314" s="152"/>
      <c r="F314" s="152"/>
      <c r="G314" s="152"/>
      <c r="H314" s="152"/>
      <c r="I314" s="152"/>
      <c r="J314" s="152"/>
      <c r="K314" s="248"/>
      <c r="L314" s="248"/>
      <c r="M314" s="152"/>
      <c r="N314" s="152"/>
      <c r="O314" s="152"/>
      <c r="P314" s="152"/>
      <c r="Q314" s="152"/>
      <c r="R314" s="152"/>
      <c r="S314" s="152"/>
      <c r="T314" s="152"/>
      <c r="U314" s="152"/>
      <c r="V314" s="152"/>
      <c r="W314" s="152"/>
    </row>
    <row r="315">
      <c r="A315" s="152"/>
      <c r="B315" s="152"/>
      <c r="C315" s="152"/>
      <c r="D315" s="152"/>
      <c r="E315" s="152"/>
      <c r="F315" s="152"/>
      <c r="G315" s="152"/>
      <c r="H315" s="152"/>
      <c r="I315" s="152"/>
      <c r="J315" s="152"/>
      <c r="K315" s="248"/>
      <c r="L315" s="248"/>
      <c r="M315" s="152"/>
      <c r="N315" s="152"/>
      <c r="O315" s="152"/>
      <c r="P315" s="152"/>
      <c r="Q315" s="152"/>
      <c r="R315" s="152"/>
      <c r="S315" s="152"/>
      <c r="T315" s="152"/>
      <c r="U315" s="152"/>
      <c r="V315" s="152"/>
      <c r="W315" s="152"/>
    </row>
    <row r="316">
      <c r="A316" s="152"/>
      <c r="B316" s="152"/>
      <c r="C316" s="152"/>
      <c r="D316" s="152"/>
      <c r="E316" s="152"/>
      <c r="F316" s="152"/>
      <c r="G316" s="152"/>
      <c r="H316" s="152"/>
      <c r="I316" s="152"/>
      <c r="J316" s="152"/>
      <c r="K316" s="248"/>
      <c r="L316" s="248"/>
      <c r="M316" s="152"/>
      <c r="N316" s="152"/>
      <c r="O316" s="152"/>
      <c r="P316" s="152"/>
      <c r="Q316" s="152"/>
      <c r="R316" s="152"/>
      <c r="S316" s="152"/>
      <c r="T316" s="152"/>
      <c r="U316" s="152"/>
      <c r="V316" s="152"/>
      <c r="W316" s="152"/>
    </row>
    <row r="317">
      <c r="A317" s="152"/>
      <c r="B317" s="152"/>
      <c r="C317" s="152"/>
      <c r="D317" s="152"/>
      <c r="E317" s="152"/>
      <c r="F317" s="152"/>
      <c r="G317" s="152"/>
      <c r="H317" s="152"/>
      <c r="I317" s="152"/>
      <c r="J317" s="152"/>
      <c r="K317" s="248"/>
      <c r="L317" s="248"/>
      <c r="M317" s="152"/>
      <c r="N317" s="152"/>
      <c r="O317" s="152"/>
      <c r="P317" s="152"/>
      <c r="Q317" s="152"/>
      <c r="R317" s="152"/>
      <c r="S317" s="152"/>
      <c r="T317" s="152"/>
      <c r="U317" s="152"/>
      <c r="V317" s="152"/>
      <c r="W317" s="152"/>
    </row>
    <row r="318">
      <c r="A318" s="152"/>
      <c r="B318" s="152"/>
      <c r="C318" s="152"/>
      <c r="D318" s="152"/>
      <c r="E318" s="152"/>
      <c r="F318" s="152"/>
      <c r="G318" s="152"/>
      <c r="H318" s="152"/>
      <c r="I318" s="152"/>
      <c r="J318" s="152"/>
      <c r="K318" s="248"/>
      <c r="L318" s="248"/>
      <c r="M318" s="152"/>
      <c r="N318" s="152"/>
      <c r="O318" s="152"/>
      <c r="P318" s="152"/>
      <c r="Q318" s="152"/>
      <c r="R318" s="152"/>
      <c r="S318" s="152"/>
      <c r="T318" s="152"/>
      <c r="U318" s="152"/>
      <c r="V318" s="152"/>
      <c r="W318" s="152"/>
    </row>
    <row r="319">
      <c r="A319" s="152"/>
      <c r="B319" s="152"/>
      <c r="C319" s="152"/>
      <c r="D319" s="152"/>
      <c r="E319" s="152"/>
      <c r="F319" s="152"/>
      <c r="G319" s="152"/>
      <c r="H319" s="152"/>
      <c r="I319" s="152"/>
      <c r="J319" s="152"/>
      <c r="K319" s="248"/>
      <c r="L319" s="248"/>
      <c r="M319" s="152"/>
      <c r="N319" s="152"/>
      <c r="O319" s="152"/>
      <c r="P319" s="152"/>
      <c r="Q319" s="152"/>
      <c r="R319" s="152"/>
      <c r="S319" s="152"/>
      <c r="T319" s="152"/>
      <c r="U319" s="152"/>
      <c r="V319" s="152"/>
      <c r="W319" s="152"/>
    </row>
    <row r="320">
      <c r="A320" s="152"/>
      <c r="B320" s="152"/>
      <c r="C320" s="152"/>
      <c r="D320" s="152"/>
      <c r="E320" s="152"/>
      <c r="F320" s="152"/>
      <c r="G320" s="152"/>
      <c r="H320" s="152"/>
      <c r="I320" s="152"/>
      <c r="J320" s="152"/>
      <c r="K320" s="248"/>
      <c r="L320" s="248"/>
      <c r="M320" s="152"/>
      <c r="N320" s="152"/>
      <c r="O320" s="152"/>
      <c r="P320" s="152"/>
      <c r="Q320" s="152"/>
      <c r="R320" s="152"/>
      <c r="S320" s="152"/>
      <c r="T320" s="152"/>
      <c r="U320" s="152"/>
      <c r="V320" s="152"/>
      <c r="W320" s="152"/>
    </row>
    <row r="321">
      <c r="A321" s="152"/>
      <c r="B321" s="152"/>
      <c r="C321" s="152"/>
      <c r="D321" s="152"/>
      <c r="E321" s="152"/>
      <c r="F321" s="152"/>
      <c r="G321" s="152"/>
      <c r="H321" s="152"/>
      <c r="I321" s="152"/>
      <c r="J321" s="152"/>
      <c r="K321" s="248"/>
      <c r="L321" s="248"/>
      <c r="M321" s="152"/>
      <c r="N321" s="152"/>
      <c r="O321" s="152"/>
      <c r="P321" s="152"/>
      <c r="Q321" s="152"/>
      <c r="R321" s="152"/>
      <c r="S321" s="152"/>
      <c r="T321" s="152"/>
      <c r="U321" s="152"/>
      <c r="V321" s="152"/>
      <c r="W321" s="152"/>
    </row>
    <row r="322">
      <c r="A322" s="152"/>
      <c r="B322" s="152"/>
      <c r="C322" s="152"/>
      <c r="D322" s="152"/>
      <c r="E322" s="152"/>
      <c r="F322" s="152"/>
      <c r="G322" s="152"/>
      <c r="H322" s="152"/>
      <c r="I322" s="152"/>
      <c r="J322" s="152"/>
      <c r="K322" s="248"/>
      <c r="L322" s="248"/>
      <c r="M322" s="152"/>
      <c r="N322" s="152"/>
      <c r="O322" s="152"/>
      <c r="P322" s="152"/>
      <c r="Q322" s="152"/>
      <c r="R322" s="152"/>
      <c r="S322" s="152"/>
      <c r="T322" s="152"/>
      <c r="U322" s="152"/>
      <c r="V322" s="152"/>
      <c r="W322" s="152"/>
    </row>
    <row r="323">
      <c r="A323" s="152"/>
      <c r="B323" s="152"/>
      <c r="C323" s="152"/>
      <c r="D323" s="152"/>
      <c r="E323" s="152"/>
      <c r="F323" s="152"/>
      <c r="G323" s="152"/>
      <c r="H323" s="152"/>
      <c r="I323" s="152"/>
      <c r="J323" s="152"/>
      <c r="K323" s="248"/>
      <c r="L323" s="248"/>
      <c r="M323" s="152"/>
      <c r="N323" s="152"/>
      <c r="O323" s="152"/>
      <c r="P323" s="152"/>
      <c r="Q323" s="152"/>
      <c r="R323" s="152"/>
      <c r="S323" s="152"/>
      <c r="T323" s="152"/>
      <c r="U323" s="152"/>
      <c r="V323" s="152"/>
      <c r="W323" s="152"/>
    </row>
    <row r="324">
      <c r="A324" s="152"/>
      <c r="B324" s="152"/>
      <c r="C324" s="152"/>
      <c r="D324" s="152"/>
      <c r="E324" s="152"/>
      <c r="F324" s="152"/>
      <c r="G324" s="152"/>
      <c r="H324" s="152"/>
      <c r="I324" s="152"/>
      <c r="J324" s="152"/>
      <c r="K324" s="248"/>
      <c r="L324" s="248"/>
      <c r="M324" s="152"/>
      <c r="N324" s="152"/>
      <c r="O324" s="152"/>
      <c r="P324" s="152"/>
      <c r="Q324" s="152"/>
      <c r="R324" s="152"/>
      <c r="S324" s="152"/>
      <c r="T324" s="152"/>
      <c r="U324" s="152"/>
      <c r="V324" s="152"/>
      <c r="W324" s="152"/>
    </row>
    <row r="325">
      <c r="A325" s="152"/>
      <c r="B325" s="152"/>
      <c r="C325" s="152"/>
      <c r="D325" s="152"/>
      <c r="E325" s="152"/>
      <c r="F325" s="152"/>
      <c r="G325" s="152"/>
      <c r="H325" s="152"/>
      <c r="I325" s="152"/>
      <c r="J325" s="152"/>
      <c r="K325" s="248"/>
      <c r="L325" s="248"/>
      <c r="M325" s="152"/>
      <c r="N325" s="152"/>
      <c r="O325" s="152"/>
      <c r="P325" s="152"/>
      <c r="Q325" s="152"/>
      <c r="R325" s="152"/>
      <c r="S325" s="152"/>
      <c r="T325" s="152"/>
      <c r="U325" s="152"/>
      <c r="V325" s="152"/>
      <c r="W325" s="152"/>
    </row>
    <row r="326">
      <c r="A326" s="152"/>
      <c r="B326" s="152"/>
      <c r="C326" s="152"/>
      <c r="D326" s="152"/>
      <c r="E326" s="152"/>
      <c r="F326" s="152"/>
      <c r="G326" s="152"/>
      <c r="H326" s="152"/>
      <c r="I326" s="152"/>
      <c r="J326" s="152"/>
      <c r="K326" s="248"/>
      <c r="L326" s="248"/>
      <c r="M326" s="152"/>
      <c r="N326" s="152"/>
      <c r="O326" s="152"/>
      <c r="P326" s="152"/>
      <c r="Q326" s="152"/>
      <c r="R326" s="152"/>
      <c r="S326" s="152"/>
      <c r="T326" s="152"/>
      <c r="U326" s="152"/>
      <c r="V326" s="152"/>
      <c r="W326" s="152"/>
    </row>
    <row r="327">
      <c r="A327" s="152"/>
      <c r="B327" s="152"/>
      <c r="C327" s="152"/>
      <c r="D327" s="152"/>
      <c r="E327" s="152"/>
      <c r="F327" s="152"/>
      <c r="G327" s="152"/>
      <c r="H327" s="152"/>
      <c r="I327" s="152"/>
      <c r="J327" s="152"/>
      <c r="K327" s="248"/>
      <c r="L327" s="248"/>
      <c r="M327" s="152"/>
      <c r="N327" s="152"/>
      <c r="O327" s="152"/>
      <c r="P327" s="152"/>
      <c r="Q327" s="152"/>
      <c r="R327" s="152"/>
      <c r="S327" s="152"/>
      <c r="T327" s="152"/>
      <c r="U327" s="152"/>
      <c r="V327" s="152"/>
      <c r="W327" s="152"/>
    </row>
    <row r="328">
      <c r="A328" s="152"/>
      <c r="B328" s="152"/>
      <c r="C328" s="152"/>
      <c r="D328" s="152"/>
      <c r="E328" s="152"/>
      <c r="F328" s="152"/>
      <c r="G328" s="152"/>
      <c r="H328" s="152"/>
      <c r="I328" s="152"/>
      <c r="J328" s="152"/>
      <c r="K328" s="248"/>
      <c r="L328" s="248"/>
      <c r="M328" s="152"/>
      <c r="N328" s="152"/>
      <c r="O328" s="152"/>
      <c r="P328" s="152"/>
      <c r="Q328" s="152"/>
      <c r="R328" s="152"/>
      <c r="S328" s="152"/>
      <c r="T328" s="152"/>
      <c r="U328" s="152"/>
      <c r="V328" s="152"/>
      <c r="W328" s="152"/>
    </row>
    <row r="329">
      <c r="A329" s="152"/>
      <c r="B329" s="152"/>
      <c r="C329" s="152"/>
      <c r="D329" s="152"/>
      <c r="E329" s="152"/>
      <c r="F329" s="152"/>
      <c r="G329" s="152"/>
      <c r="H329" s="152"/>
      <c r="I329" s="152"/>
      <c r="J329" s="152"/>
      <c r="K329" s="248"/>
      <c r="L329" s="248"/>
      <c r="M329" s="152"/>
      <c r="N329" s="152"/>
      <c r="O329" s="152"/>
      <c r="P329" s="152"/>
      <c r="Q329" s="152"/>
      <c r="R329" s="152"/>
      <c r="S329" s="152"/>
      <c r="T329" s="152"/>
      <c r="U329" s="152"/>
      <c r="V329" s="152"/>
      <c r="W329" s="152"/>
    </row>
    <row r="330">
      <c r="A330" s="152"/>
      <c r="B330" s="152"/>
      <c r="C330" s="152"/>
      <c r="D330" s="152"/>
      <c r="E330" s="152"/>
      <c r="F330" s="152"/>
      <c r="G330" s="152"/>
      <c r="H330" s="152"/>
      <c r="I330" s="152"/>
      <c r="J330" s="152"/>
      <c r="K330" s="248"/>
      <c r="L330" s="248"/>
      <c r="M330" s="152"/>
      <c r="N330" s="152"/>
      <c r="O330" s="152"/>
      <c r="P330" s="152"/>
      <c r="Q330" s="152"/>
      <c r="R330" s="152"/>
      <c r="S330" s="152"/>
      <c r="T330" s="152"/>
      <c r="U330" s="152"/>
      <c r="V330" s="152"/>
      <c r="W330" s="152"/>
    </row>
    <row r="331">
      <c r="A331" s="152"/>
      <c r="B331" s="152"/>
      <c r="C331" s="152"/>
      <c r="D331" s="152"/>
      <c r="E331" s="152"/>
      <c r="F331" s="152"/>
      <c r="G331" s="152"/>
      <c r="H331" s="152"/>
      <c r="I331" s="152"/>
      <c r="J331" s="152"/>
      <c r="K331" s="248"/>
      <c r="L331" s="248"/>
      <c r="M331" s="152"/>
      <c r="N331" s="152"/>
      <c r="O331" s="152"/>
      <c r="P331" s="152"/>
      <c r="Q331" s="152"/>
      <c r="R331" s="152"/>
      <c r="S331" s="152"/>
      <c r="T331" s="152"/>
      <c r="U331" s="152"/>
      <c r="V331" s="152"/>
      <c r="W331" s="152"/>
    </row>
    <row r="332">
      <c r="A332" s="152"/>
      <c r="B332" s="152"/>
      <c r="C332" s="152"/>
      <c r="D332" s="152"/>
      <c r="E332" s="152"/>
      <c r="F332" s="152"/>
      <c r="G332" s="152"/>
      <c r="H332" s="152"/>
      <c r="I332" s="152"/>
      <c r="J332" s="152"/>
      <c r="K332" s="248"/>
      <c r="L332" s="248"/>
      <c r="M332" s="152"/>
      <c r="N332" s="152"/>
      <c r="O332" s="152"/>
      <c r="P332" s="152"/>
      <c r="Q332" s="152"/>
      <c r="R332" s="152"/>
      <c r="S332" s="152"/>
      <c r="T332" s="152"/>
      <c r="U332" s="152"/>
      <c r="V332" s="152"/>
      <c r="W332" s="152"/>
    </row>
    <row r="333">
      <c r="A333" s="152"/>
      <c r="B333" s="152"/>
      <c r="C333" s="152"/>
      <c r="D333" s="152"/>
      <c r="E333" s="152"/>
      <c r="F333" s="152"/>
      <c r="G333" s="152"/>
      <c r="H333" s="152"/>
      <c r="I333" s="152"/>
      <c r="J333" s="152"/>
      <c r="K333" s="248"/>
      <c r="L333" s="248"/>
      <c r="M333" s="152"/>
      <c r="N333" s="152"/>
      <c r="O333" s="152"/>
      <c r="P333" s="152"/>
      <c r="Q333" s="152"/>
      <c r="R333" s="152"/>
      <c r="S333" s="152"/>
      <c r="T333" s="152"/>
      <c r="U333" s="152"/>
      <c r="V333" s="152"/>
      <c r="W333" s="152"/>
    </row>
    <row r="334">
      <c r="A334" s="152"/>
      <c r="B334" s="152"/>
      <c r="C334" s="152"/>
      <c r="D334" s="152"/>
      <c r="E334" s="152"/>
      <c r="F334" s="152"/>
      <c r="G334" s="152"/>
      <c r="H334" s="152"/>
      <c r="I334" s="152"/>
      <c r="J334" s="152"/>
      <c r="K334" s="248"/>
      <c r="L334" s="248"/>
      <c r="M334" s="152"/>
      <c r="N334" s="152"/>
      <c r="O334" s="152"/>
      <c r="P334" s="152"/>
      <c r="Q334" s="152"/>
      <c r="R334" s="152"/>
      <c r="S334" s="152"/>
      <c r="T334" s="152"/>
      <c r="U334" s="152"/>
      <c r="V334" s="152"/>
      <c r="W334" s="152"/>
    </row>
    <row r="335">
      <c r="A335" s="152"/>
      <c r="B335" s="152"/>
      <c r="C335" s="152"/>
      <c r="D335" s="152"/>
      <c r="E335" s="152"/>
      <c r="F335" s="152"/>
      <c r="G335" s="152"/>
      <c r="H335" s="152"/>
      <c r="I335" s="152"/>
      <c r="J335" s="152"/>
      <c r="K335" s="248"/>
      <c r="L335" s="248"/>
      <c r="M335" s="152"/>
      <c r="N335" s="152"/>
      <c r="O335" s="152"/>
      <c r="P335" s="152"/>
      <c r="Q335" s="152"/>
      <c r="R335" s="152"/>
      <c r="S335" s="152"/>
      <c r="T335" s="152"/>
      <c r="U335" s="152"/>
      <c r="V335" s="152"/>
      <c r="W335" s="152"/>
    </row>
    <row r="336">
      <c r="A336" s="152"/>
      <c r="B336" s="152"/>
      <c r="C336" s="152"/>
      <c r="D336" s="152"/>
      <c r="E336" s="152"/>
      <c r="F336" s="152"/>
      <c r="G336" s="152"/>
      <c r="H336" s="152"/>
      <c r="I336" s="152"/>
      <c r="J336" s="152"/>
      <c r="K336" s="248"/>
      <c r="L336" s="248"/>
      <c r="M336" s="152"/>
      <c r="N336" s="152"/>
      <c r="O336" s="152"/>
      <c r="P336" s="152"/>
      <c r="Q336" s="152"/>
      <c r="R336" s="152"/>
      <c r="S336" s="152"/>
      <c r="T336" s="152"/>
      <c r="U336" s="152"/>
      <c r="V336" s="152"/>
      <c r="W336" s="152"/>
    </row>
    <row r="337">
      <c r="A337" s="152"/>
      <c r="B337" s="152"/>
      <c r="C337" s="152"/>
      <c r="D337" s="152"/>
      <c r="E337" s="152"/>
      <c r="F337" s="152"/>
      <c r="G337" s="152"/>
      <c r="H337" s="152"/>
      <c r="I337" s="152"/>
      <c r="J337" s="152"/>
      <c r="K337" s="248"/>
      <c r="L337" s="248"/>
      <c r="M337" s="152"/>
      <c r="N337" s="152"/>
      <c r="O337" s="152"/>
      <c r="P337" s="152"/>
      <c r="Q337" s="152"/>
      <c r="R337" s="152"/>
      <c r="S337" s="152"/>
      <c r="T337" s="152"/>
      <c r="U337" s="152"/>
      <c r="V337" s="152"/>
      <c r="W337" s="152"/>
    </row>
    <row r="338">
      <c r="A338" s="152"/>
      <c r="B338" s="152"/>
      <c r="C338" s="152"/>
      <c r="D338" s="152"/>
      <c r="E338" s="152"/>
      <c r="F338" s="152"/>
      <c r="G338" s="152"/>
      <c r="H338" s="152"/>
      <c r="I338" s="152"/>
      <c r="J338" s="152"/>
      <c r="K338" s="248"/>
      <c r="L338" s="248"/>
      <c r="M338" s="152"/>
      <c r="N338" s="152"/>
      <c r="O338" s="152"/>
      <c r="P338" s="152"/>
      <c r="Q338" s="152"/>
      <c r="R338" s="152"/>
      <c r="S338" s="152"/>
      <c r="T338" s="152"/>
      <c r="U338" s="152"/>
      <c r="V338" s="152"/>
      <c r="W338" s="152"/>
    </row>
    <row r="339">
      <c r="A339" s="152"/>
      <c r="B339" s="152"/>
      <c r="C339" s="152"/>
      <c r="D339" s="152"/>
      <c r="E339" s="152"/>
      <c r="F339" s="152"/>
      <c r="G339" s="152"/>
      <c r="H339" s="152"/>
      <c r="I339" s="152"/>
      <c r="J339" s="152"/>
      <c r="K339" s="248"/>
      <c r="L339" s="248"/>
      <c r="M339" s="152"/>
      <c r="N339" s="152"/>
      <c r="O339" s="152"/>
      <c r="P339" s="152"/>
      <c r="Q339" s="152"/>
      <c r="R339" s="152"/>
      <c r="S339" s="152"/>
      <c r="T339" s="152"/>
      <c r="U339" s="152"/>
      <c r="V339" s="152"/>
      <c r="W339" s="152"/>
    </row>
    <row r="340">
      <c r="A340" s="152"/>
      <c r="B340" s="152"/>
      <c r="C340" s="152"/>
      <c r="D340" s="152"/>
      <c r="E340" s="152"/>
      <c r="F340" s="152"/>
      <c r="G340" s="152"/>
      <c r="H340" s="152"/>
      <c r="I340" s="152"/>
      <c r="J340" s="152"/>
      <c r="K340" s="248"/>
      <c r="L340" s="248"/>
      <c r="M340" s="152"/>
      <c r="N340" s="152"/>
      <c r="O340" s="152"/>
      <c r="P340" s="152"/>
      <c r="Q340" s="152"/>
      <c r="R340" s="152"/>
      <c r="S340" s="152"/>
      <c r="T340" s="152"/>
      <c r="U340" s="152"/>
      <c r="V340" s="152"/>
      <c r="W340" s="152"/>
    </row>
    <row r="341">
      <c r="A341" s="152"/>
      <c r="B341" s="152"/>
      <c r="C341" s="152"/>
      <c r="D341" s="152"/>
      <c r="E341" s="152"/>
      <c r="F341" s="152"/>
      <c r="G341" s="152"/>
      <c r="H341" s="152"/>
      <c r="I341" s="152"/>
      <c r="J341" s="152"/>
      <c r="K341" s="248"/>
      <c r="L341" s="248"/>
      <c r="M341" s="152"/>
      <c r="N341" s="152"/>
      <c r="O341" s="152"/>
      <c r="P341" s="152"/>
      <c r="Q341" s="152"/>
      <c r="R341" s="152"/>
      <c r="S341" s="152"/>
      <c r="T341" s="152"/>
      <c r="U341" s="152"/>
      <c r="V341" s="152"/>
      <c r="W341" s="152"/>
    </row>
    <row r="342">
      <c r="A342" s="152"/>
      <c r="B342" s="152"/>
      <c r="C342" s="152"/>
      <c r="D342" s="152"/>
      <c r="E342" s="152"/>
      <c r="F342" s="152"/>
      <c r="G342" s="152"/>
      <c r="H342" s="152"/>
      <c r="I342" s="152"/>
      <c r="J342" s="152"/>
      <c r="K342" s="248"/>
      <c r="L342" s="248"/>
      <c r="M342" s="152"/>
      <c r="N342" s="152"/>
      <c r="O342" s="152"/>
      <c r="P342" s="152"/>
      <c r="Q342" s="152"/>
      <c r="R342" s="152"/>
      <c r="S342" s="152"/>
      <c r="T342" s="152"/>
      <c r="U342" s="152"/>
      <c r="V342" s="152"/>
      <c r="W342" s="152"/>
    </row>
    <row r="343">
      <c r="A343" s="152"/>
      <c r="B343" s="152"/>
      <c r="C343" s="152"/>
      <c r="D343" s="152"/>
      <c r="E343" s="152"/>
      <c r="F343" s="152"/>
      <c r="G343" s="152"/>
      <c r="H343" s="152"/>
      <c r="I343" s="152"/>
      <c r="J343" s="152"/>
      <c r="K343" s="248"/>
      <c r="L343" s="248"/>
      <c r="M343" s="152"/>
      <c r="N343" s="152"/>
      <c r="O343" s="152"/>
      <c r="P343" s="152"/>
      <c r="Q343" s="152"/>
      <c r="R343" s="152"/>
      <c r="S343" s="152"/>
      <c r="T343" s="152"/>
      <c r="U343" s="152"/>
      <c r="V343" s="152"/>
      <c r="W343" s="152"/>
    </row>
    <row r="344">
      <c r="A344" s="152"/>
      <c r="B344" s="152"/>
      <c r="C344" s="152"/>
      <c r="D344" s="152"/>
      <c r="E344" s="152"/>
      <c r="F344" s="152"/>
      <c r="G344" s="152"/>
      <c r="H344" s="152"/>
      <c r="I344" s="152"/>
      <c r="J344" s="152"/>
      <c r="K344" s="248"/>
      <c r="L344" s="248"/>
      <c r="M344" s="152"/>
      <c r="N344" s="152"/>
      <c r="O344" s="152"/>
      <c r="P344" s="152"/>
      <c r="Q344" s="152"/>
      <c r="R344" s="152"/>
      <c r="S344" s="152"/>
      <c r="T344" s="152"/>
      <c r="U344" s="152"/>
      <c r="V344" s="152"/>
      <c r="W344" s="152"/>
    </row>
    <row r="345">
      <c r="A345" s="152"/>
      <c r="B345" s="152"/>
      <c r="C345" s="152"/>
      <c r="D345" s="152"/>
      <c r="E345" s="152"/>
      <c r="F345" s="152"/>
      <c r="G345" s="152"/>
      <c r="H345" s="152"/>
      <c r="I345" s="152"/>
      <c r="J345" s="152"/>
      <c r="K345" s="248"/>
      <c r="L345" s="248"/>
      <c r="M345" s="152"/>
      <c r="N345" s="152"/>
      <c r="O345" s="152"/>
      <c r="P345" s="152"/>
      <c r="Q345" s="152"/>
      <c r="R345" s="152"/>
      <c r="S345" s="152"/>
      <c r="T345" s="152"/>
      <c r="U345" s="152"/>
      <c r="V345" s="152"/>
      <c r="W345" s="152"/>
    </row>
    <row r="346">
      <c r="A346" s="152"/>
      <c r="B346" s="152"/>
      <c r="C346" s="152"/>
      <c r="D346" s="152"/>
      <c r="E346" s="152"/>
      <c r="F346" s="152"/>
      <c r="G346" s="152"/>
      <c r="H346" s="152"/>
      <c r="I346" s="152"/>
      <c r="J346" s="152"/>
      <c r="K346" s="248"/>
      <c r="L346" s="248"/>
      <c r="M346" s="152"/>
      <c r="N346" s="152"/>
      <c r="O346" s="152"/>
      <c r="P346" s="152"/>
      <c r="Q346" s="152"/>
      <c r="R346" s="152"/>
      <c r="S346" s="152"/>
      <c r="T346" s="152"/>
      <c r="U346" s="152"/>
      <c r="V346" s="152"/>
      <c r="W346" s="152"/>
    </row>
    <row r="347">
      <c r="A347" s="152"/>
      <c r="B347" s="152"/>
      <c r="C347" s="152"/>
      <c r="D347" s="152"/>
      <c r="E347" s="152"/>
      <c r="F347" s="152"/>
      <c r="G347" s="152"/>
      <c r="H347" s="152"/>
      <c r="I347" s="152"/>
      <c r="J347" s="152"/>
      <c r="K347" s="248"/>
      <c r="L347" s="248"/>
      <c r="M347" s="152"/>
      <c r="N347" s="152"/>
      <c r="O347" s="152"/>
      <c r="P347" s="152"/>
      <c r="Q347" s="152"/>
      <c r="R347" s="152"/>
      <c r="S347" s="152"/>
      <c r="T347" s="152"/>
      <c r="U347" s="152"/>
      <c r="V347" s="152"/>
      <c r="W347" s="152"/>
    </row>
    <row r="348">
      <c r="A348" s="152"/>
      <c r="B348" s="152"/>
      <c r="C348" s="152"/>
      <c r="D348" s="152"/>
      <c r="E348" s="152"/>
      <c r="F348" s="152"/>
      <c r="G348" s="152"/>
      <c r="H348" s="152"/>
      <c r="I348" s="152"/>
      <c r="J348" s="152"/>
      <c r="K348" s="248"/>
      <c r="L348" s="248"/>
      <c r="M348" s="152"/>
      <c r="N348" s="152"/>
      <c r="O348" s="152"/>
      <c r="P348" s="152"/>
      <c r="Q348" s="152"/>
      <c r="R348" s="152"/>
      <c r="S348" s="152"/>
      <c r="T348" s="152"/>
      <c r="U348" s="152"/>
      <c r="V348" s="152"/>
      <c r="W348" s="152"/>
    </row>
    <row r="349">
      <c r="A349" s="152"/>
      <c r="B349" s="152"/>
      <c r="C349" s="152"/>
      <c r="D349" s="152"/>
      <c r="E349" s="152"/>
      <c r="F349" s="152"/>
      <c r="G349" s="152"/>
      <c r="H349" s="152"/>
      <c r="I349" s="152"/>
      <c r="J349" s="152"/>
      <c r="K349" s="248"/>
      <c r="L349" s="248"/>
      <c r="M349" s="152"/>
      <c r="N349" s="152"/>
      <c r="O349" s="152"/>
      <c r="P349" s="152"/>
      <c r="Q349" s="152"/>
      <c r="R349" s="152"/>
      <c r="S349" s="152"/>
      <c r="T349" s="152"/>
      <c r="U349" s="152"/>
      <c r="V349" s="152"/>
      <c r="W349" s="152"/>
    </row>
    <row r="350">
      <c r="A350" s="152"/>
      <c r="B350" s="152"/>
      <c r="C350" s="152"/>
      <c r="D350" s="152"/>
      <c r="E350" s="152"/>
      <c r="F350" s="152"/>
      <c r="G350" s="152"/>
      <c r="H350" s="152"/>
      <c r="I350" s="152"/>
      <c r="J350" s="152"/>
      <c r="K350" s="248"/>
      <c r="L350" s="248"/>
      <c r="M350" s="152"/>
      <c r="N350" s="152"/>
      <c r="O350" s="152"/>
      <c r="P350" s="152"/>
      <c r="Q350" s="152"/>
      <c r="R350" s="152"/>
      <c r="S350" s="152"/>
      <c r="T350" s="152"/>
      <c r="U350" s="152"/>
      <c r="V350" s="152"/>
      <c r="W350" s="152"/>
    </row>
    <row r="351">
      <c r="A351" s="152"/>
      <c r="B351" s="152"/>
      <c r="C351" s="152"/>
      <c r="D351" s="152"/>
      <c r="E351" s="152"/>
      <c r="F351" s="152"/>
      <c r="G351" s="152"/>
      <c r="H351" s="152"/>
      <c r="I351" s="152"/>
      <c r="J351" s="152"/>
      <c r="K351" s="248"/>
      <c r="L351" s="248"/>
      <c r="M351" s="152"/>
      <c r="N351" s="152"/>
      <c r="O351" s="152"/>
      <c r="P351" s="152"/>
      <c r="Q351" s="152"/>
      <c r="R351" s="152"/>
      <c r="S351" s="152"/>
      <c r="T351" s="152"/>
      <c r="U351" s="152"/>
      <c r="V351" s="152"/>
      <c r="W351" s="152"/>
    </row>
    <row r="352">
      <c r="A352" s="152"/>
      <c r="B352" s="152"/>
      <c r="C352" s="152"/>
      <c r="D352" s="152"/>
      <c r="E352" s="152"/>
      <c r="F352" s="152"/>
      <c r="G352" s="152"/>
      <c r="H352" s="152"/>
      <c r="I352" s="152"/>
      <c r="J352" s="152"/>
      <c r="K352" s="248"/>
      <c r="L352" s="248"/>
      <c r="M352" s="152"/>
      <c r="N352" s="152"/>
      <c r="O352" s="152"/>
      <c r="P352" s="152"/>
      <c r="Q352" s="152"/>
      <c r="R352" s="152"/>
      <c r="S352" s="152"/>
      <c r="T352" s="152"/>
      <c r="U352" s="152"/>
      <c r="V352" s="152"/>
      <c r="W352" s="152"/>
    </row>
    <row r="353">
      <c r="A353" s="152"/>
      <c r="B353" s="152"/>
      <c r="C353" s="152"/>
      <c r="D353" s="152"/>
      <c r="E353" s="152"/>
      <c r="F353" s="152"/>
      <c r="G353" s="152"/>
      <c r="H353" s="152"/>
      <c r="I353" s="152"/>
      <c r="J353" s="152"/>
      <c r="K353" s="248"/>
      <c r="L353" s="248"/>
      <c r="M353" s="152"/>
      <c r="N353" s="152"/>
      <c r="O353" s="152"/>
      <c r="P353" s="152"/>
      <c r="Q353" s="152"/>
      <c r="R353" s="152"/>
      <c r="S353" s="152"/>
      <c r="T353" s="152"/>
      <c r="U353" s="152"/>
      <c r="V353" s="152"/>
      <c r="W353" s="152"/>
    </row>
    <row r="354">
      <c r="A354" s="152"/>
      <c r="B354" s="152"/>
      <c r="C354" s="152"/>
      <c r="D354" s="152"/>
      <c r="E354" s="152"/>
      <c r="F354" s="152"/>
      <c r="G354" s="152"/>
      <c r="H354" s="152"/>
      <c r="I354" s="152"/>
      <c r="J354" s="152"/>
      <c r="K354" s="248"/>
      <c r="L354" s="248"/>
      <c r="M354" s="152"/>
      <c r="N354" s="152"/>
      <c r="O354" s="152"/>
      <c r="P354" s="152"/>
      <c r="Q354" s="152"/>
      <c r="R354" s="152"/>
      <c r="S354" s="152"/>
      <c r="T354" s="152"/>
      <c r="U354" s="152"/>
      <c r="V354" s="152"/>
      <c r="W354" s="152"/>
    </row>
    <row r="355">
      <c r="A355" s="152"/>
      <c r="B355" s="152"/>
      <c r="C355" s="152"/>
      <c r="D355" s="152"/>
      <c r="E355" s="152"/>
      <c r="F355" s="152"/>
      <c r="G355" s="152"/>
      <c r="H355" s="152"/>
      <c r="I355" s="152"/>
      <c r="J355" s="152"/>
      <c r="K355" s="248"/>
      <c r="L355" s="248"/>
      <c r="M355" s="152"/>
      <c r="N355" s="152"/>
      <c r="O355" s="152"/>
      <c r="P355" s="152"/>
      <c r="Q355" s="152"/>
      <c r="R355" s="152"/>
      <c r="S355" s="152"/>
      <c r="T355" s="152"/>
      <c r="U355" s="152"/>
      <c r="V355" s="152"/>
      <c r="W355" s="152"/>
    </row>
    <row r="356">
      <c r="A356" s="152"/>
      <c r="B356" s="152"/>
      <c r="C356" s="152"/>
      <c r="D356" s="152"/>
      <c r="E356" s="152"/>
      <c r="F356" s="152"/>
      <c r="G356" s="152"/>
      <c r="H356" s="152"/>
      <c r="I356" s="152"/>
      <c r="J356" s="152"/>
      <c r="K356" s="248"/>
      <c r="L356" s="248"/>
      <c r="M356" s="152"/>
      <c r="N356" s="152"/>
      <c r="O356" s="152"/>
      <c r="P356" s="152"/>
      <c r="Q356" s="152"/>
      <c r="R356" s="152"/>
      <c r="S356" s="152"/>
      <c r="T356" s="152"/>
      <c r="U356" s="152"/>
      <c r="V356" s="152"/>
      <c r="W356" s="152"/>
    </row>
    <row r="357">
      <c r="A357" s="152"/>
      <c r="B357" s="152"/>
      <c r="C357" s="152"/>
      <c r="D357" s="152"/>
      <c r="E357" s="152"/>
      <c r="F357" s="152"/>
      <c r="G357" s="152"/>
      <c r="H357" s="152"/>
      <c r="I357" s="152"/>
      <c r="J357" s="152"/>
      <c r="K357" s="248"/>
      <c r="L357" s="248"/>
      <c r="M357" s="152"/>
      <c r="N357" s="152"/>
      <c r="O357" s="152"/>
      <c r="P357" s="152"/>
      <c r="Q357" s="152"/>
      <c r="R357" s="152"/>
      <c r="S357" s="152"/>
      <c r="T357" s="152"/>
      <c r="U357" s="152"/>
      <c r="V357" s="152"/>
      <c r="W357" s="152"/>
    </row>
    <row r="358">
      <c r="A358" s="152"/>
      <c r="B358" s="152"/>
      <c r="C358" s="152"/>
      <c r="D358" s="152"/>
      <c r="E358" s="152"/>
      <c r="F358" s="152"/>
      <c r="G358" s="152"/>
      <c r="H358" s="152"/>
      <c r="I358" s="152"/>
      <c r="J358" s="152"/>
      <c r="K358" s="248"/>
      <c r="L358" s="248"/>
      <c r="M358" s="152"/>
      <c r="N358" s="152"/>
      <c r="O358" s="152"/>
      <c r="P358" s="152"/>
      <c r="Q358" s="152"/>
      <c r="R358" s="152"/>
      <c r="S358" s="152"/>
      <c r="T358" s="152"/>
      <c r="U358" s="152"/>
      <c r="V358" s="152"/>
      <c r="W358" s="152"/>
    </row>
    <row r="359">
      <c r="A359" s="152"/>
      <c r="B359" s="152"/>
      <c r="C359" s="152"/>
      <c r="D359" s="152"/>
      <c r="E359" s="152"/>
      <c r="F359" s="152"/>
      <c r="G359" s="152"/>
      <c r="H359" s="152"/>
      <c r="I359" s="152"/>
      <c r="J359" s="152"/>
      <c r="K359" s="248"/>
      <c r="L359" s="248"/>
      <c r="M359" s="152"/>
      <c r="N359" s="152"/>
      <c r="O359" s="152"/>
      <c r="P359" s="152"/>
      <c r="Q359" s="152"/>
      <c r="R359" s="152"/>
      <c r="S359" s="152"/>
      <c r="T359" s="152"/>
      <c r="U359" s="152"/>
      <c r="V359" s="152"/>
      <c r="W359" s="152"/>
    </row>
    <row r="360">
      <c r="A360" s="152"/>
      <c r="B360" s="152"/>
      <c r="C360" s="152"/>
      <c r="D360" s="152"/>
      <c r="E360" s="152"/>
      <c r="F360" s="152"/>
      <c r="G360" s="152"/>
      <c r="H360" s="152"/>
      <c r="I360" s="152"/>
      <c r="J360" s="152"/>
      <c r="K360" s="248"/>
      <c r="L360" s="248"/>
      <c r="M360" s="152"/>
      <c r="N360" s="152"/>
      <c r="O360" s="152"/>
      <c r="P360" s="152"/>
      <c r="Q360" s="152"/>
      <c r="R360" s="152"/>
      <c r="S360" s="152"/>
      <c r="T360" s="152"/>
      <c r="U360" s="152"/>
      <c r="V360" s="152"/>
      <c r="W360" s="152"/>
    </row>
    <row r="361">
      <c r="A361" s="152"/>
      <c r="B361" s="152"/>
      <c r="C361" s="152"/>
      <c r="D361" s="152"/>
      <c r="E361" s="152"/>
      <c r="F361" s="152"/>
      <c r="G361" s="152"/>
      <c r="H361" s="152"/>
      <c r="I361" s="152"/>
      <c r="J361" s="152"/>
      <c r="K361" s="248"/>
      <c r="L361" s="248"/>
      <c r="M361" s="152"/>
      <c r="N361" s="152"/>
      <c r="O361" s="152"/>
      <c r="P361" s="152"/>
      <c r="Q361" s="152"/>
      <c r="R361" s="152"/>
      <c r="S361" s="152"/>
      <c r="T361" s="152"/>
      <c r="U361" s="152"/>
      <c r="V361" s="152"/>
      <c r="W361" s="152"/>
    </row>
    <row r="362">
      <c r="A362" s="152"/>
      <c r="B362" s="152"/>
      <c r="C362" s="152"/>
      <c r="D362" s="152"/>
      <c r="E362" s="152"/>
      <c r="F362" s="152"/>
      <c r="G362" s="152"/>
      <c r="H362" s="152"/>
      <c r="I362" s="152"/>
      <c r="J362" s="152"/>
      <c r="K362" s="248"/>
      <c r="L362" s="248"/>
      <c r="M362" s="152"/>
      <c r="N362" s="152"/>
      <c r="O362" s="152"/>
      <c r="P362" s="152"/>
      <c r="Q362" s="152"/>
      <c r="R362" s="152"/>
      <c r="S362" s="152"/>
      <c r="T362" s="152"/>
      <c r="U362" s="152"/>
      <c r="V362" s="152"/>
      <c r="W362" s="152"/>
    </row>
    <row r="363">
      <c r="A363" s="152"/>
      <c r="B363" s="152"/>
      <c r="C363" s="152"/>
      <c r="D363" s="152"/>
      <c r="E363" s="152"/>
      <c r="F363" s="152"/>
      <c r="G363" s="152"/>
      <c r="H363" s="152"/>
      <c r="I363" s="152"/>
      <c r="J363" s="152"/>
      <c r="K363" s="248"/>
      <c r="L363" s="248"/>
      <c r="M363" s="152"/>
      <c r="N363" s="152"/>
      <c r="O363" s="152"/>
      <c r="P363" s="152"/>
      <c r="Q363" s="152"/>
      <c r="R363" s="152"/>
      <c r="S363" s="152"/>
      <c r="T363" s="152"/>
      <c r="U363" s="152"/>
      <c r="V363" s="152"/>
      <c r="W363" s="152"/>
    </row>
    <row r="364">
      <c r="A364" s="152"/>
      <c r="B364" s="152"/>
      <c r="C364" s="152"/>
      <c r="D364" s="152"/>
      <c r="E364" s="152"/>
      <c r="F364" s="152"/>
      <c r="G364" s="152"/>
      <c r="H364" s="152"/>
      <c r="I364" s="152"/>
      <c r="J364" s="152"/>
      <c r="K364" s="248"/>
      <c r="L364" s="248"/>
      <c r="M364" s="152"/>
      <c r="N364" s="152"/>
      <c r="O364" s="152"/>
      <c r="P364" s="152"/>
      <c r="Q364" s="152"/>
      <c r="R364" s="152"/>
      <c r="S364" s="152"/>
      <c r="T364" s="152"/>
      <c r="U364" s="152"/>
      <c r="V364" s="152"/>
      <c r="W364" s="152"/>
    </row>
    <row r="365">
      <c r="A365" s="152"/>
      <c r="B365" s="152"/>
      <c r="C365" s="152"/>
      <c r="D365" s="152"/>
      <c r="E365" s="152"/>
      <c r="F365" s="152"/>
      <c r="G365" s="152"/>
      <c r="H365" s="152"/>
      <c r="I365" s="152"/>
      <c r="J365" s="152"/>
      <c r="K365" s="248"/>
      <c r="L365" s="248"/>
      <c r="M365" s="152"/>
      <c r="N365" s="152"/>
      <c r="O365" s="152"/>
      <c r="P365" s="152"/>
      <c r="Q365" s="152"/>
      <c r="R365" s="152"/>
      <c r="S365" s="152"/>
      <c r="T365" s="152"/>
      <c r="U365" s="152"/>
      <c r="V365" s="152"/>
      <c r="W365" s="152"/>
    </row>
    <row r="366">
      <c r="A366" s="152"/>
      <c r="B366" s="152"/>
      <c r="C366" s="152"/>
      <c r="D366" s="152"/>
      <c r="E366" s="152"/>
      <c r="F366" s="152"/>
      <c r="G366" s="152"/>
      <c r="H366" s="152"/>
      <c r="I366" s="152"/>
      <c r="J366" s="152"/>
      <c r="K366" s="248"/>
      <c r="L366" s="248"/>
      <c r="M366" s="152"/>
      <c r="N366" s="152"/>
      <c r="O366" s="152"/>
      <c r="P366" s="152"/>
      <c r="Q366" s="152"/>
      <c r="R366" s="152"/>
      <c r="S366" s="152"/>
      <c r="T366" s="152"/>
      <c r="U366" s="152"/>
      <c r="V366" s="152"/>
      <c r="W366" s="152"/>
    </row>
    <row r="367">
      <c r="A367" s="152"/>
      <c r="B367" s="152"/>
      <c r="C367" s="152"/>
      <c r="D367" s="152"/>
      <c r="E367" s="152"/>
      <c r="F367" s="152"/>
      <c r="G367" s="152"/>
      <c r="H367" s="152"/>
      <c r="I367" s="152"/>
      <c r="J367" s="152"/>
      <c r="K367" s="248"/>
      <c r="L367" s="248"/>
      <c r="M367" s="152"/>
      <c r="N367" s="152"/>
      <c r="O367" s="152"/>
      <c r="P367" s="152"/>
      <c r="Q367" s="152"/>
      <c r="R367" s="152"/>
      <c r="S367" s="152"/>
      <c r="T367" s="152"/>
      <c r="U367" s="152"/>
      <c r="V367" s="152"/>
      <c r="W367" s="152"/>
    </row>
    <row r="368">
      <c r="A368" s="152"/>
      <c r="B368" s="152"/>
      <c r="C368" s="152"/>
      <c r="D368" s="152"/>
      <c r="E368" s="152"/>
      <c r="F368" s="152"/>
      <c r="G368" s="152"/>
      <c r="H368" s="152"/>
      <c r="I368" s="152"/>
      <c r="J368" s="152"/>
      <c r="K368" s="248"/>
      <c r="L368" s="248"/>
      <c r="M368" s="152"/>
      <c r="N368" s="152"/>
      <c r="O368" s="152"/>
      <c r="P368" s="152"/>
      <c r="Q368" s="152"/>
      <c r="R368" s="152"/>
      <c r="S368" s="152"/>
      <c r="T368" s="152"/>
      <c r="U368" s="152"/>
      <c r="V368" s="152"/>
      <c r="W368" s="152"/>
    </row>
    <row r="369">
      <c r="A369" s="152"/>
      <c r="B369" s="152"/>
      <c r="C369" s="152"/>
      <c r="D369" s="152"/>
      <c r="E369" s="152"/>
      <c r="F369" s="152"/>
      <c r="G369" s="152"/>
      <c r="H369" s="152"/>
      <c r="I369" s="152"/>
      <c r="J369" s="152"/>
      <c r="K369" s="248"/>
      <c r="L369" s="248"/>
      <c r="M369" s="152"/>
      <c r="N369" s="152"/>
      <c r="O369" s="152"/>
      <c r="P369" s="152"/>
      <c r="Q369" s="152"/>
      <c r="R369" s="152"/>
      <c r="S369" s="152"/>
      <c r="T369" s="152"/>
      <c r="U369" s="152"/>
      <c r="V369" s="152"/>
      <c r="W369" s="152"/>
    </row>
    <row r="370">
      <c r="A370" s="152"/>
      <c r="B370" s="152"/>
      <c r="C370" s="152"/>
      <c r="D370" s="152"/>
      <c r="E370" s="152"/>
      <c r="F370" s="152"/>
      <c r="G370" s="152"/>
      <c r="H370" s="152"/>
      <c r="I370" s="152"/>
      <c r="J370" s="152"/>
      <c r="K370" s="248"/>
      <c r="L370" s="248"/>
      <c r="M370" s="152"/>
      <c r="N370" s="152"/>
      <c r="O370" s="152"/>
      <c r="P370" s="152"/>
      <c r="Q370" s="152"/>
      <c r="R370" s="152"/>
      <c r="S370" s="152"/>
      <c r="T370" s="152"/>
      <c r="U370" s="152"/>
      <c r="V370" s="152"/>
      <c r="W370" s="152"/>
    </row>
    <row r="371">
      <c r="A371" s="152"/>
      <c r="B371" s="152"/>
      <c r="C371" s="152"/>
      <c r="D371" s="152"/>
      <c r="E371" s="152"/>
      <c r="F371" s="152"/>
      <c r="G371" s="152"/>
      <c r="H371" s="152"/>
      <c r="I371" s="152"/>
      <c r="J371" s="152"/>
      <c r="K371" s="248"/>
      <c r="L371" s="248"/>
      <c r="M371" s="152"/>
      <c r="N371" s="152"/>
      <c r="O371" s="152"/>
      <c r="P371" s="152"/>
      <c r="Q371" s="152"/>
      <c r="R371" s="152"/>
      <c r="S371" s="152"/>
      <c r="T371" s="152"/>
      <c r="U371" s="152"/>
      <c r="V371" s="152"/>
      <c r="W371" s="152"/>
    </row>
    <row r="372">
      <c r="A372" s="152"/>
      <c r="B372" s="152"/>
      <c r="C372" s="152"/>
      <c r="D372" s="152"/>
      <c r="E372" s="152"/>
      <c r="F372" s="152"/>
      <c r="G372" s="152"/>
      <c r="H372" s="152"/>
      <c r="I372" s="152"/>
      <c r="J372" s="152"/>
      <c r="K372" s="248"/>
      <c r="L372" s="248"/>
      <c r="M372" s="152"/>
      <c r="N372" s="152"/>
      <c r="O372" s="152"/>
      <c r="P372" s="152"/>
      <c r="Q372" s="152"/>
      <c r="R372" s="152"/>
      <c r="S372" s="152"/>
      <c r="T372" s="152"/>
      <c r="U372" s="152"/>
      <c r="V372" s="152"/>
      <c r="W372" s="152"/>
    </row>
    <row r="373">
      <c r="A373" s="152"/>
      <c r="B373" s="152"/>
      <c r="C373" s="152"/>
      <c r="D373" s="152"/>
      <c r="E373" s="152"/>
      <c r="F373" s="152"/>
      <c r="G373" s="152"/>
      <c r="H373" s="152"/>
      <c r="I373" s="152"/>
      <c r="J373" s="152"/>
      <c r="K373" s="248"/>
      <c r="L373" s="248"/>
      <c r="M373" s="152"/>
      <c r="N373" s="152"/>
      <c r="O373" s="152"/>
      <c r="P373" s="152"/>
      <c r="Q373" s="152"/>
      <c r="R373" s="152"/>
      <c r="S373" s="152"/>
      <c r="T373" s="152"/>
      <c r="U373" s="152"/>
      <c r="V373" s="152"/>
      <c r="W373" s="152"/>
    </row>
    <row r="374">
      <c r="A374" s="152"/>
      <c r="B374" s="152"/>
      <c r="C374" s="152"/>
      <c r="D374" s="152"/>
      <c r="E374" s="152"/>
      <c r="F374" s="152"/>
      <c r="G374" s="152"/>
      <c r="H374" s="152"/>
      <c r="I374" s="152"/>
      <c r="J374" s="152"/>
      <c r="K374" s="248"/>
      <c r="L374" s="248"/>
      <c r="M374" s="152"/>
      <c r="N374" s="152"/>
      <c r="O374" s="152"/>
      <c r="P374" s="152"/>
      <c r="Q374" s="152"/>
      <c r="R374" s="152"/>
      <c r="S374" s="152"/>
      <c r="T374" s="152"/>
      <c r="U374" s="152"/>
      <c r="V374" s="152"/>
      <c r="W374" s="152"/>
    </row>
    <row r="375">
      <c r="A375" s="152"/>
      <c r="B375" s="152"/>
      <c r="C375" s="152"/>
      <c r="D375" s="152"/>
      <c r="E375" s="152"/>
      <c r="F375" s="152"/>
      <c r="G375" s="152"/>
      <c r="H375" s="152"/>
      <c r="I375" s="152"/>
      <c r="J375" s="152"/>
      <c r="K375" s="248"/>
      <c r="L375" s="248"/>
      <c r="M375" s="152"/>
      <c r="N375" s="152"/>
      <c r="O375" s="152"/>
      <c r="P375" s="152"/>
      <c r="Q375" s="152"/>
      <c r="R375" s="152"/>
      <c r="S375" s="152"/>
      <c r="T375" s="152"/>
      <c r="U375" s="152"/>
      <c r="V375" s="152"/>
      <c r="W375" s="152"/>
    </row>
    <row r="376">
      <c r="A376" s="152"/>
      <c r="B376" s="152"/>
      <c r="C376" s="152"/>
      <c r="D376" s="152"/>
      <c r="E376" s="152"/>
      <c r="F376" s="152"/>
      <c r="G376" s="152"/>
      <c r="H376" s="152"/>
      <c r="I376" s="152"/>
      <c r="J376" s="152"/>
      <c r="K376" s="248"/>
      <c r="L376" s="248"/>
      <c r="M376" s="152"/>
      <c r="N376" s="152"/>
      <c r="O376" s="152"/>
      <c r="P376" s="152"/>
      <c r="Q376" s="152"/>
      <c r="R376" s="152"/>
      <c r="S376" s="152"/>
      <c r="T376" s="152"/>
      <c r="U376" s="152"/>
      <c r="V376" s="152"/>
      <c r="W376" s="152"/>
    </row>
    <row r="377">
      <c r="A377" s="152"/>
      <c r="B377" s="152"/>
      <c r="C377" s="152"/>
      <c r="D377" s="152"/>
      <c r="E377" s="152"/>
      <c r="F377" s="152"/>
      <c r="G377" s="152"/>
      <c r="H377" s="152"/>
      <c r="I377" s="152"/>
      <c r="J377" s="152"/>
      <c r="K377" s="248"/>
      <c r="L377" s="248"/>
      <c r="M377" s="152"/>
      <c r="N377" s="152"/>
      <c r="O377" s="152"/>
      <c r="P377" s="152"/>
      <c r="Q377" s="152"/>
      <c r="R377" s="152"/>
      <c r="S377" s="152"/>
      <c r="T377" s="152"/>
      <c r="U377" s="152"/>
      <c r="V377" s="152"/>
      <c r="W377" s="152"/>
    </row>
    <row r="378">
      <c r="A378" s="152"/>
      <c r="B378" s="152"/>
      <c r="C378" s="152"/>
      <c r="D378" s="152"/>
      <c r="E378" s="152"/>
      <c r="F378" s="152"/>
      <c r="G378" s="152"/>
      <c r="H378" s="152"/>
      <c r="I378" s="152"/>
      <c r="J378" s="152"/>
      <c r="K378" s="248"/>
      <c r="L378" s="248"/>
      <c r="M378" s="152"/>
      <c r="N378" s="152"/>
      <c r="O378" s="152"/>
      <c r="P378" s="152"/>
      <c r="Q378" s="152"/>
      <c r="R378" s="152"/>
      <c r="S378" s="152"/>
      <c r="T378" s="152"/>
      <c r="U378" s="152"/>
      <c r="V378" s="152"/>
      <c r="W378" s="152"/>
    </row>
    <row r="379">
      <c r="A379" s="152"/>
      <c r="B379" s="152"/>
      <c r="C379" s="152"/>
      <c r="D379" s="152"/>
      <c r="E379" s="152"/>
      <c r="F379" s="152"/>
      <c r="G379" s="152"/>
      <c r="H379" s="152"/>
      <c r="I379" s="152"/>
      <c r="J379" s="152"/>
      <c r="K379" s="248"/>
      <c r="L379" s="248"/>
      <c r="M379" s="152"/>
      <c r="N379" s="152"/>
      <c r="O379" s="152"/>
      <c r="P379" s="152"/>
      <c r="Q379" s="152"/>
      <c r="R379" s="152"/>
      <c r="S379" s="152"/>
      <c r="T379" s="152"/>
      <c r="U379" s="152"/>
      <c r="V379" s="152"/>
      <c r="W379" s="152"/>
    </row>
    <row r="380">
      <c r="A380" s="152"/>
      <c r="B380" s="152"/>
      <c r="C380" s="152"/>
      <c r="D380" s="152"/>
      <c r="E380" s="152"/>
      <c r="F380" s="152"/>
      <c r="G380" s="152"/>
      <c r="H380" s="152"/>
      <c r="I380" s="152"/>
      <c r="J380" s="152"/>
      <c r="K380" s="248"/>
      <c r="L380" s="248"/>
      <c r="M380" s="152"/>
      <c r="N380" s="152"/>
      <c r="O380" s="152"/>
      <c r="P380" s="152"/>
      <c r="Q380" s="152"/>
      <c r="R380" s="152"/>
      <c r="S380" s="152"/>
      <c r="T380" s="152"/>
      <c r="U380" s="152"/>
      <c r="V380" s="152"/>
      <c r="W380" s="152"/>
    </row>
    <row r="381">
      <c r="A381" s="152"/>
      <c r="B381" s="152"/>
      <c r="C381" s="152"/>
      <c r="D381" s="152"/>
      <c r="E381" s="152"/>
      <c r="F381" s="152"/>
      <c r="G381" s="152"/>
      <c r="H381" s="152"/>
      <c r="I381" s="152"/>
      <c r="J381" s="152"/>
      <c r="K381" s="248"/>
      <c r="L381" s="248"/>
      <c r="M381" s="152"/>
      <c r="N381" s="152"/>
      <c r="O381" s="152"/>
      <c r="P381" s="152"/>
      <c r="Q381" s="152"/>
      <c r="R381" s="152"/>
      <c r="S381" s="152"/>
      <c r="T381" s="152"/>
      <c r="U381" s="152"/>
      <c r="V381" s="152"/>
      <c r="W381" s="152"/>
    </row>
    <row r="382">
      <c r="A382" s="152"/>
      <c r="B382" s="152"/>
      <c r="C382" s="152"/>
      <c r="D382" s="152"/>
      <c r="E382" s="152"/>
      <c r="F382" s="152"/>
      <c r="G382" s="152"/>
      <c r="H382" s="152"/>
      <c r="I382" s="152"/>
      <c r="J382" s="152"/>
      <c r="K382" s="248"/>
      <c r="L382" s="248"/>
      <c r="M382" s="152"/>
      <c r="N382" s="152"/>
      <c r="O382" s="152"/>
      <c r="P382" s="152"/>
      <c r="Q382" s="152"/>
      <c r="R382" s="152"/>
      <c r="S382" s="152"/>
      <c r="T382" s="152"/>
      <c r="U382" s="152"/>
      <c r="V382" s="152"/>
      <c r="W382" s="152"/>
    </row>
    <row r="383">
      <c r="A383" s="152"/>
      <c r="B383" s="152"/>
      <c r="C383" s="152"/>
      <c r="D383" s="152"/>
      <c r="E383" s="152"/>
      <c r="F383" s="152"/>
      <c r="G383" s="152"/>
      <c r="H383" s="152"/>
      <c r="I383" s="152"/>
      <c r="J383" s="152"/>
      <c r="K383" s="248"/>
      <c r="L383" s="248"/>
      <c r="M383" s="152"/>
      <c r="N383" s="152"/>
      <c r="O383" s="152"/>
      <c r="P383" s="152"/>
      <c r="Q383" s="152"/>
      <c r="R383" s="152"/>
      <c r="S383" s="152"/>
      <c r="T383" s="152"/>
      <c r="U383" s="152"/>
      <c r="V383" s="152"/>
      <c r="W383" s="152"/>
    </row>
    <row r="384">
      <c r="A384" s="152"/>
      <c r="B384" s="152"/>
      <c r="C384" s="152"/>
      <c r="D384" s="152"/>
      <c r="E384" s="152"/>
      <c r="F384" s="152"/>
      <c r="G384" s="152"/>
      <c r="H384" s="152"/>
      <c r="I384" s="152"/>
      <c r="J384" s="152"/>
      <c r="K384" s="248"/>
      <c r="L384" s="248"/>
      <c r="M384" s="152"/>
      <c r="N384" s="152"/>
      <c r="O384" s="152"/>
      <c r="P384" s="152"/>
      <c r="Q384" s="152"/>
      <c r="R384" s="152"/>
      <c r="S384" s="152"/>
      <c r="T384" s="152"/>
      <c r="U384" s="152"/>
      <c r="V384" s="152"/>
      <c r="W384" s="152"/>
    </row>
    <row r="385">
      <c r="A385" s="152"/>
      <c r="B385" s="152"/>
      <c r="C385" s="152"/>
      <c r="D385" s="152"/>
      <c r="E385" s="152"/>
      <c r="F385" s="152"/>
      <c r="G385" s="152"/>
      <c r="H385" s="152"/>
      <c r="I385" s="152"/>
      <c r="J385" s="152"/>
      <c r="K385" s="248"/>
      <c r="L385" s="248"/>
      <c r="M385" s="152"/>
      <c r="N385" s="152"/>
      <c r="O385" s="152"/>
      <c r="P385" s="152"/>
      <c r="Q385" s="152"/>
      <c r="R385" s="152"/>
      <c r="S385" s="152"/>
      <c r="T385" s="152"/>
      <c r="U385" s="152"/>
      <c r="V385" s="152"/>
      <c r="W385" s="152"/>
    </row>
    <row r="386">
      <c r="A386" s="152"/>
      <c r="B386" s="152"/>
      <c r="C386" s="152"/>
      <c r="D386" s="152"/>
      <c r="E386" s="152"/>
      <c r="F386" s="152"/>
      <c r="G386" s="152"/>
      <c r="H386" s="152"/>
      <c r="I386" s="152"/>
      <c r="J386" s="152"/>
      <c r="K386" s="248"/>
      <c r="L386" s="248"/>
      <c r="M386" s="152"/>
      <c r="N386" s="152"/>
      <c r="O386" s="152"/>
      <c r="P386" s="152"/>
      <c r="Q386" s="152"/>
      <c r="R386" s="152"/>
      <c r="S386" s="152"/>
      <c r="T386" s="152"/>
      <c r="U386" s="152"/>
      <c r="V386" s="152"/>
      <c r="W386" s="152"/>
    </row>
    <row r="387">
      <c r="A387" s="152"/>
      <c r="B387" s="152"/>
      <c r="C387" s="152"/>
      <c r="D387" s="152"/>
      <c r="E387" s="152"/>
      <c r="F387" s="152"/>
      <c r="G387" s="152"/>
      <c r="H387" s="152"/>
      <c r="I387" s="152"/>
      <c r="J387" s="152"/>
      <c r="K387" s="248"/>
      <c r="L387" s="248"/>
      <c r="M387" s="152"/>
      <c r="N387" s="152"/>
      <c r="O387" s="152"/>
      <c r="P387" s="152"/>
      <c r="Q387" s="152"/>
      <c r="R387" s="152"/>
      <c r="S387" s="152"/>
      <c r="T387" s="152"/>
      <c r="U387" s="152"/>
      <c r="V387" s="152"/>
      <c r="W387" s="152"/>
    </row>
    <row r="388">
      <c r="A388" s="152"/>
      <c r="B388" s="152"/>
      <c r="C388" s="152"/>
      <c r="D388" s="152"/>
      <c r="E388" s="152"/>
      <c r="F388" s="152"/>
      <c r="G388" s="152"/>
      <c r="H388" s="152"/>
      <c r="I388" s="152"/>
      <c r="J388" s="152"/>
      <c r="K388" s="248"/>
      <c r="L388" s="248"/>
      <c r="M388" s="152"/>
      <c r="N388" s="152"/>
      <c r="O388" s="152"/>
      <c r="P388" s="152"/>
      <c r="Q388" s="152"/>
      <c r="R388" s="152"/>
      <c r="S388" s="152"/>
      <c r="T388" s="152"/>
      <c r="U388" s="152"/>
      <c r="V388" s="152"/>
      <c r="W388" s="152"/>
    </row>
    <row r="389">
      <c r="A389" s="152"/>
      <c r="B389" s="152"/>
      <c r="C389" s="152"/>
      <c r="D389" s="152"/>
      <c r="E389" s="152"/>
      <c r="F389" s="152"/>
      <c r="G389" s="152"/>
      <c r="H389" s="152"/>
      <c r="I389" s="152"/>
      <c r="J389" s="152"/>
      <c r="K389" s="248"/>
      <c r="L389" s="248"/>
      <c r="M389" s="152"/>
      <c r="N389" s="152"/>
      <c r="O389" s="152"/>
      <c r="P389" s="152"/>
      <c r="Q389" s="152"/>
      <c r="R389" s="152"/>
      <c r="S389" s="152"/>
      <c r="T389" s="152"/>
      <c r="U389" s="152"/>
      <c r="V389" s="152"/>
      <c r="W389" s="152"/>
    </row>
    <row r="390">
      <c r="A390" s="152"/>
      <c r="B390" s="152"/>
      <c r="C390" s="152"/>
      <c r="D390" s="152"/>
      <c r="E390" s="152"/>
      <c r="F390" s="152"/>
      <c r="G390" s="152"/>
      <c r="H390" s="152"/>
      <c r="I390" s="152"/>
      <c r="J390" s="152"/>
      <c r="K390" s="248"/>
      <c r="L390" s="248"/>
      <c r="M390" s="152"/>
      <c r="N390" s="152"/>
      <c r="O390" s="152"/>
      <c r="P390" s="152"/>
      <c r="Q390" s="152"/>
      <c r="R390" s="152"/>
      <c r="S390" s="152"/>
      <c r="T390" s="152"/>
      <c r="U390" s="152"/>
      <c r="V390" s="152"/>
      <c r="W390" s="152"/>
    </row>
    <row r="391">
      <c r="A391" s="152"/>
      <c r="B391" s="152"/>
      <c r="C391" s="152"/>
      <c r="D391" s="152"/>
      <c r="E391" s="152"/>
      <c r="F391" s="152"/>
      <c r="G391" s="152"/>
      <c r="H391" s="152"/>
      <c r="I391" s="152"/>
      <c r="J391" s="152"/>
      <c r="K391" s="248"/>
      <c r="L391" s="248"/>
      <c r="M391" s="152"/>
      <c r="N391" s="152"/>
      <c r="O391" s="152"/>
      <c r="P391" s="152"/>
      <c r="Q391" s="152"/>
      <c r="R391" s="152"/>
      <c r="S391" s="152"/>
      <c r="T391" s="152"/>
      <c r="U391" s="152"/>
      <c r="V391" s="152"/>
      <c r="W391" s="152"/>
    </row>
    <row r="392">
      <c r="A392" s="152"/>
      <c r="B392" s="152"/>
      <c r="C392" s="152"/>
      <c r="D392" s="152"/>
      <c r="E392" s="152"/>
      <c r="F392" s="152"/>
      <c r="G392" s="152"/>
      <c r="H392" s="152"/>
      <c r="I392" s="152"/>
      <c r="J392" s="152"/>
      <c r="K392" s="248"/>
      <c r="L392" s="248"/>
      <c r="M392" s="152"/>
      <c r="N392" s="152"/>
      <c r="O392" s="152"/>
      <c r="P392" s="152"/>
      <c r="Q392" s="152"/>
      <c r="R392" s="152"/>
      <c r="S392" s="152"/>
      <c r="T392" s="152"/>
      <c r="U392" s="152"/>
      <c r="V392" s="152"/>
      <c r="W392" s="152"/>
    </row>
    <row r="393">
      <c r="A393" s="152"/>
      <c r="B393" s="152"/>
      <c r="C393" s="152"/>
      <c r="D393" s="152"/>
      <c r="E393" s="152"/>
      <c r="F393" s="152"/>
      <c r="G393" s="152"/>
      <c r="H393" s="152"/>
      <c r="I393" s="152"/>
      <c r="J393" s="152"/>
      <c r="K393" s="248"/>
      <c r="L393" s="248"/>
      <c r="M393" s="152"/>
      <c r="N393" s="152"/>
      <c r="O393" s="152"/>
      <c r="P393" s="152"/>
      <c r="Q393" s="152"/>
      <c r="R393" s="152"/>
      <c r="S393" s="152"/>
      <c r="T393" s="152"/>
      <c r="U393" s="152"/>
      <c r="V393" s="152"/>
      <c r="W393" s="152"/>
    </row>
    <row r="394">
      <c r="A394" s="152"/>
      <c r="B394" s="152"/>
      <c r="C394" s="152"/>
      <c r="D394" s="152"/>
      <c r="E394" s="152"/>
      <c r="F394" s="152"/>
      <c r="G394" s="152"/>
      <c r="H394" s="152"/>
      <c r="I394" s="152"/>
      <c r="J394" s="152"/>
      <c r="K394" s="248"/>
      <c r="L394" s="248"/>
      <c r="M394" s="152"/>
      <c r="N394" s="152"/>
      <c r="O394" s="152"/>
      <c r="P394" s="152"/>
      <c r="Q394" s="152"/>
      <c r="R394" s="152"/>
      <c r="S394" s="152"/>
      <c r="T394" s="152"/>
      <c r="U394" s="152"/>
      <c r="V394" s="152"/>
      <c r="W394" s="152"/>
    </row>
    <row r="395">
      <c r="A395" s="152"/>
      <c r="B395" s="152"/>
      <c r="C395" s="152"/>
      <c r="D395" s="152"/>
      <c r="E395" s="152"/>
      <c r="F395" s="152"/>
      <c r="G395" s="152"/>
      <c r="H395" s="152"/>
      <c r="I395" s="152"/>
      <c r="J395" s="152"/>
      <c r="K395" s="248"/>
      <c r="L395" s="248"/>
      <c r="M395" s="152"/>
      <c r="N395" s="152"/>
      <c r="O395" s="152"/>
      <c r="P395" s="152"/>
      <c r="Q395" s="152"/>
      <c r="R395" s="152"/>
      <c r="S395" s="152"/>
      <c r="T395" s="152"/>
      <c r="U395" s="152"/>
      <c r="V395" s="152"/>
      <c r="W395" s="152"/>
    </row>
    <row r="396">
      <c r="A396" s="152"/>
      <c r="B396" s="152"/>
      <c r="C396" s="152"/>
      <c r="D396" s="152"/>
      <c r="E396" s="152"/>
      <c r="F396" s="152"/>
      <c r="G396" s="152"/>
      <c r="H396" s="152"/>
      <c r="I396" s="152"/>
      <c r="J396" s="152"/>
      <c r="K396" s="248"/>
      <c r="L396" s="248"/>
      <c r="M396" s="152"/>
      <c r="N396" s="152"/>
      <c r="O396" s="152"/>
      <c r="P396" s="152"/>
      <c r="Q396" s="152"/>
      <c r="R396" s="152"/>
      <c r="S396" s="152"/>
      <c r="T396" s="152"/>
      <c r="U396" s="152"/>
      <c r="V396" s="152"/>
      <c r="W396" s="152"/>
    </row>
    <row r="397">
      <c r="A397" s="152"/>
      <c r="B397" s="152"/>
      <c r="C397" s="152"/>
      <c r="D397" s="152"/>
      <c r="E397" s="152"/>
      <c r="F397" s="152"/>
      <c r="G397" s="152"/>
      <c r="H397" s="152"/>
      <c r="I397" s="152"/>
      <c r="J397" s="152"/>
      <c r="K397" s="248"/>
      <c r="L397" s="248"/>
      <c r="M397" s="152"/>
      <c r="N397" s="152"/>
      <c r="O397" s="152"/>
      <c r="P397" s="152"/>
      <c r="Q397" s="152"/>
      <c r="R397" s="152"/>
      <c r="S397" s="152"/>
      <c r="T397" s="152"/>
      <c r="U397" s="152"/>
      <c r="V397" s="152"/>
      <c r="W397" s="152"/>
    </row>
    <row r="398">
      <c r="A398" s="152"/>
      <c r="B398" s="152"/>
      <c r="C398" s="152"/>
      <c r="D398" s="152"/>
      <c r="E398" s="152"/>
      <c r="F398" s="152"/>
      <c r="G398" s="152"/>
      <c r="H398" s="152"/>
      <c r="I398" s="152"/>
      <c r="J398" s="152"/>
      <c r="K398" s="248"/>
      <c r="L398" s="248"/>
      <c r="M398" s="152"/>
      <c r="N398" s="152"/>
      <c r="O398" s="152"/>
      <c r="P398" s="152"/>
      <c r="Q398" s="152"/>
      <c r="R398" s="152"/>
      <c r="S398" s="152"/>
      <c r="T398" s="152"/>
      <c r="U398" s="152"/>
      <c r="V398" s="152"/>
      <c r="W398" s="152"/>
    </row>
    <row r="399">
      <c r="A399" s="152"/>
      <c r="B399" s="152"/>
      <c r="C399" s="152"/>
      <c r="D399" s="152"/>
      <c r="E399" s="152"/>
      <c r="F399" s="152"/>
      <c r="G399" s="152"/>
      <c r="H399" s="152"/>
      <c r="I399" s="152"/>
      <c r="J399" s="152"/>
      <c r="K399" s="248"/>
      <c r="L399" s="248"/>
      <c r="M399" s="152"/>
      <c r="N399" s="152"/>
      <c r="O399" s="152"/>
      <c r="P399" s="152"/>
      <c r="Q399" s="152"/>
      <c r="R399" s="152"/>
      <c r="S399" s="152"/>
      <c r="T399" s="152"/>
      <c r="U399" s="152"/>
      <c r="V399" s="152"/>
      <c r="W399" s="152"/>
    </row>
    <row r="400">
      <c r="A400" s="152"/>
      <c r="B400" s="152"/>
      <c r="C400" s="152"/>
      <c r="D400" s="152"/>
      <c r="E400" s="152"/>
      <c r="F400" s="152"/>
      <c r="G400" s="152"/>
      <c r="H400" s="152"/>
      <c r="I400" s="152"/>
      <c r="J400" s="152"/>
      <c r="K400" s="248"/>
      <c r="L400" s="248"/>
      <c r="M400" s="152"/>
      <c r="N400" s="152"/>
      <c r="O400" s="152"/>
      <c r="P400" s="152"/>
      <c r="Q400" s="152"/>
      <c r="R400" s="152"/>
      <c r="S400" s="152"/>
      <c r="T400" s="152"/>
      <c r="U400" s="152"/>
      <c r="V400" s="152"/>
      <c r="W400" s="152"/>
    </row>
    <row r="401">
      <c r="A401" s="152"/>
      <c r="B401" s="152"/>
      <c r="C401" s="152"/>
      <c r="D401" s="152"/>
      <c r="E401" s="152"/>
      <c r="F401" s="152"/>
      <c r="G401" s="152"/>
      <c r="H401" s="152"/>
      <c r="I401" s="152"/>
      <c r="J401" s="152"/>
      <c r="K401" s="248"/>
      <c r="L401" s="248"/>
      <c r="M401" s="152"/>
      <c r="N401" s="152"/>
      <c r="O401" s="152"/>
      <c r="P401" s="152"/>
      <c r="Q401" s="152"/>
      <c r="R401" s="152"/>
      <c r="S401" s="152"/>
      <c r="T401" s="152"/>
      <c r="U401" s="152"/>
      <c r="V401" s="152"/>
      <c r="W401" s="152"/>
    </row>
    <row r="402">
      <c r="A402" s="152"/>
      <c r="B402" s="152"/>
      <c r="C402" s="152"/>
      <c r="D402" s="152"/>
      <c r="E402" s="152"/>
      <c r="F402" s="152"/>
      <c r="G402" s="152"/>
      <c r="H402" s="152"/>
      <c r="I402" s="152"/>
      <c r="J402" s="152"/>
      <c r="K402" s="248"/>
      <c r="L402" s="248"/>
      <c r="M402" s="152"/>
      <c r="N402" s="152"/>
      <c r="O402" s="152"/>
      <c r="P402" s="152"/>
      <c r="Q402" s="152"/>
      <c r="R402" s="152"/>
      <c r="S402" s="152"/>
      <c r="T402" s="152"/>
      <c r="U402" s="152"/>
      <c r="V402" s="152"/>
      <c r="W402" s="152"/>
    </row>
    <row r="403">
      <c r="A403" s="152"/>
      <c r="B403" s="152"/>
      <c r="C403" s="152"/>
      <c r="D403" s="152"/>
      <c r="E403" s="152"/>
      <c r="F403" s="152"/>
      <c r="G403" s="152"/>
      <c r="H403" s="152"/>
      <c r="I403" s="152"/>
      <c r="J403" s="152"/>
      <c r="K403" s="248"/>
      <c r="L403" s="248"/>
      <c r="M403" s="152"/>
      <c r="N403" s="152"/>
      <c r="O403" s="152"/>
      <c r="P403" s="152"/>
      <c r="Q403" s="152"/>
      <c r="R403" s="152"/>
      <c r="S403" s="152"/>
      <c r="T403" s="152"/>
      <c r="U403" s="152"/>
      <c r="V403" s="152"/>
      <c r="W403" s="152"/>
    </row>
    <row r="404">
      <c r="A404" s="152"/>
      <c r="B404" s="152"/>
      <c r="C404" s="152"/>
      <c r="D404" s="152"/>
      <c r="E404" s="152"/>
      <c r="F404" s="152"/>
      <c r="G404" s="152"/>
      <c r="H404" s="152"/>
      <c r="I404" s="152"/>
      <c r="J404" s="152"/>
      <c r="K404" s="248"/>
      <c r="L404" s="248"/>
      <c r="M404" s="152"/>
      <c r="N404" s="152"/>
      <c r="O404" s="152"/>
      <c r="P404" s="152"/>
      <c r="Q404" s="152"/>
      <c r="R404" s="152"/>
      <c r="S404" s="152"/>
      <c r="T404" s="152"/>
      <c r="U404" s="152"/>
      <c r="V404" s="152"/>
      <c r="W404" s="152"/>
    </row>
    <row r="405">
      <c r="A405" s="152"/>
      <c r="B405" s="152"/>
      <c r="C405" s="152"/>
      <c r="D405" s="152"/>
      <c r="E405" s="152"/>
      <c r="F405" s="152"/>
      <c r="G405" s="152"/>
      <c r="H405" s="152"/>
      <c r="I405" s="152"/>
      <c r="J405" s="152"/>
      <c r="K405" s="248"/>
      <c r="L405" s="248"/>
      <c r="M405" s="152"/>
      <c r="N405" s="152"/>
      <c r="O405" s="152"/>
      <c r="P405" s="152"/>
      <c r="Q405" s="152"/>
      <c r="R405" s="152"/>
      <c r="S405" s="152"/>
      <c r="T405" s="152"/>
      <c r="U405" s="152"/>
      <c r="V405" s="152"/>
      <c r="W405" s="152"/>
    </row>
    <row r="406">
      <c r="A406" s="152"/>
      <c r="B406" s="152"/>
      <c r="C406" s="152"/>
      <c r="D406" s="152"/>
      <c r="E406" s="152"/>
      <c r="F406" s="152"/>
      <c r="G406" s="152"/>
      <c r="H406" s="152"/>
      <c r="I406" s="152"/>
      <c r="J406" s="152"/>
      <c r="K406" s="248"/>
      <c r="L406" s="248"/>
      <c r="M406" s="152"/>
      <c r="N406" s="152"/>
      <c r="O406" s="152"/>
      <c r="P406" s="152"/>
      <c r="Q406" s="152"/>
      <c r="R406" s="152"/>
      <c r="S406" s="152"/>
      <c r="T406" s="152"/>
      <c r="U406" s="152"/>
      <c r="V406" s="152"/>
      <c r="W406" s="152"/>
    </row>
    <row r="407">
      <c r="A407" s="152"/>
      <c r="B407" s="152"/>
      <c r="C407" s="152"/>
      <c r="D407" s="152"/>
      <c r="E407" s="152"/>
      <c r="F407" s="152"/>
      <c r="G407" s="152"/>
      <c r="H407" s="152"/>
      <c r="I407" s="152"/>
      <c r="J407" s="152"/>
      <c r="K407" s="248"/>
      <c r="L407" s="248"/>
      <c r="M407" s="152"/>
      <c r="N407" s="152"/>
      <c r="O407" s="152"/>
      <c r="P407" s="152"/>
      <c r="Q407" s="152"/>
      <c r="R407" s="152"/>
      <c r="S407" s="152"/>
      <c r="T407" s="152"/>
      <c r="U407" s="152"/>
      <c r="V407" s="152"/>
      <c r="W407" s="152"/>
    </row>
    <row r="408">
      <c r="A408" s="152"/>
      <c r="B408" s="152"/>
      <c r="C408" s="152"/>
      <c r="D408" s="152"/>
      <c r="E408" s="152"/>
      <c r="F408" s="152"/>
      <c r="G408" s="152"/>
      <c r="H408" s="152"/>
      <c r="I408" s="152"/>
      <c r="J408" s="152"/>
      <c r="K408" s="248"/>
      <c r="L408" s="248"/>
      <c r="M408" s="152"/>
      <c r="N408" s="152"/>
      <c r="O408" s="152"/>
      <c r="P408" s="152"/>
      <c r="Q408" s="152"/>
      <c r="R408" s="152"/>
      <c r="S408" s="152"/>
      <c r="T408" s="152"/>
      <c r="U408" s="152"/>
      <c r="V408" s="152"/>
      <c r="W408" s="152"/>
    </row>
    <row r="409">
      <c r="A409" s="152"/>
      <c r="B409" s="152"/>
      <c r="C409" s="152"/>
      <c r="D409" s="152"/>
      <c r="E409" s="152"/>
      <c r="F409" s="152"/>
      <c r="G409" s="152"/>
      <c r="H409" s="152"/>
      <c r="I409" s="152"/>
      <c r="J409" s="152"/>
      <c r="K409" s="248"/>
      <c r="L409" s="248"/>
      <c r="M409" s="152"/>
      <c r="N409" s="152"/>
      <c r="O409" s="152"/>
      <c r="P409" s="152"/>
      <c r="Q409" s="152"/>
      <c r="R409" s="152"/>
      <c r="S409" s="152"/>
      <c r="T409" s="152"/>
      <c r="U409" s="152"/>
      <c r="V409" s="152"/>
      <c r="W409" s="152"/>
    </row>
    <row r="410">
      <c r="A410" s="152"/>
      <c r="B410" s="152"/>
      <c r="C410" s="152"/>
      <c r="D410" s="152"/>
      <c r="E410" s="152"/>
      <c r="F410" s="152"/>
      <c r="G410" s="152"/>
      <c r="H410" s="152"/>
      <c r="I410" s="152"/>
      <c r="J410" s="152"/>
      <c r="K410" s="248"/>
      <c r="L410" s="248"/>
      <c r="M410" s="152"/>
      <c r="N410" s="152"/>
      <c r="O410" s="152"/>
      <c r="P410" s="152"/>
      <c r="Q410" s="152"/>
      <c r="R410" s="152"/>
      <c r="S410" s="152"/>
      <c r="T410" s="152"/>
      <c r="U410" s="152"/>
      <c r="V410" s="152"/>
      <c r="W410" s="152"/>
    </row>
    <row r="411">
      <c r="A411" s="152"/>
      <c r="B411" s="152"/>
      <c r="C411" s="152"/>
      <c r="D411" s="152"/>
      <c r="E411" s="152"/>
      <c r="F411" s="152"/>
      <c r="G411" s="152"/>
      <c r="H411" s="152"/>
      <c r="I411" s="152"/>
      <c r="J411" s="152"/>
      <c r="K411" s="248"/>
      <c r="L411" s="248"/>
      <c r="M411" s="152"/>
      <c r="N411" s="152"/>
      <c r="O411" s="152"/>
      <c r="P411" s="152"/>
      <c r="Q411" s="152"/>
      <c r="R411" s="152"/>
      <c r="S411" s="152"/>
      <c r="T411" s="152"/>
      <c r="U411" s="152"/>
      <c r="V411" s="152"/>
      <c r="W411" s="152"/>
    </row>
    <row r="412">
      <c r="A412" s="152"/>
      <c r="B412" s="152"/>
      <c r="C412" s="152"/>
      <c r="D412" s="152"/>
      <c r="E412" s="152"/>
      <c r="F412" s="152"/>
      <c r="G412" s="152"/>
      <c r="H412" s="152"/>
      <c r="I412" s="152"/>
      <c r="J412" s="152"/>
      <c r="K412" s="248"/>
      <c r="L412" s="248"/>
      <c r="M412" s="152"/>
      <c r="N412" s="152"/>
      <c r="O412" s="152"/>
      <c r="P412" s="152"/>
      <c r="Q412" s="152"/>
      <c r="R412" s="152"/>
      <c r="S412" s="152"/>
      <c r="T412" s="152"/>
      <c r="U412" s="152"/>
      <c r="V412" s="152"/>
      <c r="W412" s="152"/>
    </row>
    <row r="413">
      <c r="A413" s="152"/>
      <c r="B413" s="152"/>
      <c r="C413" s="152"/>
      <c r="D413" s="152"/>
      <c r="E413" s="152"/>
      <c r="F413" s="152"/>
      <c r="G413" s="152"/>
      <c r="H413" s="152"/>
      <c r="I413" s="152"/>
      <c r="J413" s="152"/>
      <c r="K413" s="248"/>
      <c r="L413" s="248"/>
      <c r="M413" s="152"/>
      <c r="N413" s="152"/>
      <c r="O413" s="152"/>
      <c r="P413" s="152"/>
      <c r="Q413" s="152"/>
      <c r="R413" s="152"/>
      <c r="S413" s="152"/>
      <c r="T413" s="152"/>
      <c r="U413" s="152"/>
      <c r="V413" s="152"/>
      <c r="W413" s="152"/>
    </row>
    <row r="414">
      <c r="A414" s="152"/>
      <c r="B414" s="152"/>
      <c r="C414" s="152"/>
      <c r="D414" s="152"/>
      <c r="E414" s="152"/>
      <c r="F414" s="152"/>
      <c r="G414" s="152"/>
      <c r="H414" s="152"/>
      <c r="I414" s="152"/>
      <c r="J414" s="152"/>
      <c r="K414" s="248"/>
      <c r="L414" s="248"/>
      <c r="M414" s="152"/>
      <c r="N414" s="152"/>
      <c r="O414" s="152"/>
      <c r="P414" s="152"/>
      <c r="Q414" s="152"/>
      <c r="R414" s="152"/>
      <c r="S414" s="152"/>
      <c r="T414" s="152"/>
      <c r="U414" s="152"/>
      <c r="V414" s="152"/>
      <c r="W414" s="152"/>
    </row>
    <row r="415">
      <c r="A415" s="152"/>
      <c r="B415" s="152"/>
      <c r="C415" s="152"/>
      <c r="D415" s="152"/>
      <c r="E415" s="152"/>
      <c r="F415" s="152"/>
      <c r="G415" s="152"/>
      <c r="H415" s="152"/>
      <c r="I415" s="152"/>
      <c r="J415" s="152"/>
      <c r="K415" s="248"/>
      <c r="L415" s="248"/>
      <c r="M415" s="152"/>
      <c r="N415" s="152"/>
      <c r="O415" s="152"/>
      <c r="P415" s="152"/>
      <c r="Q415" s="152"/>
      <c r="R415" s="152"/>
      <c r="S415" s="152"/>
      <c r="T415" s="152"/>
      <c r="U415" s="152"/>
      <c r="V415" s="152"/>
      <c r="W415" s="152"/>
    </row>
    <row r="416">
      <c r="A416" s="152"/>
      <c r="B416" s="152"/>
      <c r="C416" s="152"/>
      <c r="D416" s="152"/>
      <c r="E416" s="152"/>
      <c r="F416" s="152"/>
      <c r="G416" s="152"/>
      <c r="H416" s="152"/>
      <c r="I416" s="152"/>
      <c r="J416" s="152"/>
      <c r="K416" s="248"/>
      <c r="L416" s="248"/>
      <c r="M416" s="152"/>
      <c r="N416" s="152"/>
      <c r="O416" s="152"/>
      <c r="P416" s="152"/>
      <c r="Q416" s="152"/>
      <c r="R416" s="152"/>
      <c r="S416" s="152"/>
      <c r="T416" s="152"/>
      <c r="U416" s="152"/>
      <c r="V416" s="152"/>
      <c r="W416" s="152"/>
    </row>
    <row r="417">
      <c r="A417" s="152"/>
      <c r="B417" s="152"/>
      <c r="C417" s="152"/>
      <c r="D417" s="152"/>
      <c r="E417" s="152"/>
      <c r="F417" s="152"/>
      <c r="G417" s="152"/>
      <c r="H417" s="152"/>
      <c r="I417" s="152"/>
      <c r="J417" s="152"/>
      <c r="K417" s="248"/>
      <c r="L417" s="248"/>
      <c r="M417" s="152"/>
      <c r="N417" s="152"/>
      <c r="O417" s="152"/>
      <c r="P417" s="152"/>
      <c r="Q417" s="152"/>
      <c r="R417" s="152"/>
      <c r="S417" s="152"/>
      <c r="T417" s="152"/>
      <c r="U417" s="152"/>
      <c r="V417" s="152"/>
      <c r="W417" s="152"/>
    </row>
    <row r="418">
      <c r="A418" s="152"/>
      <c r="B418" s="152"/>
      <c r="C418" s="152"/>
      <c r="D418" s="152"/>
      <c r="E418" s="152"/>
      <c r="F418" s="152"/>
      <c r="G418" s="152"/>
      <c r="H418" s="152"/>
      <c r="I418" s="152"/>
      <c r="J418" s="152"/>
      <c r="K418" s="248"/>
      <c r="L418" s="248"/>
      <c r="M418" s="152"/>
      <c r="N418" s="152"/>
      <c r="O418" s="152"/>
      <c r="P418" s="152"/>
      <c r="Q418" s="152"/>
      <c r="R418" s="152"/>
      <c r="S418" s="152"/>
      <c r="T418" s="152"/>
      <c r="U418" s="152"/>
      <c r="V418" s="152"/>
      <c r="W418" s="152"/>
    </row>
    <row r="419">
      <c r="A419" s="152"/>
      <c r="B419" s="152"/>
      <c r="C419" s="152"/>
      <c r="D419" s="152"/>
      <c r="E419" s="152"/>
      <c r="F419" s="152"/>
      <c r="G419" s="152"/>
      <c r="H419" s="152"/>
      <c r="I419" s="152"/>
      <c r="J419" s="152"/>
      <c r="K419" s="248"/>
      <c r="L419" s="248"/>
      <c r="M419" s="152"/>
      <c r="N419" s="152"/>
      <c r="O419" s="152"/>
      <c r="P419" s="152"/>
      <c r="Q419" s="152"/>
      <c r="R419" s="152"/>
      <c r="S419" s="152"/>
      <c r="T419" s="152"/>
      <c r="U419" s="152"/>
      <c r="V419" s="152"/>
      <c r="W419" s="152"/>
    </row>
    <row r="420">
      <c r="A420" s="152"/>
      <c r="B420" s="152"/>
      <c r="C420" s="152"/>
      <c r="D420" s="152"/>
      <c r="E420" s="152"/>
      <c r="F420" s="152"/>
      <c r="G420" s="152"/>
      <c r="H420" s="152"/>
      <c r="I420" s="152"/>
      <c r="J420" s="152"/>
      <c r="K420" s="248"/>
      <c r="L420" s="248"/>
      <c r="M420" s="152"/>
      <c r="N420" s="152"/>
      <c r="O420" s="152"/>
      <c r="P420" s="152"/>
      <c r="Q420" s="152"/>
      <c r="R420" s="152"/>
      <c r="S420" s="152"/>
      <c r="T420" s="152"/>
      <c r="U420" s="152"/>
      <c r="V420" s="152"/>
      <c r="W420" s="152"/>
    </row>
    <row r="421">
      <c r="A421" s="152"/>
      <c r="B421" s="152"/>
      <c r="C421" s="152"/>
      <c r="D421" s="152"/>
      <c r="E421" s="152"/>
      <c r="F421" s="152"/>
      <c r="G421" s="152"/>
      <c r="H421" s="152"/>
      <c r="I421" s="152"/>
      <c r="J421" s="152"/>
      <c r="K421" s="248"/>
      <c r="L421" s="248"/>
      <c r="M421" s="152"/>
      <c r="N421" s="152"/>
      <c r="O421" s="152"/>
      <c r="P421" s="152"/>
      <c r="Q421" s="152"/>
      <c r="R421" s="152"/>
      <c r="S421" s="152"/>
      <c r="T421" s="152"/>
      <c r="U421" s="152"/>
      <c r="V421" s="152"/>
      <c r="W421" s="152"/>
    </row>
    <row r="422">
      <c r="A422" s="152"/>
      <c r="B422" s="152"/>
      <c r="C422" s="152"/>
      <c r="D422" s="152"/>
      <c r="E422" s="152"/>
      <c r="F422" s="152"/>
      <c r="G422" s="152"/>
      <c r="H422" s="152"/>
      <c r="I422" s="152"/>
      <c r="J422" s="152"/>
      <c r="K422" s="248"/>
      <c r="L422" s="248"/>
      <c r="M422" s="152"/>
      <c r="N422" s="152"/>
      <c r="O422" s="152"/>
      <c r="P422" s="152"/>
      <c r="Q422" s="152"/>
      <c r="R422" s="152"/>
      <c r="S422" s="152"/>
      <c r="T422" s="152"/>
      <c r="U422" s="152"/>
      <c r="V422" s="152"/>
      <c r="W422" s="152"/>
    </row>
    <row r="423">
      <c r="A423" s="152"/>
      <c r="B423" s="152"/>
      <c r="C423" s="152"/>
      <c r="D423" s="152"/>
      <c r="E423" s="152"/>
      <c r="F423" s="152"/>
      <c r="G423" s="152"/>
      <c r="H423" s="152"/>
      <c r="I423" s="152"/>
      <c r="J423" s="152"/>
      <c r="K423" s="248"/>
      <c r="L423" s="248"/>
      <c r="M423" s="152"/>
      <c r="N423" s="152"/>
      <c r="O423" s="152"/>
      <c r="P423" s="152"/>
      <c r="Q423" s="152"/>
      <c r="R423" s="152"/>
      <c r="S423" s="152"/>
      <c r="T423" s="152"/>
      <c r="U423" s="152"/>
      <c r="V423" s="152"/>
      <c r="W423" s="152"/>
    </row>
    <row r="424">
      <c r="A424" s="152"/>
      <c r="B424" s="152"/>
      <c r="C424" s="152"/>
      <c r="D424" s="152"/>
      <c r="E424" s="152"/>
      <c r="F424" s="152"/>
      <c r="G424" s="152"/>
      <c r="H424" s="152"/>
      <c r="I424" s="152"/>
      <c r="J424" s="152"/>
      <c r="K424" s="248"/>
      <c r="L424" s="248"/>
      <c r="M424" s="152"/>
      <c r="N424" s="152"/>
      <c r="O424" s="152"/>
      <c r="P424" s="152"/>
      <c r="Q424" s="152"/>
      <c r="R424" s="152"/>
      <c r="S424" s="152"/>
      <c r="T424" s="152"/>
      <c r="U424" s="152"/>
      <c r="V424" s="152"/>
      <c r="W424" s="152"/>
    </row>
    <row r="425">
      <c r="A425" s="152"/>
      <c r="B425" s="152"/>
      <c r="C425" s="152"/>
      <c r="D425" s="152"/>
      <c r="E425" s="152"/>
      <c r="F425" s="152"/>
      <c r="G425" s="152"/>
      <c r="H425" s="152"/>
      <c r="I425" s="152"/>
      <c r="J425" s="152"/>
      <c r="K425" s="248"/>
      <c r="L425" s="248"/>
      <c r="M425" s="152"/>
      <c r="N425" s="152"/>
      <c r="O425" s="152"/>
      <c r="P425" s="152"/>
      <c r="Q425" s="152"/>
      <c r="R425" s="152"/>
      <c r="S425" s="152"/>
      <c r="T425" s="152"/>
      <c r="U425" s="152"/>
      <c r="V425" s="152"/>
      <c r="W425" s="152"/>
    </row>
    <row r="426">
      <c r="A426" s="152"/>
      <c r="B426" s="152"/>
      <c r="C426" s="152"/>
      <c r="D426" s="152"/>
      <c r="E426" s="152"/>
      <c r="F426" s="152"/>
      <c r="G426" s="152"/>
      <c r="H426" s="152"/>
      <c r="I426" s="152"/>
      <c r="J426" s="152"/>
      <c r="K426" s="248"/>
      <c r="L426" s="248"/>
      <c r="M426" s="152"/>
      <c r="N426" s="152"/>
      <c r="O426" s="152"/>
      <c r="P426" s="152"/>
      <c r="Q426" s="152"/>
      <c r="R426" s="152"/>
      <c r="S426" s="152"/>
      <c r="T426" s="152"/>
      <c r="U426" s="152"/>
      <c r="V426" s="152"/>
      <c r="W426" s="152"/>
    </row>
    <row r="427">
      <c r="A427" s="152"/>
      <c r="B427" s="152"/>
      <c r="C427" s="152"/>
      <c r="D427" s="152"/>
      <c r="E427" s="152"/>
      <c r="F427" s="152"/>
      <c r="G427" s="152"/>
      <c r="H427" s="152"/>
      <c r="I427" s="152"/>
      <c r="J427" s="152"/>
      <c r="K427" s="248"/>
      <c r="L427" s="248"/>
      <c r="M427" s="152"/>
      <c r="N427" s="152"/>
      <c r="O427" s="152"/>
      <c r="P427" s="152"/>
      <c r="Q427" s="152"/>
      <c r="R427" s="152"/>
      <c r="S427" s="152"/>
      <c r="T427" s="152"/>
      <c r="U427" s="152"/>
      <c r="V427" s="152"/>
      <c r="W427" s="152"/>
    </row>
    <row r="428">
      <c r="A428" s="152"/>
      <c r="B428" s="152"/>
      <c r="C428" s="152"/>
      <c r="D428" s="152"/>
      <c r="E428" s="152"/>
      <c r="F428" s="152"/>
      <c r="G428" s="152"/>
      <c r="H428" s="152"/>
      <c r="I428" s="152"/>
      <c r="J428" s="152"/>
      <c r="K428" s="248"/>
      <c r="L428" s="248"/>
      <c r="M428" s="152"/>
      <c r="N428" s="152"/>
      <c r="O428" s="152"/>
      <c r="P428" s="152"/>
      <c r="Q428" s="152"/>
      <c r="R428" s="152"/>
      <c r="S428" s="152"/>
      <c r="T428" s="152"/>
      <c r="U428" s="152"/>
      <c r="V428" s="152"/>
      <c r="W428" s="152"/>
    </row>
    <row r="429">
      <c r="A429" s="152"/>
      <c r="B429" s="152"/>
      <c r="C429" s="152"/>
      <c r="D429" s="152"/>
      <c r="E429" s="152"/>
      <c r="F429" s="152"/>
      <c r="G429" s="152"/>
      <c r="H429" s="152"/>
      <c r="I429" s="152"/>
      <c r="J429" s="152"/>
      <c r="K429" s="248"/>
      <c r="L429" s="248"/>
      <c r="M429" s="152"/>
      <c r="N429" s="152"/>
      <c r="O429" s="152"/>
      <c r="P429" s="152"/>
      <c r="Q429" s="152"/>
      <c r="R429" s="152"/>
      <c r="S429" s="152"/>
      <c r="T429" s="152"/>
      <c r="U429" s="152"/>
      <c r="V429" s="152"/>
      <c r="W429" s="152"/>
    </row>
    <row r="430">
      <c r="A430" s="152"/>
      <c r="B430" s="152"/>
      <c r="C430" s="152"/>
      <c r="D430" s="152"/>
      <c r="E430" s="152"/>
      <c r="F430" s="152"/>
      <c r="G430" s="152"/>
      <c r="H430" s="152"/>
      <c r="I430" s="152"/>
      <c r="J430" s="152"/>
      <c r="K430" s="248"/>
      <c r="L430" s="248"/>
      <c r="M430" s="152"/>
      <c r="N430" s="152"/>
      <c r="O430" s="152"/>
      <c r="P430" s="152"/>
      <c r="Q430" s="152"/>
      <c r="R430" s="152"/>
      <c r="S430" s="152"/>
      <c r="T430" s="152"/>
      <c r="U430" s="152"/>
      <c r="V430" s="152"/>
      <c r="W430" s="152"/>
    </row>
    <row r="431">
      <c r="A431" s="152"/>
      <c r="B431" s="152"/>
      <c r="C431" s="152"/>
      <c r="D431" s="152"/>
      <c r="E431" s="152"/>
      <c r="F431" s="152"/>
      <c r="G431" s="152"/>
      <c r="H431" s="152"/>
      <c r="I431" s="152"/>
      <c r="J431" s="152"/>
      <c r="K431" s="248"/>
      <c r="L431" s="248"/>
      <c r="M431" s="152"/>
      <c r="N431" s="152"/>
      <c r="O431" s="152"/>
      <c r="P431" s="152"/>
      <c r="Q431" s="152"/>
      <c r="R431" s="152"/>
      <c r="S431" s="152"/>
      <c r="T431" s="152"/>
      <c r="U431" s="152"/>
      <c r="V431" s="152"/>
      <c r="W431" s="152"/>
    </row>
    <row r="432">
      <c r="A432" s="152"/>
      <c r="B432" s="152"/>
      <c r="C432" s="152"/>
      <c r="D432" s="152"/>
      <c r="E432" s="152"/>
      <c r="F432" s="152"/>
      <c r="G432" s="152"/>
      <c r="H432" s="152"/>
      <c r="I432" s="152"/>
      <c r="J432" s="152"/>
      <c r="K432" s="248"/>
      <c r="L432" s="248"/>
      <c r="M432" s="152"/>
      <c r="N432" s="152"/>
      <c r="O432" s="152"/>
      <c r="P432" s="152"/>
      <c r="Q432" s="152"/>
      <c r="R432" s="152"/>
      <c r="S432" s="152"/>
      <c r="T432" s="152"/>
      <c r="U432" s="152"/>
      <c r="V432" s="152"/>
      <c r="W432" s="152"/>
    </row>
    <row r="433">
      <c r="A433" s="152"/>
      <c r="B433" s="152"/>
      <c r="C433" s="152"/>
      <c r="D433" s="152"/>
      <c r="E433" s="152"/>
      <c r="F433" s="152"/>
      <c r="G433" s="152"/>
      <c r="H433" s="152"/>
      <c r="I433" s="152"/>
      <c r="J433" s="152"/>
      <c r="K433" s="248"/>
      <c r="L433" s="248"/>
      <c r="M433" s="152"/>
      <c r="N433" s="152"/>
      <c r="O433" s="152"/>
      <c r="P433" s="152"/>
      <c r="Q433" s="152"/>
      <c r="R433" s="152"/>
      <c r="S433" s="152"/>
      <c r="T433" s="152"/>
      <c r="U433" s="152"/>
      <c r="V433" s="152"/>
      <c r="W433" s="152"/>
    </row>
    <row r="434">
      <c r="A434" s="152"/>
      <c r="B434" s="152"/>
      <c r="C434" s="152"/>
      <c r="D434" s="152"/>
      <c r="E434" s="152"/>
      <c r="F434" s="152"/>
      <c r="G434" s="152"/>
      <c r="H434" s="152"/>
      <c r="I434" s="152"/>
      <c r="J434" s="152"/>
      <c r="K434" s="248"/>
      <c r="L434" s="248"/>
      <c r="M434" s="152"/>
      <c r="N434" s="152"/>
      <c r="O434" s="152"/>
      <c r="P434" s="152"/>
      <c r="Q434" s="152"/>
      <c r="R434" s="152"/>
      <c r="S434" s="152"/>
      <c r="T434" s="152"/>
      <c r="U434" s="152"/>
      <c r="V434" s="152"/>
      <c r="W434" s="152"/>
    </row>
    <row r="435">
      <c r="A435" s="152"/>
      <c r="B435" s="152"/>
      <c r="C435" s="152"/>
      <c r="D435" s="152"/>
      <c r="E435" s="152"/>
      <c r="F435" s="152"/>
      <c r="G435" s="152"/>
      <c r="H435" s="152"/>
      <c r="I435" s="152"/>
      <c r="J435" s="152"/>
      <c r="K435" s="248"/>
      <c r="L435" s="248"/>
      <c r="M435" s="152"/>
      <c r="N435" s="152"/>
      <c r="O435" s="152"/>
      <c r="P435" s="152"/>
      <c r="Q435" s="152"/>
      <c r="R435" s="152"/>
      <c r="S435" s="152"/>
      <c r="T435" s="152"/>
      <c r="U435" s="152"/>
      <c r="V435" s="152"/>
      <c r="W435" s="152"/>
    </row>
    <row r="436">
      <c r="A436" s="152"/>
      <c r="B436" s="152"/>
      <c r="C436" s="152"/>
      <c r="D436" s="152"/>
      <c r="E436" s="152"/>
      <c r="F436" s="152"/>
      <c r="G436" s="152"/>
      <c r="H436" s="152"/>
      <c r="I436" s="152"/>
      <c r="J436" s="152"/>
      <c r="K436" s="248"/>
      <c r="L436" s="248"/>
      <c r="M436" s="152"/>
      <c r="N436" s="152"/>
      <c r="O436" s="152"/>
      <c r="P436" s="152"/>
      <c r="Q436" s="152"/>
      <c r="R436" s="152"/>
      <c r="S436" s="152"/>
      <c r="T436" s="152"/>
      <c r="U436" s="152"/>
      <c r="V436" s="152"/>
      <c r="W436" s="152"/>
    </row>
    <row r="437">
      <c r="A437" s="152"/>
      <c r="B437" s="152"/>
      <c r="C437" s="152"/>
      <c r="D437" s="152"/>
      <c r="E437" s="152"/>
      <c r="F437" s="152"/>
      <c r="G437" s="152"/>
      <c r="H437" s="152"/>
      <c r="I437" s="152"/>
      <c r="J437" s="152"/>
      <c r="K437" s="248"/>
      <c r="L437" s="248"/>
      <c r="M437" s="152"/>
      <c r="N437" s="152"/>
      <c r="O437" s="152"/>
      <c r="P437" s="152"/>
      <c r="Q437" s="152"/>
      <c r="R437" s="152"/>
      <c r="S437" s="152"/>
      <c r="T437" s="152"/>
      <c r="U437" s="152"/>
      <c r="V437" s="152"/>
      <c r="W437" s="152"/>
    </row>
    <row r="438">
      <c r="A438" s="152"/>
      <c r="B438" s="152"/>
      <c r="C438" s="152"/>
      <c r="D438" s="152"/>
      <c r="E438" s="152"/>
      <c r="F438" s="152"/>
      <c r="G438" s="152"/>
      <c r="H438" s="152"/>
      <c r="I438" s="152"/>
      <c r="J438" s="152"/>
      <c r="K438" s="248"/>
      <c r="L438" s="248"/>
      <c r="M438" s="152"/>
      <c r="N438" s="152"/>
      <c r="O438" s="152"/>
      <c r="P438" s="152"/>
      <c r="Q438" s="152"/>
      <c r="R438" s="152"/>
      <c r="S438" s="152"/>
      <c r="T438" s="152"/>
      <c r="U438" s="152"/>
      <c r="V438" s="152"/>
      <c r="W438" s="152"/>
    </row>
    <row r="439">
      <c r="A439" s="152"/>
      <c r="B439" s="152"/>
      <c r="C439" s="152"/>
      <c r="D439" s="152"/>
      <c r="E439" s="152"/>
      <c r="F439" s="152"/>
      <c r="G439" s="152"/>
      <c r="H439" s="152"/>
      <c r="I439" s="152"/>
      <c r="J439" s="152"/>
      <c r="K439" s="248"/>
      <c r="L439" s="248"/>
      <c r="M439" s="152"/>
      <c r="N439" s="152"/>
      <c r="O439" s="152"/>
      <c r="P439" s="152"/>
      <c r="Q439" s="152"/>
      <c r="R439" s="152"/>
      <c r="S439" s="152"/>
      <c r="T439" s="152"/>
      <c r="U439" s="152"/>
      <c r="V439" s="152"/>
      <c r="W439" s="152"/>
    </row>
    <row r="440">
      <c r="A440" s="152"/>
      <c r="B440" s="152"/>
      <c r="C440" s="152"/>
      <c r="D440" s="152"/>
      <c r="E440" s="152"/>
      <c r="F440" s="152"/>
      <c r="G440" s="152"/>
      <c r="H440" s="152"/>
      <c r="I440" s="152"/>
      <c r="J440" s="152"/>
      <c r="K440" s="248"/>
      <c r="L440" s="248"/>
      <c r="M440" s="152"/>
      <c r="N440" s="152"/>
      <c r="O440" s="152"/>
      <c r="P440" s="152"/>
      <c r="Q440" s="152"/>
      <c r="R440" s="152"/>
      <c r="S440" s="152"/>
      <c r="T440" s="152"/>
      <c r="U440" s="152"/>
      <c r="V440" s="152"/>
      <c r="W440" s="152"/>
    </row>
    <row r="441">
      <c r="A441" s="152"/>
      <c r="B441" s="152"/>
      <c r="C441" s="152"/>
      <c r="D441" s="152"/>
      <c r="E441" s="152"/>
      <c r="F441" s="152"/>
      <c r="G441" s="152"/>
      <c r="H441" s="152"/>
      <c r="I441" s="152"/>
      <c r="J441" s="152"/>
      <c r="K441" s="248"/>
      <c r="L441" s="248"/>
      <c r="M441" s="152"/>
      <c r="N441" s="152"/>
      <c r="O441" s="152"/>
      <c r="P441" s="152"/>
      <c r="Q441" s="152"/>
      <c r="R441" s="152"/>
      <c r="S441" s="152"/>
      <c r="T441" s="152"/>
      <c r="U441" s="152"/>
      <c r="V441" s="152"/>
      <c r="W441" s="152"/>
    </row>
    <row r="442">
      <c r="A442" s="152"/>
      <c r="B442" s="152"/>
      <c r="C442" s="152"/>
      <c r="D442" s="152"/>
      <c r="E442" s="152"/>
      <c r="F442" s="152"/>
      <c r="G442" s="152"/>
      <c r="H442" s="152"/>
      <c r="I442" s="152"/>
      <c r="J442" s="152"/>
      <c r="K442" s="248"/>
      <c r="L442" s="248"/>
      <c r="M442" s="152"/>
      <c r="N442" s="152"/>
      <c r="O442" s="152"/>
      <c r="P442" s="152"/>
      <c r="Q442" s="152"/>
      <c r="R442" s="152"/>
      <c r="S442" s="152"/>
      <c r="T442" s="152"/>
      <c r="U442" s="152"/>
      <c r="V442" s="152"/>
      <c r="W442" s="152"/>
    </row>
    <row r="443">
      <c r="A443" s="152"/>
      <c r="B443" s="152"/>
      <c r="C443" s="152"/>
      <c r="D443" s="152"/>
      <c r="E443" s="152"/>
      <c r="F443" s="152"/>
      <c r="G443" s="152"/>
      <c r="H443" s="152"/>
      <c r="I443" s="152"/>
      <c r="J443" s="152"/>
      <c r="K443" s="248"/>
      <c r="L443" s="248"/>
      <c r="M443" s="152"/>
      <c r="N443" s="152"/>
      <c r="O443" s="152"/>
      <c r="P443" s="152"/>
      <c r="Q443" s="152"/>
      <c r="R443" s="152"/>
      <c r="S443" s="152"/>
      <c r="T443" s="152"/>
      <c r="U443" s="152"/>
      <c r="V443" s="152"/>
      <c r="W443" s="152"/>
    </row>
    <row r="444">
      <c r="A444" s="152"/>
      <c r="B444" s="152"/>
      <c r="C444" s="152"/>
      <c r="D444" s="152"/>
      <c r="E444" s="152"/>
      <c r="F444" s="152"/>
      <c r="G444" s="152"/>
      <c r="H444" s="152"/>
      <c r="I444" s="152"/>
      <c r="J444" s="152"/>
      <c r="K444" s="248"/>
      <c r="L444" s="248"/>
      <c r="M444" s="152"/>
      <c r="N444" s="152"/>
      <c r="O444" s="152"/>
      <c r="P444" s="152"/>
      <c r="Q444" s="152"/>
      <c r="R444" s="152"/>
      <c r="S444" s="152"/>
      <c r="T444" s="152"/>
      <c r="U444" s="152"/>
      <c r="V444" s="152"/>
      <c r="W444" s="152"/>
    </row>
    <row r="445">
      <c r="A445" s="152"/>
      <c r="B445" s="152"/>
      <c r="C445" s="152"/>
      <c r="D445" s="152"/>
      <c r="E445" s="152"/>
      <c r="F445" s="152"/>
      <c r="G445" s="152"/>
      <c r="H445" s="152"/>
      <c r="I445" s="152"/>
      <c r="J445" s="152"/>
      <c r="K445" s="248"/>
      <c r="L445" s="248"/>
      <c r="M445" s="152"/>
      <c r="N445" s="152"/>
      <c r="O445" s="152"/>
      <c r="P445" s="152"/>
      <c r="Q445" s="152"/>
      <c r="R445" s="152"/>
      <c r="S445" s="152"/>
      <c r="T445" s="152"/>
      <c r="U445" s="152"/>
      <c r="V445" s="152"/>
      <c r="W445" s="152"/>
    </row>
    <row r="446">
      <c r="A446" s="152"/>
      <c r="B446" s="152"/>
      <c r="C446" s="152"/>
      <c r="D446" s="152"/>
      <c r="E446" s="152"/>
      <c r="F446" s="152"/>
      <c r="G446" s="152"/>
      <c r="H446" s="152"/>
      <c r="I446" s="152"/>
      <c r="J446" s="152"/>
      <c r="K446" s="248"/>
      <c r="L446" s="248"/>
      <c r="M446" s="152"/>
      <c r="N446" s="152"/>
      <c r="O446" s="152"/>
      <c r="P446" s="152"/>
      <c r="Q446" s="152"/>
      <c r="R446" s="152"/>
      <c r="S446" s="152"/>
      <c r="T446" s="152"/>
      <c r="U446" s="152"/>
      <c r="V446" s="152"/>
      <c r="W446" s="152"/>
    </row>
    <row r="447">
      <c r="A447" s="152"/>
      <c r="B447" s="152"/>
      <c r="C447" s="152"/>
      <c r="D447" s="152"/>
      <c r="E447" s="152"/>
      <c r="F447" s="152"/>
      <c r="G447" s="152"/>
      <c r="H447" s="152"/>
      <c r="I447" s="152"/>
      <c r="J447" s="152"/>
      <c r="K447" s="248"/>
      <c r="L447" s="248"/>
      <c r="M447" s="152"/>
      <c r="N447" s="152"/>
      <c r="O447" s="152"/>
      <c r="P447" s="152"/>
      <c r="Q447" s="152"/>
      <c r="R447" s="152"/>
      <c r="S447" s="152"/>
      <c r="T447" s="152"/>
      <c r="U447" s="152"/>
      <c r="V447" s="152"/>
      <c r="W447" s="152"/>
    </row>
    <row r="448">
      <c r="A448" s="152"/>
      <c r="B448" s="152"/>
      <c r="C448" s="152"/>
      <c r="D448" s="152"/>
      <c r="E448" s="152"/>
      <c r="F448" s="152"/>
      <c r="G448" s="152"/>
      <c r="H448" s="152"/>
      <c r="I448" s="152"/>
      <c r="J448" s="152"/>
      <c r="K448" s="248"/>
      <c r="L448" s="248"/>
      <c r="M448" s="152"/>
      <c r="N448" s="152"/>
      <c r="O448" s="152"/>
      <c r="P448" s="152"/>
      <c r="Q448" s="152"/>
      <c r="R448" s="152"/>
      <c r="S448" s="152"/>
      <c r="T448" s="152"/>
      <c r="U448" s="152"/>
      <c r="V448" s="152"/>
      <c r="W448" s="152"/>
    </row>
    <row r="449">
      <c r="A449" s="152"/>
      <c r="B449" s="152"/>
      <c r="C449" s="152"/>
      <c r="D449" s="152"/>
      <c r="E449" s="152"/>
      <c r="F449" s="152"/>
      <c r="G449" s="152"/>
      <c r="H449" s="152"/>
      <c r="I449" s="152"/>
      <c r="J449" s="152"/>
      <c r="K449" s="248"/>
      <c r="L449" s="248"/>
      <c r="M449" s="152"/>
      <c r="N449" s="152"/>
      <c r="O449" s="152"/>
      <c r="P449" s="152"/>
      <c r="Q449" s="152"/>
      <c r="R449" s="152"/>
      <c r="S449" s="152"/>
      <c r="T449" s="152"/>
      <c r="U449" s="152"/>
      <c r="V449" s="152"/>
      <c r="W449" s="152"/>
    </row>
    <row r="450">
      <c r="A450" s="152"/>
      <c r="B450" s="152"/>
      <c r="C450" s="152"/>
      <c r="D450" s="152"/>
      <c r="E450" s="152"/>
      <c r="F450" s="152"/>
      <c r="G450" s="152"/>
      <c r="H450" s="152"/>
      <c r="I450" s="152"/>
      <c r="J450" s="152"/>
      <c r="K450" s="248"/>
      <c r="L450" s="248"/>
      <c r="M450" s="152"/>
      <c r="N450" s="152"/>
      <c r="O450" s="152"/>
      <c r="P450" s="152"/>
      <c r="Q450" s="152"/>
      <c r="R450" s="152"/>
      <c r="S450" s="152"/>
      <c r="T450" s="152"/>
      <c r="U450" s="152"/>
      <c r="V450" s="152"/>
      <c r="W450" s="152"/>
    </row>
    <row r="451">
      <c r="A451" s="152"/>
      <c r="B451" s="152"/>
      <c r="C451" s="152"/>
      <c r="D451" s="152"/>
      <c r="E451" s="152"/>
      <c r="F451" s="152"/>
      <c r="G451" s="152"/>
      <c r="H451" s="152"/>
      <c r="I451" s="152"/>
      <c r="J451" s="152"/>
      <c r="K451" s="248"/>
      <c r="L451" s="248"/>
      <c r="M451" s="152"/>
      <c r="N451" s="152"/>
      <c r="O451" s="152"/>
      <c r="P451" s="152"/>
      <c r="Q451" s="152"/>
      <c r="R451" s="152"/>
      <c r="S451" s="152"/>
      <c r="T451" s="152"/>
      <c r="U451" s="152"/>
      <c r="V451" s="152"/>
      <c r="W451" s="152"/>
    </row>
    <row r="452">
      <c r="A452" s="152"/>
      <c r="B452" s="152"/>
      <c r="C452" s="152"/>
      <c r="D452" s="152"/>
      <c r="E452" s="152"/>
      <c r="F452" s="152"/>
      <c r="G452" s="152"/>
      <c r="H452" s="152"/>
      <c r="I452" s="152"/>
      <c r="J452" s="152"/>
      <c r="K452" s="248"/>
      <c r="L452" s="248"/>
      <c r="M452" s="152"/>
      <c r="N452" s="152"/>
      <c r="O452" s="152"/>
      <c r="P452" s="152"/>
      <c r="Q452" s="152"/>
      <c r="R452" s="152"/>
      <c r="S452" s="152"/>
      <c r="T452" s="152"/>
      <c r="U452" s="152"/>
      <c r="V452" s="152"/>
      <c r="W452" s="152"/>
    </row>
    <row r="453">
      <c r="A453" s="152"/>
      <c r="B453" s="152"/>
      <c r="C453" s="152"/>
      <c r="D453" s="152"/>
      <c r="E453" s="152"/>
      <c r="F453" s="152"/>
      <c r="G453" s="152"/>
      <c r="H453" s="152"/>
      <c r="I453" s="152"/>
      <c r="J453" s="152"/>
      <c r="K453" s="248"/>
      <c r="L453" s="248"/>
      <c r="M453" s="152"/>
      <c r="N453" s="152"/>
      <c r="O453" s="152"/>
      <c r="P453" s="152"/>
      <c r="Q453" s="152"/>
      <c r="R453" s="152"/>
      <c r="S453" s="152"/>
      <c r="T453" s="152"/>
      <c r="U453" s="152"/>
      <c r="V453" s="152"/>
      <c r="W453" s="152"/>
    </row>
    <row r="454">
      <c r="A454" s="152"/>
      <c r="B454" s="152"/>
      <c r="C454" s="152"/>
      <c r="D454" s="152"/>
      <c r="E454" s="152"/>
      <c r="F454" s="152"/>
      <c r="G454" s="152"/>
      <c r="H454" s="152"/>
      <c r="I454" s="152"/>
      <c r="J454" s="152"/>
      <c r="K454" s="248"/>
      <c r="L454" s="248"/>
      <c r="M454" s="152"/>
      <c r="N454" s="152"/>
      <c r="O454" s="152"/>
      <c r="P454" s="152"/>
      <c r="Q454" s="152"/>
      <c r="R454" s="152"/>
      <c r="S454" s="152"/>
      <c r="T454" s="152"/>
      <c r="U454" s="152"/>
      <c r="V454" s="152"/>
      <c r="W454" s="152"/>
    </row>
    <row r="455">
      <c r="A455" s="152"/>
      <c r="B455" s="152"/>
      <c r="C455" s="152"/>
      <c r="D455" s="152"/>
      <c r="E455" s="152"/>
      <c r="F455" s="152"/>
      <c r="G455" s="152"/>
      <c r="H455" s="152"/>
      <c r="I455" s="152"/>
      <c r="J455" s="152"/>
      <c r="K455" s="248"/>
      <c r="L455" s="248"/>
      <c r="M455" s="152"/>
      <c r="N455" s="152"/>
      <c r="O455" s="152"/>
      <c r="P455" s="152"/>
      <c r="Q455" s="152"/>
      <c r="R455" s="152"/>
      <c r="S455" s="152"/>
      <c r="T455" s="152"/>
      <c r="U455" s="152"/>
      <c r="V455" s="152"/>
      <c r="W455" s="152"/>
    </row>
    <row r="456">
      <c r="A456" s="152"/>
      <c r="B456" s="152"/>
      <c r="C456" s="152"/>
      <c r="D456" s="152"/>
      <c r="E456" s="152"/>
      <c r="F456" s="152"/>
      <c r="G456" s="152"/>
      <c r="H456" s="152"/>
      <c r="I456" s="152"/>
      <c r="J456" s="152"/>
      <c r="K456" s="248"/>
      <c r="L456" s="248"/>
      <c r="M456" s="152"/>
      <c r="N456" s="152"/>
      <c r="O456" s="152"/>
      <c r="P456" s="152"/>
      <c r="Q456" s="152"/>
      <c r="R456" s="152"/>
      <c r="S456" s="152"/>
      <c r="T456" s="152"/>
      <c r="U456" s="152"/>
      <c r="V456" s="152"/>
      <c r="W456" s="152"/>
    </row>
    <row r="457">
      <c r="A457" s="152"/>
      <c r="B457" s="152"/>
      <c r="C457" s="152"/>
      <c r="D457" s="152"/>
      <c r="E457" s="152"/>
      <c r="F457" s="152"/>
      <c r="G457" s="152"/>
      <c r="H457" s="152"/>
      <c r="I457" s="152"/>
      <c r="J457" s="152"/>
      <c r="K457" s="248"/>
      <c r="L457" s="248"/>
      <c r="M457" s="152"/>
      <c r="N457" s="152"/>
      <c r="O457" s="152"/>
      <c r="P457" s="152"/>
      <c r="Q457" s="152"/>
      <c r="R457" s="152"/>
      <c r="S457" s="152"/>
      <c r="T457" s="152"/>
      <c r="U457" s="152"/>
      <c r="V457" s="152"/>
      <c r="W457" s="152"/>
    </row>
    <row r="458">
      <c r="A458" s="152"/>
      <c r="B458" s="152"/>
      <c r="C458" s="152"/>
      <c r="D458" s="152"/>
      <c r="E458" s="152"/>
      <c r="F458" s="152"/>
      <c r="G458" s="152"/>
      <c r="H458" s="152"/>
      <c r="I458" s="152"/>
      <c r="J458" s="152"/>
      <c r="K458" s="248"/>
      <c r="L458" s="248"/>
      <c r="M458" s="152"/>
      <c r="N458" s="152"/>
      <c r="O458" s="152"/>
      <c r="P458" s="152"/>
      <c r="Q458" s="152"/>
      <c r="R458" s="152"/>
      <c r="S458" s="152"/>
      <c r="T458" s="152"/>
      <c r="U458" s="152"/>
      <c r="V458" s="152"/>
      <c r="W458" s="152"/>
    </row>
    <row r="459">
      <c r="A459" s="152"/>
      <c r="B459" s="152"/>
      <c r="C459" s="152"/>
      <c r="D459" s="152"/>
      <c r="E459" s="152"/>
      <c r="F459" s="152"/>
      <c r="G459" s="152"/>
      <c r="H459" s="152"/>
      <c r="I459" s="152"/>
      <c r="J459" s="152"/>
      <c r="K459" s="248"/>
      <c r="L459" s="248"/>
      <c r="M459" s="152"/>
      <c r="N459" s="152"/>
      <c r="O459" s="152"/>
      <c r="P459" s="152"/>
      <c r="Q459" s="152"/>
      <c r="R459" s="152"/>
      <c r="S459" s="152"/>
      <c r="T459" s="152"/>
      <c r="U459" s="152"/>
      <c r="V459" s="152"/>
      <c r="W459" s="152"/>
    </row>
    <row r="460">
      <c r="A460" s="152"/>
      <c r="B460" s="152"/>
      <c r="C460" s="152"/>
      <c r="D460" s="152"/>
      <c r="E460" s="152"/>
      <c r="F460" s="152"/>
      <c r="G460" s="152"/>
      <c r="H460" s="152"/>
      <c r="I460" s="152"/>
      <c r="J460" s="152"/>
      <c r="K460" s="248"/>
      <c r="L460" s="248"/>
      <c r="M460" s="152"/>
      <c r="N460" s="152"/>
      <c r="O460" s="152"/>
      <c r="P460" s="152"/>
      <c r="Q460" s="152"/>
      <c r="R460" s="152"/>
      <c r="S460" s="152"/>
      <c r="T460" s="152"/>
      <c r="U460" s="152"/>
      <c r="V460" s="152"/>
      <c r="W460" s="152"/>
    </row>
    <row r="461">
      <c r="A461" s="152"/>
      <c r="B461" s="152"/>
      <c r="C461" s="152"/>
      <c r="D461" s="152"/>
      <c r="E461" s="152"/>
      <c r="F461" s="152"/>
      <c r="G461" s="152"/>
      <c r="H461" s="152"/>
      <c r="I461" s="152"/>
      <c r="J461" s="152"/>
      <c r="K461" s="248"/>
      <c r="L461" s="248"/>
      <c r="M461" s="152"/>
      <c r="N461" s="152"/>
      <c r="O461" s="152"/>
      <c r="P461" s="152"/>
      <c r="Q461" s="152"/>
      <c r="R461" s="152"/>
      <c r="S461" s="152"/>
      <c r="T461" s="152"/>
      <c r="U461" s="152"/>
      <c r="V461" s="152"/>
      <c r="W461" s="152"/>
    </row>
    <row r="462">
      <c r="A462" s="152"/>
      <c r="B462" s="152"/>
      <c r="C462" s="152"/>
      <c r="D462" s="152"/>
      <c r="E462" s="152"/>
      <c r="F462" s="152"/>
      <c r="G462" s="152"/>
      <c r="H462" s="152"/>
      <c r="I462" s="152"/>
      <c r="J462" s="152"/>
      <c r="K462" s="248"/>
      <c r="L462" s="248"/>
      <c r="M462" s="152"/>
      <c r="N462" s="152"/>
      <c r="O462" s="152"/>
      <c r="P462" s="152"/>
      <c r="Q462" s="152"/>
      <c r="R462" s="152"/>
      <c r="S462" s="152"/>
      <c r="T462" s="152"/>
      <c r="U462" s="152"/>
      <c r="V462" s="152"/>
      <c r="W462" s="152"/>
    </row>
    <row r="463">
      <c r="A463" s="152"/>
      <c r="B463" s="152"/>
      <c r="C463" s="152"/>
      <c r="D463" s="152"/>
      <c r="E463" s="152"/>
      <c r="F463" s="152"/>
      <c r="G463" s="152"/>
      <c r="H463" s="152"/>
      <c r="I463" s="152"/>
      <c r="J463" s="152"/>
      <c r="K463" s="248"/>
      <c r="L463" s="248"/>
      <c r="M463" s="152"/>
      <c r="N463" s="152"/>
      <c r="O463" s="152"/>
      <c r="P463" s="152"/>
      <c r="Q463" s="152"/>
      <c r="R463" s="152"/>
      <c r="S463" s="152"/>
      <c r="T463" s="152"/>
      <c r="U463" s="152"/>
      <c r="V463" s="152"/>
      <c r="W463" s="152"/>
    </row>
    <row r="464">
      <c r="A464" s="152"/>
      <c r="B464" s="152"/>
      <c r="C464" s="152"/>
      <c r="D464" s="152"/>
      <c r="E464" s="152"/>
      <c r="F464" s="152"/>
      <c r="G464" s="152"/>
      <c r="H464" s="152"/>
      <c r="I464" s="152"/>
      <c r="J464" s="152"/>
      <c r="K464" s="248"/>
      <c r="L464" s="248"/>
      <c r="M464" s="152"/>
      <c r="N464" s="152"/>
      <c r="O464" s="152"/>
      <c r="P464" s="152"/>
      <c r="Q464" s="152"/>
      <c r="R464" s="152"/>
      <c r="S464" s="152"/>
      <c r="T464" s="152"/>
      <c r="U464" s="152"/>
      <c r="V464" s="152"/>
      <c r="W464" s="152"/>
    </row>
    <row r="465">
      <c r="A465" s="152"/>
      <c r="B465" s="152"/>
      <c r="C465" s="152"/>
      <c r="D465" s="152"/>
      <c r="E465" s="152"/>
      <c r="F465" s="152"/>
      <c r="G465" s="152"/>
      <c r="H465" s="152"/>
      <c r="I465" s="152"/>
      <c r="J465" s="152"/>
      <c r="K465" s="248"/>
      <c r="L465" s="248"/>
      <c r="M465" s="152"/>
      <c r="N465" s="152"/>
      <c r="O465" s="152"/>
      <c r="P465" s="152"/>
      <c r="Q465" s="152"/>
      <c r="R465" s="152"/>
      <c r="S465" s="152"/>
      <c r="T465" s="152"/>
      <c r="U465" s="152"/>
      <c r="V465" s="152"/>
      <c r="W465" s="152"/>
    </row>
    <row r="466">
      <c r="A466" s="152"/>
      <c r="B466" s="152"/>
      <c r="C466" s="152"/>
      <c r="D466" s="152"/>
      <c r="E466" s="152"/>
      <c r="F466" s="152"/>
      <c r="G466" s="152"/>
      <c r="H466" s="152"/>
      <c r="I466" s="152"/>
      <c r="J466" s="152"/>
      <c r="K466" s="248"/>
      <c r="L466" s="248"/>
      <c r="M466" s="152"/>
      <c r="N466" s="152"/>
      <c r="O466" s="152"/>
      <c r="P466" s="152"/>
      <c r="Q466" s="152"/>
      <c r="R466" s="152"/>
      <c r="S466" s="152"/>
      <c r="T466" s="152"/>
      <c r="U466" s="152"/>
      <c r="V466" s="152"/>
      <c r="W466" s="152"/>
    </row>
    <row r="467">
      <c r="A467" s="152"/>
      <c r="B467" s="152"/>
      <c r="C467" s="152"/>
      <c r="D467" s="152"/>
      <c r="E467" s="152"/>
      <c r="F467" s="152"/>
      <c r="G467" s="152"/>
      <c r="H467" s="152"/>
      <c r="I467" s="152"/>
      <c r="J467" s="152"/>
      <c r="K467" s="248"/>
      <c r="L467" s="248"/>
      <c r="M467" s="152"/>
      <c r="N467" s="152"/>
      <c r="O467" s="152"/>
      <c r="P467" s="152"/>
      <c r="Q467" s="152"/>
      <c r="R467" s="152"/>
      <c r="S467" s="152"/>
      <c r="T467" s="152"/>
      <c r="U467" s="152"/>
      <c r="V467" s="152"/>
      <c r="W467" s="152"/>
    </row>
    <row r="468">
      <c r="A468" s="152"/>
      <c r="B468" s="152"/>
      <c r="C468" s="152"/>
      <c r="D468" s="152"/>
      <c r="E468" s="152"/>
      <c r="F468" s="152"/>
      <c r="G468" s="152"/>
      <c r="H468" s="152"/>
      <c r="I468" s="152"/>
      <c r="J468" s="152"/>
      <c r="K468" s="248"/>
      <c r="L468" s="248"/>
      <c r="M468" s="152"/>
      <c r="N468" s="152"/>
      <c r="O468" s="152"/>
      <c r="P468" s="152"/>
      <c r="Q468" s="152"/>
      <c r="R468" s="152"/>
      <c r="S468" s="152"/>
      <c r="T468" s="152"/>
      <c r="U468" s="152"/>
      <c r="V468" s="152"/>
      <c r="W468" s="152"/>
    </row>
    <row r="469">
      <c r="A469" s="152"/>
      <c r="B469" s="152"/>
      <c r="C469" s="152"/>
      <c r="D469" s="152"/>
      <c r="E469" s="152"/>
      <c r="F469" s="152"/>
      <c r="G469" s="152"/>
      <c r="H469" s="152"/>
      <c r="I469" s="152"/>
      <c r="J469" s="152"/>
      <c r="K469" s="248"/>
      <c r="L469" s="248"/>
      <c r="M469" s="152"/>
      <c r="N469" s="152"/>
      <c r="O469" s="152"/>
      <c r="P469" s="152"/>
      <c r="Q469" s="152"/>
      <c r="R469" s="152"/>
      <c r="S469" s="152"/>
      <c r="T469" s="152"/>
      <c r="U469" s="152"/>
      <c r="V469" s="152"/>
      <c r="W469" s="152"/>
    </row>
    <row r="470">
      <c r="A470" s="152"/>
      <c r="B470" s="152"/>
      <c r="C470" s="152"/>
      <c r="D470" s="152"/>
      <c r="E470" s="152"/>
      <c r="F470" s="152"/>
      <c r="G470" s="152"/>
      <c r="H470" s="152"/>
      <c r="I470" s="152"/>
      <c r="J470" s="152"/>
      <c r="K470" s="248"/>
      <c r="L470" s="248"/>
      <c r="M470" s="152"/>
      <c r="N470" s="152"/>
      <c r="O470" s="152"/>
      <c r="P470" s="152"/>
      <c r="Q470" s="152"/>
      <c r="R470" s="152"/>
      <c r="S470" s="152"/>
      <c r="T470" s="152"/>
      <c r="U470" s="152"/>
      <c r="V470" s="152"/>
      <c r="W470" s="152"/>
    </row>
    <row r="471">
      <c r="A471" s="152"/>
      <c r="B471" s="152"/>
      <c r="C471" s="152"/>
      <c r="D471" s="152"/>
      <c r="E471" s="152"/>
      <c r="F471" s="152"/>
      <c r="G471" s="152"/>
      <c r="H471" s="152"/>
      <c r="I471" s="152"/>
      <c r="J471" s="152"/>
      <c r="K471" s="248"/>
      <c r="L471" s="248"/>
      <c r="M471" s="152"/>
      <c r="N471" s="152"/>
      <c r="O471" s="152"/>
      <c r="P471" s="152"/>
      <c r="Q471" s="152"/>
      <c r="R471" s="152"/>
      <c r="S471" s="152"/>
      <c r="T471" s="152"/>
      <c r="U471" s="152"/>
      <c r="V471" s="152"/>
      <c r="W471" s="152"/>
    </row>
    <row r="472">
      <c r="A472" s="152"/>
      <c r="B472" s="152"/>
      <c r="C472" s="152"/>
      <c r="D472" s="152"/>
      <c r="E472" s="152"/>
      <c r="F472" s="152"/>
      <c r="G472" s="152"/>
      <c r="H472" s="152"/>
      <c r="I472" s="152"/>
      <c r="J472" s="152"/>
      <c r="K472" s="248"/>
      <c r="L472" s="248"/>
      <c r="M472" s="152"/>
      <c r="N472" s="152"/>
      <c r="O472" s="152"/>
      <c r="P472" s="152"/>
      <c r="Q472" s="152"/>
      <c r="R472" s="152"/>
      <c r="S472" s="152"/>
      <c r="T472" s="152"/>
      <c r="U472" s="152"/>
      <c r="V472" s="152"/>
      <c r="W472" s="152"/>
    </row>
    <row r="473">
      <c r="A473" s="152"/>
      <c r="B473" s="152"/>
      <c r="C473" s="152"/>
      <c r="D473" s="152"/>
      <c r="E473" s="152"/>
      <c r="F473" s="152"/>
      <c r="G473" s="152"/>
      <c r="H473" s="152"/>
      <c r="I473" s="152"/>
      <c r="J473" s="152"/>
      <c r="K473" s="248"/>
      <c r="L473" s="248"/>
      <c r="M473" s="152"/>
      <c r="N473" s="152"/>
      <c r="O473" s="152"/>
      <c r="P473" s="152"/>
      <c r="Q473" s="152"/>
      <c r="R473" s="152"/>
      <c r="S473" s="152"/>
      <c r="T473" s="152"/>
      <c r="U473" s="152"/>
      <c r="V473" s="152"/>
      <c r="W473" s="152"/>
    </row>
    <row r="474">
      <c r="A474" s="152"/>
      <c r="B474" s="152"/>
      <c r="C474" s="152"/>
      <c r="D474" s="152"/>
      <c r="E474" s="152"/>
      <c r="F474" s="152"/>
      <c r="G474" s="152"/>
      <c r="H474" s="152"/>
      <c r="I474" s="152"/>
      <c r="J474" s="152"/>
      <c r="K474" s="248"/>
      <c r="L474" s="248"/>
      <c r="M474" s="152"/>
      <c r="N474" s="152"/>
      <c r="O474" s="152"/>
      <c r="P474" s="152"/>
      <c r="Q474" s="152"/>
      <c r="R474" s="152"/>
      <c r="S474" s="152"/>
      <c r="T474" s="152"/>
      <c r="U474" s="152"/>
      <c r="V474" s="152"/>
      <c r="W474" s="152"/>
    </row>
    <row r="475">
      <c r="A475" s="152"/>
      <c r="B475" s="152"/>
      <c r="C475" s="152"/>
      <c r="D475" s="152"/>
      <c r="E475" s="152"/>
      <c r="F475" s="152"/>
      <c r="G475" s="152"/>
      <c r="H475" s="152"/>
      <c r="I475" s="152"/>
      <c r="J475" s="152"/>
      <c r="K475" s="248"/>
      <c r="L475" s="248"/>
      <c r="M475" s="152"/>
      <c r="N475" s="152"/>
      <c r="O475" s="152"/>
      <c r="P475" s="152"/>
      <c r="Q475" s="152"/>
      <c r="R475" s="152"/>
      <c r="S475" s="152"/>
      <c r="T475" s="152"/>
      <c r="U475" s="152"/>
      <c r="V475" s="152"/>
      <c r="W475" s="152"/>
    </row>
    <row r="476">
      <c r="A476" s="152"/>
      <c r="B476" s="152"/>
      <c r="C476" s="152"/>
      <c r="D476" s="152"/>
      <c r="E476" s="152"/>
      <c r="F476" s="152"/>
      <c r="G476" s="152"/>
      <c r="H476" s="152"/>
      <c r="I476" s="152"/>
      <c r="J476" s="152"/>
      <c r="K476" s="248"/>
      <c r="L476" s="248"/>
      <c r="M476" s="152"/>
      <c r="N476" s="152"/>
      <c r="O476" s="152"/>
      <c r="P476" s="152"/>
      <c r="Q476" s="152"/>
      <c r="R476" s="152"/>
      <c r="S476" s="152"/>
      <c r="T476" s="152"/>
      <c r="U476" s="152"/>
      <c r="V476" s="152"/>
      <c r="W476" s="152"/>
    </row>
    <row r="477">
      <c r="A477" s="152"/>
      <c r="B477" s="152"/>
      <c r="C477" s="152"/>
      <c r="D477" s="152"/>
      <c r="E477" s="152"/>
      <c r="F477" s="152"/>
      <c r="G477" s="152"/>
      <c r="H477" s="152"/>
      <c r="I477" s="152"/>
      <c r="J477" s="152"/>
      <c r="K477" s="248"/>
      <c r="L477" s="248"/>
      <c r="M477" s="152"/>
      <c r="N477" s="152"/>
      <c r="O477" s="152"/>
      <c r="P477" s="152"/>
      <c r="Q477" s="152"/>
      <c r="R477" s="152"/>
      <c r="S477" s="152"/>
      <c r="T477" s="152"/>
      <c r="U477" s="152"/>
      <c r="V477" s="152"/>
      <c r="W477" s="152"/>
    </row>
    <row r="478">
      <c r="A478" s="152"/>
      <c r="B478" s="152"/>
      <c r="C478" s="152"/>
      <c r="D478" s="152"/>
      <c r="E478" s="152"/>
      <c r="F478" s="152"/>
      <c r="G478" s="152"/>
      <c r="H478" s="152"/>
      <c r="I478" s="152"/>
      <c r="J478" s="152"/>
      <c r="K478" s="248"/>
      <c r="L478" s="248"/>
      <c r="M478" s="152"/>
      <c r="N478" s="152"/>
      <c r="O478" s="152"/>
      <c r="P478" s="152"/>
      <c r="Q478" s="152"/>
      <c r="R478" s="152"/>
      <c r="S478" s="152"/>
      <c r="T478" s="152"/>
      <c r="U478" s="152"/>
      <c r="V478" s="152"/>
      <c r="W478" s="152"/>
    </row>
    <row r="479">
      <c r="A479" s="152"/>
      <c r="B479" s="152"/>
      <c r="C479" s="152"/>
      <c r="D479" s="152"/>
      <c r="E479" s="152"/>
      <c r="F479" s="152"/>
      <c r="G479" s="152"/>
      <c r="H479" s="152"/>
      <c r="I479" s="152"/>
      <c r="J479" s="152"/>
      <c r="K479" s="248"/>
      <c r="L479" s="248"/>
      <c r="M479" s="152"/>
      <c r="N479" s="152"/>
      <c r="O479" s="152"/>
      <c r="P479" s="152"/>
      <c r="Q479" s="152"/>
      <c r="R479" s="152"/>
      <c r="S479" s="152"/>
      <c r="T479" s="152"/>
      <c r="U479" s="152"/>
      <c r="V479" s="152"/>
      <c r="W479" s="152"/>
    </row>
    <row r="480">
      <c r="A480" s="152"/>
      <c r="B480" s="152"/>
      <c r="C480" s="152"/>
      <c r="D480" s="152"/>
      <c r="E480" s="152"/>
      <c r="F480" s="152"/>
      <c r="G480" s="152"/>
      <c r="H480" s="152"/>
      <c r="I480" s="152"/>
      <c r="J480" s="152"/>
      <c r="K480" s="248"/>
      <c r="L480" s="248"/>
      <c r="M480" s="152"/>
      <c r="N480" s="152"/>
      <c r="O480" s="152"/>
      <c r="P480" s="152"/>
      <c r="Q480" s="152"/>
      <c r="R480" s="152"/>
      <c r="S480" s="152"/>
      <c r="T480" s="152"/>
      <c r="U480" s="152"/>
      <c r="V480" s="152"/>
      <c r="W480" s="152"/>
    </row>
    <row r="481">
      <c r="A481" s="152"/>
      <c r="B481" s="152"/>
      <c r="C481" s="152"/>
      <c r="D481" s="152"/>
      <c r="E481" s="152"/>
      <c r="F481" s="152"/>
      <c r="G481" s="152"/>
      <c r="H481" s="152"/>
      <c r="I481" s="152"/>
      <c r="J481" s="152"/>
      <c r="K481" s="248"/>
      <c r="L481" s="248"/>
      <c r="M481" s="152"/>
      <c r="N481" s="152"/>
      <c r="O481" s="152"/>
      <c r="P481" s="152"/>
      <c r="Q481" s="152"/>
      <c r="R481" s="152"/>
      <c r="S481" s="152"/>
      <c r="T481" s="152"/>
      <c r="U481" s="152"/>
      <c r="V481" s="152"/>
      <c r="W481" s="152"/>
    </row>
    <row r="482">
      <c r="A482" s="152"/>
      <c r="B482" s="152"/>
      <c r="C482" s="152"/>
      <c r="D482" s="152"/>
      <c r="E482" s="152"/>
      <c r="F482" s="152"/>
      <c r="G482" s="152"/>
      <c r="H482" s="152"/>
      <c r="I482" s="152"/>
      <c r="J482" s="152"/>
      <c r="K482" s="248"/>
      <c r="L482" s="248"/>
      <c r="M482" s="152"/>
      <c r="N482" s="152"/>
      <c r="O482" s="152"/>
      <c r="P482" s="152"/>
      <c r="Q482" s="152"/>
      <c r="R482" s="152"/>
      <c r="S482" s="152"/>
      <c r="T482" s="152"/>
      <c r="U482" s="152"/>
      <c r="V482" s="152"/>
      <c r="W482" s="152"/>
    </row>
    <row r="483">
      <c r="A483" s="152"/>
      <c r="B483" s="152"/>
      <c r="C483" s="152"/>
      <c r="D483" s="152"/>
      <c r="E483" s="152"/>
      <c r="F483" s="152"/>
      <c r="G483" s="152"/>
      <c r="H483" s="152"/>
      <c r="I483" s="152"/>
      <c r="J483" s="152"/>
      <c r="K483" s="248"/>
      <c r="L483" s="248"/>
      <c r="M483" s="152"/>
      <c r="N483" s="152"/>
      <c r="O483" s="152"/>
      <c r="P483" s="152"/>
      <c r="Q483" s="152"/>
      <c r="R483" s="152"/>
      <c r="S483" s="152"/>
      <c r="T483" s="152"/>
      <c r="U483" s="152"/>
      <c r="V483" s="152"/>
      <c r="W483" s="152"/>
    </row>
    <row r="484">
      <c r="A484" s="152"/>
      <c r="B484" s="152"/>
      <c r="C484" s="152"/>
      <c r="D484" s="152"/>
      <c r="E484" s="152"/>
      <c r="F484" s="152"/>
      <c r="G484" s="152"/>
      <c r="H484" s="152"/>
      <c r="I484" s="152"/>
      <c r="J484" s="152"/>
      <c r="K484" s="248"/>
      <c r="L484" s="248"/>
      <c r="M484" s="152"/>
      <c r="N484" s="152"/>
      <c r="O484" s="152"/>
      <c r="P484" s="152"/>
      <c r="Q484" s="152"/>
      <c r="R484" s="152"/>
      <c r="S484" s="152"/>
      <c r="T484" s="152"/>
      <c r="U484" s="152"/>
      <c r="V484" s="152"/>
      <c r="W484" s="152"/>
    </row>
    <row r="485">
      <c r="A485" s="152"/>
      <c r="B485" s="152"/>
      <c r="C485" s="152"/>
      <c r="D485" s="152"/>
      <c r="E485" s="152"/>
      <c r="F485" s="152"/>
      <c r="G485" s="152"/>
      <c r="H485" s="152"/>
      <c r="I485" s="152"/>
      <c r="J485" s="152"/>
      <c r="K485" s="248"/>
      <c r="L485" s="248"/>
      <c r="M485" s="152"/>
      <c r="N485" s="152"/>
      <c r="O485" s="152"/>
      <c r="P485" s="152"/>
      <c r="Q485" s="152"/>
      <c r="R485" s="152"/>
      <c r="S485" s="152"/>
      <c r="T485" s="152"/>
      <c r="U485" s="152"/>
      <c r="V485" s="152"/>
      <c r="W485" s="152"/>
    </row>
    <row r="486">
      <c r="A486" s="152"/>
      <c r="B486" s="152"/>
      <c r="C486" s="152"/>
      <c r="D486" s="152"/>
      <c r="E486" s="152"/>
      <c r="F486" s="152"/>
      <c r="G486" s="152"/>
      <c r="H486" s="152"/>
      <c r="I486" s="152"/>
      <c r="J486" s="152"/>
      <c r="K486" s="248"/>
      <c r="L486" s="248"/>
      <c r="M486" s="152"/>
      <c r="N486" s="152"/>
      <c r="O486" s="152"/>
      <c r="P486" s="152"/>
      <c r="Q486" s="152"/>
      <c r="R486" s="152"/>
      <c r="S486" s="152"/>
      <c r="T486" s="152"/>
      <c r="U486" s="152"/>
      <c r="V486" s="152"/>
      <c r="W486" s="152"/>
    </row>
    <row r="487">
      <c r="A487" s="152"/>
      <c r="B487" s="152"/>
      <c r="C487" s="152"/>
      <c r="D487" s="152"/>
      <c r="E487" s="152"/>
      <c r="F487" s="152"/>
      <c r="G487" s="152"/>
      <c r="H487" s="152"/>
      <c r="I487" s="152"/>
      <c r="J487" s="152"/>
      <c r="K487" s="248"/>
      <c r="L487" s="248"/>
      <c r="M487" s="152"/>
      <c r="N487" s="152"/>
      <c r="O487" s="152"/>
      <c r="P487" s="152"/>
      <c r="Q487" s="152"/>
      <c r="R487" s="152"/>
      <c r="S487" s="152"/>
      <c r="T487" s="152"/>
      <c r="U487" s="152"/>
      <c r="V487" s="152"/>
      <c r="W487" s="152"/>
    </row>
    <row r="488">
      <c r="A488" s="152"/>
      <c r="B488" s="152"/>
      <c r="C488" s="152"/>
      <c r="D488" s="152"/>
      <c r="E488" s="152"/>
      <c r="F488" s="152"/>
      <c r="G488" s="152"/>
      <c r="H488" s="152"/>
      <c r="I488" s="152"/>
      <c r="J488" s="152"/>
      <c r="K488" s="248"/>
      <c r="L488" s="248"/>
      <c r="M488" s="152"/>
      <c r="N488" s="152"/>
      <c r="O488" s="152"/>
      <c r="P488" s="152"/>
      <c r="Q488" s="152"/>
      <c r="R488" s="152"/>
      <c r="S488" s="152"/>
      <c r="T488" s="152"/>
      <c r="U488" s="152"/>
      <c r="V488" s="152"/>
      <c r="W488" s="152"/>
    </row>
    <row r="489">
      <c r="A489" s="152"/>
      <c r="B489" s="152"/>
      <c r="C489" s="152"/>
      <c r="D489" s="152"/>
      <c r="E489" s="152"/>
      <c r="F489" s="152"/>
      <c r="G489" s="152"/>
      <c r="H489" s="152"/>
      <c r="I489" s="152"/>
      <c r="J489" s="152"/>
      <c r="K489" s="248"/>
      <c r="L489" s="248"/>
      <c r="M489" s="152"/>
      <c r="N489" s="152"/>
      <c r="O489" s="152"/>
      <c r="P489" s="152"/>
      <c r="Q489" s="152"/>
      <c r="R489" s="152"/>
      <c r="S489" s="152"/>
      <c r="T489" s="152"/>
      <c r="U489" s="152"/>
      <c r="V489" s="152"/>
      <c r="W489" s="152"/>
    </row>
    <row r="490">
      <c r="A490" s="152"/>
      <c r="B490" s="152"/>
      <c r="C490" s="152"/>
      <c r="D490" s="152"/>
      <c r="E490" s="152"/>
      <c r="F490" s="152"/>
      <c r="G490" s="152"/>
      <c r="H490" s="152"/>
      <c r="I490" s="152"/>
      <c r="J490" s="152"/>
      <c r="K490" s="248"/>
      <c r="L490" s="248"/>
      <c r="M490" s="152"/>
      <c r="N490" s="152"/>
      <c r="O490" s="152"/>
      <c r="P490" s="152"/>
      <c r="Q490" s="152"/>
      <c r="R490" s="152"/>
      <c r="S490" s="152"/>
      <c r="T490" s="152"/>
      <c r="U490" s="152"/>
      <c r="V490" s="152"/>
      <c r="W490" s="152"/>
    </row>
    <row r="491">
      <c r="A491" s="152"/>
      <c r="B491" s="152"/>
      <c r="C491" s="152"/>
      <c r="D491" s="152"/>
      <c r="E491" s="152"/>
      <c r="F491" s="152"/>
      <c r="G491" s="152"/>
      <c r="H491" s="152"/>
      <c r="I491" s="152"/>
      <c r="J491" s="152"/>
      <c r="K491" s="248"/>
      <c r="L491" s="248"/>
      <c r="M491" s="152"/>
      <c r="N491" s="152"/>
      <c r="O491" s="152"/>
      <c r="P491" s="152"/>
      <c r="Q491" s="152"/>
      <c r="R491" s="152"/>
      <c r="S491" s="152"/>
      <c r="T491" s="152"/>
      <c r="U491" s="152"/>
      <c r="V491" s="152"/>
      <c r="W491" s="152"/>
    </row>
    <row r="492">
      <c r="A492" s="152"/>
      <c r="B492" s="152"/>
      <c r="C492" s="152"/>
      <c r="D492" s="152"/>
      <c r="E492" s="152"/>
      <c r="F492" s="152"/>
      <c r="G492" s="152"/>
      <c r="H492" s="152"/>
      <c r="I492" s="152"/>
      <c r="J492" s="152"/>
      <c r="K492" s="248"/>
      <c r="L492" s="248"/>
      <c r="M492" s="152"/>
      <c r="N492" s="152"/>
      <c r="O492" s="152"/>
      <c r="P492" s="152"/>
      <c r="Q492" s="152"/>
      <c r="R492" s="152"/>
      <c r="S492" s="152"/>
      <c r="T492" s="152"/>
      <c r="U492" s="152"/>
      <c r="V492" s="152"/>
      <c r="W492" s="152"/>
    </row>
    <row r="493">
      <c r="A493" s="152"/>
      <c r="B493" s="152"/>
      <c r="C493" s="152"/>
      <c r="D493" s="152"/>
      <c r="E493" s="152"/>
      <c r="F493" s="152"/>
      <c r="G493" s="152"/>
      <c r="H493" s="152"/>
      <c r="I493" s="152"/>
      <c r="J493" s="152"/>
      <c r="K493" s="248"/>
      <c r="L493" s="248"/>
      <c r="M493" s="152"/>
      <c r="N493" s="152"/>
      <c r="O493" s="152"/>
      <c r="P493" s="152"/>
      <c r="Q493" s="152"/>
      <c r="R493" s="152"/>
      <c r="S493" s="152"/>
      <c r="T493" s="152"/>
      <c r="U493" s="152"/>
      <c r="V493" s="152"/>
      <c r="W493" s="152"/>
    </row>
    <row r="494">
      <c r="A494" s="152"/>
      <c r="B494" s="152"/>
      <c r="C494" s="152"/>
      <c r="D494" s="152"/>
      <c r="E494" s="152"/>
      <c r="F494" s="152"/>
      <c r="G494" s="152"/>
      <c r="H494" s="152"/>
      <c r="I494" s="152"/>
      <c r="J494" s="152"/>
      <c r="K494" s="248"/>
      <c r="L494" s="248"/>
      <c r="M494" s="152"/>
      <c r="N494" s="152"/>
      <c r="O494" s="152"/>
      <c r="P494" s="152"/>
      <c r="Q494" s="152"/>
      <c r="R494" s="152"/>
      <c r="S494" s="152"/>
      <c r="T494" s="152"/>
      <c r="U494" s="152"/>
      <c r="V494" s="152"/>
      <c r="W494" s="152"/>
    </row>
    <row r="495">
      <c r="A495" s="152"/>
      <c r="B495" s="152"/>
      <c r="C495" s="152"/>
      <c r="D495" s="152"/>
      <c r="E495" s="152"/>
      <c r="F495" s="152"/>
      <c r="G495" s="152"/>
      <c r="H495" s="152"/>
      <c r="I495" s="152"/>
      <c r="J495" s="152"/>
      <c r="K495" s="248"/>
      <c r="L495" s="248"/>
      <c r="M495" s="152"/>
      <c r="N495" s="152"/>
      <c r="O495" s="152"/>
      <c r="P495" s="152"/>
      <c r="Q495" s="152"/>
      <c r="R495" s="152"/>
      <c r="S495" s="152"/>
      <c r="T495" s="152"/>
      <c r="U495" s="152"/>
      <c r="V495" s="152"/>
      <c r="W495" s="152"/>
    </row>
    <row r="496">
      <c r="A496" s="152"/>
      <c r="B496" s="152"/>
      <c r="C496" s="152"/>
      <c r="D496" s="152"/>
      <c r="E496" s="152"/>
      <c r="F496" s="152"/>
      <c r="G496" s="152"/>
      <c r="H496" s="152"/>
      <c r="I496" s="152"/>
      <c r="J496" s="152"/>
      <c r="K496" s="248"/>
      <c r="L496" s="248"/>
      <c r="M496" s="152"/>
      <c r="N496" s="152"/>
      <c r="O496" s="152"/>
      <c r="P496" s="152"/>
      <c r="Q496" s="152"/>
      <c r="R496" s="152"/>
      <c r="S496" s="152"/>
      <c r="T496" s="152"/>
      <c r="U496" s="152"/>
      <c r="V496" s="152"/>
      <c r="W496" s="152"/>
    </row>
    <row r="497">
      <c r="A497" s="152"/>
      <c r="B497" s="152"/>
      <c r="C497" s="152"/>
      <c r="D497" s="152"/>
      <c r="E497" s="152"/>
      <c r="F497" s="152"/>
      <c r="G497" s="152"/>
      <c r="H497" s="152"/>
      <c r="I497" s="152"/>
      <c r="J497" s="152"/>
      <c r="K497" s="248"/>
      <c r="L497" s="248"/>
      <c r="M497" s="152"/>
      <c r="N497" s="152"/>
      <c r="O497" s="152"/>
      <c r="P497" s="152"/>
      <c r="Q497" s="152"/>
      <c r="R497" s="152"/>
      <c r="S497" s="152"/>
      <c r="T497" s="152"/>
      <c r="U497" s="152"/>
      <c r="V497" s="152"/>
      <c r="W497" s="152"/>
    </row>
    <row r="498">
      <c r="A498" s="152"/>
      <c r="B498" s="152"/>
      <c r="C498" s="152"/>
      <c r="D498" s="152"/>
      <c r="E498" s="152"/>
      <c r="F498" s="152"/>
      <c r="G498" s="152"/>
      <c r="H498" s="152"/>
      <c r="I498" s="152"/>
      <c r="J498" s="152"/>
      <c r="K498" s="248"/>
      <c r="L498" s="248"/>
      <c r="M498" s="152"/>
      <c r="N498" s="152"/>
      <c r="O498" s="152"/>
      <c r="P498" s="152"/>
      <c r="Q498" s="152"/>
      <c r="R498" s="152"/>
      <c r="S498" s="152"/>
      <c r="T498" s="152"/>
      <c r="U498" s="152"/>
      <c r="V498" s="152"/>
      <c r="W498" s="152"/>
    </row>
    <row r="499">
      <c r="A499" s="152"/>
      <c r="B499" s="152"/>
      <c r="C499" s="152"/>
      <c r="D499" s="152"/>
      <c r="E499" s="152"/>
      <c r="F499" s="152"/>
      <c r="G499" s="152"/>
      <c r="H499" s="152"/>
      <c r="I499" s="152"/>
      <c r="J499" s="152"/>
      <c r="K499" s="248"/>
      <c r="L499" s="248"/>
      <c r="M499" s="152"/>
      <c r="N499" s="152"/>
      <c r="O499" s="152"/>
      <c r="P499" s="152"/>
      <c r="Q499" s="152"/>
      <c r="R499" s="152"/>
      <c r="S499" s="152"/>
      <c r="T499" s="152"/>
      <c r="U499" s="152"/>
      <c r="V499" s="152"/>
      <c r="W499" s="152"/>
    </row>
    <row r="500">
      <c r="A500" s="152"/>
      <c r="B500" s="152"/>
      <c r="C500" s="152"/>
      <c r="D500" s="152"/>
      <c r="E500" s="152"/>
      <c r="F500" s="152"/>
      <c r="G500" s="152"/>
      <c r="H500" s="152"/>
      <c r="I500" s="152"/>
      <c r="J500" s="152"/>
      <c r="K500" s="248"/>
      <c r="L500" s="248"/>
      <c r="M500" s="152"/>
      <c r="N500" s="152"/>
      <c r="O500" s="152"/>
      <c r="P500" s="152"/>
      <c r="Q500" s="152"/>
      <c r="R500" s="152"/>
      <c r="S500" s="152"/>
      <c r="T500" s="152"/>
      <c r="U500" s="152"/>
      <c r="V500" s="152"/>
      <c r="W500" s="152"/>
    </row>
    <row r="501">
      <c r="A501" s="152"/>
      <c r="B501" s="152"/>
      <c r="C501" s="152"/>
      <c r="D501" s="152"/>
      <c r="E501" s="152"/>
      <c r="F501" s="152"/>
      <c r="G501" s="152"/>
      <c r="H501" s="152"/>
      <c r="I501" s="152"/>
      <c r="J501" s="152"/>
      <c r="K501" s="248"/>
      <c r="L501" s="248"/>
      <c r="M501" s="152"/>
      <c r="N501" s="152"/>
      <c r="O501" s="152"/>
      <c r="P501" s="152"/>
      <c r="Q501" s="152"/>
      <c r="R501" s="152"/>
      <c r="S501" s="152"/>
      <c r="T501" s="152"/>
      <c r="U501" s="152"/>
      <c r="V501" s="152"/>
      <c r="W501" s="152"/>
    </row>
    <row r="502">
      <c r="A502" s="152"/>
      <c r="B502" s="152"/>
      <c r="C502" s="152"/>
      <c r="D502" s="152"/>
      <c r="E502" s="152"/>
      <c r="F502" s="152"/>
      <c r="G502" s="152"/>
      <c r="H502" s="152"/>
      <c r="I502" s="152"/>
      <c r="J502" s="152"/>
      <c r="K502" s="248"/>
      <c r="L502" s="248"/>
      <c r="M502" s="152"/>
      <c r="N502" s="152"/>
      <c r="O502" s="152"/>
      <c r="P502" s="152"/>
      <c r="Q502" s="152"/>
      <c r="R502" s="152"/>
      <c r="S502" s="152"/>
      <c r="T502" s="152"/>
      <c r="U502" s="152"/>
      <c r="V502" s="152"/>
      <c r="W502" s="152"/>
    </row>
    <row r="503">
      <c r="A503" s="152"/>
      <c r="B503" s="152"/>
      <c r="C503" s="152"/>
      <c r="D503" s="152"/>
      <c r="E503" s="152"/>
      <c r="F503" s="152"/>
      <c r="G503" s="152"/>
      <c r="H503" s="152"/>
      <c r="I503" s="152"/>
      <c r="J503" s="152"/>
      <c r="K503" s="248"/>
      <c r="L503" s="248"/>
      <c r="M503" s="152"/>
      <c r="N503" s="152"/>
      <c r="O503" s="152"/>
      <c r="P503" s="152"/>
      <c r="Q503" s="152"/>
      <c r="R503" s="152"/>
      <c r="S503" s="152"/>
      <c r="T503" s="152"/>
      <c r="U503" s="152"/>
      <c r="V503" s="152"/>
      <c r="W503" s="152"/>
    </row>
    <row r="504">
      <c r="A504" s="152"/>
      <c r="B504" s="152"/>
      <c r="C504" s="152"/>
      <c r="D504" s="152"/>
      <c r="E504" s="152"/>
      <c r="F504" s="152"/>
      <c r="G504" s="152"/>
      <c r="H504" s="152"/>
      <c r="I504" s="152"/>
      <c r="J504" s="152"/>
      <c r="K504" s="248"/>
      <c r="L504" s="248"/>
      <c r="M504" s="152"/>
      <c r="N504" s="152"/>
      <c r="O504" s="152"/>
      <c r="P504" s="152"/>
      <c r="Q504" s="152"/>
      <c r="R504" s="152"/>
      <c r="S504" s="152"/>
      <c r="T504" s="152"/>
      <c r="U504" s="152"/>
      <c r="V504" s="152"/>
      <c r="W504" s="152"/>
    </row>
    <row r="505">
      <c r="A505" s="152"/>
      <c r="B505" s="152"/>
      <c r="C505" s="152"/>
      <c r="D505" s="152"/>
      <c r="E505" s="152"/>
      <c r="F505" s="152"/>
      <c r="G505" s="152"/>
      <c r="H505" s="152"/>
      <c r="I505" s="152"/>
      <c r="J505" s="152"/>
      <c r="K505" s="248"/>
      <c r="L505" s="248"/>
      <c r="M505" s="152"/>
      <c r="N505" s="152"/>
      <c r="O505" s="152"/>
      <c r="P505" s="152"/>
      <c r="Q505" s="152"/>
      <c r="R505" s="152"/>
      <c r="S505" s="152"/>
      <c r="T505" s="152"/>
      <c r="U505" s="152"/>
      <c r="V505" s="152"/>
      <c r="W505" s="152"/>
    </row>
    <row r="506">
      <c r="A506" s="152"/>
      <c r="B506" s="152"/>
      <c r="C506" s="152"/>
      <c r="D506" s="152"/>
      <c r="E506" s="152"/>
      <c r="F506" s="152"/>
      <c r="G506" s="152"/>
      <c r="H506" s="152"/>
      <c r="I506" s="152"/>
      <c r="J506" s="152"/>
      <c r="K506" s="248"/>
      <c r="L506" s="248"/>
      <c r="M506" s="152"/>
      <c r="N506" s="152"/>
      <c r="O506" s="152"/>
      <c r="P506" s="152"/>
      <c r="Q506" s="152"/>
      <c r="R506" s="152"/>
      <c r="S506" s="152"/>
      <c r="T506" s="152"/>
      <c r="U506" s="152"/>
      <c r="V506" s="152"/>
      <c r="W506" s="152"/>
    </row>
    <row r="507">
      <c r="A507" s="152"/>
      <c r="B507" s="152"/>
      <c r="C507" s="152"/>
      <c r="D507" s="152"/>
      <c r="E507" s="152"/>
      <c r="F507" s="152"/>
      <c r="G507" s="152"/>
      <c r="H507" s="152"/>
      <c r="I507" s="152"/>
      <c r="J507" s="152"/>
      <c r="K507" s="248"/>
      <c r="L507" s="248"/>
      <c r="M507" s="152"/>
      <c r="N507" s="152"/>
      <c r="O507" s="152"/>
      <c r="P507" s="152"/>
      <c r="Q507" s="152"/>
      <c r="R507" s="152"/>
      <c r="S507" s="152"/>
      <c r="T507" s="152"/>
      <c r="U507" s="152"/>
      <c r="V507" s="152"/>
      <c r="W507" s="152"/>
    </row>
    <row r="508">
      <c r="A508" s="152"/>
      <c r="B508" s="152"/>
      <c r="C508" s="152"/>
      <c r="D508" s="152"/>
      <c r="E508" s="152"/>
      <c r="F508" s="152"/>
      <c r="G508" s="152"/>
      <c r="H508" s="152"/>
      <c r="I508" s="152"/>
      <c r="J508" s="152"/>
      <c r="K508" s="248"/>
      <c r="L508" s="248"/>
      <c r="M508" s="152"/>
      <c r="N508" s="152"/>
      <c r="O508" s="152"/>
      <c r="P508" s="152"/>
      <c r="Q508" s="152"/>
      <c r="R508" s="152"/>
      <c r="S508" s="152"/>
      <c r="T508" s="152"/>
      <c r="U508" s="152"/>
      <c r="V508" s="152"/>
      <c r="W508" s="152"/>
    </row>
    <row r="509">
      <c r="A509" s="152"/>
      <c r="B509" s="152"/>
      <c r="C509" s="152"/>
      <c r="D509" s="152"/>
      <c r="E509" s="152"/>
      <c r="F509" s="152"/>
      <c r="G509" s="152"/>
      <c r="H509" s="152"/>
      <c r="I509" s="152"/>
      <c r="J509" s="152"/>
      <c r="K509" s="248"/>
      <c r="L509" s="248"/>
      <c r="M509" s="152"/>
      <c r="N509" s="152"/>
      <c r="O509" s="152"/>
      <c r="P509" s="152"/>
      <c r="Q509" s="152"/>
      <c r="R509" s="152"/>
      <c r="S509" s="152"/>
      <c r="T509" s="152"/>
      <c r="U509" s="152"/>
      <c r="V509" s="152"/>
      <c r="W509" s="152"/>
    </row>
    <row r="510">
      <c r="A510" s="152"/>
      <c r="B510" s="152"/>
      <c r="C510" s="152"/>
      <c r="D510" s="152"/>
      <c r="E510" s="152"/>
      <c r="F510" s="152"/>
      <c r="G510" s="152"/>
      <c r="H510" s="152"/>
      <c r="I510" s="152"/>
      <c r="J510" s="152"/>
      <c r="K510" s="248"/>
      <c r="L510" s="248"/>
      <c r="M510" s="152"/>
      <c r="N510" s="152"/>
      <c r="O510" s="152"/>
      <c r="P510" s="152"/>
      <c r="Q510" s="152"/>
      <c r="R510" s="152"/>
      <c r="S510" s="152"/>
      <c r="T510" s="152"/>
      <c r="U510" s="152"/>
      <c r="V510" s="152"/>
      <c r="W510" s="152"/>
    </row>
    <row r="511">
      <c r="A511" s="152"/>
      <c r="B511" s="152"/>
      <c r="C511" s="152"/>
      <c r="D511" s="152"/>
      <c r="E511" s="152"/>
      <c r="F511" s="152"/>
      <c r="G511" s="152"/>
      <c r="H511" s="152"/>
      <c r="I511" s="152"/>
      <c r="J511" s="152"/>
      <c r="K511" s="248"/>
      <c r="L511" s="248"/>
      <c r="M511" s="152"/>
      <c r="N511" s="152"/>
      <c r="O511" s="152"/>
      <c r="P511" s="152"/>
      <c r="Q511" s="152"/>
      <c r="R511" s="152"/>
      <c r="S511" s="152"/>
      <c r="T511" s="152"/>
      <c r="U511" s="152"/>
      <c r="V511" s="152"/>
      <c r="W511" s="152"/>
    </row>
    <row r="512">
      <c r="A512" s="152"/>
      <c r="B512" s="152"/>
      <c r="C512" s="152"/>
      <c r="D512" s="152"/>
      <c r="E512" s="152"/>
      <c r="F512" s="152"/>
      <c r="G512" s="152"/>
      <c r="H512" s="152"/>
      <c r="I512" s="152"/>
      <c r="J512" s="152"/>
      <c r="K512" s="248"/>
      <c r="L512" s="248"/>
      <c r="M512" s="152"/>
      <c r="N512" s="152"/>
      <c r="O512" s="152"/>
      <c r="P512" s="152"/>
      <c r="Q512" s="152"/>
      <c r="R512" s="152"/>
      <c r="S512" s="152"/>
      <c r="T512" s="152"/>
      <c r="U512" s="152"/>
      <c r="V512" s="152"/>
      <c r="W512" s="152"/>
    </row>
    <row r="513">
      <c r="A513" s="152"/>
      <c r="B513" s="152"/>
      <c r="C513" s="152"/>
      <c r="D513" s="152"/>
      <c r="E513" s="152"/>
      <c r="F513" s="152"/>
      <c r="G513" s="152"/>
      <c r="H513" s="152"/>
      <c r="I513" s="152"/>
      <c r="J513" s="152"/>
      <c r="K513" s="248"/>
      <c r="L513" s="248"/>
      <c r="M513" s="152"/>
      <c r="N513" s="152"/>
      <c r="O513" s="152"/>
      <c r="P513" s="152"/>
      <c r="Q513" s="152"/>
      <c r="R513" s="152"/>
      <c r="S513" s="152"/>
      <c r="T513" s="152"/>
      <c r="U513" s="152"/>
      <c r="V513" s="152"/>
      <c r="W513" s="152"/>
    </row>
    <row r="514">
      <c r="A514" s="152"/>
      <c r="B514" s="152"/>
      <c r="C514" s="152"/>
      <c r="D514" s="152"/>
      <c r="E514" s="152"/>
      <c r="F514" s="152"/>
      <c r="G514" s="152"/>
      <c r="H514" s="152"/>
      <c r="I514" s="152"/>
      <c r="J514" s="152"/>
      <c r="K514" s="248"/>
      <c r="L514" s="248"/>
      <c r="M514" s="152"/>
      <c r="N514" s="152"/>
      <c r="O514" s="152"/>
      <c r="P514" s="152"/>
      <c r="Q514" s="152"/>
      <c r="R514" s="152"/>
      <c r="S514" s="152"/>
      <c r="T514" s="152"/>
      <c r="U514" s="152"/>
      <c r="V514" s="152"/>
      <c r="W514" s="152"/>
    </row>
    <row r="515">
      <c r="A515" s="152"/>
      <c r="B515" s="152"/>
      <c r="C515" s="152"/>
      <c r="D515" s="152"/>
      <c r="E515" s="152"/>
      <c r="F515" s="152"/>
      <c r="G515" s="152"/>
      <c r="H515" s="152"/>
      <c r="I515" s="152"/>
      <c r="J515" s="152"/>
      <c r="K515" s="248"/>
      <c r="L515" s="248"/>
      <c r="M515" s="152"/>
      <c r="N515" s="152"/>
      <c r="O515" s="152"/>
      <c r="P515" s="152"/>
      <c r="Q515" s="152"/>
      <c r="R515" s="152"/>
      <c r="S515" s="152"/>
      <c r="T515" s="152"/>
      <c r="U515" s="152"/>
      <c r="V515" s="152"/>
      <c r="W515" s="152"/>
    </row>
    <row r="516">
      <c r="A516" s="152"/>
      <c r="B516" s="152"/>
      <c r="C516" s="152"/>
      <c r="D516" s="152"/>
      <c r="E516" s="152"/>
      <c r="F516" s="152"/>
      <c r="G516" s="152"/>
      <c r="H516" s="152"/>
      <c r="I516" s="152"/>
      <c r="J516" s="152"/>
      <c r="K516" s="248"/>
      <c r="L516" s="248"/>
      <c r="M516" s="152"/>
      <c r="N516" s="152"/>
      <c r="O516" s="152"/>
      <c r="P516" s="152"/>
      <c r="Q516" s="152"/>
      <c r="R516" s="152"/>
      <c r="S516" s="152"/>
      <c r="T516" s="152"/>
      <c r="U516" s="152"/>
      <c r="V516" s="152"/>
      <c r="W516" s="152"/>
    </row>
    <row r="517">
      <c r="A517" s="152"/>
      <c r="B517" s="152"/>
      <c r="C517" s="152"/>
      <c r="D517" s="152"/>
      <c r="E517" s="152"/>
      <c r="F517" s="152"/>
      <c r="G517" s="152"/>
      <c r="H517" s="152"/>
      <c r="I517" s="152"/>
      <c r="J517" s="152"/>
      <c r="K517" s="248"/>
      <c r="L517" s="248"/>
      <c r="M517" s="152"/>
      <c r="N517" s="152"/>
      <c r="O517" s="152"/>
      <c r="P517" s="152"/>
      <c r="Q517" s="152"/>
      <c r="R517" s="152"/>
      <c r="S517" s="152"/>
      <c r="T517" s="152"/>
      <c r="U517" s="152"/>
      <c r="V517" s="152"/>
      <c r="W517" s="152"/>
    </row>
    <row r="518">
      <c r="A518" s="152"/>
      <c r="B518" s="152"/>
      <c r="C518" s="152"/>
      <c r="D518" s="152"/>
      <c r="E518" s="152"/>
      <c r="F518" s="152"/>
      <c r="G518" s="152"/>
      <c r="H518" s="152"/>
      <c r="I518" s="152"/>
      <c r="J518" s="152"/>
      <c r="K518" s="248"/>
      <c r="L518" s="248"/>
      <c r="M518" s="152"/>
      <c r="N518" s="152"/>
      <c r="O518" s="152"/>
      <c r="P518" s="152"/>
      <c r="Q518" s="152"/>
      <c r="R518" s="152"/>
      <c r="S518" s="152"/>
      <c r="T518" s="152"/>
      <c r="U518" s="152"/>
      <c r="V518" s="152"/>
      <c r="W518" s="152"/>
    </row>
    <row r="519">
      <c r="A519" s="152"/>
      <c r="B519" s="152"/>
      <c r="C519" s="152"/>
      <c r="D519" s="152"/>
      <c r="E519" s="152"/>
      <c r="F519" s="152"/>
      <c r="G519" s="152"/>
      <c r="H519" s="152"/>
      <c r="I519" s="152"/>
      <c r="J519" s="152"/>
      <c r="K519" s="248"/>
      <c r="L519" s="248"/>
      <c r="M519" s="152"/>
      <c r="N519" s="152"/>
      <c r="O519" s="152"/>
      <c r="P519" s="152"/>
      <c r="Q519" s="152"/>
      <c r="R519" s="152"/>
      <c r="S519" s="152"/>
      <c r="T519" s="152"/>
      <c r="U519" s="152"/>
      <c r="V519" s="152"/>
      <c r="W519" s="152"/>
    </row>
    <row r="520">
      <c r="A520" s="152"/>
      <c r="B520" s="152"/>
      <c r="C520" s="152"/>
      <c r="D520" s="152"/>
      <c r="E520" s="152"/>
      <c r="F520" s="152"/>
      <c r="G520" s="152"/>
      <c r="H520" s="152"/>
      <c r="I520" s="152"/>
      <c r="J520" s="152"/>
      <c r="K520" s="248"/>
      <c r="L520" s="248"/>
      <c r="M520" s="152"/>
      <c r="N520" s="152"/>
      <c r="O520" s="152"/>
      <c r="P520" s="152"/>
      <c r="Q520" s="152"/>
      <c r="R520" s="152"/>
      <c r="S520" s="152"/>
      <c r="T520" s="152"/>
      <c r="U520" s="152"/>
      <c r="V520" s="152"/>
      <c r="W520" s="152"/>
    </row>
    <row r="521">
      <c r="A521" s="152"/>
      <c r="B521" s="152"/>
      <c r="C521" s="152"/>
      <c r="D521" s="152"/>
      <c r="E521" s="152"/>
      <c r="F521" s="152"/>
      <c r="G521" s="152"/>
      <c r="H521" s="152"/>
      <c r="I521" s="152"/>
      <c r="J521" s="152"/>
      <c r="K521" s="248"/>
      <c r="L521" s="248"/>
      <c r="M521" s="152"/>
      <c r="N521" s="152"/>
      <c r="O521" s="152"/>
      <c r="P521" s="152"/>
      <c r="Q521" s="152"/>
      <c r="R521" s="152"/>
      <c r="S521" s="152"/>
      <c r="T521" s="152"/>
      <c r="U521" s="152"/>
      <c r="V521" s="152"/>
      <c r="W521" s="152"/>
    </row>
    <row r="522">
      <c r="A522" s="152"/>
      <c r="B522" s="152"/>
      <c r="C522" s="152"/>
      <c r="D522" s="152"/>
      <c r="E522" s="152"/>
      <c r="F522" s="152"/>
      <c r="G522" s="152"/>
      <c r="H522" s="152"/>
      <c r="I522" s="152"/>
      <c r="J522" s="152"/>
      <c r="K522" s="248"/>
      <c r="L522" s="248"/>
      <c r="M522" s="152"/>
      <c r="N522" s="152"/>
      <c r="O522" s="152"/>
      <c r="P522" s="152"/>
      <c r="Q522" s="152"/>
      <c r="R522" s="152"/>
      <c r="S522" s="152"/>
      <c r="T522" s="152"/>
      <c r="U522" s="152"/>
      <c r="V522" s="152"/>
      <c r="W522" s="152"/>
    </row>
    <row r="523">
      <c r="A523" s="152"/>
      <c r="B523" s="152"/>
      <c r="C523" s="152"/>
      <c r="D523" s="152"/>
      <c r="E523" s="152"/>
      <c r="F523" s="152"/>
      <c r="G523" s="152"/>
      <c r="H523" s="152"/>
      <c r="I523" s="152"/>
      <c r="J523" s="152"/>
      <c r="K523" s="248"/>
      <c r="L523" s="248"/>
      <c r="M523" s="152"/>
      <c r="N523" s="152"/>
      <c r="O523" s="152"/>
      <c r="P523" s="152"/>
      <c r="Q523" s="152"/>
      <c r="R523" s="152"/>
      <c r="S523" s="152"/>
      <c r="T523" s="152"/>
      <c r="U523" s="152"/>
      <c r="V523" s="152"/>
      <c r="W523" s="152"/>
    </row>
    <row r="524">
      <c r="A524" s="152"/>
      <c r="B524" s="152"/>
      <c r="C524" s="152"/>
      <c r="D524" s="152"/>
      <c r="E524" s="152"/>
      <c r="F524" s="152"/>
      <c r="G524" s="152"/>
      <c r="H524" s="152"/>
      <c r="I524" s="152"/>
      <c r="J524" s="152"/>
      <c r="K524" s="248"/>
      <c r="L524" s="248"/>
      <c r="M524" s="152"/>
      <c r="N524" s="152"/>
      <c r="O524" s="152"/>
      <c r="P524" s="152"/>
      <c r="Q524" s="152"/>
      <c r="R524" s="152"/>
      <c r="S524" s="152"/>
      <c r="T524" s="152"/>
      <c r="U524" s="152"/>
      <c r="V524" s="152"/>
      <c r="W524" s="152"/>
    </row>
    <row r="525">
      <c r="A525" s="152"/>
      <c r="B525" s="152"/>
      <c r="C525" s="152"/>
      <c r="D525" s="152"/>
      <c r="E525" s="152"/>
      <c r="F525" s="152"/>
      <c r="G525" s="152"/>
      <c r="H525" s="152"/>
      <c r="I525" s="152"/>
      <c r="J525" s="152"/>
      <c r="K525" s="248"/>
      <c r="L525" s="248"/>
      <c r="M525" s="152"/>
      <c r="N525" s="152"/>
      <c r="O525" s="152"/>
      <c r="P525" s="152"/>
      <c r="Q525" s="152"/>
      <c r="R525" s="152"/>
      <c r="S525" s="152"/>
      <c r="T525" s="152"/>
      <c r="U525" s="152"/>
      <c r="V525" s="152"/>
      <c r="W525" s="152"/>
    </row>
    <row r="526">
      <c r="A526" s="152"/>
      <c r="B526" s="152"/>
      <c r="C526" s="152"/>
      <c r="D526" s="152"/>
      <c r="E526" s="152"/>
      <c r="F526" s="152"/>
      <c r="G526" s="152"/>
      <c r="H526" s="152"/>
      <c r="I526" s="152"/>
      <c r="J526" s="152"/>
      <c r="K526" s="248"/>
      <c r="L526" s="248"/>
      <c r="M526" s="152"/>
      <c r="N526" s="152"/>
      <c r="O526" s="152"/>
      <c r="P526" s="152"/>
      <c r="Q526" s="152"/>
      <c r="R526" s="152"/>
      <c r="S526" s="152"/>
      <c r="T526" s="152"/>
      <c r="U526" s="152"/>
      <c r="V526" s="152"/>
      <c r="W526" s="152"/>
    </row>
    <row r="527">
      <c r="A527" s="152"/>
      <c r="B527" s="152"/>
      <c r="C527" s="152"/>
      <c r="D527" s="152"/>
      <c r="E527" s="152"/>
      <c r="F527" s="152"/>
      <c r="G527" s="152"/>
      <c r="H527" s="152"/>
      <c r="I527" s="152"/>
      <c r="J527" s="152"/>
      <c r="K527" s="248"/>
      <c r="L527" s="248"/>
      <c r="M527" s="152"/>
      <c r="N527" s="152"/>
      <c r="O527" s="152"/>
      <c r="P527" s="152"/>
      <c r="Q527" s="152"/>
      <c r="R527" s="152"/>
      <c r="S527" s="152"/>
      <c r="T527" s="152"/>
      <c r="U527" s="152"/>
      <c r="V527" s="152"/>
      <c r="W527" s="152"/>
    </row>
    <row r="528">
      <c r="A528" s="152"/>
      <c r="B528" s="152"/>
      <c r="C528" s="152"/>
      <c r="D528" s="152"/>
      <c r="E528" s="152"/>
      <c r="F528" s="152"/>
      <c r="G528" s="152"/>
      <c r="H528" s="152"/>
      <c r="I528" s="152"/>
      <c r="J528" s="152"/>
      <c r="K528" s="248"/>
      <c r="L528" s="248"/>
      <c r="M528" s="152"/>
      <c r="N528" s="152"/>
      <c r="O528" s="152"/>
      <c r="P528" s="152"/>
      <c r="Q528" s="152"/>
      <c r="R528" s="152"/>
      <c r="S528" s="152"/>
      <c r="T528" s="152"/>
      <c r="U528" s="152"/>
      <c r="V528" s="152"/>
      <c r="W528" s="152"/>
    </row>
    <row r="529">
      <c r="A529" s="152"/>
      <c r="B529" s="152"/>
      <c r="C529" s="152"/>
      <c r="D529" s="152"/>
      <c r="E529" s="152"/>
      <c r="F529" s="152"/>
      <c r="G529" s="152"/>
      <c r="H529" s="152"/>
      <c r="I529" s="152"/>
      <c r="J529" s="152"/>
      <c r="K529" s="248"/>
      <c r="L529" s="248"/>
      <c r="M529" s="152"/>
      <c r="N529" s="152"/>
      <c r="O529" s="152"/>
      <c r="P529" s="152"/>
      <c r="Q529" s="152"/>
      <c r="R529" s="152"/>
      <c r="S529" s="152"/>
      <c r="T529" s="152"/>
      <c r="U529" s="152"/>
      <c r="V529" s="152"/>
      <c r="W529" s="152"/>
    </row>
    <row r="530">
      <c r="A530" s="152"/>
      <c r="B530" s="152"/>
      <c r="C530" s="152"/>
      <c r="D530" s="152"/>
      <c r="E530" s="152"/>
      <c r="F530" s="152"/>
      <c r="G530" s="152"/>
      <c r="H530" s="152"/>
      <c r="I530" s="152"/>
      <c r="J530" s="152"/>
      <c r="K530" s="248"/>
      <c r="L530" s="248"/>
      <c r="M530" s="152"/>
      <c r="N530" s="152"/>
      <c r="O530" s="152"/>
      <c r="P530" s="152"/>
      <c r="Q530" s="152"/>
      <c r="R530" s="152"/>
      <c r="S530" s="152"/>
      <c r="T530" s="152"/>
      <c r="U530" s="152"/>
      <c r="V530" s="152"/>
      <c r="W530" s="152"/>
    </row>
    <row r="531">
      <c r="A531" s="152"/>
      <c r="B531" s="152"/>
      <c r="C531" s="152"/>
      <c r="D531" s="152"/>
      <c r="E531" s="152"/>
      <c r="F531" s="152"/>
      <c r="G531" s="152"/>
      <c r="H531" s="152"/>
      <c r="I531" s="152"/>
      <c r="J531" s="152"/>
      <c r="K531" s="248"/>
      <c r="L531" s="248"/>
      <c r="M531" s="152"/>
      <c r="N531" s="152"/>
      <c r="O531" s="152"/>
      <c r="P531" s="152"/>
      <c r="Q531" s="152"/>
      <c r="R531" s="152"/>
      <c r="S531" s="152"/>
      <c r="T531" s="152"/>
      <c r="U531" s="152"/>
      <c r="V531" s="152"/>
      <c r="W531" s="152"/>
    </row>
    <row r="532">
      <c r="A532" s="152"/>
      <c r="B532" s="152"/>
      <c r="C532" s="152"/>
      <c r="D532" s="152"/>
      <c r="E532" s="152"/>
      <c r="F532" s="152"/>
      <c r="G532" s="152"/>
      <c r="H532" s="152"/>
      <c r="I532" s="152"/>
      <c r="J532" s="152"/>
      <c r="K532" s="248"/>
      <c r="L532" s="248"/>
      <c r="M532" s="152"/>
      <c r="N532" s="152"/>
      <c r="O532" s="152"/>
      <c r="P532" s="152"/>
      <c r="Q532" s="152"/>
      <c r="R532" s="152"/>
      <c r="S532" s="152"/>
      <c r="T532" s="152"/>
      <c r="U532" s="152"/>
      <c r="V532" s="152"/>
      <c r="W532" s="152"/>
    </row>
    <row r="533">
      <c r="A533" s="152"/>
      <c r="B533" s="152"/>
      <c r="C533" s="152"/>
      <c r="D533" s="152"/>
      <c r="E533" s="152"/>
      <c r="F533" s="152"/>
      <c r="G533" s="152"/>
      <c r="H533" s="152"/>
      <c r="I533" s="152"/>
      <c r="J533" s="152"/>
      <c r="K533" s="248"/>
      <c r="L533" s="248"/>
      <c r="M533" s="152"/>
      <c r="N533" s="152"/>
      <c r="O533" s="152"/>
      <c r="P533" s="152"/>
      <c r="Q533" s="152"/>
      <c r="R533" s="152"/>
      <c r="S533" s="152"/>
      <c r="T533" s="152"/>
      <c r="U533" s="152"/>
      <c r="V533" s="152"/>
      <c r="W533" s="152"/>
    </row>
    <row r="534">
      <c r="A534" s="152"/>
      <c r="B534" s="152"/>
      <c r="C534" s="152"/>
      <c r="D534" s="152"/>
      <c r="E534" s="152"/>
      <c r="F534" s="152"/>
      <c r="G534" s="152"/>
      <c r="H534" s="152"/>
      <c r="I534" s="152"/>
      <c r="J534" s="152"/>
      <c r="K534" s="248"/>
      <c r="L534" s="248"/>
      <c r="M534" s="152"/>
      <c r="N534" s="152"/>
      <c r="O534" s="152"/>
      <c r="P534" s="152"/>
      <c r="Q534" s="152"/>
      <c r="R534" s="152"/>
      <c r="S534" s="152"/>
      <c r="T534" s="152"/>
      <c r="U534" s="152"/>
      <c r="V534" s="152"/>
      <c r="W534" s="152"/>
    </row>
    <row r="535">
      <c r="A535" s="152"/>
      <c r="B535" s="152"/>
      <c r="C535" s="152"/>
      <c r="D535" s="152"/>
      <c r="E535" s="152"/>
      <c r="F535" s="152"/>
      <c r="G535" s="152"/>
      <c r="H535" s="152"/>
      <c r="I535" s="152"/>
      <c r="J535" s="152"/>
      <c r="K535" s="248"/>
      <c r="L535" s="248"/>
      <c r="M535" s="152"/>
      <c r="N535" s="152"/>
      <c r="O535" s="152"/>
      <c r="P535" s="152"/>
      <c r="Q535" s="152"/>
      <c r="R535" s="152"/>
      <c r="S535" s="152"/>
      <c r="T535" s="152"/>
      <c r="U535" s="152"/>
      <c r="V535" s="152"/>
      <c r="W535" s="152"/>
    </row>
    <row r="536">
      <c r="A536" s="152"/>
      <c r="B536" s="152"/>
      <c r="C536" s="152"/>
      <c r="D536" s="152"/>
      <c r="E536" s="152"/>
      <c r="F536" s="152"/>
      <c r="G536" s="152"/>
      <c r="H536" s="152"/>
      <c r="I536" s="152"/>
      <c r="J536" s="152"/>
      <c r="K536" s="248"/>
      <c r="L536" s="248"/>
      <c r="M536" s="152"/>
      <c r="N536" s="152"/>
      <c r="O536" s="152"/>
      <c r="P536" s="152"/>
      <c r="Q536" s="152"/>
      <c r="R536" s="152"/>
      <c r="S536" s="152"/>
      <c r="T536" s="152"/>
      <c r="U536" s="152"/>
      <c r="V536" s="152"/>
      <c r="W536" s="152"/>
    </row>
    <row r="537">
      <c r="A537" s="152"/>
      <c r="B537" s="152"/>
      <c r="C537" s="152"/>
      <c r="D537" s="152"/>
      <c r="E537" s="152"/>
      <c r="F537" s="152"/>
      <c r="G537" s="152"/>
      <c r="H537" s="152"/>
      <c r="I537" s="152"/>
      <c r="J537" s="152"/>
      <c r="K537" s="248"/>
      <c r="L537" s="248"/>
      <c r="M537" s="152"/>
      <c r="N537" s="152"/>
      <c r="O537" s="152"/>
      <c r="P537" s="152"/>
      <c r="Q537" s="152"/>
      <c r="R537" s="152"/>
      <c r="S537" s="152"/>
      <c r="T537" s="152"/>
      <c r="U537" s="152"/>
      <c r="V537" s="152"/>
      <c r="W537" s="152"/>
    </row>
    <row r="538">
      <c r="A538" s="152"/>
      <c r="B538" s="152"/>
      <c r="C538" s="152"/>
      <c r="D538" s="152"/>
      <c r="E538" s="152"/>
      <c r="F538" s="152"/>
      <c r="G538" s="152"/>
      <c r="H538" s="152"/>
      <c r="I538" s="152"/>
      <c r="J538" s="152"/>
      <c r="K538" s="248"/>
      <c r="L538" s="248"/>
      <c r="M538" s="152"/>
      <c r="N538" s="152"/>
      <c r="O538" s="152"/>
      <c r="P538" s="152"/>
      <c r="Q538" s="152"/>
      <c r="R538" s="152"/>
      <c r="S538" s="152"/>
      <c r="T538" s="152"/>
      <c r="U538" s="152"/>
      <c r="V538" s="152"/>
      <c r="W538" s="152"/>
    </row>
    <row r="539">
      <c r="A539" s="152"/>
      <c r="B539" s="152"/>
      <c r="C539" s="152"/>
      <c r="D539" s="152"/>
      <c r="E539" s="152"/>
      <c r="F539" s="152"/>
      <c r="G539" s="152"/>
      <c r="H539" s="152"/>
      <c r="I539" s="152"/>
      <c r="J539" s="152"/>
      <c r="K539" s="248"/>
      <c r="L539" s="248"/>
      <c r="M539" s="152"/>
      <c r="N539" s="152"/>
      <c r="O539" s="152"/>
      <c r="P539" s="152"/>
      <c r="Q539" s="152"/>
      <c r="R539" s="152"/>
      <c r="S539" s="152"/>
      <c r="T539" s="152"/>
      <c r="U539" s="152"/>
      <c r="V539" s="152"/>
      <c r="W539" s="152"/>
    </row>
    <row r="540">
      <c r="A540" s="152"/>
      <c r="B540" s="152"/>
      <c r="C540" s="152"/>
      <c r="D540" s="152"/>
      <c r="E540" s="152"/>
      <c r="F540" s="152"/>
      <c r="G540" s="152"/>
      <c r="H540" s="152"/>
      <c r="I540" s="152"/>
      <c r="J540" s="152"/>
      <c r="K540" s="248"/>
      <c r="L540" s="248"/>
      <c r="M540" s="152"/>
      <c r="N540" s="152"/>
      <c r="O540" s="152"/>
      <c r="P540" s="152"/>
      <c r="Q540" s="152"/>
      <c r="R540" s="152"/>
      <c r="S540" s="152"/>
      <c r="T540" s="152"/>
      <c r="U540" s="152"/>
      <c r="V540" s="152"/>
      <c r="W540" s="152"/>
    </row>
    <row r="541">
      <c r="A541" s="152"/>
      <c r="B541" s="152"/>
      <c r="C541" s="152"/>
      <c r="D541" s="152"/>
      <c r="E541" s="152"/>
      <c r="F541" s="152"/>
      <c r="G541" s="152"/>
      <c r="H541" s="152"/>
      <c r="I541" s="152"/>
      <c r="J541" s="152"/>
      <c r="K541" s="248"/>
      <c r="L541" s="248"/>
      <c r="M541" s="152"/>
      <c r="N541" s="152"/>
      <c r="O541" s="152"/>
      <c r="P541" s="152"/>
      <c r="Q541" s="152"/>
      <c r="R541" s="152"/>
      <c r="S541" s="152"/>
      <c r="T541" s="152"/>
      <c r="U541" s="152"/>
      <c r="V541" s="152"/>
      <c r="W541" s="152"/>
    </row>
    <row r="542">
      <c r="A542" s="152"/>
      <c r="B542" s="152"/>
      <c r="C542" s="152"/>
      <c r="D542" s="152"/>
      <c r="E542" s="152"/>
      <c r="F542" s="152"/>
      <c r="G542" s="152"/>
      <c r="H542" s="152"/>
      <c r="I542" s="152"/>
      <c r="J542" s="152"/>
      <c r="K542" s="248"/>
      <c r="L542" s="248"/>
      <c r="M542" s="152"/>
      <c r="N542" s="152"/>
      <c r="O542" s="152"/>
      <c r="P542" s="152"/>
      <c r="Q542" s="152"/>
      <c r="R542" s="152"/>
      <c r="S542" s="152"/>
      <c r="T542" s="152"/>
      <c r="U542" s="152"/>
      <c r="V542" s="152"/>
      <c r="W542" s="152"/>
    </row>
    <row r="543">
      <c r="A543" s="152"/>
      <c r="B543" s="152"/>
      <c r="C543" s="152"/>
      <c r="D543" s="152"/>
      <c r="E543" s="152"/>
      <c r="F543" s="152"/>
      <c r="G543" s="152"/>
      <c r="H543" s="152"/>
      <c r="I543" s="152"/>
      <c r="J543" s="152"/>
      <c r="K543" s="248"/>
      <c r="L543" s="248"/>
      <c r="M543" s="152"/>
      <c r="N543" s="152"/>
      <c r="O543" s="152"/>
      <c r="P543" s="152"/>
      <c r="Q543" s="152"/>
      <c r="R543" s="152"/>
      <c r="S543" s="152"/>
      <c r="T543" s="152"/>
      <c r="U543" s="152"/>
      <c r="V543" s="152"/>
      <c r="W543" s="152"/>
    </row>
    <row r="544">
      <c r="A544" s="152"/>
      <c r="B544" s="152"/>
      <c r="C544" s="152"/>
      <c r="D544" s="152"/>
      <c r="E544" s="152"/>
      <c r="F544" s="152"/>
      <c r="G544" s="152"/>
      <c r="H544" s="152"/>
      <c r="I544" s="152"/>
      <c r="J544" s="152"/>
      <c r="K544" s="248"/>
      <c r="L544" s="248"/>
      <c r="M544" s="152"/>
      <c r="N544" s="152"/>
      <c r="O544" s="152"/>
      <c r="P544" s="152"/>
      <c r="Q544" s="152"/>
      <c r="R544" s="152"/>
      <c r="S544" s="152"/>
      <c r="T544" s="152"/>
      <c r="U544" s="152"/>
      <c r="V544" s="152"/>
      <c r="W544" s="152"/>
    </row>
    <row r="545">
      <c r="A545" s="152"/>
      <c r="B545" s="152"/>
      <c r="C545" s="152"/>
      <c r="D545" s="152"/>
      <c r="E545" s="152"/>
      <c r="F545" s="152"/>
      <c r="G545" s="152"/>
      <c r="H545" s="152"/>
      <c r="I545" s="152"/>
      <c r="J545" s="152"/>
      <c r="K545" s="248"/>
      <c r="L545" s="248"/>
      <c r="M545" s="152"/>
      <c r="N545" s="152"/>
      <c r="O545" s="152"/>
      <c r="P545" s="152"/>
      <c r="Q545" s="152"/>
      <c r="R545" s="152"/>
      <c r="S545" s="152"/>
      <c r="T545" s="152"/>
      <c r="U545" s="152"/>
      <c r="V545" s="152"/>
      <c r="W545" s="152"/>
    </row>
    <row r="546">
      <c r="A546" s="152"/>
      <c r="B546" s="152"/>
      <c r="C546" s="152"/>
      <c r="D546" s="152"/>
      <c r="E546" s="152"/>
      <c r="F546" s="152"/>
      <c r="G546" s="152"/>
      <c r="H546" s="152"/>
      <c r="I546" s="152"/>
      <c r="J546" s="152"/>
      <c r="K546" s="248"/>
      <c r="L546" s="248"/>
      <c r="M546" s="152"/>
      <c r="N546" s="152"/>
      <c r="O546" s="152"/>
      <c r="P546" s="152"/>
      <c r="Q546" s="152"/>
      <c r="R546" s="152"/>
      <c r="S546" s="152"/>
      <c r="T546" s="152"/>
      <c r="U546" s="152"/>
      <c r="V546" s="152"/>
      <c r="W546" s="152"/>
    </row>
    <row r="547">
      <c r="A547" s="152"/>
      <c r="B547" s="152"/>
      <c r="C547" s="152"/>
      <c r="D547" s="152"/>
      <c r="E547" s="152"/>
      <c r="F547" s="152"/>
      <c r="G547" s="152"/>
      <c r="H547" s="152"/>
      <c r="I547" s="152"/>
      <c r="J547" s="152"/>
      <c r="K547" s="248"/>
      <c r="L547" s="248"/>
      <c r="M547" s="152"/>
      <c r="N547" s="152"/>
      <c r="O547" s="152"/>
      <c r="P547" s="152"/>
      <c r="Q547" s="152"/>
      <c r="R547" s="152"/>
      <c r="S547" s="152"/>
      <c r="T547" s="152"/>
      <c r="U547" s="152"/>
      <c r="V547" s="152"/>
      <c r="W547" s="152"/>
    </row>
    <row r="548">
      <c r="A548" s="152"/>
      <c r="B548" s="152"/>
      <c r="C548" s="152"/>
      <c r="D548" s="152"/>
      <c r="E548" s="152"/>
      <c r="F548" s="152"/>
      <c r="G548" s="152"/>
      <c r="H548" s="152"/>
      <c r="I548" s="152"/>
      <c r="J548" s="152"/>
      <c r="K548" s="248"/>
      <c r="L548" s="248"/>
      <c r="M548" s="152"/>
      <c r="N548" s="152"/>
      <c r="O548" s="152"/>
      <c r="P548" s="152"/>
      <c r="Q548" s="152"/>
      <c r="R548" s="152"/>
      <c r="S548" s="152"/>
      <c r="T548" s="152"/>
      <c r="U548" s="152"/>
      <c r="V548" s="152"/>
      <c r="W548" s="152"/>
    </row>
    <row r="549">
      <c r="A549" s="152"/>
      <c r="B549" s="152"/>
      <c r="C549" s="152"/>
      <c r="D549" s="152"/>
      <c r="E549" s="152"/>
      <c r="F549" s="152"/>
      <c r="G549" s="152"/>
      <c r="H549" s="152"/>
      <c r="I549" s="152"/>
      <c r="J549" s="152"/>
      <c r="K549" s="248"/>
      <c r="L549" s="248"/>
      <c r="M549" s="152"/>
      <c r="N549" s="152"/>
      <c r="O549" s="152"/>
      <c r="P549" s="152"/>
      <c r="Q549" s="152"/>
      <c r="R549" s="152"/>
      <c r="S549" s="152"/>
      <c r="T549" s="152"/>
      <c r="U549" s="152"/>
      <c r="V549" s="152"/>
      <c r="W549" s="152"/>
    </row>
    <row r="550">
      <c r="A550" s="152"/>
      <c r="B550" s="152"/>
      <c r="C550" s="152"/>
      <c r="D550" s="152"/>
      <c r="E550" s="152"/>
      <c r="F550" s="152"/>
      <c r="G550" s="152"/>
      <c r="H550" s="152"/>
      <c r="I550" s="152"/>
      <c r="J550" s="152"/>
      <c r="K550" s="248"/>
      <c r="L550" s="248"/>
      <c r="M550" s="152"/>
      <c r="N550" s="152"/>
      <c r="O550" s="152"/>
      <c r="P550" s="152"/>
      <c r="Q550" s="152"/>
      <c r="R550" s="152"/>
      <c r="S550" s="152"/>
      <c r="T550" s="152"/>
      <c r="U550" s="152"/>
      <c r="V550" s="152"/>
      <c r="W550" s="152"/>
    </row>
    <row r="551">
      <c r="A551" s="152"/>
      <c r="B551" s="152"/>
      <c r="C551" s="152"/>
      <c r="D551" s="152"/>
      <c r="E551" s="152"/>
      <c r="F551" s="152"/>
      <c r="G551" s="152"/>
      <c r="H551" s="152"/>
      <c r="I551" s="152"/>
      <c r="J551" s="152"/>
      <c r="K551" s="248"/>
      <c r="L551" s="248"/>
      <c r="M551" s="152"/>
      <c r="N551" s="152"/>
      <c r="O551" s="152"/>
      <c r="P551" s="152"/>
      <c r="Q551" s="152"/>
      <c r="R551" s="152"/>
      <c r="S551" s="152"/>
      <c r="T551" s="152"/>
      <c r="U551" s="152"/>
      <c r="V551" s="152"/>
      <c r="W551" s="152"/>
    </row>
    <row r="552">
      <c r="A552" s="152"/>
      <c r="B552" s="152"/>
      <c r="C552" s="152"/>
      <c r="D552" s="152"/>
      <c r="E552" s="152"/>
      <c r="F552" s="152"/>
      <c r="G552" s="152"/>
      <c r="H552" s="152"/>
      <c r="I552" s="152"/>
      <c r="J552" s="152"/>
      <c r="K552" s="248"/>
      <c r="L552" s="248"/>
      <c r="M552" s="152"/>
      <c r="N552" s="152"/>
      <c r="O552" s="152"/>
      <c r="P552" s="152"/>
      <c r="Q552" s="152"/>
      <c r="R552" s="152"/>
      <c r="S552" s="152"/>
      <c r="T552" s="152"/>
      <c r="U552" s="152"/>
      <c r="V552" s="152"/>
      <c r="W552" s="152"/>
    </row>
    <row r="553">
      <c r="A553" s="152"/>
      <c r="B553" s="152"/>
      <c r="C553" s="152"/>
      <c r="D553" s="152"/>
      <c r="E553" s="152"/>
      <c r="F553" s="152"/>
      <c r="G553" s="152"/>
      <c r="H553" s="152"/>
      <c r="I553" s="152"/>
      <c r="J553" s="152"/>
      <c r="K553" s="248"/>
      <c r="L553" s="248"/>
      <c r="M553" s="152"/>
      <c r="N553" s="152"/>
      <c r="O553" s="152"/>
      <c r="P553" s="152"/>
      <c r="Q553" s="152"/>
      <c r="R553" s="152"/>
      <c r="S553" s="152"/>
      <c r="T553" s="152"/>
      <c r="U553" s="152"/>
      <c r="V553" s="152"/>
      <c r="W553" s="152"/>
    </row>
    <row r="554">
      <c r="A554" s="152"/>
      <c r="B554" s="152"/>
      <c r="C554" s="152"/>
      <c r="D554" s="152"/>
      <c r="E554" s="152"/>
      <c r="F554" s="152"/>
      <c r="G554" s="152"/>
      <c r="H554" s="152"/>
      <c r="I554" s="152"/>
      <c r="J554" s="152"/>
      <c r="K554" s="248"/>
      <c r="L554" s="248"/>
      <c r="M554" s="152"/>
      <c r="N554" s="152"/>
      <c r="O554" s="152"/>
      <c r="P554" s="152"/>
      <c r="Q554" s="152"/>
      <c r="R554" s="152"/>
      <c r="S554" s="152"/>
      <c r="T554" s="152"/>
      <c r="U554" s="152"/>
      <c r="V554" s="152"/>
      <c r="W554" s="152"/>
    </row>
    <row r="555">
      <c r="A555" s="152"/>
      <c r="B555" s="152"/>
      <c r="C555" s="152"/>
      <c r="D555" s="152"/>
      <c r="E555" s="152"/>
      <c r="F555" s="152"/>
      <c r="G555" s="152"/>
      <c r="H555" s="152"/>
      <c r="I555" s="152"/>
      <c r="J555" s="152"/>
      <c r="K555" s="248"/>
      <c r="L555" s="248"/>
      <c r="M555" s="152"/>
      <c r="N555" s="152"/>
      <c r="O555" s="152"/>
      <c r="P555" s="152"/>
      <c r="Q555" s="152"/>
      <c r="R555" s="152"/>
      <c r="S555" s="152"/>
      <c r="T555" s="152"/>
      <c r="U555" s="152"/>
      <c r="V555" s="152"/>
      <c r="W555" s="152"/>
    </row>
    <row r="556">
      <c r="A556" s="152"/>
      <c r="B556" s="152"/>
      <c r="C556" s="152"/>
      <c r="D556" s="152"/>
      <c r="E556" s="152"/>
      <c r="F556" s="152"/>
      <c r="G556" s="152"/>
      <c r="H556" s="152"/>
      <c r="I556" s="152"/>
      <c r="J556" s="152"/>
      <c r="K556" s="248"/>
      <c r="L556" s="248"/>
      <c r="M556" s="152"/>
      <c r="N556" s="152"/>
      <c r="O556" s="152"/>
      <c r="P556" s="152"/>
      <c r="Q556" s="152"/>
      <c r="R556" s="152"/>
      <c r="S556" s="152"/>
      <c r="T556" s="152"/>
      <c r="U556" s="152"/>
      <c r="V556" s="152"/>
      <c r="W556" s="152"/>
    </row>
    <row r="557">
      <c r="A557" s="152"/>
      <c r="B557" s="152"/>
      <c r="C557" s="152"/>
      <c r="D557" s="152"/>
      <c r="E557" s="152"/>
      <c r="F557" s="152"/>
      <c r="G557" s="152"/>
      <c r="H557" s="152"/>
      <c r="I557" s="152"/>
      <c r="J557" s="152"/>
      <c r="K557" s="248"/>
      <c r="L557" s="248"/>
      <c r="M557" s="152"/>
      <c r="N557" s="152"/>
      <c r="O557" s="152"/>
      <c r="P557" s="152"/>
      <c r="Q557" s="152"/>
      <c r="R557" s="152"/>
      <c r="S557" s="152"/>
      <c r="T557" s="152"/>
      <c r="U557" s="152"/>
      <c r="V557" s="152"/>
      <c r="W557" s="152"/>
    </row>
    <row r="558">
      <c r="A558" s="152"/>
      <c r="B558" s="152"/>
      <c r="C558" s="152"/>
      <c r="D558" s="152"/>
      <c r="E558" s="152"/>
      <c r="F558" s="152"/>
      <c r="G558" s="152"/>
      <c r="H558" s="152"/>
      <c r="I558" s="152"/>
      <c r="J558" s="152"/>
      <c r="K558" s="248"/>
      <c r="L558" s="248"/>
      <c r="M558" s="152"/>
      <c r="N558" s="152"/>
      <c r="O558" s="152"/>
      <c r="P558" s="152"/>
      <c r="Q558" s="152"/>
      <c r="R558" s="152"/>
      <c r="S558" s="152"/>
      <c r="T558" s="152"/>
      <c r="U558" s="152"/>
      <c r="V558" s="152"/>
      <c r="W558" s="152"/>
    </row>
    <row r="559">
      <c r="A559" s="152"/>
      <c r="B559" s="152"/>
      <c r="C559" s="152"/>
      <c r="D559" s="152"/>
      <c r="E559" s="152"/>
      <c r="F559" s="152"/>
      <c r="G559" s="152"/>
      <c r="H559" s="152"/>
      <c r="I559" s="152"/>
      <c r="J559" s="152"/>
      <c r="K559" s="248"/>
      <c r="L559" s="248"/>
      <c r="M559" s="152"/>
      <c r="N559" s="152"/>
      <c r="O559" s="152"/>
      <c r="P559" s="152"/>
      <c r="Q559" s="152"/>
      <c r="R559" s="152"/>
      <c r="S559" s="152"/>
      <c r="T559" s="152"/>
      <c r="U559" s="152"/>
      <c r="V559" s="152"/>
      <c r="W559" s="152"/>
    </row>
    <row r="560">
      <c r="A560" s="152"/>
      <c r="B560" s="152"/>
      <c r="C560" s="152"/>
      <c r="D560" s="152"/>
      <c r="E560" s="152"/>
      <c r="F560" s="152"/>
      <c r="G560" s="152"/>
      <c r="H560" s="152"/>
      <c r="I560" s="152"/>
      <c r="J560" s="152"/>
      <c r="K560" s="248"/>
      <c r="L560" s="248"/>
      <c r="M560" s="152"/>
      <c r="N560" s="152"/>
      <c r="O560" s="152"/>
      <c r="P560" s="152"/>
      <c r="Q560" s="152"/>
      <c r="R560" s="152"/>
      <c r="S560" s="152"/>
      <c r="T560" s="152"/>
      <c r="U560" s="152"/>
      <c r="V560" s="152"/>
      <c r="W560" s="152"/>
    </row>
    <row r="561">
      <c r="A561" s="152"/>
      <c r="B561" s="152"/>
      <c r="C561" s="152"/>
      <c r="D561" s="152"/>
      <c r="E561" s="152"/>
      <c r="F561" s="152"/>
      <c r="G561" s="152"/>
      <c r="H561" s="152"/>
      <c r="I561" s="152"/>
      <c r="J561" s="152"/>
      <c r="K561" s="248"/>
      <c r="L561" s="248"/>
      <c r="M561" s="152"/>
      <c r="N561" s="152"/>
      <c r="O561" s="152"/>
      <c r="P561" s="152"/>
      <c r="Q561" s="152"/>
      <c r="R561" s="152"/>
      <c r="S561" s="152"/>
      <c r="T561" s="152"/>
      <c r="U561" s="152"/>
      <c r="V561" s="152"/>
      <c r="W561" s="152"/>
    </row>
    <row r="562">
      <c r="A562" s="152"/>
      <c r="B562" s="152"/>
      <c r="C562" s="152"/>
      <c r="D562" s="152"/>
      <c r="E562" s="152"/>
      <c r="F562" s="152"/>
      <c r="G562" s="152"/>
      <c r="H562" s="152"/>
      <c r="I562" s="152"/>
      <c r="J562" s="152"/>
      <c r="K562" s="248"/>
      <c r="L562" s="248"/>
      <c r="M562" s="152"/>
      <c r="N562" s="152"/>
      <c r="O562" s="152"/>
      <c r="P562" s="152"/>
      <c r="Q562" s="152"/>
      <c r="R562" s="152"/>
      <c r="S562" s="152"/>
      <c r="T562" s="152"/>
      <c r="U562" s="152"/>
      <c r="V562" s="152"/>
      <c r="W562" s="152"/>
    </row>
    <row r="563">
      <c r="A563" s="152"/>
      <c r="B563" s="152"/>
      <c r="C563" s="152"/>
      <c r="D563" s="152"/>
      <c r="E563" s="152"/>
      <c r="F563" s="152"/>
      <c r="G563" s="152"/>
      <c r="H563" s="152"/>
      <c r="I563" s="152"/>
      <c r="J563" s="152"/>
      <c r="K563" s="248"/>
      <c r="L563" s="248"/>
      <c r="M563" s="152"/>
      <c r="N563" s="152"/>
      <c r="O563" s="152"/>
      <c r="P563" s="152"/>
      <c r="Q563" s="152"/>
      <c r="R563" s="152"/>
      <c r="S563" s="152"/>
      <c r="T563" s="152"/>
      <c r="U563" s="152"/>
      <c r="V563" s="152"/>
      <c r="W563" s="152"/>
    </row>
    <row r="564">
      <c r="A564" s="152"/>
      <c r="B564" s="152"/>
      <c r="C564" s="152"/>
      <c r="D564" s="152"/>
      <c r="E564" s="152"/>
      <c r="F564" s="152"/>
      <c r="G564" s="152"/>
      <c r="H564" s="152"/>
      <c r="I564" s="152"/>
      <c r="J564" s="152"/>
      <c r="K564" s="248"/>
      <c r="L564" s="248"/>
      <c r="M564" s="152"/>
      <c r="N564" s="152"/>
      <c r="O564" s="152"/>
      <c r="P564" s="152"/>
      <c r="Q564" s="152"/>
      <c r="R564" s="152"/>
      <c r="S564" s="152"/>
      <c r="T564" s="152"/>
      <c r="U564" s="152"/>
      <c r="V564" s="152"/>
      <c r="W564" s="152"/>
    </row>
    <row r="565">
      <c r="A565" s="152"/>
      <c r="B565" s="152"/>
      <c r="C565" s="152"/>
      <c r="D565" s="152"/>
      <c r="E565" s="152"/>
      <c r="F565" s="152"/>
      <c r="G565" s="152"/>
      <c r="H565" s="152"/>
      <c r="I565" s="152"/>
      <c r="J565" s="152"/>
      <c r="K565" s="248"/>
      <c r="L565" s="248"/>
      <c r="M565" s="152"/>
      <c r="N565" s="152"/>
      <c r="O565" s="152"/>
      <c r="P565" s="152"/>
      <c r="Q565" s="152"/>
      <c r="R565" s="152"/>
      <c r="S565" s="152"/>
      <c r="T565" s="152"/>
      <c r="U565" s="152"/>
      <c r="V565" s="152"/>
      <c r="W565" s="152"/>
    </row>
    <row r="566">
      <c r="A566" s="152"/>
      <c r="B566" s="152"/>
      <c r="C566" s="152"/>
      <c r="D566" s="152"/>
      <c r="E566" s="152"/>
      <c r="F566" s="152"/>
      <c r="G566" s="152"/>
      <c r="H566" s="152"/>
      <c r="I566" s="152"/>
      <c r="J566" s="152"/>
      <c r="K566" s="248"/>
      <c r="L566" s="248"/>
      <c r="M566" s="152"/>
      <c r="N566" s="152"/>
      <c r="O566" s="152"/>
      <c r="P566" s="152"/>
      <c r="Q566" s="152"/>
      <c r="R566" s="152"/>
      <c r="S566" s="152"/>
      <c r="T566" s="152"/>
      <c r="U566" s="152"/>
      <c r="V566" s="152"/>
      <c r="W566" s="152"/>
    </row>
    <row r="567">
      <c r="A567" s="152"/>
      <c r="B567" s="152"/>
      <c r="C567" s="152"/>
      <c r="D567" s="152"/>
      <c r="E567" s="152"/>
      <c r="F567" s="152"/>
      <c r="G567" s="152"/>
      <c r="H567" s="152"/>
      <c r="I567" s="152"/>
      <c r="J567" s="152"/>
      <c r="K567" s="248"/>
      <c r="L567" s="248"/>
      <c r="M567" s="152"/>
      <c r="N567" s="152"/>
      <c r="O567" s="152"/>
      <c r="P567" s="152"/>
      <c r="Q567" s="152"/>
      <c r="R567" s="152"/>
      <c r="S567" s="152"/>
      <c r="T567" s="152"/>
      <c r="U567" s="152"/>
      <c r="V567" s="152"/>
      <c r="W567" s="152"/>
    </row>
    <row r="568">
      <c r="A568" s="152"/>
      <c r="B568" s="152"/>
      <c r="C568" s="152"/>
      <c r="D568" s="152"/>
      <c r="E568" s="152"/>
      <c r="F568" s="152"/>
      <c r="G568" s="152"/>
      <c r="H568" s="152"/>
      <c r="I568" s="152"/>
      <c r="J568" s="152"/>
      <c r="K568" s="248"/>
      <c r="L568" s="248"/>
      <c r="M568" s="152"/>
      <c r="N568" s="152"/>
      <c r="O568" s="152"/>
      <c r="P568" s="152"/>
      <c r="Q568" s="152"/>
      <c r="R568" s="152"/>
      <c r="S568" s="152"/>
      <c r="T568" s="152"/>
      <c r="U568" s="152"/>
      <c r="V568" s="152"/>
      <c r="W568" s="152"/>
    </row>
    <row r="569">
      <c r="A569" s="152"/>
      <c r="B569" s="152"/>
      <c r="C569" s="152"/>
      <c r="D569" s="152"/>
      <c r="E569" s="152"/>
      <c r="F569" s="152"/>
      <c r="G569" s="152"/>
      <c r="H569" s="152"/>
      <c r="I569" s="152"/>
      <c r="J569" s="152"/>
      <c r="K569" s="248"/>
      <c r="L569" s="248"/>
      <c r="M569" s="152"/>
      <c r="N569" s="152"/>
      <c r="O569" s="152"/>
      <c r="P569" s="152"/>
      <c r="Q569" s="152"/>
      <c r="R569" s="152"/>
      <c r="S569" s="152"/>
      <c r="T569" s="152"/>
      <c r="U569" s="152"/>
      <c r="V569" s="152"/>
      <c r="W569" s="152"/>
    </row>
    <row r="570">
      <c r="A570" s="152"/>
      <c r="B570" s="152"/>
      <c r="C570" s="152"/>
      <c r="D570" s="152"/>
      <c r="E570" s="152"/>
      <c r="F570" s="152"/>
      <c r="G570" s="152"/>
      <c r="H570" s="152"/>
      <c r="I570" s="152"/>
      <c r="J570" s="152"/>
      <c r="K570" s="248"/>
      <c r="L570" s="248"/>
      <c r="M570" s="152"/>
      <c r="N570" s="152"/>
      <c r="O570" s="152"/>
      <c r="P570" s="152"/>
      <c r="Q570" s="152"/>
      <c r="R570" s="152"/>
      <c r="S570" s="152"/>
      <c r="T570" s="152"/>
      <c r="U570" s="152"/>
      <c r="V570" s="152"/>
      <c r="W570" s="152"/>
    </row>
    <row r="571">
      <c r="A571" s="152"/>
      <c r="B571" s="152"/>
      <c r="C571" s="152"/>
      <c r="D571" s="152"/>
      <c r="E571" s="152"/>
      <c r="F571" s="152"/>
      <c r="G571" s="152"/>
      <c r="H571" s="152"/>
      <c r="I571" s="152"/>
      <c r="J571" s="152"/>
      <c r="K571" s="248"/>
      <c r="L571" s="248"/>
      <c r="M571" s="152"/>
      <c r="N571" s="152"/>
      <c r="O571" s="152"/>
      <c r="P571" s="152"/>
      <c r="Q571" s="152"/>
      <c r="R571" s="152"/>
      <c r="S571" s="152"/>
      <c r="T571" s="152"/>
      <c r="U571" s="152"/>
      <c r="V571" s="152"/>
      <c r="W571" s="152"/>
    </row>
    <row r="572">
      <c r="A572" s="152"/>
      <c r="B572" s="152"/>
      <c r="C572" s="152"/>
      <c r="D572" s="152"/>
      <c r="E572" s="152"/>
      <c r="F572" s="152"/>
      <c r="G572" s="152"/>
      <c r="H572" s="152"/>
      <c r="I572" s="152"/>
      <c r="J572" s="152"/>
      <c r="K572" s="248"/>
      <c r="L572" s="248"/>
      <c r="M572" s="152"/>
      <c r="N572" s="152"/>
      <c r="O572" s="152"/>
      <c r="P572" s="152"/>
      <c r="Q572" s="152"/>
      <c r="R572" s="152"/>
      <c r="S572" s="152"/>
      <c r="T572" s="152"/>
      <c r="U572" s="152"/>
      <c r="V572" s="152"/>
      <c r="W572" s="152"/>
    </row>
    <row r="573">
      <c r="A573" s="152"/>
      <c r="B573" s="152"/>
      <c r="C573" s="152"/>
      <c r="D573" s="152"/>
      <c r="E573" s="152"/>
      <c r="F573" s="152"/>
      <c r="G573" s="152"/>
      <c r="H573" s="152"/>
      <c r="I573" s="152"/>
      <c r="J573" s="152"/>
      <c r="K573" s="248"/>
      <c r="L573" s="248"/>
      <c r="M573" s="152"/>
      <c r="N573" s="152"/>
      <c r="O573" s="152"/>
      <c r="P573" s="152"/>
      <c r="Q573" s="152"/>
      <c r="R573" s="152"/>
      <c r="S573" s="152"/>
      <c r="T573" s="152"/>
      <c r="U573" s="152"/>
      <c r="V573" s="152"/>
      <c r="W573" s="152"/>
    </row>
    <row r="574">
      <c r="A574" s="152"/>
      <c r="B574" s="152"/>
      <c r="C574" s="152"/>
      <c r="D574" s="152"/>
      <c r="E574" s="152"/>
      <c r="F574" s="152"/>
      <c r="G574" s="152"/>
      <c r="H574" s="152"/>
      <c r="I574" s="152"/>
      <c r="J574" s="152"/>
      <c r="K574" s="248"/>
      <c r="L574" s="248"/>
      <c r="M574" s="152"/>
      <c r="N574" s="152"/>
      <c r="O574" s="152"/>
      <c r="P574" s="152"/>
      <c r="Q574" s="152"/>
      <c r="R574" s="152"/>
      <c r="S574" s="152"/>
      <c r="T574" s="152"/>
      <c r="U574" s="152"/>
      <c r="V574" s="152"/>
      <c r="W574" s="152"/>
    </row>
    <row r="575">
      <c r="A575" s="152"/>
      <c r="B575" s="152"/>
      <c r="C575" s="152"/>
      <c r="D575" s="152"/>
      <c r="E575" s="152"/>
      <c r="F575" s="152"/>
      <c r="G575" s="152"/>
      <c r="H575" s="152"/>
      <c r="I575" s="152"/>
      <c r="J575" s="152"/>
      <c r="K575" s="248"/>
      <c r="L575" s="248"/>
      <c r="M575" s="152"/>
      <c r="N575" s="152"/>
      <c r="O575" s="152"/>
      <c r="P575" s="152"/>
      <c r="Q575" s="152"/>
      <c r="R575" s="152"/>
      <c r="S575" s="152"/>
      <c r="T575" s="152"/>
      <c r="U575" s="152"/>
      <c r="V575" s="152"/>
      <c r="W575" s="152"/>
    </row>
    <row r="576">
      <c r="A576" s="152"/>
      <c r="B576" s="152"/>
      <c r="C576" s="152"/>
      <c r="D576" s="152"/>
      <c r="E576" s="152"/>
      <c r="F576" s="152"/>
      <c r="G576" s="152"/>
      <c r="H576" s="152"/>
      <c r="I576" s="152"/>
      <c r="J576" s="152"/>
      <c r="K576" s="248"/>
      <c r="L576" s="248"/>
      <c r="M576" s="152"/>
      <c r="N576" s="152"/>
      <c r="O576" s="152"/>
      <c r="P576" s="152"/>
      <c r="Q576" s="152"/>
      <c r="R576" s="152"/>
      <c r="S576" s="152"/>
      <c r="T576" s="152"/>
      <c r="U576" s="152"/>
      <c r="V576" s="152"/>
      <c r="W576" s="152"/>
    </row>
    <row r="577">
      <c r="A577" s="152"/>
      <c r="B577" s="152"/>
      <c r="C577" s="152"/>
      <c r="D577" s="152"/>
      <c r="E577" s="152"/>
      <c r="F577" s="152"/>
      <c r="G577" s="152"/>
      <c r="H577" s="152"/>
      <c r="I577" s="152"/>
      <c r="J577" s="152"/>
      <c r="K577" s="248"/>
      <c r="L577" s="248"/>
      <c r="M577" s="152"/>
      <c r="N577" s="152"/>
      <c r="O577" s="152"/>
      <c r="P577" s="152"/>
      <c r="Q577" s="152"/>
      <c r="R577" s="152"/>
      <c r="S577" s="152"/>
      <c r="T577" s="152"/>
      <c r="U577" s="152"/>
      <c r="V577" s="152"/>
      <c r="W577" s="152"/>
    </row>
    <row r="578">
      <c r="A578" s="152"/>
      <c r="B578" s="152"/>
      <c r="C578" s="152"/>
      <c r="D578" s="152"/>
      <c r="E578" s="152"/>
      <c r="F578" s="152"/>
      <c r="G578" s="152"/>
      <c r="H578" s="152"/>
      <c r="I578" s="152"/>
      <c r="J578" s="152"/>
      <c r="K578" s="248"/>
      <c r="L578" s="248"/>
      <c r="M578" s="152"/>
      <c r="N578" s="152"/>
      <c r="O578" s="152"/>
      <c r="P578" s="152"/>
      <c r="Q578" s="152"/>
      <c r="R578" s="152"/>
      <c r="S578" s="152"/>
      <c r="T578" s="152"/>
      <c r="U578" s="152"/>
      <c r="V578" s="152"/>
      <c r="W578" s="152"/>
    </row>
    <row r="579">
      <c r="A579" s="152"/>
      <c r="B579" s="152"/>
      <c r="C579" s="152"/>
      <c r="D579" s="152"/>
      <c r="E579" s="152"/>
      <c r="F579" s="152"/>
      <c r="G579" s="152"/>
      <c r="H579" s="152"/>
      <c r="I579" s="152"/>
      <c r="J579" s="152"/>
      <c r="K579" s="248"/>
      <c r="L579" s="248"/>
      <c r="M579" s="152"/>
      <c r="N579" s="152"/>
      <c r="O579" s="152"/>
      <c r="P579" s="152"/>
      <c r="Q579" s="152"/>
      <c r="R579" s="152"/>
      <c r="S579" s="152"/>
      <c r="T579" s="152"/>
      <c r="U579" s="152"/>
      <c r="V579" s="152"/>
      <c r="W579" s="152"/>
    </row>
    <row r="580">
      <c r="A580" s="152"/>
      <c r="B580" s="152"/>
      <c r="C580" s="152"/>
      <c r="D580" s="152"/>
      <c r="E580" s="152"/>
      <c r="F580" s="152"/>
      <c r="G580" s="152"/>
      <c r="H580" s="152"/>
      <c r="I580" s="152"/>
      <c r="J580" s="152"/>
      <c r="K580" s="248"/>
      <c r="L580" s="248"/>
      <c r="M580" s="152"/>
      <c r="N580" s="152"/>
      <c r="O580" s="152"/>
      <c r="P580" s="152"/>
      <c r="Q580" s="152"/>
      <c r="R580" s="152"/>
      <c r="S580" s="152"/>
      <c r="T580" s="152"/>
      <c r="U580" s="152"/>
      <c r="V580" s="152"/>
      <c r="W580" s="152"/>
    </row>
    <row r="581">
      <c r="A581" s="152"/>
      <c r="B581" s="152"/>
      <c r="C581" s="152"/>
      <c r="D581" s="152"/>
      <c r="E581" s="152"/>
      <c r="F581" s="152"/>
      <c r="G581" s="152"/>
      <c r="H581" s="152"/>
      <c r="I581" s="152"/>
      <c r="J581" s="152"/>
      <c r="K581" s="248"/>
      <c r="L581" s="248"/>
      <c r="M581" s="152"/>
      <c r="N581" s="152"/>
      <c r="O581" s="152"/>
      <c r="P581" s="152"/>
      <c r="Q581" s="152"/>
      <c r="R581" s="152"/>
      <c r="S581" s="152"/>
      <c r="T581" s="152"/>
      <c r="U581" s="152"/>
      <c r="V581" s="152"/>
      <c r="W581" s="152"/>
    </row>
    <row r="582">
      <c r="A582" s="152"/>
      <c r="B582" s="152"/>
      <c r="C582" s="152"/>
      <c r="D582" s="152"/>
      <c r="E582" s="152"/>
      <c r="F582" s="152"/>
      <c r="G582" s="152"/>
      <c r="H582" s="152"/>
      <c r="I582" s="152"/>
      <c r="J582" s="152"/>
      <c r="K582" s="248"/>
      <c r="L582" s="248"/>
      <c r="M582" s="152"/>
      <c r="N582" s="152"/>
      <c r="O582" s="152"/>
      <c r="P582" s="152"/>
      <c r="Q582" s="152"/>
      <c r="R582" s="152"/>
      <c r="S582" s="152"/>
      <c r="T582" s="152"/>
      <c r="U582" s="152"/>
      <c r="V582" s="152"/>
      <c r="W582" s="152"/>
    </row>
    <row r="583">
      <c r="A583" s="152"/>
      <c r="B583" s="152"/>
      <c r="C583" s="152"/>
      <c r="D583" s="152"/>
      <c r="E583" s="152"/>
      <c r="F583" s="152"/>
      <c r="G583" s="152"/>
      <c r="H583" s="152"/>
      <c r="I583" s="152"/>
      <c r="J583" s="152"/>
      <c r="K583" s="248"/>
      <c r="L583" s="248"/>
      <c r="M583" s="152"/>
      <c r="N583" s="152"/>
      <c r="O583" s="152"/>
      <c r="P583" s="152"/>
      <c r="Q583" s="152"/>
      <c r="R583" s="152"/>
      <c r="S583" s="152"/>
      <c r="T583" s="152"/>
      <c r="U583" s="152"/>
      <c r="V583" s="152"/>
      <c r="W583" s="152"/>
    </row>
    <row r="584">
      <c r="A584" s="152"/>
      <c r="B584" s="152"/>
      <c r="C584" s="152"/>
      <c r="D584" s="152"/>
      <c r="E584" s="152"/>
      <c r="F584" s="152"/>
      <c r="G584" s="152"/>
      <c r="H584" s="152"/>
      <c r="I584" s="152"/>
      <c r="J584" s="152"/>
      <c r="K584" s="248"/>
      <c r="L584" s="248"/>
      <c r="M584" s="152"/>
      <c r="N584" s="152"/>
      <c r="O584" s="152"/>
      <c r="P584" s="152"/>
      <c r="Q584" s="152"/>
      <c r="R584" s="152"/>
      <c r="S584" s="152"/>
      <c r="T584" s="152"/>
      <c r="U584" s="152"/>
      <c r="V584" s="152"/>
      <c r="W584" s="152"/>
    </row>
    <row r="585">
      <c r="A585" s="152"/>
      <c r="B585" s="152"/>
      <c r="C585" s="152"/>
      <c r="D585" s="152"/>
      <c r="E585" s="152"/>
      <c r="F585" s="152"/>
      <c r="G585" s="152"/>
      <c r="H585" s="152"/>
      <c r="I585" s="152"/>
      <c r="J585" s="152"/>
      <c r="K585" s="248"/>
      <c r="L585" s="248"/>
      <c r="M585" s="152"/>
      <c r="N585" s="152"/>
      <c r="O585" s="152"/>
      <c r="P585" s="152"/>
      <c r="Q585" s="152"/>
      <c r="R585" s="152"/>
      <c r="S585" s="152"/>
      <c r="T585" s="152"/>
      <c r="U585" s="152"/>
      <c r="V585" s="152"/>
      <c r="W585" s="152"/>
    </row>
    <row r="586">
      <c r="A586" s="152"/>
      <c r="B586" s="152"/>
      <c r="C586" s="152"/>
      <c r="D586" s="152"/>
      <c r="E586" s="152"/>
      <c r="F586" s="152"/>
      <c r="G586" s="152"/>
      <c r="H586" s="152"/>
      <c r="I586" s="152"/>
      <c r="J586" s="152"/>
      <c r="K586" s="248"/>
      <c r="L586" s="248"/>
      <c r="M586" s="152"/>
      <c r="N586" s="152"/>
      <c r="O586" s="152"/>
      <c r="P586" s="152"/>
      <c r="Q586" s="152"/>
      <c r="R586" s="152"/>
      <c r="S586" s="152"/>
      <c r="T586" s="152"/>
      <c r="U586" s="152"/>
      <c r="V586" s="152"/>
      <c r="W586" s="152"/>
    </row>
    <row r="587">
      <c r="A587" s="152"/>
      <c r="B587" s="152"/>
      <c r="C587" s="152"/>
      <c r="D587" s="152"/>
      <c r="E587" s="152"/>
      <c r="F587" s="152"/>
      <c r="G587" s="152"/>
      <c r="H587" s="152"/>
      <c r="I587" s="152"/>
      <c r="J587" s="152"/>
      <c r="K587" s="248"/>
      <c r="L587" s="248"/>
      <c r="M587" s="152"/>
      <c r="N587" s="152"/>
      <c r="O587" s="152"/>
      <c r="P587" s="152"/>
      <c r="Q587" s="152"/>
      <c r="R587" s="152"/>
      <c r="S587" s="152"/>
      <c r="T587" s="152"/>
      <c r="U587" s="152"/>
      <c r="V587" s="152"/>
      <c r="W587" s="152"/>
    </row>
    <row r="588">
      <c r="A588" s="152"/>
      <c r="B588" s="152"/>
      <c r="C588" s="152"/>
      <c r="D588" s="152"/>
      <c r="E588" s="152"/>
      <c r="F588" s="152"/>
      <c r="G588" s="152"/>
      <c r="H588" s="152"/>
      <c r="I588" s="152"/>
      <c r="J588" s="152"/>
      <c r="K588" s="248"/>
      <c r="L588" s="248"/>
      <c r="M588" s="152"/>
      <c r="N588" s="152"/>
      <c r="O588" s="152"/>
      <c r="P588" s="152"/>
      <c r="Q588" s="152"/>
      <c r="R588" s="152"/>
      <c r="S588" s="152"/>
      <c r="T588" s="152"/>
      <c r="U588" s="152"/>
      <c r="V588" s="152"/>
      <c r="W588" s="152"/>
    </row>
    <row r="589">
      <c r="A589" s="152"/>
      <c r="B589" s="152"/>
      <c r="C589" s="152"/>
      <c r="D589" s="152"/>
      <c r="E589" s="152"/>
      <c r="F589" s="152"/>
      <c r="G589" s="152"/>
      <c r="H589" s="152"/>
      <c r="I589" s="152"/>
      <c r="J589" s="152"/>
      <c r="K589" s="248"/>
      <c r="L589" s="248"/>
      <c r="M589" s="152"/>
      <c r="N589" s="152"/>
      <c r="O589" s="152"/>
      <c r="P589" s="152"/>
      <c r="Q589" s="152"/>
      <c r="R589" s="152"/>
      <c r="S589" s="152"/>
      <c r="T589" s="152"/>
      <c r="U589" s="152"/>
      <c r="V589" s="152"/>
      <c r="W589" s="152"/>
    </row>
    <row r="590">
      <c r="A590" s="152"/>
      <c r="B590" s="152"/>
      <c r="C590" s="152"/>
      <c r="D590" s="152"/>
      <c r="E590" s="152"/>
      <c r="F590" s="152"/>
      <c r="G590" s="152"/>
      <c r="H590" s="152"/>
      <c r="I590" s="152"/>
      <c r="J590" s="152"/>
      <c r="K590" s="248"/>
      <c r="L590" s="248"/>
      <c r="M590" s="152"/>
      <c r="N590" s="152"/>
      <c r="O590" s="152"/>
      <c r="P590" s="152"/>
      <c r="Q590" s="152"/>
      <c r="R590" s="152"/>
      <c r="S590" s="152"/>
      <c r="T590" s="152"/>
      <c r="U590" s="152"/>
      <c r="V590" s="152"/>
      <c r="W590" s="152"/>
    </row>
    <row r="591">
      <c r="A591" s="152"/>
      <c r="B591" s="152"/>
      <c r="C591" s="152"/>
      <c r="D591" s="152"/>
      <c r="E591" s="152"/>
      <c r="F591" s="152"/>
      <c r="G591" s="152"/>
      <c r="H591" s="152"/>
      <c r="I591" s="152"/>
      <c r="J591" s="152"/>
      <c r="K591" s="248"/>
      <c r="L591" s="248"/>
      <c r="M591" s="152"/>
      <c r="N591" s="152"/>
      <c r="O591" s="152"/>
      <c r="P591" s="152"/>
      <c r="Q591" s="152"/>
      <c r="R591" s="152"/>
      <c r="S591" s="152"/>
      <c r="T591" s="152"/>
      <c r="U591" s="152"/>
      <c r="V591" s="152"/>
      <c r="W591" s="152"/>
    </row>
    <row r="592">
      <c r="A592" s="152"/>
      <c r="B592" s="152"/>
      <c r="C592" s="152"/>
      <c r="D592" s="152"/>
      <c r="E592" s="152"/>
      <c r="F592" s="152"/>
      <c r="G592" s="152"/>
      <c r="H592" s="152"/>
      <c r="I592" s="152"/>
      <c r="J592" s="152"/>
      <c r="K592" s="248"/>
      <c r="L592" s="248"/>
      <c r="M592" s="152"/>
      <c r="N592" s="152"/>
      <c r="O592" s="152"/>
      <c r="P592" s="152"/>
      <c r="Q592" s="152"/>
      <c r="R592" s="152"/>
      <c r="S592" s="152"/>
      <c r="T592" s="152"/>
      <c r="U592" s="152"/>
      <c r="V592" s="152"/>
      <c r="W592" s="152"/>
    </row>
    <row r="593">
      <c r="A593" s="152"/>
      <c r="B593" s="152"/>
      <c r="C593" s="152"/>
      <c r="D593" s="152"/>
      <c r="E593" s="152"/>
      <c r="F593" s="152"/>
      <c r="G593" s="152"/>
      <c r="H593" s="152"/>
      <c r="I593" s="152"/>
      <c r="J593" s="152"/>
      <c r="K593" s="248"/>
      <c r="L593" s="248"/>
      <c r="M593" s="152"/>
      <c r="N593" s="152"/>
      <c r="O593" s="152"/>
      <c r="P593" s="152"/>
      <c r="Q593" s="152"/>
      <c r="R593" s="152"/>
      <c r="S593" s="152"/>
      <c r="T593" s="152"/>
      <c r="U593" s="152"/>
      <c r="V593" s="152"/>
      <c r="W593" s="152"/>
    </row>
    <row r="594">
      <c r="A594" s="152"/>
      <c r="B594" s="152"/>
      <c r="C594" s="152"/>
      <c r="D594" s="152"/>
      <c r="E594" s="152"/>
      <c r="F594" s="152"/>
      <c r="G594" s="152"/>
      <c r="H594" s="152"/>
      <c r="I594" s="152"/>
      <c r="J594" s="152"/>
      <c r="K594" s="248"/>
      <c r="L594" s="248"/>
      <c r="M594" s="152"/>
      <c r="N594" s="152"/>
      <c r="O594" s="152"/>
      <c r="P594" s="152"/>
      <c r="Q594" s="152"/>
      <c r="R594" s="152"/>
      <c r="S594" s="152"/>
      <c r="T594" s="152"/>
      <c r="U594" s="152"/>
      <c r="V594" s="152"/>
      <c r="W594" s="152"/>
    </row>
    <row r="595">
      <c r="A595" s="152"/>
      <c r="B595" s="152"/>
      <c r="C595" s="152"/>
      <c r="D595" s="152"/>
      <c r="E595" s="152"/>
      <c r="F595" s="152"/>
      <c r="G595" s="152"/>
      <c r="H595" s="152"/>
      <c r="I595" s="152"/>
      <c r="J595" s="152"/>
      <c r="K595" s="248"/>
      <c r="L595" s="248"/>
      <c r="M595" s="152"/>
      <c r="N595" s="152"/>
      <c r="O595" s="152"/>
      <c r="P595" s="152"/>
      <c r="Q595" s="152"/>
      <c r="R595" s="152"/>
      <c r="S595" s="152"/>
      <c r="T595" s="152"/>
      <c r="U595" s="152"/>
      <c r="V595" s="152"/>
      <c r="W595" s="152"/>
    </row>
    <row r="596">
      <c r="A596" s="152"/>
      <c r="B596" s="152"/>
      <c r="C596" s="152"/>
      <c r="D596" s="152"/>
      <c r="E596" s="152"/>
      <c r="F596" s="152"/>
      <c r="G596" s="152"/>
      <c r="H596" s="152"/>
      <c r="I596" s="152"/>
      <c r="J596" s="152"/>
      <c r="K596" s="248"/>
      <c r="L596" s="248"/>
      <c r="M596" s="152"/>
      <c r="N596" s="152"/>
      <c r="O596" s="152"/>
      <c r="P596" s="152"/>
      <c r="Q596" s="152"/>
      <c r="R596" s="152"/>
      <c r="S596" s="152"/>
      <c r="T596" s="152"/>
      <c r="U596" s="152"/>
      <c r="V596" s="152"/>
      <c r="W596" s="152"/>
    </row>
    <row r="597">
      <c r="A597" s="152"/>
      <c r="B597" s="152"/>
      <c r="C597" s="152"/>
      <c r="D597" s="152"/>
      <c r="E597" s="152"/>
      <c r="F597" s="152"/>
      <c r="G597" s="152"/>
      <c r="H597" s="152"/>
      <c r="I597" s="152"/>
      <c r="J597" s="152"/>
      <c r="K597" s="248"/>
      <c r="L597" s="248"/>
      <c r="M597" s="152"/>
      <c r="N597" s="152"/>
      <c r="O597" s="152"/>
      <c r="P597" s="152"/>
      <c r="Q597" s="152"/>
      <c r="R597" s="152"/>
      <c r="S597" s="152"/>
      <c r="T597" s="152"/>
      <c r="U597" s="152"/>
      <c r="V597" s="152"/>
      <c r="W597" s="152"/>
    </row>
    <row r="598">
      <c r="A598" s="152"/>
      <c r="B598" s="152"/>
      <c r="C598" s="152"/>
      <c r="D598" s="152"/>
      <c r="E598" s="152"/>
      <c r="F598" s="152"/>
      <c r="G598" s="152"/>
      <c r="H598" s="152"/>
      <c r="I598" s="152"/>
      <c r="J598" s="152"/>
      <c r="K598" s="248"/>
      <c r="L598" s="248"/>
      <c r="M598" s="152"/>
      <c r="N598" s="152"/>
      <c r="O598" s="152"/>
      <c r="P598" s="152"/>
      <c r="Q598" s="152"/>
      <c r="R598" s="152"/>
      <c r="S598" s="152"/>
      <c r="T598" s="152"/>
      <c r="U598" s="152"/>
      <c r="V598" s="152"/>
      <c r="W598" s="152"/>
    </row>
    <row r="599">
      <c r="A599" s="152"/>
      <c r="B599" s="152"/>
      <c r="C599" s="152"/>
      <c r="D599" s="152"/>
      <c r="E599" s="152"/>
      <c r="F599" s="152"/>
      <c r="G599" s="152"/>
      <c r="H599" s="152"/>
      <c r="I599" s="152"/>
      <c r="J599" s="152"/>
      <c r="K599" s="248"/>
      <c r="L599" s="248"/>
      <c r="M599" s="152"/>
      <c r="N599" s="152"/>
      <c r="O599" s="152"/>
      <c r="P599" s="152"/>
      <c r="Q599" s="152"/>
      <c r="R599" s="152"/>
      <c r="S599" s="152"/>
      <c r="T599" s="152"/>
      <c r="U599" s="152"/>
      <c r="V599" s="152"/>
      <c r="W599" s="152"/>
    </row>
    <row r="600">
      <c r="A600" s="152"/>
      <c r="B600" s="152"/>
      <c r="C600" s="152"/>
      <c r="D600" s="152"/>
      <c r="E600" s="152"/>
      <c r="F600" s="152"/>
      <c r="G600" s="152"/>
      <c r="H600" s="152"/>
      <c r="I600" s="152"/>
      <c r="J600" s="152"/>
      <c r="K600" s="248"/>
      <c r="L600" s="248"/>
      <c r="M600" s="152"/>
      <c r="N600" s="152"/>
      <c r="O600" s="152"/>
      <c r="P600" s="152"/>
      <c r="Q600" s="152"/>
      <c r="R600" s="152"/>
      <c r="S600" s="152"/>
      <c r="T600" s="152"/>
      <c r="U600" s="152"/>
      <c r="V600" s="152"/>
      <c r="W600" s="152"/>
    </row>
    <row r="601">
      <c r="A601" s="152"/>
      <c r="B601" s="152"/>
      <c r="C601" s="152"/>
      <c r="D601" s="152"/>
      <c r="E601" s="152"/>
      <c r="F601" s="152"/>
      <c r="G601" s="152"/>
      <c r="H601" s="152"/>
      <c r="I601" s="152"/>
      <c r="J601" s="152"/>
      <c r="K601" s="248"/>
      <c r="L601" s="248"/>
      <c r="M601" s="152"/>
      <c r="N601" s="152"/>
      <c r="O601" s="152"/>
      <c r="P601" s="152"/>
      <c r="Q601" s="152"/>
      <c r="R601" s="152"/>
      <c r="S601" s="152"/>
      <c r="T601" s="152"/>
      <c r="U601" s="152"/>
      <c r="V601" s="152"/>
      <c r="W601" s="152"/>
    </row>
    <row r="602">
      <c r="A602" s="152"/>
      <c r="B602" s="152"/>
      <c r="C602" s="152"/>
      <c r="D602" s="152"/>
      <c r="E602" s="152"/>
      <c r="F602" s="152"/>
      <c r="G602" s="152"/>
      <c r="H602" s="152"/>
      <c r="I602" s="152"/>
      <c r="J602" s="152"/>
      <c r="K602" s="248"/>
      <c r="L602" s="248"/>
      <c r="M602" s="152"/>
      <c r="N602" s="152"/>
      <c r="O602" s="152"/>
      <c r="P602" s="152"/>
      <c r="Q602" s="152"/>
      <c r="R602" s="152"/>
      <c r="S602" s="152"/>
      <c r="T602" s="152"/>
      <c r="U602" s="152"/>
      <c r="V602" s="152"/>
      <c r="W602" s="152"/>
    </row>
    <row r="603">
      <c r="A603" s="152"/>
      <c r="B603" s="152"/>
      <c r="C603" s="152"/>
      <c r="D603" s="152"/>
      <c r="E603" s="152"/>
      <c r="F603" s="152"/>
      <c r="G603" s="152"/>
      <c r="H603" s="152"/>
      <c r="I603" s="152"/>
      <c r="J603" s="152"/>
      <c r="K603" s="248"/>
      <c r="L603" s="248"/>
      <c r="M603" s="152"/>
      <c r="N603" s="152"/>
      <c r="O603" s="152"/>
      <c r="P603" s="152"/>
      <c r="Q603" s="152"/>
      <c r="R603" s="152"/>
      <c r="S603" s="152"/>
      <c r="T603" s="152"/>
      <c r="U603" s="152"/>
      <c r="V603" s="152"/>
      <c r="W603" s="152"/>
    </row>
    <row r="604">
      <c r="A604" s="152"/>
      <c r="B604" s="152"/>
      <c r="C604" s="152"/>
      <c r="D604" s="152"/>
      <c r="E604" s="152"/>
      <c r="F604" s="152"/>
      <c r="G604" s="152"/>
      <c r="H604" s="152"/>
      <c r="I604" s="152"/>
      <c r="J604" s="152"/>
      <c r="K604" s="248"/>
      <c r="L604" s="248"/>
      <c r="M604" s="152"/>
      <c r="N604" s="152"/>
      <c r="O604" s="152"/>
      <c r="P604" s="152"/>
      <c r="Q604" s="152"/>
      <c r="R604" s="152"/>
      <c r="S604" s="152"/>
      <c r="T604" s="152"/>
      <c r="U604" s="152"/>
      <c r="V604" s="152"/>
      <c r="W604" s="152"/>
    </row>
    <row r="605">
      <c r="A605" s="152"/>
      <c r="B605" s="152"/>
      <c r="C605" s="152"/>
      <c r="D605" s="152"/>
      <c r="E605" s="152"/>
      <c r="F605" s="152"/>
      <c r="G605" s="152"/>
      <c r="H605" s="152"/>
      <c r="I605" s="152"/>
      <c r="J605" s="152"/>
      <c r="K605" s="248"/>
      <c r="L605" s="248"/>
      <c r="M605" s="152"/>
      <c r="N605" s="152"/>
      <c r="O605" s="152"/>
      <c r="P605" s="152"/>
      <c r="Q605" s="152"/>
      <c r="R605" s="152"/>
      <c r="S605" s="152"/>
      <c r="T605" s="152"/>
      <c r="U605" s="152"/>
      <c r="V605" s="152"/>
      <c r="W605" s="152"/>
    </row>
    <row r="606">
      <c r="A606" s="152"/>
      <c r="B606" s="152"/>
      <c r="C606" s="152"/>
      <c r="D606" s="152"/>
      <c r="E606" s="152"/>
      <c r="F606" s="152"/>
      <c r="G606" s="152"/>
      <c r="H606" s="152"/>
      <c r="I606" s="152"/>
      <c r="J606" s="152"/>
      <c r="K606" s="248"/>
      <c r="L606" s="248"/>
      <c r="M606" s="152"/>
      <c r="N606" s="152"/>
      <c r="O606" s="152"/>
      <c r="P606" s="152"/>
      <c r="Q606" s="152"/>
      <c r="R606" s="152"/>
      <c r="S606" s="152"/>
      <c r="T606" s="152"/>
      <c r="U606" s="152"/>
      <c r="V606" s="152"/>
      <c r="W606" s="152"/>
    </row>
    <row r="607">
      <c r="A607" s="152"/>
      <c r="B607" s="152"/>
      <c r="C607" s="152"/>
      <c r="D607" s="152"/>
      <c r="E607" s="152"/>
      <c r="F607" s="152"/>
      <c r="G607" s="152"/>
      <c r="H607" s="152"/>
      <c r="I607" s="152"/>
      <c r="J607" s="152"/>
      <c r="K607" s="248"/>
      <c r="L607" s="248"/>
      <c r="M607" s="152"/>
      <c r="N607" s="152"/>
      <c r="O607" s="152"/>
      <c r="P607" s="152"/>
      <c r="Q607" s="152"/>
      <c r="R607" s="152"/>
      <c r="S607" s="152"/>
      <c r="T607" s="152"/>
      <c r="U607" s="152"/>
      <c r="V607" s="152"/>
      <c r="W607" s="152"/>
    </row>
    <row r="608">
      <c r="A608" s="152"/>
      <c r="B608" s="152"/>
      <c r="C608" s="152"/>
      <c r="D608" s="152"/>
      <c r="E608" s="152"/>
      <c r="F608" s="152"/>
      <c r="G608" s="152"/>
      <c r="H608" s="152"/>
      <c r="I608" s="152"/>
      <c r="J608" s="152"/>
      <c r="K608" s="248"/>
      <c r="L608" s="248"/>
      <c r="M608" s="152"/>
      <c r="N608" s="152"/>
      <c r="O608" s="152"/>
      <c r="P608" s="152"/>
      <c r="Q608" s="152"/>
      <c r="R608" s="152"/>
      <c r="S608" s="152"/>
      <c r="T608" s="152"/>
      <c r="U608" s="152"/>
      <c r="V608" s="152"/>
      <c r="W608" s="152"/>
    </row>
    <row r="609">
      <c r="A609" s="152"/>
      <c r="B609" s="152"/>
      <c r="C609" s="152"/>
      <c r="D609" s="152"/>
      <c r="E609" s="152"/>
      <c r="F609" s="152"/>
      <c r="G609" s="152"/>
      <c r="H609" s="152"/>
      <c r="I609" s="152"/>
      <c r="J609" s="152"/>
      <c r="K609" s="248"/>
      <c r="L609" s="248"/>
      <c r="M609" s="152"/>
      <c r="N609" s="152"/>
      <c r="O609" s="152"/>
      <c r="P609" s="152"/>
      <c r="Q609" s="152"/>
      <c r="R609" s="152"/>
      <c r="S609" s="152"/>
      <c r="T609" s="152"/>
      <c r="U609" s="152"/>
      <c r="V609" s="152"/>
      <c r="W609" s="152"/>
    </row>
    <row r="610">
      <c r="A610" s="152"/>
      <c r="B610" s="152"/>
      <c r="C610" s="152"/>
      <c r="D610" s="152"/>
      <c r="E610" s="152"/>
      <c r="F610" s="152"/>
      <c r="G610" s="152"/>
      <c r="H610" s="152"/>
      <c r="I610" s="152"/>
      <c r="J610" s="152"/>
      <c r="K610" s="248"/>
      <c r="L610" s="248"/>
      <c r="M610" s="152"/>
      <c r="N610" s="152"/>
      <c r="O610" s="152"/>
      <c r="P610" s="152"/>
      <c r="Q610" s="152"/>
      <c r="R610" s="152"/>
      <c r="S610" s="152"/>
      <c r="T610" s="152"/>
      <c r="U610" s="152"/>
      <c r="V610" s="152"/>
      <c r="W610" s="152"/>
    </row>
    <row r="611">
      <c r="A611" s="152"/>
      <c r="B611" s="152"/>
      <c r="C611" s="152"/>
      <c r="D611" s="152"/>
      <c r="E611" s="152"/>
      <c r="F611" s="152"/>
      <c r="G611" s="152"/>
      <c r="H611" s="152"/>
      <c r="I611" s="152"/>
      <c r="J611" s="152"/>
      <c r="K611" s="248"/>
      <c r="L611" s="248"/>
      <c r="M611" s="152"/>
      <c r="N611" s="152"/>
      <c r="O611" s="152"/>
      <c r="P611" s="152"/>
      <c r="Q611" s="152"/>
      <c r="R611" s="152"/>
      <c r="S611" s="152"/>
      <c r="T611" s="152"/>
      <c r="U611" s="152"/>
      <c r="V611" s="152"/>
      <c r="W611" s="152"/>
    </row>
    <row r="612">
      <c r="A612" s="152"/>
      <c r="B612" s="152"/>
      <c r="C612" s="152"/>
      <c r="D612" s="152"/>
      <c r="E612" s="152"/>
      <c r="F612" s="152"/>
      <c r="G612" s="152"/>
      <c r="H612" s="152"/>
      <c r="I612" s="152"/>
      <c r="J612" s="152"/>
      <c r="K612" s="248"/>
      <c r="L612" s="248"/>
      <c r="M612" s="152"/>
      <c r="N612" s="152"/>
      <c r="O612" s="152"/>
      <c r="P612" s="152"/>
      <c r="Q612" s="152"/>
      <c r="R612" s="152"/>
      <c r="S612" s="152"/>
      <c r="T612" s="152"/>
      <c r="U612" s="152"/>
      <c r="V612" s="152"/>
      <c r="W612" s="152"/>
    </row>
    <row r="613">
      <c r="A613" s="152"/>
      <c r="B613" s="152"/>
      <c r="C613" s="152"/>
      <c r="D613" s="152"/>
      <c r="E613" s="152"/>
      <c r="F613" s="152"/>
      <c r="G613" s="152"/>
      <c r="H613" s="152"/>
      <c r="I613" s="152"/>
      <c r="J613" s="152"/>
      <c r="K613" s="248"/>
      <c r="L613" s="248"/>
      <c r="M613" s="152"/>
      <c r="N613" s="152"/>
      <c r="O613" s="152"/>
      <c r="P613" s="152"/>
      <c r="Q613" s="152"/>
      <c r="R613" s="152"/>
      <c r="S613" s="152"/>
      <c r="T613" s="152"/>
      <c r="U613" s="152"/>
      <c r="V613" s="152"/>
      <c r="W613" s="152"/>
    </row>
    <row r="614">
      <c r="A614" s="152"/>
      <c r="B614" s="152"/>
      <c r="C614" s="152"/>
      <c r="D614" s="152"/>
      <c r="E614" s="152"/>
      <c r="F614" s="152"/>
      <c r="G614" s="152"/>
      <c r="H614" s="152"/>
      <c r="I614" s="152"/>
      <c r="J614" s="152"/>
      <c r="K614" s="248"/>
      <c r="L614" s="248"/>
      <c r="M614" s="152"/>
      <c r="N614" s="152"/>
      <c r="O614" s="152"/>
      <c r="P614" s="152"/>
      <c r="Q614" s="152"/>
      <c r="R614" s="152"/>
      <c r="S614" s="152"/>
      <c r="T614" s="152"/>
      <c r="U614" s="152"/>
      <c r="V614" s="152"/>
      <c r="W614" s="152"/>
    </row>
    <row r="615">
      <c r="A615" s="152"/>
      <c r="B615" s="152"/>
      <c r="C615" s="152"/>
      <c r="D615" s="152"/>
      <c r="E615" s="152"/>
      <c r="F615" s="152"/>
      <c r="G615" s="152"/>
      <c r="H615" s="152"/>
      <c r="I615" s="152"/>
      <c r="J615" s="152"/>
      <c r="K615" s="248"/>
      <c r="L615" s="248"/>
      <c r="M615" s="152"/>
      <c r="N615" s="152"/>
      <c r="O615" s="152"/>
      <c r="P615" s="152"/>
      <c r="Q615" s="152"/>
      <c r="R615" s="152"/>
      <c r="S615" s="152"/>
      <c r="T615" s="152"/>
      <c r="U615" s="152"/>
      <c r="V615" s="152"/>
      <c r="W615" s="152"/>
    </row>
    <row r="616">
      <c r="A616" s="152"/>
      <c r="B616" s="152"/>
      <c r="C616" s="152"/>
      <c r="D616" s="152"/>
      <c r="E616" s="152"/>
      <c r="F616" s="152"/>
      <c r="G616" s="152"/>
      <c r="H616" s="152"/>
      <c r="I616" s="152"/>
      <c r="J616" s="152"/>
      <c r="K616" s="248"/>
      <c r="L616" s="248"/>
      <c r="M616" s="152"/>
      <c r="N616" s="152"/>
      <c r="O616" s="152"/>
      <c r="P616" s="152"/>
      <c r="Q616" s="152"/>
      <c r="R616" s="152"/>
      <c r="S616" s="152"/>
      <c r="T616" s="152"/>
      <c r="U616" s="152"/>
      <c r="V616" s="152"/>
      <c r="W616" s="152"/>
    </row>
    <row r="617">
      <c r="A617" s="152"/>
      <c r="B617" s="152"/>
      <c r="C617" s="152"/>
      <c r="D617" s="152"/>
      <c r="E617" s="152"/>
      <c r="F617" s="152"/>
      <c r="G617" s="152"/>
      <c r="H617" s="152"/>
      <c r="I617" s="152"/>
      <c r="J617" s="152"/>
      <c r="K617" s="248"/>
      <c r="L617" s="248"/>
      <c r="M617" s="152"/>
      <c r="N617" s="152"/>
      <c r="O617" s="152"/>
      <c r="P617" s="152"/>
      <c r="Q617" s="152"/>
      <c r="R617" s="152"/>
      <c r="S617" s="152"/>
      <c r="T617" s="152"/>
      <c r="U617" s="152"/>
      <c r="V617" s="152"/>
      <c r="W617" s="152"/>
    </row>
    <row r="618">
      <c r="A618" s="152"/>
      <c r="B618" s="152"/>
      <c r="C618" s="152"/>
      <c r="D618" s="152"/>
      <c r="E618" s="152"/>
      <c r="F618" s="152"/>
      <c r="G618" s="152"/>
      <c r="H618" s="152"/>
      <c r="I618" s="152"/>
      <c r="J618" s="152"/>
      <c r="K618" s="248"/>
      <c r="L618" s="248"/>
      <c r="M618" s="152"/>
      <c r="N618" s="152"/>
      <c r="O618" s="152"/>
      <c r="P618" s="152"/>
      <c r="Q618" s="152"/>
      <c r="R618" s="152"/>
      <c r="S618" s="152"/>
      <c r="T618" s="152"/>
      <c r="U618" s="152"/>
      <c r="V618" s="152"/>
      <c r="W618" s="152"/>
    </row>
    <row r="619">
      <c r="A619" s="152"/>
      <c r="B619" s="152"/>
      <c r="C619" s="152"/>
      <c r="D619" s="152"/>
      <c r="E619" s="152"/>
      <c r="F619" s="152"/>
      <c r="G619" s="152"/>
      <c r="H619" s="152"/>
      <c r="I619" s="152"/>
      <c r="J619" s="152"/>
      <c r="K619" s="248"/>
      <c r="L619" s="248"/>
      <c r="M619" s="152"/>
      <c r="N619" s="152"/>
      <c r="O619" s="152"/>
      <c r="P619" s="152"/>
      <c r="Q619" s="152"/>
      <c r="R619" s="152"/>
      <c r="S619" s="152"/>
      <c r="T619" s="152"/>
      <c r="U619" s="152"/>
      <c r="V619" s="152"/>
      <c r="W619" s="152"/>
    </row>
    <row r="620">
      <c r="A620" s="152"/>
      <c r="B620" s="152"/>
      <c r="C620" s="152"/>
      <c r="D620" s="152"/>
      <c r="E620" s="152"/>
      <c r="F620" s="152"/>
      <c r="G620" s="152"/>
      <c r="H620" s="152"/>
      <c r="I620" s="152"/>
      <c r="J620" s="152"/>
      <c r="K620" s="248"/>
      <c r="L620" s="248"/>
      <c r="M620" s="152"/>
      <c r="N620" s="152"/>
      <c r="O620" s="152"/>
      <c r="P620" s="152"/>
      <c r="Q620" s="152"/>
      <c r="R620" s="152"/>
      <c r="S620" s="152"/>
      <c r="T620" s="152"/>
      <c r="U620" s="152"/>
      <c r="V620" s="152"/>
      <c r="W620" s="152"/>
    </row>
    <row r="621">
      <c r="A621" s="152"/>
      <c r="B621" s="152"/>
      <c r="C621" s="152"/>
      <c r="D621" s="152"/>
      <c r="E621" s="152"/>
      <c r="F621" s="152"/>
      <c r="G621" s="152"/>
      <c r="H621" s="152"/>
      <c r="I621" s="152"/>
      <c r="J621" s="152"/>
      <c r="K621" s="248"/>
      <c r="L621" s="248"/>
      <c r="M621" s="152"/>
      <c r="N621" s="152"/>
      <c r="O621" s="152"/>
      <c r="P621" s="152"/>
      <c r="Q621" s="152"/>
      <c r="R621" s="152"/>
      <c r="S621" s="152"/>
      <c r="T621" s="152"/>
      <c r="U621" s="152"/>
      <c r="V621" s="152"/>
      <c r="W621" s="152"/>
    </row>
    <row r="622">
      <c r="A622" s="152"/>
      <c r="B622" s="152"/>
      <c r="C622" s="152"/>
      <c r="D622" s="152"/>
      <c r="E622" s="152"/>
      <c r="F622" s="152"/>
      <c r="G622" s="152"/>
      <c r="H622" s="152"/>
      <c r="I622" s="152"/>
      <c r="J622" s="152"/>
      <c r="K622" s="248"/>
      <c r="L622" s="248"/>
      <c r="M622" s="152"/>
      <c r="N622" s="152"/>
      <c r="O622" s="152"/>
      <c r="P622" s="152"/>
      <c r="Q622" s="152"/>
      <c r="R622" s="152"/>
      <c r="S622" s="152"/>
      <c r="T622" s="152"/>
      <c r="U622" s="152"/>
      <c r="V622" s="152"/>
      <c r="W622" s="152"/>
    </row>
    <row r="623">
      <c r="A623" s="152"/>
      <c r="B623" s="152"/>
      <c r="C623" s="152"/>
      <c r="D623" s="152"/>
      <c r="E623" s="152"/>
      <c r="F623" s="152"/>
      <c r="G623" s="152"/>
      <c r="H623" s="152"/>
      <c r="I623" s="152"/>
      <c r="J623" s="152"/>
      <c r="K623" s="248"/>
      <c r="L623" s="248"/>
      <c r="M623" s="152"/>
      <c r="N623" s="152"/>
      <c r="O623" s="152"/>
      <c r="P623" s="152"/>
      <c r="Q623" s="152"/>
      <c r="R623" s="152"/>
      <c r="S623" s="152"/>
      <c r="T623" s="152"/>
      <c r="U623" s="152"/>
      <c r="V623" s="152"/>
      <c r="W623" s="152"/>
    </row>
    <row r="624">
      <c r="A624" s="152"/>
      <c r="B624" s="152"/>
      <c r="C624" s="152"/>
      <c r="D624" s="152"/>
      <c r="E624" s="152"/>
      <c r="F624" s="152"/>
      <c r="G624" s="152"/>
      <c r="H624" s="152"/>
      <c r="I624" s="152"/>
      <c r="J624" s="152"/>
      <c r="K624" s="248"/>
      <c r="L624" s="248"/>
      <c r="M624" s="152"/>
      <c r="N624" s="152"/>
      <c r="O624" s="152"/>
      <c r="P624" s="152"/>
      <c r="Q624" s="152"/>
      <c r="R624" s="152"/>
      <c r="S624" s="152"/>
      <c r="T624" s="152"/>
      <c r="U624" s="152"/>
      <c r="V624" s="152"/>
      <c r="W624" s="152"/>
    </row>
    <row r="625">
      <c r="A625" s="152"/>
      <c r="B625" s="152"/>
      <c r="C625" s="152"/>
      <c r="D625" s="152"/>
      <c r="E625" s="152"/>
      <c r="F625" s="152"/>
      <c r="G625" s="152"/>
      <c r="H625" s="152"/>
      <c r="I625" s="152"/>
      <c r="J625" s="152"/>
      <c r="K625" s="248"/>
      <c r="L625" s="248"/>
      <c r="M625" s="152"/>
      <c r="N625" s="152"/>
      <c r="O625" s="152"/>
      <c r="P625" s="152"/>
      <c r="Q625" s="152"/>
      <c r="R625" s="152"/>
      <c r="S625" s="152"/>
      <c r="T625" s="152"/>
      <c r="U625" s="152"/>
      <c r="V625" s="152"/>
      <c r="W625" s="152"/>
    </row>
    <row r="626">
      <c r="A626" s="152"/>
      <c r="B626" s="152"/>
      <c r="C626" s="152"/>
      <c r="D626" s="152"/>
      <c r="E626" s="152"/>
      <c r="F626" s="152"/>
      <c r="G626" s="152"/>
      <c r="H626" s="152"/>
      <c r="I626" s="152"/>
      <c r="J626" s="152"/>
      <c r="K626" s="248"/>
      <c r="L626" s="248"/>
      <c r="M626" s="152"/>
      <c r="N626" s="152"/>
      <c r="O626" s="152"/>
      <c r="P626" s="152"/>
      <c r="Q626" s="152"/>
      <c r="R626" s="152"/>
      <c r="S626" s="152"/>
      <c r="T626" s="152"/>
      <c r="U626" s="152"/>
      <c r="V626" s="152"/>
      <c r="W626" s="152"/>
    </row>
    <row r="627">
      <c r="A627" s="152"/>
      <c r="B627" s="152"/>
      <c r="C627" s="152"/>
      <c r="D627" s="152"/>
      <c r="E627" s="152"/>
      <c r="F627" s="152"/>
      <c r="G627" s="152"/>
      <c r="H627" s="152"/>
      <c r="I627" s="152"/>
      <c r="J627" s="152"/>
      <c r="K627" s="248"/>
      <c r="L627" s="248"/>
      <c r="M627" s="152"/>
      <c r="N627" s="152"/>
      <c r="O627" s="152"/>
      <c r="P627" s="152"/>
      <c r="Q627" s="152"/>
      <c r="R627" s="152"/>
      <c r="S627" s="152"/>
      <c r="T627" s="152"/>
      <c r="U627" s="152"/>
      <c r="V627" s="152"/>
      <c r="W627" s="152"/>
    </row>
    <row r="628">
      <c r="A628" s="152"/>
      <c r="B628" s="152"/>
      <c r="C628" s="152"/>
      <c r="D628" s="152"/>
      <c r="E628" s="152"/>
      <c r="F628" s="152"/>
      <c r="G628" s="152"/>
      <c r="H628" s="152"/>
      <c r="I628" s="152"/>
      <c r="J628" s="152"/>
      <c r="K628" s="248"/>
      <c r="L628" s="248"/>
      <c r="M628" s="152"/>
      <c r="N628" s="152"/>
      <c r="O628" s="152"/>
      <c r="P628" s="152"/>
      <c r="Q628" s="152"/>
      <c r="R628" s="152"/>
      <c r="S628" s="152"/>
      <c r="T628" s="152"/>
      <c r="U628" s="152"/>
      <c r="V628" s="152"/>
      <c r="W628" s="152"/>
    </row>
    <row r="629">
      <c r="A629" s="152"/>
      <c r="B629" s="152"/>
      <c r="C629" s="152"/>
      <c r="D629" s="152"/>
      <c r="E629" s="152"/>
      <c r="F629" s="152"/>
      <c r="G629" s="152"/>
      <c r="H629" s="152"/>
      <c r="I629" s="152"/>
      <c r="J629" s="152"/>
      <c r="K629" s="248"/>
      <c r="L629" s="248"/>
      <c r="M629" s="152"/>
      <c r="N629" s="152"/>
      <c r="O629" s="152"/>
      <c r="P629" s="152"/>
      <c r="Q629" s="152"/>
      <c r="R629" s="152"/>
      <c r="S629" s="152"/>
      <c r="T629" s="152"/>
      <c r="U629" s="152"/>
      <c r="V629" s="152"/>
      <c r="W629" s="152"/>
    </row>
    <row r="630">
      <c r="A630" s="152"/>
      <c r="B630" s="152"/>
      <c r="C630" s="152"/>
      <c r="D630" s="152"/>
      <c r="E630" s="152"/>
      <c r="F630" s="152"/>
      <c r="G630" s="152"/>
      <c r="H630" s="152"/>
      <c r="I630" s="152"/>
      <c r="J630" s="152"/>
      <c r="K630" s="248"/>
      <c r="L630" s="248"/>
      <c r="M630" s="152"/>
      <c r="N630" s="152"/>
      <c r="O630" s="152"/>
      <c r="P630" s="152"/>
      <c r="Q630" s="152"/>
      <c r="R630" s="152"/>
      <c r="S630" s="152"/>
      <c r="T630" s="152"/>
      <c r="U630" s="152"/>
      <c r="V630" s="152"/>
      <c r="W630" s="152"/>
    </row>
    <row r="631">
      <c r="A631" s="152"/>
      <c r="B631" s="152"/>
      <c r="C631" s="152"/>
      <c r="D631" s="152"/>
      <c r="E631" s="152"/>
      <c r="F631" s="152"/>
      <c r="G631" s="152"/>
      <c r="H631" s="152"/>
      <c r="I631" s="152"/>
      <c r="J631" s="152"/>
      <c r="K631" s="248"/>
      <c r="L631" s="248"/>
      <c r="M631" s="152"/>
      <c r="N631" s="152"/>
      <c r="O631" s="152"/>
      <c r="P631" s="152"/>
      <c r="Q631" s="152"/>
      <c r="R631" s="152"/>
      <c r="S631" s="152"/>
      <c r="T631" s="152"/>
      <c r="U631" s="152"/>
      <c r="V631" s="152"/>
      <c r="W631" s="152"/>
    </row>
    <row r="632">
      <c r="A632" s="152"/>
      <c r="B632" s="152"/>
      <c r="C632" s="152"/>
      <c r="D632" s="152"/>
      <c r="E632" s="152"/>
      <c r="F632" s="152"/>
      <c r="G632" s="152"/>
      <c r="H632" s="152"/>
      <c r="I632" s="152"/>
      <c r="J632" s="152"/>
      <c r="K632" s="248"/>
      <c r="L632" s="248"/>
      <c r="M632" s="152"/>
      <c r="N632" s="152"/>
      <c r="O632" s="152"/>
      <c r="P632" s="152"/>
      <c r="Q632" s="152"/>
      <c r="R632" s="152"/>
      <c r="S632" s="152"/>
      <c r="T632" s="152"/>
      <c r="U632" s="152"/>
      <c r="V632" s="152"/>
      <c r="W632" s="152"/>
    </row>
    <row r="633">
      <c r="A633" s="152"/>
      <c r="B633" s="152"/>
      <c r="C633" s="152"/>
      <c r="D633" s="152"/>
      <c r="E633" s="152"/>
      <c r="F633" s="152"/>
      <c r="G633" s="152"/>
      <c r="H633" s="152"/>
      <c r="I633" s="152"/>
      <c r="J633" s="152"/>
      <c r="K633" s="248"/>
      <c r="L633" s="248"/>
      <c r="M633" s="152"/>
      <c r="N633" s="152"/>
      <c r="O633" s="152"/>
      <c r="P633" s="152"/>
      <c r="Q633" s="152"/>
      <c r="R633" s="152"/>
      <c r="S633" s="152"/>
      <c r="T633" s="152"/>
      <c r="U633" s="152"/>
      <c r="V633" s="152"/>
      <c r="W633" s="152"/>
    </row>
    <row r="634">
      <c r="A634" s="152"/>
      <c r="B634" s="152"/>
      <c r="C634" s="152"/>
      <c r="D634" s="152"/>
      <c r="E634" s="152"/>
      <c r="F634" s="152"/>
      <c r="G634" s="152"/>
      <c r="H634" s="152"/>
      <c r="I634" s="152"/>
      <c r="J634" s="152"/>
      <c r="K634" s="248"/>
      <c r="L634" s="248"/>
      <c r="M634" s="152"/>
      <c r="N634" s="152"/>
      <c r="O634" s="152"/>
      <c r="P634" s="152"/>
      <c r="Q634" s="152"/>
      <c r="R634" s="152"/>
      <c r="S634" s="152"/>
      <c r="T634" s="152"/>
      <c r="U634" s="152"/>
      <c r="V634" s="152"/>
      <c r="W634" s="152"/>
    </row>
    <row r="635">
      <c r="A635" s="152"/>
      <c r="B635" s="152"/>
      <c r="C635" s="152"/>
      <c r="D635" s="152"/>
      <c r="E635" s="152"/>
      <c r="F635" s="152"/>
      <c r="G635" s="152"/>
      <c r="H635" s="152"/>
      <c r="I635" s="152"/>
      <c r="J635" s="152"/>
      <c r="K635" s="248"/>
      <c r="L635" s="248"/>
      <c r="M635" s="152"/>
      <c r="N635" s="152"/>
      <c r="O635" s="152"/>
      <c r="P635" s="152"/>
      <c r="Q635" s="152"/>
      <c r="R635" s="152"/>
      <c r="S635" s="152"/>
      <c r="T635" s="152"/>
      <c r="U635" s="152"/>
      <c r="V635" s="152"/>
      <c r="W635" s="152"/>
    </row>
    <row r="636">
      <c r="A636" s="152"/>
      <c r="B636" s="152"/>
      <c r="C636" s="152"/>
      <c r="D636" s="152"/>
      <c r="E636" s="152"/>
      <c r="F636" s="152"/>
      <c r="G636" s="152"/>
      <c r="H636" s="152"/>
      <c r="I636" s="152"/>
      <c r="J636" s="152"/>
      <c r="K636" s="248"/>
      <c r="L636" s="248"/>
      <c r="M636" s="152"/>
      <c r="N636" s="152"/>
      <c r="O636" s="152"/>
      <c r="P636" s="152"/>
      <c r="Q636" s="152"/>
      <c r="R636" s="152"/>
      <c r="S636" s="152"/>
      <c r="T636" s="152"/>
      <c r="U636" s="152"/>
      <c r="V636" s="152"/>
      <c r="W636" s="152"/>
    </row>
    <row r="637">
      <c r="A637" s="152"/>
      <c r="B637" s="152"/>
      <c r="C637" s="152"/>
      <c r="D637" s="152"/>
      <c r="E637" s="152"/>
      <c r="F637" s="152"/>
      <c r="G637" s="152"/>
      <c r="H637" s="152"/>
      <c r="I637" s="152"/>
      <c r="J637" s="152"/>
      <c r="K637" s="248"/>
      <c r="L637" s="248"/>
      <c r="M637" s="152"/>
      <c r="N637" s="152"/>
      <c r="O637" s="152"/>
      <c r="P637" s="152"/>
      <c r="Q637" s="152"/>
      <c r="R637" s="152"/>
      <c r="S637" s="152"/>
      <c r="T637" s="152"/>
      <c r="U637" s="152"/>
      <c r="V637" s="152"/>
      <c r="W637" s="152"/>
    </row>
    <row r="638">
      <c r="A638" s="152"/>
      <c r="B638" s="152"/>
      <c r="C638" s="152"/>
      <c r="D638" s="152"/>
      <c r="E638" s="152"/>
      <c r="F638" s="152"/>
      <c r="G638" s="152"/>
      <c r="H638" s="152"/>
      <c r="I638" s="152"/>
      <c r="J638" s="152"/>
      <c r="K638" s="248"/>
      <c r="L638" s="248"/>
      <c r="M638" s="152"/>
      <c r="N638" s="152"/>
      <c r="O638" s="152"/>
      <c r="P638" s="152"/>
      <c r="Q638" s="152"/>
      <c r="R638" s="152"/>
      <c r="S638" s="152"/>
      <c r="T638" s="152"/>
      <c r="U638" s="152"/>
      <c r="V638" s="152"/>
      <c r="W638" s="152"/>
    </row>
    <row r="639">
      <c r="A639" s="152"/>
      <c r="B639" s="152"/>
      <c r="C639" s="152"/>
      <c r="D639" s="152"/>
      <c r="E639" s="152"/>
      <c r="F639" s="152"/>
      <c r="G639" s="152"/>
      <c r="H639" s="152"/>
      <c r="I639" s="152"/>
      <c r="J639" s="152"/>
      <c r="K639" s="248"/>
      <c r="L639" s="248"/>
      <c r="M639" s="152"/>
      <c r="N639" s="152"/>
      <c r="O639" s="152"/>
      <c r="P639" s="152"/>
      <c r="Q639" s="152"/>
      <c r="R639" s="152"/>
      <c r="S639" s="152"/>
      <c r="T639" s="152"/>
      <c r="U639" s="152"/>
      <c r="V639" s="152"/>
      <c r="W639" s="152"/>
    </row>
    <row r="640">
      <c r="A640" s="152"/>
      <c r="B640" s="152"/>
      <c r="C640" s="152"/>
      <c r="D640" s="152"/>
      <c r="E640" s="152"/>
      <c r="F640" s="152"/>
      <c r="G640" s="152"/>
      <c r="H640" s="152"/>
      <c r="I640" s="152"/>
      <c r="J640" s="152"/>
      <c r="K640" s="248"/>
      <c r="L640" s="248"/>
      <c r="M640" s="152"/>
      <c r="N640" s="152"/>
      <c r="O640" s="152"/>
      <c r="P640" s="152"/>
      <c r="Q640" s="152"/>
      <c r="R640" s="152"/>
      <c r="S640" s="152"/>
      <c r="T640" s="152"/>
      <c r="U640" s="152"/>
      <c r="V640" s="152"/>
      <c r="W640" s="152"/>
    </row>
    <row r="641">
      <c r="A641" s="152"/>
      <c r="B641" s="152"/>
      <c r="C641" s="152"/>
      <c r="D641" s="152"/>
      <c r="E641" s="152"/>
      <c r="F641" s="152"/>
      <c r="G641" s="152"/>
      <c r="H641" s="152"/>
      <c r="I641" s="152"/>
      <c r="J641" s="152"/>
      <c r="K641" s="248"/>
      <c r="L641" s="248"/>
      <c r="M641" s="152"/>
      <c r="N641" s="152"/>
      <c r="O641" s="152"/>
      <c r="P641" s="152"/>
      <c r="Q641" s="152"/>
      <c r="R641" s="152"/>
      <c r="S641" s="152"/>
      <c r="T641" s="152"/>
      <c r="U641" s="152"/>
      <c r="V641" s="152"/>
      <c r="W641" s="152"/>
    </row>
    <row r="642">
      <c r="A642" s="152"/>
      <c r="B642" s="152"/>
      <c r="C642" s="152"/>
      <c r="D642" s="152"/>
      <c r="E642" s="152"/>
      <c r="F642" s="152"/>
      <c r="G642" s="152"/>
      <c r="H642" s="152"/>
      <c r="I642" s="152"/>
      <c r="J642" s="152"/>
      <c r="K642" s="248"/>
      <c r="L642" s="248"/>
      <c r="M642" s="152"/>
      <c r="N642" s="152"/>
      <c r="O642" s="152"/>
      <c r="P642" s="152"/>
      <c r="Q642" s="152"/>
      <c r="R642" s="152"/>
      <c r="S642" s="152"/>
      <c r="T642" s="152"/>
      <c r="U642" s="152"/>
      <c r="V642" s="152"/>
      <c r="W642" s="152"/>
    </row>
    <row r="643">
      <c r="A643" s="152"/>
      <c r="B643" s="152"/>
      <c r="C643" s="152"/>
      <c r="D643" s="152"/>
      <c r="E643" s="152"/>
      <c r="F643" s="152"/>
      <c r="G643" s="152"/>
      <c r="H643" s="152"/>
      <c r="I643" s="152"/>
      <c r="J643" s="152"/>
      <c r="K643" s="248"/>
      <c r="L643" s="248"/>
      <c r="M643" s="152"/>
      <c r="N643" s="152"/>
      <c r="O643" s="152"/>
      <c r="P643" s="152"/>
      <c r="Q643" s="152"/>
      <c r="R643" s="152"/>
      <c r="S643" s="152"/>
      <c r="T643" s="152"/>
      <c r="U643" s="152"/>
      <c r="V643" s="152"/>
      <c r="W643" s="152"/>
    </row>
    <row r="644">
      <c r="A644" s="152"/>
      <c r="B644" s="152"/>
      <c r="C644" s="152"/>
      <c r="D644" s="152"/>
      <c r="E644" s="152"/>
      <c r="F644" s="152"/>
      <c r="G644" s="152"/>
      <c r="H644" s="152"/>
      <c r="I644" s="152"/>
      <c r="J644" s="152"/>
      <c r="K644" s="248"/>
      <c r="L644" s="248"/>
      <c r="M644" s="152"/>
      <c r="N644" s="152"/>
      <c r="O644" s="152"/>
      <c r="P644" s="152"/>
      <c r="Q644" s="152"/>
      <c r="R644" s="152"/>
      <c r="S644" s="152"/>
      <c r="T644" s="152"/>
      <c r="U644" s="152"/>
      <c r="V644" s="152"/>
      <c r="W644" s="152"/>
    </row>
    <row r="645">
      <c r="A645" s="152"/>
      <c r="B645" s="152"/>
      <c r="C645" s="152"/>
      <c r="D645" s="152"/>
      <c r="E645" s="152"/>
      <c r="F645" s="152"/>
      <c r="G645" s="152"/>
      <c r="H645" s="152"/>
      <c r="I645" s="152"/>
      <c r="J645" s="152"/>
      <c r="K645" s="248"/>
      <c r="L645" s="248"/>
      <c r="M645" s="152"/>
      <c r="N645" s="152"/>
      <c r="O645" s="152"/>
      <c r="P645" s="152"/>
      <c r="Q645" s="152"/>
      <c r="R645" s="152"/>
      <c r="S645" s="152"/>
      <c r="T645" s="152"/>
      <c r="U645" s="152"/>
      <c r="V645" s="152"/>
      <c r="W645" s="152"/>
    </row>
    <row r="646">
      <c r="A646" s="152"/>
      <c r="B646" s="152"/>
      <c r="C646" s="152"/>
      <c r="D646" s="152"/>
      <c r="E646" s="152"/>
      <c r="F646" s="152"/>
      <c r="G646" s="152"/>
      <c r="H646" s="152"/>
      <c r="I646" s="152"/>
      <c r="J646" s="152"/>
      <c r="K646" s="248"/>
      <c r="L646" s="248"/>
      <c r="M646" s="152"/>
      <c r="N646" s="152"/>
      <c r="O646" s="152"/>
      <c r="P646" s="152"/>
      <c r="Q646" s="152"/>
      <c r="R646" s="152"/>
      <c r="S646" s="152"/>
      <c r="T646" s="152"/>
      <c r="U646" s="152"/>
      <c r="V646" s="152"/>
      <c r="W646" s="152"/>
    </row>
    <row r="647">
      <c r="A647" s="152"/>
      <c r="B647" s="152"/>
      <c r="C647" s="152"/>
      <c r="D647" s="152"/>
      <c r="E647" s="152"/>
      <c r="F647" s="152"/>
      <c r="G647" s="152"/>
      <c r="H647" s="152"/>
      <c r="I647" s="152"/>
      <c r="J647" s="152"/>
      <c r="K647" s="248"/>
      <c r="L647" s="248"/>
      <c r="M647" s="152"/>
      <c r="N647" s="152"/>
      <c r="O647" s="152"/>
      <c r="P647" s="152"/>
      <c r="Q647" s="152"/>
      <c r="R647" s="152"/>
      <c r="S647" s="152"/>
      <c r="T647" s="152"/>
      <c r="U647" s="152"/>
      <c r="V647" s="152"/>
      <c r="W647" s="152"/>
    </row>
    <row r="648">
      <c r="A648" s="152"/>
      <c r="B648" s="152"/>
      <c r="C648" s="152"/>
      <c r="D648" s="152"/>
      <c r="E648" s="152"/>
      <c r="F648" s="152"/>
      <c r="G648" s="152"/>
      <c r="H648" s="152"/>
      <c r="I648" s="152"/>
      <c r="J648" s="152"/>
      <c r="K648" s="248"/>
      <c r="L648" s="248"/>
      <c r="M648" s="152"/>
      <c r="N648" s="152"/>
      <c r="O648" s="152"/>
      <c r="P648" s="152"/>
      <c r="Q648" s="152"/>
      <c r="R648" s="152"/>
      <c r="S648" s="152"/>
      <c r="T648" s="152"/>
      <c r="U648" s="152"/>
      <c r="V648" s="152"/>
      <c r="W648" s="152"/>
    </row>
    <row r="649">
      <c r="A649" s="152"/>
      <c r="B649" s="152"/>
      <c r="C649" s="152"/>
      <c r="D649" s="152"/>
      <c r="E649" s="152"/>
      <c r="F649" s="152"/>
      <c r="G649" s="152"/>
      <c r="H649" s="152"/>
      <c r="I649" s="152"/>
      <c r="J649" s="152"/>
      <c r="K649" s="248"/>
      <c r="L649" s="248"/>
      <c r="M649" s="152"/>
      <c r="N649" s="152"/>
      <c r="O649" s="152"/>
      <c r="P649" s="152"/>
      <c r="Q649" s="152"/>
      <c r="R649" s="152"/>
      <c r="S649" s="152"/>
      <c r="T649" s="152"/>
      <c r="U649" s="152"/>
      <c r="V649" s="152"/>
      <c r="W649" s="152"/>
    </row>
    <row r="650">
      <c r="A650" s="152"/>
      <c r="B650" s="152"/>
      <c r="C650" s="152"/>
      <c r="D650" s="152"/>
      <c r="E650" s="152"/>
      <c r="F650" s="152"/>
      <c r="G650" s="152"/>
      <c r="H650" s="152"/>
      <c r="I650" s="152"/>
      <c r="J650" s="152"/>
      <c r="K650" s="248"/>
      <c r="L650" s="248"/>
      <c r="M650" s="152"/>
      <c r="N650" s="152"/>
      <c r="O650" s="152"/>
      <c r="P650" s="152"/>
      <c r="Q650" s="152"/>
      <c r="R650" s="152"/>
      <c r="S650" s="152"/>
      <c r="T650" s="152"/>
      <c r="U650" s="152"/>
      <c r="V650" s="152"/>
      <c r="W650" s="152"/>
    </row>
    <row r="651">
      <c r="A651" s="152"/>
      <c r="B651" s="152"/>
      <c r="C651" s="152"/>
      <c r="D651" s="152"/>
      <c r="E651" s="152"/>
      <c r="F651" s="152"/>
      <c r="G651" s="152"/>
      <c r="H651" s="152"/>
      <c r="I651" s="152"/>
      <c r="J651" s="152"/>
      <c r="K651" s="248"/>
      <c r="L651" s="248"/>
      <c r="M651" s="152"/>
      <c r="N651" s="152"/>
      <c r="O651" s="152"/>
      <c r="P651" s="152"/>
      <c r="Q651" s="152"/>
      <c r="R651" s="152"/>
      <c r="S651" s="152"/>
      <c r="T651" s="152"/>
      <c r="U651" s="152"/>
      <c r="V651" s="152"/>
      <c r="W651" s="152"/>
    </row>
    <row r="652">
      <c r="A652" s="152"/>
      <c r="B652" s="152"/>
      <c r="C652" s="152"/>
      <c r="D652" s="152"/>
      <c r="E652" s="152"/>
      <c r="F652" s="152"/>
      <c r="G652" s="152"/>
      <c r="H652" s="152"/>
      <c r="I652" s="152"/>
      <c r="J652" s="152"/>
      <c r="K652" s="248"/>
      <c r="L652" s="248"/>
      <c r="M652" s="152"/>
      <c r="N652" s="152"/>
      <c r="O652" s="152"/>
      <c r="P652" s="152"/>
      <c r="Q652" s="152"/>
      <c r="R652" s="152"/>
      <c r="S652" s="152"/>
      <c r="T652" s="152"/>
      <c r="U652" s="152"/>
      <c r="V652" s="152"/>
      <c r="W652" s="152"/>
    </row>
    <row r="653">
      <c r="A653" s="152"/>
      <c r="B653" s="152"/>
      <c r="C653" s="152"/>
      <c r="D653" s="152"/>
      <c r="E653" s="152"/>
      <c r="F653" s="152"/>
      <c r="G653" s="152"/>
      <c r="H653" s="152"/>
      <c r="I653" s="152"/>
      <c r="J653" s="152"/>
      <c r="K653" s="248"/>
      <c r="L653" s="248"/>
      <c r="M653" s="152"/>
      <c r="N653" s="152"/>
      <c r="O653" s="152"/>
      <c r="P653" s="152"/>
      <c r="Q653" s="152"/>
      <c r="R653" s="152"/>
      <c r="S653" s="152"/>
      <c r="T653" s="152"/>
      <c r="U653" s="152"/>
      <c r="V653" s="152"/>
      <c r="W653" s="152"/>
    </row>
    <row r="654">
      <c r="A654" s="152"/>
      <c r="B654" s="152"/>
      <c r="C654" s="152"/>
      <c r="D654" s="152"/>
      <c r="E654" s="152"/>
      <c r="F654" s="152"/>
      <c r="G654" s="152"/>
      <c r="H654" s="152"/>
      <c r="I654" s="152"/>
      <c r="J654" s="152"/>
      <c r="K654" s="248"/>
      <c r="L654" s="248"/>
      <c r="M654" s="152"/>
      <c r="N654" s="152"/>
      <c r="O654" s="152"/>
      <c r="P654" s="152"/>
      <c r="Q654" s="152"/>
      <c r="R654" s="152"/>
      <c r="S654" s="152"/>
      <c r="T654" s="152"/>
      <c r="U654" s="152"/>
      <c r="V654" s="152"/>
      <c r="W654" s="152"/>
    </row>
    <row r="655">
      <c r="A655" s="152"/>
      <c r="B655" s="152"/>
      <c r="C655" s="152"/>
      <c r="D655" s="152"/>
      <c r="E655" s="152"/>
      <c r="F655" s="152"/>
      <c r="G655" s="152"/>
      <c r="H655" s="152"/>
      <c r="I655" s="152"/>
      <c r="J655" s="152"/>
      <c r="K655" s="248"/>
      <c r="L655" s="248"/>
      <c r="M655" s="152"/>
      <c r="N655" s="152"/>
      <c r="O655" s="152"/>
      <c r="P655" s="152"/>
      <c r="Q655" s="152"/>
      <c r="R655" s="152"/>
      <c r="S655" s="152"/>
      <c r="T655" s="152"/>
      <c r="U655" s="152"/>
      <c r="V655" s="152"/>
      <c r="W655" s="152"/>
    </row>
    <row r="656">
      <c r="A656" s="152"/>
      <c r="B656" s="152"/>
      <c r="C656" s="152"/>
      <c r="D656" s="152"/>
      <c r="E656" s="152"/>
      <c r="F656" s="152"/>
      <c r="G656" s="152"/>
      <c r="H656" s="152"/>
      <c r="I656" s="152"/>
      <c r="J656" s="152"/>
      <c r="K656" s="248"/>
      <c r="L656" s="248"/>
      <c r="M656" s="152"/>
      <c r="N656" s="152"/>
      <c r="O656" s="152"/>
      <c r="P656" s="152"/>
      <c r="Q656" s="152"/>
      <c r="R656" s="152"/>
      <c r="S656" s="152"/>
      <c r="T656" s="152"/>
      <c r="U656" s="152"/>
      <c r="V656" s="152"/>
      <c r="W656" s="152"/>
    </row>
    <row r="657">
      <c r="A657" s="152"/>
      <c r="B657" s="152"/>
      <c r="C657" s="152"/>
      <c r="D657" s="152"/>
      <c r="E657" s="152"/>
      <c r="F657" s="152"/>
      <c r="G657" s="152"/>
      <c r="H657" s="152"/>
      <c r="I657" s="152"/>
      <c r="J657" s="152"/>
      <c r="K657" s="248"/>
      <c r="L657" s="248"/>
      <c r="M657" s="152"/>
      <c r="N657" s="152"/>
      <c r="O657" s="152"/>
      <c r="P657" s="152"/>
      <c r="Q657" s="152"/>
      <c r="R657" s="152"/>
      <c r="S657" s="152"/>
      <c r="T657" s="152"/>
      <c r="U657" s="152"/>
      <c r="V657" s="152"/>
      <c r="W657" s="152"/>
    </row>
    <row r="658">
      <c r="A658" s="152"/>
      <c r="B658" s="152"/>
      <c r="C658" s="152"/>
      <c r="D658" s="152"/>
      <c r="E658" s="152"/>
      <c r="F658" s="152"/>
      <c r="G658" s="152"/>
      <c r="H658" s="152"/>
      <c r="I658" s="152"/>
      <c r="J658" s="152"/>
      <c r="K658" s="248"/>
      <c r="L658" s="248"/>
      <c r="M658" s="152"/>
      <c r="N658" s="152"/>
      <c r="O658" s="152"/>
      <c r="P658" s="152"/>
      <c r="Q658" s="152"/>
      <c r="R658" s="152"/>
      <c r="S658" s="152"/>
      <c r="T658" s="152"/>
      <c r="U658" s="152"/>
      <c r="V658" s="152"/>
      <c r="W658" s="152"/>
    </row>
    <row r="659">
      <c r="A659" s="152"/>
      <c r="B659" s="152"/>
      <c r="C659" s="152"/>
      <c r="D659" s="152"/>
      <c r="E659" s="152"/>
      <c r="F659" s="152"/>
      <c r="G659" s="152"/>
      <c r="H659" s="152"/>
      <c r="I659" s="152"/>
      <c r="J659" s="152"/>
      <c r="K659" s="248"/>
      <c r="L659" s="248"/>
      <c r="M659" s="152"/>
      <c r="N659" s="152"/>
      <c r="O659" s="152"/>
      <c r="P659" s="152"/>
      <c r="Q659" s="152"/>
      <c r="R659" s="152"/>
      <c r="S659" s="152"/>
      <c r="T659" s="152"/>
      <c r="U659" s="152"/>
      <c r="V659" s="152"/>
      <c r="W659" s="152"/>
    </row>
    <row r="660">
      <c r="A660" s="152"/>
      <c r="B660" s="152"/>
      <c r="C660" s="152"/>
      <c r="D660" s="152"/>
      <c r="E660" s="152"/>
      <c r="F660" s="152"/>
      <c r="G660" s="152"/>
      <c r="H660" s="152"/>
      <c r="I660" s="152"/>
      <c r="J660" s="152"/>
      <c r="K660" s="248"/>
      <c r="L660" s="248"/>
      <c r="M660" s="152"/>
      <c r="N660" s="152"/>
      <c r="O660" s="152"/>
      <c r="P660" s="152"/>
      <c r="Q660" s="152"/>
      <c r="R660" s="152"/>
      <c r="S660" s="152"/>
      <c r="T660" s="152"/>
      <c r="U660" s="152"/>
      <c r="V660" s="152"/>
      <c r="W660" s="152"/>
    </row>
    <row r="661">
      <c r="A661" s="152"/>
      <c r="B661" s="152"/>
      <c r="C661" s="152"/>
      <c r="D661" s="152"/>
      <c r="E661" s="152"/>
      <c r="F661" s="152"/>
      <c r="G661" s="152"/>
      <c r="H661" s="152"/>
      <c r="I661" s="152"/>
      <c r="J661" s="152"/>
      <c r="K661" s="248"/>
      <c r="L661" s="248"/>
      <c r="M661" s="152"/>
      <c r="N661" s="152"/>
      <c r="O661" s="152"/>
      <c r="P661" s="152"/>
      <c r="Q661" s="152"/>
      <c r="R661" s="152"/>
      <c r="S661" s="152"/>
      <c r="T661" s="152"/>
      <c r="U661" s="152"/>
      <c r="V661" s="152"/>
      <c r="W661" s="152"/>
    </row>
    <row r="662">
      <c r="A662" s="152"/>
      <c r="B662" s="152"/>
      <c r="C662" s="152"/>
      <c r="D662" s="152"/>
      <c r="E662" s="152"/>
      <c r="F662" s="152"/>
      <c r="G662" s="152"/>
      <c r="H662" s="152"/>
      <c r="I662" s="152"/>
      <c r="J662" s="152"/>
      <c r="K662" s="248"/>
      <c r="L662" s="248"/>
      <c r="M662" s="152"/>
      <c r="N662" s="152"/>
      <c r="O662" s="152"/>
      <c r="P662" s="152"/>
      <c r="Q662" s="152"/>
      <c r="R662" s="152"/>
      <c r="S662" s="152"/>
      <c r="T662" s="152"/>
      <c r="U662" s="152"/>
      <c r="V662" s="152"/>
      <c r="W662" s="152"/>
    </row>
    <row r="663">
      <c r="A663" s="152"/>
      <c r="B663" s="152"/>
      <c r="C663" s="152"/>
      <c r="D663" s="152"/>
      <c r="E663" s="152"/>
      <c r="F663" s="152"/>
      <c r="G663" s="152"/>
      <c r="H663" s="152"/>
      <c r="I663" s="152"/>
      <c r="J663" s="152"/>
      <c r="K663" s="248"/>
      <c r="L663" s="248"/>
      <c r="M663" s="152"/>
      <c r="N663" s="152"/>
      <c r="O663" s="152"/>
      <c r="P663" s="152"/>
      <c r="Q663" s="152"/>
      <c r="R663" s="152"/>
      <c r="S663" s="152"/>
      <c r="T663" s="152"/>
      <c r="U663" s="152"/>
      <c r="V663" s="152"/>
      <c r="W663" s="152"/>
    </row>
    <row r="664">
      <c r="A664" s="152"/>
      <c r="B664" s="152"/>
      <c r="C664" s="152"/>
      <c r="D664" s="152"/>
      <c r="E664" s="152"/>
      <c r="F664" s="152"/>
      <c r="G664" s="152"/>
      <c r="H664" s="152"/>
      <c r="I664" s="152"/>
      <c r="J664" s="152"/>
      <c r="K664" s="248"/>
      <c r="L664" s="248"/>
      <c r="M664" s="152"/>
      <c r="N664" s="152"/>
      <c r="O664" s="152"/>
      <c r="P664" s="152"/>
      <c r="Q664" s="152"/>
      <c r="R664" s="152"/>
      <c r="S664" s="152"/>
      <c r="T664" s="152"/>
      <c r="U664" s="152"/>
      <c r="V664" s="152"/>
      <c r="W664" s="152"/>
    </row>
    <row r="665">
      <c r="A665" s="152"/>
      <c r="B665" s="152"/>
      <c r="C665" s="152"/>
      <c r="D665" s="152"/>
      <c r="E665" s="152"/>
      <c r="F665" s="152"/>
      <c r="G665" s="152"/>
      <c r="H665" s="152"/>
      <c r="I665" s="152"/>
      <c r="J665" s="152"/>
      <c r="K665" s="248"/>
      <c r="L665" s="248"/>
      <c r="M665" s="152"/>
      <c r="N665" s="152"/>
      <c r="O665" s="152"/>
      <c r="P665" s="152"/>
      <c r="Q665" s="152"/>
      <c r="R665" s="152"/>
      <c r="S665" s="152"/>
      <c r="T665" s="152"/>
      <c r="U665" s="152"/>
      <c r="V665" s="152"/>
      <c r="W665" s="152"/>
    </row>
    <row r="666">
      <c r="A666" s="152"/>
      <c r="B666" s="152"/>
      <c r="C666" s="152"/>
      <c r="D666" s="152"/>
      <c r="E666" s="152"/>
      <c r="F666" s="152"/>
      <c r="G666" s="152"/>
      <c r="H666" s="152"/>
      <c r="I666" s="152"/>
      <c r="J666" s="152"/>
      <c r="K666" s="248"/>
      <c r="L666" s="248"/>
      <c r="M666" s="152"/>
      <c r="N666" s="152"/>
      <c r="O666" s="152"/>
      <c r="P666" s="152"/>
      <c r="Q666" s="152"/>
      <c r="R666" s="152"/>
      <c r="S666" s="152"/>
      <c r="T666" s="152"/>
      <c r="U666" s="152"/>
      <c r="V666" s="152"/>
      <c r="W666" s="152"/>
    </row>
    <row r="667">
      <c r="A667" s="152"/>
      <c r="B667" s="152"/>
      <c r="C667" s="152"/>
      <c r="D667" s="152"/>
      <c r="E667" s="152"/>
      <c r="F667" s="152"/>
      <c r="G667" s="152"/>
      <c r="H667" s="152"/>
      <c r="I667" s="152"/>
      <c r="J667" s="152"/>
      <c r="K667" s="248"/>
      <c r="L667" s="248"/>
      <c r="M667" s="152"/>
      <c r="N667" s="152"/>
      <c r="O667" s="152"/>
      <c r="P667" s="152"/>
      <c r="Q667" s="152"/>
      <c r="R667" s="152"/>
      <c r="S667" s="152"/>
      <c r="T667" s="152"/>
      <c r="U667" s="152"/>
      <c r="V667" s="152"/>
      <c r="W667" s="152"/>
    </row>
    <row r="668">
      <c r="A668" s="152"/>
      <c r="B668" s="152"/>
      <c r="C668" s="152"/>
      <c r="D668" s="152"/>
      <c r="E668" s="152"/>
      <c r="F668" s="152"/>
      <c r="G668" s="152"/>
      <c r="H668" s="152"/>
      <c r="I668" s="152"/>
      <c r="J668" s="152"/>
      <c r="K668" s="248"/>
      <c r="L668" s="248"/>
      <c r="M668" s="152"/>
      <c r="N668" s="152"/>
      <c r="O668" s="152"/>
      <c r="P668" s="152"/>
      <c r="Q668" s="152"/>
      <c r="R668" s="152"/>
      <c r="S668" s="152"/>
      <c r="T668" s="152"/>
      <c r="U668" s="152"/>
      <c r="V668" s="152"/>
      <c r="W668" s="152"/>
    </row>
    <row r="669">
      <c r="A669" s="152"/>
      <c r="B669" s="152"/>
      <c r="C669" s="152"/>
      <c r="D669" s="152"/>
      <c r="E669" s="152"/>
      <c r="F669" s="152"/>
      <c r="G669" s="152"/>
      <c r="H669" s="152"/>
      <c r="I669" s="152"/>
      <c r="J669" s="152"/>
      <c r="K669" s="248"/>
      <c r="L669" s="248"/>
      <c r="M669" s="152"/>
      <c r="N669" s="152"/>
      <c r="O669" s="152"/>
      <c r="P669" s="152"/>
      <c r="Q669" s="152"/>
      <c r="R669" s="152"/>
      <c r="S669" s="152"/>
      <c r="T669" s="152"/>
      <c r="U669" s="152"/>
      <c r="V669" s="152"/>
      <c r="W669" s="152"/>
    </row>
    <row r="670">
      <c r="A670" s="152"/>
      <c r="B670" s="152"/>
      <c r="C670" s="152"/>
      <c r="D670" s="152"/>
      <c r="E670" s="152"/>
      <c r="F670" s="152"/>
      <c r="G670" s="152"/>
      <c r="H670" s="152"/>
      <c r="I670" s="152"/>
      <c r="J670" s="152"/>
      <c r="K670" s="248"/>
      <c r="L670" s="248"/>
      <c r="M670" s="152"/>
      <c r="N670" s="152"/>
      <c r="O670" s="152"/>
      <c r="P670" s="152"/>
      <c r="Q670" s="152"/>
      <c r="R670" s="152"/>
      <c r="S670" s="152"/>
      <c r="T670" s="152"/>
      <c r="U670" s="152"/>
      <c r="V670" s="152"/>
      <c r="W670" s="152"/>
    </row>
    <row r="671">
      <c r="A671" s="152"/>
      <c r="B671" s="152"/>
      <c r="C671" s="152"/>
      <c r="D671" s="152"/>
      <c r="E671" s="152"/>
      <c r="F671" s="152"/>
      <c r="G671" s="152"/>
      <c r="H671" s="152"/>
      <c r="I671" s="152"/>
      <c r="J671" s="152"/>
      <c r="K671" s="248"/>
      <c r="L671" s="248"/>
      <c r="M671" s="152"/>
      <c r="N671" s="152"/>
      <c r="O671" s="152"/>
      <c r="P671" s="152"/>
      <c r="Q671" s="152"/>
      <c r="R671" s="152"/>
      <c r="S671" s="152"/>
      <c r="T671" s="152"/>
      <c r="U671" s="152"/>
      <c r="V671" s="152"/>
      <c r="W671" s="152"/>
    </row>
    <row r="672">
      <c r="A672" s="152"/>
      <c r="B672" s="152"/>
      <c r="C672" s="152"/>
      <c r="D672" s="152"/>
      <c r="E672" s="152"/>
      <c r="F672" s="152"/>
      <c r="G672" s="152"/>
      <c r="H672" s="152"/>
      <c r="I672" s="152"/>
      <c r="J672" s="152"/>
      <c r="K672" s="248"/>
      <c r="L672" s="248"/>
      <c r="M672" s="152"/>
      <c r="N672" s="152"/>
      <c r="O672" s="152"/>
      <c r="P672" s="152"/>
      <c r="Q672" s="152"/>
      <c r="R672" s="152"/>
      <c r="S672" s="152"/>
      <c r="T672" s="152"/>
      <c r="U672" s="152"/>
      <c r="V672" s="152"/>
      <c r="W672" s="152"/>
    </row>
    <row r="673">
      <c r="A673" s="152"/>
      <c r="B673" s="152"/>
      <c r="C673" s="152"/>
      <c r="D673" s="152"/>
      <c r="E673" s="152"/>
      <c r="F673" s="152"/>
      <c r="G673" s="152"/>
      <c r="H673" s="152"/>
      <c r="I673" s="152"/>
      <c r="J673" s="152"/>
      <c r="K673" s="248"/>
      <c r="L673" s="248"/>
      <c r="M673" s="152"/>
      <c r="N673" s="152"/>
      <c r="O673" s="152"/>
      <c r="P673" s="152"/>
      <c r="Q673" s="152"/>
      <c r="R673" s="152"/>
      <c r="S673" s="152"/>
      <c r="T673" s="152"/>
      <c r="U673" s="152"/>
      <c r="V673" s="152"/>
      <c r="W673" s="152"/>
    </row>
    <row r="674">
      <c r="A674" s="152"/>
      <c r="B674" s="152"/>
      <c r="C674" s="152"/>
      <c r="D674" s="152"/>
      <c r="E674" s="152"/>
      <c r="F674" s="152"/>
      <c r="G674" s="152"/>
      <c r="H674" s="152"/>
      <c r="I674" s="152"/>
      <c r="J674" s="152"/>
      <c r="K674" s="248"/>
      <c r="L674" s="248"/>
      <c r="M674" s="152"/>
      <c r="N674" s="152"/>
      <c r="O674" s="152"/>
      <c r="P674" s="152"/>
      <c r="Q674" s="152"/>
      <c r="R674" s="152"/>
      <c r="S674" s="152"/>
      <c r="T674" s="152"/>
      <c r="U674" s="152"/>
      <c r="V674" s="152"/>
      <c r="W674" s="152"/>
    </row>
    <row r="675">
      <c r="A675" s="152"/>
      <c r="B675" s="152"/>
      <c r="C675" s="152"/>
      <c r="D675" s="152"/>
      <c r="E675" s="152"/>
      <c r="F675" s="152"/>
      <c r="G675" s="152"/>
      <c r="H675" s="152"/>
      <c r="I675" s="152"/>
      <c r="J675" s="152"/>
      <c r="K675" s="248"/>
      <c r="L675" s="248"/>
      <c r="M675" s="152"/>
      <c r="N675" s="152"/>
      <c r="O675" s="152"/>
      <c r="P675" s="152"/>
      <c r="Q675" s="152"/>
      <c r="R675" s="152"/>
      <c r="S675" s="152"/>
      <c r="T675" s="152"/>
      <c r="U675" s="152"/>
      <c r="V675" s="152"/>
      <c r="W675" s="152"/>
    </row>
    <row r="676">
      <c r="A676" s="152"/>
      <c r="B676" s="152"/>
      <c r="C676" s="152"/>
      <c r="D676" s="152"/>
      <c r="E676" s="152"/>
      <c r="F676" s="152"/>
      <c r="G676" s="152"/>
      <c r="H676" s="152"/>
      <c r="I676" s="152"/>
      <c r="J676" s="152"/>
      <c r="K676" s="248"/>
      <c r="L676" s="248"/>
      <c r="M676" s="152"/>
      <c r="N676" s="152"/>
      <c r="O676" s="152"/>
      <c r="P676" s="152"/>
      <c r="Q676" s="152"/>
      <c r="R676" s="152"/>
      <c r="S676" s="152"/>
      <c r="T676" s="152"/>
      <c r="U676" s="152"/>
      <c r="V676" s="152"/>
      <c r="W676" s="152"/>
    </row>
    <row r="677">
      <c r="A677" s="152"/>
      <c r="B677" s="152"/>
      <c r="C677" s="152"/>
      <c r="D677" s="152"/>
      <c r="E677" s="152"/>
      <c r="F677" s="152"/>
      <c r="G677" s="152"/>
      <c r="H677" s="152"/>
      <c r="I677" s="152"/>
      <c r="J677" s="152"/>
      <c r="K677" s="248"/>
      <c r="L677" s="248"/>
      <c r="M677" s="152"/>
      <c r="N677" s="152"/>
      <c r="O677" s="152"/>
      <c r="P677" s="152"/>
      <c r="Q677" s="152"/>
      <c r="R677" s="152"/>
      <c r="S677" s="152"/>
      <c r="T677" s="152"/>
      <c r="U677" s="152"/>
      <c r="V677" s="152"/>
      <c r="W677" s="152"/>
    </row>
    <row r="678">
      <c r="A678" s="152"/>
      <c r="B678" s="152"/>
      <c r="C678" s="152"/>
      <c r="D678" s="152"/>
      <c r="E678" s="152"/>
      <c r="F678" s="152"/>
      <c r="G678" s="152"/>
      <c r="H678" s="152"/>
      <c r="I678" s="152"/>
      <c r="J678" s="152"/>
      <c r="K678" s="248"/>
      <c r="L678" s="248"/>
      <c r="M678" s="152"/>
      <c r="N678" s="152"/>
      <c r="O678" s="152"/>
      <c r="P678" s="152"/>
      <c r="Q678" s="152"/>
      <c r="R678" s="152"/>
      <c r="S678" s="152"/>
      <c r="T678" s="152"/>
      <c r="U678" s="152"/>
      <c r="V678" s="152"/>
      <c r="W678" s="152"/>
    </row>
    <row r="679">
      <c r="A679" s="152"/>
      <c r="B679" s="152"/>
      <c r="C679" s="152"/>
      <c r="D679" s="152"/>
      <c r="E679" s="152"/>
      <c r="F679" s="152"/>
      <c r="G679" s="152"/>
      <c r="H679" s="152"/>
      <c r="I679" s="152"/>
      <c r="J679" s="152"/>
      <c r="K679" s="248"/>
      <c r="L679" s="248"/>
      <c r="M679" s="152"/>
      <c r="N679" s="152"/>
      <c r="O679" s="152"/>
      <c r="P679" s="152"/>
      <c r="Q679" s="152"/>
      <c r="R679" s="152"/>
      <c r="S679" s="152"/>
      <c r="T679" s="152"/>
      <c r="U679" s="152"/>
      <c r="V679" s="152"/>
      <c r="W679" s="152"/>
    </row>
    <row r="680">
      <c r="A680" s="152"/>
      <c r="B680" s="152"/>
      <c r="C680" s="152"/>
      <c r="D680" s="152"/>
      <c r="E680" s="152"/>
      <c r="F680" s="152"/>
      <c r="G680" s="152"/>
      <c r="H680" s="152"/>
      <c r="I680" s="152"/>
      <c r="J680" s="152"/>
      <c r="K680" s="248"/>
      <c r="L680" s="248"/>
      <c r="M680" s="152"/>
      <c r="N680" s="152"/>
      <c r="O680" s="152"/>
      <c r="P680" s="152"/>
      <c r="Q680" s="152"/>
      <c r="R680" s="152"/>
      <c r="S680" s="152"/>
      <c r="T680" s="152"/>
      <c r="U680" s="152"/>
      <c r="V680" s="152"/>
      <c r="W680" s="152"/>
    </row>
    <row r="681">
      <c r="A681" s="152"/>
      <c r="B681" s="152"/>
      <c r="C681" s="152"/>
      <c r="D681" s="152"/>
      <c r="E681" s="152"/>
      <c r="F681" s="152"/>
      <c r="G681" s="152"/>
      <c r="H681" s="152"/>
      <c r="I681" s="152"/>
      <c r="J681" s="152"/>
      <c r="K681" s="248"/>
      <c r="L681" s="248"/>
      <c r="M681" s="152"/>
      <c r="N681" s="152"/>
      <c r="O681" s="152"/>
      <c r="P681" s="152"/>
      <c r="Q681" s="152"/>
      <c r="R681" s="152"/>
      <c r="S681" s="152"/>
      <c r="T681" s="152"/>
      <c r="U681" s="152"/>
      <c r="V681" s="152"/>
      <c r="W681" s="152"/>
    </row>
    <row r="682">
      <c r="A682" s="152"/>
      <c r="B682" s="152"/>
      <c r="C682" s="152"/>
      <c r="D682" s="152"/>
      <c r="E682" s="152"/>
      <c r="F682" s="152"/>
      <c r="G682" s="152"/>
      <c r="H682" s="152"/>
      <c r="I682" s="152"/>
      <c r="J682" s="152"/>
      <c r="K682" s="248"/>
      <c r="L682" s="248"/>
      <c r="M682" s="152"/>
      <c r="N682" s="152"/>
      <c r="O682" s="152"/>
      <c r="P682" s="152"/>
      <c r="Q682" s="152"/>
      <c r="R682" s="152"/>
      <c r="S682" s="152"/>
      <c r="T682" s="152"/>
      <c r="U682" s="152"/>
      <c r="V682" s="152"/>
      <c r="W682" s="152"/>
    </row>
    <row r="683">
      <c r="A683" s="152"/>
      <c r="B683" s="152"/>
      <c r="C683" s="152"/>
      <c r="D683" s="152"/>
      <c r="E683" s="152"/>
      <c r="F683" s="152"/>
      <c r="G683" s="152"/>
      <c r="H683" s="152"/>
      <c r="I683" s="152"/>
      <c r="J683" s="152"/>
      <c r="K683" s="248"/>
      <c r="L683" s="248"/>
      <c r="M683" s="152"/>
      <c r="N683" s="152"/>
      <c r="O683" s="152"/>
      <c r="P683" s="152"/>
      <c r="Q683" s="152"/>
      <c r="R683" s="152"/>
      <c r="S683" s="152"/>
      <c r="T683" s="152"/>
      <c r="U683" s="152"/>
      <c r="V683" s="152"/>
      <c r="W683" s="152"/>
    </row>
    <row r="684">
      <c r="A684" s="152"/>
      <c r="B684" s="152"/>
      <c r="C684" s="152"/>
      <c r="D684" s="152"/>
      <c r="E684" s="152"/>
      <c r="F684" s="152"/>
      <c r="G684" s="152"/>
      <c r="H684" s="152"/>
      <c r="I684" s="152"/>
      <c r="J684" s="152"/>
      <c r="K684" s="248"/>
      <c r="L684" s="248"/>
      <c r="M684" s="152"/>
      <c r="N684" s="152"/>
      <c r="O684" s="152"/>
      <c r="P684" s="152"/>
      <c r="Q684" s="152"/>
      <c r="R684" s="152"/>
      <c r="S684" s="152"/>
      <c r="T684" s="152"/>
      <c r="U684" s="152"/>
      <c r="V684" s="152"/>
      <c r="W684" s="152"/>
    </row>
    <row r="685">
      <c r="A685" s="152"/>
      <c r="B685" s="152"/>
      <c r="C685" s="152"/>
      <c r="D685" s="152"/>
      <c r="E685" s="152"/>
      <c r="F685" s="152"/>
      <c r="G685" s="152"/>
      <c r="H685" s="152"/>
      <c r="I685" s="152"/>
      <c r="J685" s="152"/>
      <c r="K685" s="248"/>
      <c r="L685" s="248"/>
      <c r="M685" s="152"/>
      <c r="N685" s="152"/>
      <c r="O685" s="152"/>
      <c r="P685" s="152"/>
      <c r="Q685" s="152"/>
      <c r="R685" s="152"/>
      <c r="S685" s="152"/>
      <c r="T685" s="152"/>
      <c r="U685" s="152"/>
      <c r="V685" s="152"/>
      <c r="W685" s="152"/>
    </row>
    <row r="686">
      <c r="A686" s="152"/>
      <c r="B686" s="152"/>
      <c r="C686" s="152"/>
      <c r="D686" s="152"/>
      <c r="E686" s="152"/>
      <c r="F686" s="152"/>
      <c r="G686" s="152"/>
      <c r="H686" s="152"/>
      <c r="I686" s="152"/>
      <c r="J686" s="152"/>
      <c r="K686" s="248"/>
      <c r="L686" s="248"/>
      <c r="M686" s="152"/>
      <c r="N686" s="152"/>
      <c r="O686" s="152"/>
      <c r="P686" s="152"/>
      <c r="Q686" s="152"/>
      <c r="R686" s="152"/>
      <c r="S686" s="152"/>
      <c r="T686" s="152"/>
      <c r="U686" s="152"/>
      <c r="V686" s="152"/>
      <c r="W686" s="152"/>
    </row>
    <row r="687">
      <c r="A687" s="152"/>
      <c r="B687" s="152"/>
      <c r="C687" s="152"/>
      <c r="D687" s="152"/>
      <c r="E687" s="152"/>
      <c r="F687" s="152"/>
      <c r="G687" s="152"/>
      <c r="H687" s="152"/>
      <c r="I687" s="152"/>
      <c r="J687" s="152"/>
      <c r="K687" s="248"/>
      <c r="L687" s="248"/>
      <c r="M687" s="152"/>
      <c r="N687" s="152"/>
      <c r="O687" s="152"/>
      <c r="P687" s="152"/>
      <c r="Q687" s="152"/>
      <c r="R687" s="152"/>
      <c r="S687" s="152"/>
      <c r="T687" s="152"/>
      <c r="U687" s="152"/>
      <c r="V687" s="152"/>
      <c r="W687" s="152"/>
    </row>
    <row r="688">
      <c r="A688" s="152"/>
      <c r="B688" s="152"/>
      <c r="C688" s="152"/>
      <c r="D688" s="152"/>
      <c r="E688" s="152"/>
      <c r="F688" s="152"/>
      <c r="G688" s="152"/>
      <c r="H688" s="152"/>
      <c r="I688" s="152"/>
      <c r="J688" s="152"/>
      <c r="K688" s="248"/>
      <c r="L688" s="248"/>
      <c r="M688" s="152"/>
      <c r="N688" s="152"/>
      <c r="O688" s="152"/>
      <c r="P688" s="152"/>
      <c r="Q688" s="152"/>
      <c r="R688" s="152"/>
      <c r="S688" s="152"/>
      <c r="T688" s="152"/>
      <c r="U688" s="152"/>
      <c r="V688" s="152"/>
      <c r="W688" s="152"/>
    </row>
    <row r="689">
      <c r="A689" s="152"/>
      <c r="B689" s="152"/>
      <c r="C689" s="152"/>
      <c r="D689" s="152"/>
      <c r="E689" s="152"/>
      <c r="F689" s="152"/>
      <c r="G689" s="152"/>
      <c r="H689" s="152"/>
      <c r="I689" s="152"/>
      <c r="J689" s="152"/>
      <c r="K689" s="248"/>
      <c r="L689" s="248"/>
      <c r="M689" s="152"/>
      <c r="N689" s="152"/>
      <c r="O689" s="152"/>
      <c r="P689" s="152"/>
      <c r="Q689" s="152"/>
      <c r="R689" s="152"/>
      <c r="S689" s="152"/>
      <c r="T689" s="152"/>
      <c r="U689" s="152"/>
      <c r="V689" s="152"/>
      <c r="W689" s="152"/>
    </row>
    <row r="690">
      <c r="A690" s="152"/>
      <c r="B690" s="152"/>
      <c r="C690" s="152"/>
      <c r="D690" s="152"/>
      <c r="E690" s="152"/>
      <c r="F690" s="152"/>
      <c r="G690" s="152"/>
      <c r="H690" s="152"/>
      <c r="I690" s="152"/>
      <c r="J690" s="152"/>
      <c r="K690" s="248"/>
      <c r="L690" s="248"/>
      <c r="M690" s="152"/>
      <c r="N690" s="152"/>
      <c r="O690" s="152"/>
      <c r="P690" s="152"/>
      <c r="Q690" s="152"/>
      <c r="R690" s="152"/>
      <c r="S690" s="152"/>
      <c r="T690" s="152"/>
      <c r="U690" s="152"/>
      <c r="V690" s="152"/>
      <c r="W690" s="152"/>
    </row>
    <row r="691">
      <c r="A691" s="152"/>
      <c r="B691" s="152"/>
      <c r="C691" s="152"/>
      <c r="D691" s="152"/>
      <c r="E691" s="152"/>
      <c r="F691" s="152"/>
      <c r="G691" s="152"/>
      <c r="H691" s="152"/>
      <c r="I691" s="152"/>
      <c r="J691" s="152"/>
      <c r="K691" s="248"/>
      <c r="L691" s="248"/>
      <c r="M691" s="152"/>
      <c r="N691" s="152"/>
      <c r="O691" s="152"/>
      <c r="P691" s="152"/>
      <c r="Q691" s="152"/>
      <c r="R691" s="152"/>
      <c r="S691" s="152"/>
      <c r="T691" s="152"/>
      <c r="U691" s="152"/>
      <c r="V691" s="152"/>
      <c r="W691" s="152"/>
    </row>
    <row r="692">
      <c r="A692" s="152"/>
      <c r="B692" s="152"/>
      <c r="C692" s="152"/>
      <c r="D692" s="152"/>
      <c r="E692" s="152"/>
      <c r="F692" s="152"/>
      <c r="G692" s="152"/>
      <c r="H692" s="152"/>
      <c r="I692" s="152"/>
      <c r="J692" s="152"/>
      <c r="K692" s="248"/>
      <c r="L692" s="248"/>
      <c r="M692" s="152"/>
      <c r="N692" s="152"/>
      <c r="O692" s="152"/>
      <c r="P692" s="152"/>
      <c r="Q692" s="152"/>
      <c r="R692" s="152"/>
      <c r="S692" s="152"/>
      <c r="T692" s="152"/>
      <c r="U692" s="152"/>
      <c r="V692" s="152"/>
      <c r="W692" s="152"/>
    </row>
    <row r="693">
      <c r="A693" s="152"/>
      <c r="B693" s="152"/>
      <c r="C693" s="152"/>
      <c r="D693" s="152"/>
      <c r="E693" s="152"/>
      <c r="F693" s="152"/>
      <c r="G693" s="152"/>
      <c r="H693" s="152"/>
      <c r="I693" s="152"/>
      <c r="J693" s="152"/>
      <c r="K693" s="248"/>
      <c r="L693" s="248"/>
      <c r="M693" s="152"/>
      <c r="N693" s="152"/>
      <c r="O693" s="152"/>
      <c r="P693" s="152"/>
      <c r="Q693" s="152"/>
      <c r="R693" s="152"/>
      <c r="S693" s="152"/>
      <c r="T693" s="152"/>
      <c r="U693" s="152"/>
      <c r="V693" s="152"/>
      <c r="W693" s="152"/>
    </row>
    <row r="694">
      <c r="A694" s="152"/>
      <c r="B694" s="152"/>
      <c r="C694" s="152"/>
      <c r="D694" s="152"/>
      <c r="E694" s="152"/>
      <c r="F694" s="152"/>
      <c r="G694" s="152"/>
      <c r="H694" s="152"/>
      <c r="I694" s="152"/>
      <c r="J694" s="152"/>
      <c r="K694" s="248"/>
      <c r="L694" s="248"/>
      <c r="M694" s="152"/>
      <c r="N694" s="152"/>
      <c r="O694" s="152"/>
      <c r="P694" s="152"/>
      <c r="Q694" s="152"/>
      <c r="R694" s="152"/>
      <c r="S694" s="152"/>
      <c r="T694" s="152"/>
      <c r="U694" s="152"/>
      <c r="V694" s="152"/>
      <c r="W694" s="152"/>
    </row>
    <row r="695">
      <c r="A695" s="152"/>
      <c r="B695" s="152"/>
      <c r="C695" s="152"/>
      <c r="D695" s="152"/>
      <c r="E695" s="152"/>
      <c r="F695" s="152"/>
      <c r="G695" s="152"/>
      <c r="H695" s="152"/>
      <c r="I695" s="152"/>
      <c r="J695" s="152"/>
      <c r="K695" s="248"/>
      <c r="L695" s="248"/>
      <c r="M695" s="152"/>
      <c r="N695" s="152"/>
      <c r="O695" s="152"/>
      <c r="P695" s="152"/>
      <c r="Q695" s="152"/>
      <c r="R695" s="152"/>
      <c r="S695" s="152"/>
      <c r="T695" s="152"/>
      <c r="U695" s="152"/>
      <c r="V695" s="152"/>
      <c r="W695" s="152"/>
    </row>
    <row r="696">
      <c r="A696" s="152"/>
      <c r="B696" s="152"/>
      <c r="C696" s="152"/>
      <c r="D696" s="152"/>
      <c r="E696" s="152"/>
      <c r="F696" s="152"/>
      <c r="G696" s="152"/>
      <c r="H696" s="152"/>
      <c r="I696" s="152"/>
      <c r="J696" s="152"/>
      <c r="K696" s="248"/>
      <c r="L696" s="248"/>
      <c r="M696" s="152"/>
      <c r="N696" s="152"/>
      <c r="O696" s="152"/>
      <c r="P696" s="152"/>
      <c r="Q696" s="152"/>
      <c r="R696" s="152"/>
      <c r="S696" s="152"/>
      <c r="T696" s="152"/>
      <c r="U696" s="152"/>
      <c r="V696" s="152"/>
      <c r="W696" s="152"/>
    </row>
    <row r="697">
      <c r="A697" s="152"/>
      <c r="B697" s="152"/>
      <c r="C697" s="152"/>
      <c r="D697" s="152"/>
      <c r="E697" s="152"/>
      <c r="F697" s="152"/>
      <c r="G697" s="152"/>
      <c r="H697" s="152"/>
      <c r="I697" s="152"/>
      <c r="J697" s="152"/>
      <c r="K697" s="248"/>
      <c r="L697" s="248"/>
      <c r="M697" s="152"/>
      <c r="N697" s="152"/>
      <c r="O697" s="152"/>
      <c r="P697" s="152"/>
      <c r="Q697" s="152"/>
      <c r="R697" s="152"/>
      <c r="S697" s="152"/>
      <c r="T697" s="152"/>
      <c r="U697" s="152"/>
      <c r="V697" s="152"/>
      <c r="W697" s="152"/>
    </row>
    <row r="698">
      <c r="A698" s="152"/>
      <c r="B698" s="152"/>
      <c r="C698" s="152"/>
      <c r="D698" s="152"/>
      <c r="E698" s="152"/>
      <c r="F698" s="152"/>
      <c r="G698" s="152"/>
      <c r="H698" s="152"/>
      <c r="I698" s="152"/>
      <c r="J698" s="152"/>
      <c r="K698" s="248"/>
      <c r="L698" s="248"/>
      <c r="M698" s="152"/>
      <c r="N698" s="152"/>
      <c r="O698" s="152"/>
      <c r="P698" s="152"/>
      <c r="Q698" s="152"/>
      <c r="R698" s="152"/>
      <c r="S698" s="152"/>
      <c r="T698" s="152"/>
      <c r="U698" s="152"/>
      <c r="V698" s="152"/>
      <c r="W698" s="152"/>
    </row>
    <row r="699">
      <c r="A699" s="152"/>
      <c r="B699" s="152"/>
      <c r="C699" s="152"/>
      <c r="D699" s="152"/>
      <c r="E699" s="152"/>
      <c r="F699" s="152"/>
      <c r="G699" s="152"/>
      <c r="H699" s="152"/>
      <c r="I699" s="152"/>
      <c r="J699" s="152"/>
      <c r="K699" s="248"/>
      <c r="L699" s="248"/>
      <c r="M699" s="152"/>
      <c r="N699" s="152"/>
      <c r="O699" s="152"/>
      <c r="P699" s="152"/>
      <c r="Q699" s="152"/>
      <c r="R699" s="152"/>
      <c r="S699" s="152"/>
      <c r="T699" s="152"/>
      <c r="U699" s="152"/>
      <c r="V699" s="152"/>
      <c r="W699" s="152"/>
    </row>
    <row r="700">
      <c r="A700" s="152"/>
      <c r="B700" s="152"/>
      <c r="C700" s="152"/>
      <c r="D700" s="152"/>
      <c r="E700" s="152"/>
      <c r="F700" s="152"/>
      <c r="G700" s="152"/>
      <c r="H700" s="152"/>
      <c r="I700" s="152"/>
      <c r="J700" s="152"/>
      <c r="K700" s="248"/>
      <c r="L700" s="248"/>
      <c r="M700" s="152"/>
      <c r="N700" s="152"/>
      <c r="O700" s="152"/>
      <c r="P700" s="152"/>
      <c r="Q700" s="152"/>
      <c r="R700" s="152"/>
      <c r="S700" s="152"/>
      <c r="T700" s="152"/>
      <c r="U700" s="152"/>
      <c r="V700" s="152"/>
      <c r="W700" s="152"/>
    </row>
    <row r="701">
      <c r="A701" s="152"/>
      <c r="B701" s="152"/>
      <c r="C701" s="152"/>
      <c r="D701" s="152"/>
      <c r="E701" s="152"/>
      <c r="F701" s="152"/>
      <c r="G701" s="152"/>
      <c r="H701" s="152"/>
      <c r="I701" s="152"/>
      <c r="J701" s="152"/>
      <c r="K701" s="248"/>
      <c r="L701" s="248"/>
      <c r="M701" s="152"/>
      <c r="N701" s="152"/>
      <c r="O701" s="152"/>
      <c r="P701" s="152"/>
      <c r="Q701" s="152"/>
      <c r="R701" s="152"/>
      <c r="S701" s="152"/>
      <c r="T701" s="152"/>
      <c r="U701" s="152"/>
      <c r="V701" s="152"/>
      <c r="W701" s="152"/>
    </row>
    <row r="702">
      <c r="A702" s="152"/>
      <c r="B702" s="152"/>
      <c r="C702" s="152"/>
      <c r="D702" s="152"/>
      <c r="E702" s="152"/>
      <c r="F702" s="152"/>
      <c r="G702" s="152"/>
      <c r="H702" s="152"/>
      <c r="I702" s="152"/>
      <c r="J702" s="152"/>
      <c r="K702" s="248"/>
      <c r="L702" s="248"/>
      <c r="M702" s="152"/>
      <c r="N702" s="152"/>
      <c r="O702" s="152"/>
      <c r="P702" s="152"/>
      <c r="Q702" s="152"/>
      <c r="R702" s="152"/>
      <c r="S702" s="152"/>
      <c r="T702" s="152"/>
      <c r="U702" s="152"/>
      <c r="V702" s="152"/>
      <c r="W702" s="152"/>
    </row>
    <row r="703">
      <c r="A703" s="152"/>
      <c r="B703" s="152"/>
      <c r="C703" s="152"/>
      <c r="D703" s="152"/>
      <c r="E703" s="152"/>
      <c r="F703" s="152"/>
      <c r="G703" s="152"/>
      <c r="H703" s="152"/>
      <c r="I703" s="152"/>
      <c r="J703" s="152"/>
      <c r="K703" s="248"/>
      <c r="L703" s="248"/>
      <c r="M703" s="152"/>
      <c r="N703" s="152"/>
      <c r="O703" s="152"/>
      <c r="P703" s="152"/>
      <c r="Q703" s="152"/>
      <c r="R703" s="152"/>
      <c r="S703" s="152"/>
      <c r="T703" s="152"/>
      <c r="U703" s="152"/>
      <c r="V703" s="152"/>
      <c r="W703" s="152"/>
    </row>
    <row r="704">
      <c r="A704" s="152"/>
      <c r="B704" s="152"/>
      <c r="C704" s="152"/>
      <c r="D704" s="152"/>
      <c r="E704" s="152"/>
      <c r="F704" s="152"/>
      <c r="G704" s="152"/>
      <c r="H704" s="152"/>
      <c r="I704" s="152"/>
      <c r="J704" s="152"/>
      <c r="K704" s="248"/>
      <c r="L704" s="248"/>
      <c r="M704" s="152"/>
      <c r="N704" s="152"/>
      <c r="O704" s="152"/>
      <c r="P704" s="152"/>
      <c r="Q704" s="152"/>
      <c r="R704" s="152"/>
      <c r="S704" s="152"/>
      <c r="T704" s="152"/>
      <c r="U704" s="152"/>
      <c r="V704" s="152"/>
      <c r="W704" s="152"/>
    </row>
    <row r="705">
      <c r="A705" s="152"/>
      <c r="B705" s="152"/>
      <c r="C705" s="152"/>
      <c r="D705" s="152"/>
      <c r="E705" s="152"/>
      <c r="F705" s="152"/>
      <c r="G705" s="152"/>
      <c r="H705" s="152"/>
      <c r="I705" s="152"/>
      <c r="J705" s="152"/>
      <c r="K705" s="248"/>
      <c r="L705" s="248"/>
      <c r="M705" s="152"/>
      <c r="N705" s="152"/>
      <c r="O705" s="152"/>
      <c r="P705" s="152"/>
      <c r="Q705" s="152"/>
      <c r="R705" s="152"/>
      <c r="S705" s="152"/>
      <c r="T705" s="152"/>
      <c r="U705" s="152"/>
      <c r="V705" s="152"/>
      <c r="W705" s="152"/>
    </row>
    <row r="706">
      <c r="A706" s="152"/>
      <c r="B706" s="152"/>
      <c r="C706" s="152"/>
      <c r="D706" s="152"/>
      <c r="E706" s="152"/>
      <c r="F706" s="152"/>
      <c r="G706" s="152"/>
      <c r="H706" s="152"/>
      <c r="I706" s="152"/>
      <c r="J706" s="152"/>
      <c r="K706" s="248"/>
      <c r="L706" s="248"/>
      <c r="M706" s="152"/>
      <c r="N706" s="152"/>
      <c r="O706" s="152"/>
      <c r="P706" s="152"/>
      <c r="Q706" s="152"/>
      <c r="R706" s="152"/>
      <c r="S706" s="152"/>
      <c r="T706" s="152"/>
      <c r="U706" s="152"/>
      <c r="V706" s="152"/>
      <c r="W706" s="152"/>
    </row>
    <row r="707">
      <c r="A707" s="152"/>
      <c r="B707" s="152"/>
      <c r="C707" s="152"/>
      <c r="D707" s="152"/>
      <c r="E707" s="152"/>
      <c r="F707" s="152"/>
      <c r="G707" s="152"/>
      <c r="H707" s="152"/>
      <c r="I707" s="152"/>
      <c r="J707" s="152"/>
      <c r="K707" s="248"/>
      <c r="L707" s="248"/>
      <c r="M707" s="152"/>
      <c r="N707" s="152"/>
      <c r="O707" s="152"/>
      <c r="P707" s="152"/>
      <c r="Q707" s="152"/>
      <c r="R707" s="152"/>
      <c r="S707" s="152"/>
      <c r="T707" s="152"/>
      <c r="U707" s="152"/>
      <c r="V707" s="152"/>
      <c r="W707" s="152"/>
    </row>
    <row r="708">
      <c r="A708" s="152"/>
      <c r="B708" s="152"/>
      <c r="C708" s="152"/>
      <c r="D708" s="152"/>
      <c r="E708" s="152"/>
      <c r="F708" s="152"/>
      <c r="G708" s="152"/>
      <c r="H708" s="152"/>
      <c r="I708" s="152"/>
      <c r="J708" s="152"/>
      <c r="K708" s="248"/>
      <c r="L708" s="248"/>
      <c r="M708" s="152"/>
      <c r="N708" s="152"/>
      <c r="O708" s="152"/>
      <c r="P708" s="152"/>
      <c r="Q708" s="152"/>
      <c r="R708" s="152"/>
      <c r="S708" s="152"/>
      <c r="T708" s="152"/>
      <c r="U708" s="152"/>
      <c r="V708" s="152"/>
      <c r="W708" s="152"/>
    </row>
    <row r="709">
      <c r="A709" s="152"/>
      <c r="B709" s="152"/>
      <c r="C709" s="152"/>
      <c r="D709" s="152"/>
      <c r="E709" s="152"/>
      <c r="F709" s="152"/>
      <c r="G709" s="152"/>
      <c r="H709" s="152"/>
      <c r="I709" s="152"/>
      <c r="J709" s="152"/>
      <c r="K709" s="248"/>
      <c r="L709" s="248"/>
      <c r="M709" s="152"/>
      <c r="N709" s="152"/>
      <c r="O709" s="152"/>
      <c r="P709" s="152"/>
      <c r="Q709" s="152"/>
      <c r="R709" s="152"/>
      <c r="S709" s="152"/>
      <c r="T709" s="152"/>
      <c r="U709" s="152"/>
      <c r="V709" s="152"/>
      <c r="W709" s="152"/>
    </row>
    <row r="710">
      <c r="A710" s="152"/>
      <c r="B710" s="152"/>
      <c r="C710" s="152"/>
      <c r="D710" s="152"/>
      <c r="E710" s="152"/>
      <c r="F710" s="152"/>
      <c r="G710" s="152"/>
      <c r="H710" s="152"/>
      <c r="I710" s="152"/>
      <c r="J710" s="152"/>
      <c r="K710" s="248"/>
      <c r="L710" s="248"/>
      <c r="M710" s="152"/>
      <c r="N710" s="152"/>
      <c r="O710" s="152"/>
      <c r="P710" s="152"/>
      <c r="Q710" s="152"/>
      <c r="R710" s="152"/>
      <c r="S710" s="152"/>
      <c r="T710" s="152"/>
      <c r="U710" s="152"/>
      <c r="V710" s="152"/>
      <c r="W710" s="152"/>
    </row>
    <row r="711">
      <c r="A711" s="152"/>
      <c r="B711" s="152"/>
      <c r="C711" s="152"/>
      <c r="D711" s="152"/>
      <c r="E711" s="152"/>
      <c r="F711" s="152"/>
      <c r="G711" s="152"/>
      <c r="H711" s="152"/>
      <c r="I711" s="152"/>
      <c r="J711" s="152"/>
      <c r="K711" s="248"/>
      <c r="L711" s="248"/>
      <c r="M711" s="152"/>
      <c r="N711" s="152"/>
      <c r="O711" s="152"/>
      <c r="P711" s="152"/>
      <c r="Q711" s="152"/>
      <c r="R711" s="152"/>
      <c r="S711" s="152"/>
      <c r="T711" s="152"/>
      <c r="U711" s="152"/>
      <c r="V711" s="152"/>
      <c r="W711" s="152"/>
    </row>
    <row r="712">
      <c r="A712" s="152"/>
      <c r="B712" s="152"/>
      <c r="C712" s="152"/>
      <c r="D712" s="152"/>
      <c r="E712" s="152"/>
      <c r="F712" s="152"/>
      <c r="G712" s="152"/>
      <c r="H712" s="152"/>
      <c r="I712" s="152"/>
      <c r="J712" s="152"/>
      <c r="K712" s="248"/>
      <c r="L712" s="248"/>
      <c r="M712" s="152"/>
      <c r="N712" s="152"/>
      <c r="O712" s="152"/>
      <c r="P712" s="152"/>
      <c r="Q712" s="152"/>
      <c r="R712" s="152"/>
      <c r="S712" s="152"/>
      <c r="T712" s="152"/>
      <c r="U712" s="152"/>
      <c r="V712" s="152"/>
      <c r="W712" s="152"/>
    </row>
    <row r="713">
      <c r="A713" s="152"/>
      <c r="B713" s="152"/>
      <c r="C713" s="152"/>
      <c r="D713" s="152"/>
      <c r="E713" s="152"/>
      <c r="F713" s="152"/>
      <c r="G713" s="152"/>
      <c r="H713" s="152"/>
      <c r="I713" s="152"/>
      <c r="J713" s="152"/>
      <c r="K713" s="248"/>
      <c r="L713" s="248"/>
      <c r="M713" s="152"/>
      <c r="N713" s="152"/>
      <c r="O713" s="152"/>
      <c r="P713" s="152"/>
      <c r="Q713" s="152"/>
      <c r="R713" s="152"/>
      <c r="S713" s="152"/>
      <c r="T713" s="152"/>
      <c r="U713" s="152"/>
      <c r="V713" s="152"/>
      <c r="W713" s="152"/>
    </row>
    <row r="714">
      <c r="A714" s="152"/>
      <c r="B714" s="152"/>
      <c r="C714" s="152"/>
      <c r="D714" s="152"/>
      <c r="E714" s="152"/>
      <c r="F714" s="152"/>
      <c r="G714" s="152"/>
      <c r="H714" s="152"/>
      <c r="I714" s="152"/>
      <c r="J714" s="152"/>
      <c r="K714" s="248"/>
      <c r="L714" s="248"/>
      <c r="M714" s="152"/>
      <c r="N714" s="152"/>
      <c r="O714" s="152"/>
      <c r="P714" s="152"/>
      <c r="Q714" s="152"/>
      <c r="R714" s="152"/>
      <c r="S714" s="152"/>
      <c r="T714" s="152"/>
      <c r="U714" s="152"/>
      <c r="V714" s="152"/>
      <c r="W714" s="152"/>
    </row>
    <row r="715">
      <c r="A715" s="152"/>
      <c r="B715" s="152"/>
      <c r="C715" s="152"/>
      <c r="D715" s="152"/>
      <c r="E715" s="152"/>
      <c r="F715" s="152"/>
      <c r="G715" s="152"/>
      <c r="H715" s="152"/>
      <c r="I715" s="152"/>
      <c r="J715" s="152"/>
      <c r="K715" s="248"/>
      <c r="L715" s="248"/>
      <c r="M715" s="152"/>
      <c r="N715" s="152"/>
      <c r="O715" s="152"/>
      <c r="P715" s="152"/>
      <c r="Q715" s="152"/>
      <c r="R715" s="152"/>
      <c r="S715" s="152"/>
      <c r="T715" s="152"/>
      <c r="U715" s="152"/>
      <c r="V715" s="152"/>
      <c r="W715" s="152"/>
    </row>
    <row r="716">
      <c r="A716" s="152"/>
      <c r="B716" s="152"/>
      <c r="C716" s="152"/>
      <c r="D716" s="152"/>
      <c r="E716" s="152"/>
      <c r="F716" s="152"/>
      <c r="G716" s="152"/>
      <c r="H716" s="152"/>
      <c r="I716" s="152"/>
      <c r="J716" s="152"/>
      <c r="K716" s="248"/>
      <c r="L716" s="248"/>
      <c r="M716" s="152"/>
      <c r="N716" s="152"/>
      <c r="O716" s="152"/>
      <c r="P716" s="152"/>
      <c r="Q716" s="152"/>
      <c r="R716" s="152"/>
      <c r="S716" s="152"/>
      <c r="T716" s="152"/>
      <c r="U716" s="152"/>
      <c r="V716" s="152"/>
      <c r="W716" s="152"/>
    </row>
    <row r="717">
      <c r="A717" s="152"/>
      <c r="B717" s="152"/>
      <c r="C717" s="152"/>
      <c r="D717" s="152"/>
      <c r="E717" s="152"/>
      <c r="F717" s="152"/>
      <c r="G717" s="152"/>
      <c r="H717" s="152"/>
      <c r="I717" s="152"/>
      <c r="J717" s="152"/>
      <c r="K717" s="248"/>
      <c r="L717" s="248"/>
      <c r="M717" s="152"/>
      <c r="N717" s="152"/>
      <c r="O717" s="152"/>
      <c r="P717" s="152"/>
      <c r="Q717" s="152"/>
      <c r="R717" s="152"/>
      <c r="S717" s="152"/>
      <c r="T717" s="152"/>
      <c r="U717" s="152"/>
      <c r="V717" s="152"/>
      <c r="W717" s="152"/>
    </row>
    <row r="718">
      <c r="A718" s="152"/>
      <c r="B718" s="152"/>
      <c r="C718" s="152"/>
      <c r="D718" s="152"/>
      <c r="E718" s="152"/>
      <c r="F718" s="152"/>
      <c r="G718" s="152"/>
      <c r="H718" s="152"/>
      <c r="I718" s="152"/>
      <c r="J718" s="152"/>
      <c r="K718" s="248"/>
      <c r="L718" s="248"/>
      <c r="M718" s="152"/>
      <c r="N718" s="152"/>
      <c r="O718" s="152"/>
      <c r="P718" s="152"/>
      <c r="Q718" s="152"/>
      <c r="R718" s="152"/>
      <c r="S718" s="152"/>
      <c r="T718" s="152"/>
      <c r="U718" s="152"/>
      <c r="V718" s="152"/>
      <c r="W718" s="152"/>
    </row>
    <row r="719">
      <c r="A719" s="152"/>
      <c r="B719" s="152"/>
      <c r="C719" s="152"/>
      <c r="D719" s="152"/>
      <c r="E719" s="152"/>
      <c r="F719" s="152"/>
      <c r="G719" s="152"/>
      <c r="H719" s="152"/>
      <c r="I719" s="152"/>
      <c r="J719" s="152"/>
      <c r="K719" s="248"/>
      <c r="L719" s="248"/>
      <c r="M719" s="152"/>
      <c r="N719" s="152"/>
      <c r="O719" s="152"/>
      <c r="P719" s="152"/>
      <c r="Q719" s="152"/>
      <c r="R719" s="152"/>
      <c r="S719" s="152"/>
      <c r="T719" s="152"/>
      <c r="U719" s="152"/>
      <c r="V719" s="152"/>
      <c r="W719" s="152"/>
    </row>
    <row r="720">
      <c r="A720" s="152"/>
      <c r="B720" s="152"/>
      <c r="C720" s="152"/>
      <c r="D720" s="152"/>
      <c r="E720" s="152"/>
      <c r="F720" s="152"/>
      <c r="G720" s="152"/>
      <c r="H720" s="152"/>
      <c r="I720" s="152"/>
      <c r="J720" s="152"/>
      <c r="K720" s="248"/>
      <c r="L720" s="248"/>
      <c r="M720" s="152"/>
      <c r="N720" s="152"/>
      <c r="O720" s="152"/>
      <c r="P720" s="152"/>
      <c r="Q720" s="152"/>
      <c r="R720" s="152"/>
      <c r="S720" s="152"/>
      <c r="T720" s="152"/>
      <c r="U720" s="152"/>
      <c r="V720" s="152"/>
      <c r="W720" s="152"/>
    </row>
    <row r="721">
      <c r="A721" s="152"/>
      <c r="B721" s="152"/>
      <c r="C721" s="152"/>
      <c r="D721" s="152"/>
      <c r="E721" s="152"/>
      <c r="F721" s="152"/>
      <c r="G721" s="152"/>
      <c r="H721" s="152"/>
      <c r="I721" s="152"/>
      <c r="J721" s="152"/>
      <c r="K721" s="248"/>
      <c r="L721" s="248"/>
      <c r="M721" s="152"/>
      <c r="N721" s="152"/>
      <c r="O721" s="152"/>
      <c r="P721" s="152"/>
      <c r="Q721" s="152"/>
      <c r="R721" s="152"/>
      <c r="S721" s="152"/>
      <c r="T721" s="152"/>
      <c r="U721" s="152"/>
      <c r="V721" s="152"/>
      <c r="W721" s="152"/>
    </row>
    <row r="722">
      <c r="A722" s="152"/>
      <c r="B722" s="152"/>
      <c r="C722" s="152"/>
      <c r="D722" s="152"/>
      <c r="E722" s="152"/>
      <c r="F722" s="152"/>
      <c r="G722" s="152"/>
      <c r="H722" s="152"/>
      <c r="I722" s="152"/>
      <c r="J722" s="152"/>
      <c r="K722" s="248"/>
      <c r="L722" s="248"/>
      <c r="M722" s="152"/>
      <c r="N722" s="152"/>
      <c r="O722" s="152"/>
      <c r="P722" s="152"/>
      <c r="Q722" s="152"/>
      <c r="R722" s="152"/>
      <c r="S722" s="152"/>
      <c r="T722" s="152"/>
      <c r="U722" s="152"/>
      <c r="V722" s="152"/>
      <c r="W722" s="152"/>
    </row>
    <row r="723">
      <c r="A723" s="152"/>
      <c r="B723" s="152"/>
      <c r="C723" s="152"/>
      <c r="D723" s="152"/>
      <c r="E723" s="152"/>
      <c r="F723" s="152"/>
      <c r="G723" s="152"/>
      <c r="H723" s="152"/>
      <c r="I723" s="152"/>
      <c r="J723" s="152"/>
      <c r="K723" s="248"/>
      <c r="L723" s="248"/>
      <c r="M723" s="152"/>
      <c r="N723" s="152"/>
      <c r="O723" s="152"/>
      <c r="P723" s="152"/>
      <c r="Q723" s="152"/>
      <c r="R723" s="152"/>
      <c r="S723" s="152"/>
      <c r="T723" s="152"/>
      <c r="U723" s="152"/>
      <c r="V723" s="152"/>
      <c r="W723" s="152"/>
    </row>
    <row r="724">
      <c r="A724" s="152"/>
      <c r="B724" s="152"/>
      <c r="C724" s="152"/>
      <c r="D724" s="152"/>
      <c r="E724" s="152"/>
      <c r="F724" s="152"/>
      <c r="G724" s="152"/>
      <c r="H724" s="152"/>
      <c r="I724" s="152"/>
      <c r="J724" s="152"/>
      <c r="K724" s="248"/>
      <c r="L724" s="248"/>
      <c r="M724" s="152"/>
      <c r="N724" s="152"/>
      <c r="O724" s="152"/>
      <c r="P724" s="152"/>
      <c r="Q724" s="152"/>
      <c r="R724" s="152"/>
      <c r="S724" s="152"/>
      <c r="T724" s="152"/>
      <c r="U724" s="152"/>
      <c r="V724" s="152"/>
      <c r="W724" s="152"/>
    </row>
    <row r="725">
      <c r="A725" s="152"/>
      <c r="B725" s="152"/>
      <c r="C725" s="152"/>
      <c r="D725" s="152"/>
      <c r="E725" s="152"/>
      <c r="F725" s="152"/>
      <c r="G725" s="152"/>
      <c r="H725" s="152"/>
      <c r="I725" s="152"/>
      <c r="J725" s="152"/>
      <c r="K725" s="248"/>
      <c r="L725" s="248"/>
      <c r="M725" s="152"/>
      <c r="N725" s="152"/>
      <c r="O725" s="152"/>
      <c r="P725" s="152"/>
      <c r="Q725" s="152"/>
      <c r="R725" s="152"/>
      <c r="S725" s="152"/>
      <c r="T725" s="152"/>
      <c r="U725" s="152"/>
      <c r="V725" s="152"/>
      <c r="W725" s="152"/>
    </row>
    <row r="726">
      <c r="A726" s="152"/>
      <c r="B726" s="152"/>
      <c r="C726" s="152"/>
      <c r="D726" s="152"/>
      <c r="E726" s="152"/>
      <c r="F726" s="152"/>
      <c r="G726" s="152"/>
      <c r="H726" s="152"/>
      <c r="I726" s="152"/>
      <c r="J726" s="152"/>
      <c r="K726" s="248"/>
      <c r="L726" s="248"/>
      <c r="M726" s="152"/>
      <c r="N726" s="152"/>
      <c r="O726" s="152"/>
      <c r="P726" s="152"/>
      <c r="Q726" s="152"/>
      <c r="R726" s="152"/>
      <c r="S726" s="152"/>
      <c r="T726" s="152"/>
      <c r="U726" s="152"/>
      <c r="V726" s="152"/>
      <c r="W726" s="152"/>
    </row>
    <row r="727">
      <c r="A727" s="152"/>
      <c r="B727" s="152"/>
      <c r="C727" s="152"/>
      <c r="D727" s="152"/>
      <c r="E727" s="152"/>
      <c r="F727" s="152"/>
      <c r="G727" s="152"/>
      <c r="H727" s="152"/>
      <c r="I727" s="152"/>
      <c r="J727" s="152"/>
      <c r="K727" s="248"/>
      <c r="L727" s="248"/>
      <c r="M727" s="152"/>
      <c r="N727" s="152"/>
      <c r="O727" s="152"/>
      <c r="P727" s="152"/>
      <c r="Q727" s="152"/>
      <c r="R727" s="152"/>
      <c r="S727" s="152"/>
      <c r="T727" s="152"/>
      <c r="U727" s="152"/>
      <c r="V727" s="152"/>
      <c r="W727" s="152"/>
    </row>
    <row r="728">
      <c r="A728" s="152"/>
      <c r="B728" s="152"/>
      <c r="C728" s="152"/>
      <c r="D728" s="152"/>
      <c r="E728" s="152"/>
      <c r="F728" s="152"/>
      <c r="G728" s="152"/>
      <c r="H728" s="152"/>
      <c r="I728" s="152"/>
      <c r="J728" s="152"/>
      <c r="K728" s="248"/>
      <c r="L728" s="248"/>
      <c r="M728" s="152"/>
      <c r="N728" s="152"/>
      <c r="O728" s="152"/>
      <c r="P728" s="152"/>
      <c r="Q728" s="152"/>
      <c r="R728" s="152"/>
      <c r="S728" s="152"/>
      <c r="T728" s="152"/>
      <c r="U728" s="152"/>
      <c r="V728" s="152"/>
      <c r="W728" s="152"/>
    </row>
    <row r="729">
      <c r="A729" s="152"/>
      <c r="B729" s="152"/>
      <c r="C729" s="152"/>
      <c r="D729" s="152"/>
      <c r="E729" s="152"/>
      <c r="F729" s="152"/>
      <c r="G729" s="152"/>
      <c r="H729" s="152"/>
      <c r="I729" s="152"/>
      <c r="J729" s="152"/>
      <c r="K729" s="248"/>
      <c r="L729" s="248"/>
      <c r="M729" s="152"/>
      <c r="N729" s="152"/>
      <c r="O729" s="152"/>
      <c r="P729" s="152"/>
      <c r="Q729" s="152"/>
      <c r="R729" s="152"/>
      <c r="S729" s="152"/>
      <c r="T729" s="152"/>
      <c r="U729" s="152"/>
      <c r="V729" s="152"/>
      <c r="W729" s="152"/>
    </row>
    <row r="730">
      <c r="A730" s="152"/>
      <c r="B730" s="152"/>
      <c r="C730" s="152"/>
      <c r="D730" s="152"/>
      <c r="E730" s="152"/>
      <c r="F730" s="152"/>
      <c r="G730" s="152"/>
      <c r="H730" s="152"/>
      <c r="I730" s="152"/>
      <c r="J730" s="152"/>
      <c r="K730" s="248"/>
      <c r="L730" s="248"/>
      <c r="M730" s="152"/>
      <c r="N730" s="152"/>
      <c r="O730" s="152"/>
      <c r="P730" s="152"/>
      <c r="Q730" s="152"/>
      <c r="R730" s="152"/>
      <c r="S730" s="152"/>
      <c r="T730" s="152"/>
      <c r="U730" s="152"/>
      <c r="V730" s="152"/>
      <c r="W730" s="152"/>
    </row>
    <row r="731">
      <c r="A731" s="152"/>
      <c r="B731" s="152"/>
      <c r="C731" s="152"/>
      <c r="D731" s="152"/>
      <c r="E731" s="152"/>
      <c r="F731" s="152"/>
      <c r="G731" s="152"/>
      <c r="H731" s="152"/>
      <c r="I731" s="152"/>
      <c r="J731" s="152"/>
      <c r="K731" s="248"/>
      <c r="L731" s="248"/>
      <c r="M731" s="152"/>
      <c r="N731" s="152"/>
      <c r="O731" s="152"/>
      <c r="P731" s="152"/>
      <c r="Q731" s="152"/>
      <c r="R731" s="152"/>
      <c r="S731" s="152"/>
      <c r="T731" s="152"/>
      <c r="U731" s="152"/>
      <c r="V731" s="152"/>
      <c r="W731" s="152"/>
    </row>
    <row r="732">
      <c r="A732" s="152"/>
      <c r="B732" s="152"/>
      <c r="C732" s="152"/>
      <c r="D732" s="152"/>
      <c r="E732" s="152"/>
      <c r="F732" s="152"/>
      <c r="G732" s="152"/>
      <c r="H732" s="152"/>
      <c r="I732" s="152"/>
      <c r="J732" s="152"/>
      <c r="K732" s="248"/>
      <c r="L732" s="248"/>
      <c r="M732" s="152"/>
      <c r="N732" s="152"/>
      <c r="O732" s="152"/>
      <c r="P732" s="152"/>
      <c r="Q732" s="152"/>
      <c r="R732" s="152"/>
      <c r="S732" s="152"/>
      <c r="T732" s="152"/>
      <c r="U732" s="152"/>
      <c r="V732" s="152"/>
      <c r="W732" s="152"/>
    </row>
    <row r="733">
      <c r="A733" s="152"/>
      <c r="B733" s="152"/>
      <c r="C733" s="152"/>
      <c r="D733" s="152"/>
      <c r="E733" s="152"/>
      <c r="F733" s="152"/>
      <c r="G733" s="152"/>
      <c r="H733" s="152"/>
      <c r="I733" s="152"/>
      <c r="J733" s="152"/>
      <c r="K733" s="248"/>
      <c r="L733" s="248"/>
      <c r="M733" s="152"/>
      <c r="N733" s="152"/>
      <c r="O733" s="152"/>
      <c r="P733" s="152"/>
      <c r="Q733" s="152"/>
      <c r="R733" s="152"/>
      <c r="S733" s="152"/>
      <c r="T733" s="152"/>
      <c r="U733" s="152"/>
      <c r="V733" s="152"/>
      <c r="W733" s="152"/>
    </row>
    <row r="734">
      <c r="A734" s="152"/>
      <c r="B734" s="152"/>
      <c r="C734" s="152"/>
      <c r="D734" s="152"/>
      <c r="E734" s="152"/>
      <c r="F734" s="152"/>
      <c r="G734" s="152"/>
      <c r="H734" s="152"/>
      <c r="I734" s="152"/>
      <c r="J734" s="152"/>
      <c r="K734" s="248"/>
      <c r="L734" s="248"/>
      <c r="M734" s="152"/>
      <c r="N734" s="152"/>
      <c r="O734" s="152"/>
      <c r="P734" s="152"/>
      <c r="Q734" s="152"/>
      <c r="R734" s="152"/>
      <c r="S734" s="152"/>
      <c r="T734" s="152"/>
      <c r="U734" s="152"/>
      <c r="V734" s="152"/>
      <c r="W734" s="152"/>
    </row>
    <row r="735">
      <c r="A735" s="152"/>
      <c r="B735" s="152"/>
      <c r="C735" s="152"/>
      <c r="D735" s="152"/>
      <c r="E735" s="152"/>
      <c r="F735" s="152"/>
      <c r="G735" s="152"/>
      <c r="H735" s="152"/>
      <c r="I735" s="152"/>
      <c r="J735" s="152"/>
      <c r="K735" s="248"/>
      <c r="L735" s="248"/>
      <c r="M735" s="152"/>
      <c r="N735" s="152"/>
      <c r="O735" s="152"/>
      <c r="P735" s="152"/>
      <c r="Q735" s="152"/>
      <c r="R735" s="152"/>
      <c r="S735" s="152"/>
      <c r="T735" s="152"/>
      <c r="U735" s="152"/>
      <c r="V735" s="152"/>
      <c r="W735" s="152"/>
    </row>
    <row r="736">
      <c r="A736" s="152"/>
      <c r="B736" s="152"/>
      <c r="C736" s="152"/>
      <c r="D736" s="152"/>
      <c r="E736" s="152"/>
      <c r="F736" s="152"/>
      <c r="G736" s="152"/>
      <c r="H736" s="152"/>
      <c r="I736" s="152"/>
      <c r="J736" s="152"/>
      <c r="K736" s="248"/>
      <c r="L736" s="248"/>
      <c r="M736" s="152"/>
      <c r="N736" s="152"/>
      <c r="O736" s="152"/>
      <c r="P736" s="152"/>
      <c r="Q736" s="152"/>
      <c r="R736" s="152"/>
      <c r="S736" s="152"/>
      <c r="T736" s="152"/>
      <c r="U736" s="152"/>
      <c r="V736" s="152"/>
      <c r="W736" s="152"/>
    </row>
    <row r="737">
      <c r="A737" s="152"/>
      <c r="B737" s="152"/>
      <c r="C737" s="152"/>
      <c r="D737" s="152"/>
      <c r="E737" s="152"/>
      <c r="F737" s="152"/>
      <c r="G737" s="152"/>
      <c r="H737" s="152"/>
      <c r="I737" s="152"/>
      <c r="J737" s="152"/>
      <c r="K737" s="248"/>
      <c r="L737" s="248"/>
      <c r="M737" s="152"/>
      <c r="N737" s="152"/>
      <c r="O737" s="152"/>
      <c r="P737" s="152"/>
      <c r="Q737" s="152"/>
      <c r="R737" s="152"/>
      <c r="S737" s="152"/>
      <c r="T737" s="152"/>
      <c r="U737" s="152"/>
      <c r="V737" s="152"/>
      <c r="W737" s="152"/>
    </row>
    <row r="738">
      <c r="A738" s="152"/>
      <c r="B738" s="152"/>
      <c r="C738" s="152"/>
      <c r="D738" s="152"/>
      <c r="E738" s="152"/>
      <c r="F738" s="152"/>
      <c r="G738" s="152"/>
      <c r="H738" s="152"/>
      <c r="I738" s="152"/>
      <c r="J738" s="152"/>
      <c r="K738" s="248"/>
      <c r="L738" s="248"/>
      <c r="M738" s="152"/>
      <c r="N738" s="152"/>
      <c r="O738" s="152"/>
      <c r="P738" s="152"/>
      <c r="Q738" s="152"/>
      <c r="R738" s="152"/>
      <c r="S738" s="152"/>
      <c r="T738" s="152"/>
      <c r="U738" s="152"/>
      <c r="V738" s="152"/>
      <c r="W738" s="152"/>
    </row>
    <row r="739">
      <c r="A739" s="152"/>
      <c r="B739" s="152"/>
      <c r="C739" s="152"/>
      <c r="D739" s="152"/>
      <c r="E739" s="152"/>
      <c r="F739" s="152"/>
      <c r="G739" s="152"/>
      <c r="H739" s="152"/>
      <c r="I739" s="152"/>
      <c r="J739" s="152"/>
      <c r="K739" s="248"/>
      <c r="L739" s="248"/>
      <c r="M739" s="152"/>
      <c r="N739" s="152"/>
      <c r="O739" s="152"/>
      <c r="P739" s="152"/>
      <c r="Q739" s="152"/>
      <c r="R739" s="152"/>
      <c r="S739" s="152"/>
      <c r="T739" s="152"/>
      <c r="U739" s="152"/>
      <c r="V739" s="152"/>
      <c r="W739" s="152"/>
    </row>
    <row r="740">
      <c r="A740" s="152"/>
      <c r="B740" s="152"/>
      <c r="C740" s="152"/>
      <c r="D740" s="152"/>
      <c r="E740" s="152"/>
      <c r="F740" s="152"/>
      <c r="G740" s="152"/>
      <c r="H740" s="152"/>
      <c r="I740" s="152"/>
      <c r="J740" s="152"/>
      <c r="K740" s="248"/>
      <c r="L740" s="248"/>
      <c r="M740" s="152"/>
      <c r="N740" s="152"/>
      <c r="O740" s="152"/>
      <c r="P740" s="152"/>
      <c r="Q740" s="152"/>
      <c r="R740" s="152"/>
      <c r="S740" s="152"/>
      <c r="T740" s="152"/>
      <c r="U740" s="152"/>
      <c r="V740" s="152"/>
      <c r="W740" s="152"/>
    </row>
    <row r="741">
      <c r="A741" s="152"/>
      <c r="B741" s="152"/>
      <c r="C741" s="152"/>
      <c r="D741" s="152"/>
      <c r="E741" s="152"/>
      <c r="F741" s="152"/>
      <c r="G741" s="152"/>
      <c r="H741" s="152"/>
      <c r="I741" s="152"/>
      <c r="J741" s="152"/>
      <c r="K741" s="248"/>
      <c r="L741" s="248"/>
      <c r="M741" s="152"/>
      <c r="N741" s="152"/>
      <c r="O741" s="152"/>
      <c r="P741" s="152"/>
      <c r="Q741" s="152"/>
      <c r="R741" s="152"/>
      <c r="S741" s="152"/>
      <c r="T741" s="152"/>
      <c r="U741" s="152"/>
      <c r="V741" s="152"/>
      <c r="W741" s="152"/>
    </row>
    <row r="742">
      <c r="A742" s="152"/>
      <c r="B742" s="152"/>
      <c r="C742" s="152"/>
      <c r="D742" s="152"/>
      <c r="E742" s="152"/>
      <c r="F742" s="152"/>
      <c r="G742" s="152"/>
      <c r="H742" s="152"/>
      <c r="I742" s="152"/>
      <c r="J742" s="152"/>
      <c r="K742" s="248"/>
      <c r="L742" s="248"/>
      <c r="M742" s="152"/>
      <c r="N742" s="152"/>
      <c r="O742" s="152"/>
      <c r="P742" s="152"/>
      <c r="Q742" s="152"/>
      <c r="R742" s="152"/>
      <c r="S742" s="152"/>
      <c r="T742" s="152"/>
      <c r="U742" s="152"/>
      <c r="V742" s="152"/>
      <c r="W742" s="152"/>
    </row>
    <row r="743">
      <c r="A743" s="152"/>
      <c r="B743" s="152"/>
      <c r="C743" s="152"/>
      <c r="D743" s="152"/>
      <c r="E743" s="152"/>
      <c r="F743" s="152"/>
      <c r="G743" s="152"/>
      <c r="H743" s="152"/>
      <c r="I743" s="152"/>
      <c r="J743" s="152"/>
      <c r="K743" s="248"/>
      <c r="L743" s="248"/>
      <c r="M743" s="152"/>
      <c r="N743" s="152"/>
      <c r="O743" s="152"/>
      <c r="P743" s="152"/>
      <c r="Q743" s="152"/>
      <c r="R743" s="152"/>
      <c r="S743" s="152"/>
      <c r="T743" s="152"/>
      <c r="U743" s="152"/>
      <c r="V743" s="152"/>
      <c r="W743" s="152"/>
    </row>
    <row r="744">
      <c r="A744" s="152"/>
      <c r="B744" s="152"/>
      <c r="C744" s="152"/>
      <c r="D744" s="152"/>
      <c r="E744" s="152"/>
      <c r="F744" s="152"/>
      <c r="G744" s="152"/>
      <c r="H744" s="152"/>
      <c r="I744" s="152"/>
      <c r="J744" s="152"/>
      <c r="K744" s="248"/>
      <c r="L744" s="248"/>
      <c r="M744" s="152"/>
      <c r="N744" s="152"/>
      <c r="O744" s="152"/>
      <c r="P744" s="152"/>
      <c r="Q744" s="152"/>
      <c r="R744" s="152"/>
      <c r="S744" s="152"/>
      <c r="T744" s="152"/>
      <c r="U744" s="152"/>
      <c r="V744" s="152"/>
      <c r="W744" s="152"/>
    </row>
    <row r="745">
      <c r="A745" s="152"/>
      <c r="B745" s="152"/>
      <c r="C745" s="152"/>
      <c r="D745" s="152"/>
      <c r="E745" s="152"/>
      <c r="F745" s="152"/>
      <c r="G745" s="152"/>
      <c r="H745" s="152"/>
      <c r="I745" s="152"/>
      <c r="J745" s="152"/>
      <c r="K745" s="248"/>
      <c r="L745" s="248"/>
      <c r="M745" s="152"/>
      <c r="N745" s="152"/>
      <c r="O745" s="152"/>
      <c r="P745" s="152"/>
      <c r="Q745" s="152"/>
      <c r="R745" s="152"/>
      <c r="S745" s="152"/>
      <c r="T745" s="152"/>
      <c r="U745" s="152"/>
      <c r="V745" s="152"/>
      <c r="W745" s="152"/>
    </row>
    <row r="746">
      <c r="A746" s="152"/>
      <c r="B746" s="152"/>
      <c r="C746" s="152"/>
      <c r="D746" s="152"/>
      <c r="E746" s="152"/>
      <c r="F746" s="152"/>
      <c r="G746" s="152"/>
      <c r="H746" s="152"/>
      <c r="I746" s="152"/>
      <c r="J746" s="152"/>
      <c r="K746" s="248"/>
      <c r="L746" s="248"/>
      <c r="M746" s="152"/>
      <c r="N746" s="152"/>
      <c r="O746" s="152"/>
      <c r="P746" s="152"/>
      <c r="Q746" s="152"/>
      <c r="R746" s="152"/>
      <c r="S746" s="152"/>
      <c r="T746" s="152"/>
      <c r="U746" s="152"/>
      <c r="V746" s="152"/>
      <c r="W746" s="152"/>
    </row>
    <row r="747">
      <c r="A747" s="152"/>
      <c r="B747" s="152"/>
      <c r="C747" s="152"/>
      <c r="D747" s="152"/>
      <c r="E747" s="152"/>
      <c r="F747" s="152"/>
      <c r="G747" s="152"/>
      <c r="H747" s="152"/>
      <c r="I747" s="152"/>
      <c r="J747" s="152"/>
      <c r="K747" s="248"/>
      <c r="L747" s="248"/>
      <c r="M747" s="152"/>
      <c r="N747" s="152"/>
      <c r="O747" s="152"/>
      <c r="P747" s="152"/>
      <c r="Q747" s="152"/>
      <c r="R747" s="152"/>
      <c r="S747" s="152"/>
      <c r="T747" s="152"/>
      <c r="U747" s="152"/>
      <c r="V747" s="152"/>
      <c r="W747" s="152"/>
    </row>
    <row r="748">
      <c r="A748" s="152"/>
      <c r="B748" s="152"/>
      <c r="C748" s="152"/>
      <c r="D748" s="152"/>
      <c r="E748" s="152"/>
      <c r="F748" s="152"/>
      <c r="G748" s="152"/>
      <c r="H748" s="152"/>
      <c r="I748" s="152"/>
      <c r="J748" s="152"/>
      <c r="K748" s="248"/>
      <c r="L748" s="248"/>
      <c r="M748" s="152"/>
      <c r="N748" s="152"/>
      <c r="O748" s="152"/>
      <c r="P748" s="152"/>
      <c r="Q748" s="152"/>
      <c r="R748" s="152"/>
      <c r="S748" s="152"/>
      <c r="T748" s="152"/>
      <c r="U748" s="152"/>
      <c r="V748" s="152"/>
      <c r="W748" s="152"/>
    </row>
    <row r="749">
      <c r="A749" s="152"/>
      <c r="B749" s="152"/>
      <c r="C749" s="152"/>
      <c r="D749" s="152"/>
      <c r="E749" s="152"/>
      <c r="F749" s="152"/>
      <c r="G749" s="152"/>
      <c r="H749" s="152"/>
      <c r="I749" s="152"/>
      <c r="J749" s="152"/>
      <c r="K749" s="248"/>
      <c r="L749" s="248"/>
      <c r="M749" s="152"/>
      <c r="N749" s="152"/>
      <c r="O749" s="152"/>
      <c r="P749" s="152"/>
      <c r="Q749" s="152"/>
      <c r="R749" s="152"/>
      <c r="S749" s="152"/>
      <c r="T749" s="152"/>
      <c r="U749" s="152"/>
      <c r="V749" s="152"/>
      <c r="W749" s="152"/>
    </row>
    <row r="750">
      <c r="A750" s="152"/>
      <c r="B750" s="152"/>
      <c r="C750" s="152"/>
      <c r="D750" s="152"/>
      <c r="E750" s="152"/>
      <c r="F750" s="152"/>
      <c r="G750" s="152"/>
      <c r="H750" s="152"/>
      <c r="I750" s="152"/>
      <c r="J750" s="152"/>
      <c r="K750" s="248"/>
      <c r="L750" s="248"/>
      <c r="M750" s="152"/>
      <c r="N750" s="152"/>
      <c r="O750" s="152"/>
      <c r="P750" s="152"/>
      <c r="Q750" s="152"/>
      <c r="R750" s="152"/>
      <c r="S750" s="152"/>
      <c r="T750" s="152"/>
      <c r="U750" s="152"/>
      <c r="V750" s="152"/>
      <c r="W750" s="152"/>
    </row>
    <row r="751">
      <c r="A751" s="152"/>
      <c r="B751" s="152"/>
      <c r="C751" s="152"/>
      <c r="D751" s="152"/>
      <c r="E751" s="152"/>
      <c r="F751" s="152"/>
      <c r="G751" s="152"/>
      <c r="H751" s="152"/>
      <c r="I751" s="152"/>
      <c r="J751" s="152"/>
      <c r="K751" s="248"/>
      <c r="L751" s="248"/>
      <c r="M751" s="152"/>
      <c r="N751" s="152"/>
      <c r="O751" s="152"/>
      <c r="P751" s="152"/>
      <c r="Q751" s="152"/>
      <c r="R751" s="152"/>
      <c r="S751" s="152"/>
      <c r="T751" s="152"/>
      <c r="U751" s="152"/>
      <c r="V751" s="152"/>
      <c r="W751" s="152"/>
    </row>
    <row r="752">
      <c r="A752" s="152"/>
      <c r="B752" s="152"/>
      <c r="C752" s="152"/>
      <c r="D752" s="152"/>
      <c r="E752" s="152"/>
      <c r="F752" s="152"/>
      <c r="G752" s="152"/>
      <c r="H752" s="152"/>
      <c r="I752" s="152"/>
      <c r="J752" s="152"/>
      <c r="K752" s="248"/>
      <c r="L752" s="248"/>
      <c r="M752" s="152"/>
      <c r="N752" s="152"/>
      <c r="O752" s="152"/>
      <c r="P752" s="152"/>
      <c r="Q752" s="152"/>
      <c r="R752" s="152"/>
      <c r="S752" s="152"/>
      <c r="T752" s="152"/>
      <c r="U752" s="152"/>
      <c r="V752" s="152"/>
      <c r="W752" s="152"/>
    </row>
    <row r="753">
      <c r="A753" s="152"/>
      <c r="B753" s="152"/>
      <c r="C753" s="152"/>
      <c r="D753" s="152"/>
      <c r="E753" s="152"/>
      <c r="F753" s="152"/>
      <c r="G753" s="152"/>
      <c r="H753" s="152"/>
      <c r="I753" s="152"/>
      <c r="J753" s="152"/>
      <c r="K753" s="248"/>
      <c r="L753" s="248"/>
      <c r="M753" s="152"/>
      <c r="N753" s="152"/>
      <c r="O753" s="152"/>
      <c r="P753" s="152"/>
      <c r="Q753" s="152"/>
      <c r="R753" s="152"/>
      <c r="S753" s="152"/>
      <c r="T753" s="152"/>
      <c r="U753" s="152"/>
      <c r="V753" s="152"/>
      <c r="W753" s="152"/>
    </row>
    <row r="754">
      <c r="A754" s="152"/>
      <c r="B754" s="152"/>
      <c r="C754" s="152"/>
      <c r="D754" s="152"/>
      <c r="E754" s="152"/>
      <c r="F754" s="152"/>
      <c r="G754" s="152"/>
      <c r="H754" s="152"/>
      <c r="I754" s="152"/>
      <c r="J754" s="152"/>
      <c r="K754" s="248"/>
      <c r="L754" s="248"/>
      <c r="M754" s="152"/>
      <c r="N754" s="152"/>
      <c r="O754" s="152"/>
      <c r="P754" s="152"/>
      <c r="Q754" s="152"/>
      <c r="R754" s="152"/>
      <c r="S754" s="152"/>
      <c r="T754" s="152"/>
      <c r="U754" s="152"/>
      <c r="V754" s="152"/>
      <c r="W754" s="152"/>
    </row>
    <row r="755">
      <c r="A755" s="152"/>
      <c r="B755" s="152"/>
      <c r="C755" s="152"/>
      <c r="D755" s="152"/>
      <c r="E755" s="152"/>
      <c r="F755" s="152"/>
      <c r="G755" s="152"/>
      <c r="H755" s="152"/>
      <c r="I755" s="152"/>
      <c r="J755" s="152"/>
      <c r="K755" s="248"/>
      <c r="L755" s="248"/>
      <c r="M755" s="152"/>
      <c r="N755" s="152"/>
      <c r="O755" s="152"/>
      <c r="P755" s="152"/>
      <c r="Q755" s="152"/>
      <c r="R755" s="152"/>
      <c r="S755" s="152"/>
      <c r="T755" s="152"/>
      <c r="U755" s="152"/>
      <c r="V755" s="152"/>
      <c r="W755" s="152"/>
    </row>
    <row r="756">
      <c r="A756" s="152"/>
      <c r="B756" s="152"/>
      <c r="C756" s="152"/>
      <c r="D756" s="152"/>
      <c r="E756" s="152"/>
      <c r="F756" s="152"/>
      <c r="G756" s="152"/>
      <c r="H756" s="152"/>
      <c r="I756" s="152"/>
      <c r="J756" s="152"/>
      <c r="K756" s="248"/>
      <c r="L756" s="248"/>
      <c r="M756" s="152"/>
      <c r="N756" s="152"/>
      <c r="O756" s="152"/>
      <c r="P756" s="152"/>
      <c r="Q756" s="152"/>
      <c r="R756" s="152"/>
      <c r="S756" s="152"/>
      <c r="T756" s="152"/>
      <c r="U756" s="152"/>
      <c r="V756" s="152"/>
      <c r="W756" s="152"/>
    </row>
    <row r="757">
      <c r="A757" s="152"/>
      <c r="B757" s="152"/>
      <c r="C757" s="152"/>
      <c r="D757" s="152"/>
      <c r="E757" s="152"/>
      <c r="F757" s="152"/>
      <c r="G757" s="152"/>
      <c r="H757" s="152"/>
      <c r="I757" s="152"/>
      <c r="J757" s="152"/>
      <c r="K757" s="248"/>
      <c r="L757" s="248"/>
      <c r="M757" s="152"/>
      <c r="N757" s="152"/>
      <c r="O757" s="152"/>
      <c r="P757" s="152"/>
      <c r="Q757" s="152"/>
      <c r="R757" s="152"/>
      <c r="S757" s="152"/>
      <c r="T757" s="152"/>
      <c r="U757" s="152"/>
      <c r="V757" s="152"/>
      <c r="W757" s="152"/>
    </row>
    <row r="758">
      <c r="A758" s="152"/>
      <c r="B758" s="152"/>
      <c r="C758" s="152"/>
      <c r="D758" s="152"/>
      <c r="E758" s="152"/>
      <c r="F758" s="152"/>
      <c r="G758" s="152"/>
      <c r="H758" s="152"/>
      <c r="I758" s="152"/>
      <c r="J758" s="152"/>
      <c r="K758" s="248"/>
      <c r="L758" s="248"/>
      <c r="M758" s="152"/>
      <c r="N758" s="152"/>
      <c r="O758" s="152"/>
      <c r="P758" s="152"/>
      <c r="Q758" s="152"/>
      <c r="R758" s="152"/>
      <c r="S758" s="152"/>
      <c r="T758" s="152"/>
      <c r="U758" s="152"/>
      <c r="V758" s="152"/>
      <c r="W758" s="152"/>
    </row>
    <row r="759">
      <c r="A759" s="152"/>
      <c r="B759" s="152"/>
      <c r="C759" s="152"/>
      <c r="D759" s="152"/>
      <c r="E759" s="152"/>
      <c r="F759" s="152"/>
      <c r="G759" s="152"/>
      <c r="H759" s="152"/>
      <c r="I759" s="152"/>
      <c r="J759" s="152"/>
      <c r="K759" s="248"/>
      <c r="L759" s="248"/>
      <c r="M759" s="152"/>
      <c r="N759" s="152"/>
      <c r="O759" s="152"/>
      <c r="P759" s="152"/>
      <c r="Q759" s="152"/>
      <c r="R759" s="152"/>
      <c r="S759" s="152"/>
      <c r="T759" s="152"/>
      <c r="U759" s="152"/>
      <c r="V759" s="152"/>
      <c r="W759" s="152"/>
    </row>
    <row r="760">
      <c r="A760" s="152"/>
      <c r="B760" s="152"/>
      <c r="C760" s="152"/>
      <c r="D760" s="152"/>
      <c r="E760" s="152"/>
      <c r="F760" s="152"/>
      <c r="G760" s="152"/>
      <c r="H760" s="152"/>
      <c r="I760" s="152"/>
      <c r="J760" s="152"/>
      <c r="K760" s="248"/>
      <c r="L760" s="248"/>
      <c r="M760" s="152"/>
      <c r="N760" s="152"/>
      <c r="O760" s="152"/>
      <c r="P760" s="152"/>
      <c r="Q760" s="152"/>
      <c r="R760" s="152"/>
      <c r="S760" s="152"/>
      <c r="T760" s="152"/>
      <c r="U760" s="152"/>
      <c r="V760" s="152"/>
      <c r="W760" s="152"/>
    </row>
    <row r="761">
      <c r="A761" s="152"/>
      <c r="B761" s="152"/>
      <c r="C761" s="152"/>
      <c r="D761" s="152"/>
      <c r="E761" s="152"/>
      <c r="F761" s="152"/>
      <c r="G761" s="152"/>
      <c r="H761" s="152"/>
      <c r="I761" s="152"/>
      <c r="J761" s="152"/>
      <c r="K761" s="248"/>
      <c r="L761" s="248"/>
      <c r="M761" s="152"/>
      <c r="N761" s="152"/>
      <c r="O761" s="152"/>
      <c r="P761" s="152"/>
      <c r="Q761" s="152"/>
      <c r="R761" s="152"/>
      <c r="S761" s="152"/>
      <c r="T761" s="152"/>
      <c r="U761" s="152"/>
      <c r="V761" s="152"/>
      <c r="W761" s="152"/>
    </row>
    <row r="762">
      <c r="A762" s="152"/>
      <c r="B762" s="152"/>
      <c r="C762" s="152"/>
      <c r="D762" s="152"/>
      <c r="E762" s="152"/>
      <c r="F762" s="152"/>
      <c r="G762" s="152"/>
      <c r="H762" s="152"/>
      <c r="I762" s="152"/>
      <c r="J762" s="152"/>
      <c r="K762" s="248"/>
      <c r="L762" s="248"/>
      <c r="M762" s="152"/>
      <c r="N762" s="152"/>
      <c r="O762" s="152"/>
      <c r="P762" s="152"/>
      <c r="Q762" s="152"/>
      <c r="R762" s="152"/>
      <c r="S762" s="152"/>
      <c r="T762" s="152"/>
      <c r="U762" s="152"/>
      <c r="V762" s="152"/>
      <c r="W762" s="152"/>
    </row>
    <row r="763">
      <c r="A763" s="152"/>
      <c r="B763" s="152"/>
      <c r="C763" s="152"/>
      <c r="D763" s="152"/>
      <c r="E763" s="152"/>
      <c r="F763" s="152"/>
      <c r="G763" s="152"/>
      <c r="H763" s="152"/>
      <c r="I763" s="152"/>
      <c r="J763" s="152"/>
      <c r="K763" s="248"/>
      <c r="L763" s="248"/>
      <c r="M763" s="152"/>
      <c r="N763" s="152"/>
      <c r="O763" s="152"/>
      <c r="P763" s="152"/>
      <c r="Q763" s="152"/>
      <c r="R763" s="152"/>
      <c r="S763" s="152"/>
      <c r="T763" s="152"/>
      <c r="U763" s="152"/>
      <c r="V763" s="152"/>
      <c r="W763" s="152"/>
    </row>
    <row r="764">
      <c r="A764" s="152"/>
      <c r="B764" s="152"/>
      <c r="C764" s="152"/>
      <c r="D764" s="152"/>
      <c r="E764" s="152"/>
      <c r="F764" s="152"/>
      <c r="G764" s="152"/>
      <c r="H764" s="152"/>
      <c r="I764" s="152"/>
      <c r="J764" s="152"/>
      <c r="K764" s="248"/>
      <c r="L764" s="248"/>
      <c r="M764" s="152"/>
      <c r="N764" s="152"/>
      <c r="O764" s="152"/>
      <c r="P764" s="152"/>
      <c r="Q764" s="152"/>
      <c r="R764" s="152"/>
      <c r="S764" s="152"/>
      <c r="T764" s="152"/>
      <c r="U764" s="152"/>
      <c r="V764" s="152"/>
      <c r="W764" s="152"/>
    </row>
    <row r="765">
      <c r="A765" s="152"/>
      <c r="B765" s="152"/>
      <c r="C765" s="152"/>
      <c r="D765" s="152"/>
      <c r="E765" s="152"/>
      <c r="F765" s="152"/>
      <c r="G765" s="152"/>
      <c r="H765" s="152"/>
      <c r="I765" s="152"/>
      <c r="J765" s="152"/>
      <c r="K765" s="248"/>
      <c r="L765" s="248"/>
      <c r="M765" s="152"/>
      <c r="N765" s="152"/>
      <c r="O765" s="152"/>
      <c r="P765" s="152"/>
      <c r="Q765" s="152"/>
      <c r="R765" s="152"/>
      <c r="S765" s="152"/>
      <c r="T765" s="152"/>
      <c r="U765" s="152"/>
      <c r="V765" s="152"/>
      <c r="W765" s="152"/>
    </row>
    <row r="766">
      <c r="A766" s="152"/>
      <c r="B766" s="152"/>
      <c r="C766" s="152"/>
      <c r="D766" s="152"/>
      <c r="E766" s="152"/>
      <c r="F766" s="152"/>
      <c r="G766" s="152"/>
      <c r="H766" s="152"/>
      <c r="I766" s="152"/>
      <c r="J766" s="152"/>
      <c r="K766" s="248"/>
      <c r="L766" s="248"/>
      <c r="M766" s="152"/>
      <c r="N766" s="152"/>
      <c r="O766" s="152"/>
      <c r="P766" s="152"/>
      <c r="Q766" s="152"/>
      <c r="R766" s="152"/>
      <c r="S766" s="152"/>
      <c r="T766" s="152"/>
      <c r="U766" s="152"/>
      <c r="V766" s="152"/>
      <c r="W766" s="152"/>
    </row>
    <row r="767">
      <c r="A767" s="152"/>
      <c r="B767" s="152"/>
      <c r="C767" s="152"/>
      <c r="D767" s="152"/>
      <c r="E767" s="152"/>
      <c r="F767" s="152"/>
      <c r="G767" s="152"/>
      <c r="H767" s="152"/>
      <c r="I767" s="152"/>
      <c r="J767" s="152"/>
      <c r="K767" s="248"/>
      <c r="L767" s="248"/>
      <c r="M767" s="152"/>
      <c r="N767" s="152"/>
      <c r="O767" s="152"/>
      <c r="P767" s="152"/>
      <c r="Q767" s="152"/>
      <c r="R767" s="152"/>
      <c r="S767" s="152"/>
      <c r="T767" s="152"/>
      <c r="U767" s="152"/>
      <c r="V767" s="152"/>
      <c r="W767" s="152"/>
    </row>
    <row r="768">
      <c r="A768" s="152"/>
      <c r="B768" s="152"/>
      <c r="C768" s="152"/>
      <c r="D768" s="152"/>
      <c r="E768" s="152"/>
      <c r="F768" s="152"/>
      <c r="G768" s="152"/>
      <c r="H768" s="152"/>
      <c r="I768" s="152"/>
      <c r="J768" s="152"/>
      <c r="K768" s="248"/>
      <c r="L768" s="248"/>
      <c r="M768" s="152"/>
      <c r="N768" s="152"/>
      <c r="O768" s="152"/>
      <c r="P768" s="152"/>
      <c r="Q768" s="152"/>
      <c r="R768" s="152"/>
      <c r="S768" s="152"/>
      <c r="T768" s="152"/>
      <c r="U768" s="152"/>
      <c r="V768" s="152"/>
      <c r="W768" s="152"/>
    </row>
    <row r="769">
      <c r="A769" s="152"/>
      <c r="B769" s="152"/>
      <c r="C769" s="152"/>
      <c r="D769" s="152"/>
      <c r="E769" s="152"/>
      <c r="F769" s="152"/>
      <c r="G769" s="152"/>
      <c r="H769" s="152"/>
      <c r="I769" s="152"/>
      <c r="J769" s="152"/>
      <c r="K769" s="248"/>
      <c r="L769" s="248"/>
      <c r="M769" s="152"/>
      <c r="N769" s="152"/>
      <c r="O769" s="152"/>
      <c r="P769" s="152"/>
      <c r="Q769" s="152"/>
      <c r="R769" s="152"/>
      <c r="S769" s="152"/>
      <c r="T769" s="152"/>
      <c r="U769" s="152"/>
      <c r="V769" s="152"/>
      <c r="W769" s="152"/>
    </row>
    <row r="770">
      <c r="A770" s="152"/>
      <c r="B770" s="152"/>
      <c r="C770" s="152"/>
      <c r="D770" s="152"/>
      <c r="E770" s="152"/>
      <c r="F770" s="152"/>
      <c r="G770" s="152"/>
      <c r="H770" s="152"/>
      <c r="I770" s="152"/>
      <c r="J770" s="152"/>
      <c r="K770" s="248"/>
      <c r="L770" s="248"/>
      <c r="M770" s="152"/>
      <c r="N770" s="152"/>
      <c r="O770" s="152"/>
      <c r="P770" s="152"/>
      <c r="Q770" s="152"/>
      <c r="R770" s="152"/>
      <c r="S770" s="152"/>
      <c r="T770" s="152"/>
      <c r="U770" s="152"/>
      <c r="V770" s="152"/>
      <c r="W770" s="152"/>
    </row>
    <row r="771">
      <c r="A771" s="152"/>
      <c r="B771" s="152"/>
      <c r="C771" s="152"/>
      <c r="D771" s="152"/>
      <c r="E771" s="152"/>
      <c r="F771" s="152"/>
      <c r="G771" s="152"/>
      <c r="H771" s="152"/>
      <c r="I771" s="152"/>
      <c r="J771" s="152"/>
      <c r="K771" s="248"/>
      <c r="L771" s="248"/>
      <c r="M771" s="152"/>
      <c r="N771" s="152"/>
      <c r="O771" s="152"/>
      <c r="P771" s="152"/>
      <c r="Q771" s="152"/>
      <c r="R771" s="152"/>
      <c r="S771" s="152"/>
      <c r="T771" s="152"/>
      <c r="U771" s="152"/>
      <c r="V771" s="152"/>
      <c r="W771" s="152"/>
    </row>
    <row r="772">
      <c r="A772" s="152"/>
      <c r="B772" s="152"/>
      <c r="C772" s="152"/>
      <c r="D772" s="152"/>
      <c r="E772" s="152"/>
      <c r="F772" s="152"/>
      <c r="G772" s="152"/>
      <c r="H772" s="152"/>
      <c r="I772" s="152"/>
      <c r="J772" s="152"/>
      <c r="K772" s="248"/>
      <c r="L772" s="248"/>
      <c r="M772" s="152"/>
      <c r="N772" s="152"/>
      <c r="O772" s="152"/>
      <c r="P772" s="152"/>
      <c r="Q772" s="152"/>
      <c r="R772" s="152"/>
      <c r="S772" s="152"/>
      <c r="T772" s="152"/>
      <c r="U772" s="152"/>
      <c r="V772" s="152"/>
      <c r="W772" s="152"/>
    </row>
    <row r="773">
      <c r="A773" s="152"/>
      <c r="B773" s="152"/>
      <c r="C773" s="152"/>
      <c r="D773" s="152"/>
      <c r="E773" s="152"/>
      <c r="F773" s="152"/>
      <c r="G773" s="152"/>
      <c r="H773" s="152"/>
      <c r="I773" s="152"/>
      <c r="J773" s="152"/>
      <c r="K773" s="248"/>
      <c r="L773" s="248"/>
      <c r="M773" s="152"/>
      <c r="N773" s="152"/>
      <c r="O773" s="152"/>
      <c r="P773" s="152"/>
      <c r="Q773" s="152"/>
      <c r="R773" s="152"/>
      <c r="S773" s="152"/>
      <c r="T773" s="152"/>
      <c r="U773" s="152"/>
      <c r="V773" s="152"/>
      <c r="W773" s="152"/>
    </row>
    <row r="774">
      <c r="A774" s="152"/>
      <c r="B774" s="152"/>
      <c r="C774" s="152"/>
      <c r="D774" s="152"/>
      <c r="E774" s="152"/>
      <c r="F774" s="152"/>
      <c r="G774" s="152"/>
      <c r="H774" s="152"/>
      <c r="I774" s="152"/>
      <c r="J774" s="152"/>
      <c r="K774" s="248"/>
      <c r="L774" s="248"/>
      <c r="M774" s="152"/>
      <c r="N774" s="152"/>
      <c r="O774" s="152"/>
      <c r="P774" s="152"/>
      <c r="Q774" s="152"/>
      <c r="R774" s="152"/>
      <c r="S774" s="152"/>
      <c r="T774" s="152"/>
      <c r="U774" s="152"/>
      <c r="V774" s="152"/>
      <c r="W774" s="152"/>
    </row>
    <row r="775">
      <c r="A775" s="152"/>
      <c r="B775" s="152"/>
      <c r="C775" s="152"/>
      <c r="D775" s="152"/>
      <c r="E775" s="152"/>
      <c r="F775" s="152"/>
      <c r="G775" s="152"/>
      <c r="H775" s="152"/>
      <c r="I775" s="152"/>
      <c r="J775" s="152"/>
      <c r="K775" s="248"/>
      <c r="L775" s="248"/>
      <c r="M775" s="152"/>
      <c r="N775" s="152"/>
      <c r="O775" s="152"/>
      <c r="P775" s="152"/>
      <c r="Q775" s="152"/>
      <c r="R775" s="152"/>
      <c r="S775" s="152"/>
      <c r="T775" s="152"/>
      <c r="U775" s="152"/>
      <c r="V775" s="152"/>
      <c r="W775" s="152"/>
    </row>
    <row r="776">
      <c r="A776" s="152"/>
      <c r="B776" s="152"/>
      <c r="C776" s="152"/>
      <c r="D776" s="152"/>
      <c r="E776" s="152"/>
      <c r="F776" s="152"/>
      <c r="G776" s="152"/>
      <c r="H776" s="152"/>
      <c r="I776" s="152"/>
      <c r="J776" s="152"/>
      <c r="K776" s="248"/>
      <c r="L776" s="248"/>
      <c r="M776" s="152"/>
      <c r="N776" s="152"/>
      <c r="O776" s="152"/>
      <c r="P776" s="152"/>
      <c r="Q776" s="152"/>
      <c r="R776" s="152"/>
      <c r="S776" s="152"/>
      <c r="T776" s="152"/>
      <c r="U776" s="152"/>
      <c r="V776" s="152"/>
      <c r="W776" s="152"/>
    </row>
    <row r="777">
      <c r="A777" s="152"/>
      <c r="B777" s="152"/>
      <c r="C777" s="152"/>
      <c r="D777" s="152"/>
      <c r="E777" s="152"/>
      <c r="F777" s="152"/>
      <c r="G777" s="152"/>
      <c r="H777" s="152"/>
      <c r="I777" s="152"/>
      <c r="J777" s="152"/>
      <c r="K777" s="248"/>
      <c r="L777" s="248"/>
      <c r="M777" s="152"/>
      <c r="N777" s="152"/>
      <c r="O777" s="152"/>
      <c r="P777" s="152"/>
      <c r="Q777" s="152"/>
      <c r="R777" s="152"/>
      <c r="S777" s="152"/>
      <c r="T777" s="152"/>
      <c r="U777" s="152"/>
      <c r="V777" s="152"/>
      <c r="W777" s="152"/>
    </row>
    <row r="778">
      <c r="A778" s="152"/>
      <c r="B778" s="152"/>
      <c r="C778" s="152"/>
      <c r="D778" s="152"/>
      <c r="E778" s="152"/>
      <c r="F778" s="152"/>
      <c r="G778" s="152"/>
      <c r="H778" s="152"/>
      <c r="I778" s="152"/>
      <c r="J778" s="152"/>
      <c r="K778" s="248"/>
      <c r="L778" s="248"/>
      <c r="M778" s="152"/>
      <c r="N778" s="152"/>
      <c r="O778" s="152"/>
      <c r="P778" s="152"/>
      <c r="Q778" s="152"/>
      <c r="R778" s="152"/>
      <c r="S778" s="152"/>
      <c r="T778" s="152"/>
      <c r="U778" s="152"/>
      <c r="V778" s="152"/>
      <c r="W778" s="152"/>
    </row>
    <row r="779">
      <c r="A779" s="152"/>
      <c r="B779" s="152"/>
      <c r="C779" s="152"/>
      <c r="D779" s="152"/>
      <c r="E779" s="152"/>
      <c r="F779" s="152"/>
      <c r="G779" s="152"/>
      <c r="H779" s="152"/>
      <c r="I779" s="152"/>
      <c r="J779" s="152"/>
      <c r="K779" s="248"/>
      <c r="L779" s="248"/>
      <c r="M779" s="152"/>
      <c r="N779" s="152"/>
      <c r="O779" s="152"/>
      <c r="P779" s="152"/>
      <c r="Q779" s="152"/>
      <c r="R779" s="152"/>
      <c r="S779" s="152"/>
      <c r="T779" s="152"/>
      <c r="U779" s="152"/>
      <c r="V779" s="152"/>
      <c r="W779" s="152"/>
    </row>
    <row r="780">
      <c r="A780" s="152"/>
      <c r="B780" s="152"/>
      <c r="C780" s="152"/>
      <c r="D780" s="152"/>
      <c r="E780" s="152"/>
      <c r="F780" s="152"/>
      <c r="G780" s="152"/>
      <c r="H780" s="152"/>
      <c r="I780" s="152"/>
      <c r="J780" s="152"/>
      <c r="K780" s="248"/>
      <c r="L780" s="248"/>
      <c r="M780" s="152"/>
      <c r="N780" s="152"/>
      <c r="O780" s="152"/>
      <c r="P780" s="152"/>
      <c r="Q780" s="152"/>
      <c r="R780" s="152"/>
      <c r="S780" s="152"/>
      <c r="T780" s="152"/>
      <c r="U780" s="152"/>
      <c r="V780" s="152"/>
      <c r="W780" s="152"/>
    </row>
    <row r="781">
      <c r="A781" s="152"/>
      <c r="B781" s="152"/>
      <c r="C781" s="152"/>
      <c r="D781" s="152"/>
      <c r="E781" s="152"/>
      <c r="F781" s="152"/>
      <c r="G781" s="152"/>
      <c r="H781" s="152"/>
      <c r="I781" s="152"/>
      <c r="J781" s="152"/>
      <c r="K781" s="248"/>
      <c r="L781" s="248"/>
      <c r="M781" s="152"/>
      <c r="N781" s="152"/>
      <c r="O781" s="152"/>
      <c r="P781" s="152"/>
      <c r="Q781" s="152"/>
      <c r="R781" s="152"/>
      <c r="S781" s="152"/>
      <c r="T781" s="152"/>
      <c r="U781" s="152"/>
      <c r="V781" s="152"/>
      <c r="W781" s="152"/>
    </row>
    <row r="782">
      <c r="A782" s="152"/>
      <c r="B782" s="152"/>
      <c r="C782" s="152"/>
      <c r="D782" s="152"/>
      <c r="E782" s="152"/>
      <c r="F782" s="152"/>
      <c r="G782" s="152"/>
      <c r="H782" s="152"/>
      <c r="I782" s="152"/>
      <c r="J782" s="152"/>
      <c r="K782" s="248"/>
      <c r="L782" s="248"/>
      <c r="M782" s="152"/>
      <c r="N782" s="152"/>
      <c r="O782" s="152"/>
      <c r="P782" s="152"/>
      <c r="Q782" s="152"/>
      <c r="R782" s="152"/>
      <c r="S782" s="152"/>
      <c r="T782" s="152"/>
      <c r="U782" s="152"/>
      <c r="V782" s="152"/>
      <c r="W782" s="152"/>
    </row>
    <row r="783">
      <c r="A783" s="152"/>
      <c r="B783" s="152"/>
      <c r="C783" s="152"/>
      <c r="D783" s="152"/>
      <c r="E783" s="152"/>
      <c r="F783" s="152"/>
      <c r="G783" s="152"/>
      <c r="H783" s="152"/>
      <c r="I783" s="152"/>
      <c r="J783" s="152"/>
      <c r="K783" s="248"/>
      <c r="L783" s="248"/>
      <c r="M783" s="152"/>
      <c r="N783" s="152"/>
      <c r="O783" s="152"/>
      <c r="P783" s="152"/>
      <c r="Q783" s="152"/>
      <c r="R783" s="152"/>
      <c r="S783" s="152"/>
      <c r="T783" s="152"/>
      <c r="U783" s="152"/>
      <c r="V783" s="152"/>
      <c r="W783" s="152"/>
    </row>
    <row r="784">
      <c r="A784" s="152"/>
      <c r="B784" s="152"/>
      <c r="C784" s="152"/>
      <c r="D784" s="152"/>
      <c r="E784" s="152"/>
      <c r="F784" s="152"/>
      <c r="G784" s="152"/>
      <c r="H784" s="152"/>
      <c r="I784" s="152"/>
      <c r="J784" s="152"/>
      <c r="K784" s="248"/>
      <c r="L784" s="248"/>
      <c r="M784" s="152"/>
      <c r="N784" s="152"/>
      <c r="O784" s="152"/>
      <c r="P784" s="152"/>
      <c r="Q784" s="152"/>
      <c r="R784" s="152"/>
      <c r="S784" s="152"/>
      <c r="T784" s="152"/>
      <c r="U784" s="152"/>
      <c r="V784" s="152"/>
      <c r="W784" s="152"/>
    </row>
    <row r="785">
      <c r="A785" s="152"/>
      <c r="B785" s="152"/>
      <c r="C785" s="152"/>
      <c r="D785" s="152"/>
      <c r="E785" s="152"/>
      <c r="F785" s="152"/>
      <c r="G785" s="152"/>
      <c r="H785" s="152"/>
      <c r="I785" s="152"/>
      <c r="J785" s="152"/>
      <c r="K785" s="248"/>
      <c r="L785" s="248"/>
      <c r="M785" s="152"/>
      <c r="N785" s="152"/>
      <c r="O785" s="152"/>
      <c r="P785" s="152"/>
      <c r="Q785" s="152"/>
      <c r="R785" s="152"/>
      <c r="S785" s="152"/>
      <c r="T785" s="152"/>
      <c r="U785" s="152"/>
      <c r="V785" s="152"/>
      <c r="W785" s="152"/>
    </row>
    <row r="786">
      <c r="A786" s="152"/>
      <c r="B786" s="152"/>
      <c r="C786" s="152"/>
      <c r="D786" s="152"/>
      <c r="E786" s="152"/>
      <c r="F786" s="152"/>
      <c r="G786" s="152"/>
      <c r="H786" s="152"/>
      <c r="I786" s="152"/>
      <c r="J786" s="152"/>
      <c r="K786" s="248"/>
      <c r="L786" s="248"/>
      <c r="M786" s="152"/>
      <c r="N786" s="152"/>
      <c r="O786" s="152"/>
      <c r="P786" s="152"/>
      <c r="Q786" s="152"/>
      <c r="R786" s="152"/>
      <c r="S786" s="152"/>
      <c r="T786" s="152"/>
      <c r="U786" s="152"/>
      <c r="V786" s="152"/>
      <c r="W786" s="152"/>
    </row>
    <row r="787">
      <c r="A787" s="152"/>
      <c r="B787" s="152"/>
      <c r="C787" s="152"/>
      <c r="D787" s="152"/>
      <c r="E787" s="152"/>
      <c r="F787" s="152"/>
      <c r="G787" s="152"/>
      <c r="H787" s="152"/>
      <c r="I787" s="152"/>
      <c r="J787" s="152"/>
      <c r="K787" s="248"/>
      <c r="L787" s="248"/>
      <c r="M787" s="152"/>
      <c r="N787" s="152"/>
      <c r="O787" s="152"/>
      <c r="P787" s="152"/>
      <c r="Q787" s="152"/>
      <c r="R787" s="152"/>
      <c r="S787" s="152"/>
      <c r="T787" s="152"/>
      <c r="U787" s="152"/>
      <c r="V787" s="152"/>
      <c r="W787" s="152"/>
    </row>
    <row r="788">
      <c r="A788" s="152"/>
      <c r="B788" s="152"/>
      <c r="C788" s="152"/>
      <c r="D788" s="152"/>
      <c r="E788" s="152"/>
      <c r="F788" s="152"/>
      <c r="G788" s="152"/>
      <c r="H788" s="152"/>
      <c r="I788" s="152"/>
      <c r="J788" s="152"/>
      <c r="K788" s="248"/>
      <c r="L788" s="248"/>
      <c r="M788" s="152"/>
      <c r="N788" s="152"/>
      <c r="O788" s="152"/>
      <c r="P788" s="152"/>
      <c r="Q788" s="152"/>
      <c r="R788" s="152"/>
      <c r="S788" s="152"/>
      <c r="T788" s="152"/>
      <c r="U788" s="152"/>
      <c r="V788" s="152"/>
      <c r="W788" s="152"/>
    </row>
    <row r="789">
      <c r="A789" s="152"/>
      <c r="B789" s="152"/>
      <c r="C789" s="152"/>
      <c r="D789" s="152"/>
      <c r="E789" s="152"/>
      <c r="F789" s="152"/>
      <c r="G789" s="152"/>
      <c r="H789" s="152"/>
      <c r="I789" s="152"/>
      <c r="J789" s="152"/>
      <c r="K789" s="248"/>
      <c r="L789" s="248"/>
      <c r="M789" s="152"/>
      <c r="N789" s="152"/>
      <c r="O789" s="152"/>
      <c r="P789" s="152"/>
      <c r="Q789" s="152"/>
      <c r="R789" s="152"/>
      <c r="S789" s="152"/>
      <c r="T789" s="152"/>
      <c r="U789" s="152"/>
      <c r="V789" s="152"/>
      <c r="W789" s="152"/>
    </row>
    <row r="790">
      <c r="A790" s="152"/>
      <c r="B790" s="152"/>
      <c r="C790" s="152"/>
      <c r="D790" s="152"/>
      <c r="E790" s="152"/>
      <c r="F790" s="152"/>
      <c r="G790" s="152"/>
      <c r="H790" s="152"/>
      <c r="I790" s="152"/>
      <c r="J790" s="152"/>
      <c r="K790" s="248"/>
      <c r="L790" s="248"/>
      <c r="M790" s="152"/>
      <c r="N790" s="152"/>
      <c r="O790" s="152"/>
      <c r="P790" s="152"/>
      <c r="Q790" s="152"/>
      <c r="R790" s="152"/>
      <c r="S790" s="152"/>
      <c r="T790" s="152"/>
      <c r="U790" s="152"/>
      <c r="V790" s="152"/>
      <c r="W790" s="152"/>
    </row>
    <row r="791">
      <c r="A791" s="152"/>
      <c r="B791" s="152"/>
      <c r="C791" s="152"/>
      <c r="D791" s="152"/>
      <c r="E791" s="152"/>
      <c r="F791" s="152"/>
      <c r="G791" s="152"/>
      <c r="H791" s="152"/>
      <c r="I791" s="152"/>
      <c r="J791" s="152"/>
      <c r="K791" s="248"/>
      <c r="L791" s="248"/>
      <c r="M791" s="152"/>
      <c r="N791" s="152"/>
      <c r="O791" s="152"/>
      <c r="P791" s="152"/>
      <c r="Q791" s="152"/>
      <c r="R791" s="152"/>
      <c r="S791" s="152"/>
      <c r="T791" s="152"/>
      <c r="U791" s="152"/>
      <c r="V791" s="152"/>
      <c r="W791" s="152"/>
    </row>
    <row r="792">
      <c r="A792" s="152"/>
      <c r="B792" s="152"/>
      <c r="C792" s="152"/>
      <c r="D792" s="152"/>
      <c r="E792" s="152"/>
      <c r="F792" s="152"/>
      <c r="G792" s="152"/>
      <c r="H792" s="152"/>
      <c r="I792" s="152"/>
      <c r="J792" s="152"/>
      <c r="K792" s="248"/>
      <c r="L792" s="248"/>
      <c r="M792" s="152"/>
      <c r="N792" s="152"/>
      <c r="O792" s="152"/>
      <c r="P792" s="152"/>
      <c r="Q792" s="152"/>
      <c r="R792" s="152"/>
      <c r="S792" s="152"/>
      <c r="T792" s="152"/>
      <c r="U792" s="152"/>
      <c r="V792" s="152"/>
      <c r="W792" s="152"/>
    </row>
    <row r="793">
      <c r="A793" s="152"/>
      <c r="B793" s="152"/>
      <c r="C793" s="152"/>
      <c r="D793" s="152"/>
      <c r="E793" s="152"/>
      <c r="F793" s="152"/>
      <c r="G793" s="152"/>
      <c r="H793" s="152"/>
      <c r="I793" s="152"/>
      <c r="J793" s="152"/>
      <c r="K793" s="248"/>
      <c r="L793" s="248"/>
      <c r="M793" s="152"/>
      <c r="N793" s="152"/>
      <c r="O793" s="152"/>
      <c r="P793" s="152"/>
      <c r="Q793" s="152"/>
      <c r="R793" s="152"/>
      <c r="S793" s="152"/>
      <c r="T793" s="152"/>
      <c r="U793" s="152"/>
      <c r="V793" s="152"/>
      <c r="W793" s="152"/>
    </row>
    <row r="794">
      <c r="A794" s="152"/>
      <c r="B794" s="152"/>
      <c r="C794" s="152"/>
      <c r="D794" s="152"/>
      <c r="E794" s="152"/>
      <c r="F794" s="152"/>
      <c r="G794" s="152"/>
      <c r="H794" s="152"/>
      <c r="I794" s="152"/>
      <c r="J794" s="152"/>
      <c r="K794" s="248"/>
      <c r="L794" s="248"/>
      <c r="M794" s="152"/>
      <c r="N794" s="152"/>
      <c r="O794" s="152"/>
      <c r="P794" s="152"/>
      <c r="Q794" s="152"/>
      <c r="R794" s="152"/>
      <c r="S794" s="152"/>
      <c r="T794" s="152"/>
      <c r="U794" s="152"/>
      <c r="V794" s="152"/>
      <c r="W794" s="152"/>
    </row>
    <row r="795">
      <c r="A795" s="152"/>
      <c r="B795" s="152"/>
      <c r="C795" s="152"/>
      <c r="D795" s="152"/>
      <c r="E795" s="152"/>
      <c r="F795" s="152"/>
      <c r="G795" s="152"/>
      <c r="H795" s="152"/>
      <c r="I795" s="152"/>
      <c r="J795" s="152"/>
      <c r="K795" s="248"/>
      <c r="L795" s="248"/>
      <c r="M795" s="152"/>
      <c r="N795" s="152"/>
      <c r="O795" s="152"/>
      <c r="P795" s="152"/>
      <c r="Q795" s="152"/>
      <c r="R795" s="152"/>
      <c r="S795" s="152"/>
      <c r="T795" s="152"/>
      <c r="U795" s="152"/>
      <c r="V795" s="152"/>
      <c r="W795" s="152"/>
    </row>
    <row r="796">
      <c r="A796" s="152"/>
      <c r="B796" s="152"/>
      <c r="C796" s="152"/>
      <c r="D796" s="152"/>
      <c r="E796" s="152"/>
      <c r="F796" s="152"/>
      <c r="G796" s="152"/>
      <c r="H796" s="152"/>
      <c r="I796" s="152"/>
      <c r="J796" s="152"/>
      <c r="K796" s="248"/>
      <c r="L796" s="248"/>
      <c r="M796" s="152"/>
      <c r="N796" s="152"/>
      <c r="O796" s="152"/>
      <c r="P796" s="152"/>
      <c r="Q796" s="152"/>
      <c r="R796" s="152"/>
      <c r="S796" s="152"/>
      <c r="T796" s="152"/>
      <c r="U796" s="152"/>
      <c r="V796" s="152"/>
      <c r="W796" s="152"/>
    </row>
    <row r="797">
      <c r="A797" s="152"/>
      <c r="B797" s="152"/>
      <c r="C797" s="152"/>
      <c r="D797" s="152"/>
      <c r="E797" s="152"/>
      <c r="F797" s="152"/>
      <c r="G797" s="152"/>
      <c r="H797" s="152"/>
      <c r="I797" s="152"/>
      <c r="J797" s="152"/>
      <c r="K797" s="248"/>
      <c r="L797" s="248"/>
      <c r="M797" s="152"/>
      <c r="N797" s="152"/>
      <c r="O797" s="152"/>
      <c r="P797" s="152"/>
      <c r="Q797" s="152"/>
      <c r="R797" s="152"/>
      <c r="S797" s="152"/>
      <c r="T797" s="152"/>
      <c r="U797" s="152"/>
      <c r="V797" s="152"/>
      <c r="W797" s="152"/>
    </row>
    <row r="798">
      <c r="A798" s="152"/>
      <c r="B798" s="152"/>
      <c r="C798" s="152"/>
      <c r="D798" s="152"/>
      <c r="E798" s="152"/>
      <c r="F798" s="152"/>
      <c r="G798" s="152"/>
      <c r="H798" s="152"/>
      <c r="I798" s="152"/>
      <c r="J798" s="152"/>
      <c r="K798" s="248"/>
      <c r="L798" s="248"/>
      <c r="M798" s="152"/>
      <c r="N798" s="152"/>
      <c r="O798" s="152"/>
      <c r="P798" s="152"/>
      <c r="Q798" s="152"/>
      <c r="R798" s="152"/>
      <c r="S798" s="152"/>
      <c r="T798" s="152"/>
      <c r="U798" s="152"/>
      <c r="V798" s="152"/>
      <c r="W798" s="152"/>
    </row>
    <row r="799">
      <c r="A799" s="152"/>
      <c r="B799" s="152"/>
      <c r="C799" s="152"/>
      <c r="D799" s="152"/>
      <c r="E799" s="152"/>
      <c r="F799" s="152"/>
      <c r="G799" s="152"/>
      <c r="H799" s="152"/>
      <c r="I799" s="152"/>
      <c r="J799" s="152"/>
      <c r="K799" s="248"/>
      <c r="L799" s="248"/>
      <c r="M799" s="152"/>
      <c r="N799" s="152"/>
      <c r="O799" s="152"/>
      <c r="P799" s="152"/>
      <c r="Q799" s="152"/>
      <c r="R799" s="152"/>
      <c r="S799" s="152"/>
      <c r="T799" s="152"/>
      <c r="U799" s="152"/>
      <c r="V799" s="152"/>
      <c r="W799" s="152"/>
    </row>
    <row r="800">
      <c r="A800" s="152"/>
      <c r="B800" s="152"/>
      <c r="C800" s="152"/>
      <c r="D800" s="152"/>
      <c r="E800" s="152"/>
      <c r="F800" s="152"/>
      <c r="G800" s="152"/>
      <c r="H800" s="152"/>
      <c r="I800" s="152"/>
      <c r="J800" s="152"/>
      <c r="K800" s="248"/>
      <c r="L800" s="248"/>
      <c r="M800" s="152"/>
      <c r="N800" s="152"/>
      <c r="O800" s="152"/>
      <c r="P800" s="152"/>
      <c r="Q800" s="152"/>
      <c r="R800" s="152"/>
      <c r="S800" s="152"/>
      <c r="T800" s="152"/>
      <c r="U800" s="152"/>
      <c r="V800" s="152"/>
      <c r="W800" s="152"/>
    </row>
    <row r="801">
      <c r="A801" s="152"/>
      <c r="B801" s="152"/>
      <c r="C801" s="152"/>
      <c r="D801" s="152"/>
      <c r="E801" s="152"/>
      <c r="F801" s="152"/>
      <c r="G801" s="152"/>
      <c r="H801" s="152"/>
      <c r="I801" s="152"/>
      <c r="J801" s="152"/>
      <c r="K801" s="248"/>
      <c r="L801" s="248"/>
      <c r="M801" s="152"/>
      <c r="N801" s="152"/>
      <c r="O801" s="152"/>
      <c r="P801" s="152"/>
      <c r="Q801" s="152"/>
      <c r="R801" s="152"/>
      <c r="S801" s="152"/>
      <c r="T801" s="152"/>
      <c r="U801" s="152"/>
      <c r="V801" s="152"/>
      <c r="W801" s="152"/>
    </row>
    <row r="802">
      <c r="A802" s="152"/>
      <c r="B802" s="152"/>
      <c r="C802" s="152"/>
      <c r="D802" s="152"/>
      <c r="E802" s="152"/>
      <c r="F802" s="152"/>
      <c r="G802" s="152"/>
      <c r="H802" s="152"/>
      <c r="I802" s="152"/>
      <c r="J802" s="152"/>
      <c r="K802" s="248"/>
      <c r="L802" s="248"/>
      <c r="M802" s="152"/>
      <c r="N802" s="152"/>
      <c r="O802" s="152"/>
      <c r="P802" s="152"/>
      <c r="Q802" s="152"/>
      <c r="R802" s="152"/>
      <c r="S802" s="152"/>
      <c r="T802" s="152"/>
      <c r="U802" s="152"/>
      <c r="V802" s="152"/>
      <c r="W802" s="152"/>
    </row>
    <row r="803">
      <c r="A803" s="152"/>
      <c r="B803" s="152"/>
      <c r="C803" s="152"/>
      <c r="D803" s="152"/>
      <c r="E803" s="152"/>
      <c r="F803" s="152"/>
      <c r="G803" s="152"/>
      <c r="H803" s="152"/>
      <c r="I803" s="152"/>
      <c r="J803" s="152"/>
      <c r="K803" s="248"/>
      <c r="L803" s="248"/>
      <c r="M803" s="152"/>
      <c r="N803" s="152"/>
      <c r="O803" s="152"/>
      <c r="P803" s="152"/>
      <c r="Q803" s="152"/>
      <c r="R803" s="152"/>
      <c r="S803" s="152"/>
      <c r="T803" s="152"/>
      <c r="U803" s="152"/>
      <c r="V803" s="152"/>
      <c r="W803" s="152"/>
    </row>
    <row r="804">
      <c r="A804" s="152"/>
      <c r="B804" s="152"/>
      <c r="C804" s="152"/>
      <c r="D804" s="152"/>
      <c r="E804" s="152"/>
      <c r="F804" s="152"/>
      <c r="G804" s="152"/>
      <c r="H804" s="152"/>
      <c r="I804" s="152"/>
      <c r="J804" s="152"/>
      <c r="K804" s="248"/>
      <c r="L804" s="248"/>
      <c r="M804" s="152"/>
      <c r="N804" s="152"/>
      <c r="O804" s="152"/>
      <c r="P804" s="152"/>
      <c r="Q804" s="152"/>
      <c r="R804" s="152"/>
      <c r="S804" s="152"/>
      <c r="T804" s="152"/>
      <c r="U804" s="152"/>
      <c r="V804" s="152"/>
      <c r="W804" s="152"/>
    </row>
    <row r="805">
      <c r="A805" s="152"/>
      <c r="B805" s="152"/>
      <c r="C805" s="152"/>
      <c r="D805" s="152"/>
      <c r="E805" s="152"/>
      <c r="F805" s="152"/>
      <c r="G805" s="152"/>
      <c r="H805" s="152"/>
      <c r="I805" s="152"/>
      <c r="J805" s="152"/>
      <c r="K805" s="248"/>
      <c r="L805" s="248"/>
      <c r="M805" s="152"/>
      <c r="N805" s="152"/>
      <c r="O805" s="152"/>
      <c r="P805" s="152"/>
      <c r="Q805" s="152"/>
      <c r="R805" s="152"/>
      <c r="S805" s="152"/>
      <c r="T805" s="152"/>
      <c r="U805" s="152"/>
      <c r="V805" s="152"/>
      <c r="W805" s="152"/>
    </row>
    <row r="806">
      <c r="A806" s="152"/>
      <c r="B806" s="152"/>
      <c r="C806" s="152"/>
      <c r="D806" s="152"/>
      <c r="E806" s="152"/>
      <c r="F806" s="152"/>
      <c r="G806" s="152"/>
      <c r="H806" s="152"/>
      <c r="I806" s="152"/>
      <c r="J806" s="152"/>
      <c r="K806" s="248"/>
      <c r="L806" s="248"/>
      <c r="M806" s="152"/>
      <c r="N806" s="152"/>
      <c r="O806" s="152"/>
      <c r="P806" s="152"/>
      <c r="Q806" s="152"/>
      <c r="R806" s="152"/>
      <c r="S806" s="152"/>
      <c r="T806" s="152"/>
      <c r="U806" s="152"/>
      <c r="V806" s="152"/>
      <c r="W806" s="152"/>
    </row>
    <row r="807">
      <c r="A807" s="152"/>
      <c r="B807" s="152"/>
      <c r="C807" s="152"/>
      <c r="D807" s="152"/>
      <c r="E807" s="152"/>
      <c r="F807" s="152"/>
      <c r="G807" s="152"/>
      <c r="H807" s="152"/>
      <c r="I807" s="152"/>
      <c r="J807" s="152"/>
      <c r="K807" s="248"/>
      <c r="L807" s="248"/>
      <c r="M807" s="152"/>
      <c r="N807" s="152"/>
      <c r="O807" s="152"/>
      <c r="P807" s="152"/>
      <c r="Q807" s="152"/>
      <c r="R807" s="152"/>
      <c r="S807" s="152"/>
      <c r="T807" s="152"/>
      <c r="U807" s="152"/>
      <c r="V807" s="152"/>
      <c r="W807" s="152"/>
    </row>
    <row r="808">
      <c r="A808" s="152"/>
      <c r="B808" s="152"/>
      <c r="C808" s="152"/>
      <c r="D808" s="152"/>
      <c r="E808" s="152"/>
      <c r="F808" s="152"/>
      <c r="G808" s="152"/>
      <c r="H808" s="152"/>
      <c r="I808" s="152"/>
      <c r="J808" s="152"/>
      <c r="K808" s="248"/>
      <c r="L808" s="248"/>
      <c r="M808" s="152"/>
      <c r="N808" s="152"/>
      <c r="O808" s="152"/>
      <c r="P808" s="152"/>
      <c r="Q808" s="152"/>
      <c r="R808" s="152"/>
      <c r="S808" s="152"/>
      <c r="T808" s="152"/>
      <c r="U808" s="152"/>
      <c r="V808" s="152"/>
      <c r="W808" s="152"/>
    </row>
    <row r="809">
      <c r="A809" s="152"/>
      <c r="B809" s="152"/>
      <c r="C809" s="152"/>
      <c r="D809" s="152"/>
      <c r="E809" s="152"/>
      <c r="F809" s="152"/>
      <c r="G809" s="152"/>
      <c r="H809" s="152"/>
      <c r="I809" s="152"/>
      <c r="J809" s="152"/>
      <c r="K809" s="248"/>
      <c r="L809" s="248"/>
      <c r="M809" s="152"/>
      <c r="N809" s="152"/>
      <c r="O809" s="152"/>
      <c r="P809" s="152"/>
      <c r="Q809" s="152"/>
      <c r="R809" s="152"/>
      <c r="S809" s="152"/>
      <c r="T809" s="152"/>
      <c r="U809" s="152"/>
      <c r="V809" s="152"/>
      <c r="W809" s="152"/>
    </row>
    <row r="810">
      <c r="A810" s="152"/>
      <c r="B810" s="152"/>
      <c r="C810" s="152"/>
      <c r="D810" s="152"/>
      <c r="E810" s="152"/>
      <c r="F810" s="152"/>
      <c r="G810" s="152"/>
      <c r="H810" s="152"/>
      <c r="I810" s="152"/>
      <c r="J810" s="152"/>
      <c r="K810" s="248"/>
      <c r="L810" s="248"/>
      <c r="M810" s="152"/>
      <c r="N810" s="152"/>
      <c r="O810" s="152"/>
      <c r="P810" s="152"/>
      <c r="Q810" s="152"/>
      <c r="R810" s="152"/>
      <c r="S810" s="152"/>
      <c r="T810" s="152"/>
      <c r="U810" s="152"/>
      <c r="V810" s="152"/>
      <c r="W810" s="152"/>
    </row>
    <row r="811">
      <c r="A811" s="152"/>
      <c r="B811" s="152"/>
      <c r="C811" s="152"/>
      <c r="D811" s="152"/>
      <c r="E811" s="152"/>
      <c r="F811" s="152"/>
      <c r="G811" s="152"/>
      <c r="H811" s="152"/>
      <c r="I811" s="152"/>
      <c r="J811" s="152"/>
      <c r="K811" s="248"/>
      <c r="L811" s="248"/>
      <c r="M811" s="152"/>
      <c r="N811" s="152"/>
      <c r="O811" s="152"/>
      <c r="P811" s="152"/>
      <c r="Q811" s="152"/>
      <c r="R811" s="152"/>
      <c r="S811" s="152"/>
      <c r="T811" s="152"/>
      <c r="U811" s="152"/>
      <c r="V811" s="152"/>
      <c r="W811" s="152"/>
    </row>
    <row r="812">
      <c r="A812" s="152"/>
      <c r="B812" s="152"/>
      <c r="C812" s="152"/>
      <c r="D812" s="152"/>
      <c r="E812" s="152"/>
      <c r="F812" s="152"/>
      <c r="G812" s="152"/>
      <c r="H812" s="152"/>
      <c r="I812" s="152"/>
      <c r="J812" s="152"/>
      <c r="K812" s="248"/>
      <c r="L812" s="248"/>
      <c r="M812" s="152"/>
      <c r="N812" s="152"/>
      <c r="O812" s="152"/>
      <c r="P812" s="152"/>
      <c r="Q812" s="152"/>
      <c r="R812" s="152"/>
      <c r="S812" s="152"/>
      <c r="T812" s="152"/>
      <c r="U812" s="152"/>
      <c r="V812" s="152"/>
      <c r="W812" s="152"/>
    </row>
    <row r="813">
      <c r="A813" s="152"/>
      <c r="B813" s="152"/>
      <c r="C813" s="152"/>
      <c r="D813" s="152"/>
      <c r="E813" s="152"/>
      <c r="F813" s="152"/>
      <c r="G813" s="152"/>
      <c r="H813" s="152"/>
      <c r="I813" s="152"/>
      <c r="J813" s="152"/>
      <c r="K813" s="248"/>
      <c r="L813" s="248"/>
      <c r="M813" s="152"/>
      <c r="N813" s="152"/>
      <c r="O813" s="152"/>
      <c r="P813" s="152"/>
      <c r="Q813" s="152"/>
      <c r="R813" s="152"/>
      <c r="S813" s="152"/>
      <c r="T813" s="152"/>
      <c r="U813" s="152"/>
      <c r="V813" s="152"/>
      <c r="W813" s="152"/>
    </row>
    <row r="814">
      <c r="A814" s="152"/>
      <c r="B814" s="152"/>
      <c r="C814" s="152"/>
      <c r="D814" s="152"/>
      <c r="E814" s="152"/>
      <c r="F814" s="152"/>
      <c r="G814" s="152"/>
      <c r="H814" s="152"/>
      <c r="I814" s="152"/>
      <c r="J814" s="152"/>
      <c r="K814" s="248"/>
      <c r="L814" s="248"/>
      <c r="M814" s="152"/>
      <c r="N814" s="152"/>
      <c r="O814" s="152"/>
      <c r="P814" s="152"/>
      <c r="Q814" s="152"/>
      <c r="R814" s="152"/>
      <c r="S814" s="152"/>
      <c r="T814" s="152"/>
      <c r="U814" s="152"/>
      <c r="V814" s="152"/>
      <c r="W814" s="152"/>
    </row>
    <row r="815">
      <c r="A815" s="152"/>
      <c r="B815" s="152"/>
      <c r="C815" s="152"/>
      <c r="D815" s="152"/>
      <c r="E815" s="152"/>
      <c r="F815" s="152"/>
      <c r="G815" s="152"/>
      <c r="H815" s="152"/>
      <c r="I815" s="152"/>
      <c r="J815" s="152"/>
      <c r="K815" s="248"/>
      <c r="L815" s="248"/>
      <c r="M815" s="152"/>
      <c r="N815" s="152"/>
      <c r="O815" s="152"/>
      <c r="P815" s="152"/>
      <c r="Q815" s="152"/>
      <c r="R815" s="152"/>
      <c r="S815" s="152"/>
      <c r="T815" s="152"/>
      <c r="U815" s="152"/>
      <c r="V815" s="152"/>
      <c r="W815" s="152"/>
    </row>
    <row r="816">
      <c r="A816" s="152"/>
      <c r="B816" s="152"/>
      <c r="C816" s="152"/>
      <c r="D816" s="152"/>
      <c r="E816" s="152"/>
      <c r="F816" s="152"/>
      <c r="G816" s="152"/>
      <c r="H816" s="152"/>
      <c r="I816" s="152"/>
      <c r="J816" s="152"/>
      <c r="K816" s="248"/>
      <c r="L816" s="248"/>
      <c r="M816" s="152"/>
      <c r="N816" s="152"/>
      <c r="O816" s="152"/>
      <c r="P816" s="152"/>
      <c r="Q816" s="152"/>
      <c r="R816" s="152"/>
      <c r="S816" s="152"/>
      <c r="T816" s="152"/>
      <c r="U816" s="152"/>
      <c r="V816" s="152"/>
      <c r="W816" s="152"/>
    </row>
    <row r="817">
      <c r="A817" s="152"/>
      <c r="B817" s="152"/>
      <c r="C817" s="152"/>
      <c r="D817" s="152"/>
      <c r="E817" s="152"/>
      <c r="F817" s="152"/>
      <c r="G817" s="152"/>
      <c r="H817" s="152"/>
      <c r="I817" s="152"/>
      <c r="J817" s="152"/>
      <c r="K817" s="248"/>
      <c r="L817" s="248"/>
      <c r="M817" s="152"/>
      <c r="N817" s="152"/>
      <c r="O817" s="152"/>
      <c r="P817" s="152"/>
      <c r="Q817" s="152"/>
      <c r="R817" s="152"/>
      <c r="S817" s="152"/>
      <c r="T817" s="152"/>
      <c r="U817" s="152"/>
      <c r="V817" s="152"/>
      <c r="W817" s="152"/>
    </row>
    <row r="818">
      <c r="A818" s="152"/>
      <c r="B818" s="152"/>
      <c r="C818" s="152"/>
      <c r="D818" s="152"/>
      <c r="E818" s="152"/>
      <c r="F818" s="152"/>
      <c r="G818" s="152"/>
      <c r="H818" s="152"/>
      <c r="I818" s="152"/>
      <c r="J818" s="152"/>
      <c r="K818" s="248"/>
      <c r="L818" s="248"/>
      <c r="M818" s="152"/>
      <c r="N818" s="152"/>
      <c r="O818" s="152"/>
      <c r="P818" s="152"/>
      <c r="Q818" s="152"/>
      <c r="R818" s="152"/>
      <c r="S818" s="152"/>
      <c r="T818" s="152"/>
      <c r="U818" s="152"/>
      <c r="V818" s="152"/>
      <c r="W818" s="152"/>
    </row>
    <row r="819">
      <c r="A819" s="152"/>
      <c r="B819" s="152"/>
      <c r="C819" s="152"/>
      <c r="D819" s="152"/>
      <c r="E819" s="152"/>
      <c r="F819" s="152"/>
      <c r="G819" s="152"/>
      <c r="H819" s="152"/>
      <c r="I819" s="152"/>
      <c r="J819" s="152"/>
      <c r="K819" s="248"/>
      <c r="L819" s="248"/>
      <c r="M819" s="152"/>
      <c r="N819" s="152"/>
      <c r="O819" s="152"/>
      <c r="P819" s="152"/>
      <c r="Q819" s="152"/>
      <c r="R819" s="152"/>
      <c r="S819" s="152"/>
      <c r="T819" s="152"/>
      <c r="U819" s="152"/>
      <c r="V819" s="152"/>
      <c r="W819" s="152"/>
    </row>
    <row r="820">
      <c r="A820" s="152"/>
      <c r="B820" s="152"/>
      <c r="C820" s="152"/>
      <c r="D820" s="152"/>
      <c r="E820" s="152"/>
      <c r="F820" s="152"/>
      <c r="G820" s="152"/>
      <c r="H820" s="152"/>
      <c r="I820" s="152"/>
      <c r="J820" s="152"/>
      <c r="K820" s="248"/>
      <c r="L820" s="248"/>
      <c r="M820" s="152"/>
      <c r="N820" s="152"/>
      <c r="O820" s="152"/>
      <c r="P820" s="152"/>
      <c r="Q820" s="152"/>
      <c r="R820" s="152"/>
      <c r="S820" s="152"/>
      <c r="T820" s="152"/>
      <c r="U820" s="152"/>
      <c r="V820" s="152"/>
      <c r="W820" s="152"/>
    </row>
    <row r="821">
      <c r="A821" s="152"/>
      <c r="B821" s="152"/>
      <c r="C821" s="152"/>
      <c r="D821" s="152"/>
      <c r="E821" s="152"/>
      <c r="F821" s="152"/>
      <c r="G821" s="152"/>
      <c r="H821" s="152"/>
      <c r="I821" s="152"/>
      <c r="J821" s="152"/>
      <c r="K821" s="248"/>
      <c r="L821" s="248"/>
      <c r="M821" s="152"/>
      <c r="N821" s="152"/>
      <c r="O821" s="152"/>
      <c r="P821" s="152"/>
      <c r="Q821" s="152"/>
      <c r="R821" s="152"/>
      <c r="S821" s="152"/>
      <c r="T821" s="152"/>
      <c r="U821" s="152"/>
      <c r="V821" s="152"/>
      <c r="W821" s="152"/>
    </row>
    <row r="822">
      <c r="A822" s="152"/>
      <c r="B822" s="152"/>
      <c r="C822" s="152"/>
      <c r="D822" s="152"/>
      <c r="E822" s="152"/>
      <c r="F822" s="152"/>
      <c r="G822" s="152"/>
      <c r="H822" s="152"/>
      <c r="I822" s="152"/>
      <c r="J822" s="152"/>
      <c r="K822" s="248"/>
      <c r="L822" s="248"/>
      <c r="M822" s="152"/>
      <c r="N822" s="152"/>
      <c r="O822" s="152"/>
      <c r="P822" s="152"/>
      <c r="Q822" s="152"/>
      <c r="R822" s="152"/>
      <c r="S822" s="152"/>
      <c r="T822" s="152"/>
      <c r="U822" s="152"/>
      <c r="V822" s="152"/>
      <c r="W822" s="152"/>
    </row>
    <row r="823">
      <c r="A823" s="152"/>
      <c r="B823" s="152"/>
      <c r="C823" s="152"/>
      <c r="D823" s="152"/>
      <c r="E823" s="152"/>
      <c r="F823" s="152"/>
      <c r="G823" s="152"/>
      <c r="H823" s="152"/>
      <c r="I823" s="152"/>
      <c r="J823" s="152"/>
      <c r="K823" s="248"/>
      <c r="L823" s="248"/>
      <c r="M823" s="152"/>
      <c r="N823" s="152"/>
      <c r="O823" s="152"/>
      <c r="P823" s="152"/>
      <c r="Q823" s="152"/>
      <c r="R823" s="152"/>
      <c r="S823" s="152"/>
      <c r="T823" s="152"/>
      <c r="U823" s="152"/>
      <c r="V823" s="152"/>
      <c r="W823" s="152"/>
    </row>
    <row r="824">
      <c r="A824" s="152"/>
      <c r="B824" s="152"/>
      <c r="C824" s="152"/>
      <c r="D824" s="152"/>
      <c r="E824" s="152"/>
      <c r="F824" s="152"/>
      <c r="G824" s="152"/>
      <c r="H824" s="152"/>
      <c r="I824" s="152"/>
      <c r="J824" s="152"/>
      <c r="K824" s="248"/>
      <c r="L824" s="248"/>
      <c r="M824" s="152"/>
      <c r="N824" s="152"/>
      <c r="O824" s="152"/>
      <c r="P824" s="152"/>
      <c r="Q824" s="152"/>
      <c r="R824" s="152"/>
      <c r="S824" s="152"/>
      <c r="T824" s="152"/>
      <c r="U824" s="152"/>
      <c r="V824" s="152"/>
      <c r="W824" s="152"/>
    </row>
    <row r="825">
      <c r="A825" s="152"/>
      <c r="B825" s="152"/>
      <c r="C825" s="152"/>
      <c r="D825" s="152"/>
      <c r="E825" s="152"/>
      <c r="F825" s="152"/>
      <c r="G825" s="152"/>
      <c r="H825" s="152"/>
      <c r="I825" s="152"/>
      <c r="J825" s="152"/>
      <c r="K825" s="248"/>
      <c r="L825" s="248"/>
      <c r="M825" s="152"/>
      <c r="N825" s="152"/>
      <c r="O825" s="152"/>
      <c r="P825" s="152"/>
      <c r="Q825" s="152"/>
      <c r="R825" s="152"/>
      <c r="S825" s="152"/>
      <c r="T825" s="152"/>
      <c r="U825" s="152"/>
      <c r="V825" s="152"/>
      <c r="W825" s="152"/>
    </row>
    <row r="826">
      <c r="A826" s="152"/>
      <c r="B826" s="152"/>
      <c r="C826" s="152"/>
      <c r="D826" s="152"/>
      <c r="E826" s="152"/>
      <c r="F826" s="152"/>
      <c r="G826" s="152"/>
      <c r="H826" s="152"/>
      <c r="I826" s="152"/>
      <c r="J826" s="152"/>
      <c r="K826" s="248"/>
      <c r="L826" s="248"/>
      <c r="M826" s="152"/>
      <c r="N826" s="152"/>
      <c r="O826" s="152"/>
      <c r="P826" s="152"/>
      <c r="Q826" s="152"/>
      <c r="R826" s="152"/>
      <c r="S826" s="152"/>
      <c r="T826" s="152"/>
      <c r="U826" s="152"/>
      <c r="V826" s="152"/>
      <c r="W826" s="152"/>
    </row>
    <row r="827">
      <c r="A827" s="152"/>
      <c r="B827" s="152"/>
      <c r="C827" s="152"/>
      <c r="D827" s="152"/>
      <c r="E827" s="152"/>
      <c r="F827" s="152"/>
      <c r="G827" s="152"/>
      <c r="H827" s="152"/>
      <c r="I827" s="152"/>
      <c r="J827" s="152"/>
      <c r="K827" s="248"/>
      <c r="L827" s="248"/>
      <c r="M827" s="152"/>
      <c r="N827" s="152"/>
      <c r="O827" s="152"/>
      <c r="P827" s="152"/>
      <c r="Q827" s="152"/>
      <c r="R827" s="152"/>
      <c r="S827" s="152"/>
      <c r="T827" s="152"/>
      <c r="U827" s="152"/>
      <c r="V827" s="152"/>
      <c r="W827" s="152"/>
    </row>
    <row r="828">
      <c r="A828" s="152"/>
      <c r="B828" s="152"/>
      <c r="C828" s="152"/>
      <c r="D828" s="152"/>
      <c r="E828" s="152"/>
      <c r="F828" s="152"/>
      <c r="G828" s="152"/>
      <c r="H828" s="152"/>
      <c r="I828" s="152"/>
      <c r="J828" s="152"/>
      <c r="K828" s="248"/>
      <c r="L828" s="248"/>
      <c r="M828" s="152"/>
      <c r="N828" s="152"/>
      <c r="O828" s="152"/>
      <c r="P828" s="152"/>
      <c r="Q828" s="152"/>
      <c r="R828" s="152"/>
      <c r="S828" s="152"/>
      <c r="T828" s="152"/>
      <c r="U828" s="152"/>
      <c r="V828" s="152"/>
      <c r="W828" s="152"/>
    </row>
    <row r="829">
      <c r="A829" s="152"/>
      <c r="B829" s="152"/>
      <c r="C829" s="152"/>
      <c r="D829" s="152"/>
      <c r="E829" s="152"/>
      <c r="F829" s="152"/>
      <c r="G829" s="152"/>
      <c r="H829" s="152"/>
      <c r="I829" s="152"/>
      <c r="J829" s="152"/>
      <c r="K829" s="248"/>
      <c r="L829" s="248"/>
      <c r="M829" s="152"/>
      <c r="N829" s="152"/>
      <c r="O829" s="152"/>
      <c r="P829" s="152"/>
      <c r="Q829" s="152"/>
      <c r="R829" s="152"/>
      <c r="S829" s="152"/>
      <c r="T829" s="152"/>
      <c r="U829" s="152"/>
      <c r="V829" s="152"/>
      <c r="W829" s="152"/>
    </row>
    <row r="830">
      <c r="A830" s="152"/>
      <c r="B830" s="152"/>
      <c r="C830" s="152"/>
      <c r="D830" s="152"/>
      <c r="E830" s="152"/>
      <c r="F830" s="152"/>
      <c r="G830" s="152"/>
      <c r="H830" s="152"/>
      <c r="I830" s="152"/>
      <c r="J830" s="152"/>
      <c r="K830" s="248"/>
      <c r="L830" s="248"/>
      <c r="M830" s="152"/>
      <c r="N830" s="152"/>
      <c r="O830" s="152"/>
      <c r="P830" s="152"/>
      <c r="Q830" s="152"/>
      <c r="R830" s="152"/>
      <c r="S830" s="152"/>
      <c r="T830" s="152"/>
      <c r="U830" s="152"/>
      <c r="V830" s="152"/>
      <c r="W830" s="152"/>
    </row>
    <row r="831">
      <c r="A831" s="152"/>
      <c r="B831" s="152"/>
      <c r="C831" s="152"/>
      <c r="D831" s="152"/>
      <c r="E831" s="152"/>
      <c r="F831" s="152"/>
      <c r="G831" s="152"/>
      <c r="H831" s="152"/>
      <c r="I831" s="152"/>
      <c r="J831" s="152"/>
      <c r="K831" s="248"/>
      <c r="L831" s="248"/>
      <c r="M831" s="152"/>
      <c r="N831" s="152"/>
      <c r="O831" s="152"/>
      <c r="P831" s="152"/>
      <c r="Q831" s="152"/>
      <c r="R831" s="152"/>
      <c r="S831" s="152"/>
      <c r="T831" s="152"/>
      <c r="U831" s="152"/>
      <c r="V831" s="152"/>
      <c r="W831" s="152"/>
    </row>
    <row r="832">
      <c r="A832" s="152"/>
      <c r="B832" s="152"/>
      <c r="C832" s="152"/>
      <c r="D832" s="152"/>
      <c r="E832" s="152"/>
      <c r="F832" s="152"/>
      <c r="G832" s="152"/>
      <c r="H832" s="152"/>
      <c r="I832" s="152"/>
      <c r="J832" s="152"/>
      <c r="K832" s="248"/>
      <c r="L832" s="248"/>
      <c r="M832" s="152"/>
      <c r="N832" s="152"/>
      <c r="O832" s="152"/>
      <c r="P832" s="152"/>
      <c r="Q832" s="152"/>
      <c r="R832" s="152"/>
      <c r="S832" s="152"/>
      <c r="T832" s="152"/>
      <c r="U832" s="152"/>
      <c r="V832" s="152"/>
      <c r="W832" s="152"/>
    </row>
    <row r="833">
      <c r="A833" s="152"/>
      <c r="B833" s="152"/>
      <c r="C833" s="152"/>
      <c r="D833" s="152"/>
      <c r="E833" s="152"/>
      <c r="F833" s="152"/>
      <c r="G833" s="152"/>
      <c r="H833" s="152"/>
      <c r="I833" s="152"/>
      <c r="J833" s="152"/>
      <c r="K833" s="248"/>
      <c r="L833" s="248"/>
      <c r="M833" s="152"/>
      <c r="N833" s="152"/>
      <c r="O833" s="152"/>
      <c r="P833" s="152"/>
      <c r="Q833" s="152"/>
      <c r="R833" s="152"/>
      <c r="S833" s="152"/>
      <c r="T833" s="152"/>
      <c r="U833" s="152"/>
      <c r="V833" s="152"/>
      <c r="W833" s="152"/>
    </row>
    <row r="834">
      <c r="A834" s="152"/>
      <c r="B834" s="152"/>
      <c r="C834" s="152"/>
      <c r="D834" s="152"/>
      <c r="E834" s="152"/>
      <c r="F834" s="152"/>
      <c r="G834" s="152"/>
      <c r="H834" s="152"/>
      <c r="I834" s="152"/>
      <c r="J834" s="152"/>
      <c r="K834" s="248"/>
      <c r="L834" s="248"/>
      <c r="M834" s="152"/>
      <c r="N834" s="152"/>
      <c r="O834" s="152"/>
      <c r="P834" s="152"/>
      <c r="Q834" s="152"/>
      <c r="R834" s="152"/>
      <c r="S834" s="152"/>
      <c r="T834" s="152"/>
      <c r="U834" s="152"/>
      <c r="V834" s="152"/>
      <c r="W834" s="152"/>
    </row>
    <row r="835">
      <c r="A835" s="152"/>
      <c r="B835" s="152"/>
      <c r="C835" s="152"/>
      <c r="D835" s="152"/>
      <c r="E835" s="152"/>
      <c r="F835" s="152"/>
      <c r="G835" s="152"/>
      <c r="H835" s="152"/>
      <c r="I835" s="152"/>
      <c r="J835" s="152"/>
      <c r="K835" s="248"/>
      <c r="L835" s="248"/>
      <c r="M835" s="152"/>
      <c r="N835" s="152"/>
      <c r="O835" s="152"/>
      <c r="P835" s="152"/>
      <c r="Q835" s="152"/>
      <c r="R835" s="152"/>
      <c r="S835" s="152"/>
      <c r="T835" s="152"/>
      <c r="U835" s="152"/>
      <c r="V835" s="152"/>
      <c r="W835" s="152"/>
    </row>
    <row r="836">
      <c r="A836" s="152"/>
      <c r="B836" s="152"/>
      <c r="C836" s="152"/>
      <c r="D836" s="152"/>
      <c r="E836" s="152"/>
      <c r="F836" s="152"/>
      <c r="G836" s="152"/>
      <c r="H836" s="152"/>
      <c r="I836" s="152"/>
      <c r="J836" s="152"/>
      <c r="K836" s="248"/>
      <c r="L836" s="248"/>
      <c r="M836" s="152"/>
      <c r="N836" s="152"/>
      <c r="O836" s="152"/>
      <c r="P836" s="152"/>
      <c r="Q836" s="152"/>
      <c r="R836" s="152"/>
      <c r="S836" s="152"/>
      <c r="T836" s="152"/>
      <c r="U836" s="152"/>
      <c r="V836" s="152"/>
      <c r="W836" s="152"/>
    </row>
    <row r="837">
      <c r="A837" s="152"/>
      <c r="B837" s="152"/>
      <c r="C837" s="152"/>
      <c r="D837" s="152"/>
      <c r="E837" s="152"/>
      <c r="F837" s="152"/>
      <c r="G837" s="152"/>
      <c r="H837" s="152"/>
      <c r="I837" s="152"/>
      <c r="J837" s="152"/>
      <c r="K837" s="248"/>
      <c r="L837" s="248"/>
      <c r="M837" s="152"/>
      <c r="N837" s="152"/>
      <c r="O837" s="152"/>
      <c r="P837" s="152"/>
      <c r="Q837" s="152"/>
      <c r="R837" s="152"/>
      <c r="S837" s="152"/>
      <c r="T837" s="152"/>
      <c r="U837" s="152"/>
      <c r="V837" s="152"/>
      <c r="W837" s="152"/>
    </row>
    <row r="838">
      <c r="A838" s="152"/>
      <c r="B838" s="152"/>
      <c r="C838" s="152"/>
      <c r="D838" s="152"/>
      <c r="E838" s="152"/>
      <c r="F838" s="152"/>
      <c r="G838" s="152"/>
      <c r="H838" s="152"/>
      <c r="I838" s="152"/>
      <c r="J838" s="152"/>
      <c r="K838" s="248"/>
      <c r="L838" s="248"/>
      <c r="M838" s="152"/>
      <c r="N838" s="152"/>
      <c r="O838" s="152"/>
      <c r="P838" s="152"/>
      <c r="Q838" s="152"/>
      <c r="R838" s="152"/>
      <c r="S838" s="152"/>
      <c r="T838" s="152"/>
      <c r="U838" s="152"/>
      <c r="V838" s="152"/>
      <c r="W838" s="152"/>
    </row>
    <row r="839">
      <c r="A839" s="152"/>
      <c r="B839" s="152"/>
      <c r="C839" s="152"/>
      <c r="D839" s="152"/>
      <c r="E839" s="152"/>
      <c r="F839" s="152"/>
      <c r="G839" s="152"/>
      <c r="H839" s="152"/>
      <c r="I839" s="152"/>
      <c r="J839" s="152"/>
      <c r="K839" s="248"/>
      <c r="L839" s="248"/>
      <c r="M839" s="152"/>
      <c r="N839" s="152"/>
      <c r="O839" s="152"/>
      <c r="P839" s="152"/>
      <c r="Q839" s="152"/>
      <c r="R839" s="152"/>
      <c r="S839" s="152"/>
      <c r="T839" s="152"/>
      <c r="U839" s="152"/>
      <c r="V839" s="152"/>
      <c r="W839" s="152"/>
    </row>
    <row r="840">
      <c r="A840" s="152"/>
      <c r="B840" s="152"/>
      <c r="C840" s="152"/>
      <c r="D840" s="152"/>
      <c r="E840" s="152"/>
      <c r="F840" s="152"/>
      <c r="G840" s="152"/>
      <c r="H840" s="152"/>
      <c r="I840" s="152"/>
      <c r="J840" s="152"/>
      <c r="K840" s="248"/>
      <c r="L840" s="248"/>
      <c r="M840" s="152"/>
      <c r="N840" s="152"/>
      <c r="O840" s="152"/>
      <c r="P840" s="152"/>
      <c r="Q840" s="152"/>
      <c r="R840" s="152"/>
      <c r="S840" s="152"/>
      <c r="T840" s="152"/>
      <c r="U840" s="152"/>
      <c r="V840" s="152"/>
      <c r="W840" s="152"/>
    </row>
    <row r="841">
      <c r="A841" s="152"/>
      <c r="B841" s="152"/>
      <c r="C841" s="152"/>
      <c r="D841" s="152"/>
      <c r="E841" s="152"/>
      <c r="F841" s="152"/>
      <c r="G841" s="152"/>
      <c r="H841" s="152"/>
      <c r="I841" s="152"/>
      <c r="J841" s="152"/>
      <c r="K841" s="248"/>
      <c r="L841" s="248"/>
      <c r="M841" s="152"/>
      <c r="N841" s="152"/>
      <c r="O841" s="152"/>
      <c r="P841" s="152"/>
      <c r="Q841" s="152"/>
      <c r="R841" s="152"/>
      <c r="S841" s="152"/>
      <c r="T841" s="152"/>
      <c r="U841" s="152"/>
      <c r="V841" s="152"/>
      <c r="W841" s="152"/>
    </row>
    <row r="842">
      <c r="A842" s="152"/>
      <c r="B842" s="152"/>
      <c r="C842" s="152"/>
      <c r="D842" s="152"/>
      <c r="E842" s="152"/>
      <c r="F842" s="152"/>
      <c r="G842" s="152"/>
      <c r="H842" s="152"/>
      <c r="I842" s="152"/>
      <c r="J842" s="152"/>
      <c r="K842" s="248"/>
      <c r="L842" s="248"/>
      <c r="M842" s="152"/>
      <c r="N842" s="152"/>
      <c r="O842" s="152"/>
      <c r="P842" s="152"/>
      <c r="Q842" s="152"/>
      <c r="R842" s="152"/>
      <c r="S842" s="152"/>
      <c r="T842" s="152"/>
      <c r="U842" s="152"/>
      <c r="V842" s="152"/>
      <c r="W842" s="152"/>
    </row>
    <row r="843">
      <c r="A843" s="152"/>
      <c r="B843" s="152"/>
      <c r="C843" s="152"/>
      <c r="D843" s="152"/>
      <c r="E843" s="152"/>
      <c r="F843" s="152"/>
      <c r="G843" s="152"/>
      <c r="H843" s="152"/>
      <c r="I843" s="152"/>
      <c r="J843" s="152"/>
      <c r="K843" s="248"/>
      <c r="L843" s="248"/>
      <c r="M843" s="152"/>
      <c r="N843" s="152"/>
      <c r="O843" s="152"/>
      <c r="P843" s="152"/>
      <c r="Q843" s="152"/>
      <c r="R843" s="152"/>
      <c r="S843" s="152"/>
      <c r="T843" s="152"/>
      <c r="U843" s="152"/>
      <c r="V843" s="152"/>
      <c r="W843" s="152"/>
    </row>
    <row r="844">
      <c r="A844" s="152"/>
      <c r="B844" s="152"/>
      <c r="C844" s="152"/>
      <c r="D844" s="152"/>
      <c r="E844" s="152"/>
      <c r="F844" s="152"/>
      <c r="G844" s="152"/>
      <c r="H844" s="152"/>
      <c r="I844" s="152"/>
      <c r="J844" s="152"/>
      <c r="K844" s="248"/>
      <c r="L844" s="248"/>
      <c r="M844" s="152"/>
      <c r="N844" s="152"/>
      <c r="O844" s="152"/>
      <c r="P844" s="152"/>
      <c r="Q844" s="152"/>
      <c r="R844" s="152"/>
      <c r="S844" s="152"/>
      <c r="T844" s="152"/>
      <c r="U844" s="152"/>
      <c r="V844" s="152"/>
      <c r="W844" s="152"/>
    </row>
    <row r="845">
      <c r="A845" s="152"/>
      <c r="B845" s="152"/>
      <c r="C845" s="152"/>
      <c r="D845" s="152"/>
      <c r="E845" s="152"/>
      <c r="F845" s="152"/>
      <c r="G845" s="152"/>
      <c r="H845" s="152"/>
      <c r="I845" s="152"/>
      <c r="J845" s="152"/>
      <c r="K845" s="248"/>
      <c r="L845" s="248"/>
      <c r="M845" s="152"/>
      <c r="N845" s="152"/>
      <c r="O845" s="152"/>
      <c r="P845" s="152"/>
      <c r="Q845" s="152"/>
      <c r="R845" s="152"/>
      <c r="S845" s="152"/>
      <c r="T845" s="152"/>
      <c r="U845" s="152"/>
      <c r="V845" s="152"/>
      <c r="W845" s="152"/>
    </row>
    <row r="846">
      <c r="A846" s="152"/>
      <c r="B846" s="152"/>
      <c r="C846" s="152"/>
      <c r="D846" s="152"/>
      <c r="E846" s="152"/>
      <c r="F846" s="152"/>
      <c r="G846" s="152"/>
      <c r="H846" s="152"/>
      <c r="I846" s="152"/>
      <c r="J846" s="152"/>
      <c r="K846" s="248"/>
      <c r="L846" s="248"/>
      <c r="M846" s="152"/>
      <c r="N846" s="152"/>
      <c r="O846" s="152"/>
      <c r="P846" s="152"/>
      <c r="Q846" s="152"/>
      <c r="R846" s="152"/>
      <c r="S846" s="152"/>
      <c r="T846" s="152"/>
      <c r="U846" s="152"/>
      <c r="V846" s="152"/>
      <c r="W846" s="152"/>
    </row>
    <row r="847">
      <c r="A847" s="152"/>
      <c r="B847" s="152"/>
      <c r="C847" s="152"/>
      <c r="D847" s="152"/>
      <c r="E847" s="152"/>
      <c r="F847" s="152"/>
      <c r="G847" s="152"/>
      <c r="H847" s="152"/>
      <c r="I847" s="152"/>
      <c r="J847" s="152"/>
      <c r="K847" s="248"/>
      <c r="L847" s="248"/>
      <c r="M847" s="152"/>
      <c r="N847" s="152"/>
      <c r="O847" s="152"/>
      <c r="P847" s="152"/>
      <c r="Q847" s="152"/>
      <c r="R847" s="152"/>
      <c r="S847" s="152"/>
      <c r="T847" s="152"/>
      <c r="U847" s="152"/>
      <c r="V847" s="152"/>
      <c r="W847" s="152"/>
    </row>
    <row r="848">
      <c r="A848" s="152"/>
      <c r="B848" s="152"/>
      <c r="C848" s="152"/>
      <c r="D848" s="152"/>
      <c r="E848" s="152"/>
      <c r="F848" s="152"/>
      <c r="G848" s="152"/>
      <c r="H848" s="152"/>
      <c r="I848" s="152"/>
      <c r="J848" s="152"/>
      <c r="K848" s="248"/>
      <c r="L848" s="248"/>
      <c r="M848" s="152"/>
      <c r="N848" s="152"/>
      <c r="O848" s="152"/>
      <c r="P848" s="152"/>
      <c r="Q848" s="152"/>
      <c r="R848" s="152"/>
      <c r="S848" s="152"/>
      <c r="T848" s="152"/>
      <c r="U848" s="152"/>
      <c r="V848" s="152"/>
      <c r="W848" s="152"/>
    </row>
    <row r="849">
      <c r="A849" s="152"/>
      <c r="B849" s="152"/>
      <c r="C849" s="152"/>
      <c r="D849" s="152"/>
      <c r="E849" s="152"/>
      <c r="F849" s="152"/>
      <c r="G849" s="152"/>
      <c r="H849" s="152"/>
      <c r="I849" s="152"/>
      <c r="J849" s="152"/>
      <c r="K849" s="248"/>
      <c r="L849" s="248"/>
      <c r="M849" s="152"/>
      <c r="N849" s="152"/>
      <c r="O849" s="152"/>
      <c r="P849" s="152"/>
      <c r="Q849" s="152"/>
      <c r="R849" s="152"/>
      <c r="S849" s="152"/>
      <c r="T849" s="152"/>
      <c r="U849" s="152"/>
      <c r="V849" s="152"/>
      <c r="W849" s="152"/>
    </row>
    <row r="850">
      <c r="A850" s="152"/>
      <c r="B850" s="152"/>
      <c r="C850" s="152"/>
      <c r="D850" s="152"/>
      <c r="E850" s="152"/>
      <c r="F850" s="152"/>
      <c r="G850" s="152"/>
      <c r="H850" s="152"/>
      <c r="I850" s="152"/>
      <c r="J850" s="152"/>
      <c r="K850" s="248"/>
      <c r="L850" s="248"/>
      <c r="M850" s="152"/>
      <c r="N850" s="152"/>
      <c r="O850" s="152"/>
      <c r="P850" s="152"/>
      <c r="Q850" s="152"/>
      <c r="R850" s="152"/>
      <c r="S850" s="152"/>
      <c r="T850" s="152"/>
      <c r="U850" s="152"/>
      <c r="V850" s="152"/>
      <c r="W850" s="152"/>
    </row>
    <row r="851">
      <c r="A851" s="152"/>
      <c r="B851" s="152"/>
      <c r="C851" s="152"/>
      <c r="D851" s="152"/>
      <c r="E851" s="152"/>
      <c r="F851" s="152"/>
      <c r="G851" s="152"/>
      <c r="H851" s="152"/>
      <c r="I851" s="152"/>
      <c r="J851" s="152"/>
      <c r="K851" s="248"/>
      <c r="L851" s="248"/>
      <c r="M851" s="152"/>
      <c r="N851" s="152"/>
      <c r="O851" s="152"/>
      <c r="P851" s="152"/>
      <c r="Q851" s="152"/>
      <c r="R851" s="152"/>
      <c r="S851" s="152"/>
      <c r="T851" s="152"/>
      <c r="U851" s="152"/>
      <c r="V851" s="152"/>
      <c r="W851" s="152"/>
    </row>
    <row r="852">
      <c r="A852" s="152"/>
      <c r="B852" s="152"/>
      <c r="C852" s="152"/>
      <c r="D852" s="152"/>
      <c r="E852" s="152"/>
      <c r="F852" s="152"/>
      <c r="G852" s="152"/>
      <c r="H852" s="152"/>
      <c r="I852" s="152"/>
      <c r="J852" s="152"/>
      <c r="K852" s="248"/>
      <c r="L852" s="248"/>
      <c r="M852" s="152"/>
      <c r="N852" s="152"/>
      <c r="O852" s="152"/>
      <c r="P852" s="152"/>
      <c r="Q852" s="152"/>
      <c r="R852" s="152"/>
      <c r="S852" s="152"/>
      <c r="T852" s="152"/>
      <c r="U852" s="152"/>
      <c r="V852" s="152"/>
      <c r="W852" s="152"/>
    </row>
    <row r="853">
      <c r="A853" s="152"/>
      <c r="B853" s="152"/>
      <c r="C853" s="152"/>
      <c r="D853" s="152"/>
      <c r="E853" s="152"/>
      <c r="F853" s="152"/>
      <c r="G853" s="152"/>
      <c r="H853" s="152"/>
      <c r="I853" s="152"/>
      <c r="J853" s="152"/>
      <c r="K853" s="248"/>
      <c r="L853" s="248"/>
      <c r="M853" s="152"/>
      <c r="N853" s="152"/>
      <c r="O853" s="152"/>
      <c r="P853" s="152"/>
      <c r="Q853" s="152"/>
      <c r="R853" s="152"/>
      <c r="S853" s="152"/>
      <c r="T853" s="152"/>
      <c r="U853" s="152"/>
      <c r="V853" s="152"/>
      <c r="W853" s="152"/>
    </row>
    <row r="854">
      <c r="A854" s="152"/>
      <c r="B854" s="152"/>
      <c r="C854" s="152"/>
      <c r="D854" s="152"/>
      <c r="E854" s="152"/>
      <c r="F854" s="152"/>
      <c r="G854" s="152"/>
      <c r="H854" s="152"/>
      <c r="I854" s="152"/>
      <c r="J854" s="152"/>
      <c r="K854" s="248"/>
      <c r="L854" s="248"/>
      <c r="M854" s="152"/>
      <c r="N854" s="152"/>
      <c r="O854" s="152"/>
      <c r="P854" s="152"/>
      <c r="Q854" s="152"/>
      <c r="R854" s="152"/>
      <c r="S854" s="152"/>
      <c r="T854" s="152"/>
      <c r="U854" s="152"/>
      <c r="V854" s="152"/>
      <c r="W854" s="152"/>
    </row>
    <row r="855">
      <c r="A855" s="152"/>
      <c r="B855" s="152"/>
      <c r="C855" s="152"/>
      <c r="D855" s="152"/>
      <c r="E855" s="152"/>
      <c r="F855" s="152"/>
      <c r="G855" s="152"/>
      <c r="H855" s="152"/>
      <c r="I855" s="152"/>
      <c r="J855" s="152"/>
      <c r="K855" s="248"/>
      <c r="L855" s="248"/>
      <c r="M855" s="152"/>
      <c r="N855" s="152"/>
      <c r="O855" s="152"/>
      <c r="P855" s="152"/>
      <c r="Q855" s="152"/>
      <c r="R855" s="152"/>
      <c r="S855" s="152"/>
      <c r="T855" s="152"/>
      <c r="U855" s="152"/>
      <c r="V855" s="152"/>
      <c r="W855" s="152"/>
    </row>
    <row r="856">
      <c r="A856" s="152"/>
      <c r="B856" s="152"/>
      <c r="C856" s="152"/>
      <c r="D856" s="152"/>
      <c r="E856" s="152"/>
      <c r="F856" s="152"/>
      <c r="G856" s="152"/>
      <c r="H856" s="152"/>
      <c r="I856" s="152"/>
      <c r="J856" s="152"/>
      <c r="K856" s="248"/>
      <c r="L856" s="248"/>
      <c r="M856" s="152"/>
      <c r="N856" s="152"/>
      <c r="O856" s="152"/>
      <c r="P856" s="152"/>
      <c r="Q856" s="152"/>
      <c r="R856" s="152"/>
      <c r="S856" s="152"/>
      <c r="T856" s="152"/>
      <c r="U856" s="152"/>
      <c r="V856" s="152"/>
      <c r="W856" s="152"/>
    </row>
    <row r="857">
      <c r="A857" s="152"/>
      <c r="B857" s="152"/>
      <c r="C857" s="152"/>
      <c r="D857" s="152"/>
      <c r="E857" s="152"/>
      <c r="F857" s="152"/>
      <c r="G857" s="152"/>
      <c r="H857" s="152"/>
      <c r="I857" s="152"/>
      <c r="J857" s="152"/>
      <c r="K857" s="248"/>
      <c r="L857" s="248"/>
      <c r="M857" s="152"/>
      <c r="N857" s="152"/>
      <c r="O857" s="152"/>
      <c r="P857" s="152"/>
      <c r="Q857" s="152"/>
      <c r="R857" s="152"/>
      <c r="S857" s="152"/>
      <c r="T857" s="152"/>
      <c r="U857" s="152"/>
      <c r="V857" s="152"/>
      <c r="W857" s="152"/>
    </row>
    <row r="858">
      <c r="A858" s="152"/>
      <c r="B858" s="152"/>
      <c r="C858" s="152"/>
      <c r="D858" s="152"/>
      <c r="E858" s="152"/>
      <c r="F858" s="152"/>
      <c r="G858" s="152"/>
      <c r="H858" s="152"/>
      <c r="I858" s="152"/>
      <c r="J858" s="152"/>
      <c r="K858" s="248"/>
      <c r="L858" s="248"/>
      <c r="M858" s="152"/>
      <c r="N858" s="152"/>
      <c r="O858" s="152"/>
      <c r="P858" s="152"/>
      <c r="Q858" s="152"/>
      <c r="R858" s="152"/>
      <c r="S858" s="152"/>
      <c r="T858" s="152"/>
      <c r="U858" s="152"/>
      <c r="V858" s="152"/>
      <c r="W858" s="152"/>
    </row>
    <row r="859">
      <c r="A859" s="152"/>
      <c r="B859" s="152"/>
      <c r="C859" s="152"/>
      <c r="D859" s="152"/>
      <c r="E859" s="152"/>
      <c r="F859" s="152"/>
      <c r="G859" s="152"/>
      <c r="H859" s="152"/>
      <c r="I859" s="152"/>
      <c r="J859" s="152"/>
      <c r="K859" s="248"/>
      <c r="L859" s="248"/>
      <c r="M859" s="152"/>
      <c r="N859" s="152"/>
      <c r="O859" s="152"/>
      <c r="P859" s="152"/>
      <c r="Q859" s="152"/>
      <c r="R859" s="152"/>
      <c r="S859" s="152"/>
      <c r="T859" s="152"/>
      <c r="U859" s="152"/>
      <c r="V859" s="152"/>
      <c r="W859" s="152"/>
    </row>
    <row r="860">
      <c r="A860" s="152"/>
      <c r="B860" s="152"/>
      <c r="C860" s="152"/>
      <c r="D860" s="152"/>
      <c r="E860" s="152"/>
      <c r="F860" s="152"/>
      <c r="G860" s="152"/>
      <c r="H860" s="152"/>
      <c r="I860" s="152"/>
      <c r="J860" s="152"/>
      <c r="K860" s="248"/>
      <c r="L860" s="248"/>
      <c r="M860" s="152"/>
      <c r="N860" s="152"/>
      <c r="O860" s="152"/>
      <c r="P860" s="152"/>
      <c r="Q860" s="152"/>
      <c r="R860" s="152"/>
      <c r="S860" s="152"/>
      <c r="T860" s="152"/>
      <c r="U860" s="152"/>
      <c r="V860" s="152"/>
      <c r="W860" s="152"/>
    </row>
    <row r="861">
      <c r="A861" s="152"/>
      <c r="B861" s="152"/>
      <c r="C861" s="152"/>
      <c r="D861" s="152"/>
      <c r="E861" s="152"/>
      <c r="F861" s="152"/>
      <c r="G861" s="152"/>
      <c r="H861" s="152"/>
      <c r="I861" s="152"/>
      <c r="J861" s="152"/>
      <c r="K861" s="248"/>
      <c r="L861" s="248"/>
      <c r="M861" s="152"/>
      <c r="N861" s="152"/>
      <c r="O861" s="152"/>
      <c r="P861" s="152"/>
      <c r="Q861" s="152"/>
      <c r="R861" s="152"/>
      <c r="S861" s="152"/>
      <c r="T861" s="152"/>
      <c r="U861" s="152"/>
      <c r="V861" s="152"/>
      <c r="W861" s="152"/>
    </row>
    <row r="862">
      <c r="A862" s="152"/>
      <c r="B862" s="152"/>
      <c r="C862" s="152"/>
      <c r="D862" s="152"/>
      <c r="E862" s="152"/>
      <c r="F862" s="152"/>
      <c r="G862" s="152"/>
      <c r="H862" s="152"/>
      <c r="I862" s="152"/>
      <c r="J862" s="152"/>
      <c r="K862" s="248"/>
      <c r="L862" s="248"/>
      <c r="M862" s="152"/>
      <c r="N862" s="152"/>
      <c r="O862" s="152"/>
      <c r="P862" s="152"/>
      <c r="Q862" s="152"/>
      <c r="R862" s="152"/>
      <c r="S862" s="152"/>
      <c r="T862" s="152"/>
      <c r="U862" s="152"/>
      <c r="V862" s="152"/>
      <c r="W862" s="152"/>
    </row>
    <row r="863">
      <c r="A863" s="152"/>
      <c r="B863" s="152"/>
      <c r="C863" s="152"/>
      <c r="D863" s="152"/>
      <c r="E863" s="152"/>
      <c r="F863" s="152"/>
      <c r="G863" s="152"/>
      <c r="H863" s="152"/>
      <c r="I863" s="152"/>
      <c r="J863" s="152"/>
      <c r="K863" s="248"/>
      <c r="L863" s="248"/>
      <c r="M863" s="152"/>
      <c r="N863" s="152"/>
      <c r="O863" s="152"/>
      <c r="P863" s="152"/>
      <c r="Q863" s="152"/>
      <c r="R863" s="152"/>
      <c r="S863" s="152"/>
      <c r="T863" s="152"/>
      <c r="U863" s="152"/>
      <c r="V863" s="152"/>
      <c r="W863" s="152"/>
    </row>
    <row r="864">
      <c r="A864" s="152"/>
      <c r="B864" s="152"/>
      <c r="C864" s="152"/>
      <c r="D864" s="152"/>
      <c r="E864" s="152"/>
      <c r="F864" s="152"/>
      <c r="G864" s="152"/>
      <c r="H864" s="152"/>
      <c r="I864" s="152"/>
      <c r="J864" s="152"/>
      <c r="K864" s="248"/>
      <c r="L864" s="248"/>
      <c r="M864" s="152"/>
      <c r="N864" s="152"/>
      <c r="O864" s="152"/>
      <c r="P864" s="152"/>
      <c r="Q864" s="152"/>
      <c r="R864" s="152"/>
      <c r="S864" s="152"/>
      <c r="T864" s="152"/>
      <c r="U864" s="152"/>
      <c r="V864" s="152"/>
      <c r="W864" s="152"/>
    </row>
    <row r="865">
      <c r="A865" s="152"/>
      <c r="B865" s="152"/>
      <c r="C865" s="152"/>
      <c r="D865" s="152"/>
      <c r="E865" s="152"/>
      <c r="F865" s="152"/>
      <c r="G865" s="152"/>
      <c r="H865" s="152"/>
      <c r="I865" s="152"/>
      <c r="J865" s="152"/>
      <c r="K865" s="248"/>
      <c r="L865" s="248"/>
      <c r="M865" s="152"/>
      <c r="N865" s="152"/>
      <c r="O865" s="152"/>
      <c r="P865" s="152"/>
      <c r="Q865" s="152"/>
      <c r="R865" s="152"/>
      <c r="S865" s="152"/>
      <c r="T865" s="152"/>
      <c r="U865" s="152"/>
      <c r="V865" s="152"/>
      <c r="W865" s="152"/>
    </row>
    <row r="866">
      <c r="A866" s="152"/>
      <c r="B866" s="152"/>
      <c r="C866" s="152"/>
      <c r="D866" s="152"/>
      <c r="E866" s="152"/>
      <c r="F866" s="152"/>
      <c r="G866" s="152"/>
      <c r="H866" s="152"/>
      <c r="I866" s="152"/>
      <c r="J866" s="152"/>
      <c r="K866" s="248"/>
      <c r="L866" s="248"/>
      <c r="M866" s="152"/>
      <c r="N866" s="152"/>
      <c r="O866" s="152"/>
      <c r="P866" s="152"/>
      <c r="Q866" s="152"/>
      <c r="R866" s="152"/>
      <c r="S866" s="152"/>
      <c r="T866" s="152"/>
      <c r="U866" s="152"/>
      <c r="V866" s="152"/>
      <c r="W866" s="152"/>
    </row>
    <row r="867">
      <c r="A867" s="152"/>
      <c r="B867" s="152"/>
      <c r="C867" s="152"/>
      <c r="D867" s="152"/>
      <c r="E867" s="152"/>
      <c r="F867" s="152"/>
      <c r="G867" s="152"/>
      <c r="H867" s="152"/>
      <c r="I867" s="152"/>
      <c r="J867" s="152"/>
      <c r="K867" s="248"/>
      <c r="L867" s="248"/>
      <c r="M867" s="152"/>
      <c r="N867" s="152"/>
      <c r="O867" s="152"/>
      <c r="P867" s="152"/>
      <c r="Q867" s="152"/>
      <c r="R867" s="152"/>
      <c r="S867" s="152"/>
      <c r="T867" s="152"/>
      <c r="U867" s="152"/>
      <c r="V867" s="152"/>
      <c r="W867" s="152"/>
    </row>
    <row r="868">
      <c r="A868" s="152"/>
      <c r="B868" s="152"/>
      <c r="C868" s="152"/>
      <c r="D868" s="152"/>
      <c r="E868" s="152"/>
      <c r="F868" s="152"/>
      <c r="G868" s="152"/>
      <c r="H868" s="152"/>
      <c r="I868" s="152"/>
      <c r="J868" s="152"/>
      <c r="K868" s="248"/>
      <c r="L868" s="248"/>
      <c r="M868" s="152"/>
      <c r="N868" s="152"/>
      <c r="O868" s="152"/>
      <c r="P868" s="152"/>
      <c r="Q868" s="152"/>
      <c r="R868" s="152"/>
      <c r="S868" s="152"/>
      <c r="T868" s="152"/>
      <c r="U868" s="152"/>
      <c r="V868" s="152"/>
      <c r="W868" s="152"/>
    </row>
    <row r="869">
      <c r="A869" s="152"/>
      <c r="B869" s="152"/>
      <c r="C869" s="152"/>
      <c r="D869" s="152"/>
      <c r="E869" s="152"/>
      <c r="F869" s="152"/>
      <c r="G869" s="152"/>
      <c r="H869" s="152"/>
      <c r="I869" s="152"/>
      <c r="J869" s="152"/>
      <c r="K869" s="248"/>
      <c r="L869" s="248"/>
      <c r="M869" s="152"/>
      <c r="N869" s="152"/>
      <c r="O869" s="152"/>
      <c r="P869" s="152"/>
      <c r="Q869" s="152"/>
      <c r="R869" s="152"/>
      <c r="S869" s="152"/>
      <c r="T869" s="152"/>
      <c r="U869" s="152"/>
      <c r="V869" s="152"/>
      <c r="W869" s="152"/>
    </row>
    <row r="870">
      <c r="A870" s="152"/>
      <c r="B870" s="152"/>
      <c r="C870" s="152"/>
      <c r="D870" s="152"/>
      <c r="E870" s="152"/>
      <c r="F870" s="152"/>
      <c r="G870" s="152"/>
      <c r="H870" s="152"/>
      <c r="I870" s="152"/>
      <c r="J870" s="152"/>
      <c r="K870" s="248"/>
      <c r="L870" s="248"/>
      <c r="M870" s="152"/>
      <c r="N870" s="152"/>
      <c r="O870" s="152"/>
      <c r="P870" s="152"/>
      <c r="Q870" s="152"/>
      <c r="R870" s="152"/>
      <c r="S870" s="152"/>
      <c r="T870" s="152"/>
      <c r="U870" s="152"/>
      <c r="V870" s="152"/>
      <c r="W870" s="152"/>
    </row>
    <row r="871">
      <c r="A871" s="152"/>
      <c r="B871" s="152"/>
      <c r="C871" s="152"/>
      <c r="D871" s="152"/>
      <c r="E871" s="152"/>
      <c r="F871" s="152"/>
      <c r="G871" s="152"/>
      <c r="H871" s="152"/>
      <c r="I871" s="152"/>
      <c r="J871" s="152"/>
      <c r="K871" s="248"/>
      <c r="L871" s="248"/>
      <c r="M871" s="152"/>
      <c r="N871" s="152"/>
      <c r="O871" s="152"/>
      <c r="P871" s="152"/>
      <c r="Q871" s="152"/>
      <c r="R871" s="152"/>
      <c r="S871" s="152"/>
      <c r="T871" s="152"/>
      <c r="U871" s="152"/>
      <c r="V871" s="152"/>
      <c r="W871" s="152"/>
    </row>
    <row r="872">
      <c r="A872" s="152"/>
      <c r="B872" s="152"/>
      <c r="C872" s="152"/>
      <c r="D872" s="152"/>
      <c r="E872" s="152"/>
      <c r="F872" s="152"/>
      <c r="G872" s="152"/>
      <c r="H872" s="152"/>
      <c r="I872" s="152"/>
      <c r="J872" s="152"/>
      <c r="K872" s="248"/>
      <c r="L872" s="248"/>
      <c r="M872" s="152"/>
      <c r="N872" s="152"/>
      <c r="O872" s="152"/>
      <c r="P872" s="152"/>
      <c r="Q872" s="152"/>
      <c r="R872" s="152"/>
      <c r="S872" s="152"/>
      <c r="T872" s="152"/>
      <c r="U872" s="152"/>
      <c r="V872" s="152"/>
      <c r="W872" s="152"/>
    </row>
    <row r="873">
      <c r="A873" s="152"/>
      <c r="B873" s="152"/>
      <c r="C873" s="152"/>
      <c r="D873" s="152"/>
      <c r="E873" s="152"/>
      <c r="F873" s="152"/>
      <c r="G873" s="152"/>
      <c r="H873" s="152"/>
      <c r="I873" s="152"/>
      <c r="J873" s="152"/>
      <c r="K873" s="248"/>
      <c r="L873" s="248"/>
      <c r="M873" s="152"/>
      <c r="N873" s="152"/>
      <c r="O873" s="152"/>
      <c r="P873" s="152"/>
      <c r="Q873" s="152"/>
      <c r="R873" s="152"/>
      <c r="S873" s="152"/>
      <c r="T873" s="152"/>
      <c r="U873" s="152"/>
      <c r="V873" s="152"/>
      <c r="W873" s="152"/>
    </row>
    <row r="874">
      <c r="A874" s="152"/>
      <c r="B874" s="152"/>
      <c r="C874" s="152"/>
      <c r="D874" s="152"/>
      <c r="E874" s="152"/>
      <c r="F874" s="152"/>
      <c r="G874" s="152"/>
      <c r="H874" s="152"/>
      <c r="I874" s="152"/>
      <c r="J874" s="152"/>
      <c r="K874" s="248"/>
      <c r="L874" s="248"/>
      <c r="M874" s="152"/>
      <c r="N874" s="152"/>
      <c r="O874" s="152"/>
      <c r="P874" s="152"/>
      <c r="Q874" s="152"/>
      <c r="R874" s="152"/>
      <c r="S874" s="152"/>
      <c r="T874" s="152"/>
      <c r="U874" s="152"/>
      <c r="V874" s="152"/>
      <c r="W874" s="152"/>
    </row>
    <row r="875">
      <c r="A875" s="152"/>
      <c r="B875" s="152"/>
      <c r="C875" s="152"/>
      <c r="D875" s="152"/>
      <c r="E875" s="152"/>
      <c r="F875" s="152"/>
      <c r="G875" s="152"/>
      <c r="H875" s="152"/>
      <c r="I875" s="152"/>
      <c r="J875" s="152"/>
      <c r="K875" s="248"/>
      <c r="L875" s="248"/>
      <c r="M875" s="152"/>
      <c r="N875" s="152"/>
      <c r="O875" s="152"/>
      <c r="P875" s="152"/>
      <c r="Q875" s="152"/>
      <c r="R875" s="152"/>
      <c r="S875" s="152"/>
      <c r="T875" s="152"/>
      <c r="U875" s="152"/>
      <c r="V875" s="152"/>
      <c r="W875" s="152"/>
    </row>
    <row r="876">
      <c r="A876" s="152"/>
      <c r="B876" s="152"/>
      <c r="C876" s="152"/>
      <c r="D876" s="152"/>
      <c r="E876" s="152"/>
      <c r="F876" s="152"/>
      <c r="G876" s="152"/>
      <c r="H876" s="152"/>
      <c r="I876" s="152"/>
      <c r="J876" s="152"/>
      <c r="K876" s="248"/>
      <c r="L876" s="248"/>
      <c r="M876" s="152"/>
      <c r="N876" s="152"/>
      <c r="O876" s="152"/>
      <c r="P876" s="152"/>
      <c r="Q876" s="152"/>
      <c r="R876" s="152"/>
      <c r="S876" s="152"/>
      <c r="T876" s="152"/>
      <c r="U876" s="152"/>
      <c r="V876" s="152"/>
      <c r="W876" s="152"/>
    </row>
    <row r="877">
      <c r="A877" s="152"/>
      <c r="B877" s="152"/>
      <c r="C877" s="152"/>
      <c r="D877" s="152"/>
      <c r="E877" s="152"/>
      <c r="F877" s="152"/>
      <c r="G877" s="152"/>
      <c r="H877" s="152"/>
      <c r="I877" s="152"/>
      <c r="J877" s="152"/>
      <c r="K877" s="248"/>
      <c r="L877" s="248"/>
      <c r="M877" s="152"/>
      <c r="N877" s="152"/>
      <c r="O877" s="152"/>
      <c r="P877" s="152"/>
      <c r="Q877" s="152"/>
      <c r="R877" s="152"/>
      <c r="S877" s="152"/>
      <c r="T877" s="152"/>
      <c r="U877" s="152"/>
      <c r="V877" s="152"/>
      <c r="W877" s="152"/>
    </row>
    <row r="878">
      <c r="A878" s="152"/>
      <c r="B878" s="152"/>
      <c r="C878" s="152"/>
      <c r="D878" s="152"/>
      <c r="E878" s="152"/>
      <c r="F878" s="152"/>
      <c r="G878" s="152"/>
      <c r="H878" s="152"/>
      <c r="I878" s="152"/>
      <c r="J878" s="152"/>
      <c r="K878" s="248"/>
      <c r="L878" s="248"/>
      <c r="M878" s="152"/>
      <c r="N878" s="152"/>
      <c r="O878" s="152"/>
      <c r="P878" s="152"/>
      <c r="Q878" s="152"/>
      <c r="R878" s="152"/>
      <c r="S878" s="152"/>
      <c r="T878" s="152"/>
      <c r="U878" s="152"/>
      <c r="V878" s="152"/>
      <c r="W878" s="152"/>
    </row>
    <row r="879">
      <c r="A879" s="152"/>
      <c r="B879" s="152"/>
      <c r="C879" s="152"/>
      <c r="D879" s="152"/>
      <c r="E879" s="152"/>
      <c r="F879" s="152"/>
      <c r="G879" s="152"/>
      <c r="H879" s="152"/>
      <c r="I879" s="152"/>
      <c r="J879" s="152"/>
      <c r="K879" s="248"/>
      <c r="L879" s="248"/>
      <c r="M879" s="152"/>
      <c r="N879" s="152"/>
      <c r="O879" s="152"/>
      <c r="P879" s="152"/>
      <c r="Q879" s="152"/>
      <c r="R879" s="152"/>
      <c r="S879" s="152"/>
      <c r="T879" s="152"/>
      <c r="U879" s="152"/>
      <c r="V879" s="152"/>
      <c r="W879" s="152"/>
    </row>
    <row r="880">
      <c r="A880" s="152"/>
      <c r="B880" s="152"/>
      <c r="C880" s="152"/>
      <c r="D880" s="152"/>
      <c r="E880" s="152"/>
      <c r="F880" s="152"/>
      <c r="G880" s="152"/>
      <c r="H880" s="152"/>
      <c r="I880" s="152"/>
      <c r="J880" s="152"/>
      <c r="K880" s="248"/>
      <c r="L880" s="248"/>
      <c r="M880" s="152"/>
      <c r="N880" s="152"/>
      <c r="O880" s="152"/>
      <c r="P880" s="152"/>
      <c r="Q880" s="152"/>
      <c r="R880" s="152"/>
      <c r="S880" s="152"/>
      <c r="T880" s="152"/>
      <c r="U880" s="152"/>
      <c r="V880" s="152"/>
      <c r="W880" s="152"/>
    </row>
    <row r="881">
      <c r="A881" s="152"/>
      <c r="B881" s="152"/>
      <c r="C881" s="152"/>
      <c r="D881" s="152"/>
      <c r="E881" s="152"/>
      <c r="F881" s="152"/>
      <c r="G881" s="152"/>
      <c r="H881" s="152"/>
      <c r="I881" s="152"/>
      <c r="J881" s="152"/>
      <c r="K881" s="248"/>
      <c r="L881" s="248"/>
      <c r="M881" s="152"/>
      <c r="N881" s="152"/>
      <c r="O881" s="152"/>
      <c r="P881" s="152"/>
      <c r="Q881" s="152"/>
      <c r="R881" s="152"/>
      <c r="S881" s="152"/>
      <c r="T881" s="152"/>
      <c r="U881" s="152"/>
      <c r="V881" s="152"/>
      <c r="W881" s="152"/>
    </row>
    <row r="882">
      <c r="A882" s="152"/>
      <c r="B882" s="152"/>
      <c r="C882" s="152"/>
      <c r="D882" s="152"/>
      <c r="E882" s="152"/>
      <c r="F882" s="152"/>
      <c r="G882" s="152"/>
      <c r="H882" s="152"/>
      <c r="I882" s="152"/>
      <c r="J882" s="152"/>
      <c r="K882" s="248"/>
      <c r="L882" s="248"/>
      <c r="M882" s="152"/>
      <c r="N882" s="152"/>
      <c r="O882" s="152"/>
      <c r="P882" s="152"/>
      <c r="Q882" s="152"/>
      <c r="R882" s="152"/>
      <c r="S882" s="152"/>
      <c r="T882" s="152"/>
      <c r="U882" s="152"/>
      <c r="V882" s="152"/>
      <c r="W882" s="152"/>
    </row>
    <row r="883">
      <c r="A883" s="152"/>
      <c r="B883" s="152"/>
      <c r="C883" s="152"/>
      <c r="D883" s="152"/>
      <c r="E883" s="152"/>
      <c r="F883" s="152"/>
      <c r="G883" s="152"/>
      <c r="H883" s="152"/>
      <c r="I883" s="152"/>
      <c r="J883" s="152"/>
      <c r="K883" s="248"/>
      <c r="L883" s="248"/>
      <c r="M883" s="152"/>
      <c r="N883" s="152"/>
      <c r="O883" s="152"/>
      <c r="P883" s="152"/>
      <c r="Q883" s="152"/>
      <c r="R883" s="152"/>
      <c r="S883" s="152"/>
      <c r="T883" s="152"/>
      <c r="U883" s="152"/>
      <c r="V883" s="152"/>
      <c r="W883" s="152"/>
    </row>
    <row r="884">
      <c r="A884" s="152"/>
      <c r="B884" s="152"/>
      <c r="C884" s="152"/>
      <c r="D884" s="152"/>
      <c r="E884" s="152"/>
      <c r="F884" s="152"/>
      <c r="G884" s="152"/>
      <c r="H884" s="152"/>
      <c r="I884" s="152"/>
      <c r="J884" s="152"/>
      <c r="K884" s="248"/>
      <c r="L884" s="248"/>
      <c r="M884" s="152"/>
      <c r="N884" s="152"/>
      <c r="O884" s="152"/>
      <c r="P884" s="152"/>
      <c r="Q884" s="152"/>
      <c r="R884" s="152"/>
      <c r="S884" s="152"/>
      <c r="T884" s="152"/>
      <c r="U884" s="152"/>
      <c r="V884" s="152"/>
      <c r="W884" s="152"/>
    </row>
    <row r="885">
      <c r="A885" s="152"/>
      <c r="B885" s="152"/>
      <c r="C885" s="152"/>
      <c r="D885" s="152"/>
      <c r="E885" s="152"/>
      <c r="F885" s="152"/>
      <c r="G885" s="152"/>
      <c r="H885" s="152"/>
      <c r="I885" s="152"/>
      <c r="J885" s="152"/>
      <c r="K885" s="248"/>
      <c r="L885" s="248"/>
      <c r="M885" s="152"/>
      <c r="N885" s="152"/>
      <c r="O885" s="152"/>
      <c r="P885" s="152"/>
      <c r="Q885" s="152"/>
      <c r="R885" s="152"/>
      <c r="S885" s="152"/>
      <c r="T885" s="152"/>
      <c r="U885" s="152"/>
      <c r="V885" s="152"/>
      <c r="W885" s="152"/>
    </row>
    <row r="886">
      <c r="A886" s="152"/>
      <c r="B886" s="152"/>
      <c r="C886" s="152"/>
      <c r="D886" s="152"/>
      <c r="E886" s="152"/>
      <c r="F886" s="152"/>
      <c r="G886" s="152"/>
      <c r="H886" s="152"/>
      <c r="I886" s="152"/>
      <c r="J886" s="152"/>
      <c r="K886" s="248"/>
      <c r="L886" s="248"/>
      <c r="M886" s="152"/>
      <c r="N886" s="152"/>
      <c r="O886" s="152"/>
      <c r="P886" s="152"/>
      <c r="Q886" s="152"/>
      <c r="R886" s="152"/>
      <c r="S886" s="152"/>
      <c r="T886" s="152"/>
      <c r="U886" s="152"/>
      <c r="V886" s="152"/>
      <c r="W886" s="152"/>
    </row>
    <row r="887">
      <c r="A887" s="152"/>
      <c r="B887" s="152"/>
      <c r="C887" s="152"/>
      <c r="D887" s="152"/>
      <c r="E887" s="152"/>
      <c r="F887" s="152"/>
      <c r="G887" s="152"/>
      <c r="H887" s="152"/>
      <c r="I887" s="152"/>
      <c r="J887" s="152"/>
      <c r="K887" s="248"/>
      <c r="L887" s="248"/>
      <c r="M887" s="152"/>
      <c r="N887" s="152"/>
      <c r="O887" s="152"/>
      <c r="P887" s="152"/>
      <c r="Q887" s="152"/>
      <c r="R887" s="152"/>
      <c r="S887" s="152"/>
      <c r="T887" s="152"/>
      <c r="U887" s="152"/>
      <c r="V887" s="152"/>
      <c r="W887" s="152"/>
    </row>
    <row r="888">
      <c r="A888" s="152"/>
      <c r="B888" s="152"/>
      <c r="C888" s="152"/>
      <c r="D888" s="152"/>
      <c r="E888" s="152"/>
      <c r="F888" s="152"/>
      <c r="G888" s="152"/>
      <c r="H888" s="152"/>
      <c r="I888" s="152"/>
      <c r="J888" s="152"/>
      <c r="K888" s="248"/>
      <c r="L888" s="248"/>
      <c r="M888" s="152"/>
      <c r="N888" s="152"/>
      <c r="O888" s="152"/>
      <c r="P888" s="152"/>
      <c r="Q888" s="152"/>
      <c r="R888" s="152"/>
      <c r="S888" s="152"/>
      <c r="T888" s="152"/>
      <c r="U888" s="152"/>
      <c r="V888" s="152"/>
      <c r="W888" s="152"/>
    </row>
    <row r="889">
      <c r="A889" s="152"/>
      <c r="B889" s="152"/>
      <c r="C889" s="152"/>
      <c r="D889" s="152"/>
      <c r="E889" s="152"/>
      <c r="F889" s="152"/>
      <c r="G889" s="152"/>
      <c r="H889" s="152"/>
      <c r="I889" s="152"/>
      <c r="J889" s="152"/>
      <c r="K889" s="248"/>
      <c r="L889" s="248"/>
      <c r="M889" s="152"/>
      <c r="N889" s="152"/>
      <c r="O889" s="152"/>
      <c r="P889" s="152"/>
      <c r="Q889" s="152"/>
      <c r="R889" s="152"/>
      <c r="S889" s="152"/>
      <c r="T889" s="152"/>
      <c r="U889" s="152"/>
      <c r="V889" s="152"/>
      <c r="W889" s="152"/>
    </row>
    <row r="890">
      <c r="A890" s="152"/>
      <c r="B890" s="152"/>
      <c r="C890" s="152"/>
      <c r="D890" s="152"/>
      <c r="E890" s="152"/>
      <c r="F890" s="152"/>
      <c r="G890" s="152"/>
      <c r="H890" s="152"/>
      <c r="I890" s="152"/>
      <c r="J890" s="152"/>
      <c r="K890" s="248"/>
      <c r="L890" s="248"/>
      <c r="M890" s="152"/>
      <c r="N890" s="152"/>
      <c r="O890" s="152"/>
      <c r="P890" s="152"/>
      <c r="Q890" s="152"/>
      <c r="R890" s="152"/>
      <c r="S890" s="152"/>
      <c r="T890" s="152"/>
      <c r="U890" s="152"/>
      <c r="V890" s="152"/>
      <c r="W890" s="152"/>
    </row>
    <row r="891">
      <c r="A891" s="152"/>
      <c r="B891" s="152"/>
      <c r="C891" s="152"/>
      <c r="D891" s="152"/>
      <c r="E891" s="152"/>
      <c r="F891" s="152"/>
      <c r="G891" s="152"/>
      <c r="H891" s="152"/>
      <c r="I891" s="152"/>
      <c r="J891" s="152"/>
      <c r="K891" s="248"/>
      <c r="L891" s="248"/>
      <c r="M891" s="152"/>
      <c r="N891" s="152"/>
      <c r="O891" s="152"/>
      <c r="P891" s="152"/>
      <c r="Q891" s="152"/>
      <c r="R891" s="152"/>
      <c r="S891" s="152"/>
      <c r="T891" s="152"/>
      <c r="U891" s="152"/>
      <c r="V891" s="152"/>
      <c r="W891" s="152"/>
    </row>
    <row r="892">
      <c r="A892" s="152"/>
      <c r="B892" s="152"/>
      <c r="C892" s="152"/>
      <c r="D892" s="152"/>
      <c r="E892" s="152"/>
      <c r="F892" s="152"/>
      <c r="G892" s="152"/>
      <c r="H892" s="152"/>
      <c r="I892" s="152"/>
      <c r="J892" s="152"/>
      <c r="K892" s="248"/>
      <c r="L892" s="248"/>
      <c r="M892" s="152"/>
      <c r="N892" s="152"/>
      <c r="O892" s="152"/>
      <c r="P892" s="152"/>
      <c r="Q892" s="152"/>
      <c r="R892" s="152"/>
      <c r="S892" s="152"/>
      <c r="T892" s="152"/>
      <c r="U892" s="152"/>
      <c r="V892" s="152"/>
      <c r="W892" s="152"/>
    </row>
    <row r="893">
      <c r="A893" s="152"/>
      <c r="B893" s="152"/>
      <c r="C893" s="152"/>
      <c r="D893" s="152"/>
      <c r="E893" s="152"/>
      <c r="F893" s="152"/>
      <c r="G893" s="152"/>
      <c r="H893" s="152"/>
      <c r="I893" s="152"/>
      <c r="J893" s="152"/>
      <c r="K893" s="248"/>
      <c r="L893" s="248"/>
      <c r="M893" s="152"/>
      <c r="N893" s="152"/>
      <c r="O893" s="152"/>
      <c r="P893" s="152"/>
      <c r="Q893" s="152"/>
      <c r="R893" s="152"/>
      <c r="S893" s="152"/>
      <c r="T893" s="152"/>
      <c r="U893" s="152"/>
      <c r="V893" s="152"/>
      <c r="W893" s="152"/>
    </row>
    <row r="894">
      <c r="A894" s="152"/>
      <c r="B894" s="152"/>
      <c r="C894" s="152"/>
      <c r="D894" s="152"/>
      <c r="E894" s="152"/>
      <c r="F894" s="152"/>
      <c r="G894" s="152"/>
      <c r="H894" s="152"/>
      <c r="I894" s="152"/>
      <c r="J894" s="152"/>
      <c r="K894" s="248"/>
      <c r="L894" s="248"/>
      <c r="M894" s="152"/>
      <c r="N894" s="152"/>
      <c r="O894" s="152"/>
      <c r="P894" s="152"/>
      <c r="Q894" s="152"/>
      <c r="R894" s="152"/>
      <c r="S894" s="152"/>
      <c r="T894" s="152"/>
      <c r="U894" s="152"/>
      <c r="V894" s="152"/>
      <c r="W894" s="152"/>
    </row>
    <row r="895">
      <c r="A895" s="152"/>
      <c r="B895" s="152"/>
      <c r="C895" s="152"/>
      <c r="D895" s="152"/>
      <c r="E895" s="152"/>
      <c r="F895" s="152"/>
      <c r="G895" s="152"/>
      <c r="H895" s="152"/>
      <c r="I895" s="152"/>
      <c r="J895" s="152"/>
      <c r="K895" s="248"/>
      <c r="L895" s="248"/>
      <c r="M895" s="152"/>
      <c r="N895" s="152"/>
      <c r="O895" s="152"/>
      <c r="P895" s="152"/>
      <c r="Q895" s="152"/>
      <c r="R895" s="152"/>
      <c r="S895" s="152"/>
      <c r="T895" s="152"/>
      <c r="U895" s="152"/>
      <c r="V895" s="152"/>
      <c r="W895" s="152"/>
    </row>
    <row r="896">
      <c r="A896" s="152"/>
      <c r="B896" s="152"/>
      <c r="C896" s="152"/>
      <c r="D896" s="152"/>
      <c r="E896" s="152"/>
      <c r="F896" s="152"/>
      <c r="G896" s="152"/>
      <c r="H896" s="152"/>
      <c r="I896" s="152"/>
      <c r="J896" s="152"/>
      <c r="K896" s="248"/>
      <c r="L896" s="248"/>
      <c r="M896" s="152"/>
      <c r="N896" s="152"/>
      <c r="O896" s="152"/>
      <c r="P896" s="152"/>
      <c r="Q896" s="152"/>
      <c r="R896" s="152"/>
      <c r="S896" s="152"/>
      <c r="T896" s="152"/>
      <c r="U896" s="152"/>
      <c r="V896" s="152"/>
      <c r="W896" s="152"/>
    </row>
    <row r="897">
      <c r="A897" s="152"/>
      <c r="B897" s="152"/>
      <c r="C897" s="152"/>
      <c r="D897" s="152"/>
      <c r="E897" s="152"/>
      <c r="F897" s="152"/>
      <c r="G897" s="152"/>
      <c r="H897" s="152"/>
      <c r="I897" s="152"/>
      <c r="J897" s="152"/>
      <c r="K897" s="248"/>
      <c r="L897" s="248"/>
      <c r="M897" s="152"/>
      <c r="N897" s="152"/>
      <c r="O897" s="152"/>
      <c r="P897" s="152"/>
      <c r="Q897" s="152"/>
      <c r="R897" s="152"/>
      <c r="S897" s="152"/>
      <c r="T897" s="152"/>
      <c r="U897" s="152"/>
      <c r="V897" s="152"/>
      <c r="W897" s="152"/>
    </row>
    <row r="898">
      <c r="A898" s="152"/>
      <c r="B898" s="152"/>
      <c r="C898" s="152"/>
      <c r="D898" s="152"/>
      <c r="E898" s="152"/>
      <c r="F898" s="152"/>
      <c r="G898" s="152"/>
      <c r="H898" s="152"/>
      <c r="I898" s="152"/>
      <c r="J898" s="152"/>
      <c r="K898" s="248"/>
      <c r="L898" s="248"/>
      <c r="M898" s="152"/>
      <c r="N898" s="152"/>
      <c r="O898" s="152"/>
      <c r="P898" s="152"/>
      <c r="Q898" s="152"/>
      <c r="R898" s="152"/>
      <c r="S898" s="152"/>
      <c r="T898" s="152"/>
      <c r="U898" s="152"/>
      <c r="V898" s="152"/>
      <c r="W898" s="152"/>
    </row>
    <row r="899">
      <c r="A899" s="152"/>
      <c r="B899" s="152"/>
      <c r="C899" s="152"/>
      <c r="D899" s="152"/>
      <c r="E899" s="152"/>
      <c r="F899" s="152"/>
      <c r="G899" s="152"/>
      <c r="H899" s="152"/>
      <c r="I899" s="152"/>
      <c r="J899" s="152"/>
      <c r="K899" s="248"/>
      <c r="L899" s="248"/>
      <c r="M899" s="152"/>
      <c r="N899" s="152"/>
      <c r="O899" s="152"/>
      <c r="P899" s="152"/>
      <c r="Q899" s="152"/>
      <c r="R899" s="152"/>
      <c r="S899" s="152"/>
      <c r="T899" s="152"/>
      <c r="U899" s="152"/>
      <c r="V899" s="152"/>
      <c r="W899" s="152"/>
    </row>
    <row r="900">
      <c r="A900" s="152"/>
      <c r="B900" s="152"/>
      <c r="C900" s="152"/>
      <c r="D900" s="152"/>
      <c r="E900" s="152"/>
      <c r="F900" s="152"/>
      <c r="G900" s="152"/>
      <c r="H900" s="152"/>
      <c r="I900" s="152"/>
      <c r="J900" s="152"/>
      <c r="K900" s="248"/>
      <c r="L900" s="248"/>
      <c r="M900" s="152"/>
      <c r="N900" s="152"/>
      <c r="O900" s="152"/>
      <c r="P900" s="152"/>
      <c r="Q900" s="152"/>
      <c r="R900" s="152"/>
      <c r="S900" s="152"/>
      <c r="T900" s="152"/>
      <c r="U900" s="152"/>
      <c r="V900" s="152"/>
      <c r="W900" s="152"/>
    </row>
    <row r="901">
      <c r="A901" s="152"/>
      <c r="B901" s="152"/>
      <c r="C901" s="152"/>
      <c r="D901" s="152"/>
      <c r="E901" s="152"/>
      <c r="F901" s="152"/>
      <c r="G901" s="152"/>
      <c r="H901" s="152"/>
      <c r="I901" s="152"/>
      <c r="J901" s="152"/>
      <c r="K901" s="248"/>
      <c r="L901" s="248"/>
      <c r="M901" s="152"/>
      <c r="N901" s="152"/>
      <c r="O901" s="152"/>
      <c r="P901" s="152"/>
      <c r="Q901" s="152"/>
      <c r="R901" s="152"/>
      <c r="S901" s="152"/>
      <c r="T901" s="152"/>
      <c r="U901" s="152"/>
      <c r="V901" s="152"/>
      <c r="W901" s="152"/>
    </row>
    <row r="902">
      <c r="A902" s="152"/>
      <c r="B902" s="152"/>
      <c r="C902" s="152"/>
      <c r="D902" s="152"/>
      <c r="E902" s="152"/>
      <c r="F902" s="152"/>
      <c r="G902" s="152"/>
      <c r="H902" s="152"/>
      <c r="I902" s="152"/>
      <c r="J902" s="152"/>
      <c r="K902" s="248"/>
      <c r="L902" s="248"/>
      <c r="M902" s="152"/>
      <c r="N902" s="152"/>
      <c r="O902" s="152"/>
      <c r="P902" s="152"/>
      <c r="Q902" s="152"/>
      <c r="R902" s="152"/>
      <c r="S902" s="152"/>
      <c r="T902" s="152"/>
      <c r="U902" s="152"/>
      <c r="V902" s="152"/>
      <c r="W902" s="152"/>
    </row>
    <row r="903">
      <c r="A903" s="152"/>
      <c r="B903" s="152"/>
      <c r="C903" s="152"/>
      <c r="D903" s="152"/>
      <c r="E903" s="152"/>
      <c r="F903" s="152"/>
      <c r="G903" s="152"/>
      <c r="H903" s="152"/>
      <c r="I903" s="152"/>
      <c r="J903" s="152"/>
      <c r="K903" s="248"/>
      <c r="L903" s="248"/>
      <c r="M903" s="152"/>
      <c r="N903" s="152"/>
      <c r="O903" s="152"/>
      <c r="P903" s="152"/>
      <c r="Q903" s="152"/>
      <c r="R903" s="152"/>
      <c r="S903" s="152"/>
      <c r="T903" s="152"/>
      <c r="U903" s="152"/>
      <c r="V903" s="152"/>
      <c r="W903" s="152"/>
    </row>
    <row r="904">
      <c r="A904" s="152"/>
      <c r="B904" s="152"/>
      <c r="C904" s="152"/>
      <c r="D904" s="152"/>
      <c r="E904" s="152"/>
      <c r="F904" s="152"/>
      <c r="G904" s="152"/>
      <c r="H904" s="152"/>
      <c r="I904" s="152"/>
      <c r="J904" s="152"/>
      <c r="K904" s="248"/>
      <c r="L904" s="248"/>
      <c r="M904" s="152"/>
      <c r="N904" s="152"/>
      <c r="O904" s="152"/>
      <c r="P904" s="152"/>
      <c r="Q904" s="152"/>
      <c r="R904" s="152"/>
      <c r="S904" s="152"/>
      <c r="T904" s="152"/>
      <c r="U904" s="152"/>
      <c r="V904" s="152"/>
      <c r="W904" s="152"/>
    </row>
    <row r="905">
      <c r="A905" s="152"/>
      <c r="B905" s="152"/>
      <c r="C905" s="152"/>
      <c r="D905" s="152"/>
      <c r="E905" s="152"/>
      <c r="F905" s="152"/>
      <c r="G905" s="152"/>
      <c r="H905" s="152"/>
      <c r="I905" s="152"/>
      <c r="J905" s="152"/>
      <c r="K905" s="248"/>
      <c r="L905" s="248"/>
      <c r="M905" s="152"/>
      <c r="N905" s="152"/>
      <c r="O905" s="152"/>
      <c r="P905" s="152"/>
      <c r="Q905" s="152"/>
      <c r="R905" s="152"/>
      <c r="S905" s="152"/>
      <c r="T905" s="152"/>
      <c r="U905" s="152"/>
      <c r="V905" s="152"/>
      <c r="W905" s="152"/>
    </row>
    <row r="906">
      <c r="A906" s="152"/>
      <c r="B906" s="152"/>
      <c r="C906" s="152"/>
      <c r="D906" s="152"/>
      <c r="E906" s="152"/>
      <c r="F906" s="152"/>
      <c r="G906" s="152"/>
      <c r="H906" s="152"/>
      <c r="I906" s="152"/>
      <c r="J906" s="152"/>
      <c r="K906" s="248"/>
      <c r="L906" s="248"/>
      <c r="M906" s="152"/>
      <c r="N906" s="152"/>
      <c r="O906" s="152"/>
      <c r="P906" s="152"/>
      <c r="Q906" s="152"/>
      <c r="R906" s="152"/>
      <c r="S906" s="152"/>
      <c r="T906" s="152"/>
      <c r="U906" s="152"/>
      <c r="V906" s="152"/>
      <c r="W906" s="152"/>
    </row>
    <row r="907">
      <c r="A907" s="152"/>
      <c r="B907" s="152"/>
      <c r="C907" s="152"/>
      <c r="D907" s="152"/>
      <c r="E907" s="152"/>
      <c r="F907" s="152"/>
      <c r="G907" s="152"/>
      <c r="H907" s="152"/>
      <c r="I907" s="152"/>
      <c r="J907" s="152"/>
      <c r="K907" s="248"/>
      <c r="L907" s="248"/>
      <c r="M907" s="152"/>
      <c r="N907" s="152"/>
      <c r="O907" s="152"/>
      <c r="P907" s="152"/>
      <c r="Q907" s="152"/>
      <c r="R907" s="152"/>
      <c r="S907" s="152"/>
      <c r="T907" s="152"/>
      <c r="U907" s="152"/>
      <c r="V907" s="152"/>
      <c r="W907" s="152"/>
    </row>
    <row r="908">
      <c r="A908" s="152"/>
      <c r="B908" s="152"/>
      <c r="C908" s="152"/>
      <c r="D908" s="152"/>
      <c r="E908" s="152"/>
      <c r="F908" s="152"/>
      <c r="G908" s="152"/>
      <c r="H908" s="152"/>
      <c r="I908" s="152"/>
      <c r="J908" s="152"/>
      <c r="K908" s="248"/>
      <c r="L908" s="248"/>
      <c r="M908" s="152"/>
      <c r="N908" s="152"/>
      <c r="O908" s="152"/>
      <c r="P908" s="152"/>
      <c r="Q908" s="152"/>
      <c r="R908" s="152"/>
      <c r="S908" s="152"/>
      <c r="T908" s="152"/>
      <c r="U908" s="152"/>
      <c r="V908" s="152"/>
      <c r="W908" s="152"/>
    </row>
    <row r="909">
      <c r="A909" s="152"/>
      <c r="B909" s="152"/>
      <c r="C909" s="152"/>
      <c r="D909" s="152"/>
      <c r="E909" s="152"/>
      <c r="F909" s="152"/>
      <c r="G909" s="152"/>
      <c r="H909" s="152"/>
      <c r="I909" s="152"/>
      <c r="J909" s="152"/>
      <c r="K909" s="248"/>
      <c r="L909" s="248"/>
      <c r="M909" s="152"/>
      <c r="N909" s="152"/>
      <c r="O909" s="152"/>
      <c r="P909" s="152"/>
      <c r="Q909" s="152"/>
      <c r="R909" s="152"/>
      <c r="S909" s="152"/>
      <c r="T909" s="152"/>
      <c r="U909" s="152"/>
      <c r="V909" s="152"/>
      <c r="W909" s="152"/>
    </row>
    <row r="910">
      <c r="A910" s="152"/>
      <c r="B910" s="152"/>
      <c r="C910" s="152"/>
      <c r="D910" s="152"/>
      <c r="E910" s="152"/>
      <c r="F910" s="152"/>
      <c r="G910" s="152"/>
      <c r="H910" s="152"/>
      <c r="I910" s="152"/>
      <c r="J910" s="152"/>
      <c r="K910" s="248"/>
      <c r="L910" s="248"/>
      <c r="M910" s="152"/>
      <c r="N910" s="152"/>
      <c r="O910" s="152"/>
      <c r="P910" s="152"/>
      <c r="Q910" s="152"/>
      <c r="R910" s="152"/>
      <c r="S910" s="152"/>
      <c r="T910" s="152"/>
      <c r="U910" s="152"/>
      <c r="V910" s="152"/>
      <c r="W910" s="152"/>
    </row>
    <row r="911">
      <c r="A911" s="152"/>
      <c r="B911" s="152"/>
      <c r="C911" s="152"/>
      <c r="D911" s="152"/>
      <c r="E911" s="152"/>
      <c r="F911" s="152"/>
      <c r="G911" s="152"/>
      <c r="H911" s="152"/>
      <c r="I911" s="152"/>
      <c r="J911" s="152"/>
      <c r="K911" s="248"/>
      <c r="L911" s="248"/>
      <c r="M911" s="152"/>
      <c r="N911" s="152"/>
      <c r="O911" s="152"/>
      <c r="P911" s="152"/>
      <c r="Q911" s="152"/>
      <c r="R911" s="152"/>
      <c r="S911" s="152"/>
      <c r="T911" s="152"/>
      <c r="U911" s="152"/>
      <c r="V911" s="152"/>
      <c r="W911" s="152"/>
    </row>
    <row r="912">
      <c r="A912" s="152"/>
      <c r="B912" s="152"/>
      <c r="C912" s="152"/>
      <c r="D912" s="152"/>
      <c r="E912" s="152"/>
      <c r="F912" s="152"/>
      <c r="G912" s="152"/>
      <c r="H912" s="152"/>
      <c r="I912" s="152"/>
      <c r="J912" s="152"/>
      <c r="K912" s="248"/>
      <c r="L912" s="248"/>
      <c r="M912" s="152"/>
      <c r="N912" s="152"/>
      <c r="O912" s="152"/>
      <c r="P912" s="152"/>
      <c r="Q912" s="152"/>
      <c r="R912" s="152"/>
      <c r="S912" s="152"/>
      <c r="T912" s="152"/>
      <c r="U912" s="152"/>
      <c r="V912" s="152"/>
      <c r="W912" s="152"/>
    </row>
    <row r="913">
      <c r="A913" s="152"/>
      <c r="B913" s="152"/>
      <c r="C913" s="152"/>
      <c r="D913" s="152"/>
      <c r="E913" s="152"/>
      <c r="F913" s="152"/>
      <c r="G913" s="152"/>
      <c r="H913" s="152"/>
      <c r="I913" s="152"/>
      <c r="J913" s="152"/>
      <c r="K913" s="248"/>
      <c r="L913" s="248"/>
      <c r="M913" s="152"/>
      <c r="N913" s="152"/>
      <c r="O913" s="152"/>
      <c r="P913" s="152"/>
      <c r="Q913" s="152"/>
      <c r="R913" s="152"/>
      <c r="S913" s="152"/>
      <c r="T913" s="152"/>
      <c r="U913" s="152"/>
      <c r="V913" s="152"/>
      <c r="W913" s="152"/>
    </row>
    <row r="914">
      <c r="A914" s="152"/>
      <c r="B914" s="152"/>
      <c r="C914" s="152"/>
      <c r="D914" s="152"/>
      <c r="E914" s="152"/>
      <c r="F914" s="152"/>
      <c r="G914" s="152"/>
      <c r="H914" s="152"/>
      <c r="I914" s="152"/>
      <c r="J914" s="152"/>
      <c r="K914" s="248"/>
      <c r="L914" s="248"/>
      <c r="M914" s="152"/>
      <c r="N914" s="152"/>
      <c r="O914" s="152"/>
      <c r="P914" s="152"/>
      <c r="Q914" s="152"/>
      <c r="R914" s="152"/>
      <c r="S914" s="152"/>
      <c r="T914" s="152"/>
      <c r="U914" s="152"/>
      <c r="V914" s="152"/>
      <c r="W914" s="152"/>
    </row>
    <row r="915">
      <c r="A915" s="152"/>
      <c r="B915" s="152"/>
      <c r="C915" s="152"/>
      <c r="D915" s="152"/>
      <c r="E915" s="152"/>
      <c r="F915" s="152"/>
      <c r="G915" s="152"/>
      <c r="H915" s="152"/>
      <c r="I915" s="152"/>
      <c r="J915" s="152"/>
      <c r="K915" s="248"/>
      <c r="L915" s="248"/>
      <c r="M915" s="152"/>
      <c r="N915" s="152"/>
      <c r="O915" s="152"/>
      <c r="P915" s="152"/>
      <c r="Q915" s="152"/>
      <c r="R915" s="152"/>
      <c r="S915" s="152"/>
      <c r="T915" s="152"/>
      <c r="U915" s="152"/>
      <c r="V915" s="152"/>
      <c r="W915" s="152"/>
    </row>
    <row r="916">
      <c r="A916" s="152"/>
      <c r="B916" s="152"/>
      <c r="C916" s="152"/>
      <c r="D916" s="152"/>
      <c r="E916" s="152"/>
      <c r="F916" s="152"/>
      <c r="G916" s="152"/>
      <c r="H916" s="152"/>
      <c r="I916" s="152"/>
      <c r="J916" s="152"/>
      <c r="K916" s="248"/>
      <c r="L916" s="248"/>
      <c r="M916" s="152"/>
      <c r="N916" s="152"/>
      <c r="O916" s="152"/>
      <c r="P916" s="152"/>
      <c r="Q916" s="152"/>
      <c r="R916" s="152"/>
      <c r="S916" s="152"/>
      <c r="T916" s="152"/>
      <c r="U916" s="152"/>
      <c r="V916" s="152"/>
      <c r="W916" s="152"/>
    </row>
    <row r="917">
      <c r="A917" s="152"/>
      <c r="B917" s="152"/>
      <c r="C917" s="152"/>
      <c r="D917" s="152"/>
      <c r="E917" s="152"/>
      <c r="F917" s="152"/>
      <c r="G917" s="152"/>
      <c r="H917" s="152"/>
      <c r="I917" s="152"/>
      <c r="J917" s="152"/>
      <c r="K917" s="248"/>
      <c r="L917" s="248"/>
      <c r="M917" s="152"/>
      <c r="N917" s="152"/>
      <c r="O917" s="152"/>
      <c r="P917" s="152"/>
      <c r="Q917" s="152"/>
      <c r="R917" s="152"/>
      <c r="S917" s="152"/>
      <c r="T917" s="152"/>
      <c r="U917" s="152"/>
      <c r="V917" s="152"/>
      <c r="W917" s="152"/>
    </row>
    <row r="918">
      <c r="A918" s="152"/>
      <c r="B918" s="152"/>
      <c r="C918" s="152"/>
      <c r="D918" s="152"/>
      <c r="E918" s="152"/>
      <c r="F918" s="152"/>
      <c r="G918" s="152"/>
      <c r="H918" s="152"/>
      <c r="I918" s="152"/>
      <c r="J918" s="152"/>
      <c r="K918" s="248"/>
      <c r="L918" s="248"/>
      <c r="M918" s="152"/>
      <c r="N918" s="152"/>
      <c r="O918" s="152"/>
      <c r="P918" s="152"/>
      <c r="Q918" s="152"/>
      <c r="R918" s="152"/>
      <c r="S918" s="152"/>
      <c r="T918" s="152"/>
      <c r="U918" s="152"/>
      <c r="V918" s="152"/>
      <c r="W918" s="152"/>
    </row>
    <row r="919">
      <c r="A919" s="152"/>
      <c r="B919" s="152"/>
      <c r="C919" s="152"/>
      <c r="D919" s="152"/>
      <c r="E919" s="152"/>
      <c r="F919" s="152"/>
      <c r="G919" s="152"/>
      <c r="H919" s="152"/>
      <c r="I919" s="152"/>
      <c r="J919" s="152"/>
      <c r="K919" s="248"/>
      <c r="L919" s="248"/>
      <c r="M919" s="152"/>
      <c r="N919" s="152"/>
      <c r="O919" s="152"/>
      <c r="P919" s="152"/>
      <c r="Q919" s="152"/>
      <c r="R919" s="152"/>
      <c r="S919" s="152"/>
      <c r="T919" s="152"/>
      <c r="U919" s="152"/>
      <c r="V919" s="152"/>
      <c r="W919" s="152"/>
    </row>
    <row r="920">
      <c r="A920" s="152"/>
      <c r="B920" s="152"/>
      <c r="C920" s="152"/>
      <c r="D920" s="152"/>
      <c r="E920" s="152"/>
      <c r="F920" s="152"/>
      <c r="G920" s="152"/>
      <c r="H920" s="152"/>
      <c r="I920" s="152"/>
      <c r="J920" s="152"/>
      <c r="K920" s="248"/>
      <c r="L920" s="248"/>
      <c r="M920" s="152"/>
      <c r="N920" s="152"/>
      <c r="O920" s="152"/>
      <c r="P920" s="152"/>
      <c r="Q920" s="152"/>
      <c r="R920" s="152"/>
      <c r="S920" s="152"/>
      <c r="T920" s="152"/>
      <c r="U920" s="152"/>
      <c r="V920" s="152"/>
      <c r="W920" s="152"/>
    </row>
    <row r="921">
      <c r="A921" s="152"/>
      <c r="B921" s="152"/>
      <c r="C921" s="152"/>
      <c r="D921" s="152"/>
      <c r="E921" s="152"/>
      <c r="F921" s="152"/>
      <c r="G921" s="152"/>
      <c r="H921" s="152"/>
      <c r="I921" s="152"/>
      <c r="J921" s="152"/>
      <c r="K921" s="248"/>
      <c r="L921" s="248"/>
      <c r="M921" s="152"/>
      <c r="N921" s="152"/>
      <c r="O921" s="152"/>
      <c r="P921" s="152"/>
      <c r="Q921" s="152"/>
      <c r="R921" s="152"/>
      <c r="S921" s="152"/>
      <c r="T921" s="152"/>
      <c r="U921" s="152"/>
      <c r="V921" s="152"/>
      <c r="W921" s="152"/>
    </row>
    <row r="922">
      <c r="A922" s="152"/>
      <c r="B922" s="152"/>
      <c r="C922" s="152"/>
      <c r="D922" s="152"/>
      <c r="E922" s="152"/>
      <c r="F922" s="152"/>
      <c r="G922" s="152"/>
      <c r="H922" s="152"/>
      <c r="I922" s="152"/>
      <c r="J922" s="152"/>
      <c r="K922" s="248"/>
      <c r="L922" s="248"/>
      <c r="M922" s="152"/>
      <c r="N922" s="152"/>
      <c r="O922" s="152"/>
      <c r="P922" s="152"/>
      <c r="Q922" s="152"/>
      <c r="R922" s="152"/>
      <c r="S922" s="152"/>
      <c r="T922" s="152"/>
      <c r="U922" s="152"/>
      <c r="V922" s="152"/>
      <c r="W922" s="152"/>
    </row>
    <row r="923">
      <c r="A923" s="152"/>
      <c r="B923" s="152"/>
      <c r="C923" s="152"/>
      <c r="D923" s="152"/>
      <c r="E923" s="152"/>
      <c r="F923" s="152"/>
      <c r="G923" s="152"/>
      <c r="H923" s="152"/>
      <c r="I923" s="152"/>
      <c r="J923" s="152"/>
      <c r="K923" s="248"/>
      <c r="L923" s="248"/>
      <c r="M923" s="152"/>
      <c r="N923" s="152"/>
      <c r="O923" s="152"/>
      <c r="P923" s="152"/>
      <c r="Q923" s="152"/>
      <c r="R923" s="152"/>
      <c r="S923" s="152"/>
      <c r="T923" s="152"/>
      <c r="U923" s="152"/>
      <c r="V923" s="152"/>
      <c r="W923" s="152"/>
    </row>
    <row r="924">
      <c r="A924" s="152"/>
      <c r="B924" s="152"/>
      <c r="C924" s="152"/>
      <c r="D924" s="152"/>
      <c r="E924" s="152"/>
      <c r="F924" s="152"/>
      <c r="G924" s="152"/>
      <c r="H924" s="152"/>
      <c r="I924" s="152"/>
      <c r="J924" s="152"/>
      <c r="K924" s="248"/>
      <c r="L924" s="248"/>
      <c r="M924" s="152"/>
      <c r="N924" s="152"/>
      <c r="O924" s="152"/>
      <c r="P924" s="152"/>
      <c r="Q924" s="152"/>
      <c r="R924" s="152"/>
      <c r="S924" s="152"/>
      <c r="T924" s="152"/>
      <c r="U924" s="152"/>
      <c r="V924" s="152"/>
      <c r="W924" s="152"/>
    </row>
    <row r="925">
      <c r="A925" s="152"/>
      <c r="B925" s="152"/>
      <c r="C925" s="152"/>
      <c r="D925" s="152"/>
      <c r="E925" s="152"/>
      <c r="F925" s="152"/>
      <c r="G925" s="152"/>
      <c r="H925" s="152"/>
      <c r="I925" s="152"/>
      <c r="J925" s="152"/>
      <c r="K925" s="248"/>
      <c r="L925" s="248"/>
      <c r="M925" s="152"/>
      <c r="N925" s="152"/>
      <c r="O925" s="152"/>
      <c r="P925" s="152"/>
      <c r="Q925" s="152"/>
      <c r="R925" s="152"/>
      <c r="S925" s="152"/>
      <c r="T925" s="152"/>
      <c r="U925" s="152"/>
      <c r="V925" s="152"/>
      <c r="W925" s="152"/>
    </row>
    <row r="926">
      <c r="A926" s="152"/>
      <c r="B926" s="152"/>
      <c r="C926" s="152"/>
      <c r="D926" s="152"/>
      <c r="E926" s="152"/>
      <c r="F926" s="152"/>
      <c r="G926" s="152"/>
      <c r="H926" s="152"/>
      <c r="I926" s="152"/>
      <c r="J926" s="152"/>
      <c r="K926" s="248"/>
      <c r="L926" s="248"/>
      <c r="M926" s="152"/>
      <c r="N926" s="152"/>
      <c r="O926" s="152"/>
      <c r="P926" s="152"/>
      <c r="Q926" s="152"/>
      <c r="R926" s="152"/>
      <c r="S926" s="152"/>
      <c r="T926" s="152"/>
      <c r="U926" s="152"/>
      <c r="V926" s="152"/>
      <c r="W926" s="152"/>
    </row>
    <row r="927">
      <c r="A927" s="152"/>
      <c r="B927" s="152"/>
      <c r="C927" s="152"/>
      <c r="D927" s="152"/>
      <c r="E927" s="152"/>
      <c r="F927" s="152"/>
      <c r="G927" s="152"/>
      <c r="H927" s="152"/>
      <c r="I927" s="152"/>
      <c r="J927" s="152"/>
      <c r="K927" s="248"/>
      <c r="L927" s="248"/>
      <c r="M927" s="152"/>
      <c r="N927" s="152"/>
      <c r="O927" s="152"/>
      <c r="P927" s="152"/>
      <c r="Q927" s="152"/>
      <c r="R927" s="152"/>
      <c r="S927" s="152"/>
      <c r="T927" s="152"/>
      <c r="U927" s="152"/>
      <c r="V927" s="152"/>
      <c r="W927" s="152"/>
    </row>
    <row r="928">
      <c r="A928" s="152"/>
      <c r="B928" s="152"/>
      <c r="C928" s="152"/>
      <c r="D928" s="152"/>
      <c r="E928" s="152"/>
      <c r="F928" s="152"/>
      <c r="G928" s="152"/>
      <c r="H928" s="152"/>
      <c r="I928" s="152"/>
      <c r="J928" s="152"/>
      <c r="K928" s="248"/>
      <c r="L928" s="248"/>
      <c r="M928" s="152"/>
      <c r="N928" s="152"/>
      <c r="O928" s="152"/>
      <c r="P928" s="152"/>
      <c r="Q928" s="152"/>
      <c r="R928" s="152"/>
      <c r="S928" s="152"/>
      <c r="T928" s="152"/>
      <c r="U928" s="152"/>
      <c r="V928" s="152"/>
      <c r="W928" s="152"/>
    </row>
    <row r="929">
      <c r="A929" s="152"/>
      <c r="B929" s="152"/>
      <c r="C929" s="152"/>
      <c r="D929" s="152"/>
      <c r="E929" s="152"/>
      <c r="F929" s="152"/>
      <c r="G929" s="152"/>
      <c r="H929" s="152"/>
      <c r="I929" s="152"/>
      <c r="J929" s="152"/>
      <c r="K929" s="248"/>
      <c r="L929" s="248"/>
      <c r="M929" s="152"/>
      <c r="N929" s="152"/>
      <c r="O929" s="152"/>
      <c r="P929" s="152"/>
      <c r="Q929" s="152"/>
      <c r="R929" s="152"/>
      <c r="S929" s="152"/>
      <c r="T929" s="152"/>
      <c r="U929" s="152"/>
      <c r="V929" s="152"/>
      <c r="W929" s="152"/>
    </row>
    <row r="930">
      <c r="A930" s="152"/>
      <c r="B930" s="152"/>
      <c r="C930" s="152"/>
      <c r="D930" s="152"/>
      <c r="E930" s="152"/>
      <c r="F930" s="152"/>
      <c r="G930" s="152"/>
      <c r="H930" s="152"/>
      <c r="I930" s="152"/>
      <c r="J930" s="152"/>
      <c r="K930" s="248"/>
      <c r="L930" s="248"/>
      <c r="M930" s="152"/>
      <c r="N930" s="152"/>
      <c r="O930" s="152"/>
      <c r="P930" s="152"/>
      <c r="Q930" s="152"/>
      <c r="R930" s="152"/>
      <c r="S930" s="152"/>
      <c r="T930" s="152"/>
      <c r="U930" s="152"/>
      <c r="V930" s="152"/>
      <c r="W930" s="152"/>
    </row>
    <row r="931">
      <c r="A931" s="152"/>
      <c r="B931" s="152"/>
      <c r="C931" s="152"/>
      <c r="D931" s="152"/>
      <c r="E931" s="152"/>
      <c r="F931" s="152"/>
      <c r="G931" s="152"/>
      <c r="H931" s="152"/>
      <c r="I931" s="152"/>
      <c r="J931" s="152"/>
      <c r="K931" s="248"/>
      <c r="L931" s="248"/>
      <c r="M931" s="152"/>
      <c r="N931" s="152"/>
      <c r="O931" s="152"/>
      <c r="P931" s="152"/>
      <c r="Q931" s="152"/>
      <c r="R931" s="152"/>
      <c r="S931" s="152"/>
      <c r="T931" s="152"/>
      <c r="U931" s="152"/>
      <c r="V931" s="152"/>
      <c r="W931" s="152"/>
    </row>
    <row r="932">
      <c r="A932" s="152"/>
      <c r="B932" s="152"/>
      <c r="C932" s="152"/>
      <c r="D932" s="152"/>
      <c r="E932" s="152"/>
      <c r="F932" s="152"/>
      <c r="G932" s="152"/>
      <c r="H932" s="152"/>
      <c r="I932" s="152"/>
      <c r="J932" s="152"/>
      <c r="K932" s="248"/>
      <c r="L932" s="248"/>
      <c r="M932" s="152"/>
      <c r="N932" s="152"/>
      <c r="O932" s="152"/>
      <c r="P932" s="152"/>
      <c r="Q932" s="152"/>
      <c r="R932" s="152"/>
      <c r="S932" s="152"/>
      <c r="T932" s="152"/>
      <c r="U932" s="152"/>
      <c r="V932" s="152"/>
      <c r="W932" s="152"/>
    </row>
    <row r="933">
      <c r="A933" s="152"/>
      <c r="B933" s="152"/>
      <c r="C933" s="152"/>
      <c r="D933" s="152"/>
      <c r="E933" s="152"/>
      <c r="F933" s="152"/>
      <c r="G933" s="152"/>
      <c r="H933" s="152"/>
      <c r="I933" s="152"/>
      <c r="J933" s="152"/>
      <c r="K933" s="248"/>
      <c r="L933" s="248"/>
      <c r="M933" s="152"/>
      <c r="N933" s="152"/>
      <c r="O933" s="152"/>
      <c r="P933" s="152"/>
      <c r="Q933" s="152"/>
      <c r="R933" s="152"/>
      <c r="S933" s="152"/>
      <c r="T933" s="152"/>
      <c r="U933" s="152"/>
      <c r="V933" s="152"/>
      <c r="W933" s="152"/>
    </row>
    <row r="934">
      <c r="A934" s="152"/>
      <c r="B934" s="152"/>
      <c r="C934" s="152"/>
      <c r="D934" s="152"/>
      <c r="E934" s="152"/>
      <c r="F934" s="152"/>
      <c r="G934" s="152"/>
      <c r="H934" s="152"/>
      <c r="I934" s="152"/>
      <c r="J934" s="152"/>
      <c r="K934" s="248"/>
      <c r="L934" s="248"/>
      <c r="M934" s="152"/>
      <c r="N934" s="152"/>
      <c r="O934" s="152"/>
      <c r="P934" s="152"/>
      <c r="Q934" s="152"/>
      <c r="R934" s="152"/>
      <c r="S934" s="152"/>
      <c r="T934" s="152"/>
      <c r="U934" s="152"/>
      <c r="V934" s="152"/>
      <c r="W934" s="152"/>
    </row>
    <row r="935">
      <c r="A935" s="152"/>
      <c r="B935" s="152"/>
      <c r="C935" s="152"/>
      <c r="D935" s="152"/>
      <c r="E935" s="152"/>
      <c r="F935" s="152"/>
      <c r="G935" s="152"/>
      <c r="H935" s="152"/>
      <c r="I935" s="152"/>
      <c r="J935" s="152"/>
      <c r="K935" s="248"/>
      <c r="L935" s="248"/>
      <c r="M935" s="152"/>
      <c r="N935" s="152"/>
      <c r="O935" s="152"/>
      <c r="P935" s="152"/>
      <c r="Q935" s="152"/>
      <c r="R935" s="152"/>
      <c r="S935" s="152"/>
      <c r="T935" s="152"/>
      <c r="U935" s="152"/>
      <c r="V935" s="152"/>
      <c r="W935" s="152"/>
    </row>
    <row r="936">
      <c r="A936" s="152"/>
      <c r="B936" s="152"/>
      <c r="C936" s="152"/>
      <c r="D936" s="152"/>
      <c r="E936" s="152"/>
      <c r="F936" s="152"/>
      <c r="G936" s="152"/>
      <c r="H936" s="152"/>
      <c r="I936" s="152"/>
      <c r="J936" s="152"/>
      <c r="K936" s="248"/>
      <c r="L936" s="248"/>
      <c r="M936" s="152"/>
      <c r="N936" s="152"/>
      <c r="O936" s="152"/>
      <c r="P936" s="152"/>
      <c r="Q936" s="152"/>
      <c r="R936" s="152"/>
      <c r="S936" s="152"/>
      <c r="T936" s="152"/>
      <c r="U936" s="152"/>
      <c r="V936" s="152"/>
      <c r="W936" s="152"/>
    </row>
    <row r="937">
      <c r="A937" s="152"/>
      <c r="B937" s="152"/>
      <c r="C937" s="152"/>
      <c r="D937" s="152"/>
      <c r="E937" s="152"/>
      <c r="F937" s="152"/>
      <c r="G937" s="152"/>
      <c r="H937" s="152"/>
      <c r="I937" s="152"/>
      <c r="J937" s="152"/>
      <c r="K937" s="248"/>
      <c r="L937" s="248"/>
      <c r="M937" s="152"/>
      <c r="N937" s="152"/>
      <c r="O937" s="152"/>
      <c r="P937" s="152"/>
      <c r="Q937" s="152"/>
      <c r="R937" s="152"/>
      <c r="S937" s="152"/>
      <c r="T937" s="152"/>
      <c r="U937" s="152"/>
      <c r="V937" s="152"/>
      <c r="W937" s="152"/>
    </row>
    <row r="938">
      <c r="A938" s="152"/>
      <c r="B938" s="152"/>
      <c r="C938" s="152"/>
      <c r="D938" s="152"/>
      <c r="E938" s="152"/>
      <c r="F938" s="152"/>
      <c r="G938" s="152"/>
      <c r="H938" s="152"/>
      <c r="I938" s="152"/>
      <c r="J938" s="152"/>
      <c r="K938" s="248"/>
      <c r="L938" s="248"/>
      <c r="M938" s="152"/>
      <c r="N938" s="152"/>
      <c r="O938" s="152"/>
      <c r="P938" s="152"/>
      <c r="Q938" s="152"/>
      <c r="R938" s="152"/>
      <c r="S938" s="152"/>
      <c r="T938" s="152"/>
      <c r="U938" s="152"/>
      <c r="V938" s="152"/>
      <c r="W938" s="152"/>
    </row>
    <row r="939">
      <c r="A939" s="152"/>
      <c r="B939" s="152"/>
      <c r="C939" s="152"/>
      <c r="D939" s="152"/>
      <c r="E939" s="152"/>
      <c r="F939" s="152"/>
      <c r="G939" s="152"/>
      <c r="H939" s="152"/>
      <c r="I939" s="152"/>
      <c r="J939" s="152"/>
      <c r="K939" s="248"/>
      <c r="L939" s="248"/>
      <c r="M939" s="152"/>
      <c r="N939" s="152"/>
      <c r="O939" s="152"/>
      <c r="P939" s="152"/>
      <c r="Q939" s="152"/>
      <c r="R939" s="152"/>
      <c r="S939" s="152"/>
      <c r="T939" s="152"/>
      <c r="U939" s="152"/>
      <c r="V939" s="152"/>
      <c r="W939" s="152"/>
    </row>
    <row r="940">
      <c r="A940" s="152"/>
      <c r="B940" s="152"/>
      <c r="C940" s="152"/>
      <c r="D940" s="152"/>
      <c r="E940" s="152"/>
      <c r="F940" s="152"/>
      <c r="G940" s="152"/>
      <c r="H940" s="152"/>
      <c r="I940" s="152"/>
      <c r="J940" s="152"/>
      <c r="K940" s="248"/>
      <c r="L940" s="248"/>
      <c r="M940" s="152"/>
      <c r="N940" s="152"/>
      <c r="O940" s="152"/>
      <c r="P940" s="152"/>
      <c r="Q940" s="152"/>
      <c r="R940" s="152"/>
      <c r="S940" s="152"/>
      <c r="T940" s="152"/>
      <c r="U940" s="152"/>
      <c r="V940" s="152"/>
      <c r="W940" s="152"/>
    </row>
    <row r="941">
      <c r="A941" s="152"/>
      <c r="B941" s="152"/>
      <c r="C941" s="152"/>
      <c r="D941" s="152"/>
      <c r="E941" s="152"/>
      <c r="F941" s="152"/>
      <c r="G941" s="152"/>
      <c r="H941" s="152"/>
      <c r="I941" s="152"/>
      <c r="J941" s="152"/>
      <c r="K941" s="248"/>
      <c r="L941" s="248"/>
      <c r="M941" s="152"/>
      <c r="N941" s="152"/>
      <c r="O941" s="152"/>
      <c r="P941" s="152"/>
      <c r="Q941" s="152"/>
      <c r="R941" s="152"/>
      <c r="S941" s="152"/>
      <c r="T941" s="152"/>
      <c r="U941" s="152"/>
      <c r="V941" s="152"/>
      <c r="W941" s="152"/>
    </row>
    <row r="942">
      <c r="A942" s="152"/>
      <c r="B942" s="152"/>
      <c r="C942" s="152"/>
      <c r="D942" s="152"/>
      <c r="E942" s="152"/>
      <c r="F942" s="152"/>
      <c r="G942" s="152"/>
      <c r="H942" s="152"/>
      <c r="I942" s="152"/>
      <c r="J942" s="152"/>
      <c r="K942" s="248"/>
      <c r="L942" s="248"/>
      <c r="M942" s="152"/>
      <c r="N942" s="152"/>
      <c r="O942" s="152"/>
      <c r="P942" s="152"/>
      <c r="Q942" s="152"/>
      <c r="R942" s="152"/>
      <c r="S942" s="152"/>
      <c r="T942" s="152"/>
      <c r="U942" s="152"/>
      <c r="V942" s="152"/>
      <c r="W942" s="152"/>
    </row>
    <row r="943">
      <c r="A943" s="152"/>
      <c r="B943" s="152"/>
      <c r="C943" s="152"/>
      <c r="D943" s="152"/>
      <c r="E943" s="152"/>
      <c r="F943" s="152"/>
      <c r="G943" s="152"/>
      <c r="H943" s="152"/>
      <c r="I943" s="152"/>
      <c r="J943" s="152"/>
      <c r="K943" s="248"/>
      <c r="L943" s="248"/>
      <c r="M943" s="152"/>
      <c r="N943" s="152"/>
      <c r="O943" s="152"/>
      <c r="P943" s="152"/>
      <c r="Q943" s="152"/>
      <c r="R943" s="152"/>
      <c r="S943" s="152"/>
      <c r="T943" s="152"/>
      <c r="U943" s="152"/>
      <c r="V943" s="152"/>
      <c r="W943" s="152"/>
    </row>
    <row r="944">
      <c r="A944" s="152"/>
      <c r="B944" s="152"/>
      <c r="C944" s="152"/>
      <c r="D944" s="152"/>
      <c r="E944" s="152"/>
      <c r="F944" s="152"/>
      <c r="G944" s="152"/>
      <c r="H944" s="152"/>
      <c r="I944" s="152"/>
      <c r="J944" s="152"/>
      <c r="K944" s="248"/>
      <c r="L944" s="248"/>
      <c r="M944" s="152"/>
      <c r="N944" s="152"/>
      <c r="O944" s="152"/>
      <c r="P944" s="152"/>
      <c r="Q944" s="152"/>
      <c r="R944" s="152"/>
      <c r="S944" s="152"/>
      <c r="T944" s="152"/>
      <c r="U944" s="152"/>
      <c r="V944" s="152"/>
      <c r="W944" s="152"/>
    </row>
    <row r="945">
      <c r="A945" s="152"/>
      <c r="B945" s="152"/>
      <c r="C945" s="152"/>
      <c r="D945" s="152"/>
      <c r="E945" s="152"/>
      <c r="F945" s="152"/>
      <c r="G945" s="152"/>
      <c r="H945" s="152"/>
      <c r="I945" s="152"/>
      <c r="J945" s="152"/>
      <c r="K945" s="248"/>
      <c r="L945" s="248"/>
      <c r="M945" s="152"/>
      <c r="N945" s="152"/>
      <c r="O945" s="152"/>
      <c r="P945" s="152"/>
      <c r="Q945" s="152"/>
      <c r="R945" s="152"/>
      <c r="S945" s="152"/>
      <c r="T945" s="152"/>
      <c r="U945" s="152"/>
      <c r="V945" s="152"/>
      <c r="W945" s="152"/>
    </row>
    <row r="946">
      <c r="A946" s="152"/>
      <c r="B946" s="152"/>
      <c r="C946" s="152"/>
      <c r="D946" s="152"/>
      <c r="E946" s="152"/>
      <c r="F946" s="152"/>
      <c r="G946" s="152"/>
      <c r="H946" s="152"/>
      <c r="I946" s="152"/>
      <c r="J946" s="152"/>
      <c r="K946" s="248"/>
      <c r="L946" s="248"/>
      <c r="M946" s="152"/>
      <c r="N946" s="152"/>
      <c r="O946" s="152"/>
      <c r="P946" s="152"/>
      <c r="Q946" s="152"/>
      <c r="R946" s="152"/>
      <c r="S946" s="152"/>
      <c r="T946" s="152"/>
      <c r="U946" s="152"/>
      <c r="V946" s="152"/>
      <c r="W946" s="152"/>
    </row>
    <row r="947">
      <c r="A947" s="152"/>
      <c r="B947" s="152"/>
      <c r="C947" s="152"/>
      <c r="D947" s="152"/>
      <c r="E947" s="152"/>
      <c r="F947" s="152"/>
      <c r="G947" s="152"/>
      <c r="H947" s="152"/>
      <c r="I947" s="152"/>
      <c r="J947" s="152"/>
      <c r="K947" s="248"/>
      <c r="L947" s="248"/>
      <c r="M947" s="152"/>
      <c r="N947" s="152"/>
      <c r="O947" s="152"/>
      <c r="P947" s="152"/>
      <c r="Q947" s="152"/>
      <c r="R947" s="152"/>
      <c r="S947" s="152"/>
      <c r="T947" s="152"/>
      <c r="U947" s="152"/>
      <c r="V947" s="152"/>
      <c r="W947" s="152"/>
    </row>
    <row r="948">
      <c r="A948" s="152"/>
      <c r="B948" s="152"/>
      <c r="C948" s="152"/>
      <c r="D948" s="152"/>
      <c r="E948" s="152"/>
      <c r="F948" s="152"/>
      <c r="G948" s="152"/>
      <c r="H948" s="152"/>
      <c r="I948" s="152"/>
      <c r="J948" s="152"/>
      <c r="K948" s="248"/>
      <c r="L948" s="248"/>
      <c r="M948" s="152"/>
      <c r="N948" s="152"/>
      <c r="O948" s="152"/>
      <c r="P948" s="152"/>
      <c r="Q948" s="152"/>
      <c r="R948" s="152"/>
      <c r="S948" s="152"/>
      <c r="T948" s="152"/>
      <c r="U948" s="152"/>
      <c r="V948" s="152"/>
      <c r="W948" s="152"/>
    </row>
    <row r="949">
      <c r="A949" s="152"/>
      <c r="B949" s="152"/>
      <c r="C949" s="152"/>
      <c r="D949" s="152"/>
      <c r="E949" s="152"/>
      <c r="F949" s="152"/>
      <c r="G949" s="152"/>
      <c r="H949" s="152"/>
      <c r="I949" s="152"/>
      <c r="J949" s="152"/>
      <c r="K949" s="248"/>
      <c r="L949" s="248"/>
      <c r="M949" s="152"/>
      <c r="N949" s="152"/>
      <c r="O949" s="152"/>
      <c r="P949" s="152"/>
      <c r="Q949" s="152"/>
      <c r="R949" s="152"/>
      <c r="S949" s="152"/>
      <c r="T949" s="152"/>
      <c r="U949" s="152"/>
      <c r="V949" s="152"/>
      <c r="W949" s="152"/>
    </row>
    <row r="950">
      <c r="A950" s="152"/>
      <c r="B950" s="152"/>
      <c r="C950" s="152"/>
      <c r="D950" s="152"/>
      <c r="E950" s="152"/>
      <c r="F950" s="152"/>
      <c r="G950" s="152"/>
      <c r="H950" s="152"/>
      <c r="I950" s="152"/>
      <c r="J950" s="152"/>
      <c r="K950" s="248"/>
      <c r="L950" s="248"/>
      <c r="M950" s="152"/>
      <c r="N950" s="152"/>
      <c r="O950" s="152"/>
      <c r="P950" s="152"/>
      <c r="Q950" s="152"/>
      <c r="R950" s="152"/>
      <c r="S950" s="152"/>
      <c r="T950" s="152"/>
      <c r="U950" s="152"/>
      <c r="V950" s="152"/>
      <c r="W950" s="152"/>
    </row>
    <row r="951">
      <c r="A951" s="152"/>
      <c r="B951" s="152"/>
      <c r="C951" s="152"/>
      <c r="D951" s="152"/>
      <c r="E951" s="152"/>
      <c r="F951" s="152"/>
      <c r="G951" s="152"/>
      <c r="H951" s="152"/>
      <c r="I951" s="152"/>
      <c r="J951" s="152"/>
      <c r="K951" s="248"/>
      <c r="L951" s="248"/>
      <c r="M951" s="152"/>
      <c r="N951" s="152"/>
      <c r="O951" s="152"/>
      <c r="P951" s="152"/>
      <c r="Q951" s="152"/>
      <c r="R951" s="152"/>
      <c r="S951" s="152"/>
      <c r="T951" s="152"/>
      <c r="U951" s="152"/>
      <c r="V951" s="152"/>
      <c r="W951" s="152"/>
    </row>
    <row r="952">
      <c r="A952" s="152"/>
      <c r="B952" s="152"/>
      <c r="C952" s="152"/>
      <c r="D952" s="152"/>
      <c r="E952" s="152"/>
      <c r="F952" s="152"/>
      <c r="G952" s="152"/>
      <c r="H952" s="152"/>
      <c r="I952" s="152"/>
      <c r="J952" s="152"/>
      <c r="K952" s="248"/>
      <c r="L952" s="248"/>
      <c r="M952" s="152"/>
      <c r="N952" s="152"/>
      <c r="O952" s="152"/>
      <c r="P952" s="152"/>
      <c r="Q952" s="152"/>
      <c r="R952" s="152"/>
      <c r="S952" s="152"/>
      <c r="T952" s="152"/>
      <c r="U952" s="152"/>
      <c r="V952" s="152"/>
      <c r="W952" s="152"/>
    </row>
    <row r="953">
      <c r="A953" s="152"/>
      <c r="B953" s="152"/>
      <c r="C953" s="152"/>
      <c r="D953" s="152"/>
      <c r="E953" s="152"/>
      <c r="F953" s="152"/>
      <c r="G953" s="152"/>
      <c r="H953" s="152"/>
      <c r="I953" s="152"/>
      <c r="J953" s="152"/>
      <c r="K953" s="248"/>
      <c r="L953" s="248"/>
      <c r="M953" s="152"/>
      <c r="N953" s="152"/>
      <c r="O953" s="152"/>
      <c r="P953" s="152"/>
      <c r="Q953" s="152"/>
      <c r="R953" s="152"/>
      <c r="S953" s="152"/>
      <c r="T953" s="152"/>
      <c r="U953" s="152"/>
      <c r="V953" s="152"/>
      <c r="W953" s="152"/>
    </row>
    <row r="954">
      <c r="A954" s="152"/>
      <c r="B954" s="152"/>
      <c r="C954" s="152"/>
      <c r="D954" s="152"/>
      <c r="E954" s="152"/>
      <c r="F954" s="152"/>
      <c r="G954" s="152"/>
      <c r="H954" s="152"/>
      <c r="I954" s="152"/>
      <c r="J954" s="152"/>
      <c r="K954" s="248"/>
      <c r="L954" s="248"/>
      <c r="M954" s="152"/>
      <c r="N954" s="152"/>
      <c r="O954" s="152"/>
      <c r="P954" s="152"/>
      <c r="Q954" s="152"/>
      <c r="R954" s="152"/>
      <c r="S954" s="152"/>
      <c r="T954" s="152"/>
      <c r="U954" s="152"/>
      <c r="V954" s="152"/>
      <c r="W954" s="152"/>
    </row>
    <row r="955">
      <c r="A955" s="152"/>
      <c r="B955" s="152"/>
      <c r="C955" s="152"/>
      <c r="D955" s="152"/>
      <c r="E955" s="152"/>
      <c r="F955" s="152"/>
      <c r="G955" s="152"/>
      <c r="H955" s="152"/>
      <c r="I955" s="152"/>
      <c r="J955" s="152"/>
      <c r="K955" s="248"/>
      <c r="L955" s="248"/>
      <c r="M955" s="152"/>
      <c r="N955" s="152"/>
      <c r="O955" s="152"/>
      <c r="P955" s="152"/>
      <c r="Q955" s="152"/>
      <c r="R955" s="152"/>
      <c r="S955" s="152"/>
      <c r="T955" s="152"/>
      <c r="U955" s="152"/>
      <c r="V955" s="152"/>
      <c r="W955" s="152"/>
    </row>
    <row r="956">
      <c r="A956" s="152"/>
      <c r="B956" s="152"/>
      <c r="C956" s="152"/>
      <c r="D956" s="152"/>
      <c r="E956" s="152"/>
      <c r="F956" s="152"/>
      <c r="G956" s="152"/>
      <c r="H956" s="152"/>
      <c r="I956" s="152"/>
      <c r="J956" s="152"/>
      <c r="K956" s="248"/>
      <c r="L956" s="248"/>
      <c r="M956" s="152"/>
      <c r="N956" s="152"/>
      <c r="O956" s="152"/>
      <c r="P956" s="152"/>
      <c r="Q956" s="152"/>
      <c r="R956" s="152"/>
      <c r="S956" s="152"/>
      <c r="T956" s="152"/>
      <c r="U956" s="152"/>
      <c r="V956" s="152"/>
      <c r="W956" s="152"/>
    </row>
    <row r="957">
      <c r="A957" s="152"/>
      <c r="B957" s="152"/>
      <c r="C957" s="152"/>
      <c r="D957" s="152"/>
      <c r="E957" s="152"/>
      <c r="F957" s="152"/>
      <c r="G957" s="152"/>
      <c r="H957" s="152"/>
      <c r="I957" s="152"/>
      <c r="J957" s="152"/>
      <c r="K957" s="248"/>
      <c r="L957" s="248"/>
      <c r="M957" s="152"/>
      <c r="N957" s="152"/>
      <c r="O957" s="152"/>
      <c r="P957" s="152"/>
      <c r="Q957" s="152"/>
      <c r="R957" s="152"/>
      <c r="S957" s="152"/>
      <c r="T957" s="152"/>
      <c r="U957" s="152"/>
      <c r="V957" s="152"/>
      <c r="W957" s="152"/>
    </row>
    <row r="958">
      <c r="A958" s="152"/>
      <c r="B958" s="152"/>
      <c r="C958" s="152"/>
      <c r="D958" s="152"/>
      <c r="E958" s="152"/>
      <c r="F958" s="152"/>
      <c r="G958" s="152"/>
      <c r="H958" s="152"/>
      <c r="I958" s="152"/>
      <c r="J958" s="152"/>
      <c r="K958" s="248"/>
      <c r="L958" s="248"/>
      <c r="M958" s="152"/>
      <c r="N958" s="152"/>
      <c r="O958" s="152"/>
      <c r="P958" s="152"/>
      <c r="Q958" s="152"/>
      <c r="R958" s="152"/>
      <c r="S958" s="152"/>
      <c r="T958" s="152"/>
      <c r="U958" s="152"/>
      <c r="V958" s="152"/>
      <c r="W958" s="152"/>
    </row>
    <row r="959">
      <c r="A959" s="152"/>
      <c r="B959" s="152"/>
      <c r="C959" s="152"/>
      <c r="D959" s="152"/>
      <c r="E959" s="152"/>
      <c r="F959" s="152"/>
      <c r="G959" s="152"/>
      <c r="H959" s="152"/>
      <c r="I959" s="152"/>
      <c r="J959" s="152"/>
      <c r="K959" s="248"/>
      <c r="L959" s="248"/>
      <c r="M959" s="152"/>
      <c r="N959" s="152"/>
      <c r="O959" s="152"/>
      <c r="P959" s="152"/>
      <c r="Q959" s="152"/>
      <c r="R959" s="152"/>
      <c r="S959" s="152"/>
      <c r="T959" s="152"/>
      <c r="U959" s="152"/>
      <c r="V959" s="152"/>
      <c r="W959" s="152"/>
    </row>
    <row r="960">
      <c r="A960" s="152"/>
      <c r="B960" s="152"/>
      <c r="C960" s="152"/>
      <c r="D960" s="152"/>
      <c r="E960" s="152"/>
      <c r="F960" s="152"/>
      <c r="G960" s="152"/>
      <c r="H960" s="152"/>
      <c r="I960" s="152"/>
      <c r="J960" s="152"/>
      <c r="K960" s="248"/>
      <c r="L960" s="248"/>
      <c r="M960" s="152"/>
      <c r="N960" s="152"/>
      <c r="O960" s="152"/>
      <c r="P960" s="152"/>
      <c r="Q960" s="152"/>
      <c r="R960" s="152"/>
      <c r="S960" s="152"/>
      <c r="T960" s="152"/>
      <c r="U960" s="152"/>
      <c r="V960" s="152"/>
      <c r="W960" s="152"/>
    </row>
    <row r="961">
      <c r="A961" s="152"/>
      <c r="B961" s="152"/>
      <c r="C961" s="152"/>
      <c r="D961" s="152"/>
      <c r="E961" s="152"/>
      <c r="F961" s="152"/>
      <c r="G961" s="152"/>
      <c r="H961" s="152"/>
      <c r="I961" s="152"/>
      <c r="J961" s="152"/>
      <c r="K961" s="248"/>
      <c r="L961" s="248"/>
      <c r="M961" s="152"/>
      <c r="N961" s="152"/>
      <c r="O961" s="152"/>
      <c r="P961" s="152"/>
      <c r="Q961" s="152"/>
      <c r="R961" s="152"/>
      <c r="S961" s="152"/>
      <c r="T961" s="152"/>
      <c r="U961" s="152"/>
      <c r="V961" s="152"/>
      <c r="W961" s="152"/>
    </row>
    <row r="962">
      <c r="A962" s="152"/>
      <c r="B962" s="152"/>
      <c r="C962" s="152"/>
      <c r="D962" s="152"/>
      <c r="E962" s="152"/>
      <c r="F962" s="152"/>
      <c r="G962" s="152"/>
      <c r="H962" s="152"/>
      <c r="I962" s="152"/>
      <c r="J962" s="152"/>
      <c r="K962" s="248"/>
      <c r="L962" s="248"/>
      <c r="M962" s="152"/>
      <c r="N962" s="152"/>
      <c r="O962" s="152"/>
      <c r="P962" s="152"/>
      <c r="Q962" s="152"/>
      <c r="R962" s="152"/>
      <c r="S962" s="152"/>
      <c r="T962" s="152"/>
      <c r="U962" s="152"/>
      <c r="V962" s="152"/>
      <c r="W962" s="152"/>
    </row>
    <row r="963">
      <c r="A963" s="152"/>
      <c r="B963" s="152"/>
      <c r="C963" s="152"/>
      <c r="D963" s="152"/>
      <c r="E963" s="152"/>
      <c r="F963" s="152"/>
      <c r="G963" s="152"/>
      <c r="H963" s="152"/>
      <c r="I963" s="152"/>
      <c r="J963" s="152"/>
      <c r="K963" s="248"/>
      <c r="L963" s="248"/>
      <c r="M963" s="152"/>
      <c r="N963" s="152"/>
      <c r="O963" s="152"/>
      <c r="P963" s="152"/>
      <c r="Q963" s="152"/>
      <c r="R963" s="152"/>
      <c r="S963" s="152"/>
      <c r="T963" s="152"/>
      <c r="U963" s="152"/>
      <c r="V963" s="152"/>
      <c r="W963" s="152"/>
    </row>
    <row r="964">
      <c r="A964" s="152"/>
      <c r="B964" s="152"/>
      <c r="C964" s="152"/>
      <c r="D964" s="152"/>
      <c r="E964" s="152"/>
      <c r="F964" s="152"/>
      <c r="G964" s="152"/>
      <c r="H964" s="152"/>
      <c r="I964" s="152"/>
      <c r="J964" s="152"/>
      <c r="K964" s="248"/>
      <c r="L964" s="248"/>
      <c r="M964" s="152"/>
      <c r="N964" s="152"/>
      <c r="O964" s="152"/>
      <c r="P964" s="152"/>
      <c r="Q964" s="152"/>
      <c r="R964" s="152"/>
      <c r="S964" s="152"/>
      <c r="T964" s="152"/>
      <c r="U964" s="152"/>
      <c r="V964" s="152"/>
      <c r="W964" s="152"/>
    </row>
    <row r="965">
      <c r="A965" s="152"/>
      <c r="B965" s="152"/>
      <c r="C965" s="152"/>
      <c r="D965" s="152"/>
      <c r="E965" s="152"/>
      <c r="F965" s="152"/>
      <c r="G965" s="152"/>
      <c r="H965" s="152"/>
      <c r="I965" s="152"/>
      <c r="J965" s="152"/>
      <c r="K965" s="248"/>
      <c r="L965" s="248"/>
      <c r="M965" s="152"/>
      <c r="N965" s="152"/>
      <c r="O965" s="152"/>
      <c r="P965" s="152"/>
      <c r="Q965" s="152"/>
      <c r="R965" s="152"/>
      <c r="S965" s="152"/>
      <c r="T965" s="152"/>
      <c r="U965" s="152"/>
      <c r="V965" s="152"/>
      <c r="W965" s="152"/>
    </row>
    <row r="966">
      <c r="A966" s="152"/>
      <c r="B966" s="152"/>
      <c r="C966" s="152"/>
      <c r="D966" s="152"/>
      <c r="E966" s="152"/>
      <c r="F966" s="152"/>
      <c r="G966" s="152"/>
      <c r="H966" s="152"/>
      <c r="I966" s="152"/>
      <c r="J966" s="152"/>
      <c r="K966" s="248"/>
      <c r="L966" s="248"/>
      <c r="M966" s="152"/>
      <c r="N966" s="152"/>
      <c r="O966" s="152"/>
      <c r="P966" s="152"/>
      <c r="Q966" s="152"/>
      <c r="R966" s="152"/>
      <c r="S966" s="152"/>
      <c r="T966" s="152"/>
      <c r="U966" s="152"/>
      <c r="V966" s="152"/>
      <c r="W966" s="152"/>
    </row>
    <row r="967">
      <c r="A967" s="152"/>
      <c r="B967" s="152"/>
      <c r="C967" s="152"/>
      <c r="D967" s="152"/>
      <c r="E967" s="152"/>
      <c r="F967" s="152"/>
      <c r="G967" s="152"/>
      <c r="H967" s="152"/>
      <c r="I967" s="152"/>
      <c r="J967" s="152"/>
      <c r="K967" s="248"/>
      <c r="L967" s="248"/>
      <c r="M967" s="152"/>
      <c r="N967" s="152"/>
      <c r="O967" s="152"/>
      <c r="P967" s="152"/>
      <c r="Q967" s="152"/>
      <c r="R967" s="152"/>
      <c r="S967" s="152"/>
      <c r="T967" s="152"/>
      <c r="U967" s="152"/>
      <c r="V967" s="152"/>
      <c r="W967" s="152"/>
    </row>
    <row r="968">
      <c r="A968" s="152"/>
      <c r="B968" s="152"/>
      <c r="C968" s="152"/>
      <c r="D968" s="152"/>
      <c r="E968" s="152"/>
      <c r="F968" s="152"/>
      <c r="G968" s="152"/>
      <c r="H968" s="152"/>
      <c r="I968" s="152"/>
      <c r="J968" s="152"/>
      <c r="K968" s="248"/>
      <c r="L968" s="248"/>
      <c r="M968" s="152"/>
      <c r="N968" s="152"/>
      <c r="O968" s="152"/>
      <c r="P968" s="152"/>
      <c r="Q968" s="152"/>
      <c r="R968" s="152"/>
      <c r="S968" s="152"/>
      <c r="T968" s="152"/>
      <c r="U968" s="152"/>
      <c r="V968" s="152"/>
      <c r="W968" s="152"/>
    </row>
    <row r="969">
      <c r="A969" s="152"/>
      <c r="B969" s="152"/>
      <c r="C969" s="152"/>
      <c r="D969" s="152"/>
      <c r="E969" s="152"/>
      <c r="F969" s="152"/>
      <c r="G969" s="152"/>
      <c r="H969" s="152"/>
      <c r="I969" s="152"/>
      <c r="J969" s="152"/>
      <c r="K969" s="248"/>
      <c r="L969" s="248"/>
      <c r="M969" s="152"/>
      <c r="N969" s="152"/>
      <c r="O969" s="152"/>
      <c r="P969" s="152"/>
      <c r="Q969" s="152"/>
      <c r="R969" s="152"/>
      <c r="S969" s="152"/>
      <c r="T969" s="152"/>
      <c r="U969" s="152"/>
      <c r="V969" s="152"/>
      <c r="W969" s="152"/>
    </row>
    <row r="970">
      <c r="A970" s="152"/>
      <c r="B970" s="152"/>
      <c r="C970" s="152"/>
      <c r="D970" s="152"/>
      <c r="E970" s="152"/>
      <c r="F970" s="152"/>
      <c r="G970" s="152"/>
      <c r="H970" s="152"/>
      <c r="I970" s="152"/>
      <c r="J970" s="152"/>
      <c r="K970" s="248"/>
      <c r="L970" s="248"/>
      <c r="M970" s="152"/>
      <c r="N970" s="152"/>
      <c r="O970" s="152"/>
      <c r="P970" s="152"/>
      <c r="Q970" s="152"/>
      <c r="R970" s="152"/>
      <c r="S970" s="152"/>
      <c r="T970" s="152"/>
      <c r="U970" s="152"/>
      <c r="V970" s="152"/>
      <c r="W970" s="152"/>
    </row>
    <row r="971">
      <c r="A971" s="152"/>
      <c r="B971" s="152"/>
      <c r="C971" s="152"/>
      <c r="D971" s="152"/>
      <c r="E971" s="152"/>
      <c r="F971" s="152"/>
      <c r="G971" s="152"/>
      <c r="H971" s="152"/>
      <c r="I971" s="152"/>
      <c r="J971" s="152"/>
      <c r="K971" s="248"/>
      <c r="L971" s="248"/>
      <c r="M971" s="152"/>
      <c r="N971" s="152"/>
      <c r="O971" s="152"/>
      <c r="P971" s="152"/>
      <c r="Q971" s="152"/>
      <c r="R971" s="152"/>
      <c r="S971" s="152"/>
      <c r="T971" s="152"/>
      <c r="U971" s="152"/>
      <c r="V971" s="152"/>
      <c r="W971" s="152"/>
    </row>
    <row r="972">
      <c r="A972" s="152"/>
      <c r="B972" s="152"/>
      <c r="C972" s="152"/>
      <c r="D972" s="152"/>
      <c r="E972" s="152"/>
      <c r="F972" s="152"/>
      <c r="G972" s="152"/>
      <c r="H972" s="152"/>
      <c r="I972" s="152"/>
      <c r="J972" s="152"/>
      <c r="K972" s="248"/>
      <c r="L972" s="248"/>
      <c r="M972" s="152"/>
      <c r="N972" s="152"/>
      <c r="O972" s="152"/>
      <c r="P972" s="152"/>
      <c r="Q972" s="152"/>
      <c r="R972" s="152"/>
      <c r="S972" s="152"/>
      <c r="T972" s="152"/>
      <c r="U972" s="152"/>
      <c r="V972" s="152"/>
      <c r="W972" s="152"/>
    </row>
    <row r="973">
      <c r="A973" s="152"/>
      <c r="B973" s="152"/>
      <c r="C973" s="152"/>
      <c r="D973" s="152"/>
      <c r="E973" s="152"/>
      <c r="F973" s="152"/>
      <c r="G973" s="152"/>
      <c r="H973" s="152"/>
      <c r="I973" s="152"/>
      <c r="J973" s="152"/>
      <c r="K973" s="248"/>
      <c r="L973" s="248"/>
      <c r="M973" s="152"/>
      <c r="N973" s="152"/>
      <c r="O973" s="152"/>
      <c r="P973" s="152"/>
      <c r="Q973" s="152"/>
      <c r="R973" s="152"/>
      <c r="S973" s="152"/>
      <c r="T973" s="152"/>
      <c r="U973" s="152"/>
      <c r="V973" s="152"/>
      <c r="W973" s="152"/>
    </row>
    <row r="974">
      <c r="A974" s="152"/>
      <c r="B974" s="152"/>
      <c r="C974" s="152"/>
      <c r="D974" s="152"/>
      <c r="E974" s="152"/>
      <c r="F974" s="152"/>
      <c r="G974" s="152"/>
      <c r="H974" s="152"/>
      <c r="I974" s="152"/>
      <c r="J974" s="152"/>
      <c r="K974" s="248"/>
      <c r="L974" s="248"/>
      <c r="M974" s="152"/>
      <c r="N974" s="152"/>
      <c r="O974" s="152"/>
      <c r="P974" s="152"/>
      <c r="Q974" s="152"/>
      <c r="R974" s="152"/>
      <c r="S974" s="152"/>
      <c r="T974" s="152"/>
      <c r="U974" s="152"/>
      <c r="V974" s="152"/>
      <c r="W974" s="152"/>
    </row>
    <row r="975">
      <c r="A975" s="152"/>
      <c r="B975" s="152"/>
      <c r="C975" s="152"/>
      <c r="D975" s="152"/>
      <c r="E975" s="152"/>
      <c r="F975" s="152"/>
      <c r="G975" s="152"/>
      <c r="H975" s="152"/>
      <c r="I975" s="152"/>
      <c r="J975" s="152"/>
      <c r="K975" s="248"/>
      <c r="L975" s="248"/>
      <c r="M975" s="152"/>
      <c r="N975" s="152"/>
      <c r="O975" s="152"/>
      <c r="P975" s="152"/>
      <c r="Q975" s="152"/>
      <c r="R975" s="152"/>
      <c r="S975" s="152"/>
      <c r="T975" s="152"/>
      <c r="U975" s="152"/>
      <c r="V975" s="152"/>
      <c r="W975" s="152"/>
    </row>
    <row r="976">
      <c r="A976" s="152"/>
      <c r="B976" s="152"/>
      <c r="C976" s="152"/>
      <c r="D976" s="152"/>
      <c r="E976" s="152"/>
      <c r="F976" s="152"/>
      <c r="G976" s="152"/>
      <c r="H976" s="152"/>
      <c r="I976" s="152"/>
      <c r="J976" s="152"/>
      <c r="K976" s="248"/>
      <c r="L976" s="248"/>
      <c r="M976" s="152"/>
      <c r="N976" s="152"/>
      <c r="O976" s="152"/>
      <c r="P976" s="152"/>
      <c r="Q976" s="152"/>
      <c r="R976" s="152"/>
      <c r="S976" s="152"/>
      <c r="T976" s="152"/>
      <c r="U976" s="152"/>
      <c r="V976" s="152"/>
      <c r="W976" s="152"/>
    </row>
    <row r="977">
      <c r="A977" s="152"/>
      <c r="B977" s="152"/>
      <c r="C977" s="152"/>
      <c r="D977" s="152"/>
      <c r="E977" s="152"/>
      <c r="F977" s="152"/>
      <c r="G977" s="152"/>
      <c r="H977" s="152"/>
      <c r="I977" s="152"/>
      <c r="J977" s="152"/>
      <c r="K977" s="248"/>
      <c r="L977" s="248"/>
      <c r="M977" s="152"/>
      <c r="N977" s="152"/>
      <c r="O977" s="152"/>
      <c r="P977" s="152"/>
      <c r="Q977" s="152"/>
      <c r="R977" s="152"/>
      <c r="S977" s="152"/>
      <c r="T977" s="152"/>
      <c r="U977" s="152"/>
      <c r="V977" s="152"/>
      <c r="W977" s="152"/>
    </row>
    <row r="978">
      <c r="A978" s="152"/>
      <c r="B978" s="152"/>
      <c r="C978" s="152"/>
      <c r="D978" s="152"/>
      <c r="E978" s="152"/>
      <c r="F978" s="152"/>
      <c r="G978" s="152"/>
      <c r="H978" s="152"/>
      <c r="I978" s="152"/>
      <c r="J978" s="152"/>
      <c r="K978" s="248"/>
      <c r="L978" s="248"/>
      <c r="M978" s="152"/>
      <c r="N978" s="152"/>
      <c r="O978" s="152"/>
      <c r="P978" s="152"/>
      <c r="Q978" s="152"/>
      <c r="R978" s="152"/>
      <c r="S978" s="152"/>
      <c r="T978" s="152"/>
      <c r="U978" s="152"/>
      <c r="V978" s="152"/>
      <c r="W978" s="152"/>
    </row>
    <row r="979">
      <c r="A979" s="152"/>
      <c r="B979" s="152"/>
      <c r="C979" s="152"/>
      <c r="D979" s="152"/>
      <c r="E979" s="152"/>
      <c r="F979" s="152"/>
      <c r="G979" s="152"/>
      <c r="H979" s="152"/>
      <c r="I979" s="152"/>
      <c r="J979" s="152"/>
      <c r="K979" s="248"/>
      <c r="L979" s="248"/>
      <c r="M979" s="152"/>
      <c r="N979" s="152"/>
      <c r="O979" s="152"/>
      <c r="P979" s="152"/>
      <c r="Q979" s="152"/>
      <c r="R979" s="152"/>
      <c r="S979" s="152"/>
      <c r="T979" s="152"/>
      <c r="U979" s="152"/>
      <c r="V979" s="152"/>
      <c r="W979" s="152"/>
    </row>
    <row r="980">
      <c r="A980" s="152"/>
      <c r="B980" s="152"/>
      <c r="C980" s="152"/>
      <c r="D980" s="152"/>
      <c r="E980" s="152"/>
      <c r="F980" s="152"/>
      <c r="G980" s="152"/>
      <c r="H980" s="152"/>
      <c r="I980" s="152"/>
      <c r="J980" s="152"/>
      <c r="K980" s="248"/>
      <c r="L980" s="248"/>
      <c r="M980" s="152"/>
      <c r="N980" s="152"/>
      <c r="O980" s="152"/>
      <c r="P980" s="152"/>
      <c r="Q980" s="152"/>
      <c r="R980" s="152"/>
      <c r="S980" s="152"/>
      <c r="T980" s="152"/>
      <c r="U980" s="152"/>
      <c r="V980" s="152"/>
      <c r="W980" s="152"/>
    </row>
    <row r="981">
      <c r="A981" s="152"/>
      <c r="B981" s="152"/>
      <c r="C981" s="152"/>
      <c r="D981" s="152"/>
      <c r="E981" s="152"/>
      <c r="F981" s="152"/>
      <c r="G981" s="152"/>
      <c r="H981" s="152"/>
      <c r="I981" s="152"/>
      <c r="J981" s="152"/>
      <c r="K981" s="248"/>
      <c r="L981" s="248"/>
      <c r="M981" s="152"/>
      <c r="N981" s="152"/>
      <c r="O981" s="152"/>
      <c r="P981" s="152"/>
      <c r="Q981" s="152"/>
      <c r="R981" s="152"/>
      <c r="S981" s="152"/>
      <c r="T981" s="152"/>
      <c r="U981" s="152"/>
      <c r="V981" s="152"/>
      <c r="W981" s="152"/>
    </row>
    <row r="982">
      <c r="A982" s="152"/>
      <c r="B982" s="152"/>
      <c r="C982" s="152"/>
      <c r="D982" s="152"/>
      <c r="E982" s="152"/>
      <c r="F982" s="152"/>
      <c r="G982" s="152"/>
      <c r="H982" s="152"/>
      <c r="I982" s="152"/>
      <c r="J982" s="152"/>
      <c r="K982" s="248"/>
      <c r="L982" s="248"/>
      <c r="M982" s="152"/>
      <c r="N982" s="152"/>
      <c r="O982" s="152"/>
      <c r="P982" s="152"/>
      <c r="Q982" s="152"/>
      <c r="R982" s="152"/>
      <c r="S982" s="152"/>
      <c r="T982" s="152"/>
      <c r="U982" s="152"/>
      <c r="V982" s="152"/>
      <c r="W982" s="152"/>
    </row>
    <row r="983">
      <c r="A983" s="152"/>
      <c r="B983" s="152"/>
      <c r="C983" s="152"/>
      <c r="D983" s="152"/>
      <c r="E983" s="152"/>
      <c r="F983" s="152"/>
      <c r="G983" s="152"/>
      <c r="H983" s="152"/>
      <c r="I983" s="152"/>
      <c r="J983" s="152"/>
      <c r="K983" s="248"/>
      <c r="L983" s="248"/>
      <c r="M983" s="152"/>
      <c r="N983" s="152"/>
      <c r="O983" s="152"/>
      <c r="P983" s="152"/>
      <c r="Q983" s="152"/>
      <c r="R983" s="152"/>
      <c r="S983" s="152"/>
      <c r="T983" s="152"/>
      <c r="U983" s="152"/>
      <c r="V983" s="152"/>
      <c r="W983" s="152"/>
    </row>
    <row r="984">
      <c r="A984" s="152"/>
      <c r="B984" s="152"/>
      <c r="C984" s="152"/>
      <c r="D984" s="152"/>
      <c r="E984" s="152"/>
      <c r="F984" s="152"/>
      <c r="G984" s="152"/>
      <c r="H984" s="152"/>
      <c r="I984" s="152"/>
      <c r="J984" s="152"/>
      <c r="K984" s="248"/>
      <c r="L984" s="248"/>
      <c r="M984" s="152"/>
      <c r="N984" s="152"/>
      <c r="O984" s="152"/>
      <c r="P984" s="152"/>
      <c r="Q984" s="152"/>
      <c r="R984" s="152"/>
      <c r="S984" s="152"/>
      <c r="T984" s="152"/>
      <c r="U984" s="152"/>
      <c r="V984" s="152"/>
      <c r="W984" s="152"/>
    </row>
    <row r="985">
      <c r="A985" s="152"/>
      <c r="B985" s="152"/>
      <c r="C985" s="152"/>
      <c r="D985" s="152"/>
      <c r="E985" s="152"/>
      <c r="F985" s="152"/>
      <c r="G985" s="152"/>
      <c r="H985" s="152"/>
      <c r="I985" s="152"/>
      <c r="J985" s="152"/>
      <c r="K985" s="248"/>
      <c r="L985" s="248"/>
      <c r="M985" s="152"/>
      <c r="N985" s="152"/>
      <c r="O985" s="152"/>
      <c r="P985" s="152"/>
      <c r="Q985" s="152"/>
      <c r="R985" s="152"/>
      <c r="S985" s="152"/>
      <c r="T985" s="152"/>
      <c r="U985" s="152"/>
      <c r="V985" s="152"/>
      <c r="W985" s="152"/>
    </row>
    <row r="986">
      <c r="A986" s="152"/>
      <c r="B986" s="152"/>
      <c r="C986" s="152"/>
      <c r="D986" s="152"/>
      <c r="E986" s="152"/>
      <c r="F986" s="152"/>
      <c r="G986" s="152"/>
      <c r="H986" s="152"/>
      <c r="I986" s="152"/>
      <c r="J986" s="152"/>
      <c r="K986" s="248"/>
      <c r="L986" s="248"/>
      <c r="M986" s="152"/>
      <c r="N986" s="152"/>
      <c r="O986" s="152"/>
      <c r="P986" s="152"/>
      <c r="Q986" s="152"/>
      <c r="R986" s="152"/>
      <c r="S986" s="152"/>
      <c r="T986" s="152"/>
      <c r="U986" s="152"/>
      <c r="V986" s="152"/>
      <c r="W986" s="152"/>
    </row>
    <row r="987">
      <c r="A987" s="152"/>
      <c r="B987" s="152"/>
      <c r="C987" s="152"/>
      <c r="D987" s="152"/>
      <c r="E987" s="152"/>
      <c r="F987" s="152"/>
      <c r="G987" s="152"/>
      <c r="H987" s="152"/>
      <c r="I987" s="152"/>
      <c r="J987" s="152"/>
      <c r="K987" s="248"/>
      <c r="L987" s="248"/>
      <c r="M987" s="152"/>
      <c r="N987" s="152"/>
      <c r="O987" s="152"/>
      <c r="P987" s="152"/>
      <c r="Q987" s="152"/>
      <c r="R987" s="152"/>
      <c r="S987" s="152"/>
      <c r="T987" s="152"/>
      <c r="U987" s="152"/>
      <c r="V987" s="152"/>
      <c r="W987" s="152"/>
    </row>
    <row r="988">
      <c r="A988" s="152"/>
      <c r="B988" s="152"/>
      <c r="C988" s="152"/>
      <c r="D988" s="152"/>
      <c r="E988" s="152"/>
      <c r="F988" s="152"/>
      <c r="G988" s="152"/>
      <c r="H988" s="152"/>
      <c r="I988" s="152"/>
      <c r="J988" s="152"/>
      <c r="K988" s="248"/>
      <c r="L988" s="248"/>
      <c r="M988" s="152"/>
      <c r="N988" s="152"/>
      <c r="O988" s="152"/>
      <c r="P988" s="152"/>
      <c r="Q988" s="152"/>
      <c r="R988" s="152"/>
      <c r="S988" s="152"/>
      <c r="T988" s="152"/>
      <c r="U988" s="152"/>
      <c r="V988" s="152"/>
      <c r="W988" s="152"/>
    </row>
    <row r="989">
      <c r="A989" s="152"/>
      <c r="B989" s="152"/>
      <c r="C989" s="152"/>
      <c r="D989" s="152"/>
      <c r="E989" s="152"/>
      <c r="F989" s="152"/>
      <c r="G989" s="152"/>
      <c r="H989" s="152"/>
      <c r="I989" s="152"/>
      <c r="J989" s="152"/>
      <c r="K989" s="248"/>
      <c r="L989" s="248"/>
      <c r="M989" s="152"/>
      <c r="N989" s="152"/>
      <c r="O989" s="152"/>
      <c r="P989" s="152"/>
      <c r="Q989" s="152"/>
      <c r="R989" s="152"/>
      <c r="S989" s="152"/>
      <c r="T989" s="152"/>
      <c r="U989" s="152"/>
      <c r="V989" s="152"/>
      <c r="W989" s="152"/>
    </row>
    <row r="990">
      <c r="A990" s="152"/>
      <c r="B990" s="152"/>
      <c r="C990" s="152"/>
      <c r="D990" s="152"/>
      <c r="E990" s="152"/>
      <c r="F990" s="152"/>
      <c r="G990" s="152"/>
      <c r="H990" s="152"/>
      <c r="I990" s="152"/>
      <c r="J990" s="152"/>
      <c r="K990" s="248"/>
      <c r="L990" s="248"/>
      <c r="M990" s="152"/>
      <c r="N990" s="152"/>
      <c r="O990" s="152"/>
      <c r="P990" s="152"/>
      <c r="Q990" s="152"/>
      <c r="R990" s="152"/>
      <c r="S990" s="152"/>
      <c r="T990" s="152"/>
      <c r="U990" s="152"/>
      <c r="V990" s="152"/>
      <c r="W990" s="152"/>
    </row>
    <row r="991">
      <c r="A991" s="152"/>
      <c r="B991" s="152"/>
      <c r="C991" s="152"/>
      <c r="D991" s="152"/>
      <c r="E991" s="152"/>
      <c r="F991" s="152"/>
      <c r="G991" s="152"/>
      <c r="H991" s="152"/>
      <c r="I991" s="152"/>
      <c r="J991" s="152"/>
      <c r="K991" s="248"/>
      <c r="L991" s="248"/>
      <c r="M991" s="152"/>
      <c r="N991" s="152"/>
      <c r="O991" s="152"/>
      <c r="P991" s="152"/>
      <c r="Q991" s="152"/>
      <c r="R991" s="152"/>
      <c r="S991" s="152"/>
      <c r="T991" s="152"/>
      <c r="U991" s="152"/>
      <c r="V991" s="152"/>
      <c r="W991" s="152"/>
    </row>
    <row r="992">
      <c r="A992" s="152"/>
      <c r="B992" s="152"/>
      <c r="C992" s="152"/>
      <c r="D992" s="152"/>
      <c r="E992" s="152"/>
      <c r="F992" s="152"/>
      <c r="G992" s="152"/>
      <c r="H992" s="152"/>
      <c r="I992" s="152"/>
      <c r="J992" s="152"/>
      <c r="K992" s="248"/>
      <c r="L992" s="248"/>
      <c r="M992" s="152"/>
      <c r="N992" s="152"/>
      <c r="O992" s="152"/>
      <c r="P992" s="152"/>
      <c r="Q992" s="152"/>
      <c r="R992" s="152"/>
      <c r="S992" s="152"/>
      <c r="T992" s="152"/>
      <c r="U992" s="152"/>
      <c r="V992" s="152"/>
      <c r="W992" s="152"/>
    </row>
    <row r="993">
      <c r="A993" s="152"/>
      <c r="B993" s="152"/>
      <c r="C993" s="152"/>
      <c r="D993" s="152"/>
      <c r="E993" s="152"/>
      <c r="F993" s="152"/>
      <c r="G993" s="152"/>
      <c r="H993" s="152"/>
      <c r="I993" s="152"/>
      <c r="J993" s="152"/>
      <c r="K993" s="248"/>
      <c r="L993" s="248"/>
      <c r="M993" s="152"/>
      <c r="N993" s="152"/>
      <c r="O993" s="152"/>
      <c r="P993" s="152"/>
      <c r="Q993" s="152"/>
      <c r="R993" s="152"/>
      <c r="S993" s="152"/>
      <c r="T993" s="152"/>
      <c r="U993" s="152"/>
      <c r="V993" s="152"/>
      <c r="W993" s="152"/>
    </row>
    <row r="994">
      <c r="A994" s="152"/>
      <c r="B994" s="152"/>
      <c r="C994" s="152"/>
      <c r="D994" s="152"/>
      <c r="E994" s="152"/>
      <c r="F994" s="152"/>
      <c r="G994" s="152"/>
      <c r="H994" s="152"/>
      <c r="I994" s="152"/>
      <c r="J994" s="152"/>
      <c r="K994" s="248"/>
      <c r="L994" s="248"/>
      <c r="M994" s="152"/>
      <c r="N994" s="152"/>
      <c r="O994" s="152"/>
      <c r="P994" s="152"/>
      <c r="Q994" s="152"/>
      <c r="R994" s="152"/>
      <c r="S994" s="152"/>
      <c r="T994" s="152"/>
      <c r="U994" s="152"/>
      <c r="V994" s="152"/>
      <c r="W994" s="152"/>
    </row>
    <row r="995">
      <c r="A995" s="152"/>
      <c r="B995" s="152"/>
      <c r="C995" s="152"/>
      <c r="D995" s="152"/>
      <c r="E995" s="152"/>
      <c r="F995" s="152"/>
      <c r="G995" s="152"/>
      <c r="H995" s="152"/>
      <c r="I995" s="152"/>
      <c r="J995" s="152"/>
      <c r="K995" s="248"/>
      <c r="L995" s="248"/>
      <c r="M995" s="152"/>
      <c r="N995" s="152"/>
      <c r="O995" s="152"/>
      <c r="P995" s="152"/>
      <c r="Q995" s="152"/>
      <c r="R995" s="152"/>
      <c r="S995" s="152"/>
      <c r="T995" s="152"/>
      <c r="U995" s="152"/>
      <c r="V995" s="152"/>
      <c r="W995" s="152"/>
    </row>
    <row r="996">
      <c r="A996" s="152"/>
      <c r="B996" s="152"/>
      <c r="C996" s="152"/>
      <c r="D996" s="152"/>
      <c r="E996" s="152"/>
      <c r="F996" s="152"/>
      <c r="G996" s="152"/>
      <c r="H996" s="152"/>
      <c r="I996" s="152"/>
      <c r="J996" s="152"/>
      <c r="K996" s="248"/>
      <c r="L996" s="248"/>
      <c r="M996" s="152"/>
      <c r="N996" s="152"/>
      <c r="O996" s="152"/>
      <c r="P996" s="152"/>
      <c r="Q996" s="152"/>
      <c r="R996" s="152"/>
      <c r="S996" s="152"/>
      <c r="T996" s="152"/>
      <c r="U996" s="152"/>
      <c r="V996" s="152"/>
      <c r="W996" s="152"/>
    </row>
    <row r="997">
      <c r="A997" s="152"/>
      <c r="B997" s="152"/>
      <c r="C997" s="152"/>
      <c r="D997" s="152"/>
      <c r="E997" s="152"/>
      <c r="F997" s="152"/>
      <c r="G997" s="152"/>
      <c r="H997" s="152"/>
      <c r="I997" s="152"/>
      <c r="J997" s="152"/>
      <c r="K997" s="248"/>
      <c r="L997" s="248"/>
      <c r="M997" s="152"/>
      <c r="N997" s="152"/>
      <c r="O997" s="152"/>
      <c r="P997" s="152"/>
      <c r="Q997" s="152"/>
      <c r="R997" s="152"/>
      <c r="S997" s="152"/>
      <c r="T997" s="152"/>
      <c r="U997" s="152"/>
      <c r="V997" s="152"/>
      <c r="W997" s="152"/>
    </row>
    <row r="998">
      <c r="A998" s="152"/>
      <c r="B998" s="152"/>
      <c r="C998" s="152"/>
      <c r="D998" s="152"/>
      <c r="E998" s="152"/>
      <c r="F998" s="152"/>
      <c r="G998" s="152"/>
      <c r="H998" s="152"/>
      <c r="I998" s="152"/>
      <c r="J998" s="152"/>
      <c r="K998" s="248"/>
      <c r="L998" s="248"/>
      <c r="M998" s="152"/>
      <c r="N998" s="152"/>
      <c r="O998" s="152"/>
      <c r="P998" s="152"/>
      <c r="Q998" s="152"/>
      <c r="R998" s="152"/>
      <c r="S998" s="152"/>
      <c r="T998" s="152"/>
      <c r="U998" s="152"/>
      <c r="V998" s="152"/>
      <c r="W998" s="152"/>
    </row>
    <row r="999">
      <c r="A999" s="152"/>
      <c r="B999" s="152"/>
      <c r="C999" s="152"/>
      <c r="D999" s="152"/>
      <c r="E999" s="152"/>
      <c r="F999" s="152"/>
      <c r="G999" s="152"/>
      <c r="H999" s="152"/>
      <c r="I999" s="152"/>
      <c r="J999" s="152"/>
      <c r="K999" s="248"/>
      <c r="L999" s="248"/>
      <c r="M999" s="152"/>
      <c r="N999" s="152"/>
      <c r="O999" s="152"/>
      <c r="P999" s="152"/>
      <c r="Q999" s="152"/>
      <c r="R999" s="152"/>
      <c r="S999" s="152"/>
      <c r="T999" s="152"/>
      <c r="U999" s="152"/>
      <c r="V999" s="152"/>
      <c r="W999" s="152"/>
    </row>
    <row r="1000">
      <c r="A1000" s="152"/>
      <c r="B1000" s="152"/>
      <c r="C1000" s="152"/>
      <c r="D1000" s="152"/>
      <c r="E1000" s="152"/>
      <c r="F1000" s="152"/>
      <c r="G1000" s="152"/>
      <c r="H1000" s="152"/>
      <c r="I1000" s="152"/>
      <c r="J1000" s="152"/>
      <c r="K1000" s="248"/>
      <c r="L1000" s="248"/>
      <c r="M1000" s="152"/>
      <c r="N1000" s="152"/>
      <c r="O1000" s="152"/>
      <c r="P1000" s="152"/>
      <c r="Q1000" s="152"/>
      <c r="R1000" s="152"/>
      <c r="S1000" s="152"/>
      <c r="T1000" s="152"/>
      <c r="U1000" s="152"/>
      <c r="V1000" s="152"/>
      <c r="W1000" s="152"/>
    </row>
    <row r="100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row>
    <row r="1002">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row>
    <row r="1003">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row>
    <row r="1004">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row>
    <row r="1005">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row>
    <row r="1006">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row>
    <row r="1007">
      <c r="A1007" s="152"/>
      <c r="B1007" s="152"/>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row>
    <row r="1008">
      <c r="A1008" s="152"/>
      <c r="B1008" s="152"/>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row>
    <row r="1009">
      <c r="A1009" s="152"/>
      <c r="B1009" s="152"/>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row>
    <row r="1010">
      <c r="A1010" s="152"/>
      <c r="B1010" s="152"/>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row>
    <row r="1011">
      <c r="A1011" s="152"/>
      <c r="B1011" s="152"/>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row>
    <row r="1012">
      <c r="A1012" s="152"/>
      <c r="B1012" s="152"/>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row>
    <row r="1013">
      <c r="A1013" s="152"/>
      <c r="B1013" s="152"/>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52"/>
    </row>
    <row r="1014">
      <c r="A1014" s="152"/>
      <c r="B1014" s="152"/>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52"/>
    </row>
    <row r="1015">
      <c r="A1015" s="152"/>
      <c r="B1015" s="152"/>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52"/>
    </row>
    <row r="1016">
      <c r="A1016" s="152"/>
      <c r="B1016" s="152"/>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52"/>
    </row>
    <row r="1017">
      <c r="A1017" s="152"/>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row>
    <row r="1018">
      <c r="A1018" s="152"/>
      <c r="B1018" s="152"/>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52"/>
    </row>
    <row r="1019">
      <c r="A1019" s="152"/>
      <c r="B1019" s="152"/>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52"/>
    </row>
    <row r="1020">
      <c r="A1020" s="152"/>
      <c r="B1020" s="152"/>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52"/>
    </row>
    <row r="1021">
      <c r="A1021" s="152"/>
      <c r="B1021" s="152"/>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52"/>
    </row>
    <row r="1022">
      <c r="A1022" s="152"/>
      <c r="B1022" s="152"/>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52"/>
    </row>
    <row r="1023">
      <c r="A1023" s="152"/>
      <c r="B1023" s="152"/>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52"/>
    </row>
    <row r="1024">
      <c r="A1024" s="152"/>
      <c r="B1024" s="152"/>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52"/>
    </row>
    <row r="1025">
      <c r="A1025" s="152"/>
      <c r="B1025" s="152"/>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52"/>
    </row>
    <row r="1026">
      <c r="A1026" s="152"/>
      <c r="B1026" s="152"/>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52"/>
    </row>
  </sheetData>
  <hyperlinks>
    <hyperlink r:id="rId1" ref="B10"/>
    <hyperlink r:id="rId2" ref="D10"/>
    <hyperlink r:id="rId3" ref="F10"/>
    <hyperlink r:id="rId4" ref="H10"/>
    <hyperlink r:id="rId5" ref="J10"/>
    <hyperlink r:id="rId6" ref="N10"/>
  </hyperlinks>
  <drawing r:id="rId7"/>
</worksheet>
</file>